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trlProps/ctrlProp2.xml" ContentType="application/vnd.ms-excel.controlproperties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trlProps/ctrlProp3.xml" ContentType="application/vnd.ms-excel.controlproperties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trlProps/ctrlProp4.xml" ContentType="application/vnd.ms-excel.controlproperties+xml"/>
  <Override PartName="/xl/drawings/drawing7.xml" ContentType="application/vnd.openxmlformats-officedocument.drawing+xml"/>
  <Override PartName="/xl/ctrlProps/ctrlProp5.xml" ContentType="application/vnd.ms-excel.controlproperties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trlProps/ctrlProp6.xml" ContentType="application/vnd.ms-excel.controlproperties+xml"/>
  <Override PartName="/xl/comments5.xml" ContentType="application/vnd.openxmlformats-officedocument.spreadsheetml.comments+xml"/>
  <Override PartName="/xl/drawings/drawing9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vicamposerver\Produccion Avicola\PROYECCION_CRIANZAS\"/>
    </mc:Choice>
  </mc:AlternateContent>
  <bookViews>
    <workbookView xWindow="0" yWindow="0" windowWidth="12000" windowHeight="5130" tabRatio="602" firstSheet="4" activeTab="8"/>
  </bookViews>
  <sheets>
    <sheet name="PARAMETROS" sheetId="3" state="hidden" r:id="rId1"/>
    <sheet name="PARALOHMANN" sheetId="6" state="hidden" r:id="rId2"/>
    <sheet name="BUEYERA1" sheetId="4" state="hidden" r:id="rId3"/>
    <sheet name="CUARTP101" sheetId="1" state="hidden" r:id="rId4"/>
    <sheet name="BUEY2P102" sheetId="7" r:id="rId5"/>
    <sheet name="CONCENTRADO" sheetId="5" state="hidden" r:id="rId6"/>
    <sheet name="G1P102" sheetId="8" state="hidden" r:id="rId7"/>
    <sheet name="CTP103" sheetId="9" r:id="rId8"/>
    <sheet name="TABLERO" sheetId="2" r:id="rId9"/>
  </sheets>
  <definedNames>
    <definedName name="CASETA1" localSheetId="2">BUEYERA1!$C$179:$Z$198</definedName>
    <definedName name="CASETA2" localSheetId="2">BUEYERA1!$AC$179:$AZ$198</definedName>
    <definedName name="CASETA3" localSheetId="2">BUEYERA1!$BC$179:$BZ$198</definedName>
    <definedName name="CASETA4" localSheetId="2">BUEYERA1!$CC$179:$CZ$198</definedName>
    <definedName name="CASETA5" localSheetId="2">BUEYERA1!$DC$179:$DZ$198</definedName>
    <definedName name="CST1BY" localSheetId="4">BUEY2P102!$C$144:$Y$163</definedName>
    <definedName name="CST1BY" localSheetId="7">'CTP103'!$C$144:$Y$163</definedName>
    <definedName name="CST1BY" localSheetId="6">G1P102!$C$144:$Y$163</definedName>
    <definedName name="CST1G1" localSheetId="4">BUEY2P102!$BZ$144:$CV$163</definedName>
    <definedName name="CST1G1" localSheetId="7">'CTP103'!$BZ$144:$CV$163</definedName>
    <definedName name="CST2BY" localSheetId="4">BUEY2P102!$AB$144:$AX$163</definedName>
    <definedName name="CST2BY" localSheetId="7">'CTP103'!$AB$144:$AX$163</definedName>
    <definedName name="CST2BY" localSheetId="6">G1P102!$AB$144:$AX$163</definedName>
    <definedName name="CST2G1" localSheetId="4">BUEY2P102!$CY$144:$DU$163</definedName>
    <definedName name="CST2G1" localSheetId="7">'CTP103'!$CY$144:$DU$163</definedName>
    <definedName name="CST3BY" localSheetId="4">BUEY2P102!$BA$144:$BW$163</definedName>
    <definedName name="CST3BY" localSheetId="7">'CTP103'!$BA$144:$BW$163</definedName>
    <definedName name="CST3BY" localSheetId="6">G1P102!$BA$144:$BW$163</definedName>
    <definedName name="CST3G1" localSheetId="7">'CTP103'!#REF!</definedName>
    <definedName name="CST3G1">BUEY2P102!$DX$144:$ET$163</definedName>
    <definedName name="CST4BY" localSheetId="6">G1P102!$BZ$144:$CV$163</definedName>
    <definedName name="CST4G1" localSheetId="7">'CTP103'!#REF!</definedName>
    <definedName name="CST4G1">BUEY2P102!$EW$144:$FS$163</definedName>
    <definedName name="CST5BY" localSheetId="6">G1P102!$CY$144:$DU$163</definedName>
    <definedName name="CST5G1" localSheetId="7">'CTP103'!#REF!</definedName>
    <definedName name="CST5G1">BUEY2P102!$FV$144:$GR$163</definedName>
    <definedName name="CST6G1" localSheetId="7">'CTP103'!#REF!</definedName>
    <definedName name="CST6G1">BUEY2P102!$GU$144:$HQ$163</definedName>
    <definedName name="CSTA1">CUARTP101!$C$144:$Y$163</definedName>
    <definedName name="CSTA2">CUARTP101!$BA$144:$BW$163</definedName>
    <definedName name="CSTA4">CUARTP101!$BZ$144:$CV$163</definedName>
    <definedName name="DESDOBLE">CUARTP101!$AB$144:$AX$163</definedName>
    <definedName name="GRAF_BUEYERA1">TABLERO!$AG$11:$AU$33</definedName>
    <definedName name="GRAF_CUARTELES">TABLERO!$R$11:$AE$33</definedName>
    <definedName name="LOHMANN">PARALOHMANN!$C$3:$I$23</definedName>
    <definedName name="PARAMETROCRIANZA">PARAMETROS!$B$2:$N$21</definedName>
    <definedName name="_xlnm.Print_Titles" localSheetId="4">BUEY2P102!$2:$5</definedName>
    <definedName name="_xlnm.Print_Titles" localSheetId="7">'CTP103'!$2:$5</definedName>
    <definedName name="_xlnm.Print_Titles" localSheetId="3">CUARTP101!$2:$5</definedName>
    <definedName name="_xlnm.Print_Titles" localSheetId="6">G1P102!$2:$5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" i="9" l="1"/>
  <c r="D12" i="9"/>
  <c r="E6" i="9"/>
  <c r="R7" i="9" l="1"/>
  <c r="R6" i="9"/>
  <c r="O12" i="9"/>
  <c r="O18" i="9"/>
  <c r="O22" i="9"/>
  <c r="O17" i="9"/>
  <c r="AN15" i="9"/>
  <c r="AN14" i="9"/>
  <c r="AN10" i="9"/>
  <c r="AL7" i="9"/>
  <c r="AJ7" i="9"/>
  <c r="K15" i="9"/>
  <c r="K14" i="9"/>
  <c r="K13" i="9"/>
  <c r="K12" i="9"/>
  <c r="K11" i="9"/>
  <c r="K10" i="9"/>
  <c r="K9" i="9"/>
  <c r="K8" i="9"/>
  <c r="F7" i="9"/>
  <c r="BM14" i="9" l="1"/>
  <c r="BM13" i="9"/>
  <c r="BM12" i="9"/>
  <c r="BB14" i="9" l="1"/>
  <c r="BM15" i="9"/>
  <c r="BM6" i="9" l="1"/>
  <c r="BC145" i="9"/>
  <c r="BM9" i="9"/>
  <c r="BM10" i="9"/>
  <c r="BM11" i="9"/>
  <c r="BM8" i="9"/>
  <c r="BM7" i="9"/>
  <c r="CX114" i="9" l="1"/>
  <c r="CX84" i="9"/>
  <c r="CX53" i="9"/>
  <c r="CX43" i="9"/>
  <c r="CX22" i="9"/>
  <c r="BY114" i="9"/>
  <c r="BY84" i="9"/>
  <c r="BY53" i="9" l="1"/>
  <c r="BY43" i="9"/>
  <c r="BY22" i="9"/>
  <c r="AA114" i="9"/>
  <c r="AA84" i="9"/>
  <c r="AA53" i="9"/>
  <c r="AA43" i="9"/>
  <c r="AA22" i="9"/>
  <c r="AZ114" i="9"/>
  <c r="AZ84" i="9"/>
  <c r="AZ53" i="9"/>
  <c r="AZ43" i="9"/>
  <c r="O10" i="9"/>
  <c r="O9" i="9"/>
  <c r="O8" i="9"/>
  <c r="O7" i="9"/>
  <c r="O6" i="9"/>
  <c r="B114" i="9"/>
  <c r="B84" i="9"/>
  <c r="B53" i="9"/>
  <c r="B43" i="9"/>
  <c r="B22" i="9" l="1"/>
  <c r="A5" i="5" l="1"/>
  <c r="B12" i="5" l="1"/>
  <c r="E145" i="9"/>
  <c r="E169" i="9" s="1"/>
  <c r="S6" i="9"/>
  <c r="O23" i="7"/>
  <c r="N22" i="7"/>
  <c r="O18" i="7"/>
  <c r="O16" i="7"/>
  <c r="O13" i="7"/>
  <c r="O6" i="7"/>
  <c r="N6" i="9"/>
  <c r="M6" i="9"/>
  <c r="M7" i="7"/>
  <c r="DF138" i="9"/>
  <c r="DF137" i="9"/>
  <c r="DF136" i="9"/>
  <c r="DF135" i="9"/>
  <c r="DF134" i="9"/>
  <c r="CY134" i="9"/>
  <c r="DS134" i="9" s="1"/>
  <c r="DT133" i="9"/>
  <c r="DT134" i="9" s="1"/>
  <c r="DT135" i="9" s="1"/>
  <c r="DT136" i="9" s="1"/>
  <c r="DT137" i="9" s="1"/>
  <c r="DT138" i="9" s="1"/>
  <c r="DT163" i="9" s="1"/>
  <c r="W284" i="9" s="1"/>
  <c r="DS133" i="9"/>
  <c r="DU133" i="9" s="1"/>
  <c r="DQ133" i="9"/>
  <c r="DF133" i="9"/>
  <c r="CY133" i="9"/>
  <c r="CX133" i="9"/>
  <c r="CX134" i="9" s="1"/>
  <c r="CX135" i="9" s="1"/>
  <c r="CX136" i="9" s="1"/>
  <c r="CX137" i="9" s="1"/>
  <c r="CX138" i="9" s="1"/>
  <c r="DS132" i="9"/>
  <c r="DU132" i="9" s="1"/>
  <c r="DP132" i="9"/>
  <c r="DR132" i="9" s="1"/>
  <c r="DM132" i="9"/>
  <c r="DJ132" i="9"/>
  <c r="DH132" i="9"/>
  <c r="DF132" i="9"/>
  <c r="DF131" i="9"/>
  <c r="DF130" i="9"/>
  <c r="DF129" i="9"/>
  <c r="DF128" i="9"/>
  <c r="DF127" i="9"/>
  <c r="DT126" i="9"/>
  <c r="DT127" i="9" s="1"/>
  <c r="DT128" i="9" s="1"/>
  <c r="DT129" i="9" s="1"/>
  <c r="DT130" i="9" s="1"/>
  <c r="DT131" i="9" s="1"/>
  <c r="DT162" i="9" s="1"/>
  <c r="DQ126" i="9"/>
  <c r="DQ127" i="9" s="1"/>
  <c r="DQ128" i="9" s="1"/>
  <c r="DQ129" i="9" s="1"/>
  <c r="DQ130" i="9" s="1"/>
  <c r="DF126" i="9"/>
  <c r="CY126" i="9"/>
  <c r="DS126" i="9" s="1"/>
  <c r="CX126" i="9"/>
  <c r="CX127" i="9" s="1"/>
  <c r="CX128" i="9" s="1"/>
  <c r="CX129" i="9" s="1"/>
  <c r="CX130" i="9" s="1"/>
  <c r="CX131" i="9" s="1"/>
  <c r="DS125" i="9"/>
  <c r="DU125" i="9" s="1"/>
  <c r="DP125" i="9"/>
  <c r="DR125" i="9" s="1"/>
  <c r="DM125" i="9"/>
  <c r="DJ125" i="9"/>
  <c r="DH125" i="9"/>
  <c r="DF125" i="9"/>
  <c r="DF124" i="9"/>
  <c r="DF123" i="9"/>
  <c r="DF122" i="9"/>
  <c r="DF121" i="9"/>
  <c r="DF120" i="9"/>
  <c r="DT119" i="9"/>
  <c r="DT120" i="9" s="1"/>
  <c r="DT121" i="9" s="1"/>
  <c r="DT122" i="9" s="1"/>
  <c r="DT123" i="9" s="1"/>
  <c r="DT124" i="9" s="1"/>
  <c r="DT161" i="9" s="1"/>
  <c r="U284" i="9" s="1"/>
  <c r="DQ119" i="9"/>
  <c r="DQ120" i="9" s="1"/>
  <c r="DQ121" i="9" s="1"/>
  <c r="DF119" i="9"/>
  <c r="CY119" i="9"/>
  <c r="CY120" i="9" s="1"/>
  <c r="CX119" i="9"/>
  <c r="CX120" i="9" s="1"/>
  <c r="CX122" i="9" s="1"/>
  <c r="CX123" i="9" s="1"/>
  <c r="CX124" i="9" s="1"/>
  <c r="DS118" i="9"/>
  <c r="DU118" i="9" s="1"/>
  <c r="DP118" i="9"/>
  <c r="DR118" i="9" s="1"/>
  <c r="DM118" i="9"/>
  <c r="DJ118" i="9"/>
  <c r="DH118" i="9"/>
  <c r="DF118" i="9"/>
  <c r="DF117" i="9"/>
  <c r="DF116" i="9"/>
  <c r="DF115" i="9"/>
  <c r="CX115" i="9"/>
  <c r="CX116" i="9" s="1"/>
  <c r="CX117" i="9" s="1"/>
  <c r="DF114" i="9"/>
  <c r="DF113" i="9"/>
  <c r="DT112" i="9"/>
  <c r="DT113" i="9" s="1"/>
  <c r="DT114" i="9" s="1"/>
  <c r="DT115" i="9" s="1"/>
  <c r="DT116" i="9" s="1"/>
  <c r="DT117" i="9" s="1"/>
  <c r="DQ112" i="9"/>
  <c r="DQ113" i="9" s="1"/>
  <c r="DQ114" i="9" s="1"/>
  <c r="DF112" i="9"/>
  <c r="CY112" i="9"/>
  <c r="DS112" i="9" s="1"/>
  <c r="DU112" i="9" s="1"/>
  <c r="CX112" i="9"/>
  <c r="CX113" i="9" s="1"/>
  <c r="DS111" i="9"/>
  <c r="DU111" i="9" s="1"/>
  <c r="DR111" i="9"/>
  <c r="DP111" i="9"/>
  <c r="DM111" i="9"/>
  <c r="DJ111" i="9"/>
  <c r="DH111" i="9"/>
  <c r="DF111" i="9"/>
  <c r="DF110" i="9"/>
  <c r="DF109" i="9"/>
  <c r="DF108" i="9"/>
  <c r="DF107" i="9"/>
  <c r="DF106" i="9"/>
  <c r="DT105" i="9"/>
  <c r="DT106" i="9" s="1"/>
  <c r="DT107" i="9" s="1"/>
  <c r="DT108" i="9" s="1"/>
  <c r="DT109" i="9" s="1"/>
  <c r="DT110" i="9" s="1"/>
  <c r="DQ105" i="9"/>
  <c r="DF105" i="9"/>
  <c r="CY105" i="9"/>
  <c r="CY106" i="9" s="1"/>
  <c r="CY107" i="9" s="1"/>
  <c r="DS107" i="9" s="1"/>
  <c r="CX105" i="9"/>
  <c r="CX106" i="9" s="1"/>
  <c r="CX107" i="9" s="1"/>
  <c r="CX108" i="9" s="1"/>
  <c r="CX109" i="9" s="1"/>
  <c r="CX110" i="9" s="1"/>
  <c r="DS104" i="9"/>
  <c r="DU104" i="9" s="1"/>
  <c r="DP104" i="9"/>
  <c r="DR104" i="9" s="1"/>
  <c r="DM104" i="9"/>
  <c r="DJ104" i="9"/>
  <c r="DH104" i="9"/>
  <c r="DF104" i="9"/>
  <c r="DF103" i="9"/>
  <c r="DF102" i="9"/>
  <c r="DF101" i="9"/>
  <c r="DF100" i="9"/>
  <c r="DF99" i="9"/>
  <c r="DT98" i="9"/>
  <c r="DT99" i="9" s="1"/>
  <c r="DT100" i="9" s="1"/>
  <c r="DT101" i="9" s="1"/>
  <c r="DT102" i="9" s="1"/>
  <c r="DT103" i="9" s="1"/>
  <c r="DT158" i="9" s="1"/>
  <c r="R284" i="9" s="1"/>
  <c r="DQ98" i="9"/>
  <c r="DF98" i="9"/>
  <c r="CY98" i="9"/>
  <c r="CX98" i="9"/>
  <c r="CX99" i="9" s="1"/>
  <c r="CX100" i="9" s="1"/>
  <c r="CX101" i="9" s="1"/>
  <c r="CX102" i="9" s="1"/>
  <c r="CX103" i="9" s="1"/>
  <c r="DS97" i="9"/>
  <c r="DU97" i="9" s="1"/>
  <c r="DP97" i="9"/>
  <c r="DR97" i="9" s="1"/>
  <c r="DM97" i="9"/>
  <c r="DJ97" i="9"/>
  <c r="DH97" i="9"/>
  <c r="DF97" i="9"/>
  <c r="DF96" i="9"/>
  <c r="DF95" i="9"/>
  <c r="DF94" i="9"/>
  <c r="DF93" i="9"/>
  <c r="DF92" i="9"/>
  <c r="DT91" i="9"/>
  <c r="DT92" i="9" s="1"/>
  <c r="DT93" i="9" s="1"/>
  <c r="DT94" i="9" s="1"/>
  <c r="DT95" i="9" s="1"/>
  <c r="DT96" i="9" s="1"/>
  <c r="DS91" i="9"/>
  <c r="DQ91" i="9"/>
  <c r="DQ92" i="9" s="1"/>
  <c r="DQ93" i="9" s="1"/>
  <c r="DQ94" i="9" s="1"/>
  <c r="DF91" i="9"/>
  <c r="CY91" i="9"/>
  <c r="CY92" i="9" s="1"/>
  <c r="CY93" i="9" s="1"/>
  <c r="CX92" i="9"/>
  <c r="CX93" i="9" s="1"/>
  <c r="CX94" i="9" s="1"/>
  <c r="CX95" i="9" s="1"/>
  <c r="CX96" i="9" s="1"/>
  <c r="DS90" i="9"/>
  <c r="DU90" i="9" s="1"/>
  <c r="DP90" i="9"/>
  <c r="DR90" i="9" s="1"/>
  <c r="DM90" i="9"/>
  <c r="DJ90" i="9"/>
  <c r="DH90" i="9"/>
  <c r="DF90" i="9"/>
  <c r="DF89" i="9"/>
  <c r="DF88" i="9"/>
  <c r="DF87" i="9"/>
  <c r="DF86" i="9"/>
  <c r="DF85" i="9"/>
  <c r="CX85" i="9"/>
  <c r="CX86" i="9" s="1"/>
  <c r="CX87" i="9" s="1"/>
  <c r="CX88" i="9" s="1"/>
  <c r="CX89" i="9" s="1"/>
  <c r="DT84" i="9"/>
  <c r="DT85" i="9" s="1"/>
  <c r="DT86" i="9" s="1"/>
  <c r="DT87" i="9" s="1"/>
  <c r="DT88" i="9" s="1"/>
  <c r="DT89" i="9" s="1"/>
  <c r="DT156" i="9" s="1"/>
  <c r="P284" i="9" s="1"/>
  <c r="DS84" i="9"/>
  <c r="DQ84" i="9"/>
  <c r="DQ85" i="9" s="1"/>
  <c r="DQ86" i="9" s="1"/>
  <c r="DF84" i="9"/>
  <c r="CY84" i="9"/>
  <c r="CY85" i="9" s="1"/>
  <c r="DS83" i="9"/>
  <c r="DU83" i="9" s="1"/>
  <c r="DP83" i="9"/>
  <c r="DR83" i="9" s="1"/>
  <c r="DM83" i="9"/>
  <c r="DJ83" i="9"/>
  <c r="DH83" i="9"/>
  <c r="DF83" i="9"/>
  <c r="DF82" i="9"/>
  <c r="DF81" i="9"/>
  <c r="DF80" i="9"/>
  <c r="DF79" i="9"/>
  <c r="DF78" i="9"/>
  <c r="DT77" i="9"/>
  <c r="DT78" i="9" s="1"/>
  <c r="DT79" i="9" s="1"/>
  <c r="DT80" i="9" s="1"/>
  <c r="DT81" i="9" s="1"/>
  <c r="DT82" i="9" s="1"/>
  <c r="DQ77" i="9"/>
  <c r="DQ78" i="9" s="1"/>
  <c r="DQ79" i="9" s="1"/>
  <c r="DF77" i="9"/>
  <c r="CY77" i="9"/>
  <c r="DS77" i="9" s="1"/>
  <c r="CX77" i="9"/>
  <c r="CX78" i="9" s="1"/>
  <c r="CX79" i="9" s="1"/>
  <c r="CX80" i="9" s="1"/>
  <c r="CX81" i="9" s="1"/>
  <c r="CX82" i="9" s="1"/>
  <c r="DS76" i="9"/>
  <c r="DU76" i="9" s="1"/>
  <c r="DP76" i="9"/>
  <c r="DR76" i="9" s="1"/>
  <c r="DM76" i="9"/>
  <c r="DJ76" i="9"/>
  <c r="DH76" i="9"/>
  <c r="DF76" i="9"/>
  <c r="DF75" i="9"/>
  <c r="DF74" i="9"/>
  <c r="DF73" i="9"/>
  <c r="DF72" i="9"/>
  <c r="DF71" i="9"/>
  <c r="DT70" i="9"/>
  <c r="DT71" i="9" s="1"/>
  <c r="DT72" i="9" s="1"/>
  <c r="DT73" i="9" s="1"/>
  <c r="DT74" i="9" s="1"/>
  <c r="DT75" i="9" s="1"/>
  <c r="DQ70" i="9"/>
  <c r="DQ71" i="9" s="1"/>
  <c r="DQ72" i="9" s="1"/>
  <c r="DQ73" i="9" s="1"/>
  <c r="DQ74" i="9" s="1"/>
  <c r="DQ75" i="9" s="1"/>
  <c r="DF70" i="9"/>
  <c r="CY70" i="9"/>
  <c r="CX70" i="9"/>
  <c r="CX71" i="9" s="1"/>
  <c r="CX72" i="9" s="1"/>
  <c r="CX73" i="9" s="1"/>
  <c r="CX74" i="9" s="1"/>
  <c r="CX75" i="9" s="1"/>
  <c r="DS69" i="9"/>
  <c r="DU69" i="9" s="1"/>
  <c r="DP69" i="9"/>
  <c r="DR69" i="9" s="1"/>
  <c r="DM69" i="9"/>
  <c r="DJ69" i="9"/>
  <c r="DH69" i="9"/>
  <c r="DF69" i="9"/>
  <c r="DF68" i="9"/>
  <c r="DF67" i="9"/>
  <c r="DF66" i="9"/>
  <c r="DF65" i="9"/>
  <c r="DF64" i="9"/>
  <c r="DT63" i="9"/>
  <c r="DT64" i="9" s="1"/>
  <c r="DT65" i="9" s="1"/>
  <c r="DT66" i="9" s="1"/>
  <c r="DT67" i="9" s="1"/>
  <c r="DT68" i="9" s="1"/>
  <c r="DQ63" i="9"/>
  <c r="DQ64" i="9" s="1"/>
  <c r="DQ65" i="9" s="1"/>
  <c r="DQ66" i="9" s="1"/>
  <c r="DQ67" i="9" s="1"/>
  <c r="DQ68" i="9" s="1"/>
  <c r="DF63" i="9"/>
  <c r="CY63" i="9"/>
  <c r="CY64" i="9" s="1"/>
  <c r="CY65" i="9" s="1"/>
  <c r="CY66" i="9" s="1"/>
  <c r="CX63" i="9"/>
  <c r="CX64" i="9" s="1"/>
  <c r="CX65" i="9" s="1"/>
  <c r="CX66" i="9" s="1"/>
  <c r="CX67" i="9" s="1"/>
  <c r="CX68" i="9" s="1"/>
  <c r="DS62" i="9"/>
  <c r="DU62" i="9" s="1"/>
  <c r="DP62" i="9"/>
  <c r="DR62" i="9" s="1"/>
  <c r="DM62" i="9"/>
  <c r="DJ62" i="9"/>
  <c r="DH62" i="9"/>
  <c r="DF62" i="9"/>
  <c r="DF61" i="9"/>
  <c r="DF60" i="9"/>
  <c r="DF59" i="9"/>
  <c r="DF58" i="9"/>
  <c r="DF57" i="9"/>
  <c r="DT56" i="9"/>
  <c r="DT57" i="9" s="1"/>
  <c r="DT58" i="9" s="1"/>
  <c r="DT59" i="9" s="1"/>
  <c r="DT60" i="9" s="1"/>
  <c r="DT61" i="9" s="1"/>
  <c r="DQ56" i="9"/>
  <c r="DQ57" i="9" s="1"/>
  <c r="DQ58" i="9" s="1"/>
  <c r="DF56" i="9"/>
  <c r="CY56" i="9"/>
  <c r="CY57" i="9" s="1"/>
  <c r="CX56" i="9"/>
  <c r="CX57" i="9" s="1"/>
  <c r="CX58" i="9" s="1"/>
  <c r="CX59" i="9" s="1"/>
  <c r="CX61" i="9" s="1"/>
  <c r="DS55" i="9"/>
  <c r="DU55" i="9" s="1"/>
  <c r="DP55" i="9"/>
  <c r="DR55" i="9" s="1"/>
  <c r="DM55" i="9"/>
  <c r="DJ55" i="9"/>
  <c r="DH55" i="9"/>
  <c r="DF55" i="9"/>
  <c r="DF54" i="9"/>
  <c r="CX54" i="9"/>
  <c r="DF53" i="9"/>
  <c r="DF52" i="9"/>
  <c r="DF51" i="9"/>
  <c r="DF50" i="9"/>
  <c r="DT49" i="9"/>
  <c r="DT50" i="9" s="1"/>
  <c r="DT51" i="9" s="1"/>
  <c r="DT52" i="9" s="1"/>
  <c r="DT53" i="9" s="1"/>
  <c r="DT54" i="9" s="1"/>
  <c r="DQ49" i="9"/>
  <c r="DQ50" i="9" s="1"/>
  <c r="DQ51" i="9" s="1"/>
  <c r="DF49" i="9"/>
  <c r="CY49" i="9"/>
  <c r="CY50" i="9" s="1"/>
  <c r="CX49" i="9"/>
  <c r="CX50" i="9" s="1"/>
  <c r="CX51" i="9" s="1"/>
  <c r="CX52" i="9" s="1"/>
  <c r="DS48" i="9"/>
  <c r="DU48" i="9" s="1"/>
  <c r="DP48" i="9"/>
  <c r="DR48" i="9" s="1"/>
  <c r="DM48" i="9"/>
  <c r="DJ48" i="9"/>
  <c r="DH48" i="9"/>
  <c r="DF48" i="9"/>
  <c r="DF47" i="9"/>
  <c r="DF46" i="9"/>
  <c r="DF45" i="9"/>
  <c r="DF44" i="9"/>
  <c r="CX44" i="9"/>
  <c r="CX45" i="9" s="1"/>
  <c r="CX46" i="9" s="1"/>
  <c r="CX47" i="9" s="1"/>
  <c r="DF43" i="9"/>
  <c r="DT42" i="9"/>
  <c r="DT43" i="9" s="1"/>
  <c r="DT44" i="9" s="1"/>
  <c r="DT45" i="9" s="1"/>
  <c r="DT46" i="9" s="1"/>
  <c r="DT47" i="9" s="1"/>
  <c r="DQ42" i="9"/>
  <c r="DQ43" i="9" s="1"/>
  <c r="DQ44" i="9" s="1"/>
  <c r="DQ45" i="9" s="1"/>
  <c r="DQ46" i="9" s="1"/>
  <c r="DQ47" i="9" s="1"/>
  <c r="DF42" i="9"/>
  <c r="CY42" i="9"/>
  <c r="CY43" i="9" s="1"/>
  <c r="CX42" i="9"/>
  <c r="DS41" i="9"/>
  <c r="DU41" i="9" s="1"/>
  <c r="DP41" i="9"/>
  <c r="DR41" i="9" s="1"/>
  <c r="DM41" i="9"/>
  <c r="DJ41" i="9"/>
  <c r="DH41" i="9"/>
  <c r="DF41" i="9"/>
  <c r="DF40" i="9"/>
  <c r="DF39" i="9"/>
  <c r="DF38" i="9"/>
  <c r="DF37" i="9"/>
  <c r="DF36" i="9"/>
  <c r="DT35" i="9"/>
  <c r="DT36" i="9" s="1"/>
  <c r="DT37" i="9" s="1"/>
  <c r="DT38" i="9" s="1"/>
  <c r="DT39" i="9" s="1"/>
  <c r="DT40" i="9" s="1"/>
  <c r="DQ35" i="9"/>
  <c r="DQ36" i="9" s="1"/>
  <c r="DF35" i="9"/>
  <c r="CY35" i="9"/>
  <c r="CY36" i="9" s="1"/>
  <c r="CX35" i="9"/>
  <c r="CX36" i="9" s="1"/>
  <c r="CX37" i="9" s="1"/>
  <c r="CX38" i="9" s="1"/>
  <c r="CX39" i="9" s="1"/>
  <c r="CX40" i="9" s="1"/>
  <c r="DS34" i="9"/>
  <c r="DU34" i="9" s="1"/>
  <c r="DP34" i="9"/>
  <c r="DR34" i="9" s="1"/>
  <c r="DM34" i="9"/>
  <c r="DJ34" i="9"/>
  <c r="DH34" i="9"/>
  <c r="DF34" i="9"/>
  <c r="DF33" i="9"/>
  <c r="DF32" i="9"/>
  <c r="DF31" i="9"/>
  <c r="DF30" i="9"/>
  <c r="DF29" i="9"/>
  <c r="DT28" i="9"/>
  <c r="DT29" i="9" s="1"/>
  <c r="DT30" i="9" s="1"/>
  <c r="DT31" i="9" s="1"/>
  <c r="DT32" i="9" s="1"/>
  <c r="DT33" i="9" s="1"/>
  <c r="DQ28" i="9"/>
  <c r="DQ29" i="9" s="1"/>
  <c r="DF28" i="9"/>
  <c r="CY28" i="9"/>
  <c r="CY29" i="9" s="1"/>
  <c r="DS27" i="9"/>
  <c r="DU27" i="9" s="1"/>
  <c r="DP27" i="9"/>
  <c r="DR27" i="9" s="1"/>
  <c r="DM27" i="9"/>
  <c r="DJ27" i="9"/>
  <c r="DH27" i="9"/>
  <c r="DF27" i="9"/>
  <c r="DF26" i="9"/>
  <c r="DF25" i="9"/>
  <c r="DF24" i="9"/>
  <c r="DF23" i="9"/>
  <c r="CX23" i="9"/>
  <c r="CX24" i="9" s="1"/>
  <c r="CX25" i="9" s="1"/>
  <c r="CX26" i="9" s="1"/>
  <c r="CX27" i="9" s="1"/>
  <c r="CX28" i="9" s="1"/>
  <c r="CX30" i="9" s="1"/>
  <c r="CX31" i="9" s="1"/>
  <c r="CX32" i="9" s="1"/>
  <c r="CX33" i="9" s="1"/>
  <c r="DF22" i="9"/>
  <c r="DT21" i="9"/>
  <c r="DT22" i="9" s="1"/>
  <c r="DT23" i="9" s="1"/>
  <c r="DT24" i="9" s="1"/>
  <c r="DT25" i="9" s="1"/>
  <c r="DT26" i="9" s="1"/>
  <c r="DQ21" i="9"/>
  <c r="DQ22" i="9" s="1"/>
  <c r="DQ23" i="9" s="1"/>
  <c r="DQ24" i="9" s="1"/>
  <c r="DF21" i="9"/>
  <c r="CY21" i="9"/>
  <c r="CX21" i="9"/>
  <c r="DS20" i="9"/>
  <c r="DU20" i="9" s="1"/>
  <c r="DP20" i="9"/>
  <c r="DR20" i="9" s="1"/>
  <c r="DM20" i="9"/>
  <c r="DJ20" i="9"/>
  <c r="DH20" i="9"/>
  <c r="DF20" i="9"/>
  <c r="DF19" i="9"/>
  <c r="DF18" i="9"/>
  <c r="DF17" i="9"/>
  <c r="DF16" i="9"/>
  <c r="DF15" i="9"/>
  <c r="DT14" i="9"/>
  <c r="DT15" i="9" s="1"/>
  <c r="DT16" i="9" s="1"/>
  <c r="DT17" i="9" s="1"/>
  <c r="DT18" i="9" s="1"/>
  <c r="DT19" i="9" s="1"/>
  <c r="DS14" i="9"/>
  <c r="DQ14" i="9"/>
  <c r="DQ15" i="9" s="1"/>
  <c r="DQ16" i="9" s="1"/>
  <c r="DF14" i="9"/>
  <c r="CY14" i="9"/>
  <c r="CY15" i="9" s="1"/>
  <c r="CX14" i="9"/>
  <c r="CX15" i="9" s="1"/>
  <c r="CX16" i="9" s="1"/>
  <c r="CX17" i="9" s="1"/>
  <c r="CX18" i="9" s="1"/>
  <c r="CX19" i="9" s="1"/>
  <c r="DS13" i="9"/>
  <c r="DU13" i="9" s="1"/>
  <c r="DP13" i="9"/>
  <c r="DR13" i="9" s="1"/>
  <c r="DM13" i="9"/>
  <c r="DJ13" i="9"/>
  <c r="DH13" i="9"/>
  <c r="DF13" i="9"/>
  <c r="DF12" i="9"/>
  <c r="DF11" i="9"/>
  <c r="DF10" i="9"/>
  <c r="DF9" i="9"/>
  <c r="DF8" i="9"/>
  <c r="DT7" i="9"/>
  <c r="DT8" i="9" s="1"/>
  <c r="DT9" i="9" s="1"/>
  <c r="DT10" i="9" s="1"/>
  <c r="DT11" i="9" s="1"/>
  <c r="DT12" i="9" s="1"/>
  <c r="DQ7" i="9"/>
  <c r="DQ8" i="9" s="1"/>
  <c r="DF7" i="9"/>
  <c r="CY7" i="9"/>
  <c r="CX7" i="9"/>
  <c r="CX8" i="9" s="1"/>
  <c r="CX9" i="9" s="1"/>
  <c r="CX10" i="9" s="1"/>
  <c r="CX11" i="9" s="1"/>
  <c r="CX12" i="9" s="1"/>
  <c r="DS6" i="9"/>
  <c r="DU6" i="9" s="1"/>
  <c r="DP6" i="9"/>
  <c r="DR6" i="9" s="1"/>
  <c r="DM6" i="9"/>
  <c r="DJ6" i="9"/>
  <c r="DH6" i="9"/>
  <c r="DG6" i="9"/>
  <c r="DF6" i="9"/>
  <c r="DA6" i="9"/>
  <c r="CG138" i="9"/>
  <c r="CG137" i="9"/>
  <c r="CG136" i="9"/>
  <c r="CG135" i="9"/>
  <c r="CG134" i="9"/>
  <c r="CU133" i="9"/>
  <c r="CU134" i="9" s="1"/>
  <c r="CU135" i="9" s="1"/>
  <c r="CU136" i="9" s="1"/>
  <c r="CU137" i="9" s="1"/>
  <c r="CU138" i="9" s="1"/>
  <c r="CR133" i="9"/>
  <c r="CR134" i="9" s="1"/>
  <c r="CR135" i="9" s="1"/>
  <c r="CR136" i="9" s="1"/>
  <c r="CR137" i="9" s="1"/>
  <c r="CR138" i="9" s="1"/>
  <c r="CG133" i="9"/>
  <c r="BZ133" i="9"/>
  <c r="BZ134" i="9" s="1"/>
  <c r="BY133" i="9"/>
  <c r="BY134" i="9" s="1"/>
  <c r="BY135" i="9" s="1"/>
  <c r="BY136" i="9" s="1"/>
  <c r="BY137" i="9" s="1"/>
  <c r="BY138" i="9" s="1"/>
  <c r="CT132" i="9"/>
  <c r="CV132" i="9" s="1"/>
  <c r="CQ132" i="9"/>
  <c r="CS132" i="9" s="1"/>
  <c r="CN132" i="9"/>
  <c r="CK132" i="9"/>
  <c r="CI132" i="9"/>
  <c r="CG132" i="9"/>
  <c r="CG131" i="9"/>
  <c r="CG130" i="9"/>
  <c r="CG129" i="9"/>
  <c r="CG128" i="9"/>
  <c r="CR127" i="9"/>
  <c r="CR128" i="9" s="1"/>
  <c r="CR129" i="9" s="1"/>
  <c r="CR130" i="9" s="1"/>
  <c r="CG127" i="9"/>
  <c r="CU126" i="9"/>
  <c r="CU127" i="9" s="1"/>
  <c r="CU128" i="9" s="1"/>
  <c r="CU129" i="9" s="1"/>
  <c r="CU130" i="9" s="1"/>
  <c r="CU131" i="9" s="1"/>
  <c r="CR126" i="9"/>
  <c r="CG126" i="9"/>
  <c r="BZ126" i="9"/>
  <c r="BZ127" i="9" s="1"/>
  <c r="BZ128" i="9" s="1"/>
  <c r="BY126" i="9"/>
  <c r="BY127" i="9" s="1"/>
  <c r="BY128" i="9" s="1"/>
  <c r="BY129" i="9" s="1"/>
  <c r="BY130" i="9" s="1"/>
  <c r="BY131" i="9" s="1"/>
  <c r="CT125" i="9"/>
  <c r="CV125" i="9" s="1"/>
  <c r="CS125" i="9"/>
  <c r="CQ125" i="9"/>
  <c r="CN125" i="9"/>
  <c r="CK125" i="9"/>
  <c r="CI125" i="9"/>
  <c r="CG125" i="9"/>
  <c r="CG124" i="9"/>
  <c r="CG123" i="9"/>
  <c r="CG122" i="9"/>
  <c r="CG121" i="9"/>
  <c r="CG120" i="9"/>
  <c r="BZ120" i="9"/>
  <c r="CU119" i="9"/>
  <c r="CU120" i="9" s="1"/>
  <c r="CU121" i="9" s="1"/>
  <c r="CU122" i="9" s="1"/>
  <c r="CU123" i="9" s="1"/>
  <c r="CU124" i="9" s="1"/>
  <c r="CU161" i="9" s="1"/>
  <c r="CR119" i="9"/>
  <c r="CR120" i="9" s="1"/>
  <c r="CR121" i="9" s="1"/>
  <c r="CR122" i="9" s="1"/>
  <c r="CG119" i="9"/>
  <c r="BZ119" i="9"/>
  <c r="CT119" i="9" s="1"/>
  <c r="CV119" i="9" s="1"/>
  <c r="BY119" i="9"/>
  <c r="BY120" i="9" s="1"/>
  <c r="BY122" i="9" s="1"/>
  <c r="BY123" i="9" s="1"/>
  <c r="BY124" i="9" s="1"/>
  <c r="CT118" i="9"/>
  <c r="CV118" i="9" s="1"/>
  <c r="CQ118" i="9"/>
  <c r="CS118" i="9" s="1"/>
  <c r="CN118" i="9"/>
  <c r="CK118" i="9"/>
  <c r="CI118" i="9"/>
  <c r="CG118" i="9"/>
  <c r="CG117" i="9"/>
  <c r="CG116" i="9"/>
  <c r="CG115" i="9"/>
  <c r="BY115" i="9"/>
  <c r="BY116" i="9" s="1"/>
  <c r="BY117" i="9" s="1"/>
  <c r="CG114" i="9"/>
  <c r="CG113" i="9"/>
  <c r="CU112" i="9"/>
  <c r="CU113" i="9" s="1"/>
  <c r="CU114" i="9" s="1"/>
  <c r="CU115" i="9" s="1"/>
  <c r="CU116" i="9" s="1"/>
  <c r="CU117" i="9" s="1"/>
  <c r="CU160" i="9" s="1"/>
  <c r="T260" i="9" s="1"/>
  <c r="CR112" i="9"/>
  <c r="CR113" i="9" s="1"/>
  <c r="CR114" i="9" s="1"/>
  <c r="CR115" i="9" s="1"/>
  <c r="CR116" i="9" s="1"/>
  <c r="CR117" i="9" s="1"/>
  <c r="CG112" i="9"/>
  <c r="BZ112" i="9"/>
  <c r="BZ113" i="9" s="1"/>
  <c r="BY112" i="9"/>
  <c r="BY113" i="9" s="1"/>
  <c r="CT111" i="9"/>
  <c r="CV111" i="9" s="1"/>
  <c r="CQ111" i="9"/>
  <c r="CS111" i="9" s="1"/>
  <c r="CN111" i="9"/>
  <c r="CK111" i="9"/>
  <c r="CI111" i="9"/>
  <c r="CG111" i="9"/>
  <c r="CG110" i="9"/>
  <c r="CG109" i="9"/>
  <c r="CG108" i="9"/>
  <c r="CG107" i="9"/>
  <c r="CR106" i="9"/>
  <c r="CR107" i="9" s="1"/>
  <c r="CR108" i="9" s="1"/>
  <c r="CR109" i="9" s="1"/>
  <c r="CG106" i="9"/>
  <c r="CU105" i="9"/>
  <c r="CU106" i="9" s="1"/>
  <c r="CU107" i="9" s="1"/>
  <c r="CU108" i="9" s="1"/>
  <c r="CU109" i="9" s="1"/>
  <c r="CU110" i="9" s="1"/>
  <c r="CR105" i="9"/>
  <c r="CG105" i="9"/>
  <c r="BZ105" i="9"/>
  <c r="BZ106" i="9" s="1"/>
  <c r="CT106" i="9" s="1"/>
  <c r="BY105" i="9"/>
  <c r="BY106" i="9" s="1"/>
  <c r="BY107" i="9" s="1"/>
  <c r="BY108" i="9" s="1"/>
  <c r="BY109" i="9" s="1"/>
  <c r="BY110" i="9" s="1"/>
  <c r="CT104" i="9"/>
  <c r="CV104" i="9" s="1"/>
  <c r="CQ104" i="9"/>
  <c r="CS104" i="9" s="1"/>
  <c r="CN104" i="9"/>
  <c r="CK104" i="9"/>
  <c r="CI104" i="9"/>
  <c r="CG104" i="9"/>
  <c r="CG103" i="9"/>
  <c r="CG102" i="9"/>
  <c r="CG101" i="9"/>
  <c r="CG100" i="9"/>
  <c r="CG99" i="9"/>
  <c r="CU98" i="9"/>
  <c r="CU99" i="9" s="1"/>
  <c r="CU100" i="9" s="1"/>
  <c r="CU101" i="9" s="1"/>
  <c r="CU102" i="9" s="1"/>
  <c r="CU103" i="9" s="1"/>
  <c r="CT98" i="9"/>
  <c r="CR98" i="9"/>
  <c r="CR99" i="9" s="1"/>
  <c r="CR100" i="9" s="1"/>
  <c r="CR101" i="9" s="1"/>
  <c r="CG98" i="9"/>
  <c r="BZ98" i="9"/>
  <c r="BZ99" i="9" s="1"/>
  <c r="BY98" i="9"/>
  <c r="BY99" i="9" s="1"/>
  <c r="BY100" i="9" s="1"/>
  <c r="BY101" i="9" s="1"/>
  <c r="BY102" i="9" s="1"/>
  <c r="BY103" i="9" s="1"/>
  <c r="CT97" i="9"/>
  <c r="CV97" i="9" s="1"/>
  <c r="CQ97" i="9"/>
  <c r="CS97" i="9" s="1"/>
  <c r="CN97" i="9"/>
  <c r="CK97" i="9"/>
  <c r="CI97" i="9"/>
  <c r="CG97" i="9"/>
  <c r="CG96" i="9"/>
  <c r="CG95" i="9"/>
  <c r="CG94" i="9"/>
  <c r="CG93" i="9"/>
  <c r="CG92" i="9"/>
  <c r="CU91" i="9"/>
  <c r="CU92" i="9" s="1"/>
  <c r="CU93" i="9" s="1"/>
  <c r="CU94" i="9" s="1"/>
  <c r="CU95" i="9" s="1"/>
  <c r="CU96" i="9" s="1"/>
  <c r="CR91" i="9"/>
  <c r="CR92" i="9" s="1"/>
  <c r="CR93" i="9" s="1"/>
  <c r="CR94" i="9" s="1"/>
  <c r="CR95" i="9" s="1"/>
  <c r="CR96" i="9" s="1"/>
  <c r="CR157" i="9" s="1"/>
  <c r="CG91" i="9"/>
  <c r="BZ91" i="9"/>
  <c r="BZ92" i="9" s="1"/>
  <c r="BY92" i="9"/>
  <c r="BY93" i="9" s="1"/>
  <c r="BY94" i="9" s="1"/>
  <c r="BY95" i="9" s="1"/>
  <c r="BY96" i="9" s="1"/>
  <c r="CV90" i="9"/>
  <c r="CT90" i="9"/>
  <c r="CQ90" i="9"/>
  <c r="CS90" i="9" s="1"/>
  <c r="CN90" i="9"/>
  <c r="CK90" i="9"/>
  <c r="CI90" i="9"/>
  <c r="CG90" i="9"/>
  <c r="CG89" i="9"/>
  <c r="CG88" i="9"/>
  <c r="CG87" i="9"/>
  <c r="CG86" i="9"/>
  <c r="CG85" i="9"/>
  <c r="BY85" i="9"/>
  <c r="BY86" i="9" s="1"/>
  <c r="BY87" i="9" s="1"/>
  <c r="BY88" i="9" s="1"/>
  <c r="BY89" i="9" s="1"/>
  <c r="CU84" i="9"/>
  <c r="CU85" i="9" s="1"/>
  <c r="CU86" i="9" s="1"/>
  <c r="CU87" i="9" s="1"/>
  <c r="CU88" i="9" s="1"/>
  <c r="CU89" i="9" s="1"/>
  <c r="CT84" i="9"/>
  <c r="CV84" i="9" s="1"/>
  <c r="CR84" i="9"/>
  <c r="CG84" i="9"/>
  <c r="BZ84" i="9"/>
  <c r="BZ85" i="9" s="1"/>
  <c r="CT83" i="9"/>
  <c r="CV83" i="9" s="1"/>
  <c r="CQ83" i="9"/>
  <c r="CS83" i="9" s="1"/>
  <c r="CN83" i="9"/>
  <c r="CK83" i="9"/>
  <c r="CI83" i="9"/>
  <c r="CG83" i="9"/>
  <c r="CG82" i="9"/>
  <c r="CG81" i="9"/>
  <c r="CG80" i="9"/>
  <c r="CG79" i="9"/>
  <c r="CU78" i="9"/>
  <c r="CU79" i="9" s="1"/>
  <c r="CU80" i="9" s="1"/>
  <c r="CU81" i="9" s="1"/>
  <c r="CU82" i="9" s="1"/>
  <c r="CG78" i="9"/>
  <c r="CU77" i="9"/>
  <c r="CT77" i="9"/>
  <c r="CV77" i="9" s="1"/>
  <c r="CR77" i="9"/>
  <c r="CR78" i="9" s="1"/>
  <c r="CR79" i="9" s="1"/>
  <c r="CR80" i="9" s="1"/>
  <c r="CG77" i="9"/>
  <c r="BZ77" i="9"/>
  <c r="BZ78" i="9" s="1"/>
  <c r="BY77" i="9"/>
  <c r="BY78" i="9" s="1"/>
  <c r="BY79" i="9" s="1"/>
  <c r="BY80" i="9" s="1"/>
  <c r="BY81" i="9" s="1"/>
  <c r="BY82" i="9" s="1"/>
  <c r="CT76" i="9"/>
  <c r="CV76" i="9" s="1"/>
  <c r="CQ76" i="9"/>
  <c r="CS76" i="9" s="1"/>
  <c r="CN76" i="9"/>
  <c r="CK76" i="9"/>
  <c r="CI76" i="9"/>
  <c r="CG76" i="9"/>
  <c r="CG75" i="9"/>
  <c r="CG74" i="9"/>
  <c r="CG73" i="9"/>
  <c r="CG72" i="9"/>
  <c r="CR71" i="9"/>
  <c r="CR72" i="9" s="1"/>
  <c r="CR73" i="9" s="1"/>
  <c r="CR74" i="9" s="1"/>
  <c r="CR75" i="9" s="1"/>
  <c r="CG71" i="9"/>
  <c r="CU70" i="9"/>
  <c r="CU71" i="9" s="1"/>
  <c r="CU72" i="9" s="1"/>
  <c r="CU73" i="9" s="1"/>
  <c r="CU74" i="9" s="1"/>
  <c r="CU75" i="9" s="1"/>
  <c r="CR70" i="9"/>
  <c r="CG70" i="9"/>
  <c r="BZ70" i="9"/>
  <c r="BY70" i="9"/>
  <c r="BY71" i="9" s="1"/>
  <c r="BY72" i="9" s="1"/>
  <c r="BY73" i="9" s="1"/>
  <c r="BY74" i="9" s="1"/>
  <c r="BY75" i="9" s="1"/>
  <c r="CT69" i="9"/>
  <c r="CV69" i="9" s="1"/>
  <c r="CQ69" i="9"/>
  <c r="CS69" i="9" s="1"/>
  <c r="CN69" i="9"/>
  <c r="CK69" i="9"/>
  <c r="CI69" i="9"/>
  <c r="CG69" i="9"/>
  <c r="CG68" i="9"/>
  <c r="CG67" i="9"/>
  <c r="CG66" i="9"/>
  <c r="CG65" i="9"/>
  <c r="CG64" i="9"/>
  <c r="CU63" i="9"/>
  <c r="CU64" i="9" s="1"/>
  <c r="CU65" i="9" s="1"/>
  <c r="CU66" i="9" s="1"/>
  <c r="CU67" i="9" s="1"/>
  <c r="CU68" i="9" s="1"/>
  <c r="CR63" i="9"/>
  <c r="CR64" i="9" s="1"/>
  <c r="CR65" i="9" s="1"/>
  <c r="CR66" i="9" s="1"/>
  <c r="CR67" i="9" s="1"/>
  <c r="CR68" i="9" s="1"/>
  <c r="CG63" i="9"/>
  <c r="BZ63" i="9"/>
  <c r="BY63" i="9"/>
  <c r="BY64" i="9" s="1"/>
  <c r="BY65" i="9" s="1"/>
  <c r="BY66" i="9" s="1"/>
  <c r="BY67" i="9" s="1"/>
  <c r="BY68" i="9" s="1"/>
  <c r="CT62" i="9"/>
  <c r="CV62" i="9" s="1"/>
  <c r="CS62" i="9"/>
  <c r="CQ62" i="9"/>
  <c r="CN62" i="9"/>
  <c r="CK62" i="9"/>
  <c r="CI62" i="9"/>
  <c r="CG62" i="9"/>
  <c r="CG61" i="9"/>
  <c r="CG60" i="9"/>
  <c r="CG59" i="9"/>
  <c r="CG58" i="9"/>
  <c r="CG57" i="9"/>
  <c r="BZ57" i="9"/>
  <c r="BZ58" i="9" s="1"/>
  <c r="BZ59" i="9" s="1"/>
  <c r="CV56" i="9"/>
  <c r="CU56" i="9"/>
  <c r="CU57" i="9" s="1"/>
  <c r="CU58" i="9" s="1"/>
  <c r="CU59" i="9" s="1"/>
  <c r="CU60" i="9" s="1"/>
  <c r="CU61" i="9" s="1"/>
  <c r="CR56" i="9"/>
  <c r="CR57" i="9" s="1"/>
  <c r="CR58" i="9" s="1"/>
  <c r="CR59" i="9" s="1"/>
  <c r="CR60" i="9" s="1"/>
  <c r="CR61" i="9" s="1"/>
  <c r="CG56" i="9"/>
  <c r="BZ56" i="9"/>
  <c r="CT56" i="9" s="1"/>
  <c r="BY56" i="9"/>
  <c r="BY57" i="9" s="1"/>
  <c r="BY58" i="9" s="1"/>
  <c r="BY59" i="9" s="1"/>
  <c r="BY61" i="9" s="1"/>
  <c r="CT55" i="9"/>
  <c r="CV55" i="9" s="1"/>
  <c r="CQ55" i="9"/>
  <c r="CS55" i="9" s="1"/>
  <c r="CN55" i="9"/>
  <c r="CK55" i="9"/>
  <c r="CI55" i="9"/>
  <c r="CG55" i="9"/>
  <c r="CG54" i="9"/>
  <c r="BY54" i="9"/>
  <c r="CG53" i="9"/>
  <c r="CG52" i="9"/>
  <c r="CG51" i="9"/>
  <c r="CG50" i="9"/>
  <c r="CU49" i="9"/>
  <c r="CU50" i="9" s="1"/>
  <c r="CU51" i="9" s="1"/>
  <c r="CU52" i="9" s="1"/>
  <c r="CU53" i="9" s="1"/>
  <c r="CU54" i="9" s="1"/>
  <c r="CR49" i="9"/>
  <c r="CR50" i="9" s="1"/>
  <c r="CR51" i="9" s="1"/>
  <c r="CR52" i="9" s="1"/>
  <c r="CR53" i="9" s="1"/>
  <c r="CR54" i="9" s="1"/>
  <c r="CG49" i="9"/>
  <c r="BZ49" i="9"/>
  <c r="CT49" i="9" s="1"/>
  <c r="CV49" i="9" s="1"/>
  <c r="BY49" i="9"/>
  <c r="BY50" i="9" s="1"/>
  <c r="BY51" i="9" s="1"/>
  <c r="BY52" i="9" s="1"/>
  <c r="CT48" i="9"/>
  <c r="CV48" i="9" s="1"/>
  <c r="CQ48" i="9"/>
  <c r="CS48" i="9" s="1"/>
  <c r="CN48" i="9"/>
  <c r="CK48" i="9"/>
  <c r="CI48" i="9"/>
  <c r="CG48" i="9"/>
  <c r="CG47" i="9"/>
  <c r="CG46" i="9"/>
  <c r="CG45" i="9"/>
  <c r="CG44" i="9"/>
  <c r="BZ44" i="9"/>
  <c r="BY44" i="9"/>
  <c r="BY45" i="9" s="1"/>
  <c r="BY46" i="9" s="1"/>
  <c r="BY47" i="9" s="1"/>
  <c r="CG43" i="9"/>
  <c r="CU42" i="9"/>
  <c r="CU43" i="9" s="1"/>
  <c r="CU44" i="9" s="1"/>
  <c r="CU45" i="9" s="1"/>
  <c r="CU46" i="9" s="1"/>
  <c r="CU47" i="9" s="1"/>
  <c r="CR42" i="9"/>
  <c r="CR43" i="9" s="1"/>
  <c r="CR44" i="9" s="1"/>
  <c r="CR45" i="9" s="1"/>
  <c r="CR46" i="9" s="1"/>
  <c r="CG42" i="9"/>
  <c r="BZ42" i="9"/>
  <c r="BZ43" i="9" s="1"/>
  <c r="CT43" i="9" s="1"/>
  <c r="BY42" i="9"/>
  <c r="CT41" i="9"/>
  <c r="CV41" i="9" s="1"/>
  <c r="CQ41" i="9"/>
  <c r="CS41" i="9" s="1"/>
  <c r="CN41" i="9"/>
  <c r="CK41" i="9"/>
  <c r="CI41" i="9"/>
  <c r="CG41" i="9"/>
  <c r="CG40" i="9"/>
  <c r="CG39" i="9"/>
  <c r="CG38" i="9"/>
  <c r="CG37" i="9"/>
  <c r="CG36" i="9"/>
  <c r="CU35" i="9"/>
  <c r="CU36" i="9" s="1"/>
  <c r="CU37" i="9" s="1"/>
  <c r="CU38" i="9" s="1"/>
  <c r="CU39" i="9" s="1"/>
  <c r="CU40" i="9" s="1"/>
  <c r="CR35" i="9"/>
  <c r="CR36" i="9" s="1"/>
  <c r="CR37" i="9" s="1"/>
  <c r="CR38" i="9" s="1"/>
  <c r="CR39" i="9" s="1"/>
  <c r="CG35" i="9"/>
  <c r="BZ35" i="9"/>
  <c r="BY35" i="9"/>
  <c r="BY36" i="9" s="1"/>
  <c r="BY37" i="9" s="1"/>
  <c r="BY38" i="9" s="1"/>
  <c r="BY39" i="9" s="1"/>
  <c r="BY40" i="9" s="1"/>
  <c r="CT34" i="9"/>
  <c r="CV34" i="9" s="1"/>
  <c r="CQ34" i="9"/>
  <c r="CS34" i="9" s="1"/>
  <c r="CN34" i="9"/>
  <c r="CK34" i="9"/>
  <c r="CI34" i="9"/>
  <c r="CG34" i="9"/>
  <c r="CG33" i="9"/>
  <c r="CG32" i="9"/>
  <c r="CG31" i="9"/>
  <c r="CG30" i="9"/>
  <c r="CU29" i="9"/>
  <c r="CU30" i="9" s="1"/>
  <c r="CU31" i="9" s="1"/>
  <c r="CU32" i="9" s="1"/>
  <c r="CU33" i="9" s="1"/>
  <c r="CG29" i="9"/>
  <c r="CU28" i="9"/>
  <c r="CR28" i="9"/>
  <c r="CR29" i="9" s="1"/>
  <c r="CR30" i="9" s="1"/>
  <c r="CR31" i="9" s="1"/>
  <c r="CR32" i="9" s="1"/>
  <c r="CR33" i="9" s="1"/>
  <c r="CG28" i="9"/>
  <c r="BZ28" i="9"/>
  <c r="BZ29" i="9" s="1"/>
  <c r="CT27" i="9"/>
  <c r="CV27" i="9" s="1"/>
  <c r="CQ27" i="9"/>
  <c r="CS27" i="9" s="1"/>
  <c r="CN27" i="9"/>
  <c r="CK27" i="9"/>
  <c r="CI27" i="9"/>
  <c r="CG27" i="9"/>
  <c r="CG26" i="9"/>
  <c r="CG25" i="9"/>
  <c r="CG24" i="9"/>
  <c r="CG23" i="9"/>
  <c r="BY23" i="9"/>
  <c r="BY24" i="9" s="1"/>
  <c r="BY25" i="9" s="1"/>
  <c r="BY26" i="9" s="1"/>
  <c r="BY27" i="9" s="1"/>
  <c r="BY28" i="9" s="1"/>
  <c r="BY30" i="9" s="1"/>
  <c r="BY31" i="9" s="1"/>
  <c r="BY32" i="9" s="1"/>
  <c r="BY33" i="9" s="1"/>
  <c r="CG22" i="9"/>
  <c r="CU21" i="9"/>
  <c r="CU22" i="9" s="1"/>
  <c r="CU23" i="9" s="1"/>
  <c r="CU24" i="9" s="1"/>
  <c r="CU25" i="9" s="1"/>
  <c r="CU26" i="9" s="1"/>
  <c r="CT21" i="9"/>
  <c r="CV21" i="9" s="1"/>
  <c r="CR21" i="9"/>
  <c r="CR22" i="9" s="1"/>
  <c r="CR23" i="9" s="1"/>
  <c r="CG21" i="9"/>
  <c r="BZ21" i="9"/>
  <c r="BZ22" i="9" s="1"/>
  <c r="BY21" i="9"/>
  <c r="CT20" i="9"/>
  <c r="CV20" i="9" s="1"/>
  <c r="CQ20" i="9"/>
  <c r="CS20" i="9" s="1"/>
  <c r="CN20" i="9"/>
  <c r="CK20" i="9"/>
  <c r="CI20" i="9"/>
  <c r="CG20" i="9"/>
  <c r="CG19" i="9"/>
  <c r="CG18" i="9"/>
  <c r="CG17" i="9"/>
  <c r="CG16" i="9"/>
  <c r="CG15" i="9"/>
  <c r="CU14" i="9"/>
  <c r="CU15" i="9" s="1"/>
  <c r="CU16" i="9" s="1"/>
  <c r="CU17" i="9" s="1"/>
  <c r="CU18" i="9" s="1"/>
  <c r="CU19" i="9" s="1"/>
  <c r="CR14" i="9"/>
  <c r="CR15" i="9" s="1"/>
  <c r="CR16" i="9" s="1"/>
  <c r="CG14" i="9"/>
  <c r="BZ14" i="9"/>
  <c r="BZ15" i="9" s="1"/>
  <c r="BY14" i="9"/>
  <c r="BY15" i="9" s="1"/>
  <c r="BY16" i="9" s="1"/>
  <c r="BY17" i="9" s="1"/>
  <c r="BY18" i="9" s="1"/>
  <c r="BY19" i="9" s="1"/>
  <c r="CV13" i="9"/>
  <c r="CT13" i="9"/>
  <c r="CQ13" i="9"/>
  <c r="CS13" i="9" s="1"/>
  <c r="CN13" i="9"/>
  <c r="CK13" i="9"/>
  <c r="CI13" i="9"/>
  <c r="CG13" i="9"/>
  <c r="CG12" i="9"/>
  <c r="CG11" i="9"/>
  <c r="CG10" i="9"/>
  <c r="CG9" i="9"/>
  <c r="CU8" i="9"/>
  <c r="CU9" i="9" s="1"/>
  <c r="CU10" i="9" s="1"/>
  <c r="CU11" i="9" s="1"/>
  <c r="CU12" i="9" s="1"/>
  <c r="CG8" i="9"/>
  <c r="CU7" i="9"/>
  <c r="CT7" i="9"/>
  <c r="CV7" i="9" s="1"/>
  <c r="CR7" i="9"/>
  <c r="CR8" i="9" s="1"/>
  <c r="CG7" i="9"/>
  <c r="BZ7" i="9"/>
  <c r="BZ8" i="9" s="1"/>
  <c r="BZ9" i="9" s="1"/>
  <c r="BY7" i="9"/>
  <c r="BY8" i="9" s="1"/>
  <c r="BY9" i="9" s="1"/>
  <c r="BY10" i="9" s="1"/>
  <c r="BY11" i="9" s="1"/>
  <c r="BY12" i="9" s="1"/>
  <c r="CT6" i="9"/>
  <c r="CV6" i="9" s="1"/>
  <c r="CQ6" i="9"/>
  <c r="CS6" i="9" s="1"/>
  <c r="CN6" i="9"/>
  <c r="CK6" i="9"/>
  <c r="CI6" i="9"/>
  <c r="CH6" i="9"/>
  <c r="CH7" i="9" s="1"/>
  <c r="CG6" i="9"/>
  <c r="CB6" i="9"/>
  <c r="BH138" i="9"/>
  <c r="BH137" i="9"/>
  <c r="BH136" i="9"/>
  <c r="BH135" i="9"/>
  <c r="BS134" i="9"/>
  <c r="BS135" i="9" s="1"/>
  <c r="BH134" i="9"/>
  <c r="BV133" i="9"/>
  <c r="BV134" i="9" s="1"/>
  <c r="BV135" i="9" s="1"/>
  <c r="BV136" i="9" s="1"/>
  <c r="BV137" i="9" s="1"/>
  <c r="BV138" i="9" s="1"/>
  <c r="BS133" i="9"/>
  <c r="BH133" i="9"/>
  <c r="BA133" i="9"/>
  <c r="AZ133" i="9"/>
  <c r="AZ134" i="9" s="1"/>
  <c r="AZ135" i="9" s="1"/>
  <c r="AZ136" i="9" s="1"/>
  <c r="AZ137" i="9" s="1"/>
  <c r="AZ138" i="9" s="1"/>
  <c r="BU132" i="9"/>
  <c r="BW132" i="9" s="1"/>
  <c r="BR132" i="9"/>
  <c r="BT132" i="9" s="1"/>
  <c r="BO132" i="9"/>
  <c r="BL132" i="9"/>
  <c r="BJ132" i="9"/>
  <c r="BH132" i="9"/>
  <c r="BH131" i="9"/>
  <c r="BH130" i="9"/>
  <c r="BH129" i="9"/>
  <c r="BH128" i="9"/>
  <c r="BH127" i="9"/>
  <c r="BV126" i="9"/>
  <c r="BV127" i="9" s="1"/>
  <c r="BV128" i="9" s="1"/>
  <c r="BV129" i="9" s="1"/>
  <c r="BV130" i="9" s="1"/>
  <c r="BV131" i="9" s="1"/>
  <c r="BS126" i="9"/>
  <c r="BS127" i="9" s="1"/>
  <c r="BS128" i="9" s="1"/>
  <c r="BH126" i="9"/>
  <c r="BA126" i="9"/>
  <c r="BA127" i="9" s="1"/>
  <c r="AZ126" i="9"/>
  <c r="AZ127" i="9" s="1"/>
  <c r="AZ128" i="9" s="1"/>
  <c r="AZ129" i="9" s="1"/>
  <c r="AZ130" i="9" s="1"/>
  <c r="AZ131" i="9" s="1"/>
  <c r="BU125" i="9"/>
  <c r="BW125" i="9" s="1"/>
  <c r="BR125" i="9"/>
  <c r="BT125" i="9" s="1"/>
  <c r="BO125" i="9"/>
  <c r="BL125" i="9"/>
  <c r="BJ125" i="9"/>
  <c r="BH125" i="9"/>
  <c r="BH124" i="9"/>
  <c r="BH123" i="9"/>
  <c r="BH122" i="9"/>
  <c r="BH121" i="9"/>
  <c r="BH120" i="9"/>
  <c r="BV119" i="9"/>
  <c r="BV120" i="9" s="1"/>
  <c r="BV121" i="9" s="1"/>
  <c r="BV122" i="9" s="1"/>
  <c r="BV123" i="9" s="1"/>
  <c r="BV124" i="9" s="1"/>
  <c r="BS119" i="9"/>
  <c r="BS120" i="9" s="1"/>
  <c r="BH119" i="9"/>
  <c r="BA119" i="9"/>
  <c r="BA120" i="9" s="1"/>
  <c r="AZ119" i="9"/>
  <c r="AZ120" i="9" s="1"/>
  <c r="AZ122" i="9" s="1"/>
  <c r="AZ123" i="9" s="1"/>
  <c r="AZ124" i="9" s="1"/>
  <c r="BU118" i="9"/>
  <c r="BW118" i="9" s="1"/>
  <c r="BR118" i="9"/>
  <c r="BT118" i="9" s="1"/>
  <c r="BO118" i="9"/>
  <c r="BL118" i="9"/>
  <c r="BJ118" i="9"/>
  <c r="BH118" i="9"/>
  <c r="BH117" i="9"/>
  <c r="BH116" i="9"/>
  <c r="BH115" i="9"/>
  <c r="AZ115" i="9"/>
  <c r="AZ116" i="9" s="1"/>
  <c r="AZ117" i="9" s="1"/>
  <c r="BH114" i="9"/>
  <c r="BH113" i="9"/>
  <c r="BV112" i="9"/>
  <c r="BV113" i="9" s="1"/>
  <c r="BV114" i="9" s="1"/>
  <c r="BV115" i="9" s="1"/>
  <c r="BV116" i="9" s="1"/>
  <c r="BV117" i="9" s="1"/>
  <c r="BV160" i="9" s="1"/>
  <c r="BS112" i="9"/>
  <c r="BS113" i="9" s="1"/>
  <c r="BH112" i="9"/>
  <c r="BA112" i="9"/>
  <c r="BA113" i="9" s="1"/>
  <c r="BU113" i="9" s="1"/>
  <c r="AZ112" i="9"/>
  <c r="AZ113" i="9" s="1"/>
  <c r="BU111" i="9"/>
  <c r="BW111" i="9" s="1"/>
  <c r="BR111" i="9"/>
  <c r="BT111" i="9" s="1"/>
  <c r="BO111" i="9"/>
  <c r="BL111" i="9"/>
  <c r="BJ111" i="9"/>
  <c r="BH111" i="9"/>
  <c r="BH110" i="9"/>
  <c r="BH109" i="9"/>
  <c r="BH108" i="9"/>
  <c r="BH107" i="9"/>
  <c r="BH106" i="9"/>
  <c r="BV105" i="9"/>
  <c r="BV106" i="9" s="1"/>
  <c r="BV107" i="9" s="1"/>
  <c r="BV108" i="9" s="1"/>
  <c r="BV109" i="9" s="1"/>
  <c r="BV110" i="9" s="1"/>
  <c r="BS105" i="9"/>
  <c r="BS106" i="9" s="1"/>
  <c r="BS107" i="9" s="1"/>
  <c r="BS108" i="9" s="1"/>
  <c r="BS109" i="9" s="1"/>
  <c r="BS110" i="9" s="1"/>
  <c r="BH105" i="9"/>
  <c r="BA105" i="9"/>
  <c r="AZ105" i="9"/>
  <c r="AZ106" i="9" s="1"/>
  <c r="AZ107" i="9" s="1"/>
  <c r="AZ108" i="9" s="1"/>
  <c r="AZ109" i="9" s="1"/>
  <c r="AZ110" i="9" s="1"/>
  <c r="BU104" i="9"/>
  <c r="BW104" i="9" s="1"/>
  <c r="BR104" i="9"/>
  <c r="BT104" i="9" s="1"/>
  <c r="BO104" i="9"/>
  <c r="BL104" i="9"/>
  <c r="BJ104" i="9"/>
  <c r="BH104" i="9"/>
  <c r="BH103" i="9"/>
  <c r="BH102" i="9"/>
  <c r="BH101" i="9"/>
  <c r="BH100" i="9"/>
  <c r="BH99" i="9"/>
  <c r="BV98" i="9"/>
  <c r="BV99" i="9" s="1"/>
  <c r="BV100" i="9" s="1"/>
  <c r="BV101" i="9" s="1"/>
  <c r="BV102" i="9" s="1"/>
  <c r="BV103" i="9" s="1"/>
  <c r="BS98" i="9"/>
  <c r="BS99" i="9" s="1"/>
  <c r="BH98" i="9"/>
  <c r="BA98" i="9"/>
  <c r="BA99" i="9" s="1"/>
  <c r="AZ98" i="9"/>
  <c r="AZ99" i="9" s="1"/>
  <c r="AZ100" i="9" s="1"/>
  <c r="AZ101" i="9" s="1"/>
  <c r="AZ102" i="9" s="1"/>
  <c r="AZ103" i="9" s="1"/>
  <c r="BU97" i="9"/>
  <c r="BW97" i="9" s="1"/>
  <c r="BR97" i="9"/>
  <c r="BT97" i="9" s="1"/>
  <c r="BO97" i="9"/>
  <c r="BL97" i="9"/>
  <c r="BJ97" i="9"/>
  <c r="BH97" i="9"/>
  <c r="BH96" i="9"/>
  <c r="BH95" i="9"/>
  <c r="BH94" i="9"/>
  <c r="BH93" i="9"/>
  <c r="BH92" i="9"/>
  <c r="BV91" i="9"/>
  <c r="BV92" i="9" s="1"/>
  <c r="BV93" i="9" s="1"/>
  <c r="BV94" i="9" s="1"/>
  <c r="BV95" i="9" s="1"/>
  <c r="BV96" i="9" s="1"/>
  <c r="BS91" i="9"/>
  <c r="BS92" i="9" s="1"/>
  <c r="BS93" i="9" s="1"/>
  <c r="BH91" i="9"/>
  <c r="BA91" i="9"/>
  <c r="BA92" i="9" s="1"/>
  <c r="AZ92" i="9"/>
  <c r="AZ93" i="9" s="1"/>
  <c r="AZ94" i="9" s="1"/>
  <c r="AZ95" i="9" s="1"/>
  <c r="AZ96" i="9" s="1"/>
  <c r="BU90" i="9"/>
  <c r="BW90" i="9" s="1"/>
  <c r="BR90" i="9"/>
  <c r="BT90" i="9" s="1"/>
  <c r="BO90" i="9"/>
  <c r="BL90" i="9"/>
  <c r="BJ90" i="9"/>
  <c r="BH90" i="9"/>
  <c r="BH89" i="9"/>
  <c r="BH88" i="9"/>
  <c r="BH87" i="9"/>
  <c r="BH86" i="9"/>
  <c r="BH85" i="9"/>
  <c r="AZ85" i="9"/>
  <c r="AZ86" i="9" s="1"/>
  <c r="AZ87" i="9" s="1"/>
  <c r="AZ88" i="9" s="1"/>
  <c r="AZ89" i="9" s="1"/>
  <c r="BV84" i="9"/>
  <c r="BV85" i="9" s="1"/>
  <c r="BV86" i="9" s="1"/>
  <c r="BV87" i="9" s="1"/>
  <c r="BV88" i="9" s="1"/>
  <c r="BV89" i="9" s="1"/>
  <c r="BS84" i="9"/>
  <c r="BS85" i="9" s="1"/>
  <c r="BH84" i="9"/>
  <c r="BA84" i="9"/>
  <c r="BA85" i="9" s="1"/>
  <c r="BA86" i="9" s="1"/>
  <c r="BU83" i="9"/>
  <c r="BW83" i="9" s="1"/>
  <c r="BR83" i="9"/>
  <c r="BT83" i="9" s="1"/>
  <c r="BO83" i="9"/>
  <c r="BL83" i="9"/>
  <c r="BJ83" i="9"/>
  <c r="BH83" i="9"/>
  <c r="BH82" i="9"/>
  <c r="BH81" i="9"/>
  <c r="BH80" i="9"/>
  <c r="BH79" i="9"/>
  <c r="BH78" i="9"/>
  <c r="BV77" i="9"/>
  <c r="BV78" i="9" s="1"/>
  <c r="BV79" i="9" s="1"/>
  <c r="BV80" i="9" s="1"/>
  <c r="BV81" i="9" s="1"/>
  <c r="BV82" i="9" s="1"/>
  <c r="BS77" i="9"/>
  <c r="BS78" i="9" s="1"/>
  <c r="BH77" i="9"/>
  <c r="BA77" i="9"/>
  <c r="BA78" i="9" s="1"/>
  <c r="AZ77" i="9"/>
  <c r="AZ78" i="9" s="1"/>
  <c r="AZ79" i="9" s="1"/>
  <c r="AZ80" i="9" s="1"/>
  <c r="AZ81" i="9" s="1"/>
  <c r="AZ82" i="9" s="1"/>
  <c r="BU76" i="9"/>
  <c r="BW76" i="9" s="1"/>
  <c r="BR76" i="9"/>
  <c r="BT76" i="9" s="1"/>
  <c r="BO76" i="9"/>
  <c r="BL76" i="9"/>
  <c r="BJ76" i="9"/>
  <c r="BH76" i="9"/>
  <c r="BH75" i="9"/>
  <c r="BH74" i="9"/>
  <c r="AZ74" i="9"/>
  <c r="AZ75" i="9" s="1"/>
  <c r="BH73" i="9"/>
  <c r="BH72" i="9"/>
  <c r="BV71" i="9"/>
  <c r="BV72" i="9" s="1"/>
  <c r="BV73" i="9" s="1"/>
  <c r="BV74" i="9" s="1"/>
  <c r="BV75" i="9" s="1"/>
  <c r="BH71" i="9"/>
  <c r="BV70" i="9"/>
  <c r="BS70" i="9"/>
  <c r="BS71" i="9" s="1"/>
  <c r="BS72" i="9" s="1"/>
  <c r="BS73" i="9" s="1"/>
  <c r="BS74" i="9" s="1"/>
  <c r="BS75" i="9" s="1"/>
  <c r="BO70" i="9"/>
  <c r="BH70" i="9"/>
  <c r="BA70" i="9"/>
  <c r="BU70" i="9" s="1"/>
  <c r="BW70" i="9" s="1"/>
  <c r="AZ70" i="9"/>
  <c r="AZ71" i="9" s="1"/>
  <c r="AZ72" i="9" s="1"/>
  <c r="AZ73" i="9" s="1"/>
  <c r="BU69" i="9"/>
  <c r="BW69" i="9" s="1"/>
  <c r="BR69" i="9"/>
  <c r="BT69" i="9" s="1"/>
  <c r="BO69" i="9"/>
  <c r="BL69" i="9"/>
  <c r="BJ69" i="9"/>
  <c r="BH69" i="9"/>
  <c r="BH68" i="9"/>
  <c r="BH67" i="9"/>
  <c r="BH66" i="9"/>
  <c r="BH65" i="9"/>
  <c r="BH64" i="9"/>
  <c r="BV63" i="9"/>
  <c r="BV64" i="9" s="1"/>
  <c r="BV65" i="9" s="1"/>
  <c r="BV66" i="9" s="1"/>
  <c r="BV67" i="9" s="1"/>
  <c r="BV68" i="9" s="1"/>
  <c r="BS63" i="9"/>
  <c r="BS64" i="9" s="1"/>
  <c r="BS65" i="9" s="1"/>
  <c r="BS66" i="9" s="1"/>
  <c r="BS67" i="9" s="1"/>
  <c r="BS68" i="9" s="1"/>
  <c r="BS153" i="9" s="1"/>
  <c r="BH63" i="9"/>
  <c r="BA63" i="9"/>
  <c r="AZ63" i="9"/>
  <c r="AZ64" i="9" s="1"/>
  <c r="AZ65" i="9" s="1"/>
  <c r="AZ66" i="9" s="1"/>
  <c r="AZ67" i="9" s="1"/>
  <c r="AZ68" i="9" s="1"/>
  <c r="BU62" i="9"/>
  <c r="BW62" i="9" s="1"/>
  <c r="BR62" i="9"/>
  <c r="BT62" i="9" s="1"/>
  <c r="BO62" i="9"/>
  <c r="BL62" i="9"/>
  <c r="BJ62" i="9"/>
  <c r="BH62" i="9"/>
  <c r="BH61" i="9"/>
  <c r="BH60" i="9"/>
  <c r="BH59" i="9"/>
  <c r="BH58" i="9"/>
  <c r="BH57" i="9"/>
  <c r="BV56" i="9"/>
  <c r="BV57" i="9" s="1"/>
  <c r="BV58" i="9" s="1"/>
  <c r="BV59" i="9" s="1"/>
  <c r="BV60" i="9" s="1"/>
  <c r="BV61" i="9" s="1"/>
  <c r="BS56" i="9"/>
  <c r="BS57" i="9" s="1"/>
  <c r="BS58" i="9" s="1"/>
  <c r="BH56" i="9"/>
  <c r="BA56" i="9"/>
  <c r="AZ56" i="9"/>
  <c r="AZ57" i="9" s="1"/>
  <c r="AZ58" i="9" s="1"/>
  <c r="AZ59" i="9" s="1"/>
  <c r="AZ61" i="9" s="1"/>
  <c r="BU55" i="9"/>
  <c r="BW55" i="9" s="1"/>
  <c r="BR55" i="9"/>
  <c r="BT55" i="9" s="1"/>
  <c r="BO55" i="9"/>
  <c r="BL55" i="9"/>
  <c r="BJ55" i="9"/>
  <c r="BH55" i="9"/>
  <c r="BH54" i="9"/>
  <c r="AZ54" i="9"/>
  <c r="BH53" i="9"/>
  <c r="BH52" i="9"/>
  <c r="BH51" i="9"/>
  <c r="BH50" i="9"/>
  <c r="BV49" i="9"/>
  <c r="BV50" i="9" s="1"/>
  <c r="BV51" i="9" s="1"/>
  <c r="BV52" i="9" s="1"/>
  <c r="BV53" i="9" s="1"/>
  <c r="BV54" i="9" s="1"/>
  <c r="BV151" i="9" s="1"/>
  <c r="K236" i="9" s="1"/>
  <c r="BS49" i="9"/>
  <c r="BS50" i="9" s="1"/>
  <c r="BH49" i="9"/>
  <c r="BA49" i="9"/>
  <c r="BA50" i="9" s="1"/>
  <c r="AZ49" i="9"/>
  <c r="AZ50" i="9" s="1"/>
  <c r="AZ51" i="9" s="1"/>
  <c r="AZ52" i="9" s="1"/>
  <c r="BU48" i="9"/>
  <c r="BW48" i="9" s="1"/>
  <c r="BR48" i="9"/>
  <c r="BT48" i="9" s="1"/>
  <c r="BO48" i="9"/>
  <c r="BL48" i="9"/>
  <c r="BJ48" i="9"/>
  <c r="BH48" i="9"/>
  <c r="BH47" i="9"/>
  <c r="BH46" i="9"/>
  <c r="BH45" i="9"/>
  <c r="BH44" i="9"/>
  <c r="AZ44" i="9"/>
  <c r="AZ45" i="9" s="1"/>
  <c r="AZ46" i="9" s="1"/>
  <c r="AZ47" i="9" s="1"/>
  <c r="BV43" i="9"/>
  <c r="BV44" i="9" s="1"/>
  <c r="BV45" i="9" s="1"/>
  <c r="BV46" i="9" s="1"/>
  <c r="BV47" i="9" s="1"/>
  <c r="BV150" i="9" s="1"/>
  <c r="BH43" i="9"/>
  <c r="BV42" i="9"/>
  <c r="BS42" i="9"/>
  <c r="BS43" i="9" s="1"/>
  <c r="BS44" i="9" s="1"/>
  <c r="BS45" i="9" s="1"/>
  <c r="BS46" i="9" s="1"/>
  <c r="BH42" i="9"/>
  <c r="BA42" i="9"/>
  <c r="BU42" i="9" s="1"/>
  <c r="BW42" i="9" s="1"/>
  <c r="AZ42" i="9"/>
  <c r="BU41" i="9"/>
  <c r="BW41" i="9" s="1"/>
  <c r="BR41" i="9"/>
  <c r="BT41" i="9" s="1"/>
  <c r="BO41" i="9"/>
  <c r="BL41" i="9"/>
  <c r="BJ41" i="9"/>
  <c r="BH41" i="9"/>
  <c r="BH40" i="9"/>
  <c r="BH39" i="9"/>
  <c r="BH38" i="9"/>
  <c r="BH37" i="9"/>
  <c r="BH36" i="9"/>
  <c r="BV35" i="9"/>
  <c r="BV36" i="9" s="1"/>
  <c r="BV37" i="9" s="1"/>
  <c r="BV38" i="9" s="1"/>
  <c r="BV39" i="9" s="1"/>
  <c r="BV40" i="9" s="1"/>
  <c r="BV149" i="9" s="1"/>
  <c r="I236" i="9" s="1"/>
  <c r="BS35" i="9"/>
  <c r="BS36" i="9" s="1"/>
  <c r="BS37" i="9" s="1"/>
  <c r="BS38" i="9" s="1"/>
  <c r="BH35" i="9"/>
  <c r="BA35" i="9"/>
  <c r="AZ35" i="9"/>
  <c r="AZ36" i="9" s="1"/>
  <c r="AZ37" i="9" s="1"/>
  <c r="AZ38" i="9" s="1"/>
  <c r="AZ39" i="9" s="1"/>
  <c r="AZ40" i="9" s="1"/>
  <c r="BU34" i="9"/>
  <c r="BW34" i="9" s="1"/>
  <c r="BR34" i="9"/>
  <c r="BT34" i="9" s="1"/>
  <c r="BO34" i="9"/>
  <c r="BL34" i="9"/>
  <c r="BJ34" i="9"/>
  <c r="BH34" i="9"/>
  <c r="BH33" i="9"/>
  <c r="BH32" i="9"/>
  <c r="BH31" i="9"/>
  <c r="BH30" i="9"/>
  <c r="BH29" i="9"/>
  <c r="BV28" i="9"/>
  <c r="BV29" i="9" s="1"/>
  <c r="BV30" i="9" s="1"/>
  <c r="BV31" i="9" s="1"/>
  <c r="BV32" i="9" s="1"/>
  <c r="BV33" i="9" s="1"/>
  <c r="BV148" i="9" s="1"/>
  <c r="H236" i="9" s="1"/>
  <c r="BS28" i="9"/>
  <c r="BS29" i="9" s="1"/>
  <c r="BS30" i="9" s="1"/>
  <c r="BS31" i="9" s="1"/>
  <c r="BH28" i="9"/>
  <c r="BA28" i="9"/>
  <c r="BU27" i="9"/>
  <c r="BW27" i="9" s="1"/>
  <c r="BR27" i="9"/>
  <c r="BT27" i="9" s="1"/>
  <c r="BO27" i="9"/>
  <c r="BL27" i="9"/>
  <c r="BJ27" i="9"/>
  <c r="BH27" i="9"/>
  <c r="BH26" i="9"/>
  <c r="BH25" i="9"/>
  <c r="BH24" i="9"/>
  <c r="BH23" i="9"/>
  <c r="AZ23" i="9"/>
  <c r="AZ24" i="9" s="1"/>
  <c r="AZ25" i="9" s="1"/>
  <c r="AZ26" i="9" s="1"/>
  <c r="AZ27" i="9" s="1"/>
  <c r="AZ28" i="9" s="1"/>
  <c r="AZ30" i="9" s="1"/>
  <c r="AZ31" i="9" s="1"/>
  <c r="AZ32" i="9" s="1"/>
  <c r="AZ33" i="9" s="1"/>
  <c r="BH22" i="9"/>
  <c r="BV21" i="9"/>
  <c r="BV22" i="9" s="1"/>
  <c r="BV23" i="9" s="1"/>
  <c r="BV24" i="9" s="1"/>
  <c r="BV25" i="9" s="1"/>
  <c r="BV26" i="9" s="1"/>
  <c r="BV147" i="9" s="1"/>
  <c r="G236" i="9" s="1"/>
  <c r="BS21" i="9"/>
  <c r="BS22" i="9" s="1"/>
  <c r="BH21" i="9"/>
  <c r="BA21" i="9"/>
  <c r="BU21" i="9" s="1"/>
  <c r="AZ21" i="9"/>
  <c r="BU20" i="9"/>
  <c r="BW20" i="9" s="1"/>
  <c r="BR20" i="9"/>
  <c r="BT20" i="9" s="1"/>
  <c r="BO20" i="9"/>
  <c r="BL20" i="9"/>
  <c r="BJ20" i="9"/>
  <c r="BH20" i="9"/>
  <c r="BH19" i="9"/>
  <c r="BH18" i="9"/>
  <c r="BH17" i="9"/>
  <c r="BH16" i="9"/>
  <c r="BH15" i="9"/>
  <c r="BV14" i="9"/>
  <c r="BV15" i="9" s="1"/>
  <c r="BV16" i="9" s="1"/>
  <c r="BV17" i="9" s="1"/>
  <c r="BV18" i="9" s="1"/>
  <c r="BV19" i="9" s="1"/>
  <c r="BV146" i="9" s="1"/>
  <c r="F236" i="9" s="1"/>
  <c r="BS14" i="9"/>
  <c r="BS15" i="9" s="1"/>
  <c r="BH14" i="9"/>
  <c r="BA14" i="9"/>
  <c r="BA15" i="9" s="1"/>
  <c r="BA16" i="9" s="1"/>
  <c r="AZ14" i="9"/>
  <c r="AZ15" i="9" s="1"/>
  <c r="AZ16" i="9" s="1"/>
  <c r="AZ17" i="9" s="1"/>
  <c r="AZ18" i="9" s="1"/>
  <c r="AZ19" i="9" s="1"/>
  <c r="BU13" i="9"/>
  <c r="BW13" i="9" s="1"/>
  <c r="BR13" i="9"/>
  <c r="BT13" i="9" s="1"/>
  <c r="BO13" i="9"/>
  <c r="BL13" i="9"/>
  <c r="BJ13" i="9"/>
  <c r="BH13" i="9"/>
  <c r="BH12" i="9"/>
  <c r="BH11" i="9"/>
  <c r="BH10" i="9"/>
  <c r="BH9" i="9"/>
  <c r="BH8" i="9"/>
  <c r="BV7" i="9"/>
  <c r="BV8" i="9" s="1"/>
  <c r="BV9" i="9" s="1"/>
  <c r="BV10" i="9" s="1"/>
  <c r="BV11" i="9" s="1"/>
  <c r="BV12" i="9" s="1"/>
  <c r="BV145" i="9" s="1"/>
  <c r="BS7" i="9"/>
  <c r="BS8" i="9" s="1"/>
  <c r="BS9" i="9" s="1"/>
  <c r="BS10" i="9" s="1"/>
  <c r="BH7" i="9"/>
  <c r="BA7" i="9"/>
  <c r="AZ7" i="9"/>
  <c r="AZ8" i="9" s="1"/>
  <c r="AZ9" i="9" s="1"/>
  <c r="AZ10" i="9" s="1"/>
  <c r="AZ11" i="9" s="1"/>
  <c r="AZ12" i="9" s="1"/>
  <c r="BU6" i="9"/>
  <c r="BW6" i="9" s="1"/>
  <c r="BR6" i="9"/>
  <c r="BT6" i="9" s="1"/>
  <c r="BO6" i="9"/>
  <c r="BL6" i="9"/>
  <c r="BJ6" i="9"/>
  <c r="BH6" i="9"/>
  <c r="BC6" i="9"/>
  <c r="BP6" i="9" s="1"/>
  <c r="BQ6" i="9" s="1"/>
  <c r="AI138" i="9"/>
  <c r="AI137" i="9"/>
  <c r="AI136" i="9"/>
  <c r="AI135" i="9"/>
  <c r="AT134" i="9"/>
  <c r="AT135" i="9" s="1"/>
  <c r="AI134" i="9"/>
  <c r="AW133" i="9"/>
  <c r="AW134" i="9" s="1"/>
  <c r="AW135" i="9" s="1"/>
  <c r="AW136" i="9" s="1"/>
  <c r="AW137" i="9" s="1"/>
  <c r="AW138" i="9" s="1"/>
  <c r="AT133" i="9"/>
  <c r="AI133" i="9"/>
  <c r="AB133" i="9"/>
  <c r="AA133" i="9"/>
  <c r="AA134" i="9" s="1"/>
  <c r="AA135" i="9" s="1"/>
  <c r="AA136" i="9" s="1"/>
  <c r="AA137" i="9" s="1"/>
  <c r="AA138" i="9" s="1"/>
  <c r="AV132" i="9"/>
  <c r="AX132" i="9" s="1"/>
  <c r="AS132" i="9"/>
  <c r="AU132" i="9" s="1"/>
  <c r="AP132" i="9"/>
  <c r="AM132" i="9"/>
  <c r="AK132" i="9"/>
  <c r="AI132" i="9"/>
  <c r="AI131" i="9"/>
  <c r="AI130" i="9"/>
  <c r="AI129" i="9"/>
  <c r="AI128" i="9"/>
  <c r="AI127" i="9"/>
  <c r="AW126" i="9"/>
  <c r="AW127" i="9" s="1"/>
  <c r="AW128" i="9" s="1"/>
  <c r="AW129" i="9" s="1"/>
  <c r="AW130" i="9" s="1"/>
  <c r="AW131" i="9" s="1"/>
  <c r="AT126" i="9"/>
  <c r="AT127" i="9" s="1"/>
  <c r="AI126" i="9"/>
  <c r="AB126" i="9"/>
  <c r="AA126" i="9"/>
  <c r="AA127" i="9" s="1"/>
  <c r="AA128" i="9" s="1"/>
  <c r="AA129" i="9" s="1"/>
  <c r="AA130" i="9" s="1"/>
  <c r="AA131" i="9" s="1"/>
  <c r="AV125" i="9"/>
  <c r="AX125" i="9" s="1"/>
  <c r="AS125" i="9"/>
  <c r="AU125" i="9" s="1"/>
  <c r="AP125" i="9"/>
  <c r="AM125" i="9"/>
  <c r="AK125" i="9"/>
  <c r="AI125" i="9"/>
  <c r="AI124" i="9"/>
  <c r="AI123" i="9"/>
  <c r="AI122" i="9"/>
  <c r="AI121" i="9"/>
  <c r="AV120" i="9"/>
  <c r="AX120" i="9" s="1"/>
  <c r="AI120" i="9"/>
  <c r="AW119" i="9"/>
  <c r="AW120" i="9" s="1"/>
  <c r="AW121" i="9" s="1"/>
  <c r="AW122" i="9" s="1"/>
  <c r="AW123" i="9" s="1"/>
  <c r="AW124" i="9" s="1"/>
  <c r="AW161" i="9" s="1"/>
  <c r="AT119" i="9"/>
  <c r="AI119" i="9"/>
  <c r="AB119" i="9"/>
  <c r="AB120" i="9" s="1"/>
  <c r="AB121" i="9" s="1"/>
  <c r="AA119" i="9"/>
  <c r="AA120" i="9" s="1"/>
  <c r="AA122" i="9" s="1"/>
  <c r="AA123" i="9" s="1"/>
  <c r="AA124" i="9" s="1"/>
  <c r="AV118" i="9"/>
  <c r="AX118" i="9" s="1"/>
  <c r="AS118" i="9"/>
  <c r="AU118" i="9" s="1"/>
  <c r="AP118" i="9"/>
  <c r="AM118" i="9"/>
  <c r="AK118" i="9"/>
  <c r="AI118" i="9"/>
  <c r="AI117" i="9"/>
  <c r="AI116" i="9"/>
  <c r="AI115" i="9"/>
  <c r="AA115" i="9"/>
  <c r="AA116" i="9" s="1"/>
  <c r="AA117" i="9" s="1"/>
  <c r="AI114" i="9"/>
  <c r="AI113" i="9"/>
  <c r="AW112" i="9"/>
  <c r="AW113" i="9" s="1"/>
  <c r="AW114" i="9" s="1"/>
  <c r="AW115" i="9" s="1"/>
  <c r="AW116" i="9" s="1"/>
  <c r="AW117" i="9" s="1"/>
  <c r="AW160" i="9" s="1"/>
  <c r="T211" i="9" s="1"/>
  <c r="AT112" i="9"/>
  <c r="AT113" i="9" s="1"/>
  <c r="AI112" i="9"/>
  <c r="AB112" i="9"/>
  <c r="AB113" i="9" s="1"/>
  <c r="AA112" i="9"/>
  <c r="AA113" i="9" s="1"/>
  <c r="AV111" i="9"/>
  <c r="AX111" i="9" s="1"/>
  <c r="AS111" i="9"/>
  <c r="AU111" i="9" s="1"/>
  <c r="AP111" i="9"/>
  <c r="AM111" i="9"/>
  <c r="AK111" i="9"/>
  <c r="AI111" i="9"/>
  <c r="AI110" i="9"/>
  <c r="AI109" i="9"/>
  <c r="AI108" i="9"/>
  <c r="AI107" i="9"/>
  <c r="AI106" i="9"/>
  <c r="AW105" i="9"/>
  <c r="AW106" i="9" s="1"/>
  <c r="AW107" i="9" s="1"/>
  <c r="AW108" i="9" s="1"/>
  <c r="AW109" i="9" s="1"/>
  <c r="AW110" i="9" s="1"/>
  <c r="AW159" i="9" s="1"/>
  <c r="S211" i="9" s="1"/>
  <c r="AT105" i="9"/>
  <c r="AT106" i="9" s="1"/>
  <c r="AT107" i="9" s="1"/>
  <c r="AT108" i="9" s="1"/>
  <c r="AI105" i="9"/>
  <c r="AB105" i="9"/>
  <c r="AV105" i="9" s="1"/>
  <c r="AA105" i="9"/>
  <c r="AA106" i="9" s="1"/>
  <c r="AA107" i="9" s="1"/>
  <c r="AA108" i="9" s="1"/>
  <c r="AA109" i="9" s="1"/>
  <c r="AA110" i="9" s="1"/>
  <c r="AV104" i="9"/>
  <c r="AX104" i="9" s="1"/>
  <c r="AS104" i="9"/>
  <c r="AU104" i="9" s="1"/>
  <c r="AP104" i="9"/>
  <c r="AM104" i="9"/>
  <c r="AK104" i="9"/>
  <c r="AI104" i="9"/>
  <c r="AI103" i="9"/>
  <c r="AI102" i="9"/>
  <c r="AI101" i="9"/>
  <c r="AI100" i="9"/>
  <c r="AW99" i="9"/>
  <c r="AW100" i="9" s="1"/>
  <c r="AW101" i="9" s="1"/>
  <c r="AW102" i="9" s="1"/>
  <c r="AW103" i="9" s="1"/>
  <c r="AI99" i="9"/>
  <c r="AW98" i="9"/>
  <c r="AV98" i="9"/>
  <c r="AX98" i="9" s="1"/>
  <c r="AT98" i="9"/>
  <c r="AT99" i="9" s="1"/>
  <c r="AT100" i="9" s="1"/>
  <c r="AI98" i="9"/>
  <c r="AB98" i="9"/>
  <c r="AB99" i="9" s="1"/>
  <c r="AA98" i="9"/>
  <c r="AA99" i="9" s="1"/>
  <c r="AA100" i="9" s="1"/>
  <c r="AA101" i="9" s="1"/>
  <c r="AA102" i="9" s="1"/>
  <c r="AA103" i="9" s="1"/>
  <c r="AV97" i="9"/>
  <c r="AX97" i="9" s="1"/>
  <c r="AU97" i="9"/>
  <c r="AS97" i="9"/>
  <c r="AP97" i="9"/>
  <c r="AM97" i="9"/>
  <c r="AK97" i="9"/>
  <c r="AI97" i="9"/>
  <c r="AI96" i="9"/>
  <c r="AI95" i="9"/>
  <c r="AI94" i="9"/>
  <c r="AI93" i="9"/>
  <c r="AI92" i="9"/>
  <c r="AW91" i="9"/>
  <c r="AW92" i="9" s="1"/>
  <c r="AW93" i="9" s="1"/>
  <c r="AW94" i="9" s="1"/>
  <c r="AW95" i="9" s="1"/>
  <c r="AW96" i="9" s="1"/>
  <c r="AW157" i="9" s="1"/>
  <c r="Q211" i="9" s="1"/>
  <c r="AT91" i="9"/>
  <c r="AT92" i="9" s="1"/>
  <c r="AI91" i="9"/>
  <c r="AB91" i="9"/>
  <c r="AA92" i="9"/>
  <c r="AA93" i="9" s="1"/>
  <c r="AA94" i="9" s="1"/>
  <c r="AA95" i="9" s="1"/>
  <c r="AA96" i="9" s="1"/>
  <c r="AV90" i="9"/>
  <c r="AX90" i="9" s="1"/>
  <c r="AS90" i="9"/>
  <c r="AU90" i="9" s="1"/>
  <c r="AP90" i="9"/>
  <c r="AM90" i="9"/>
  <c r="AK90" i="9"/>
  <c r="AI90" i="9"/>
  <c r="AI89" i="9"/>
  <c r="AI88" i="9"/>
  <c r="AI87" i="9"/>
  <c r="AI86" i="9"/>
  <c r="AI85" i="9"/>
  <c r="AB85" i="9"/>
  <c r="AA85" i="9"/>
  <c r="AA86" i="9" s="1"/>
  <c r="AA87" i="9" s="1"/>
  <c r="AA88" i="9" s="1"/>
  <c r="AA89" i="9" s="1"/>
  <c r="AW84" i="9"/>
  <c r="AW85" i="9" s="1"/>
  <c r="AW86" i="9" s="1"/>
  <c r="AW87" i="9" s="1"/>
  <c r="AW88" i="9" s="1"/>
  <c r="AW89" i="9" s="1"/>
  <c r="AV84" i="9"/>
  <c r="AX84" i="9" s="1"/>
  <c r="AT84" i="9"/>
  <c r="AT85" i="9" s="1"/>
  <c r="AT86" i="9" s="1"/>
  <c r="AI84" i="9"/>
  <c r="AB84" i="9"/>
  <c r="AV83" i="9"/>
  <c r="AX83" i="9" s="1"/>
  <c r="AS83" i="9"/>
  <c r="AU83" i="9" s="1"/>
  <c r="AP83" i="9"/>
  <c r="AM83" i="9"/>
  <c r="AK83" i="9"/>
  <c r="AI83" i="9"/>
  <c r="AI82" i="9"/>
  <c r="AI81" i="9"/>
  <c r="AI80" i="9"/>
  <c r="AI79" i="9"/>
  <c r="AI78" i="9"/>
  <c r="AW77" i="9"/>
  <c r="AW78" i="9" s="1"/>
  <c r="AW79" i="9" s="1"/>
  <c r="AW80" i="9" s="1"/>
  <c r="AW81" i="9" s="1"/>
  <c r="AW82" i="9" s="1"/>
  <c r="AT77" i="9"/>
  <c r="AT78" i="9" s="1"/>
  <c r="AT79" i="9" s="1"/>
  <c r="AI77" i="9"/>
  <c r="AB77" i="9"/>
  <c r="AV77" i="9" s="1"/>
  <c r="AA77" i="9"/>
  <c r="AA78" i="9" s="1"/>
  <c r="AA79" i="9" s="1"/>
  <c r="AA80" i="9" s="1"/>
  <c r="AA81" i="9" s="1"/>
  <c r="AA82" i="9" s="1"/>
  <c r="AV76" i="9"/>
  <c r="AX76" i="9" s="1"/>
  <c r="AS76" i="9"/>
  <c r="AU76" i="9" s="1"/>
  <c r="AP76" i="9"/>
  <c r="AM76" i="9"/>
  <c r="AK76" i="9"/>
  <c r="AI76" i="9"/>
  <c r="AI75" i="9"/>
  <c r="AI74" i="9"/>
  <c r="AI73" i="9"/>
  <c r="AI72" i="9"/>
  <c r="AI71" i="9"/>
  <c r="AW70" i="9"/>
  <c r="AW71" i="9" s="1"/>
  <c r="AW72" i="9" s="1"/>
  <c r="AW73" i="9" s="1"/>
  <c r="AW74" i="9" s="1"/>
  <c r="AW75" i="9" s="1"/>
  <c r="AT70" i="9"/>
  <c r="AT71" i="9" s="1"/>
  <c r="AI70" i="9"/>
  <c r="AB70" i="9"/>
  <c r="AA70" i="9"/>
  <c r="AA71" i="9" s="1"/>
  <c r="AA72" i="9" s="1"/>
  <c r="AA73" i="9" s="1"/>
  <c r="AA74" i="9" s="1"/>
  <c r="AA75" i="9" s="1"/>
  <c r="AV69" i="9"/>
  <c r="AX69" i="9" s="1"/>
  <c r="AS69" i="9"/>
  <c r="AU69" i="9" s="1"/>
  <c r="AP69" i="9"/>
  <c r="AM69" i="9"/>
  <c r="AK69" i="9"/>
  <c r="AI69" i="9"/>
  <c r="AI68" i="9"/>
  <c r="AI67" i="9"/>
  <c r="AI66" i="9"/>
  <c r="AI65" i="9"/>
  <c r="AI64" i="9"/>
  <c r="AW63" i="9"/>
  <c r="AW64" i="9" s="1"/>
  <c r="AW65" i="9" s="1"/>
  <c r="AW66" i="9" s="1"/>
  <c r="AW67" i="9" s="1"/>
  <c r="AW68" i="9" s="1"/>
  <c r="AW153" i="9" s="1"/>
  <c r="M211" i="9" s="1"/>
  <c r="AT63" i="9"/>
  <c r="AT64" i="9" s="1"/>
  <c r="AT65" i="9" s="1"/>
  <c r="AT66" i="9" s="1"/>
  <c r="AT67" i="9" s="1"/>
  <c r="AT68" i="9" s="1"/>
  <c r="AS63" i="9"/>
  <c r="AI63" i="9"/>
  <c r="AB63" i="9"/>
  <c r="AB64" i="9" s="1"/>
  <c r="AB65" i="9" s="1"/>
  <c r="AB66" i="9" s="1"/>
  <c r="AA63" i="9"/>
  <c r="AA64" i="9" s="1"/>
  <c r="AA65" i="9" s="1"/>
  <c r="AA66" i="9" s="1"/>
  <c r="AA67" i="9" s="1"/>
  <c r="AA68" i="9" s="1"/>
  <c r="AV62" i="9"/>
  <c r="AX62" i="9" s="1"/>
  <c r="AS62" i="9"/>
  <c r="AU62" i="9" s="1"/>
  <c r="AP62" i="9"/>
  <c r="AM62" i="9"/>
  <c r="AK62" i="9"/>
  <c r="AI62" i="9"/>
  <c r="AI61" i="9"/>
  <c r="AI60" i="9"/>
  <c r="AI59" i="9"/>
  <c r="AI58" i="9"/>
  <c r="AI57" i="9"/>
  <c r="AW56" i="9"/>
  <c r="AW57" i="9" s="1"/>
  <c r="AW58" i="9" s="1"/>
  <c r="AW59" i="9" s="1"/>
  <c r="AW60" i="9" s="1"/>
  <c r="AW61" i="9" s="1"/>
  <c r="AT56" i="9"/>
  <c r="AT57" i="9" s="1"/>
  <c r="AT58" i="9" s="1"/>
  <c r="AT59" i="9" s="1"/>
  <c r="AI56" i="9"/>
  <c r="AB56" i="9"/>
  <c r="AB57" i="9" s="1"/>
  <c r="AV57" i="9" s="1"/>
  <c r="AA56" i="9"/>
  <c r="AA57" i="9" s="1"/>
  <c r="AA58" i="9" s="1"/>
  <c r="AA59" i="9" s="1"/>
  <c r="AA61" i="9" s="1"/>
  <c r="AV55" i="9"/>
  <c r="AX55" i="9" s="1"/>
  <c r="AS55" i="9"/>
  <c r="AU55" i="9" s="1"/>
  <c r="AP55" i="9"/>
  <c r="AM55" i="9"/>
  <c r="AK55" i="9"/>
  <c r="AI55" i="9"/>
  <c r="AI54" i="9"/>
  <c r="AA54" i="9"/>
  <c r="AI53" i="9"/>
  <c r="AI52" i="9"/>
  <c r="AI51" i="9"/>
  <c r="AW50" i="9"/>
  <c r="AW51" i="9" s="1"/>
  <c r="AW52" i="9" s="1"/>
  <c r="AW53" i="9" s="1"/>
  <c r="AW54" i="9" s="1"/>
  <c r="AI50" i="9"/>
  <c r="AW49" i="9"/>
  <c r="AV49" i="9"/>
  <c r="AX49" i="9" s="1"/>
  <c r="AT49" i="9"/>
  <c r="AT50" i="9" s="1"/>
  <c r="AT51" i="9" s="1"/>
  <c r="AT52" i="9" s="1"/>
  <c r="AT53" i="9" s="1"/>
  <c r="AT54" i="9" s="1"/>
  <c r="AT151" i="9" s="1"/>
  <c r="K208" i="9" s="1"/>
  <c r="AI49" i="9"/>
  <c r="AB49" i="9"/>
  <c r="AB50" i="9" s="1"/>
  <c r="AB51" i="9" s="1"/>
  <c r="AA49" i="9"/>
  <c r="AA50" i="9" s="1"/>
  <c r="AA51" i="9" s="1"/>
  <c r="AA52" i="9" s="1"/>
  <c r="AV48" i="9"/>
  <c r="AX48" i="9" s="1"/>
  <c r="AS48" i="9"/>
  <c r="AU48" i="9" s="1"/>
  <c r="AP48" i="9"/>
  <c r="AM48" i="9"/>
  <c r="AK48" i="9"/>
  <c r="AI48" i="9"/>
  <c r="AI47" i="9"/>
  <c r="AI46" i="9"/>
  <c r="AI45" i="9"/>
  <c r="AI44" i="9"/>
  <c r="AA44" i="9"/>
  <c r="AA45" i="9" s="1"/>
  <c r="AA46" i="9" s="1"/>
  <c r="AA47" i="9" s="1"/>
  <c r="AI43" i="9"/>
  <c r="AW42" i="9"/>
  <c r="AW43" i="9" s="1"/>
  <c r="AW44" i="9" s="1"/>
  <c r="AW45" i="9" s="1"/>
  <c r="AW46" i="9" s="1"/>
  <c r="AW47" i="9" s="1"/>
  <c r="AW150" i="9" s="1"/>
  <c r="J211" i="9" s="1"/>
  <c r="AT42" i="9"/>
  <c r="AT43" i="9" s="1"/>
  <c r="AT44" i="9" s="1"/>
  <c r="AT45" i="9" s="1"/>
  <c r="AI42" i="9"/>
  <c r="AB42" i="9"/>
  <c r="AV42" i="9" s="1"/>
  <c r="AA42" i="9"/>
  <c r="AV41" i="9"/>
  <c r="AX41" i="9" s="1"/>
  <c r="AS41" i="9"/>
  <c r="AU41" i="9" s="1"/>
  <c r="AP41" i="9"/>
  <c r="AM41" i="9"/>
  <c r="AK41" i="9"/>
  <c r="AI41" i="9"/>
  <c r="AI40" i="9"/>
  <c r="AI39" i="9"/>
  <c r="AI38" i="9"/>
  <c r="AI37" i="9"/>
  <c r="AI36" i="9"/>
  <c r="AW35" i="9"/>
  <c r="AW36" i="9" s="1"/>
  <c r="AW37" i="9" s="1"/>
  <c r="AW38" i="9" s="1"/>
  <c r="AW39" i="9" s="1"/>
  <c r="AW40" i="9" s="1"/>
  <c r="AW149" i="9" s="1"/>
  <c r="AT35" i="9"/>
  <c r="AT36" i="9" s="1"/>
  <c r="AT37" i="9" s="1"/>
  <c r="AT38" i="9" s="1"/>
  <c r="AI35" i="9"/>
  <c r="AB35" i="9"/>
  <c r="AB36" i="9" s="1"/>
  <c r="AA35" i="9"/>
  <c r="AA36" i="9" s="1"/>
  <c r="AA37" i="9" s="1"/>
  <c r="AA38" i="9" s="1"/>
  <c r="AA39" i="9" s="1"/>
  <c r="AA40" i="9" s="1"/>
  <c r="AV34" i="9"/>
  <c r="AX34" i="9" s="1"/>
  <c r="AS34" i="9"/>
  <c r="AU34" i="9" s="1"/>
  <c r="AP34" i="9"/>
  <c r="AM34" i="9"/>
  <c r="AK34" i="9"/>
  <c r="AI34" i="9"/>
  <c r="AI33" i="9"/>
  <c r="AI32" i="9"/>
  <c r="AI31" i="9"/>
  <c r="AI30" i="9"/>
  <c r="AI29" i="9"/>
  <c r="AW28" i="9"/>
  <c r="AW29" i="9" s="1"/>
  <c r="AW30" i="9" s="1"/>
  <c r="AW31" i="9" s="1"/>
  <c r="AW32" i="9" s="1"/>
  <c r="AW33" i="9" s="1"/>
  <c r="AW148" i="9" s="1"/>
  <c r="H211" i="9" s="1"/>
  <c r="AT28" i="9"/>
  <c r="AT29" i="9" s="1"/>
  <c r="AT30" i="9" s="1"/>
  <c r="AT31" i="9" s="1"/>
  <c r="AT32" i="9" s="1"/>
  <c r="AT33" i="9" s="1"/>
  <c r="AT148" i="9" s="1"/>
  <c r="AI28" i="9"/>
  <c r="AB28" i="9"/>
  <c r="AB29" i="9" s="1"/>
  <c r="AV27" i="9"/>
  <c r="AX27" i="9" s="1"/>
  <c r="AS27" i="9"/>
  <c r="AU27" i="9" s="1"/>
  <c r="AP27" i="9"/>
  <c r="AM27" i="9"/>
  <c r="AK27" i="9"/>
  <c r="AI27" i="9"/>
  <c r="AI26" i="9"/>
  <c r="AI25" i="9"/>
  <c r="AI24" i="9"/>
  <c r="AI23" i="9"/>
  <c r="AA23" i="9"/>
  <c r="AA24" i="9" s="1"/>
  <c r="AA25" i="9" s="1"/>
  <c r="AA26" i="9" s="1"/>
  <c r="AA27" i="9" s="1"/>
  <c r="AA28" i="9" s="1"/>
  <c r="AA30" i="9" s="1"/>
  <c r="AA31" i="9" s="1"/>
  <c r="AA32" i="9" s="1"/>
  <c r="AA33" i="9" s="1"/>
  <c r="AI22" i="9"/>
  <c r="AW21" i="9"/>
  <c r="AW22" i="9" s="1"/>
  <c r="AW23" i="9" s="1"/>
  <c r="AW24" i="9" s="1"/>
  <c r="AW25" i="9" s="1"/>
  <c r="AW26" i="9" s="1"/>
  <c r="AW147" i="9" s="1"/>
  <c r="G211" i="9" s="1"/>
  <c r="AT21" i="9"/>
  <c r="AT22" i="9" s="1"/>
  <c r="AT23" i="9" s="1"/>
  <c r="AT24" i="9" s="1"/>
  <c r="AT25" i="9" s="1"/>
  <c r="AT26" i="9" s="1"/>
  <c r="AI21" i="9"/>
  <c r="AB21" i="9"/>
  <c r="AB22" i="9" s="1"/>
  <c r="AA21" i="9"/>
  <c r="AV20" i="9"/>
  <c r="AX20" i="9" s="1"/>
  <c r="AS20" i="9"/>
  <c r="AU20" i="9" s="1"/>
  <c r="AP20" i="9"/>
  <c r="AM20" i="9"/>
  <c r="AK20" i="9"/>
  <c r="AI20" i="9"/>
  <c r="AI19" i="9"/>
  <c r="AI18" i="9"/>
  <c r="AI17" i="9"/>
  <c r="AI16" i="9"/>
  <c r="AI15" i="9"/>
  <c r="AW14" i="9"/>
  <c r="AW15" i="9" s="1"/>
  <c r="AW16" i="9" s="1"/>
  <c r="AW17" i="9" s="1"/>
  <c r="AW18" i="9" s="1"/>
  <c r="AW19" i="9" s="1"/>
  <c r="AW146" i="9" s="1"/>
  <c r="F211" i="9" s="1"/>
  <c r="AT14" i="9"/>
  <c r="AT15" i="9" s="1"/>
  <c r="AI14" i="9"/>
  <c r="AB14" i="9"/>
  <c r="AA14" i="9"/>
  <c r="AA15" i="9" s="1"/>
  <c r="AA16" i="9" s="1"/>
  <c r="AA17" i="9" s="1"/>
  <c r="AA18" i="9" s="1"/>
  <c r="AA19" i="9" s="1"/>
  <c r="AV13" i="9"/>
  <c r="AX13" i="9" s="1"/>
  <c r="AS13" i="9"/>
  <c r="AU13" i="9" s="1"/>
  <c r="AP13" i="9"/>
  <c r="AM13" i="9"/>
  <c r="AK13" i="9"/>
  <c r="AI13" i="9"/>
  <c r="AI12" i="9"/>
  <c r="AI11" i="9"/>
  <c r="AI10" i="9"/>
  <c r="AI9" i="9"/>
  <c r="AI8" i="9"/>
  <c r="AW7" i="9"/>
  <c r="AW8" i="9" s="1"/>
  <c r="AW9" i="9" s="1"/>
  <c r="AW10" i="9" s="1"/>
  <c r="AW11" i="9" s="1"/>
  <c r="AW12" i="9" s="1"/>
  <c r="AW145" i="9" s="1"/>
  <c r="E211" i="9" s="1"/>
  <c r="AT7" i="9"/>
  <c r="AT8" i="9" s="1"/>
  <c r="AT9" i="9" s="1"/>
  <c r="AT10" i="9" s="1"/>
  <c r="AT11" i="9" s="1"/>
  <c r="AI7" i="9"/>
  <c r="AB7" i="9"/>
  <c r="AB8" i="9" s="1"/>
  <c r="AB9" i="9" s="1"/>
  <c r="AA7" i="9"/>
  <c r="AA8" i="9" s="1"/>
  <c r="AA9" i="9" s="1"/>
  <c r="AA10" i="9" s="1"/>
  <c r="AA11" i="9" s="1"/>
  <c r="AA12" i="9" s="1"/>
  <c r="AV6" i="9"/>
  <c r="AX6" i="9" s="1"/>
  <c r="AS6" i="9"/>
  <c r="AU6" i="9" s="1"/>
  <c r="AP6" i="9"/>
  <c r="AM6" i="9"/>
  <c r="AK6" i="9"/>
  <c r="AI6" i="9"/>
  <c r="AJ6" i="9" s="1"/>
  <c r="AD6" i="9"/>
  <c r="AQ6" i="9" s="1"/>
  <c r="AR6" i="9" s="1"/>
  <c r="B92" i="9"/>
  <c r="B93" i="9" s="1"/>
  <c r="B94" i="9" s="1"/>
  <c r="B95" i="9" s="1"/>
  <c r="B96" i="9" s="1"/>
  <c r="W6" i="9"/>
  <c r="D344" i="9"/>
  <c r="D343" i="9"/>
  <c r="W311" i="9"/>
  <c r="W323" i="9" s="1"/>
  <c r="V311" i="9"/>
  <c r="V323" i="9" s="1"/>
  <c r="U311" i="9"/>
  <c r="T311" i="9"/>
  <c r="S311" i="9"/>
  <c r="S323" i="9" s="1"/>
  <c r="R311" i="9"/>
  <c r="R323" i="9" s="1"/>
  <c r="Q311" i="9"/>
  <c r="P311" i="9"/>
  <c r="O311" i="9"/>
  <c r="N311" i="9"/>
  <c r="N323" i="9" s="1"/>
  <c r="M311" i="9"/>
  <c r="M323" i="9" s="1"/>
  <c r="L311" i="9"/>
  <c r="L323" i="9" s="1"/>
  <c r="K311" i="9"/>
  <c r="K323" i="9" s="1"/>
  <c r="J311" i="9"/>
  <c r="J323" i="9" s="1"/>
  <c r="I311" i="9"/>
  <c r="H311" i="9"/>
  <c r="H323" i="9" s="1"/>
  <c r="G311" i="9"/>
  <c r="G323" i="9" s="1"/>
  <c r="F311" i="9"/>
  <c r="F323" i="9" s="1"/>
  <c r="E311" i="9"/>
  <c r="W308" i="9"/>
  <c r="W322" i="9" s="1"/>
  <c r="V308" i="9"/>
  <c r="V322" i="9" s="1"/>
  <c r="U308" i="9"/>
  <c r="T308" i="9"/>
  <c r="S308" i="9"/>
  <c r="R308" i="9"/>
  <c r="R322" i="9" s="1"/>
  <c r="Q308" i="9"/>
  <c r="Q322" i="9" s="1"/>
  <c r="P308" i="9"/>
  <c r="P322" i="9" s="1"/>
  <c r="O308" i="9"/>
  <c r="O322" i="9" s="1"/>
  <c r="N308" i="9"/>
  <c r="N322" i="9" s="1"/>
  <c r="M308" i="9"/>
  <c r="L308" i="9"/>
  <c r="L322" i="9" s="1"/>
  <c r="K308" i="9"/>
  <c r="K322" i="9" s="1"/>
  <c r="J308" i="9"/>
  <c r="J322" i="9" s="1"/>
  <c r="I308" i="9"/>
  <c r="H308" i="9"/>
  <c r="G308" i="9"/>
  <c r="G322" i="9" s="1"/>
  <c r="F308" i="9"/>
  <c r="F322" i="9" s="1"/>
  <c r="E308" i="9"/>
  <c r="W306" i="9"/>
  <c r="W321" i="9" s="1"/>
  <c r="V306" i="9"/>
  <c r="V321" i="9" s="1"/>
  <c r="U306" i="9"/>
  <c r="U321" i="9" s="1"/>
  <c r="T306" i="9"/>
  <c r="T321" i="9" s="1"/>
  <c r="S306" i="9"/>
  <c r="S321" i="9" s="1"/>
  <c r="R306" i="9"/>
  <c r="R321" i="9" s="1"/>
  <c r="Q306" i="9"/>
  <c r="Q321" i="9" s="1"/>
  <c r="P306" i="9"/>
  <c r="P321" i="9" s="1"/>
  <c r="O306" i="9"/>
  <c r="O321" i="9" s="1"/>
  <c r="N306" i="9"/>
  <c r="N321" i="9" s="1"/>
  <c r="M306" i="9"/>
  <c r="M321" i="9" s="1"/>
  <c r="L306" i="9"/>
  <c r="L321" i="9" s="1"/>
  <c r="K306" i="9"/>
  <c r="K321" i="9" s="1"/>
  <c r="J306" i="9"/>
  <c r="J321" i="9" s="1"/>
  <c r="I306" i="9"/>
  <c r="I321" i="9" s="1"/>
  <c r="H306" i="9"/>
  <c r="H321" i="9" s="1"/>
  <c r="G306" i="9"/>
  <c r="G321" i="9" s="1"/>
  <c r="F306" i="9"/>
  <c r="F321" i="9" s="1"/>
  <c r="E306" i="9"/>
  <c r="E321" i="9" s="1"/>
  <c r="W304" i="9"/>
  <c r="W320" i="9" s="1"/>
  <c r="V304" i="9"/>
  <c r="V320" i="9" s="1"/>
  <c r="U304" i="9"/>
  <c r="U320" i="9" s="1"/>
  <c r="T304" i="9"/>
  <c r="T320" i="9" s="1"/>
  <c r="S304" i="9"/>
  <c r="S320" i="9" s="1"/>
  <c r="R304" i="9"/>
  <c r="R320" i="9" s="1"/>
  <c r="Q304" i="9"/>
  <c r="Q320" i="9" s="1"/>
  <c r="P304" i="9"/>
  <c r="P320" i="9" s="1"/>
  <c r="O304" i="9"/>
  <c r="O320" i="9" s="1"/>
  <c r="N304" i="9"/>
  <c r="N320" i="9" s="1"/>
  <c r="M304" i="9"/>
  <c r="M320" i="9" s="1"/>
  <c r="L304" i="9"/>
  <c r="L320" i="9" s="1"/>
  <c r="K304" i="9"/>
  <c r="K320" i="9" s="1"/>
  <c r="J304" i="9"/>
  <c r="J320" i="9" s="1"/>
  <c r="I304" i="9"/>
  <c r="I320" i="9" s="1"/>
  <c r="H304" i="9"/>
  <c r="H320" i="9" s="1"/>
  <c r="G304" i="9"/>
  <c r="G320" i="9" s="1"/>
  <c r="F304" i="9"/>
  <c r="F320" i="9" s="1"/>
  <c r="E304" i="9"/>
  <c r="E320" i="9" s="1"/>
  <c r="W301" i="9"/>
  <c r="W319" i="9" s="1"/>
  <c r="V301" i="9"/>
  <c r="V319" i="9" s="1"/>
  <c r="U301" i="9"/>
  <c r="U319" i="9" s="1"/>
  <c r="T301" i="9"/>
  <c r="T319" i="9" s="1"/>
  <c r="S301" i="9"/>
  <c r="S319" i="9" s="1"/>
  <c r="R301" i="9"/>
  <c r="R319" i="9" s="1"/>
  <c r="Q301" i="9"/>
  <c r="Q319" i="9" s="1"/>
  <c r="P301" i="9"/>
  <c r="P319" i="9" s="1"/>
  <c r="O301" i="9"/>
  <c r="O319" i="9" s="1"/>
  <c r="N301" i="9"/>
  <c r="N319" i="9" s="1"/>
  <c r="M301" i="9"/>
  <c r="M319" i="9" s="1"/>
  <c r="L301" i="9"/>
  <c r="L319" i="9" s="1"/>
  <c r="K301" i="9"/>
  <c r="K319" i="9" s="1"/>
  <c r="J301" i="9"/>
  <c r="J319" i="9" s="1"/>
  <c r="I301" i="9"/>
  <c r="I319" i="9" s="1"/>
  <c r="H301" i="9"/>
  <c r="H319" i="9" s="1"/>
  <c r="G301" i="9"/>
  <c r="G319" i="9" s="1"/>
  <c r="F301" i="9"/>
  <c r="F319" i="9" s="1"/>
  <c r="E301" i="9"/>
  <c r="E319" i="9" s="1"/>
  <c r="W299" i="9"/>
  <c r="W318" i="9" s="1"/>
  <c r="V299" i="9"/>
  <c r="V318" i="9" s="1"/>
  <c r="U299" i="9"/>
  <c r="U318" i="9" s="1"/>
  <c r="T299" i="9"/>
  <c r="T318" i="9" s="1"/>
  <c r="S299" i="9"/>
  <c r="S318" i="9" s="1"/>
  <c r="R299" i="9"/>
  <c r="R318" i="9" s="1"/>
  <c r="Q299" i="9"/>
  <c r="Q318" i="9" s="1"/>
  <c r="P299" i="9"/>
  <c r="P318" i="9" s="1"/>
  <c r="O299" i="9"/>
  <c r="O318" i="9" s="1"/>
  <c r="N299" i="9"/>
  <c r="N318" i="9" s="1"/>
  <c r="M299" i="9"/>
  <c r="M318" i="9" s="1"/>
  <c r="L299" i="9"/>
  <c r="L318" i="9" s="1"/>
  <c r="K299" i="9"/>
  <c r="K318" i="9" s="1"/>
  <c r="J299" i="9"/>
  <c r="J318" i="9" s="1"/>
  <c r="I299" i="9"/>
  <c r="I318" i="9" s="1"/>
  <c r="H299" i="9"/>
  <c r="H318" i="9" s="1"/>
  <c r="G299" i="9"/>
  <c r="G318" i="9" s="1"/>
  <c r="F299" i="9"/>
  <c r="F318" i="9" s="1"/>
  <c r="E299" i="9"/>
  <c r="E318" i="9" s="1"/>
  <c r="C292" i="9"/>
  <c r="C266" i="9"/>
  <c r="C267" i="9" s="1"/>
  <c r="C268" i="9" s="1"/>
  <c r="C269" i="9" s="1"/>
  <c r="C270" i="9" s="1"/>
  <c r="C271" i="9" s="1"/>
  <c r="C272" i="9" s="1"/>
  <c r="C273" i="9" s="1"/>
  <c r="C274" i="9" s="1"/>
  <c r="C275" i="9" s="1"/>
  <c r="C276" i="9" s="1"/>
  <c r="C277" i="9" s="1"/>
  <c r="C278" i="9" s="1"/>
  <c r="C279" i="9" s="1"/>
  <c r="C280" i="9" s="1"/>
  <c r="C281" i="9" s="1"/>
  <c r="C282" i="9" s="1"/>
  <c r="C283" i="9" s="1"/>
  <c r="C284" i="9" s="1"/>
  <c r="C285" i="9" s="1"/>
  <c r="C242" i="9"/>
  <c r="C243" i="9" s="1"/>
  <c r="C244" i="9" s="1"/>
  <c r="C245" i="9" s="1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18" i="9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193" i="9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170" i="9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3" i="9" s="1"/>
  <c r="C184" i="9" s="1"/>
  <c r="C185" i="9" s="1"/>
  <c r="C186" i="9" s="1"/>
  <c r="C187" i="9" s="1"/>
  <c r="C188" i="9" s="1"/>
  <c r="C189" i="9" s="1"/>
  <c r="DS163" i="9"/>
  <c r="W283" i="9" s="1"/>
  <c r="DP163" i="9"/>
  <c r="DM163" i="9"/>
  <c r="W277" i="9" s="1"/>
  <c r="DJ163" i="9"/>
  <c r="W274" i="9" s="1"/>
  <c r="DH163" i="9"/>
  <c r="W272" i="9" s="1"/>
  <c r="CT163" i="9"/>
  <c r="W259" i="9" s="1"/>
  <c r="CQ163" i="9"/>
  <c r="W256" i="9" s="1"/>
  <c r="CN163" i="9"/>
  <c r="W253" i="9" s="1"/>
  <c r="CK163" i="9"/>
  <c r="W250" i="9" s="1"/>
  <c r="CI163" i="9"/>
  <c r="W248" i="9" s="1"/>
  <c r="BU163" i="9"/>
  <c r="W235" i="9" s="1"/>
  <c r="BR163" i="9"/>
  <c r="W232" i="9" s="1"/>
  <c r="BO163" i="9"/>
  <c r="W229" i="9" s="1"/>
  <c r="BL163" i="9"/>
  <c r="W226" i="9" s="1"/>
  <c r="BJ163" i="9"/>
  <c r="W224" i="9" s="1"/>
  <c r="AV163" i="9"/>
  <c r="W210" i="9" s="1"/>
  <c r="AS163" i="9"/>
  <c r="W207" i="9" s="1"/>
  <c r="AP163" i="9"/>
  <c r="W204" i="9" s="1"/>
  <c r="AM163" i="9"/>
  <c r="W201" i="9" s="1"/>
  <c r="AK163" i="9"/>
  <c r="W199" i="9" s="1"/>
  <c r="W163" i="9"/>
  <c r="T163" i="9"/>
  <c r="W184" i="9" s="1"/>
  <c r="Q163" i="9"/>
  <c r="W181" i="9" s="1"/>
  <c r="N163" i="9"/>
  <c r="W178" i="9" s="1"/>
  <c r="L163" i="9"/>
  <c r="W176" i="9" s="1"/>
  <c r="DS162" i="9"/>
  <c r="V283" i="9" s="1"/>
  <c r="DP162" i="9"/>
  <c r="DM162" i="9"/>
  <c r="V277" i="9" s="1"/>
  <c r="DJ162" i="9"/>
  <c r="V274" i="9" s="1"/>
  <c r="DH162" i="9"/>
  <c r="V272" i="9" s="1"/>
  <c r="CT162" i="9"/>
  <c r="V259" i="9" s="1"/>
  <c r="CQ162" i="9"/>
  <c r="V256" i="9" s="1"/>
  <c r="CN162" i="9"/>
  <c r="V253" i="9" s="1"/>
  <c r="CK162" i="9"/>
  <c r="V250" i="9" s="1"/>
  <c r="CI162" i="9"/>
  <c r="V248" i="9" s="1"/>
  <c r="BU162" i="9"/>
  <c r="V235" i="9" s="1"/>
  <c r="BR162" i="9"/>
  <c r="V232" i="9" s="1"/>
  <c r="BO162" i="9"/>
  <c r="V229" i="9" s="1"/>
  <c r="BL162" i="9"/>
  <c r="V226" i="9" s="1"/>
  <c r="BJ162" i="9"/>
  <c r="V224" i="9" s="1"/>
  <c r="AV162" i="9"/>
  <c r="V210" i="9" s="1"/>
  <c r="AS162" i="9"/>
  <c r="V207" i="9" s="1"/>
  <c r="AP162" i="9"/>
  <c r="V204" i="9" s="1"/>
  <c r="AM162" i="9"/>
  <c r="V201" i="9" s="1"/>
  <c r="AK162" i="9"/>
  <c r="V199" i="9" s="1"/>
  <c r="W162" i="9"/>
  <c r="V187" i="9" s="1"/>
  <c r="T162" i="9"/>
  <c r="V184" i="9" s="1"/>
  <c r="Q162" i="9"/>
  <c r="V181" i="9" s="1"/>
  <c r="N162" i="9"/>
  <c r="V178" i="9" s="1"/>
  <c r="L162" i="9"/>
  <c r="V176" i="9" s="1"/>
  <c r="DS161" i="9"/>
  <c r="U283" i="9" s="1"/>
  <c r="DP161" i="9"/>
  <c r="DM161" i="9"/>
  <c r="U277" i="9" s="1"/>
  <c r="DJ161" i="9"/>
  <c r="U274" i="9" s="1"/>
  <c r="DH161" i="9"/>
  <c r="U272" i="9" s="1"/>
  <c r="CT161" i="9"/>
  <c r="U259" i="9" s="1"/>
  <c r="CQ161" i="9"/>
  <c r="U256" i="9" s="1"/>
  <c r="CN161" i="9"/>
  <c r="U253" i="9" s="1"/>
  <c r="CK161" i="9"/>
  <c r="U250" i="9" s="1"/>
  <c r="CI161" i="9"/>
  <c r="U248" i="9" s="1"/>
  <c r="BU161" i="9"/>
  <c r="U235" i="9" s="1"/>
  <c r="BR161" i="9"/>
  <c r="U232" i="9" s="1"/>
  <c r="BO161" i="9"/>
  <c r="U229" i="9" s="1"/>
  <c r="BL161" i="9"/>
  <c r="U226" i="9" s="1"/>
  <c r="BJ161" i="9"/>
  <c r="U224" i="9" s="1"/>
  <c r="AV161" i="9"/>
  <c r="U210" i="9" s="1"/>
  <c r="AS161" i="9"/>
  <c r="U207" i="9" s="1"/>
  <c r="AP161" i="9"/>
  <c r="U204" i="9" s="1"/>
  <c r="AM161" i="9"/>
  <c r="U201" i="9" s="1"/>
  <c r="AK161" i="9"/>
  <c r="U199" i="9" s="1"/>
  <c r="W161" i="9"/>
  <c r="T161" i="9"/>
  <c r="U184" i="9" s="1"/>
  <c r="Q161" i="9"/>
  <c r="U181" i="9" s="1"/>
  <c r="N161" i="9"/>
  <c r="U178" i="9" s="1"/>
  <c r="L161" i="9"/>
  <c r="U176" i="9" s="1"/>
  <c r="DS160" i="9"/>
  <c r="T283" i="9" s="1"/>
  <c r="DP160" i="9"/>
  <c r="DM160" i="9"/>
  <c r="T277" i="9" s="1"/>
  <c r="DJ160" i="9"/>
  <c r="T274" i="9" s="1"/>
  <c r="DH160" i="9"/>
  <c r="T272" i="9" s="1"/>
  <c r="CT160" i="9"/>
  <c r="T259" i="9" s="1"/>
  <c r="CQ160" i="9"/>
  <c r="T256" i="9" s="1"/>
  <c r="CN160" i="9"/>
  <c r="T253" i="9" s="1"/>
  <c r="CK160" i="9"/>
  <c r="T250" i="9" s="1"/>
  <c r="CI160" i="9"/>
  <c r="T248" i="9" s="1"/>
  <c r="BU160" i="9"/>
  <c r="T235" i="9" s="1"/>
  <c r="BR160" i="9"/>
  <c r="T232" i="9" s="1"/>
  <c r="BO160" i="9"/>
  <c r="T229" i="9" s="1"/>
  <c r="BL160" i="9"/>
  <c r="T226" i="9" s="1"/>
  <c r="BJ160" i="9"/>
  <c r="T224" i="9" s="1"/>
  <c r="AV160" i="9"/>
  <c r="T210" i="9" s="1"/>
  <c r="AS160" i="9"/>
  <c r="T207" i="9" s="1"/>
  <c r="AP160" i="9"/>
  <c r="T204" i="9" s="1"/>
  <c r="AM160" i="9"/>
  <c r="T201" i="9" s="1"/>
  <c r="AK160" i="9"/>
  <c r="T199" i="9" s="1"/>
  <c r="W160" i="9"/>
  <c r="T187" i="9" s="1"/>
  <c r="T160" i="9"/>
  <c r="T184" i="9" s="1"/>
  <c r="Q160" i="9"/>
  <c r="T181" i="9" s="1"/>
  <c r="N160" i="9"/>
  <c r="T178" i="9" s="1"/>
  <c r="L160" i="9"/>
  <c r="T176" i="9" s="1"/>
  <c r="DS159" i="9"/>
  <c r="S283" i="9" s="1"/>
  <c r="DP159" i="9"/>
  <c r="DM159" i="9"/>
  <c r="S277" i="9" s="1"/>
  <c r="DJ159" i="9"/>
  <c r="S274" i="9" s="1"/>
  <c r="DH159" i="9"/>
  <c r="S272" i="9" s="1"/>
  <c r="CT159" i="9"/>
  <c r="S259" i="9" s="1"/>
  <c r="CQ159" i="9"/>
  <c r="S256" i="9" s="1"/>
  <c r="CN159" i="9"/>
  <c r="S253" i="9" s="1"/>
  <c r="CK159" i="9"/>
  <c r="S250" i="9" s="1"/>
  <c r="CI159" i="9"/>
  <c r="S248" i="9" s="1"/>
  <c r="BU159" i="9"/>
  <c r="S235" i="9" s="1"/>
  <c r="BR159" i="9"/>
  <c r="S232" i="9" s="1"/>
  <c r="BO159" i="9"/>
  <c r="S229" i="9" s="1"/>
  <c r="BL159" i="9"/>
  <c r="S226" i="9" s="1"/>
  <c r="BJ159" i="9"/>
  <c r="S224" i="9" s="1"/>
  <c r="AV159" i="9"/>
  <c r="S210" i="9" s="1"/>
  <c r="AS159" i="9"/>
  <c r="S207" i="9" s="1"/>
  <c r="AP159" i="9"/>
  <c r="S204" i="9" s="1"/>
  <c r="AM159" i="9"/>
  <c r="S201" i="9" s="1"/>
  <c r="AK159" i="9"/>
  <c r="S199" i="9" s="1"/>
  <c r="W159" i="9"/>
  <c r="S187" i="9" s="1"/>
  <c r="T159" i="9"/>
  <c r="S184" i="9" s="1"/>
  <c r="Q159" i="9"/>
  <c r="S181" i="9" s="1"/>
  <c r="N159" i="9"/>
  <c r="S178" i="9" s="1"/>
  <c r="L159" i="9"/>
  <c r="S176" i="9" s="1"/>
  <c r="DS158" i="9"/>
  <c r="R283" i="9" s="1"/>
  <c r="DP158" i="9"/>
  <c r="DM158" i="9"/>
  <c r="R277" i="9" s="1"/>
  <c r="DJ158" i="9"/>
  <c r="R274" i="9" s="1"/>
  <c r="DH158" i="9"/>
  <c r="R272" i="9" s="1"/>
  <c r="CT158" i="9"/>
  <c r="R259" i="9" s="1"/>
  <c r="CQ158" i="9"/>
  <c r="R256" i="9" s="1"/>
  <c r="CN158" i="9"/>
  <c r="R253" i="9" s="1"/>
  <c r="CK158" i="9"/>
  <c r="R250" i="9" s="1"/>
  <c r="CI158" i="9"/>
  <c r="R248" i="9" s="1"/>
  <c r="BU158" i="9"/>
  <c r="R235" i="9" s="1"/>
  <c r="BR158" i="9"/>
  <c r="R232" i="9" s="1"/>
  <c r="BO158" i="9"/>
  <c r="R229" i="9" s="1"/>
  <c r="BL158" i="9"/>
  <c r="R226" i="9" s="1"/>
  <c r="BJ158" i="9"/>
  <c r="R224" i="9" s="1"/>
  <c r="AV158" i="9"/>
  <c r="R210" i="9" s="1"/>
  <c r="AS158" i="9"/>
  <c r="R207" i="9" s="1"/>
  <c r="AP158" i="9"/>
  <c r="R204" i="9" s="1"/>
  <c r="AM158" i="9"/>
  <c r="R201" i="9" s="1"/>
  <c r="AK158" i="9"/>
  <c r="R199" i="9" s="1"/>
  <c r="W158" i="9"/>
  <c r="R187" i="9" s="1"/>
  <c r="T158" i="9"/>
  <c r="R184" i="9" s="1"/>
  <c r="Q158" i="9"/>
  <c r="R181" i="9" s="1"/>
  <c r="N158" i="9"/>
  <c r="R178" i="9" s="1"/>
  <c r="L158" i="9"/>
  <c r="R176" i="9" s="1"/>
  <c r="DS157" i="9"/>
  <c r="Q283" i="9" s="1"/>
  <c r="DP157" i="9"/>
  <c r="DM157" i="9"/>
  <c r="Q277" i="9" s="1"/>
  <c r="DJ157" i="9"/>
  <c r="Q274" i="9" s="1"/>
  <c r="DH157" i="9"/>
  <c r="Q272" i="9" s="1"/>
  <c r="CT157" i="9"/>
  <c r="Q259" i="9" s="1"/>
  <c r="CQ157" i="9"/>
  <c r="Q256" i="9" s="1"/>
  <c r="CN157" i="9"/>
  <c r="Q253" i="9" s="1"/>
  <c r="CK157" i="9"/>
  <c r="Q250" i="9" s="1"/>
  <c r="CI157" i="9"/>
  <c r="Q248" i="9" s="1"/>
  <c r="BU157" i="9"/>
  <c r="Q235" i="9" s="1"/>
  <c r="BR157" i="9"/>
  <c r="Q232" i="9" s="1"/>
  <c r="BO157" i="9"/>
  <c r="Q229" i="9" s="1"/>
  <c r="BL157" i="9"/>
  <c r="Q226" i="9" s="1"/>
  <c r="BJ157" i="9"/>
  <c r="Q224" i="9" s="1"/>
  <c r="AV157" i="9"/>
  <c r="Q210" i="9" s="1"/>
  <c r="AS157" i="9"/>
  <c r="Q207" i="9" s="1"/>
  <c r="AP157" i="9"/>
  <c r="Q204" i="9" s="1"/>
  <c r="AM157" i="9"/>
  <c r="Q201" i="9" s="1"/>
  <c r="AK157" i="9"/>
  <c r="Q199" i="9" s="1"/>
  <c r="W157" i="9"/>
  <c r="Q187" i="9" s="1"/>
  <c r="T157" i="9"/>
  <c r="Q184" i="9" s="1"/>
  <c r="Q157" i="9"/>
  <c r="Q181" i="9" s="1"/>
  <c r="N157" i="9"/>
  <c r="Q178" i="9" s="1"/>
  <c r="L157" i="9"/>
  <c r="Q176" i="9" s="1"/>
  <c r="DS156" i="9"/>
  <c r="P283" i="9" s="1"/>
  <c r="DP156" i="9"/>
  <c r="DM156" i="9"/>
  <c r="P277" i="9" s="1"/>
  <c r="DJ156" i="9"/>
  <c r="P274" i="9" s="1"/>
  <c r="DH156" i="9"/>
  <c r="P272" i="9" s="1"/>
  <c r="CT156" i="9"/>
  <c r="P259" i="9" s="1"/>
  <c r="CQ156" i="9"/>
  <c r="P256" i="9" s="1"/>
  <c r="CN156" i="9"/>
  <c r="P253" i="9" s="1"/>
  <c r="CK156" i="9"/>
  <c r="P250" i="9" s="1"/>
  <c r="CI156" i="9"/>
  <c r="P248" i="9" s="1"/>
  <c r="BU156" i="9"/>
  <c r="P235" i="9" s="1"/>
  <c r="BR156" i="9"/>
  <c r="P232" i="9" s="1"/>
  <c r="BO156" i="9"/>
  <c r="P229" i="9" s="1"/>
  <c r="BL156" i="9"/>
  <c r="P226" i="9" s="1"/>
  <c r="BJ156" i="9"/>
  <c r="P224" i="9" s="1"/>
  <c r="AV156" i="9"/>
  <c r="P210" i="9" s="1"/>
  <c r="AS156" i="9"/>
  <c r="P207" i="9" s="1"/>
  <c r="AP156" i="9"/>
  <c r="P204" i="9" s="1"/>
  <c r="AM156" i="9"/>
  <c r="P201" i="9" s="1"/>
  <c r="AK156" i="9"/>
  <c r="P199" i="9" s="1"/>
  <c r="W156" i="9"/>
  <c r="P187" i="9" s="1"/>
  <c r="T156" i="9"/>
  <c r="P184" i="9" s="1"/>
  <c r="Q156" i="9"/>
  <c r="P181" i="9" s="1"/>
  <c r="N156" i="9"/>
  <c r="P178" i="9" s="1"/>
  <c r="L156" i="9"/>
  <c r="P176" i="9" s="1"/>
  <c r="DS155" i="9"/>
  <c r="O283" i="9" s="1"/>
  <c r="DP155" i="9"/>
  <c r="DM155" i="9"/>
  <c r="O277" i="9" s="1"/>
  <c r="DJ155" i="9"/>
  <c r="O274" i="9" s="1"/>
  <c r="DH155" i="9"/>
  <c r="O272" i="9" s="1"/>
  <c r="CT155" i="9"/>
  <c r="O259" i="9" s="1"/>
  <c r="CQ155" i="9"/>
  <c r="O256" i="9" s="1"/>
  <c r="CN155" i="9"/>
  <c r="O253" i="9" s="1"/>
  <c r="CK155" i="9"/>
  <c r="O250" i="9" s="1"/>
  <c r="CI155" i="9"/>
  <c r="O248" i="9" s="1"/>
  <c r="BU155" i="9"/>
  <c r="O235" i="9" s="1"/>
  <c r="BR155" i="9"/>
  <c r="O232" i="9" s="1"/>
  <c r="BO155" i="9"/>
  <c r="O229" i="9" s="1"/>
  <c r="BL155" i="9"/>
  <c r="O226" i="9" s="1"/>
  <c r="BJ155" i="9"/>
  <c r="O224" i="9" s="1"/>
  <c r="AV155" i="9"/>
  <c r="O210" i="9" s="1"/>
  <c r="AS155" i="9"/>
  <c r="O207" i="9" s="1"/>
  <c r="AP155" i="9"/>
  <c r="O204" i="9" s="1"/>
  <c r="AM155" i="9"/>
  <c r="O201" i="9" s="1"/>
  <c r="AK155" i="9"/>
  <c r="O199" i="9" s="1"/>
  <c r="W155" i="9"/>
  <c r="O187" i="9" s="1"/>
  <c r="T155" i="9"/>
  <c r="O184" i="9" s="1"/>
  <c r="Q155" i="9"/>
  <c r="O181" i="9" s="1"/>
  <c r="N155" i="9"/>
  <c r="O178" i="9" s="1"/>
  <c r="L155" i="9"/>
  <c r="O176" i="9" s="1"/>
  <c r="DS154" i="9"/>
  <c r="N283" i="9" s="1"/>
  <c r="DP154" i="9"/>
  <c r="DM154" i="9"/>
  <c r="N277" i="9" s="1"/>
  <c r="DJ154" i="9"/>
  <c r="N274" i="9" s="1"/>
  <c r="DH154" i="9"/>
  <c r="N272" i="9" s="1"/>
  <c r="CT154" i="9"/>
  <c r="N259" i="9" s="1"/>
  <c r="CQ154" i="9"/>
  <c r="N256" i="9" s="1"/>
  <c r="CN154" i="9"/>
  <c r="N253" i="9" s="1"/>
  <c r="CK154" i="9"/>
  <c r="N250" i="9" s="1"/>
  <c r="CI154" i="9"/>
  <c r="N248" i="9" s="1"/>
  <c r="BU154" i="9"/>
  <c r="N235" i="9" s="1"/>
  <c r="BR154" i="9"/>
  <c r="N232" i="9" s="1"/>
  <c r="BO154" i="9"/>
  <c r="N229" i="9" s="1"/>
  <c r="BL154" i="9"/>
  <c r="N226" i="9" s="1"/>
  <c r="BJ154" i="9"/>
  <c r="N224" i="9" s="1"/>
  <c r="AV154" i="9"/>
  <c r="N210" i="9" s="1"/>
  <c r="AS154" i="9"/>
  <c r="N207" i="9" s="1"/>
  <c r="AP154" i="9"/>
  <c r="N204" i="9" s="1"/>
  <c r="AM154" i="9"/>
  <c r="N201" i="9" s="1"/>
  <c r="AK154" i="9"/>
  <c r="N199" i="9" s="1"/>
  <c r="W154" i="9"/>
  <c r="N187" i="9" s="1"/>
  <c r="T154" i="9"/>
  <c r="N184" i="9" s="1"/>
  <c r="Q154" i="9"/>
  <c r="N181" i="9" s="1"/>
  <c r="N154" i="9"/>
  <c r="N178" i="9" s="1"/>
  <c r="L154" i="9"/>
  <c r="N176" i="9" s="1"/>
  <c r="DS153" i="9"/>
  <c r="M283" i="9" s="1"/>
  <c r="DP153" i="9"/>
  <c r="DM153" i="9"/>
  <c r="M277" i="9" s="1"/>
  <c r="DJ153" i="9"/>
  <c r="M274" i="9" s="1"/>
  <c r="DH153" i="9"/>
  <c r="M272" i="9" s="1"/>
  <c r="CT153" i="9"/>
  <c r="M259" i="9" s="1"/>
  <c r="CQ153" i="9"/>
  <c r="M256" i="9" s="1"/>
  <c r="CN153" i="9"/>
  <c r="M253" i="9" s="1"/>
  <c r="CK153" i="9"/>
  <c r="M250" i="9" s="1"/>
  <c r="CI153" i="9"/>
  <c r="M248" i="9" s="1"/>
  <c r="BU153" i="9"/>
  <c r="M235" i="9" s="1"/>
  <c r="BR153" i="9"/>
  <c r="M232" i="9" s="1"/>
  <c r="BO153" i="9"/>
  <c r="M229" i="9" s="1"/>
  <c r="BL153" i="9"/>
  <c r="M226" i="9" s="1"/>
  <c r="BJ153" i="9"/>
  <c r="M224" i="9" s="1"/>
  <c r="AV153" i="9"/>
  <c r="M210" i="9" s="1"/>
  <c r="AS153" i="9"/>
  <c r="M207" i="9" s="1"/>
  <c r="AP153" i="9"/>
  <c r="M204" i="9" s="1"/>
  <c r="AM153" i="9"/>
  <c r="M201" i="9" s="1"/>
  <c r="AK153" i="9"/>
  <c r="M199" i="9" s="1"/>
  <c r="W153" i="9"/>
  <c r="M187" i="9" s="1"/>
  <c r="T153" i="9"/>
  <c r="M184" i="9" s="1"/>
  <c r="Q153" i="9"/>
  <c r="M181" i="9" s="1"/>
  <c r="N153" i="9"/>
  <c r="M178" i="9" s="1"/>
  <c r="L153" i="9"/>
  <c r="M176" i="9" s="1"/>
  <c r="DS152" i="9"/>
  <c r="L283" i="9" s="1"/>
  <c r="DP152" i="9"/>
  <c r="DM152" i="9"/>
  <c r="L277" i="9" s="1"/>
  <c r="DJ152" i="9"/>
  <c r="L274" i="9" s="1"/>
  <c r="DH152" i="9"/>
  <c r="L272" i="9" s="1"/>
  <c r="CT152" i="9"/>
  <c r="L259" i="9" s="1"/>
  <c r="CQ152" i="9"/>
  <c r="L256" i="9" s="1"/>
  <c r="CN152" i="9"/>
  <c r="L253" i="9" s="1"/>
  <c r="CK152" i="9"/>
  <c r="L250" i="9" s="1"/>
  <c r="CI152" i="9"/>
  <c r="L248" i="9" s="1"/>
  <c r="BU152" i="9"/>
  <c r="L235" i="9" s="1"/>
  <c r="BR152" i="9"/>
  <c r="L232" i="9" s="1"/>
  <c r="BO152" i="9"/>
  <c r="L229" i="9" s="1"/>
  <c r="BL152" i="9"/>
  <c r="L226" i="9" s="1"/>
  <c r="BJ152" i="9"/>
  <c r="L224" i="9" s="1"/>
  <c r="AV152" i="9"/>
  <c r="L210" i="9" s="1"/>
  <c r="AS152" i="9"/>
  <c r="L207" i="9" s="1"/>
  <c r="AP152" i="9"/>
  <c r="L204" i="9" s="1"/>
  <c r="AM152" i="9"/>
  <c r="L201" i="9" s="1"/>
  <c r="AK152" i="9"/>
  <c r="L199" i="9" s="1"/>
  <c r="W152" i="9"/>
  <c r="L187" i="9" s="1"/>
  <c r="T152" i="9"/>
  <c r="L184" i="9" s="1"/>
  <c r="Q152" i="9"/>
  <c r="L181" i="9" s="1"/>
  <c r="N152" i="9"/>
  <c r="L178" i="9" s="1"/>
  <c r="L152" i="9"/>
  <c r="L176" i="9" s="1"/>
  <c r="DS151" i="9"/>
  <c r="K283" i="9" s="1"/>
  <c r="DP151" i="9"/>
  <c r="DM151" i="9"/>
  <c r="K277" i="9" s="1"/>
  <c r="DJ151" i="9"/>
  <c r="K274" i="9" s="1"/>
  <c r="DH151" i="9"/>
  <c r="K272" i="9" s="1"/>
  <c r="CT151" i="9"/>
  <c r="K259" i="9" s="1"/>
  <c r="CQ151" i="9"/>
  <c r="K256" i="9" s="1"/>
  <c r="CN151" i="9"/>
  <c r="K253" i="9" s="1"/>
  <c r="CK151" i="9"/>
  <c r="K250" i="9" s="1"/>
  <c r="CI151" i="9"/>
  <c r="K248" i="9" s="1"/>
  <c r="BU151" i="9"/>
  <c r="K235" i="9" s="1"/>
  <c r="BR151" i="9"/>
  <c r="K232" i="9" s="1"/>
  <c r="BO151" i="9"/>
  <c r="K229" i="9" s="1"/>
  <c r="BL151" i="9"/>
  <c r="K226" i="9" s="1"/>
  <c r="BJ151" i="9"/>
  <c r="K224" i="9" s="1"/>
  <c r="AV151" i="9"/>
  <c r="K210" i="9" s="1"/>
  <c r="AS151" i="9"/>
  <c r="K207" i="9" s="1"/>
  <c r="AP151" i="9"/>
  <c r="K204" i="9" s="1"/>
  <c r="AM151" i="9"/>
  <c r="K201" i="9" s="1"/>
  <c r="AK151" i="9"/>
  <c r="K199" i="9" s="1"/>
  <c r="W151" i="9"/>
  <c r="K187" i="9" s="1"/>
  <c r="T151" i="9"/>
  <c r="K184" i="9" s="1"/>
  <c r="Q151" i="9"/>
  <c r="K181" i="9" s="1"/>
  <c r="N151" i="9"/>
  <c r="K178" i="9" s="1"/>
  <c r="L151" i="9"/>
  <c r="K176" i="9" s="1"/>
  <c r="DS150" i="9"/>
  <c r="J283" i="9" s="1"/>
  <c r="DP150" i="9"/>
  <c r="DM150" i="9"/>
  <c r="J277" i="9" s="1"/>
  <c r="DJ150" i="9"/>
  <c r="J274" i="9" s="1"/>
  <c r="DH150" i="9"/>
  <c r="J272" i="9" s="1"/>
  <c r="CT150" i="9"/>
  <c r="J259" i="9" s="1"/>
  <c r="CQ150" i="9"/>
  <c r="J256" i="9" s="1"/>
  <c r="CN150" i="9"/>
  <c r="J253" i="9" s="1"/>
  <c r="CK150" i="9"/>
  <c r="J250" i="9" s="1"/>
  <c r="CI150" i="9"/>
  <c r="J248" i="9" s="1"/>
  <c r="BU150" i="9"/>
  <c r="J235" i="9" s="1"/>
  <c r="BR150" i="9"/>
  <c r="J232" i="9" s="1"/>
  <c r="BO150" i="9"/>
  <c r="J229" i="9" s="1"/>
  <c r="BL150" i="9"/>
  <c r="J226" i="9" s="1"/>
  <c r="BJ150" i="9"/>
  <c r="J224" i="9" s="1"/>
  <c r="AV150" i="9"/>
  <c r="J210" i="9" s="1"/>
  <c r="AS150" i="9"/>
  <c r="J207" i="9" s="1"/>
  <c r="AP150" i="9"/>
  <c r="J204" i="9" s="1"/>
  <c r="AM150" i="9"/>
  <c r="J201" i="9" s="1"/>
  <c r="AK150" i="9"/>
  <c r="J199" i="9" s="1"/>
  <c r="W150" i="9"/>
  <c r="J187" i="9" s="1"/>
  <c r="T150" i="9"/>
  <c r="J184" i="9" s="1"/>
  <c r="Q150" i="9"/>
  <c r="J181" i="9" s="1"/>
  <c r="N150" i="9"/>
  <c r="J178" i="9" s="1"/>
  <c r="L150" i="9"/>
  <c r="J176" i="9" s="1"/>
  <c r="DS149" i="9"/>
  <c r="I283" i="9" s="1"/>
  <c r="DP149" i="9"/>
  <c r="DM149" i="9"/>
  <c r="I277" i="9" s="1"/>
  <c r="DJ149" i="9"/>
  <c r="I274" i="9" s="1"/>
  <c r="DH149" i="9"/>
  <c r="I272" i="9" s="1"/>
  <c r="CT149" i="9"/>
  <c r="I259" i="9" s="1"/>
  <c r="CQ149" i="9"/>
  <c r="I256" i="9" s="1"/>
  <c r="CN149" i="9"/>
  <c r="I253" i="9" s="1"/>
  <c r="CK149" i="9"/>
  <c r="I250" i="9" s="1"/>
  <c r="CI149" i="9"/>
  <c r="I248" i="9" s="1"/>
  <c r="BU149" i="9"/>
  <c r="I235" i="9" s="1"/>
  <c r="BR149" i="9"/>
  <c r="I232" i="9" s="1"/>
  <c r="BO149" i="9"/>
  <c r="I229" i="9" s="1"/>
  <c r="BL149" i="9"/>
  <c r="I226" i="9" s="1"/>
  <c r="BJ149" i="9"/>
  <c r="I224" i="9" s="1"/>
  <c r="AV149" i="9"/>
  <c r="I210" i="9" s="1"/>
  <c r="AS149" i="9"/>
  <c r="I207" i="9" s="1"/>
  <c r="AP149" i="9"/>
  <c r="I204" i="9" s="1"/>
  <c r="AM149" i="9"/>
  <c r="I201" i="9" s="1"/>
  <c r="AK149" i="9"/>
  <c r="I199" i="9" s="1"/>
  <c r="W149" i="9"/>
  <c r="I187" i="9" s="1"/>
  <c r="T149" i="9"/>
  <c r="I184" i="9" s="1"/>
  <c r="Q149" i="9"/>
  <c r="I181" i="9" s="1"/>
  <c r="N149" i="9"/>
  <c r="I178" i="9" s="1"/>
  <c r="L149" i="9"/>
  <c r="I176" i="9" s="1"/>
  <c r="DS148" i="9"/>
  <c r="H283" i="9" s="1"/>
  <c r="DP148" i="9"/>
  <c r="DM148" i="9"/>
  <c r="H277" i="9" s="1"/>
  <c r="DJ148" i="9"/>
  <c r="H274" i="9" s="1"/>
  <c r="DH148" i="9"/>
  <c r="H272" i="9" s="1"/>
  <c r="CT148" i="9"/>
  <c r="H259" i="9" s="1"/>
  <c r="CQ148" i="9"/>
  <c r="H256" i="9" s="1"/>
  <c r="CN148" i="9"/>
  <c r="H253" i="9" s="1"/>
  <c r="CK148" i="9"/>
  <c r="H250" i="9" s="1"/>
  <c r="CI148" i="9"/>
  <c r="H248" i="9" s="1"/>
  <c r="BU148" i="9"/>
  <c r="H235" i="9" s="1"/>
  <c r="BR148" i="9"/>
  <c r="H232" i="9" s="1"/>
  <c r="BO148" i="9"/>
  <c r="H229" i="9" s="1"/>
  <c r="BL148" i="9"/>
  <c r="H226" i="9" s="1"/>
  <c r="BJ148" i="9"/>
  <c r="H224" i="9" s="1"/>
  <c r="AV148" i="9"/>
  <c r="H210" i="9" s="1"/>
  <c r="AS148" i="9"/>
  <c r="H207" i="9" s="1"/>
  <c r="AP148" i="9"/>
  <c r="H204" i="9" s="1"/>
  <c r="AM148" i="9"/>
  <c r="H201" i="9" s="1"/>
  <c r="AK148" i="9"/>
  <c r="H199" i="9" s="1"/>
  <c r="W148" i="9"/>
  <c r="H187" i="9" s="1"/>
  <c r="T148" i="9"/>
  <c r="H184" i="9" s="1"/>
  <c r="Q148" i="9"/>
  <c r="H181" i="9" s="1"/>
  <c r="N148" i="9"/>
  <c r="H178" i="9" s="1"/>
  <c r="L148" i="9"/>
  <c r="H176" i="9" s="1"/>
  <c r="DS147" i="9"/>
  <c r="G283" i="9" s="1"/>
  <c r="DP147" i="9"/>
  <c r="DM147" i="9"/>
  <c r="G277" i="9" s="1"/>
  <c r="DJ147" i="9"/>
  <c r="G274" i="9" s="1"/>
  <c r="DH147" i="9"/>
  <c r="G272" i="9" s="1"/>
  <c r="CT147" i="9"/>
  <c r="G259" i="9" s="1"/>
  <c r="CQ147" i="9"/>
  <c r="G256" i="9" s="1"/>
  <c r="CN147" i="9"/>
  <c r="G253" i="9" s="1"/>
  <c r="CK147" i="9"/>
  <c r="G250" i="9" s="1"/>
  <c r="CI147" i="9"/>
  <c r="G248" i="9" s="1"/>
  <c r="BU147" i="9"/>
  <c r="G235" i="9" s="1"/>
  <c r="BR147" i="9"/>
  <c r="G232" i="9" s="1"/>
  <c r="BO147" i="9"/>
  <c r="G229" i="9" s="1"/>
  <c r="BL147" i="9"/>
  <c r="G226" i="9" s="1"/>
  <c r="BJ147" i="9"/>
  <c r="G224" i="9" s="1"/>
  <c r="AV147" i="9"/>
  <c r="G210" i="9" s="1"/>
  <c r="AS147" i="9"/>
  <c r="G207" i="9" s="1"/>
  <c r="AP147" i="9"/>
  <c r="G204" i="9" s="1"/>
  <c r="AM147" i="9"/>
  <c r="G201" i="9" s="1"/>
  <c r="AK147" i="9"/>
  <c r="G199" i="9" s="1"/>
  <c r="W147" i="9"/>
  <c r="G187" i="9" s="1"/>
  <c r="T147" i="9"/>
  <c r="G184" i="9" s="1"/>
  <c r="Q147" i="9"/>
  <c r="G181" i="9" s="1"/>
  <c r="N147" i="9"/>
  <c r="G178" i="9" s="1"/>
  <c r="L147" i="9"/>
  <c r="G176" i="9" s="1"/>
  <c r="DS146" i="9"/>
  <c r="F283" i="9" s="1"/>
  <c r="DP146" i="9"/>
  <c r="DM146" i="9"/>
  <c r="F277" i="9" s="1"/>
  <c r="DJ146" i="9"/>
  <c r="F274" i="9" s="1"/>
  <c r="DH146" i="9"/>
  <c r="F272" i="9" s="1"/>
  <c r="CZ146" i="9"/>
  <c r="CZ147" i="9" s="1"/>
  <c r="CZ148" i="9" s="1"/>
  <c r="CZ149" i="9" s="1"/>
  <c r="CZ150" i="9" s="1"/>
  <c r="CZ151" i="9" s="1"/>
  <c r="CZ152" i="9" s="1"/>
  <c r="CZ153" i="9" s="1"/>
  <c r="CZ154" i="9" s="1"/>
  <c r="CZ155" i="9" s="1"/>
  <c r="CZ156" i="9" s="1"/>
  <c r="CZ157" i="9" s="1"/>
  <c r="CZ158" i="9" s="1"/>
  <c r="CZ159" i="9" s="1"/>
  <c r="CZ160" i="9" s="1"/>
  <c r="CZ161" i="9" s="1"/>
  <c r="CZ162" i="9" s="1"/>
  <c r="CZ163" i="9" s="1"/>
  <c r="CT146" i="9"/>
  <c r="F259" i="9" s="1"/>
  <c r="CQ146" i="9"/>
  <c r="F256" i="9" s="1"/>
  <c r="CN146" i="9"/>
  <c r="F253" i="9" s="1"/>
  <c r="CK146" i="9"/>
  <c r="F250" i="9" s="1"/>
  <c r="CI146" i="9"/>
  <c r="F248" i="9" s="1"/>
  <c r="CA146" i="9"/>
  <c r="CA147" i="9" s="1"/>
  <c r="CA148" i="9" s="1"/>
  <c r="CA149" i="9" s="1"/>
  <c r="CA150" i="9" s="1"/>
  <c r="CA151" i="9" s="1"/>
  <c r="CA152" i="9" s="1"/>
  <c r="CA153" i="9" s="1"/>
  <c r="CA154" i="9" s="1"/>
  <c r="CA155" i="9" s="1"/>
  <c r="CA156" i="9" s="1"/>
  <c r="CA157" i="9" s="1"/>
  <c r="CA158" i="9" s="1"/>
  <c r="CA159" i="9" s="1"/>
  <c r="CA160" i="9" s="1"/>
  <c r="CA161" i="9" s="1"/>
  <c r="CA162" i="9" s="1"/>
  <c r="CA163" i="9" s="1"/>
  <c r="BU146" i="9"/>
  <c r="F235" i="9" s="1"/>
  <c r="BR146" i="9"/>
  <c r="F232" i="9" s="1"/>
  <c r="BO146" i="9"/>
  <c r="F229" i="9" s="1"/>
  <c r="BL146" i="9"/>
  <c r="F226" i="9" s="1"/>
  <c r="BJ146" i="9"/>
  <c r="F224" i="9" s="1"/>
  <c r="BB146" i="9"/>
  <c r="BB147" i="9" s="1"/>
  <c r="BB148" i="9" s="1"/>
  <c r="BB149" i="9" s="1"/>
  <c r="BB150" i="9" s="1"/>
  <c r="BB151" i="9" s="1"/>
  <c r="BB152" i="9" s="1"/>
  <c r="BB153" i="9" s="1"/>
  <c r="BB154" i="9" s="1"/>
  <c r="BB155" i="9" s="1"/>
  <c r="BB156" i="9" s="1"/>
  <c r="BB157" i="9" s="1"/>
  <c r="BB158" i="9" s="1"/>
  <c r="BB159" i="9" s="1"/>
  <c r="BB160" i="9" s="1"/>
  <c r="BB161" i="9" s="1"/>
  <c r="BB162" i="9" s="1"/>
  <c r="BB163" i="9" s="1"/>
  <c r="AV146" i="9"/>
  <c r="F210" i="9" s="1"/>
  <c r="AS146" i="9"/>
  <c r="F207" i="9" s="1"/>
  <c r="AP146" i="9"/>
  <c r="F204" i="9" s="1"/>
  <c r="AM146" i="9"/>
  <c r="F201" i="9" s="1"/>
  <c r="AK146" i="9"/>
  <c r="F199" i="9" s="1"/>
  <c r="AC146" i="9"/>
  <c r="AC147" i="9" s="1"/>
  <c r="AC148" i="9" s="1"/>
  <c r="AC149" i="9" s="1"/>
  <c r="AC150" i="9" s="1"/>
  <c r="AC151" i="9" s="1"/>
  <c r="AC152" i="9" s="1"/>
  <c r="AC153" i="9" s="1"/>
  <c r="AC154" i="9" s="1"/>
  <c r="AC155" i="9" s="1"/>
  <c r="AC156" i="9" s="1"/>
  <c r="AC157" i="9" s="1"/>
  <c r="AC158" i="9" s="1"/>
  <c r="AC159" i="9" s="1"/>
  <c r="AC160" i="9" s="1"/>
  <c r="AC161" i="9" s="1"/>
  <c r="AC162" i="9" s="1"/>
  <c r="AC163" i="9" s="1"/>
  <c r="W146" i="9"/>
  <c r="F187" i="9" s="1"/>
  <c r="T146" i="9"/>
  <c r="F184" i="9" s="1"/>
  <c r="Q146" i="9"/>
  <c r="F181" i="9" s="1"/>
  <c r="N146" i="9"/>
  <c r="F178" i="9" s="1"/>
  <c r="L146" i="9"/>
  <c r="F176" i="9" s="1"/>
  <c r="D146" i="9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S145" i="9"/>
  <c r="E283" i="9" s="1"/>
  <c r="DP145" i="9"/>
  <c r="DM145" i="9"/>
  <c r="E277" i="9" s="1"/>
  <c r="DJ145" i="9"/>
  <c r="E274" i="9" s="1"/>
  <c r="DH145" i="9"/>
  <c r="E272" i="9" s="1"/>
  <c r="CT145" i="9"/>
  <c r="E259" i="9" s="1"/>
  <c r="CQ145" i="9"/>
  <c r="E256" i="9" s="1"/>
  <c r="CN145" i="9"/>
  <c r="E253" i="9" s="1"/>
  <c r="CK145" i="9"/>
  <c r="E250" i="9" s="1"/>
  <c r="CI145" i="9"/>
  <c r="E248" i="9" s="1"/>
  <c r="BU145" i="9"/>
  <c r="E235" i="9" s="1"/>
  <c r="BR145" i="9"/>
  <c r="E232" i="9" s="1"/>
  <c r="BO145" i="9"/>
  <c r="E229" i="9" s="1"/>
  <c r="BL145" i="9"/>
  <c r="E226" i="9" s="1"/>
  <c r="BJ145" i="9"/>
  <c r="E224" i="9" s="1"/>
  <c r="AV145" i="9"/>
  <c r="E210" i="9" s="1"/>
  <c r="AS145" i="9"/>
  <c r="E207" i="9" s="1"/>
  <c r="AP145" i="9"/>
  <c r="E204" i="9" s="1"/>
  <c r="AM145" i="9"/>
  <c r="E201" i="9" s="1"/>
  <c r="AK145" i="9"/>
  <c r="E199" i="9" s="1"/>
  <c r="W145" i="9"/>
  <c r="E187" i="9" s="1"/>
  <c r="T145" i="9"/>
  <c r="E184" i="9" s="1"/>
  <c r="Q145" i="9"/>
  <c r="E181" i="9" s="1"/>
  <c r="N145" i="9"/>
  <c r="E178" i="9" s="1"/>
  <c r="L145" i="9"/>
  <c r="E176" i="9" s="1"/>
  <c r="J138" i="9"/>
  <c r="J137" i="9"/>
  <c r="J136" i="9"/>
  <c r="J135" i="9"/>
  <c r="CR163" i="9"/>
  <c r="J134" i="9"/>
  <c r="CU163" i="9"/>
  <c r="BV163" i="9"/>
  <c r="W236" i="9" s="1"/>
  <c r="AW163" i="9"/>
  <c r="X133" i="9"/>
  <c r="X134" i="9" s="1"/>
  <c r="X135" i="9" s="1"/>
  <c r="X136" i="9" s="1"/>
  <c r="X137" i="9" s="1"/>
  <c r="X138" i="9" s="1"/>
  <c r="U133" i="9"/>
  <c r="U134" i="9" s="1"/>
  <c r="U135" i="9" s="1"/>
  <c r="U136" i="9" s="1"/>
  <c r="U137" i="9" s="1"/>
  <c r="U138" i="9" s="1"/>
  <c r="L133" i="9"/>
  <c r="J133" i="9"/>
  <c r="C133" i="9"/>
  <c r="W133" i="9" s="1"/>
  <c r="Y133" i="9" s="1"/>
  <c r="B133" i="9"/>
  <c r="B134" i="9" s="1"/>
  <c r="B135" i="9" s="1"/>
  <c r="B136" i="9" s="1"/>
  <c r="B137" i="9" s="1"/>
  <c r="B138" i="9" s="1"/>
  <c r="W132" i="9"/>
  <c r="Y132" i="9" s="1"/>
  <c r="T132" i="9"/>
  <c r="V132" i="9" s="1"/>
  <c r="Q132" i="9"/>
  <c r="N132" i="9"/>
  <c r="L132" i="9"/>
  <c r="J132" i="9"/>
  <c r="J131" i="9"/>
  <c r="J130" i="9"/>
  <c r="J129" i="9"/>
  <c r="J128" i="9"/>
  <c r="J127" i="9"/>
  <c r="CU162" i="9"/>
  <c r="V260" i="9" s="1"/>
  <c r="BV162" i="9"/>
  <c r="AW162" i="9"/>
  <c r="V211" i="9" s="1"/>
  <c r="X126" i="9"/>
  <c r="X127" i="9" s="1"/>
  <c r="X128" i="9" s="1"/>
  <c r="X129" i="9" s="1"/>
  <c r="X130" i="9" s="1"/>
  <c r="X131" i="9" s="1"/>
  <c r="U126" i="9"/>
  <c r="U127" i="9" s="1"/>
  <c r="U128" i="9" s="1"/>
  <c r="U129" i="9" s="1"/>
  <c r="U130" i="9" s="1"/>
  <c r="U131" i="9" s="1"/>
  <c r="J126" i="9"/>
  <c r="C126" i="9"/>
  <c r="B126" i="9"/>
  <c r="B127" i="9" s="1"/>
  <c r="B128" i="9" s="1"/>
  <c r="B129" i="9" s="1"/>
  <c r="B130" i="9" s="1"/>
  <c r="B131" i="9" s="1"/>
  <c r="Y125" i="9"/>
  <c r="W125" i="9"/>
  <c r="T125" i="9"/>
  <c r="V125" i="9" s="1"/>
  <c r="Q125" i="9"/>
  <c r="N125" i="9"/>
  <c r="L125" i="9"/>
  <c r="J125" i="9"/>
  <c r="J124" i="9"/>
  <c r="J123" i="9"/>
  <c r="J122" i="9"/>
  <c r="J121" i="9"/>
  <c r="BV161" i="9"/>
  <c r="U236" i="9" s="1"/>
  <c r="J120" i="9"/>
  <c r="X119" i="9"/>
  <c r="X120" i="9" s="1"/>
  <c r="X121" i="9" s="1"/>
  <c r="X122" i="9" s="1"/>
  <c r="X123" i="9" s="1"/>
  <c r="X124" i="9" s="1"/>
  <c r="X161" i="9" s="1"/>
  <c r="U188" i="9" s="1"/>
  <c r="U119" i="9"/>
  <c r="U120" i="9" s="1"/>
  <c r="U121" i="9" s="1"/>
  <c r="U122" i="9" s="1"/>
  <c r="U123" i="9" s="1"/>
  <c r="U124" i="9" s="1"/>
  <c r="U161" i="9" s="1"/>
  <c r="U185" i="9" s="1"/>
  <c r="J119" i="9"/>
  <c r="C119" i="9"/>
  <c r="AK119" i="9" s="1"/>
  <c r="B119" i="9"/>
  <c r="B120" i="9" s="1"/>
  <c r="B122" i="9" s="1"/>
  <c r="B123" i="9" s="1"/>
  <c r="B124" i="9" s="1"/>
  <c r="W118" i="9"/>
  <c r="Y118" i="9" s="1"/>
  <c r="T118" i="9"/>
  <c r="V118" i="9" s="1"/>
  <c r="Q118" i="9"/>
  <c r="N118" i="9"/>
  <c r="L118" i="9"/>
  <c r="J118" i="9"/>
  <c r="J117" i="9"/>
  <c r="J116" i="9"/>
  <c r="J115" i="9"/>
  <c r="J114" i="9"/>
  <c r="J113" i="9"/>
  <c r="DT160" i="9"/>
  <c r="CR160" i="9"/>
  <c r="T257" i="9" s="1"/>
  <c r="X112" i="9"/>
  <c r="X113" i="9" s="1"/>
  <c r="X114" i="9" s="1"/>
  <c r="X115" i="9" s="1"/>
  <c r="X116" i="9" s="1"/>
  <c r="X117" i="9" s="1"/>
  <c r="X160" i="9" s="1"/>
  <c r="U112" i="9"/>
  <c r="U113" i="9" s="1"/>
  <c r="U114" i="9" s="1"/>
  <c r="U115" i="9" s="1"/>
  <c r="U116" i="9" s="1"/>
  <c r="U117" i="9" s="1"/>
  <c r="U160" i="9" s="1"/>
  <c r="J112" i="9"/>
  <c r="C112" i="9"/>
  <c r="BR112" i="9" s="1"/>
  <c r="B112" i="9"/>
  <c r="B113" i="9" s="1"/>
  <c r="B115" i="9" s="1"/>
  <c r="B116" i="9" s="1"/>
  <c r="B117" i="9" s="1"/>
  <c r="W111" i="9"/>
  <c r="Y111" i="9" s="1"/>
  <c r="T111" i="9"/>
  <c r="V111" i="9" s="1"/>
  <c r="Q111" i="9"/>
  <c r="N111" i="9"/>
  <c r="L111" i="9"/>
  <c r="J111" i="9"/>
  <c r="J110" i="9"/>
  <c r="J109" i="9"/>
  <c r="J108" i="9"/>
  <c r="J107" i="9"/>
  <c r="BV159" i="9"/>
  <c r="J106" i="9"/>
  <c r="DT159" i="9"/>
  <c r="CU159" i="9"/>
  <c r="S260" i="9" s="1"/>
  <c r="BS159" i="9"/>
  <c r="S233" i="9" s="1"/>
  <c r="X105" i="9"/>
  <c r="X106" i="9" s="1"/>
  <c r="X107" i="9" s="1"/>
  <c r="X108" i="9" s="1"/>
  <c r="X109" i="9" s="1"/>
  <c r="X110" i="9" s="1"/>
  <c r="X159" i="9" s="1"/>
  <c r="U105" i="9"/>
  <c r="U106" i="9" s="1"/>
  <c r="U107" i="9" s="1"/>
  <c r="U108" i="9" s="1"/>
  <c r="U109" i="9" s="1"/>
  <c r="U110" i="9" s="1"/>
  <c r="U159" i="9" s="1"/>
  <c r="S185" i="9" s="1"/>
  <c r="J105" i="9"/>
  <c r="C105" i="9"/>
  <c r="CN105" i="9" s="1"/>
  <c r="B105" i="9"/>
  <c r="B106" i="9" s="1"/>
  <c r="B107" i="9" s="1"/>
  <c r="B108" i="9" s="1"/>
  <c r="B109" i="9" s="1"/>
  <c r="B110" i="9" s="1"/>
  <c r="W104" i="9"/>
  <c r="Y104" i="9" s="1"/>
  <c r="T104" i="9"/>
  <c r="V104" i="9" s="1"/>
  <c r="Q104" i="9"/>
  <c r="N104" i="9"/>
  <c r="L104" i="9"/>
  <c r="J104" i="9"/>
  <c r="J103" i="9"/>
  <c r="J102" i="9"/>
  <c r="J101" i="9"/>
  <c r="J100" i="9"/>
  <c r="AW158" i="9"/>
  <c r="J99" i="9"/>
  <c r="CU158" i="9"/>
  <c r="BV158" i="9"/>
  <c r="R236" i="9" s="1"/>
  <c r="X98" i="9"/>
  <c r="X99" i="9" s="1"/>
  <c r="X100" i="9" s="1"/>
  <c r="X101" i="9" s="1"/>
  <c r="X102" i="9" s="1"/>
  <c r="X103" i="9" s="1"/>
  <c r="X158" i="9" s="1"/>
  <c r="R188" i="9" s="1"/>
  <c r="U98" i="9"/>
  <c r="U99" i="9" s="1"/>
  <c r="U100" i="9" s="1"/>
  <c r="U101" i="9" s="1"/>
  <c r="U102" i="9" s="1"/>
  <c r="U103" i="9" s="1"/>
  <c r="U158" i="9" s="1"/>
  <c r="J98" i="9"/>
  <c r="C98" i="9"/>
  <c r="AM98" i="9" s="1"/>
  <c r="B98" i="9"/>
  <c r="B99" i="9" s="1"/>
  <c r="B100" i="9" s="1"/>
  <c r="B101" i="9" s="1"/>
  <c r="B102" i="9" s="1"/>
  <c r="B103" i="9" s="1"/>
  <c r="W97" i="9"/>
  <c r="Y97" i="9" s="1"/>
  <c r="V97" i="9"/>
  <c r="T97" i="9"/>
  <c r="Q97" i="9"/>
  <c r="N97" i="9"/>
  <c r="L97" i="9"/>
  <c r="J97" i="9"/>
  <c r="J96" i="9"/>
  <c r="J95" i="9"/>
  <c r="J94" i="9"/>
  <c r="J93" i="9"/>
  <c r="J92" i="9"/>
  <c r="DT157" i="9"/>
  <c r="CU157" i="9"/>
  <c r="Q260" i="9" s="1"/>
  <c r="BV157" i="9"/>
  <c r="X91" i="9"/>
  <c r="X92" i="9" s="1"/>
  <c r="X93" i="9" s="1"/>
  <c r="X94" i="9" s="1"/>
  <c r="X95" i="9" s="1"/>
  <c r="X96" i="9" s="1"/>
  <c r="X157" i="9" s="1"/>
  <c r="W91" i="9"/>
  <c r="U91" i="9"/>
  <c r="U92" i="9" s="1"/>
  <c r="U93" i="9" s="1"/>
  <c r="U94" i="9" s="1"/>
  <c r="U95" i="9" s="1"/>
  <c r="U96" i="9" s="1"/>
  <c r="U157" i="9" s="1"/>
  <c r="Q185" i="9" s="1"/>
  <c r="N91" i="9"/>
  <c r="J91" i="9"/>
  <c r="C91" i="9"/>
  <c r="L91" i="9" s="1"/>
  <c r="Y90" i="9"/>
  <c r="W90" i="9"/>
  <c r="T90" i="9"/>
  <c r="V90" i="9" s="1"/>
  <c r="Q90" i="9"/>
  <c r="N90" i="9"/>
  <c r="L90" i="9"/>
  <c r="J90" i="9"/>
  <c r="J89" i="9"/>
  <c r="J88" i="9"/>
  <c r="J87" i="9"/>
  <c r="J86" i="9"/>
  <c r="J85" i="9"/>
  <c r="CU156" i="9"/>
  <c r="BV156" i="9"/>
  <c r="P236" i="9" s="1"/>
  <c r="AW156" i="9"/>
  <c r="X84" i="9"/>
  <c r="X85" i="9" s="1"/>
  <c r="X86" i="9" s="1"/>
  <c r="X87" i="9" s="1"/>
  <c r="X88" i="9" s="1"/>
  <c r="X89" i="9" s="1"/>
  <c r="X156" i="9" s="1"/>
  <c r="P188" i="9" s="1"/>
  <c r="U84" i="9"/>
  <c r="U85" i="9" s="1"/>
  <c r="U86" i="9" s="1"/>
  <c r="U87" i="9" s="1"/>
  <c r="U88" i="9" s="1"/>
  <c r="U89" i="9" s="1"/>
  <c r="U156" i="9" s="1"/>
  <c r="P185" i="9" s="1"/>
  <c r="J84" i="9"/>
  <c r="C84" i="9"/>
  <c r="AS84" i="9" s="1"/>
  <c r="AU84" i="9" s="1"/>
  <c r="B85" i="9"/>
  <c r="B86" i="9" s="1"/>
  <c r="B87" i="9" s="1"/>
  <c r="B88" i="9" s="1"/>
  <c r="B89" i="9" s="1"/>
  <c r="W83" i="9"/>
  <c r="Y83" i="9" s="1"/>
  <c r="T83" i="9"/>
  <c r="V83" i="9" s="1"/>
  <c r="Q83" i="9"/>
  <c r="N83" i="9"/>
  <c r="L83" i="9"/>
  <c r="J83" i="9"/>
  <c r="J82" i="9"/>
  <c r="J81" i="9"/>
  <c r="J80" i="9"/>
  <c r="J79" i="9"/>
  <c r="AW155" i="9"/>
  <c r="O211" i="9" s="1"/>
  <c r="J78" i="9"/>
  <c r="BV155" i="9"/>
  <c r="X77" i="9"/>
  <c r="X78" i="9" s="1"/>
  <c r="X79" i="9" s="1"/>
  <c r="X80" i="9" s="1"/>
  <c r="X81" i="9" s="1"/>
  <c r="X82" i="9" s="1"/>
  <c r="X155" i="9" s="1"/>
  <c r="U77" i="9"/>
  <c r="U78" i="9" s="1"/>
  <c r="U79" i="9" s="1"/>
  <c r="U80" i="9" s="1"/>
  <c r="U81" i="9" s="1"/>
  <c r="U82" i="9" s="1"/>
  <c r="U155" i="9" s="1"/>
  <c r="J77" i="9"/>
  <c r="C77" i="9"/>
  <c r="CK77" i="9" s="1"/>
  <c r="B77" i="9"/>
  <c r="B78" i="9" s="1"/>
  <c r="B79" i="9" s="1"/>
  <c r="B80" i="9" s="1"/>
  <c r="B81" i="9" s="1"/>
  <c r="B82" i="9" s="1"/>
  <c r="W76" i="9"/>
  <c r="Y76" i="9" s="1"/>
  <c r="T76" i="9"/>
  <c r="V76" i="9" s="1"/>
  <c r="Q76" i="9"/>
  <c r="N76" i="9"/>
  <c r="L76" i="9"/>
  <c r="J76" i="9"/>
  <c r="J75" i="9"/>
  <c r="J74" i="9"/>
  <c r="J73" i="9"/>
  <c r="J72" i="9"/>
  <c r="BV154" i="9"/>
  <c r="N236" i="9" s="1"/>
  <c r="J71" i="9"/>
  <c r="C71" i="9"/>
  <c r="AP71" i="9" s="1"/>
  <c r="BS154" i="9"/>
  <c r="N233" i="9" s="1"/>
  <c r="AW154" i="9"/>
  <c r="X70" i="9"/>
  <c r="X71" i="9" s="1"/>
  <c r="X72" i="9" s="1"/>
  <c r="X73" i="9" s="1"/>
  <c r="X74" i="9" s="1"/>
  <c r="X75" i="9" s="1"/>
  <c r="X154" i="9" s="1"/>
  <c r="N188" i="9" s="1"/>
  <c r="N312" i="9" s="1"/>
  <c r="W70" i="9"/>
  <c r="U70" i="9"/>
  <c r="U71" i="9" s="1"/>
  <c r="U72" i="9" s="1"/>
  <c r="U73" i="9" s="1"/>
  <c r="U74" i="9" s="1"/>
  <c r="U75" i="9" s="1"/>
  <c r="U154" i="9" s="1"/>
  <c r="N185" i="9" s="1"/>
  <c r="N70" i="9"/>
  <c r="J70" i="9"/>
  <c r="C70" i="9"/>
  <c r="AS70" i="9" s="1"/>
  <c r="AU70" i="9" s="1"/>
  <c r="B70" i="9"/>
  <c r="B71" i="9" s="1"/>
  <c r="B72" i="9" s="1"/>
  <c r="B73" i="9" s="1"/>
  <c r="B74" i="9" s="1"/>
  <c r="B75" i="9" s="1"/>
  <c r="W69" i="9"/>
  <c r="Y69" i="9" s="1"/>
  <c r="T69" i="9"/>
  <c r="V69" i="9" s="1"/>
  <c r="Q69" i="9"/>
  <c r="N69" i="9"/>
  <c r="L69" i="9"/>
  <c r="J69" i="9"/>
  <c r="J68" i="9"/>
  <c r="J67" i="9"/>
  <c r="J66" i="9"/>
  <c r="J65" i="9"/>
  <c r="J64" i="9"/>
  <c r="BV153" i="9"/>
  <c r="AT153" i="9"/>
  <c r="M208" i="9" s="1"/>
  <c r="X63" i="9"/>
  <c r="X64" i="9" s="1"/>
  <c r="X65" i="9" s="1"/>
  <c r="X66" i="9" s="1"/>
  <c r="X67" i="9" s="1"/>
  <c r="X68" i="9" s="1"/>
  <c r="X153" i="9" s="1"/>
  <c r="U63" i="9"/>
  <c r="U64" i="9" s="1"/>
  <c r="U65" i="9" s="1"/>
  <c r="U66" i="9" s="1"/>
  <c r="U67" i="9" s="1"/>
  <c r="U68" i="9" s="1"/>
  <c r="U153" i="9" s="1"/>
  <c r="J63" i="9"/>
  <c r="C63" i="9"/>
  <c r="B63" i="9"/>
  <c r="B64" i="9" s="1"/>
  <c r="B65" i="9" s="1"/>
  <c r="B66" i="9" s="1"/>
  <c r="B67" i="9" s="1"/>
  <c r="B68" i="9" s="1"/>
  <c r="W62" i="9"/>
  <c r="Y62" i="9" s="1"/>
  <c r="T62" i="9"/>
  <c r="V62" i="9" s="1"/>
  <c r="Q62" i="9"/>
  <c r="N62" i="9"/>
  <c r="L62" i="9"/>
  <c r="J62" i="9"/>
  <c r="J61" i="9"/>
  <c r="J60" i="9"/>
  <c r="J59" i="9"/>
  <c r="J58" i="9"/>
  <c r="BV152" i="9"/>
  <c r="L236" i="9" s="1"/>
  <c r="J57" i="9"/>
  <c r="AW152" i="9"/>
  <c r="X56" i="9"/>
  <c r="X57" i="9" s="1"/>
  <c r="X58" i="9" s="1"/>
  <c r="X59" i="9" s="1"/>
  <c r="X60" i="9" s="1"/>
  <c r="X61" i="9" s="1"/>
  <c r="X152" i="9" s="1"/>
  <c r="L188" i="9" s="1"/>
  <c r="W56" i="9"/>
  <c r="U56" i="9"/>
  <c r="U57" i="9" s="1"/>
  <c r="U58" i="9" s="1"/>
  <c r="U59" i="9" s="1"/>
  <c r="U60" i="9" s="1"/>
  <c r="U61" i="9" s="1"/>
  <c r="U152" i="9" s="1"/>
  <c r="L185" i="9" s="1"/>
  <c r="N56" i="9"/>
  <c r="J56" i="9"/>
  <c r="C56" i="9"/>
  <c r="L56" i="9" s="1"/>
  <c r="B56" i="9"/>
  <c r="B57" i="9" s="1"/>
  <c r="B58" i="9" s="1"/>
  <c r="B59" i="9" s="1"/>
  <c r="B61" i="9" s="1"/>
  <c r="W55" i="9"/>
  <c r="Y55" i="9" s="1"/>
  <c r="T55" i="9"/>
  <c r="V55" i="9" s="1"/>
  <c r="Q55" i="9"/>
  <c r="N55" i="9"/>
  <c r="L55" i="9"/>
  <c r="J55" i="9"/>
  <c r="J54" i="9"/>
  <c r="J53" i="9"/>
  <c r="J52" i="9"/>
  <c r="J51" i="9"/>
  <c r="J50" i="9"/>
  <c r="AW151" i="9"/>
  <c r="X49" i="9"/>
  <c r="X50" i="9" s="1"/>
  <c r="X51" i="9" s="1"/>
  <c r="X52" i="9" s="1"/>
  <c r="X53" i="9" s="1"/>
  <c r="X54" i="9" s="1"/>
  <c r="X151" i="9" s="1"/>
  <c r="K188" i="9" s="1"/>
  <c r="K312" i="9" s="1"/>
  <c r="U49" i="9"/>
  <c r="U50" i="9" s="1"/>
  <c r="U51" i="9" s="1"/>
  <c r="U52" i="9" s="1"/>
  <c r="U53" i="9" s="1"/>
  <c r="U54" i="9" s="1"/>
  <c r="U151" i="9" s="1"/>
  <c r="J49" i="9"/>
  <c r="C49" i="9"/>
  <c r="AP49" i="9" s="1"/>
  <c r="B49" i="9"/>
  <c r="B50" i="9" s="1"/>
  <c r="B51" i="9" s="1"/>
  <c r="B52" i="9" s="1"/>
  <c r="B54" i="9" s="1"/>
  <c r="W48" i="9"/>
  <c r="Y48" i="9" s="1"/>
  <c r="T48" i="9"/>
  <c r="V48" i="9" s="1"/>
  <c r="Q48" i="9"/>
  <c r="N48" i="9"/>
  <c r="L48" i="9"/>
  <c r="J48" i="9"/>
  <c r="J47" i="9"/>
  <c r="J46" i="9"/>
  <c r="J45" i="9"/>
  <c r="J44" i="9"/>
  <c r="B44" i="9"/>
  <c r="B45" i="9" s="1"/>
  <c r="B46" i="9" s="1"/>
  <c r="B47" i="9" s="1"/>
  <c r="J43" i="9"/>
  <c r="X42" i="9"/>
  <c r="X43" i="9" s="1"/>
  <c r="X44" i="9" s="1"/>
  <c r="X45" i="9" s="1"/>
  <c r="X46" i="9" s="1"/>
  <c r="X47" i="9" s="1"/>
  <c r="X150" i="9" s="1"/>
  <c r="U42" i="9"/>
  <c r="U43" i="9" s="1"/>
  <c r="U44" i="9" s="1"/>
  <c r="U45" i="9" s="1"/>
  <c r="U46" i="9" s="1"/>
  <c r="U47" i="9" s="1"/>
  <c r="U150" i="9" s="1"/>
  <c r="J185" i="9" s="1"/>
  <c r="J42" i="9"/>
  <c r="C42" i="9"/>
  <c r="AP42" i="9" s="1"/>
  <c r="B42" i="9"/>
  <c r="W41" i="9"/>
  <c r="Y41" i="9" s="1"/>
  <c r="T41" i="9"/>
  <c r="V41" i="9" s="1"/>
  <c r="Q41" i="9"/>
  <c r="N41" i="9"/>
  <c r="L41" i="9"/>
  <c r="J41" i="9"/>
  <c r="J40" i="9"/>
  <c r="J39" i="9"/>
  <c r="J38" i="9"/>
  <c r="J37" i="9"/>
  <c r="J36" i="9"/>
  <c r="X35" i="9"/>
  <c r="X36" i="9" s="1"/>
  <c r="X37" i="9" s="1"/>
  <c r="X38" i="9" s="1"/>
  <c r="X39" i="9" s="1"/>
  <c r="X40" i="9" s="1"/>
  <c r="X149" i="9" s="1"/>
  <c r="I188" i="9" s="1"/>
  <c r="U35" i="9"/>
  <c r="U36" i="9" s="1"/>
  <c r="U37" i="9" s="1"/>
  <c r="U38" i="9" s="1"/>
  <c r="U39" i="9" s="1"/>
  <c r="U40" i="9" s="1"/>
  <c r="U149" i="9" s="1"/>
  <c r="J35" i="9"/>
  <c r="C35" i="9"/>
  <c r="AK35" i="9" s="1"/>
  <c r="B35" i="9"/>
  <c r="B36" i="9" s="1"/>
  <c r="B37" i="9" s="1"/>
  <c r="B38" i="9" s="1"/>
  <c r="B39" i="9" s="1"/>
  <c r="B40" i="9" s="1"/>
  <c r="W34" i="9"/>
  <c r="Y34" i="9" s="1"/>
  <c r="T34" i="9"/>
  <c r="V34" i="9" s="1"/>
  <c r="Q34" i="9"/>
  <c r="N34" i="9"/>
  <c r="L34" i="9"/>
  <c r="J34" i="9"/>
  <c r="J33" i="9"/>
  <c r="J32" i="9"/>
  <c r="J31" i="9"/>
  <c r="J30" i="9"/>
  <c r="J29" i="9"/>
  <c r="X28" i="9"/>
  <c r="X29" i="9" s="1"/>
  <c r="X30" i="9" s="1"/>
  <c r="X31" i="9" s="1"/>
  <c r="X32" i="9" s="1"/>
  <c r="X33" i="9" s="1"/>
  <c r="X148" i="9" s="1"/>
  <c r="H188" i="9" s="1"/>
  <c r="U28" i="9"/>
  <c r="U29" i="9" s="1"/>
  <c r="U30" i="9" s="1"/>
  <c r="U31" i="9" s="1"/>
  <c r="U32" i="9" s="1"/>
  <c r="U33" i="9" s="1"/>
  <c r="U148" i="9" s="1"/>
  <c r="H185" i="9" s="1"/>
  <c r="J28" i="9"/>
  <c r="C28" i="9"/>
  <c r="AK28" i="9" s="1"/>
  <c r="W27" i="9"/>
  <c r="Y27" i="9" s="1"/>
  <c r="V27" i="9"/>
  <c r="T27" i="9"/>
  <c r="Q27" i="9"/>
  <c r="N27" i="9"/>
  <c r="L27" i="9"/>
  <c r="J27" i="9"/>
  <c r="J26" i="9"/>
  <c r="J25" i="9"/>
  <c r="J24" i="9"/>
  <c r="J23" i="9"/>
  <c r="J22" i="9"/>
  <c r="B23" i="9"/>
  <c r="B24" i="9" s="1"/>
  <c r="B25" i="9" s="1"/>
  <c r="B26" i="9" s="1"/>
  <c r="B27" i="9" s="1"/>
  <c r="B28" i="9" s="1"/>
  <c r="B30" i="9" s="1"/>
  <c r="B31" i="9" s="1"/>
  <c r="B32" i="9" s="1"/>
  <c r="B33" i="9" s="1"/>
  <c r="X21" i="9"/>
  <c r="X22" i="9" s="1"/>
  <c r="X23" i="9" s="1"/>
  <c r="X24" i="9" s="1"/>
  <c r="X25" i="9" s="1"/>
  <c r="X26" i="9" s="1"/>
  <c r="X147" i="9" s="1"/>
  <c r="G188" i="9" s="1"/>
  <c r="G312" i="9" s="1"/>
  <c r="U21" i="9"/>
  <c r="U22" i="9" s="1"/>
  <c r="U23" i="9" s="1"/>
  <c r="U24" i="9" s="1"/>
  <c r="U25" i="9" s="1"/>
  <c r="U26" i="9" s="1"/>
  <c r="U147" i="9" s="1"/>
  <c r="J21" i="9"/>
  <c r="C21" i="9"/>
  <c r="AP21" i="9" s="1"/>
  <c r="B21" i="9"/>
  <c r="W20" i="9"/>
  <c r="Y20" i="9" s="1"/>
  <c r="V20" i="9"/>
  <c r="T20" i="9"/>
  <c r="Q20" i="9"/>
  <c r="N20" i="9"/>
  <c r="L20" i="9"/>
  <c r="J20" i="9"/>
  <c r="AD146" i="9"/>
  <c r="F192" i="9" s="1"/>
  <c r="J19" i="9"/>
  <c r="J18" i="9"/>
  <c r="J17" i="9"/>
  <c r="J16" i="9"/>
  <c r="J15" i="9"/>
  <c r="X14" i="9"/>
  <c r="X15" i="9" s="1"/>
  <c r="X16" i="9" s="1"/>
  <c r="X17" i="9" s="1"/>
  <c r="X18" i="9" s="1"/>
  <c r="X19" i="9" s="1"/>
  <c r="X146" i="9" s="1"/>
  <c r="F188" i="9" s="1"/>
  <c r="W14" i="9"/>
  <c r="Y14" i="9" s="1"/>
  <c r="U14" i="9"/>
  <c r="U15" i="9" s="1"/>
  <c r="U16" i="9" s="1"/>
  <c r="U17" i="9" s="1"/>
  <c r="U18" i="9" s="1"/>
  <c r="U19" i="9" s="1"/>
  <c r="U146" i="9" s="1"/>
  <c r="F185" i="9" s="1"/>
  <c r="N14" i="9"/>
  <c r="L14" i="9"/>
  <c r="J14" i="9"/>
  <c r="C14" i="9"/>
  <c r="AM14" i="9" s="1"/>
  <c r="B14" i="9"/>
  <c r="B15" i="9" s="1"/>
  <c r="B16" i="9" s="1"/>
  <c r="B17" i="9" s="1"/>
  <c r="B18" i="9" s="1"/>
  <c r="B19" i="9" s="1"/>
  <c r="W13" i="9"/>
  <c r="Y13" i="9" s="1"/>
  <c r="T13" i="9"/>
  <c r="V13" i="9" s="1"/>
  <c r="Q13" i="9"/>
  <c r="N13" i="9"/>
  <c r="L13" i="9"/>
  <c r="J13" i="9"/>
  <c r="J12" i="9"/>
  <c r="J11" i="9"/>
  <c r="J10" i="9"/>
  <c r="J9" i="9"/>
  <c r="J8" i="9"/>
  <c r="X7" i="9"/>
  <c r="X8" i="9" s="1"/>
  <c r="X9" i="9" s="1"/>
  <c r="X10" i="9" s="1"/>
  <c r="X11" i="9" s="1"/>
  <c r="X12" i="9" s="1"/>
  <c r="X145" i="9" s="1"/>
  <c r="E188" i="9" s="1"/>
  <c r="U7" i="9"/>
  <c r="U8" i="9" s="1"/>
  <c r="U9" i="9" s="1"/>
  <c r="U10" i="9" s="1"/>
  <c r="U11" i="9" s="1"/>
  <c r="U12" i="9" s="1"/>
  <c r="U145" i="9" s="1"/>
  <c r="E185" i="9" s="1"/>
  <c r="J7" i="9"/>
  <c r="C7" i="9"/>
  <c r="AS7" i="9" s="1"/>
  <c r="B7" i="9"/>
  <c r="B8" i="9" s="1"/>
  <c r="B9" i="9" s="1"/>
  <c r="B10" i="9" s="1"/>
  <c r="B11" i="9" s="1"/>
  <c r="B12" i="9" s="1"/>
  <c r="E217" i="9"/>
  <c r="Y6" i="9"/>
  <c r="T6" i="9"/>
  <c r="V6" i="9" s="1"/>
  <c r="Q6" i="9"/>
  <c r="L6" i="9"/>
  <c r="J6" i="9"/>
  <c r="U312" i="9" l="1"/>
  <c r="S309" i="9"/>
  <c r="I312" i="9"/>
  <c r="L312" i="9"/>
  <c r="N309" i="9"/>
  <c r="P312" i="9"/>
  <c r="F312" i="9"/>
  <c r="F313" i="9" s="1"/>
  <c r="R312" i="9"/>
  <c r="H312" i="9"/>
  <c r="C345" i="9"/>
  <c r="DU134" i="9"/>
  <c r="N133" i="9"/>
  <c r="AK14" i="9"/>
  <c r="BW113" i="9"/>
  <c r="BZ50" i="9"/>
  <c r="BZ51" i="9" s="1"/>
  <c r="BZ52" i="9" s="1"/>
  <c r="CQ56" i="9"/>
  <c r="DU77" i="9"/>
  <c r="DS106" i="9"/>
  <c r="DU106" i="9" s="1"/>
  <c r="DU126" i="9"/>
  <c r="CY127" i="9"/>
  <c r="AP7" i="9"/>
  <c r="AX42" i="9"/>
  <c r="AX57" i="9"/>
  <c r="AM70" i="9"/>
  <c r="AX105" i="9"/>
  <c r="AB106" i="9"/>
  <c r="AV106" i="9" s="1"/>
  <c r="AX106" i="9" s="1"/>
  <c r="BK6" i="9"/>
  <c r="BA114" i="9"/>
  <c r="BO77" i="9"/>
  <c r="L70" i="9"/>
  <c r="AM77" i="9"/>
  <c r="BI6" i="9"/>
  <c r="BI7" i="9" s="1"/>
  <c r="BA71" i="9"/>
  <c r="CV106" i="9"/>
  <c r="CT112" i="9"/>
  <c r="CV112" i="9" s="1"/>
  <c r="DS49" i="9"/>
  <c r="DU49" i="9" s="1"/>
  <c r="AV9" i="9"/>
  <c r="AX9" i="9" s="1"/>
  <c r="AB10" i="9"/>
  <c r="AB11" i="9" s="1"/>
  <c r="AT147" i="9"/>
  <c r="G208" i="9" s="1"/>
  <c r="C85" i="9"/>
  <c r="AB114" i="9"/>
  <c r="AB115" i="9" s="1"/>
  <c r="AV113" i="9"/>
  <c r="AX113" i="9" s="1"/>
  <c r="BA51" i="9"/>
  <c r="BU50" i="9"/>
  <c r="AM21" i="9"/>
  <c r="AS28" i="9"/>
  <c r="AU28" i="9" s="1"/>
  <c r="AS35" i="9"/>
  <c r="AU35" i="9" s="1"/>
  <c r="AM42" i="9"/>
  <c r="AK49" i="9"/>
  <c r="AK71" i="9"/>
  <c r="AS77" i="9"/>
  <c r="AU77" i="9" s="1"/>
  <c r="CK21" i="9"/>
  <c r="DM28" i="9"/>
  <c r="Q84" i="9"/>
  <c r="AK21" i="9"/>
  <c r="AP28" i="9"/>
  <c r="AP35" i="9"/>
  <c r="AV35" i="9"/>
  <c r="AX35" i="9" s="1"/>
  <c r="AK42" i="9"/>
  <c r="CN98" i="9"/>
  <c r="DP14" i="9"/>
  <c r="DR14" i="9" s="1"/>
  <c r="DM14" i="9"/>
  <c r="CN14" i="9"/>
  <c r="CK14" i="9"/>
  <c r="DJ14" i="9"/>
  <c r="BR14" i="9"/>
  <c r="BT14" i="9" s="1"/>
  <c r="DH14" i="9"/>
  <c r="BO14" i="9"/>
  <c r="BL14" i="9"/>
  <c r="CQ14" i="9"/>
  <c r="CS14" i="9" s="1"/>
  <c r="BJ14" i="9"/>
  <c r="CI14" i="9"/>
  <c r="Q14" i="9"/>
  <c r="T21" i="9"/>
  <c r="DM56" i="9"/>
  <c r="DJ56" i="9"/>
  <c r="DH56" i="9"/>
  <c r="DP56" i="9"/>
  <c r="DR56" i="9" s="1"/>
  <c r="CN56" i="9"/>
  <c r="CK56" i="9"/>
  <c r="BR56" i="9"/>
  <c r="BT56" i="9" s="1"/>
  <c r="BO56" i="9"/>
  <c r="CI56" i="9"/>
  <c r="BL56" i="9"/>
  <c r="AK56" i="9"/>
  <c r="BJ56" i="9"/>
  <c r="AP56" i="9"/>
  <c r="Q56" i="9"/>
  <c r="DP70" i="9"/>
  <c r="DR70" i="9" s="1"/>
  <c r="DM70" i="9"/>
  <c r="DJ70" i="9"/>
  <c r="DH70" i="9"/>
  <c r="CK70" i="9"/>
  <c r="CI70" i="9"/>
  <c r="CQ70" i="9"/>
  <c r="CS70" i="9" s="1"/>
  <c r="BL70" i="9"/>
  <c r="CN70" i="9"/>
  <c r="BJ70" i="9"/>
  <c r="AK70" i="9"/>
  <c r="BR70" i="9"/>
  <c r="BT70" i="9" s="1"/>
  <c r="AP70" i="9"/>
  <c r="Q70" i="9"/>
  <c r="DJ91" i="9"/>
  <c r="DH91" i="9"/>
  <c r="DP91" i="9"/>
  <c r="DR91" i="9" s="1"/>
  <c r="CQ91" i="9"/>
  <c r="CS91" i="9" s="1"/>
  <c r="CN91" i="9"/>
  <c r="CK91" i="9"/>
  <c r="CI91" i="9"/>
  <c r="BL91" i="9"/>
  <c r="BJ91" i="9"/>
  <c r="BR91" i="9"/>
  <c r="BT91" i="9" s="1"/>
  <c r="AS91" i="9"/>
  <c r="AU91" i="9" s="1"/>
  <c r="DM91" i="9"/>
  <c r="BO91" i="9"/>
  <c r="AP91" i="9"/>
  <c r="AM91" i="9"/>
  <c r="Q91" i="9"/>
  <c r="DJ112" i="9"/>
  <c r="DH112" i="9"/>
  <c r="DP112" i="9"/>
  <c r="DR112" i="9" s="1"/>
  <c r="DM112" i="9"/>
  <c r="CQ112" i="9"/>
  <c r="CN112" i="9"/>
  <c r="CK112" i="9"/>
  <c r="BO112" i="9"/>
  <c r="CI112" i="9"/>
  <c r="BL112" i="9"/>
  <c r="BJ112" i="9"/>
  <c r="AM112" i="9"/>
  <c r="AK112" i="9"/>
  <c r="AS112" i="9"/>
  <c r="AU112" i="9" s="1"/>
  <c r="L119" i="9"/>
  <c r="W119" i="9"/>
  <c r="Y119" i="9" s="1"/>
  <c r="DP7" i="9"/>
  <c r="DR7" i="9" s="1"/>
  <c r="DH7" i="9"/>
  <c r="DM7" i="9"/>
  <c r="CI7" i="9"/>
  <c r="CQ7" i="9"/>
  <c r="CS7" i="9" s="1"/>
  <c r="DJ7" i="9"/>
  <c r="BJ7" i="9"/>
  <c r="CN7" i="9"/>
  <c r="BR7" i="9"/>
  <c r="BT7" i="9" s="1"/>
  <c r="BO7" i="9"/>
  <c r="BL7" i="9"/>
  <c r="C15" i="9"/>
  <c r="W15" i="9" s="1"/>
  <c r="Y15" i="9" s="1"/>
  <c r="C57" i="9"/>
  <c r="DM63" i="9"/>
  <c r="DJ63" i="9"/>
  <c r="DH63" i="9"/>
  <c r="CN63" i="9"/>
  <c r="DP63" i="9"/>
  <c r="DR63" i="9" s="1"/>
  <c r="CK63" i="9"/>
  <c r="CQ63" i="9"/>
  <c r="CS63" i="9" s="1"/>
  <c r="BO63" i="9"/>
  <c r="CI63" i="9"/>
  <c r="BL63" i="9"/>
  <c r="BJ63" i="9"/>
  <c r="AK63" i="9"/>
  <c r="AP63" i="9"/>
  <c r="DJ77" i="9"/>
  <c r="DH77" i="9"/>
  <c r="DM77" i="9"/>
  <c r="DP77" i="9"/>
  <c r="DR77" i="9" s="1"/>
  <c r="CQ77" i="9"/>
  <c r="CS77" i="9" s="1"/>
  <c r="CN77" i="9"/>
  <c r="CI77" i="9"/>
  <c r="BL77" i="9"/>
  <c r="BJ77" i="9"/>
  <c r="AK77" i="9"/>
  <c r="BR77" i="9"/>
  <c r="BT77" i="9" s="1"/>
  <c r="AP77" i="9"/>
  <c r="L84" i="9"/>
  <c r="W84" i="9"/>
  <c r="Y84" i="9" s="1"/>
  <c r="L105" i="9"/>
  <c r="N119" i="9"/>
  <c r="DP126" i="9"/>
  <c r="DR126" i="9" s="1"/>
  <c r="DM126" i="9"/>
  <c r="DJ126" i="9"/>
  <c r="DH126" i="9"/>
  <c r="CI126" i="9"/>
  <c r="CQ126" i="9"/>
  <c r="CS126" i="9" s="1"/>
  <c r="CN126" i="9"/>
  <c r="BJ126" i="9"/>
  <c r="CK126" i="9"/>
  <c r="BR126" i="9"/>
  <c r="BT126" i="9" s="1"/>
  <c r="AS126" i="9"/>
  <c r="AU126" i="9" s="1"/>
  <c r="AM126" i="9"/>
  <c r="AK126" i="9"/>
  <c r="BO126" i="9"/>
  <c r="C134" i="9"/>
  <c r="DP133" i="9"/>
  <c r="DM133" i="9"/>
  <c r="DJ133" i="9"/>
  <c r="DH133" i="9"/>
  <c r="CK133" i="9"/>
  <c r="CI133" i="9"/>
  <c r="BO133" i="9"/>
  <c r="BL133" i="9"/>
  <c r="CQ133" i="9"/>
  <c r="CS133" i="9" s="1"/>
  <c r="AP133" i="9"/>
  <c r="CN133" i="9"/>
  <c r="BR133" i="9"/>
  <c r="BT133" i="9" s="1"/>
  <c r="AM133" i="9"/>
  <c r="AS133" i="9"/>
  <c r="AU133" i="9" s="1"/>
  <c r="AK133" i="9"/>
  <c r="Q133" i="9"/>
  <c r="AK7" i="9"/>
  <c r="AV8" i="9"/>
  <c r="AX8" i="9" s="1"/>
  <c r="AP14" i="9"/>
  <c r="AM56" i="9"/>
  <c r="AP112" i="9"/>
  <c r="BA8" i="9"/>
  <c r="BA9" i="9" s="1"/>
  <c r="BA10" i="9" s="1"/>
  <c r="BU7" i="9"/>
  <c r="BW7" i="9" s="1"/>
  <c r="BL105" i="9"/>
  <c r="BJ133" i="9"/>
  <c r="DH84" i="9"/>
  <c r="DP84" i="9"/>
  <c r="DR84" i="9" s="1"/>
  <c r="DM84" i="9"/>
  <c r="CN84" i="9"/>
  <c r="DJ84" i="9"/>
  <c r="CK84" i="9"/>
  <c r="CQ84" i="9"/>
  <c r="CI84" i="9"/>
  <c r="BL84" i="9"/>
  <c r="BJ84" i="9"/>
  <c r="AP84" i="9"/>
  <c r="AM84" i="9"/>
  <c r="BR84" i="9"/>
  <c r="BT84" i="9" s="1"/>
  <c r="AK84" i="9"/>
  <c r="DJ98" i="9"/>
  <c r="DH98" i="9"/>
  <c r="DP98" i="9"/>
  <c r="DR98" i="9" s="1"/>
  <c r="DM98" i="9"/>
  <c r="CI98" i="9"/>
  <c r="CQ98" i="9"/>
  <c r="CS98" i="9" s="1"/>
  <c r="BO98" i="9"/>
  <c r="BL98" i="9"/>
  <c r="BR98" i="9"/>
  <c r="BJ98" i="9"/>
  <c r="CK98" i="9"/>
  <c r="AK98" i="9"/>
  <c r="AS98" i="9"/>
  <c r="AU98" i="9" s="1"/>
  <c r="AP98" i="9"/>
  <c r="C106" i="9"/>
  <c r="T106" i="9" s="1"/>
  <c r="V106" i="9" s="1"/>
  <c r="DP105" i="9"/>
  <c r="DM105" i="9"/>
  <c r="DJ105" i="9"/>
  <c r="DH105" i="9"/>
  <c r="CI105" i="9"/>
  <c r="CQ105" i="9"/>
  <c r="CS105" i="9" s="1"/>
  <c r="CK105" i="9"/>
  <c r="BR105" i="9"/>
  <c r="BT105" i="9" s="1"/>
  <c r="BO105" i="9"/>
  <c r="BJ105" i="9"/>
  <c r="AP105" i="9"/>
  <c r="AM105" i="9"/>
  <c r="AK105" i="9"/>
  <c r="DJ21" i="9"/>
  <c r="DH21" i="9"/>
  <c r="DP21" i="9"/>
  <c r="DR21" i="9" s="1"/>
  <c r="DM21" i="9"/>
  <c r="CI21" i="9"/>
  <c r="CQ21" i="9"/>
  <c r="CS21" i="9" s="1"/>
  <c r="BJ21" i="9"/>
  <c r="CN21" i="9"/>
  <c r="BR21" i="9"/>
  <c r="BT21" i="9" s="1"/>
  <c r="BL21" i="9"/>
  <c r="DJ28" i="9"/>
  <c r="DH28" i="9"/>
  <c r="DP28" i="9"/>
  <c r="CK28" i="9"/>
  <c r="CI28" i="9"/>
  <c r="CQ28" i="9"/>
  <c r="CS28" i="9" s="1"/>
  <c r="BO28" i="9"/>
  <c r="CN28" i="9"/>
  <c r="BL28" i="9"/>
  <c r="BR28" i="9"/>
  <c r="BT28" i="9" s="1"/>
  <c r="BJ28" i="9"/>
  <c r="DH35" i="9"/>
  <c r="DP35" i="9"/>
  <c r="DR35" i="9" s="1"/>
  <c r="DM35" i="9"/>
  <c r="DJ35" i="9"/>
  <c r="CN35" i="9"/>
  <c r="CK35" i="9"/>
  <c r="BJ35" i="9"/>
  <c r="BR35" i="9"/>
  <c r="BT35" i="9" s="1"/>
  <c r="CQ35" i="9"/>
  <c r="CS35" i="9" s="1"/>
  <c r="BO35" i="9"/>
  <c r="CI35" i="9"/>
  <c r="BL35" i="9"/>
  <c r="DM42" i="9"/>
  <c r="DJ42" i="9"/>
  <c r="DH42" i="9"/>
  <c r="CN42" i="9"/>
  <c r="DP42" i="9"/>
  <c r="DR42" i="9" s="1"/>
  <c r="CK42" i="9"/>
  <c r="CQ42" i="9"/>
  <c r="CS42" i="9" s="1"/>
  <c r="BR42" i="9"/>
  <c r="BT42" i="9" s="1"/>
  <c r="CI42" i="9"/>
  <c r="BO42" i="9"/>
  <c r="BL42" i="9"/>
  <c r="BJ42" i="9"/>
  <c r="DH49" i="9"/>
  <c r="DP49" i="9"/>
  <c r="DR49" i="9" s="1"/>
  <c r="DM49" i="9"/>
  <c r="CQ49" i="9"/>
  <c r="CN49" i="9"/>
  <c r="BJ49" i="9"/>
  <c r="DJ49" i="9"/>
  <c r="CK49" i="9"/>
  <c r="BR49" i="9"/>
  <c r="BT49" i="9" s="1"/>
  <c r="BO49" i="9"/>
  <c r="AM49" i="9"/>
  <c r="CI49" i="9"/>
  <c r="BL49" i="9"/>
  <c r="AS49" i="9"/>
  <c r="AU49" i="9" s="1"/>
  <c r="DH71" i="9"/>
  <c r="DP71" i="9"/>
  <c r="DR71" i="9" s="1"/>
  <c r="DJ71" i="9"/>
  <c r="CN71" i="9"/>
  <c r="CK71" i="9"/>
  <c r="CI71" i="9"/>
  <c r="BJ71" i="9"/>
  <c r="BR71" i="9"/>
  <c r="BT71" i="9" s="1"/>
  <c r="BO71" i="9"/>
  <c r="AM71" i="9"/>
  <c r="DM71" i="9"/>
  <c r="BL71" i="9"/>
  <c r="CQ71" i="9"/>
  <c r="CS71" i="9" s="1"/>
  <c r="AS71" i="9"/>
  <c r="N84" i="9"/>
  <c r="Q105" i="9"/>
  <c r="DM119" i="9"/>
  <c r="DJ119" i="9"/>
  <c r="DH119" i="9"/>
  <c r="DP119" i="9"/>
  <c r="DR119" i="9" s="1"/>
  <c r="CN119" i="9"/>
  <c r="CK119" i="9"/>
  <c r="BJ119" i="9"/>
  <c r="CQ119" i="9"/>
  <c r="CS119" i="9" s="1"/>
  <c r="BR119" i="9"/>
  <c r="BT119" i="9" s="1"/>
  <c r="BO119" i="9"/>
  <c r="CI119" i="9"/>
  <c r="BL119" i="9"/>
  <c r="AS119" i="9"/>
  <c r="AU119" i="9" s="1"/>
  <c r="AP119" i="9"/>
  <c r="AM119" i="9"/>
  <c r="Q119" i="9"/>
  <c r="C120" i="9"/>
  <c r="T120" i="9" s="1"/>
  <c r="V120" i="9" s="1"/>
  <c r="AM7" i="9"/>
  <c r="AS14" i="9"/>
  <c r="AU14" i="9" s="1"/>
  <c r="AS21" i="9"/>
  <c r="AU21" i="9" s="1"/>
  <c r="AM28" i="9"/>
  <c r="AV28" i="9"/>
  <c r="AX28" i="9" s="1"/>
  <c r="AM35" i="9"/>
  <c r="AS42" i="9"/>
  <c r="AU42" i="9" s="1"/>
  <c r="AB43" i="9"/>
  <c r="AV43" i="9" s="1"/>
  <c r="AX43" i="9" s="1"/>
  <c r="AS56" i="9"/>
  <c r="AU56" i="9" s="1"/>
  <c r="AM63" i="9"/>
  <c r="AK91" i="9"/>
  <c r="AS105" i="9"/>
  <c r="AU105" i="9" s="1"/>
  <c r="AP126" i="9"/>
  <c r="BO21" i="9"/>
  <c r="BA36" i="9"/>
  <c r="BA37" i="9" s="1"/>
  <c r="BU35" i="9"/>
  <c r="BW35" i="9" s="1"/>
  <c r="BR63" i="9"/>
  <c r="BT63" i="9" s="1"/>
  <c r="BO84" i="9"/>
  <c r="BL126" i="9"/>
  <c r="CK7" i="9"/>
  <c r="CT58" i="9"/>
  <c r="CV58" i="9" s="1"/>
  <c r="AV56" i="9"/>
  <c r="AX56" i="9" s="1"/>
  <c r="AX77" i="9"/>
  <c r="CC6" i="9"/>
  <c r="CB7" i="9" s="1"/>
  <c r="CO7" i="9" s="1"/>
  <c r="CO6" i="9"/>
  <c r="CP6" i="9" s="1"/>
  <c r="CY22" i="9"/>
  <c r="CY23" i="9" s="1"/>
  <c r="DS21" i="9"/>
  <c r="DU21" i="9" s="1"/>
  <c r="BA79" i="9"/>
  <c r="BA80" i="9" s="1"/>
  <c r="BU78" i="9"/>
  <c r="BW21" i="9"/>
  <c r="BA121" i="9"/>
  <c r="BU121" i="9" s="1"/>
  <c r="BW121" i="9" s="1"/>
  <c r="BU120" i="9"/>
  <c r="BW120" i="9" s="1"/>
  <c r="CJ6" i="9"/>
  <c r="BZ107" i="9"/>
  <c r="BA43" i="9"/>
  <c r="BA44" i="9" s="1"/>
  <c r="BU112" i="9"/>
  <c r="BW112" i="9" s="1"/>
  <c r="CT42" i="9"/>
  <c r="CV42" i="9" s="1"/>
  <c r="DK6" i="9"/>
  <c r="DG7" i="9"/>
  <c r="CS84" i="9"/>
  <c r="CV98" i="9"/>
  <c r="DU14" i="9"/>
  <c r="DS92" i="9"/>
  <c r="DU92" i="9" s="1"/>
  <c r="DU107" i="9"/>
  <c r="CY108" i="9"/>
  <c r="CY113" i="9"/>
  <c r="DS113" i="9" s="1"/>
  <c r="DU113" i="9" s="1"/>
  <c r="CY128" i="9"/>
  <c r="CY129" i="9" s="1"/>
  <c r="DS127" i="9"/>
  <c r="DU127" i="9" s="1"/>
  <c r="DS42" i="9"/>
  <c r="DU42" i="9" s="1"/>
  <c r="DS56" i="9"/>
  <c r="DU56" i="9" s="1"/>
  <c r="DU84" i="9"/>
  <c r="DU91" i="9"/>
  <c r="CY99" i="9"/>
  <c r="DS98" i="9"/>
  <c r="DU98" i="9" s="1"/>
  <c r="DS119" i="9"/>
  <c r="CY135" i="9"/>
  <c r="DS135" i="9" s="1"/>
  <c r="DU135" i="9" s="1"/>
  <c r="DS22" i="9"/>
  <c r="DU22" i="9" s="1"/>
  <c r="DQ52" i="9"/>
  <c r="CY30" i="9"/>
  <c r="DS29" i="9"/>
  <c r="DU29" i="9" s="1"/>
  <c r="CY16" i="9"/>
  <c r="DS15" i="9"/>
  <c r="DU15" i="9" s="1"/>
  <c r="DQ17" i="9"/>
  <c r="CY37" i="9"/>
  <c r="DS36" i="9"/>
  <c r="DU36" i="9" s="1"/>
  <c r="CY51" i="9"/>
  <c r="DS50" i="9"/>
  <c r="DU50" i="9" s="1"/>
  <c r="DQ59" i="9"/>
  <c r="DQ37" i="9"/>
  <c r="CY58" i="9"/>
  <c r="DS57" i="9"/>
  <c r="DU57" i="9" s="1"/>
  <c r="DQ95" i="9"/>
  <c r="DN6" i="9"/>
  <c r="DO6" i="9" s="1"/>
  <c r="DI6" i="9"/>
  <c r="DB6" i="9"/>
  <c r="DA7" i="9" s="1"/>
  <c r="DQ25" i="9"/>
  <c r="DQ26" i="9" s="1"/>
  <c r="CY8" i="9"/>
  <c r="DS7" i="9"/>
  <c r="DU7" i="9" s="1"/>
  <c r="DQ9" i="9"/>
  <c r="DQ30" i="9"/>
  <c r="DQ31" i="9" s="1"/>
  <c r="DQ32" i="9" s="1"/>
  <c r="DQ80" i="9"/>
  <c r="DQ106" i="9"/>
  <c r="DR105" i="9"/>
  <c r="DS28" i="9"/>
  <c r="DU28" i="9" s="1"/>
  <c r="CY44" i="9"/>
  <c r="DS43" i="9"/>
  <c r="DU43" i="9" s="1"/>
  <c r="DS64" i="9"/>
  <c r="DU64" i="9" s="1"/>
  <c r="DS65" i="9"/>
  <c r="DU65" i="9" s="1"/>
  <c r="CY86" i="9"/>
  <c r="DS85" i="9"/>
  <c r="DU85" i="9" s="1"/>
  <c r="DQ99" i="9"/>
  <c r="CY109" i="9"/>
  <c r="DS108" i="9"/>
  <c r="DU108" i="9" s="1"/>
  <c r="DQ131" i="9"/>
  <c r="DQ162" i="9" s="1"/>
  <c r="V281" i="9" s="1"/>
  <c r="DR28" i="9"/>
  <c r="CY67" i="9"/>
  <c r="DS66" i="9"/>
  <c r="DU66" i="9" s="1"/>
  <c r="CY78" i="9"/>
  <c r="DQ87" i="9"/>
  <c r="CY94" i="9"/>
  <c r="DS93" i="9"/>
  <c r="DU93" i="9" s="1"/>
  <c r="DS35" i="9"/>
  <c r="DU35" i="9" s="1"/>
  <c r="DQ115" i="9"/>
  <c r="DQ116" i="9" s="1"/>
  <c r="DQ117" i="9" s="1"/>
  <c r="DQ122" i="9"/>
  <c r="CY71" i="9"/>
  <c r="DS70" i="9"/>
  <c r="DU70" i="9" s="1"/>
  <c r="DS63" i="9"/>
  <c r="DU63" i="9" s="1"/>
  <c r="CY121" i="9"/>
  <c r="DS120" i="9"/>
  <c r="DU120" i="9" s="1"/>
  <c r="DQ134" i="9"/>
  <c r="DR133" i="9"/>
  <c r="DU119" i="9"/>
  <c r="DS105" i="9"/>
  <c r="DU105" i="9" s="1"/>
  <c r="CR9" i="9"/>
  <c r="CR10" i="9" s="1"/>
  <c r="CR11" i="9" s="1"/>
  <c r="CR12" i="9" s="1"/>
  <c r="DQ145" i="9" s="1"/>
  <c r="E281" i="9" s="1"/>
  <c r="BZ10" i="9"/>
  <c r="CT9" i="9"/>
  <c r="CV9" i="9" s="1"/>
  <c r="BZ16" i="9"/>
  <c r="CT15" i="9"/>
  <c r="CV15" i="9" s="1"/>
  <c r="CR24" i="9"/>
  <c r="CR25" i="9" s="1"/>
  <c r="CR26" i="9" s="1"/>
  <c r="CL7" i="9"/>
  <c r="CH8" i="9"/>
  <c r="BZ30" i="9"/>
  <c r="CT29" i="9"/>
  <c r="CV29" i="9" s="1"/>
  <c r="CT52" i="9"/>
  <c r="CV52" i="9" s="1"/>
  <c r="BZ53" i="9"/>
  <c r="CR40" i="9"/>
  <c r="CR17" i="9"/>
  <c r="CR18" i="9" s="1"/>
  <c r="CR19" i="9" s="1"/>
  <c r="BZ23" i="9"/>
  <c r="CT22" i="9"/>
  <c r="CV22" i="9" s="1"/>
  <c r="CR47" i="9"/>
  <c r="BZ60" i="9"/>
  <c r="CT59" i="9"/>
  <c r="CV59" i="9" s="1"/>
  <c r="CR131" i="9"/>
  <c r="CT8" i="9"/>
  <c r="CV8" i="9" s="1"/>
  <c r="CT28" i="9"/>
  <c r="CV28" i="9" s="1"/>
  <c r="CS56" i="9"/>
  <c r="BZ64" i="9"/>
  <c r="CT63" i="9"/>
  <c r="CV63" i="9" s="1"/>
  <c r="BZ86" i="9"/>
  <c r="CT85" i="9"/>
  <c r="CV85" i="9" s="1"/>
  <c r="CL6" i="9"/>
  <c r="CV43" i="9"/>
  <c r="CT51" i="9"/>
  <c r="CV51" i="9" s="1"/>
  <c r="BZ36" i="9"/>
  <c r="CT35" i="9"/>
  <c r="CV35" i="9" s="1"/>
  <c r="BZ45" i="9"/>
  <c r="CT44" i="9"/>
  <c r="CV44" i="9" s="1"/>
  <c r="CT14" i="9"/>
  <c r="CV14" i="9" s="1"/>
  <c r="CS49" i="9"/>
  <c r="CR81" i="9"/>
  <c r="CR82" i="9" s="1"/>
  <c r="CR110" i="9"/>
  <c r="CR159" i="9" s="1"/>
  <c r="CT50" i="9"/>
  <c r="CV50" i="9" s="1"/>
  <c r="CT57" i="9"/>
  <c r="CV57" i="9" s="1"/>
  <c r="BZ71" i="9"/>
  <c r="CT70" i="9"/>
  <c r="CV70" i="9" s="1"/>
  <c r="BZ79" i="9"/>
  <c r="CT78" i="9"/>
  <c r="CV78" i="9" s="1"/>
  <c r="CR102" i="9"/>
  <c r="CR103" i="9" s="1"/>
  <c r="CR158" i="9" s="1"/>
  <c r="R257" i="9" s="1"/>
  <c r="R258" i="9" s="1"/>
  <c r="BZ108" i="9"/>
  <c r="CT107" i="9"/>
  <c r="CV107" i="9" s="1"/>
  <c r="CT92" i="9"/>
  <c r="CV92" i="9" s="1"/>
  <c r="BZ93" i="9"/>
  <c r="CR123" i="9"/>
  <c r="CR124" i="9" s="1"/>
  <c r="CR161" i="9" s="1"/>
  <c r="CS161" i="9" s="1"/>
  <c r="CR85" i="9"/>
  <c r="CR86" i="9" s="1"/>
  <c r="CR87" i="9" s="1"/>
  <c r="CT91" i="9"/>
  <c r="CV91" i="9" s="1"/>
  <c r="BZ100" i="9"/>
  <c r="CT99" i="9"/>
  <c r="CV99" i="9" s="1"/>
  <c r="BZ129" i="9"/>
  <c r="CT128" i="9"/>
  <c r="CV128" i="9" s="1"/>
  <c r="CT113" i="9"/>
  <c r="CV113" i="9" s="1"/>
  <c r="BZ114" i="9"/>
  <c r="CT105" i="9"/>
  <c r="CV105" i="9" s="1"/>
  <c r="BZ121" i="9"/>
  <c r="CT120" i="9"/>
  <c r="CV120" i="9" s="1"/>
  <c r="CT127" i="9"/>
  <c r="CV127" i="9" s="1"/>
  <c r="CS112" i="9"/>
  <c r="BZ135" i="9"/>
  <c r="CT134" i="9"/>
  <c r="CV134" i="9" s="1"/>
  <c r="CT126" i="9"/>
  <c r="CV126" i="9" s="1"/>
  <c r="CT133" i="9"/>
  <c r="CV133" i="9" s="1"/>
  <c r="BS11" i="9"/>
  <c r="BS12" i="9" s="1"/>
  <c r="BS145" i="9" s="1"/>
  <c r="E233" i="9" s="1"/>
  <c r="E309" i="9" s="1"/>
  <c r="E310" i="9" s="1"/>
  <c r="BS39" i="9"/>
  <c r="BA17" i="9"/>
  <c r="BU16" i="9"/>
  <c r="BW16" i="9" s="1"/>
  <c r="BI8" i="9"/>
  <c r="BA52" i="9"/>
  <c r="BU51" i="9"/>
  <c r="BW51" i="9" s="1"/>
  <c r="BS16" i="9"/>
  <c r="BS17" i="9" s="1"/>
  <c r="BS18" i="9" s="1"/>
  <c r="BW50" i="9"/>
  <c r="BU36" i="9"/>
  <c r="BW36" i="9" s="1"/>
  <c r="BU43" i="9"/>
  <c r="BW43" i="9" s="1"/>
  <c r="BS47" i="9"/>
  <c r="BS150" i="9" s="1"/>
  <c r="J233" i="9" s="1"/>
  <c r="J309" i="9" s="1"/>
  <c r="BD6" i="9"/>
  <c r="BC7" i="9" s="1"/>
  <c r="BK7" i="9" s="1"/>
  <c r="BU15" i="9"/>
  <c r="BW15" i="9" s="1"/>
  <c r="BS23" i="9"/>
  <c r="BS24" i="9" s="1"/>
  <c r="BS25" i="9" s="1"/>
  <c r="BS51" i="9"/>
  <c r="BS52" i="9" s="1"/>
  <c r="BS53" i="9" s="1"/>
  <c r="BA29" i="9"/>
  <c r="BU28" i="9"/>
  <c r="BW28" i="9" s="1"/>
  <c r="BS32" i="9"/>
  <c r="BS33" i="9" s="1"/>
  <c r="BS148" i="9" s="1"/>
  <c r="H233" i="9" s="1"/>
  <c r="H309" i="9" s="1"/>
  <c r="BU14" i="9"/>
  <c r="BW14" i="9" s="1"/>
  <c r="BA22" i="9"/>
  <c r="BU49" i="9"/>
  <c r="BW49" i="9" s="1"/>
  <c r="BS59" i="9"/>
  <c r="BS60" i="9" s="1"/>
  <c r="BS61" i="9" s="1"/>
  <c r="BA64" i="9"/>
  <c r="BU63" i="9"/>
  <c r="BW63" i="9" s="1"/>
  <c r="BA72" i="9"/>
  <c r="BU71" i="9"/>
  <c r="BW71" i="9" s="1"/>
  <c r="BA87" i="9"/>
  <c r="BU86" i="9"/>
  <c r="BW86" i="9" s="1"/>
  <c r="BA57" i="9"/>
  <c r="BU56" i="9"/>
  <c r="BW56" i="9" s="1"/>
  <c r="BW78" i="9"/>
  <c r="BU85" i="9"/>
  <c r="BW85" i="9" s="1"/>
  <c r="BA115" i="9"/>
  <c r="BU114" i="9"/>
  <c r="BW114" i="9" s="1"/>
  <c r="BS94" i="9"/>
  <c r="BS95" i="9" s="1"/>
  <c r="BS96" i="9" s="1"/>
  <c r="BS157" i="9" s="1"/>
  <c r="Q233" i="9" s="1"/>
  <c r="Q309" i="9" s="1"/>
  <c r="BS100" i="9"/>
  <c r="BS101" i="9" s="1"/>
  <c r="BS102" i="9" s="1"/>
  <c r="BS103" i="9" s="1"/>
  <c r="BS79" i="9"/>
  <c r="BS80" i="9" s="1"/>
  <c r="BS81" i="9" s="1"/>
  <c r="BS86" i="9"/>
  <c r="BS87" i="9" s="1"/>
  <c r="BS88" i="9" s="1"/>
  <c r="BA93" i="9"/>
  <c r="BU92" i="9"/>
  <c r="BW92" i="9" s="1"/>
  <c r="BA106" i="9"/>
  <c r="BU105" i="9"/>
  <c r="BW105" i="9" s="1"/>
  <c r="BA122" i="9"/>
  <c r="BU77" i="9"/>
  <c r="BW77" i="9" s="1"/>
  <c r="BU84" i="9"/>
  <c r="BW84" i="9" s="1"/>
  <c r="BA100" i="9"/>
  <c r="BU99" i="9"/>
  <c r="BW99" i="9" s="1"/>
  <c r="BU91" i="9"/>
  <c r="BW91" i="9" s="1"/>
  <c r="BA134" i="9"/>
  <c r="BU133" i="9"/>
  <c r="BW133" i="9" s="1"/>
  <c r="BT98" i="9"/>
  <c r="BS136" i="9"/>
  <c r="BS114" i="9"/>
  <c r="BS115" i="9" s="1"/>
  <c r="BS129" i="9"/>
  <c r="BS130" i="9" s="1"/>
  <c r="BS131" i="9" s="1"/>
  <c r="BU98" i="9"/>
  <c r="BW98" i="9" s="1"/>
  <c r="BS121" i="9"/>
  <c r="BS122" i="9" s="1"/>
  <c r="BS123" i="9" s="1"/>
  <c r="BA128" i="9"/>
  <c r="BU127" i="9"/>
  <c r="BW127" i="9" s="1"/>
  <c r="BT112" i="9"/>
  <c r="BU119" i="9"/>
  <c r="BW119" i="9" s="1"/>
  <c r="BU126" i="9"/>
  <c r="BW126" i="9" s="1"/>
  <c r="AT16" i="9"/>
  <c r="AT12" i="9"/>
  <c r="AT39" i="9"/>
  <c r="AL6" i="9"/>
  <c r="AU7" i="9"/>
  <c r="AT46" i="9"/>
  <c r="AB67" i="9"/>
  <c r="AV66" i="9"/>
  <c r="AX66" i="9" s="1"/>
  <c r="AV64" i="9"/>
  <c r="AX64" i="9" s="1"/>
  <c r="AB23" i="9"/>
  <c r="AV22" i="9"/>
  <c r="AX22" i="9" s="1"/>
  <c r="AT60" i="9"/>
  <c r="AE6" i="9"/>
  <c r="AD7" i="9" s="1"/>
  <c r="AV21" i="9"/>
  <c r="AX21" i="9" s="1"/>
  <c r="AT72" i="9"/>
  <c r="AU71" i="9"/>
  <c r="AB15" i="9"/>
  <c r="AV14" i="9"/>
  <c r="AX14" i="9" s="1"/>
  <c r="AB30" i="9"/>
  <c r="AV29" i="9"/>
  <c r="AX29" i="9" s="1"/>
  <c r="AB37" i="9"/>
  <c r="AV36" i="9"/>
  <c r="AX36" i="9" s="1"/>
  <c r="AN6" i="9"/>
  <c r="AV65" i="9"/>
  <c r="AX65" i="9" s="1"/>
  <c r="AB44" i="9"/>
  <c r="AT80" i="9"/>
  <c r="AB92" i="9"/>
  <c r="AV91" i="9"/>
  <c r="AX91" i="9" s="1"/>
  <c r="AV7" i="9"/>
  <c r="AX7" i="9" s="1"/>
  <c r="AV50" i="9"/>
  <c r="AX50" i="9" s="1"/>
  <c r="AB58" i="9"/>
  <c r="AB78" i="9"/>
  <c r="AT101" i="9"/>
  <c r="AB52" i="9"/>
  <c r="AV51" i="9"/>
  <c r="AX51" i="9" s="1"/>
  <c r="AB86" i="9"/>
  <c r="AV85" i="9"/>
  <c r="AX85" i="9" s="1"/>
  <c r="AT87" i="9"/>
  <c r="AT93" i="9"/>
  <c r="AV121" i="9"/>
  <c r="AX121" i="9" s="1"/>
  <c r="AB122" i="9"/>
  <c r="AT120" i="9"/>
  <c r="AB71" i="9"/>
  <c r="AV70" i="9"/>
  <c r="AX70" i="9" s="1"/>
  <c r="AT128" i="9"/>
  <c r="AU63" i="9"/>
  <c r="AB100" i="9"/>
  <c r="AV99" i="9"/>
  <c r="AX99" i="9" s="1"/>
  <c r="AT136" i="9"/>
  <c r="AV63" i="9"/>
  <c r="AX63" i="9" s="1"/>
  <c r="AT109" i="9"/>
  <c r="AB127" i="9"/>
  <c r="AV126" i="9"/>
  <c r="AX126" i="9" s="1"/>
  <c r="AT114" i="9"/>
  <c r="AT115" i="9" s="1"/>
  <c r="AV133" i="9"/>
  <c r="AX133" i="9" s="1"/>
  <c r="AB134" i="9"/>
  <c r="AV114" i="9"/>
  <c r="AX114" i="9" s="1"/>
  <c r="AV112" i="9"/>
  <c r="AX112" i="9" s="1"/>
  <c r="AV119" i="9"/>
  <c r="AX119" i="9" s="1"/>
  <c r="Y91" i="9"/>
  <c r="Y70" i="9"/>
  <c r="Y56" i="9"/>
  <c r="V21" i="9"/>
  <c r="CU145" i="9"/>
  <c r="E260" i="9" s="1"/>
  <c r="DT145" i="9"/>
  <c r="E284" i="9" s="1"/>
  <c r="E285" i="9" s="1"/>
  <c r="CR146" i="9"/>
  <c r="DQ146" i="9"/>
  <c r="F281" i="9" s="1"/>
  <c r="DQ147" i="9"/>
  <c r="CR147" i="9"/>
  <c r="G257" i="9" s="1"/>
  <c r="G258" i="9" s="1"/>
  <c r="E236" i="9"/>
  <c r="E237" i="9" s="1"/>
  <c r="BW145" i="9"/>
  <c r="DT146" i="9"/>
  <c r="F284" i="9" s="1"/>
  <c r="F285" i="9" s="1"/>
  <c r="CU146" i="9"/>
  <c r="F260" i="9" s="1"/>
  <c r="F261" i="9" s="1"/>
  <c r="K6" i="9"/>
  <c r="N7" i="9"/>
  <c r="W7" i="9"/>
  <c r="Y7" i="9" s="1"/>
  <c r="C8" i="9"/>
  <c r="T14" i="9"/>
  <c r="V14" i="9" s="1"/>
  <c r="CR148" i="9"/>
  <c r="DQ148" i="9"/>
  <c r="H281" i="9" s="1"/>
  <c r="K185" i="9"/>
  <c r="V151" i="9"/>
  <c r="K186" i="9" s="1"/>
  <c r="K211" i="9"/>
  <c r="AX151" i="9"/>
  <c r="K212" i="9" s="1"/>
  <c r="I211" i="9"/>
  <c r="AX149" i="9"/>
  <c r="I212" i="9" s="1"/>
  <c r="DT150" i="9"/>
  <c r="CU150" i="9"/>
  <c r="J260" i="9" s="1"/>
  <c r="J261" i="9" s="1"/>
  <c r="DQ151" i="9"/>
  <c r="CR151" i="9"/>
  <c r="K257" i="9" s="1"/>
  <c r="K258" i="9" s="1"/>
  <c r="T7" i="9"/>
  <c r="V7" i="9" s="1"/>
  <c r="F6" i="9"/>
  <c r="DA145" i="9"/>
  <c r="E265" i="9" s="1"/>
  <c r="CB145" i="9"/>
  <c r="E241" i="9" s="1"/>
  <c r="L7" i="9"/>
  <c r="Q7" i="9"/>
  <c r="N15" i="9"/>
  <c r="C22" i="9"/>
  <c r="W21" i="9"/>
  <c r="Y21" i="9" s="1"/>
  <c r="N21" i="9"/>
  <c r="Q21" i="9"/>
  <c r="L21" i="9"/>
  <c r="H208" i="9"/>
  <c r="AU148" i="9"/>
  <c r="H209" i="9" s="1"/>
  <c r="I185" i="9"/>
  <c r="V149" i="9"/>
  <c r="I186" i="9" s="1"/>
  <c r="DQ149" i="9"/>
  <c r="CR149" i="9"/>
  <c r="I257" i="9" s="1"/>
  <c r="T15" i="9"/>
  <c r="V15" i="9" s="1"/>
  <c r="G185" i="9"/>
  <c r="V147" i="9"/>
  <c r="G186" i="9" s="1"/>
  <c r="CU147" i="9"/>
  <c r="G260" i="9" s="1"/>
  <c r="G261" i="9" s="1"/>
  <c r="DT147" i="9"/>
  <c r="G284" i="9" s="1"/>
  <c r="G285" i="9" s="1"/>
  <c r="DT148" i="9"/>
  <c r="CU148" i="9"/>
  <c r="H260" i="9" s="1"/>
  <c r="H261" i="9" s="1"/>
  <c r="CU149" i="9"/>
  <c r="DT149" i="9"/>
  <c r="I284" i="9" s="1"/>
  <c r="I285" i="9" s="1"/>
  <c r="J188" i="9"/>
  <c r="Y150" i="9"/>
  <c r="J189" i="9" s="1"/>
  <c r="J236" i="9"/>
  <c r="J237" i="9" s="1"/>
  <c r="BW150" i="9"/>
  <c r="CR150" i="9"/>
  <c r="DQ150" i="9"/>
  <c r="J281" i="9" s="1"/>
  <c r="CU151" i="9"/>
  <c r="DT151" i="9"/>
  <c r="K284" i="9" s="1"/>
  <c r="K285" i="9" s="1"/>
  <c r="L28" i="9"/>
  <c r="Q28" i="9"/>
  <c r="L35" i="9"/>
  <c r="Q35" i="9"/>
  <c r="C36" i="9"/>
  <c r="L42" i="9"/>
  <c r="Q42" i="9"/>
  <c r="N49" i="9"/>
  <c r="W49" i="9"/>
  <c r="Y49" i="9" s="1"/>
  <c r="C50" i="9"/>
  <c r="CR152" i="9"/>
  <c r="DQ152" i="9"/>
  <c r="L281" i="9" s="1"/>
  <c r="M233" i="9"/>
  <c r="BT153" i="9"/>
  <c r="M234" i="9" s="1"/>
  <c r="CU154" i="9"/>
  <c r="DT154" i="9"/>
  <c r="N284" i="9" s="1"/>
  <c r="C43" i="9"/>
  <c r="T49" i="9"/>
  <c r="V49" i="9" s="1"/>
  <c r="M188" i="9"/>
  <c r="Y153" i="9"/>
  <c r="M189" i="9" s="1"/>
  <c r="M236" i="9"/>
  <c r="M237" i="9" s="1"/>
  <c r="BW153" i="9"/>
  <c r="DQ153" i="9"/>
  <c r="CR153" i="9"/>
  <c r="M257" i="9" s="1"/>
  <c r="M258" i="9" s="1"/>
  <c r="CR154" i="9"/>
  <c r="DQ154" i="9"/>
  <c r="N281" i="9" s="1"/>
  <c r="N28" i="9"/>
  <c r="W28" i="9"/>
  <c r="Y28" i="9" s="1"/>
  <c r="C29" i="9"/>
  <c r="N35" i="9"/>
  <c r="W35" i="9"/>
  <c r="Y35" i="9" s="1"/>
  <c r="N42" i="9"/>
  <c r="W42" i="9"/>
  <c r="Y42" i="9" s="1"/>
  <c r="L49" i="9"/>
  <c r="Q49" i="9"/>
  <c r="L211" i="9"/>
  <c r="AX152" i="9"/>
  <c r="L212" i="9" s="1"/>
  <c r="CU152" i="9"/>
  <c r="DT152" i="9"/>
  <c r="L284" i="9" s="1"/>
  <c r="L285" i="9" s="1"/>
  <c r="T57" i="9"/>
  <c r="V57" i="9" s="1"/>
  <c r="M185" i="9"/>
  <c r="M309" i="9" s="1"/>
  <c r="V153" i="9"/>
  <c r="M186" i="9" s="1"/>
  <c r="T28" i="9"/>
  <c r="V28" i="9" s="1"/>
  <c r="T35" i="9"/>
  <c r="V35" i="9" s="1"/>
  <c r="T42" i="9"/>
  <c r="V42" i="9" s="1"/>
  <c r="C58" i="9"/>
  <c r="W57" i="9"/>
  <c r="Y57" i="9" s="1"/>
  <c r="N57" i="9"/>
  <c r="Q57" i="9"/>
  <c r="L57" i="9"/>
  <c r="DT153" i="9"/>
  <c r="CU153" i="9"/>
  <c r="M260" i="9" s="1"/>
  <c r="M261" i="9" s="1"/>
  <c r="N211" i="9"/>
  <c r="AX154" i="9"/>
  <c r="N212" i="9" s="1"/>
  <c r="T56" i="9"/>
  <c r="V56" i="9" s="1"/>
  <c r="L63" i="9"/>
  <c r="Q63" i="9"/>
  <c r="T70" i="9"/>
  <c r="V70" i="9" s="1"/>
  <c r="L71" i="9"/>
  <c r="Q71" i="9"/>
  <c r="T77" i="9"/>
  <c r="V77" i="9" s="1"/>
  <c r="DQ155" i="9"/>
  <c r="CR155" i="9"/>
  <c r="O257" i="9" s="1"/>
  <c r="O258" i="9" s="1"/>
  <c r="O185" i="9"/>
  <c r="V155" i="9"/>
  <c r="O186" i="9" s="1"/>
  <c r="DT155" i="9"/>
  <c r="CU155" i="9"/>
  <c r="O260" i="9" s="1"/>
  <c r="O261" i="9" s="1"/>
  <c r="C78" i="9"/>
  <c r="W77" i="9"/>
  <c r="Y77" i="9" s="1"/>
  <c r="N77" i="9"/>
  <c r="Q77" i="9"/>
  <c r="L77" i="9"/>
  <c r="P211" i="9"/>
  <c r="AX156" i="9"/>
  <c r="P212" i="9" s="1"/>
  <c r="P260" i="9"/>
  <c r="P261" i="9" s="1"/>
  <c r="CV156" i="9"/>
  <c r="Q188" i="9"/>
  <c r="Y157" i="9"/>
  <c r="Q189" i="9" s="1"/>
  <c r="Q236" i="9"/>
  <c r="Q237" i="9" s="1"/>
  <c r="BW157" i="9"/>
  <c r="N63" i="9"/>
  <c r="W63" i="9"/>
  <c r="Y63" i="9" s="1"/>
  <c r="C64" i="9"/>
  <c r="N71" i="9"/>
  <c r="W71" i="9"/>
  <c r="Y71" i="9" s="1"/>
  <c r="C72" i="9"/>
  <c r="T63" i="9"/>
  <c r="V63" i="9" s="1"/>
  <c r="T71" i="9"/>
  <c r="V71" i="9" s="1"/>
  <c r="O188" i="9"/>
  <c r="Y155" i="9"/>
  <c r="O189" i="9" s="1"/>
  <c r="O236" i="9"/>
  <c r="O237" i="9" s="1"/>
  <c r="BW155" i="9"/>
  <c r="Q257" i="9"/>
  <c r="Q258" i="9" s="1"/>
  <c r="CS157" i="9"/>
  <c r="Q284" i="9"/>
  <c r="Q285" i="9" s="1"/>
  <c r="DU157" i="9"/>
  <c r="T84" i="9"/>
  <c r="V84" i="9" s="1"/>
  <c r="L85" i="9"/>
  <c r="Q85" i="9"/>
  <c r="T91" i="9"/>
  <c r="V91" i="9" s="1"/>
  <c r="C92" i="9"/>
  <c r="S188" i="9"/>
  <c r="Y159" i="9"/>
  <c r="S189" i="9" s="1"/>
  <c r="S236" i="9"/>
  <c r="S237" i="9" s="1"/>
  <c r="BW159" i="9"/>
  <c r="T236" i="9"/>
  <c r="T237" i="9" s="1"/>
  <c r="BW160" i="9"/>
  <c r="R185" i="9"/>
  <c r="V158" i="9"/>
  <c r="R186" i="9" s="1"/>
  <c r="R211" i="9"/>
  <c r="AX158" i="9"/>
  <c r="R212" i="9" s="1"/>
  <c r="S284" i="9"/>
  <c r="S285" i="9" s="1"/>
  <c r="DU159" i="9"/>
  <c r="N85" i="9"/>
  <c r="W85" i="9"/>
  <c r="Y85" i="9" s="1"/>
  <c r="C86" i="9"/>
  <c r="R260" i="9"/>
  <c r="CV158" i="9"/>
  <c r="S257" i="9"/>
  <c r="S258" i="9" s="1"/>
  <c r="CS159" i="9"/>
  <c r="T188" i="9"/>
  <c r="Y160" i="9"/>
  <c r="T189" i="9" s="1"/>
  <c r="T85" i="9"/>
  <c r="V85" i="9" s="1"/>
  <c r="N106" i="9"/>
  <c r="T284" i="9"/>
  <c r="T285" i="9" s="1"/>
  <c r="DU160" i="9"/>
  <c r="T185" i="9"/>
  <c r="V160" i="9"/>
  <c r="T186" i="9" s="1"/>
  <c r="L98" i="9"/>
  <c r="Q98" i="9"/>
  <c r="T105" i="9"/>
  <c r="V105" i="9" s="1"/>
  <c r="N112" i="9"/>
  <c r="W112" i="9"/>
  <c r="Y112" i="9" s="1"/>
  <c r="C113" i="9"/>
  <c r="U211" i="9"/>
  <c r="AX161" i="9"/>
  <c r="U212" i="9" s="1"/>
  <c r="X163" i="9"/>
  <c r="W188" i="9" s="1"/>
  <c r="W312" i="9" s="1"/>
  <c r="X162" i="9"/>
  <c r="V236" i="9"/>
  <c r="V237" i="9" s="1"/>
  <c r="BW162" i="9"/>
  <c r="T112" i="9"/>
  <c r="V112" i="9" s="1"/>
  <c r="U260" i="9"/>
  <c r="U261" i="9" s="1"/>
  <c r="CV161" i="9"/>
  <c r="N98" i="9"/>
  <c r="W98" i="9"/>
  <c r="Y98" i="9" s="1"/>
  <c r="C99" i="9"/>
  <c r="L112" i="9"/>
  <c r="Q112" i="9"/>
  <c r="T98" i="9"/>
  <c r="V98" i="9" s="1"/>
  <c r="N105" i="9"/>
  <c r="W105" i="9"/>
  <c r="Y105" i="9" s="1"/>
  <c r="U163" i="9"/>
  <c r="W185" i="9" s="1"/>
  <c r="U162" i="9"/>
  <c r="V284" i="9"/>
  <c r="V285" i="9" s="1"/>
  <c r="DU162" i="9"/>
  <c r="N120" i="9"/>
  <c r="C121" i="9"/>
  <c r="N126" i="9"/>
  <c r="W126" i="9"/>
  <c r="Y126" i="9" s="1"/>
  <c r="C127" i="9"/>
  <c r="Q134" i="9"/>
  <c r="T126" i="9"/>
  <c r="V126" i="9" s="1"/>
  <c r="T134" i="9"/>
  <c r="V134" i="9" s="1"/>
  <c r="W257" i="9"/>
  <c r="W258" i="9" s="1"/>
  <c r="CS163" i="9"/>
  <c r="T119" i="9"/>
  <c r="V119" i="9" s="1"/>
  <c r="L120" i="9"/>
  <c r="L126" i="9"/>
  <c r="Q126" i="9"/>
  <c r="L134" i="9"/>
  <c r="C135" i="9"/>
  <c r="W211" i="9"/>
  <c r="AX163" i="9"/>
  <c r="W212" i="9" s="1"/>
  <c r="W260" i="9"/>
  <c r="W261" i="9" s="1"/>
  <c r="CV163" i="9"/>
  <c r="N134" i="9"/>
  <c r="W134" i="9"/>
  <c r="Y134" i="9" s="1"/>
  <c r="T133" i="9"/>
  <c r="V133" i="9" s="1"/>
  <c r="CV145" i="9"/>
  <c r="E280" i="9"/>
  <c r="V145" i="9"/>
  <c r="E186" i="9" s="1"/>
  <c r="AX145" i="9"/>
  <c r="E212" i="9" s="1"/>
  <c r="E261" i="9"/>
  <c r="DR146" i="9"/>
  <c r="DR150" i="9"/>
  <c r="Y146" i="9"/>
  <c r="F189" i="9" s="1"/>
  <c r="BW146" i="9"/>
  <c r="DU146" i="9"/>
  <c r="AX147" i="9"/>
  <c r="G212" i="9" s="1"/>
  <c r="G237" i="9"/>
  <c r="Y148" i="9"/>
  <c r="H189" i="9" s="1"/>
  <c r="BW148" i="9"/>
  <c r="I237" i="9"/>
  <c r="K237" i="9"/>
  <c r="V146" i="9"/>
  <c r="F186" i="9" s="1"/>
  <c r="G280" i="9"/>
  <c r="V148" i="9"/>
  <c r="H186" i="9" s="1"/>
  <c r="I280" i="9"/>
  <c r="V150" i="9"/>
  <c r="J186" i="9" s="1"/>
  <c r="AU151" i="9"/>
  <c r="K209" i="9" s="1"/>
  <c r="CS151" i="9"/>
  <c r="K280" i="9"/>
  <c r="Y145" i="9"/>
  <c r="E189" i="9" s="1"/>
  <c r="AX146" i="9"/>
  <c r="F212" i="9" s="1"/>
  <c r="F237" i="9"/>
  <c r="Y147" i="9"/>
  <c r="G189" i="9" s="1"/>
  <c r="BW147" i="9"/>
  <c r="AX148" i="9"/>
  <c r="H212" i="9" s="1"/>
  <c r="H237" i="9"/>
  <c r="Y149" i="9"/>
  <c r="I189" i="9" s="1"/>
  <c r="BW149" i="9"/>
  <c r="AX150" i="9"/>
  <c r="J212" i="9" s="1"/>
  <c r="Y151" i="9"/>
  <c r="K189" i="9" s="1"/>
  <c r="BW151" i="9"/>
  <c r="V152" i="9"/>
  <c r="L186" i="9" s="1"/>
  <c r="L280" i="9"/>
  <c r="F280" i="9"/>
  <c r="F282" i="9" s="1"/>
  <c r="H280" i="9"/>
  <c r="I258" i="9"/>
  <c r="J280" i="9"/>
  <c r="N280" i="9"/>
  <c r="P280" i="9"/>
  <c r="V157" i="9"/>
  <c r="Q186" i="9" s="1"/>
  <c r="R280" i="9"/>
  <c r="V159" i="9"/>
  <c r="S186" i="9" s="1"/>
  <c r="BT159" i="9"/>
  <c r="S234" i="9" s="1"/>
  <c r="Y152" i="9"/>
  <c r="L189" i="9" s="1"/>
  <c r="BW152" i="9"/>
  <c r="AX153" i="9"/>
  <c r="M212" i="9" s="1"/>
  <c r="Y154" i="9"/>
  <c r="N189" i="9" s="1"/>
  <c r="BW154" i="9"/>
  <c r="AX155" i="9"/>
  <c r="O212" i="9" s="1"/>
  <c r="Y156" i="9"/>
  <c r="P189" i="9" s="1"/>
  <c r="BW156" i="9"/>
  <c r="DU156" i="9"/>
  <c r="AX157" i="9"/>
  <c r="Q212" i="9" s="1"/>
  <c r="CV157" i="9"/>
  <c r="Y158" i="9"/>
  <c r="R189" i="9" s="1"/>
  <c r="BW158" i="9"/>
  <c r="R261" i="9"/>
  <c r="DU158" i="9"/>
  <c r="AX159" i="9"/>
  <c r="S212" i="9" s="1"/>
  <c r="CV159" i="9"/>
  <c r="AU153" i="9"/>
  <c r="M209" i="9" s="1"/>
  <c r="M280" i="9"/>
  <c r="V154" i="9"/>
  <c r="N186" i="9" s="1"/>
  <c r="BT154" i="9"/>
  <c r="N234" i="9" s="1"/>
  <c r="O280" i="9"/>
  <c r="V156" i="9"/>
  <c r="P186" i="9" s="1"/>
  <c r="Q280" i="9"/>
  <c r="S280" i="9"/>
  <c r="L237" i="9"/>
  <c r="N237" i="9"/>
  <c r="N285" i="9"/>
  <c r="P237" i="9"/>
  <c r="P285" i="9"/>
  <c r="Q261" i="9"/>
  <c r="R237" i="9"/>
  <c r="R285" i="9"/>
  <c r="S261" i="9"/>
  <c r="Y161" i="9"/>
  <c r="U189" i="9" s="1"/>
  <c r="CS160" i="9"/>
  <c r="T280" i="9"/>
  <c r="V161" i="9"/>
  <c r="U186" i="9" s="1"/>
  <c r="V280" i="9"/>
  <c r="U187" i="9"/>
  <c r="T261" i="9"/>
  <c r="U237" i="9"/>
  <c r="U285" i="9"/>
  <c r="V261" i="9"/>
  <c r="W237" i="9"/>
  <c r="W285" i="9"/>
  <c r="T258" i="9"/>
  <c r="U280" i="9"/>
  <c r="W280" i="9"/>
  <c r="W187" i="9"/>
  <c r="AX160" i="9"/>
  <c r="T212" i="9" s="1"/>
  <c r="CV160" i="9"/>
  <c r="BW161" i="9"/>
  <c r="DU161" i="9"/>
  <c r="AX162" i="9"/>
  <c r="V212" i="9" s="1"/>
  <c r="CV162" i="9"/>
  <c r="BW163" i="9"/>
  <c r="DU163" i="9"/>
  <c r="C293" i="9"/>
  <c r="H322" i="9"/>
  <c r="M322" i="9"/>
  <c r="S322" i="9"/>
  <c r="I323" i="9"/>
  <c r="O323" i="9"/>
  <c r="T323" i="9"/>
  <c r="I322" i="9"/>
  <c r="T322" i="9"/>
  <c r="E323" i="9"/>
  <c r="P323" i="9"/>
  <c r="U323" i="9"/>
  <c r="E322" i="9"/>
  <c r="U322" i="9"/>
  <c r="Q323" i="9"/>
  <c r="AU147" i="9" l="1"/>
  <c r="G209" i="9" s="1"/>
  <c r="O312" i="9"/>
  <c r="Q312" i="9"/>
  <c r="J312" i="9"/>
  <c r="T312" i="9"/>
  <c r="M312" i="9"/>
  <c r="E312" i="9"/>
  <c r="E313" i="9" s="1"/>
  <c r="S312" i="9"/>
  <c r="V163" i="9"/>
  <c r="W186" i="9" s="1"/>
  <c r="DU151" i="9"/>
  <c r="DU154" i="9"/>
  <c r="DR152" i="9"/>
  <c r="CS147" i="9"/>
  <c r="CS155" i="9"/>
  <c r="E282" i="9"/>
  <c r="CR145" i="9"/>
  <c r="E257" i="9" s="1"/>
  <c r="E258" i="9" s="1"/>
  <c r="Y163" i="9"/>
  <c r="W189" i="9" s="1"/>
  <c r="BT157" i="9"/>
  <c r="Q234" i="9" s="1"/>
  <c r="CV150" i="9"/>
  <c r="DU145" i="9"/>
  <c r="BT148" i="9"/>
  <c r="H234" i="9" s="1"/>
  <c r="L106" i="9"/>
  <c r="C107" i="9"/>
  <c r="AV10" i="9"/>
  <c r="AX10" i="9" s="1"/>
  <c r="BU79" i="9"/>
  <c r="BW79" i="9" s="1"/>
  <c r="BU9" i="9"/>
  <c r="BW9" i="9" s="1"/>
  <c r="CC7" i="9"/>
  <c r="CB8" i="9" s="1"/>
  <c r="DS128" i="9"/>
  <c r="DU128" i="9" s="1"/>
  <c r="CY114" i="9"/>
  <c r="DS114" i="9" s="1"/>
  <c r="DU114" i="9" s="1"/>
  <c r="AB107" i="9"/>
  <c r="CS149" i="9"/>
  <c r="CV147" i="9"/>
  <c r="W106" i="9"/>
  <c r="Y106" i="9" s="1"/>
  <c r="CP7" i="9"/>
  <c r="BT145" i="9"/>
  <c r="E234" i="9" s="1"/>
  <c r="Q106" i="9"/>
  <c r="BU8" i="9"/>
  <c r="BW8" i="9" s="1"/>
  <c r="DH121" i="9"/>
  <c r="DP121" i="9"/>
  <c r="DR121" i="9" s="1"/>
  <c r="DM121" i="9"/>
  <c r="DJ121" i="9"/>
  <c r="CQ121" i="9"/>
  <c r="CS121" i="9" s="1"/>
  <c r="CN121" i="9"/>
  <c r="BL121" i="9"/>
  <c r="BJ121" i="9"/>
  <c r="CI121" i="9"/>
  <c r="AM121" i="9"/>
  <c r="AK121" i="9"/>
  <c r="BR121" i="9"/>
  <c r="BT121" i="9" s="1"/>
  <c r="AS121" i="9"/>
  <c r="BO121" i="9"/>
  <c r="AP121" i="9"/>
  <c r="CK121" i="9"/>
  <c r="DM78" i="9"/>
  <c r="DJ78" i="9"/>
  <c r="DP78" i="9"/>
  <c r="DR78" i="9" s="1"/>
  <c r="DH78" i="9"/>
  <c r="CN78" i="9"/>
  <c r="CK78" i="9"/>
  <c r="CQ78" i="9"/>
  <c r="CS78" i="9" s="1"/>
  <c r="BJ78" i="9"/>
  <c r="CI78" i="9"/>
  <c r="BR78" i="9"/>
  <c r="BT78" i="9" s="1"/>
  <c r="BO78" i="9"/>
  <c r="AM78" i="9"/>
  <c r="BL78" i="9"/>
  <c r="AS78" i="9"/>
  <c r="AU78" i="9" s="1"/>
  <c r="AP78" i="9"/>
  <c r="AK78" i="9"/>
  <c r="DM29" i="9"/>
  <c r="DJ29" i="9"/>
  <c r="DH29" i="9"/>
  <c r="CN29" i="9"/>
  <c r="CK29" i="9"/>
  <c r="CI29" i="9"/>
  <c r="BR29" i="9"/>
  <c r="BT29" i="9" s="1"/>
  <c r="BO29" i="9"/>
  <c r="BL29" i="9"/>
  <c r="CQ29" i="9"/>
  <c r="CS29" i="9" s="1"/>
  <c r="BJ29" i="9"/>
  <c r="AM29" i="9"/>
  <c r="AK29" i="9"/>
  <c r="DP29" i="9"/>
  <c r="DR29" i="9" s="1"/>
  <c r="AS29" i="9"/>
  <c r="AU29" i="9" s="1"/>
  <c r="AP29" i="9"/>
  <c r="DU147" i="9"/>
  <c r="DR162" i="9"/>
  <c r="U257" i="9"/>
  <c r="U258" i="9" s="1"/>
  <c r="DP92" i="9"/>
  <c r="DR92" i="9" s="1"/>
  <c r="DM92" i="9"/>
  <c r="DJ92" i="9"/>
  <c r="DH92" i="9"/>
  <c r="CN92" i="9"/>
  <c r="CK92" i="9"/>
  <c r="BR92" i="9"/>
  <c r="BT92" i="9" s="1"/>
  <c r="CQ92" i="9"/>
  <c r="CS92" i="9" s="1"/>
  <c r="BO92" i="9"/>
  <c r="CI92" i="9"/>
  <c r="BL92" i="9"/>
  <c r="BJ92" i="9"/>
  <c r="AK92" i="9"/>
  <c r="AS92" i="9"/>
  <c r="AU92" i="9" s="1"/>
  <c r="AP92" i="9"/>
  <c r="AM92" i="9"/>
  <c r="DJ64" i="9"/>
  <c r="DH64" i="9"/>
  <c r="DP64" i="9"/>
  <c r="DR64" i="9" s="1"/>
  <c r="DM64" i="9"/>
  <c r="CN64" i="9"/>
  <c r="CK64" i="9"/>
  <c r="BR64" i="9"/>
  <c r="BT64" i="9" s="1"/>
  <c r="BO64" i="9"/>
  <c r="AK64" i="9"/>
  <c r="CQ64" i="9"/>
  <c r="CS64" i="9" s="1"/>
  <c r="BL64" i="9"/>
  <c r="AP64" i="9"/>
  <c r="BJ64" i="9"/>
  <c r="AM64" i="9"/>
  <c r="CI64" i="9"/>
  <c r="AS64" i="9"/>
  <c r="AU64" i="9" s="1"/>
  <c r="C16" i="9"/>
  <c r="T16" i="9" s="1"/>
  <c r="V16" i="9" s="1"/>
  <c r="L15" i="9"/>
  <c r="V282" i="9"/>
  <c r="DM43" i="9"/>
  <c r="DJ43" i="9"/>
  <c r="DH43" i="9"/>
  <c r="CK43" i="9"/>
  <c r="DP43" i="9"/>
  <c r="DR43" i="9" s="1"/>
  <c r="CI43" i="9"/>
  <c r="BO43" i="9"/>
  <c r="BL43" i="9"/>
  <c r="CQ43" i="9"/>
  <c r="CS43" i="9" s="1"/>
  <c r="CN43" i="9"/>
  <c r="BR43" i="9"/>
  <c r="BT43" i="9" s="1"/>
  <c r="AP43" i="9"/>
  <c r="AM43" i="9"/>
  <c r="AS43" i="9"/>
  <c r="AU43" i="9" s="1"/>
  <c r="AK43" i="9"/>
  <c r="BJ43" i="9"/>
  <c r="DH36" i="9"/>
  <c r="DP36" i="9"/>
  <c r="DR36" i="9" s="1"/>
  <c r="DM36" i="9"/>
  <c r="DJ36" i="9"/>
  <c r="CK36" i="9"/>
  <c r="CI36" i="9"/>
  <c r="CQ36" i="9"/>
  <c r="CS36" i="9" s="1"/>
  <c r="BO36" i="9"/>
  <c r="CN36" i="9"/>
  <c r="BL36" i="9"/>
  <c r="BR36" i="9"/>
  <c r="BT36" i="9" s="1"/>
  <c r="BJ36" i="9"/>
  <c r="AS36" i="9"/>
  <c r="AU36" i="9" s="1"/>
  <c r="AP36" i="9"/>
  <c r="AM36" i="9"/>
  <c r="AK36" i="9"/>
  <c r="DH8" i="9"/>
  <c r="DP8" i="9"/>
  <c r="DR8" i="9" s="1"/>
  <c r="CN8" i="9"/>
  <c r="DM8" i="9"/>
  <c r="CK8" i="9"/>
  <c r="CI8" i="9"/>
  <c r="BO8" i="9"/>
  <c r="BL8" i="9"/>
  <c r="DJ8" i="9"/>
  <c r="BR8" i="9"/>
  <c r="BT8" i="9" s="1"/>
  <c r="CQ8" i="9"/>
  <c r="CS8" i="9" s="1"/>
  <c r="BJ8" i="9"/>
  <c r="AM8" i="9"/>
  <c r="AK8" i="9"/>
  <c r="AP8" i="9"/>
  <c r="AS8" i="9"/>
  <c r="AU8" i="9" s="1"/>
  <c r="DU152" i="9"/>
  <c r="J282" i="9"/>
  <c r="CV146" i="9"/>
  <c r="CS145" i="9"/>
  <c r="DP135" i="9"/>
  <c r="DM135" i="9"/>
  <c r="DJ135" i="9"/>
  <c r="DH135" i="9"/>
  <c r="CI135" i="9"/>
  <c r="CQ135" i="9"/>
  <c r="CS135" i="9" s="1"/>
  <c r="BL135" i="9"/>
  <c r="CN135" i="9"/>
  <c r="BJ135" i="9"/>
  <c r="BR135" i="9"/>
  <c r="BT135" i="9" s="1"/>
  <c r="AM135" i="9"/>
  <c r="BO135" i="9"/>
  <c r="AK135" i="9"/>
  <c r="AS135" i="9"/>
  <c r="AU135" i="9" s="1"/>
  <c r="CK135" i="9"/>
  <c r="AP135" i="9"/>
  <c r="Q120" i="9"/>
  <c r="DH107" i="9"/>
  <c r="DP107" i="9"/>
  <c r="DJ107" i="9"/>
  <c r="CI107" i="9"/>
  <c r="CQ107" i="9"/>
  <c r="CS107" i="9" s="1"/>
  <c r="CN107" i="9"/>
  <c r="BL107" i="9"/>
  <c r="CK107" i="9"/>
  <c r="BJ107" i="9"/>
  <c r="DM107" i="9"/>
  <c r="BO107" i="9"/>
  <c r="AK107" i="9"/>
  <c r="AS107" i="9"/>
  <c r="AU107" i="9" s="1"/>
  <c r="AP107" i="9"/>
  <c r="AM107" i="9"/>
  <c r="BR107" i="9"/>
  <c r="BT107" i="9" s="1"/>
  <c r="DM72" i="9"/>
  <c r="DJ72" i="9"/>
  <c r="DP72" i="9"/>
  <c r="DR72" i="9" s="1"/>
  <c r="DH72" i="9"/>
  <c r="CI72" i="9"/>
  <c r="CQ72" i="9"/>
  <c r="CS72" i="9" s="1"/>
  <c r="CK72" i="9"/>
  <c r="BL72" i="9"/>
  <c r="BJ72" i="9"/>
  <c r="BR72" i="9"/>
  <c r="BT72" i="9" s="1"/>
  <c r="AK72" i="9"/>
  <c r="BO72" i="9"/>
  <c r="AP72" i="9"/>
  <c r="CN72" i="9"/>
  <c r="AM72" i="9"/>
  <c r="AS72" i="9"/>
  <c r="DH50" i="9"/>
  <c r="DP50" i="9"/>
  <c r="DR50" i="9" s="1"/>
  <c r="DM50" i="9"/>
  <c r="CK50" i="9"/>
  <c r="CI50" i="9"/>
  <c r="DJ50" i="9"/>
  <c r="BR50" i="9"/>
  <c r="BT50" i="9" s="1"/>
  <c r="BO50" i="9"/>
  <c r="AS50" i="9"/>
  <c r="AU50" i="9" s="1"/>
  <c r="CQ50" i="9"/>
  <c r="CS50" i="9" s="1"/>
  <c r="BL50" i="9"/>
  <c r="AM50" i="9"/>
  <c r="CN50" i="9"/>
  <c r="BJ50" i="9"/>
  <c r="AP50" i="9"/>
  <c r="AK50" i="9"/>
  <c r="CJ7" i="9"/>
  <c r="CY100" i="9"/>
  <c r="DS99" i="9"/>
  <c r="DU99" i="9" s="1"/>
  <c r="DH134" i="9"/>
  <c r="DP134" i="9"/>
  <c r="DR134" i="9" s="1"/>
  <c r="DM134" i="9"/>
  <c r="DJ134" i="9"/>
  <c r="CN134" i="9"/>
  <c r="CK134" i="9"/>
  <c r="BR134" i="9"/>
  <c r="BT134" i="9" s="1"/>
  <c r="CQ134" i="9"/>
  <c r="CS134" i="9" s="1"/>
  <c r="BO134" i="9"/>
  <c r="CI134" i="9"/>
  <c r="BL134" i="9"/>
  <c r="AS134" i="9"/>
  <c r="AU134" i="9" s="1"/>
  <c r="BJ134" i="9"/>
  <c r="AP134" i="9"/>
  <c r="AM134" i="9"/>
  <c r="AK134" i="9"/>
  <c r="DM57" i="9"/>
  <c r="DJ57" i="9"/>
  <c r="DH57" i="9"/>
  <c r="DP57" i="9"/>
  <c r="DR57" i="9" s="1"/>
  <c r="CI57" i="9"/>
  <c r="CQ57" i="9"/>
  <c r="CS57" i="9" s="1"/>
  <c r="CK57" i="9"/>
  <c r="BJ57" i="9"/>
  <c r="BR57" i="9"/>
  <c r="BT57" i="9" s="1"/>
  <c r="BL57" i="9"/>
  <c r="AP57" i="9"/>
  <c r="CN57" i="9"/>
  <c r="AK57" i="9"/>
  <c r="BO57" i="9"/>
  <c r="AS57" i="9"/>
  <c r="AU57" i="9" s="1"/>
  <c r="AM57" i="9"/>
  <c r="DM85" i="9"/>
  <c r="DJ85" i="9"/>
  <c r="DH85" i="9"/>
  <c r="CI85" i="9"/>
  <c r="CQ85" i="9"/>
  <c r="CN85" i="9"/>
  <c r="BJ85" i="9"/>
  <c r="CK85" i="9"/>
  <c r="BR85" i="9"/>
  <c r="BT85" i="9" s="1"/>
  <c r="BO85" i="9"/>
  <c r="AK85" i="9"/>
  <c r="DP85" i="9"/>
  <c r="DR85" i="9" s="1"/>
  <c r="BL85" i="9"/>
  <c r="AS85" i="9"/>
  <c r="AU85" i="9" s="1"/>
  <c r="AP85" i="9"/>
  <c r="AM85" i="9"/>
  <c r="DJ113" i="9"/>
  <c r="DH113" i="9"/>
  <c r="DM113" i="9"/>
  <c r="DP113" i="9"/>
  <c r="DR113" i="9" s="1"/>
  <c r="CN113" i="9"/>
  <c r="CK113" i="9"/>
  <c r="BO113" i="9"/>
  <c r="BL113" i="9"/>
  <c r="BR113" i="9"/>
  <c r="BT113" i="9" s="1"/>
  <c r="AK113" i="9"/>
  <c r="CQ113" i="9"/>
  <c r="CS113" i="9" s="1"/>
  <c r="AS113" i="9"/>
  <c r="AU113" i="9" s="1"/>
  <c r="CI113" i="9"/>
  <c r="AP113" i="9"/>
  <c r="AM113" i="9"/>
  <c r="BJ113" i="9"/>
  <c r="DP86" i="9"/>
  <c r="DR86" i="9" s="1"/>
  <c r="DM86" i="9"/>
  <c r="DH86" i="9"/>
  <c r="DJ86" i="9"/>
  <c r="CK86" i="9"/>
  <c r="CI86" i="9"/>
  <c r="CQ86" i="9"/>
  <c r="BR86" i="9"/>
  <c r="BO86" i="9"/>
  <c r="AP86" i="9"/>
  <c r="CN86" i="9"/>
  <c r="BL86" i="9"/>
  <c r="AM86" i="9"/>
  <c r="BJ86" i="9"/>
  <c r="AK86" i="9"/>
  <c r="AS86" i="9"/>
  <c r="AU86" i="9" s="1"/>
  <c r="DM120" i="9"/>
  <c r="DJ120" i="9"/>
  <c r="DH120" i="9"/>
  <c r="DP120" i="9"/>
  <c r="DR120" i="9" s="1"/>
  <c r="CK120" i="9"/>
  <c r="CI120" i="9"/>
  <c r="BR120" i="9"/>
  <c r="BT120" i="9" s="1"/>
  <c r="BO120" i="9"/>
  <c r="CN120" i="9"/>
  <c r="AS120" i="9"/>
  <c r="AU120" i="9" s="1"/>
  <c r="BL120" i="9"/>
  <c r="AP120" i="9"/>
  <c r="BJ120" i="9"/>
  <c r="AM120" i="9"/>
  <c r="AK120" i="9"/>
  <c r="CQ120" i="9"/>
  <c r="CS120" i="9" s="1"/>
  <c r="DM15" i="9"/>
  <c r="DH15" i="9"/>
  <c r="DP15" i="9"/>
  <c r="DR15" i="9" s="1"/>
  <c r="CN15" i="9"/>
  <c r="DJ15" i="9"/>
  <c r="CK15" i="9"/>
  <c r="BO15" i="9"/>
  <c r="CQ15" i="9"/>
  <c r="CS15" i="9" s="1"/>
  <c r="BL15" i="9"/>
  <c r="CI15" i="9"/>
  <c r="BR15" i="9"/>
  <c r="BT15" i="9" s="1"/>
  <c r="BJ15" i="9"/>
  <c r="AK15" i="9"/>
  <c r="AS15" i="9"/>
  <c r="AU15" i="9" s="1"/>
  <c r="AM15" i="9"/>
  <c r="AP15" i="9"/>
  <c r="DJ127" i="9"/>
  <c r="DH127" i="9"/>
  <c r="DP127" i="9"/>
  <c r="DR127" i="9" s="1"/>
  <c r="DM127" i="9"/>
  <c r="CQ127" i="9"/>
  <c r="CS127" i="9" s="1"/>
  <c r="CN127" i="9"/>
  <c r="BL127" i="9"/>
  <c r="BJ127" i="9"/>
  <c r="CK127" i="9"/>
  <c r="CI127" i="9"/>
  <c r="BR127" i="9"/>
  <c r="BT127" i="9" s="1"/>
  <c r="AK127" i="9"/>
  <c r="AS127" i="9"/>
  <c r="AU127" i="9" s="1"/>
  <c r="BO127" i="9"/>
  <c r="AP127" i="9"/>
  <c r="AM127" i="9"/>
  <c r="W120" i="9"/>
  <c r="Y120" i="9" s="1"/>
  <c r="DM99" i="9"/>
  <c r="DJ99" i="9"/>
  <c r="DP99" i="9"/>
  <c r="DH99" i="9"/>
  <c r="CN99" i="9"/>
  <c r="CK99" i="9"/>
  <c r="CQ99" i="9"/>
  <c r="CS99" i="9" s="1"/>
  <c r="BR99" i="9"/>
  <c r="BT99" i="9" s="1"/>
  <c r="CI99" i="9"/>
  <c r="BO99" i="9"/>
  <c r="BJ99" i="9"/>
  <c r="AK99" i="9"/>
  <c r="AS99" i="9"/>
  <c r="AU99" i="9" s="1"/>
  <c r="BL99" i="9"/>
  <c r="AP99" i="9"/>
  <c r="AM99" i="9"/>
  <c r="DJ58" i="9"/>
  <c r="DP58" i="9"/>
  <c r="DR58" i="9" s="1"/>
  <c r="DM58" i="9"/>
  <c r="CN58" i="9"/>
  <c r="CK58" i="9"/>
  <c r="CQ58" i="9"/>
  <c r="CS58" i="9" s="1"/>
  <c r="BR58" i="9"/>
  <c r="BT58" i="9" s="1"/>
  <c r="CI58" i="9"/>
  <c r="BO58" i="9"/>
  <c r="BL58" i="9"/>
  <c r="AK58" i="9"/>
  <c r="BJ58" i="9"/>
  <c r="AP58" i="9"/>
  <c r="AM58" i="9"/>
  <c r="AS58" i="9"/>
  <c r="AU58" i="9" s="1"/>
  <c r="DH58" i="9"/>
  <c r="DP22" i="9"/>
  <c r="DR22" i="9" s="1"/>
  <c r="DM22" i="9"/>
  <c r="DJ22" i="9"/>
  <c r="CI22" i="9"/>
  <c r="DH22" i="9"/>
  <c r="CQ22" i="9"/>
  <c r="CS22" i="9" s="1"/>
  <c r="CK22" i="9"/>
  <c r="BJ22" i="9"/>
  <c r="BR22" i="9"/>
  <c r="BT22" i="9" s="1"/>
  <c r="BO22" i="9"/>
  <c r="CN22" i="9"/>
  <c r="BL22" i="9"/>
  <c r="AK22" i="9"/>
  <c r="AS22" i="9"/>
  <c r="AU22" i="9" s="1"/>
  <c r="AM22" i="9"/>
  <c r="AP22" i="9"/>
  <c r="Q15" i="9"/>
  <c r="CY136" i="9"/>
  <c r="CY137" i="9" s="1"/>
  <c r="DG8" i="9"/>
  <c r="DK7" i="9"/>
  <c r="DP106" i="9"/>
  <c r="DM106" i="9"/>
  <c r="DJ106" i="9"/>
  <c r="DH106" i="9"/>
  <c r="CQ106" i="9"/>
  <c r="CS106" i="9" s="1"/>
  <c r="CN106" i="9"/>
  <c r="BR106" i="9"/>
  <c r="BT106" i="9" s="1"/>
  <c r="CK106" i="9"/>
  <c r="BO106" i="9"/>
  <c r="AS106" i="9"/>
  <c r="AU106" i="9" s="1"/>
  <c r="AP106" i="9"/>
  <c r="BL106" i="9"/>
  <c r="AM106" i="9"/>
  <c r="CI106" i="9"/>
  <c r="BJ106" i="9"/>
  <c r="AK106" i="9"/>
  <c r="DQ135" i="9"/>
  <c r="DQ123" i="9"/>
  <c r="CY9" i="9"/>
  <c r="DS8" i="9"/>
  <c r="DU8" i="9" s="1"/>
  <c r="DQ60" i="9"/>
  <c r="DQ53" i="9"/>
  <c r="DQ88" i="9"/>
  <c r="CY110" i="9"/>
  <c r="DS110" i="9" s="1"/>
  <c r="DU110" i="9" s="1"/>
  <c r="DS109" i="9"/>
  <c r="DU109" i="9" s="1"/>
  <c r="DQ100" i="9"/>
  <c r="DR99" i="9"/>
  <c r="DN7" i="9"/>
  <c r="DO7" i="9" s="1"/>
  <c r="DB7" i="9"/>
  <c r="DA8" i="9" s="1"/>
  <c r="DQ96" i="9"/>
  <c r="DQ38" i="9"/>
  <c r="DQ18" i="9"/>
  <c r="CY72" i="9"/>
  <c r="DS71" i="9"/>
  <c r="DU71" i="9" s="1"/>
  <c r="DQ107" i="9"/>
  <c r="DR106" i="9"/>
  <c r="CY38" i="9"/>
  <c r="DS37" i="9"/>
  <c r="DU37" i="9" s="1"/>
  <c r="L282" i="9"/>
  <c r="CY130" i="9"/>
  <c r="DS129" i="9"/>
  <c r="DU129" i="9" s="1"/>
  <c r="DQ160" i="9"/>
  <c r="CY95" i="9"/>
  <c r="DS94" i="9"/>
  <c r="DU94" i="9" s="1"/>
  <c r="CY79" i="9"/>
  <c r="DS78" i="9"/>
  <c r="DU78" i="9" s="1"/>
  <c r="CY87" i="9"/>
  <c r="DS86" i="9"/>
  <c r="DU86" i="9" s="1"/>
  <c r="CY45" i="9"/>
  <c r="DS44" i="9"/>
  <c r="DU44" i="9" s="1"/>
  <c r="DQ81" i="9"/>
  <c r="DQ33" i="9"/>
  <c r="DQ10" i="9"/>
  <c r="CY52" i="9"/>
  <c r="DS51" i="9"/>
  <c r="DU51" i="9" s="1"/>
  <c r="DI7" i="9"/>
  <c r="CY24" i="9"/>
  <c r="DS23" i="9"/>
  <c r="DU23" i="9" s="1"/>
  <c r="CY122" i="9"/>
  <c r="DS121" i="9"/>
  <c r="DU121" i="9" s="1"/>
  <c r="CY68" i="9"/>
  <c r="DS68" i="9" s="1"/>
  <c r="DU68" i="9" s="1"/>
  <c r="DS67" i="9"/>
  <c r="DU67" i="9" s="1"/>
  <c r="CY59" i="9"/>
  <c r="DS58" i="9"/>
  <c r="DU58" i="9" s="1"/>
  <c r="CY17" i="9"/>
  <c r="DS16" i="9"/>
  <c r="DU16" i="9" s="1"/>
  <c r="CY31" i="9"/>
  <c r="DS30" i="9"/>
  <c r="DU30" i="9" s="1"/>
  <c r="BZ94" i="9"/>
  <c r="CT93" i="9"/>
  <c r="CV93" i="9" s="1"/>
  <c r="CL8" i="9"/>
  <c r="CH9" i="9"/>
  <c r="CS153" i="9"/>
  <c r="CS158" i="9"/>
  <c r="DU149" i="9"/>
  <c r="BZ136" i="9"/>
  <c r="CT135" i="9"/>
  <c r="CV135" i="9" s="1"/>
  <c r="BZ122" i="9"/>
  <c r="CT121" i="9"/>
  <c r="CV121" i="9" s="1"/>
  <c r="CS86" i="9"/>
  <c r="BZ80" i="9"/>
  <c r="CT79" i="9"/>
  <c r="CV79" i="9" s="1"/>
  <c r="CR88" i="9"/>
  <c r="BZ17" i="9"/>
  <c r="CT16" i="9"/>
  <c r="CV16" i="9" s="1"/>
  <c r="DR154" i="9"/>
  <c r="CV155" i="9"/>
  <c r="N282" i="9"/>
  <c r="H282" i="9"/>
  <c r="CV148" i="9"/>
  <c r="BZ109" i="9"/>
  <c r="CT108" i="9"/>
  <c r="CV108" i="9" s="1"/>
  <c r="CT36" i="9"/>
  <c r="CV36" i="9" s="1"/>
  <c r="BZ37" i="9"/>
  <c r="BZ87" i="9"/>
  <c r="CT86" i="9"/>
  <c r="CV86" i="9" s="1"/>
  <c r="BZ24" i="9"/>
  <c r="CT23" i="9"/>
  <c r="CV23" i="9" s="1"/>
  <c r="CT30" i="9"/>
  <c r="CV30" i="9" s="1"/>
  <c r="BZ31" i="9"/>
  <c r="CC8" i="9"/>
  <c r="CB9" i="9" s="1"/>
  <c r="CJ8" i="9"/>
  <c r="CO8" i="9"/>
  <c r="BZ115" i="9"/>
  <c r="CT114" i="9"/>
  <c r="CV114" i="9" s="1"/>
  <c r="CV153" i="9"/>
  <c r="DR145" i="9"/>
  <c r="DR148" i="9"/>
  <c r="BZ130" i="9"/>
  <c r="CT129" i="9"/>
  <c r="CV129" i="9" s="1"/>
  <c r="BZ101" i="9"/>
  <c r="CT100" i="9"/>
  <c r="CV100" i="9" s="1"/>
  <c r="CS85" i="9"/>
  <c r="CT71" i="9"/>
  <c r="CV71" i="9" s="1"/>
  <c r="BZ72" i="9"/>
  <c r="BZ46" i="9"/>
  <c r="CT45" i="9"/>
  <c r="CV45" i="9" s="1"/>
  <c r="BZ65" i="9"/>
  <c r="CT64" i="9"/>
  <c r="CV64" i="9" s="1"/>
  <c r="CR162" i="9"/>
  <c r="BZ61" i="9"/>
  <c r="CT61" i="9" s="1"/>
  <c r="CV61" i="9" s="1"/>
  <c r="CT60" i="9"/>
  <c r="CV60" i="9" s="1"/>
  <c r="CP8" i="9"/>
  <c r="BZ54" i="9"/>
  <c r="CT54" i="9" s="1"/>
  <c r="CV54" i="9" s="1"/>
  <c r="CT53" i="9"/>
  <c r="CV53" i="9" s="1"/>
  <c r="BZ11" i="9"/>
  <c r="CT10" i="9"/>
  <c r="CV10" i="9" s="1"/>
  <c r="BA94" i="9"/>
  <c r="BU93" i="9"/>
  <c r="BW93" i="9" s="1"/>
  <c r="BS152" i="9"/>
  <c r="BA11" i="9"/>
  <c r="BU10" i="9"/>
  <c r="BW10" i="9" s="1"/>
  <c r="BA129" i="9"/>
  <c r="BU128" i="9"/>
  <c r="BW128" i="9" s="1"/>
  <c r="BA123" i="9"/>
  <c r="BU122" i="9"/>
  <c r="BW122" i="9" s="1"/>
  <c r="BA116" i="9"/>
  <c r="BU115" i="9"/>
  <c r="BW115" i="9" s="1"/>
  <c r="BA58" i="9"/>
  <c r="BU57" i="9"/>
  <c r="BW57" i="9" s="1"/>
  <c r="BA65" i="9"/>
  <c r="BU64" i="9"/>
  <c r="BW64" i="9" s="1"/>
  <c r="BA30" i="9"/>
  <c r="BU29" i="9"/>
  <c r="BW29" i="9" s="1"/>
  <c r="BS26" i="9"/>
  <c r="BP7" i="9"/>
  <c r="BQ7" i="9" s="1"/>
  <c r="BD7" i="9"/>
  <c r="BC8" i="9" s="1"/>
  <c r="BA38" i="9"/>
  <c r="BU37" i="9"/>
  <c r="BW37" i="9" s="1"/>
  <c r="BS19" i="9"/>
  <c r="BU52" i="9"/>
  <c r="BW52" i="9" s="1"/>
  <c r="BA53" i="9"/>
  <c r="BS124" i="9"/>
  <c r="BS162" i="9"/>
  <c r="BS137" i="9"/>
  <c r="BU100" i="9"/>
  <c r="BW100" i="9" s="1"/>
  <c r="BA101" i="9"/>
  <c r="BS158" i="9"/>
  <c r="BA73" i="9"/>
  <c r="BU72" i="9"/>
  <c r="BW72" i="9" s="1"/>
  <c r="BT150" i="9"/>
  <c r="J234" i="9" s="1"/>
  <c r="BS116" i="9"/>
  <c r="BT86" i="9"/>
  <c r="BA81" i="9"/>
  <c r="BU80" i="9"/>
  <c r="BW80" i="9" s="1"/>
  <c r="BA18" i="9"/>
  <c r="BU17" i="9"/>
  <c r="BW17" i="9" s="1"/>
  <c r="BS40" i="9"/>
  <c r="BA135" i="9"/>
  <c r="BU134" i="9"/>
  <c r="BW134" i="9" s="1"/>
  <c r="BA107" i="9"/>
  <c r="BU106" i="9"/>
  <c r="BW106" i="9" s="1"/>
  <c r="BS89" i="9"/>
  <c r="BS82" i="9"/>
  <c r="BA88" i="9"/>
  <c r="BU87" i="9"/>
  <c r="BW87" i="9" s="1"/>
  <c r="BU22" i="9"/>
  <c r="BW22" i="9" s="1"/>
  <c r="BA23" i="9"/>
  <c r="BS54" i="9"/>
  <c r="BA45" i="9"/>
  <c r="BU44" i="9"/>
  <c r="BW44" i="9" s="1"/>
  <c r="BI9" i="9"/>
  <c r="AT94" i="9"/>
  <c r="AB79" i="9"/>
  <c r="AV78" i="9"/>
  <c r="AX78" i="9" s="1"/>
  <c r="AT81" i="9"/>
  <c r="AT110" i="9"/>
  <c r="AT137" i="9"/>
  <c r="AB72" i="9"/>
  <c r="AV71" i="9"/>
  <c r="AX71" i="9" s="1"/>
  <c r="AB123" i="9"/>
  <c r="AV122" i="9"/>
  <c r="AX122" i="9" s="1"/>
  <c r="AB87" i="9"/>
  <c r="AV86" i="9"/>
  <c r="AX86" i="9" s="1"/>
  <c r="AV52" i="9"/>
  <c r="AX52" i="9" s="1"/>
  <c r="AB53" i="9"/>
  <c r="AB93" i="9"/>
  <c r="AV92" i="9"/>
  <c r="AX92" i="9" s="1"/>
  <c r="AB45" i="9"/>
  <c r="AV44" i="9"/>
  <c r="AX44" i="9" s="1"/>
  <c r="AV23" i="9"/>
  <c r="AX23" i="9" s="1"/>
  <c r="AB24" i="9"/>
  <c r="AT145" i="9"/>
  <c r="AT116" i="9"/>
  <c r="AT121" i="9"/>
  <c r="AB116" i="9"/>
  <c r="AV115" i="9"/>
  <c r="AX115" i="9" s="1"/>
  <c r="AT129" i="9"/>
  <c r="AB59" i="9"/>
  <c r="AV58" i="9"/>
  <c r="AX58" i="9" s="1"/>
  <c r="AB38" i="9"/>
  <c r="AV37" i="9"/>
  <c r="AX37" i="9" s="1"/>
  <c r="AB16" i="9"/>
  <c r="AV15" i="9"/>
  <c r="AX15" i="9" s="1"/>
  <c r="AT61" i="9"/>
  <c r="AB128" i="9"/>
  <c r="AV127" i="9"/>
  <c r="AX127" i="9" s="1"/>
  <c r="AB31" i="9"/>
  <c r="AV30" i="9"/>
  <c r="AX30" i="9" s="1"/>
  <c r="AQ7" i="9"/>
  <c r="AR7" i="9" s="1"/>
  <c r="AE7" i="9"/>
  <c r="AD8" i="9" s="1"/>
  <c r="AB12" i="9"/>
  <c r="AV12" i="9" s="1"/>
  <c r="AX12" i="9" s="1"/>
  <c r="AV11" i="9"/>
  <c r="AX11" i="9" s="1"/>
  <c r="AB135" i="9"/>
  <c r="AV134" i="9"/>
  <c r="AX134" i="9" s="1"/>
  <c r="AB101" i="9"/>
  <c r="AV100" i="9"/>
  <c r="AX100" i="9" s="1"/>
  <c r="AT88" i="9"/>
  <c r="AT102" i="9"/>
  <c r="AN7" i="9"/>
  <c r="AJ8" i="9"/>
  <c r="AT73" i="9"/>
  <c r="AU72" i="9"/>
  <c r="AB68" i="9"/>
  <c r="AV68" i="9" s="1"/>
  <c r="AX68" i="9" s="1"/>
  <c r="AV67" i="9"/>
  <c r="AX67" i="9" s="1"/>
  <c r="AT47" i="9"/>
  <c r="AT40" i="9"/>
  <c r="AT17" i="9"/>
  <c r="Q135" i="9"/>
  <c r="L135" i="9"/>
  <c r="C136" i="9"/>
  <c r="W135" i="9"/>
  <c r="Y135" i="9" s="1"/>
  <c r="N135" i="9"/>
  <c r="T135" i="9"/>
  <c r="V135" i="9" s="1"/>
  <c r="Q99" i="9"/>
  <c r="L99" i="9"/>
  <c r="T99" i="9"/>
  <c r="V99" i="9" s="1"/>
  <c r="C100" i="9"/>
  <c r="W99" i="9"/>
  <c r="Y99" i="9" s="1"/>
  <c r="N99" i="9"/>
  <c r="O281" i="9"/>
  <c r="O282" i="9" s="1"/>
  <c r="DR155" i="9"/>
  <c r="M284" i="9"/>
  <c r="M285" i="9" s="1"/>
  <c r="DU153" i="9"/>
  <c r="L257" i="9"/>
  <c r="L258" i="9" s="1"/>
  <c r="CS152" i="9"/>
  <c r="K260" i="9"/>
  <c r="K261" i="9" s="1"/>
  <c r="CV151" i="9"/>
  <c r="K281" i="9"/>
  <c r="DR151" i="9"/>
  <c r="F257" i="9"/>
  <c r="F258" i="9" s="1"/>
  <c r="CS146" i="9"/>
  <c r="C294" i="9"/>
  <c r="C128" i="9"/>
  <c r="W127" i="9"/>
  <c r="Y127" i="9" s="1"/>
  <c r="N127" i="9"/>
  <c r="Q127" i="9"/>
  <c r="L127" i="9"/>
  <c r="T127" i="9"/>
  <c r="V127" i="9" s="1"/>
  <c r="V188" i="9"/>
  <c r="V312" i="9" s="1"/>
  <c r="Y162" i="9"/>
  <c r="V189" i="9" s="1"/>
  <c r="C93" i="9"/>
  <c r="W92" i="9"/>
  <c r="Y92" i="9" s="1"/>
  <c r="N92" i="9"/>
  <c r="Q92" i="9"/>
  <c r="L92" i="9"/>
  <c r="T92" i="9"/>
  <c r="V92" i="9" s="1"/>
  <c r="Q72" i="9"/>
  <c r="L72" i="9"/>
  <c r="T72" i="9"/>
  <c r="V72" i="9" s="1"/>
  <c r="W72" i="9"/>
  <c r="Y72" i="9" s="1"/>
  <c r="N72" i="9"/>
  <c r="C73" i="9"/>
  <c r="Q64" i="9"/>
  <c r="L64" i="9"/>
  <c r="T64" i="9"/>
  <c r="V64" i="9" s="1"/>
  <c r="C65" i="9"/>
  <c r="W64" i="9"/>
  <c r="Y64" i="9" s="1"/>
  <c r="N64" i="9"/>
  <c r="O284" i="9"/>
  <c r="O285" i="9" s="1"/>
  <c r="DU155" i="9"/>
  <c r="M281" i="9"/>
  <c r="M282" i="9" s="1"/>
  <c r="DR153" i="9"/>
  <c r="C51" i="9"/>
  <c r="W50" i="9"/>
  <c r="Y50" i="9" s="1"/>
  <c r="N50" i="9"/>
  <c r="Q50" i="9"/>
  <c r="L50" i="9"/>
  <c r="T50" i="9"/>
  <c r="V50" i="9" s="1"/>
  <c r="W36" i="9"/>
  <c r="Y36" i="9" s="1"/>
  <c r="N36" i="9"/>
  <c r="C37" i="9"/>
  <c r="Q36" i="9"/>
  <c r="L36" i="9"/>
  <c r="T36" i="9"/>
  <c r="V36" i="9" s="1"/>
  <c r="J257" i="9"/>
  <c r="J258" i="9" s="1"/>
  <c r="CS150" i="9"/>
  <c r="H257" i="9"/>
  <c r="H258" i="9" s="1"/>
  <c r="CS148" i="9"/>
  <c r="Q8" i="9"/>
  <c r="L8" i="9"/>
  <c r="T8" i="9"/>
  <c r="V8" i="9" s="1"/>
  <c r="C9" i="9"/>
  <c r="W8" i="9"/>
  <c r="Y8" i="9" s="1"/>
  <c r="N8" i="9"/>
  <c r="G281" i="9"/>
  <c r="G282" i="9" s="1"/>
  <c r="DR147" i="9"/>
  <c r="C122" i="9"/>
  <c r="W121" i="9"/>
  <c r="Y121" i="9" s="1"/>
  <c r="N121" i="9"/>
  <c r="Q121" i="9"/>
  <c r="L121" i="9"/>
  <c r="T121" i="9"/>
  <c r="V121" i="9" s="1"/>
  <c r="T78" i="9"/>
  <c r="V78" i="9" s="1"/>
  <c r="C79" i="9"/>
  <c r="W78" i="9"/>
  <c r="Y78" i="9" s="1"/>
  <c r="N78" i="9"/>
  <c r="Q78" i="9"/>
  <c r="L78" i="9"/>
  <c r="N257" i="9"/>
  <c r="N258" i="9" s="1"/>
  <c r="CS154" i="9"/>
  <c r="N260" i="9"/>
  <c r="N261" i="9" s="1"/>
  <c r="CV154" i="9"/>
  <c r="I281" i="9"/>
  <c r="I282" i="9" s="1"/>
  <c r="DR149" i="9"/>
  <c r="J284" i="9"/>
  <c r="J285" i="9" s="1"/>
  <c r="DU150" i="9"/>
  <c r="K282" i="9"/>
  <c r="V162" i="9"/>
  <c r="V186" i="9" s="1"/>
  <c r="V185" i="9"/>
  <c r="W113" i="9"/>
  <c r="Y113" i="9" s="1"/>
  <c r="N113" i="9"/>
  <c r="C114" i="9"/>
  <c r="Q113" i="9"/>
  <c r="L113" i="9"/>
  <c r="T113" i="9"/>
  <c r="V113" i="9" s="1"/>
  <c r="Q107" i="9"/>
  <c r="L107" i="9"/>
  <c r="T107" i="9"/>
  <c r="V107" i="9" s="1"/>
  <c r="C108" i="9"/>
  <c r="W107" i="9"/>
  <c r="Y107" i="9" s="1"/>
  <c r="N107" i="9"/>
  <c r="Q86" i="9"/>
  <c r="L86" i="9"/>
  <c r="T86" i="9"/>
  <c r="V86" i="9" s="1"/>
  <c r="C87" i="9"/>
  <c r="W86" i="9"/>
  <c r="Y86" i="9" s="1"/>
  <c r="N86" i="9"/>
  <c r="Q58" i="9"/>
  <c r="L58" i="9"/>
  <c r="T58" i="9"/>
  <c r="V58" i="9" s="1"/>
  <c r="C59" i="9"/>
  <c r="W58" i="9"/>
  <c r="Y58" i="9" s="1"/>
  <c r="N58" i="9"/>
  <c r="L260" i="9"/>
  <c r="L261" i="9" s="1"/>
  <c r="CV152" i="9"/>
  <c r="Q29" i="9"/>
  <c r="L29" i="9"/>
  <c r="T29" i="9"/>
  <c r="V29" i="9" s="1"/>
  <c r="C30" i="9"/>
  <c r="W29" i="9"/>
  <c r="Y29" i="9" s="1"/>
  <c r="N29" i="9"/>
  <c r="C44" i="9"/>
  <c r="Q43" i="9"/>
  <c r="L43" i="9"/>
  <c r="T43" i="9"/>
  <c r="V43" i="9" s="1"/>
  <c r="W43" i="9"/>
  <c r="Y43" i="9" s="1"/>
  <c r="N43" i="9"/>
  <c r="I260" i="9"/>
  <c r="I261" i="9" s="1"/>
  <c r="CV149" i="9"/>
  <c r="H284" i="9"/>
  <c r="H285" i="9" s="1"/>
  <c r="DU148" i="9"/>
  <c r="T22" i="9"/>
  <c r="V22" i="9" s="1"/>
  <c r="C23" i="9"/>
  <c r="W22" i="9"/>
  <c r="Y22" i="9" s="1"/>
  <c r="N22" i="9"/>
  <c r="Q22" i="9"/>
  <c r="L22" i="9"/>
  <c r="S7" i="9"/>
  <c r="M7" i="9"/>
  <c r="K7" i="9"/>
  <c r="E8" i="9" l="1"/>
  <c r="R8" i="9" s="1"/>
  <c r="CY115" i="9"/>
  <c r="AV107" i="9"/>
  <c r="AX107" i="9" s="1"/>
  <c r="AB108" i="9"/>
  <c r="DJ136" i="9"/>
  <c r="DH136" i="9"/>
  <c r="DP136" i="9"/>
  <c r="DM136" i="9"/>
  <c r="CQ136" i="9"/>
  <c r="CS136" i="9" s="1"/>
  <c r="CN136" i="9"/>
  <c r="BJ136" i="9"/>
  <c r="BR136" i="9"/>
  <c r="BT136" i="9" s="1"/>
  <c r="CI136" i="9"/>
  <c r="AS136" i="9"/>
  <c r="AU136" i="9" s="1"/>
  <c r="BO136" i="9"/>
  <c r="AP136" i="9"/>
  <c r="BL136" i="9"/>
  <c r="AM136" i="9"/>
  <c r="AK136" i="9"/>
  <c r="CK136" i="9"/>
  <c r="DP16" i="9"/>
  <c r="DR16" i="9" s="1"/>
  <c r="DM16" i="9"/>
  <c r="DJ16" i="9"/>
  <c r="CI16" i="9"/>
  <c r="DH16" i="9"/>
  <c r="CQ16" i="9"/>
  <c r="CS16" i="9" s="1"/>
  <c r="BL16" i="9"/>
  <c r="CN16" i="9"/>
  <c r="BJ16" i="9"/>
  <c r="BO16" i="9"/>
  <c r="AP16" i="9"/>
  <c r="AM16" i="9"/>
  <c r="AS16" i="9"/>
  <c r="AU16" i="9" s="1"/>
  <c r="BR16" i="9"/>
  <c r="BT16" i="9" s="1"/>
  <c r="AK16" i="9"/>
  <c r="CK16" i="9"/>
  <c r="DH79" i="9"/>
  <c r="DP79" i="9"/>
  <c r="DR79" i="9" s="1"/>
  <c r="DM79" i="9"/>
  <c r="CI79" i="9"/>
  <c r="DJ79" i="9"/>
  <c r="CQ79" i="9"/>
  <c r="CS79" i="9" s="1"/>
  <c r="CN79" i="9"/>
  <c r="BO79" i="9"/>
  <c r="CK79" i="9"/>
  <c r="BL79" i="9"/>
  <c r="AS79" i="9"/>
  <c r="AU79" i="9" s="1"/>
  <c r="BR79" i="9"/>
  <c r="BT79" i="9" s="1"/>
  <c r="BJ79" i="9"/>
  <c r="AM79" i="9"/>
  <c r="AP79" i="9"/>
  <c r="AK79" i="9"/>
  <c r="DP122" i="9"/>
  <c r="DR122" i="9" s="1"/>
  <c r="DM122" i="9"/>
  <c r="DJ122" i="9"/>
  <c r="DH122" i="9"/>
  <c r="CK122" i="9"/>
  <c r="CI122" i="9"/>
  <c r="BJ122" i="9"/>
  <c r="BR122" i="9"/>
  <c r="BT122" i="9" s="1"/>
  <c r="CN122" i="9"/>
  <c r="BL122" i="9"/>
  <c r="BO122" i="9"/>
  <c r="AS122" i="9"/>
  <c r="CQ122" i="9"/>
  <c r="CS122" i="9" s="1"/>
  <c r="AP122" i="9"/>
  <c r="AM122" i="9"/>
  <c r="AK122" i="9"/>
  <c r="N16" i="9"/>
  <c r="L16" i="9"/>
  <c r="DP93" i="9"/>
  <c r="DR93" i="9" s="1"/>
  <c r="DM93" i="9"/>
  <c r="DH93" i="9"/>
  <c r="CK93" i="9"/>
  <c r="CI93" i="9"/>
  <c r="DJ93" i="9"/>
  <c r="CN93" i="9"/>
  <c r="BO93" i="9"/>
  <c r="BR93" i="9"/>
  <c r="BT93" i="9" s="1"/>
  <c r="BL93" i="9"/>
  <c r="AP93" i="9"/>
  <c r="AM93" i="9"/>
  <c r="CQ93" i="9"/>
  <c r="CS93" i="9" s="1"/>
  <c r="BJ93" i="9"/>
  <c r="AK93" i="9"/>
  <c r="AS93" i="9"/>
  <c r="AU93" i="9" s="1"/>
  <c r="DM128" i="9"/>
  <c r="DJ128" i="9"/>
  <c r="DH128" i="9"/>
  <c r="DP128" i="9"/>
  <c r="DR128" i="9" s="1"/>
  <c r="CK128" i="9"/>
  <c r="CI128" i="9"/>
  <c r="BR128" i="9"/>
  <c r="BT128" i="9" s="1"/>
  <c r="BO128" i="9"/>
  <c r="CQ128" i="9"/>
  <c r="CS128" i="9" s="1"/>
  <c r="CN128" i="9"/>
  <c r="AP128" i="9"/>
  <c r="BJ128" i="9"/>
  <c r="AS128" i="9"/>
  <c r="AU128" i="9" s="1"/>
  <c r="AM128" i="9"/>
  <c r="AK128" i="9"/>
  <c r="BL128" i="9"/>
  <c r="DJ100" i="9"/>
  <c r="DH100" i="9"/>
  <c r="DP100" i="9"/>
  <c r="DM100" i="9"/>
  <c r="CQ100" i="9"/>
  <c r="CS100" i="9" s="1"/>
  <c r="CN100" i="9"/>
  <c r="CK100" i="9"/>
  <c r="BO100" i="9"/>
  <c r="CI100" i="9"/>
  <c r="BL100" i="9"/>
  <c r="BR100" i="9"/>
  <c r="BT100" i="9" s="1"/>
  <c r="BJ100" i="9"/>
  <c r="AM100" i="9"/>
  <c r="AK100" i="9"/>
  <c r="AS100" i="9"/>
  <c r="AU100" i="9" s="1"/>
  <c r="AP100" i="9"/>
  <c r="DS136" i="9"/>
  <c r="DU136" i="9" s="1"/>
  <c r="DM9" i="9"/>
  <c r="DJ9" i="9"/>
  <c r="CI9" i="9"/>
  <c r="CQ9" i="9"/>
  <c r="CS9" i="9" s="1"/>
  <c r="DP9" i="9"/>
  <c r="DR9" i="9" s="1"/>
  <c r="CK9" i="9"/>
  <c r="BJ9" i="9"/>
  <c r="DH9" i="9"/>
  <c r="BR9" i="9"/>
  <c r="BT9" i="9" s="1"/>
  <c r="BO9" i="9"/>
  <c r="BL9" i="9"/>
  <c r="AP9" i="9"/>
  <c r="CN9" i="9"/>
  <c r="AM9" i="9"/>
  <c r="AS9" i="9"/>
  <c r="AU9" i="9" s="1"/>
  <c r="AK9" i="9"/>
  <c r="W16" i="9"/>
  <c r="Y16" i="9" s="1"/>
  <c r="Q16" i="9"/>
  <c r="DP65" i="9"/>
  <c r="DR65" i="9" s="1"/>
  <c r="DM65" i="9"/>
  <c r="DJ65" i="9"/>
  <c r="DH65" i="9"/>
  <c r="CI65" i="9"/>
  <c r="CQ65" i="9"/>
  <c r="CS65" i="9" s="1"/>
  <c r="BL65" i="9"/>
  <c r="BJ65" i="9"/>
  <c r="CK65" i="9"/>
  <c r="AP65" i="9"/>
  <c r="BR65" i="9"/>
  <c r="BT65" i="9" s="1"/>
  <c r="AK65" i="9"/>
  <c r="CN65" i="9"/>
  <c r="AM65" i="9"/>
  <c r="BO65" i="9"/>
  <c r="AS65" i="9"/>
  <c r="AU65" i="9" s="1"/>
  <c r="DH73" i="9"/>
  <c r="DP73" i="9"/>
  <c r="DR73" i="9" s="1"/>
  <c r="DM73" i="9"/>
  <c r="DJ73" i="9"/>
  <c r="CN73" i="9"/>
  <c r="CK73" i="9"/>
  <c r="CQ73" i="9"/>
  <c r="CS73" i="9" s="1"/>
  <c r="BR73" i="9"/>
  <c r="BT73" i="9" s="1"/>
  <c r="CI73" i="9"/>
  <c r="BO73" i="9"/>
  <c r="AS73" i="9"/>
  <c r="AU73" i="9" s="1"/>
  <c r="BL73" i="9"/>
  <c r="BJ73" i="9"/>
  <c r="AM73" i="9"/>
  <c r="AK73" i="9"/>
  <c r="AP73" i="9"/>
  <c r="DJ108" i="9"/>
  <c r="DH108" i="9"/>
  <c r="DM108" i="9"/>
  <c r="DP108" i="9"/>
  <c r="CN108" i="9"/>
  <c r="CK108" i="9"/>
  <c r="BO108" i="9"/>
  <c r="CQ108" i="9"/>
  <c r="CS108" i="9" s="1"/>
  <c r="BL108" i="9"/>
  <c r="BJ108" i="9"/>
  <c r="AS108" i="9"/>
  <c r="AU108" i="9" s="1"/>
  <c r="BR108" i="9"/>
  <c r="BT108" i="9" s="1"/>
  <c r="AP108" i="9"/>
  <c r="AM108" i="9"/>
  <c r="CI108" i="9"/>
  <c r="AK108" i="9"/>
  <c r="DM44" i="9"/>
  <c r="DJ44" i="9"/>
  <c r="DH44" i="9"/>
  <c r="DP44" i="9"/>
  <c r="DR44" i="9" s="1"/>
  <c r="CK44" i="9"/>
  <c r="CI44" i="9"/>
  <c r="BR44" i="9"/>
  <c r="BT44" i="9" s="1"/>
  <c r="CQ44" i="9"/>
  <c r="CS44" i="9" s="1"/>
  <c r="BO44" i="9"/>
  <c r="CN44" i="9"/>
  <c r="BL44" i="9"/>
  <c r="BJ44" i="9"/>
  <c r="AS44" i="9"/>
  <c r="AU44" i="9" s="1"/>
  <c r="AP44" i="9"/>
  <c r="AK44" i="9"/>
  <c r="AM44" i="9"/>
  <c r="DJ87" i="9"/>
  <c r="DH87" i="9"/>
  <c r="DM87" i="9"/>
  <c r="CI87" i="9"/>
  <c r="CQ87" i="9"/>
  <c r="CS87" i="9" s="1"/>
  <c r="CK87" i="9"/>
  <c r="BO87" i="9"/>
  <c r="BL87" i="9"/>
  <c r="AS87" i="9"/>
  <c r="AU87" i="9" s="1"/>
  <c r="DP87" i="9"/>
  <c r="DR87" i="9" s="1"/>
  <c r="AP87" i="9"/>
  <c r="BR87" i="9"/>
  <c r="BT87" i="9" s="1"/>
  <c r="AM87" i="9"/>
  <c r="CN87" i="9"/>
  <c r="BJ87" i="9"/>
  <c r="AK87" i="9"/>
  <c r="DP23" i="9"/>
  <c r="DR23" i="9" s="1"/>
  <c r="DM23" i="9"/>
  <c r="DJ23" i="9"/>
  <c r="CK23" i="9"/>
  <c r="DH23" i="9"/>
  <c r="CI23" i="9"/>
  <c r="CN23" i="9"/>
  <c r="BO23" i="9"/>
  <c r="BL23" i="9"/>
  <c r="BR23" i="9"/>
  <c r="BT23" i="9" s="1"/>
  <c r="BJ23" i="9"/>
  <c r="AM23" i="9"/>
  <c r="AK23" i="9"/>
  <c r="AP23" i="9"/>
  <c r="AS23" i="9"/>
  <c r="AU23" i="9" s="1"/>
  <c r="CQ23" i="9"/>
  <c r="CS23" i="9" s="1"/>
  <c r="DJ30" i="9"/>
  <c r="DH30" i="9"/>
  <c r="DP30" i="9"/>
  <c r="DR30" i="9" s="1"/>
  <c r="DM30" i="9"/>
  <c r="CI30" i="9"/>
  <c r="CQ30" i="9"/>
  <c r="CS30" i="9" s="1"/>
  <c r="CK30" i="9"/>
  <c r="BL30" i="9"/>
  <c r="BJ30" i="9"/>
  <c r="BR30" i="9"/>
  <c r="BT30" i="9" s="1"/>
  <c r="BO30" i="9"/>
  <c r="CN30" i="9"/>
  <c r="AP30" i="9"/>
  <c r="AM30" i="9"/>
  <c r="AK30" i="9"/>
  <c r="AS30" i="9"/>
  <c r="AU30" i="9" s="1"/>
  <c r="DH59" i="9"/>
  <c r="DP59" i="9"/>
  <c r="DR59" i="9" s="1"/>
  <c r="DM59" i="9"/>
  <c r="DJ59" i="9"/>
  <c r="CI59" i="9"/>
  <c r="CQ59" i="9"/>
  <c r="CS59" i="9" s="1"/>
  <c r="CN59" i="9"/>
  <c r="BO59" i="9"/>
  <c r="CK59" i="9"/>
  <c r="BL59" i="9"/>
  <c r="AS59" i="9"/>
  <c r="AU59" i="9" s="1"/>
  <c r="BR59" i="9"/>
  <c r="BT59" i="9" s="1"/>
  <c r="BJ59" i="9"/>
  <c r="AM59" i="9"/>
  <c r="AP59" i="9"/>
  <c r="AK59" i="9"/>
  <c r="DH114" i="9"/>
  <c r="DP114" i="9"/>
  <c r="DR114" i="9" s="1"/>
  <c r="DM114" i="9"/>
  <c r="DJ114" i="9"/>
  <c r="CI114" i="9"/>
  <c r="CQ114" i="9"/>
  <c r="CS114" i="9" s="1"/>
  <c r="BJ114" i="9"/>
  <c r="BR114" i="9"/>
  <c r="BT114" i="9" s="1"/>
  <c r="BO114" i="9"/>
  <c r="BL114" i="9"/>
  <c r="AP114" i="9"/>
  <c r="CN114" i="9"/>
  <c r="AM114" i="9"/>
  <c r="CK114" i="9"/>
  <c r="AK114" i="9"/>
  <c r="AS114" i="9"/>
  <c r="AU114" i="9" s="1"/>
  <c r="C17" i="9"/>
  <c r="DP37" i="9"/>
  <c r="DR37" i="9" s="1"/>
  <c r="DM37" i="9"/>
  <c r="DJ37" i="9"/>
  <c r="CQ37" i="9"/>
  <c r="CS37" i="9" s="1"/>
  <c r="CN37" i="9"/>
  <c r="BJ37" i="9"/>
  <c r="DH37" i="9"/>
  <c r="CK37" i="9"/>
  <c r="BR37" i="9"/>
  <c r="BT37" i="9" s="1"/>
  <c r="BO37" i="9"/>
  <c r="CI37" i="9"/>
  <c r="BL37" i="9"/>
  <c r="AM37" i="9"/>
  <c r="AK37" i="9"/>
  <c r="AP37" i="9"/>
  <c r="AS37" i="9"/>
  <c r="AU37" i="9" s="1"/>
  <c r="DJ51" i="9"/>
  <c r="DH51" i="9"/>
  <c r="DP51" i="9"/>
  <c r="DR51" i="9" s="1"/>
  <c r="CQ51" i="9"/>
  <c r="CS51" i="9" s="1"/>
  <c r="CN51" i="9"/>
  <c r="CI51" i="9"/>
  <c r="BL51" i="9"/>
  <c r="DM51" i="9"/>
  <c r="BJ51" i="9"/>
  <c r="CK51" i="9"/>
  <c r="AM51" i="9"/>
  <c r="BR51" i="9"/>
  <c r="BT51" i="9" s="1"/>
  <c r="AS51" i="9"/>
  <c r="AU51" i="9" s="1"/>
  <c r="BO51" i="9"/>
  <c r="AK51" i="9"/>
  <c r="AP51" i="9"/>
  <c r="DK8" i="9"/>
  <c r="DG9" i="9"/>
  <c r="CY101" i="9"/>
  <c r="DS100" i="9"/>
  <c r="DU100" i="9" s="1"/>
  <c r="T281" i="9"/>
  <c r="T282" i="9" s="1"/>
  <c r="DR160" i="9"/>
  <c r="CY32" i="9"/>
  <c r="DS31" i="9"/>
  <c r="DU31" i="9" s="1"/>
  <c r="CY60" i="9"/>
  <c r="DS59" i="9"/>
  <c r="DU59" i="9" s="1"/>
  <c r="DS52" i="9"/>
  <c r="DU52" i="9" s="1"/>
  <c r="CY53" i="9"/>
  <c r="CY46" i="9"/>
  <c r="DS45" i="9"/>
  <c r="DU45" i="9" s="1"/>
  <c r="CY80" i="9"/>
  <c r="DS79" i="9"/>
  <c r="DU79" i="9" s="1"/>
  <c r="CY138" i="9"/>
  <c r="DS138" i="9" s="1"/>
  <c r="DU138" i="9" s="1"/>
  <c r="DS137" i="9"/>
  <c r="DU137" i="9" s="1"/>
  <c r="DQ108" i="9"/>
  <c r="DR107" i="9"/>
  <c r="DQ39" i="9"/>
  <c r="DQ61" i="9"/>
  <c r="DQ124" i="9"/>
  <c r="CY123" i="9"/>
  <c r="DS122" i="9"/>
  <c r="DU122" i="9" s="1"/>
  <c r="CY25" i="9"/>
  <c r="DS24" i="9"/>
  <c r="DU24" i="9" s="1"/>
  <c r="CY116" i="9"/>
  <c r="DS115" i="9"/>
  <c r="DU115" i="9" s="1"/>
  <c r="DQ19" i="9"/>
  <c r="DN8" i="9"/>
  <c r="DO8" i="9" s="1"/>
  <c r="DI8" i="9"/>
  <c r="DB8" i="9"/>
  <c r="DA9" i="9" s="1"/>
  <c r="DQ101" i="9"/>
  <c r="DR100" i="9"/>
  <c r="DQ89" i="9"/>
  <c r="CY18" i="9"/>
  <c r="DS17" i="9"/>
  <c r="DU17" i="9" s="1"/>
  <c r="DQ11" i="9"/>
  <c r="DQ82" i="9"/>
  <c r="CY88" i="9"/>
  <c r="DS87" i="9"/>
  <c r="DU87" i="9" s="1"/>
  <c r="DS95" i="9"/>
  <c r="DU95" i="9" s="1"/>
  <c r="CY96" i="9"/>
  <c r="DS96" i="9" s="1"/>
  <c r="DU96" i="9" s="1"/>
  <c r="DS130" i="9"/>
  <c r="DU130" i="9" s="1"/>
  <c r="CY131" i="9"/>
  <c r="DS131" i="9" s="1"/>
  <c r="DU131" i="9" s="1"/>
  <c r="CY39" i="9"/>
  <c r="DS38" i="9"/>
  <c r="DU38" i="9" s="1"/>
  <c r="CY73" i="9"/>
  <c r="DS72" i="9"/>
  <c r="DU72" i="9" s="1"/>
  <c r="DQ157" i="9"/>
  <c r="DQ54" i="9"/>
  <c r="CY10" i="9"/>
  <c r="DS9" i="9"/>
  <c r="DU9" i="9" s="1"/>
  <c r="DQ136" i="9"/>
  <c r="DR135" i="9"/>
  <c r="BZ12" i="9"/>
  <c r="CT12" i="9" s="1"/>
  <c r="CV12" i="9" s="1"/>
  <c r="CT11" i="9"/>
  <c r="CV11" i="9" s="1"/>
  <c r="BZ47" i="9"/>
  <c r="CT47" i="9" s="1"/>
  <c r="CV47" i="9" s="1"/>
  <c r="CT46" i="9"/>
  <c r="CV46" i="9" s="1"/>
  <c r="BZ88" i="9"/>
  <c r="CT87" i="9"/>
  <c r="CV87" i="9" s="1"/>
  <c r="BZ110" i="9"/>
  <c r="CT110" i="9" s="1"/>
  <c r="CV110" i="9" s="1"/>
  <c r="CT109" i="9"/>
  <c r="CV109" i="9" s="1"/>
  <c r="CH10" i="9"/>
  <c r="CL9" i="9"/>
  <c r="BZ66" i="9"/>
  <c r="CT65" i="9"/>
  <c r="CV65" i="9" s="1"/>
  <c r="BZ73" i="9"/>
  <c r="CT72" i="9"/>
  <c r="CV72" i="9" s="1"/>
  <c r="BZ102" i="9"/>
  <c r="CT101" i="9"/>
  <c r="CV101" i="9" s="1"/>
  <c r="BZ38" i="9"/>
  <c r="CT37" i="9"/>
  <c r="CV37" i="9" s="1"/>
  <c r="BZ18" i="9"/>
  <c r="CT17" i="9"/>
  <c r="CV17" i="9" s="1"/>
  <c r="BZ137" i="9"/>
  <c r="CT136" i="9"/>
  <c r="CV136" i="9" s="1"/>
  <c r="V257" i="9"/>
  <c r="V258" i="9" s="1"/>
  <c r="CS162" i="9"/>
  <c r="CO9" i="9"/>
  <c r="CC9" i="9"/>
  <c r="CB10" i="9" s="1"/>
  <c r="CJ9" i="9"/>
  <c r="BZ25" i="9"/>
  <c r="CT24" i="9"/>
  <c r="CV24" i="9" s="1"/>
  <c r="CP9" i="9"/>
  <c r="BZ131" i="9"/>
  <c r="CT131" i="9" s="1"/>
  <c r="CV131" i="9" s="1"/>
  <c r="CT130" i="9"/>
  <c r="CV130" i="9" s="1"/>
  <c r="BZ116" i="9"/>
  <c r="CT115" i="9"/>
  <c r="CV115" i="9" s="1"/>
  <c r="BZ32" i="9"/>
  <c r="CT31" i="9"/>
  <c r="CV31" i="9" s="1"/>
  <c r="CR89" i="9"/>
  <c r="BZ81" i="9"/>
  <c r="CT80" i="9"/>
  <c r="CV80" i="9" s="1"/>
  <c r="BZ123" i="9"/>
  <c r="CT122" i="9"/>
  <c r="CV122" i="9" s="1"/>
  <c r="CT94" i="9"/>
  <c r="CV94" i="9" s="1"/>
  <c r="BZ95" i="9"/>
  <c r="BA136" i="9"/>
  <c r="BU135" i="9"/>
  <c r="BW135" i="9" s="1"/>
  <c r="BA24" i="9"/>
  <c r="BU23" i="9"/>
  <c r="BW23" i="9" s="1"/>
  <c r="BS149" i="9"/>
  <c r="BS138" i="9"/>
  <c r="BA39" i="9"/>
  <c r="BU38" i="9"/>
  <c r="BW38" i="9" s="1"/>
  <c r="BS147" i="9"/>
  <c r="BA130" i="9"/>
  <c r="BU129" i="9"/>
  <c r="BW129" i="9" s="1"/>
  <c r="BA89" i="9"/>
  <c r="BU89" i="9" s="1"/>
  <c r="BW89" i="9" s="1"/>
  <c r="BU88" i="9"/>
  <c r="BW88" i="9" s="1"/>
  <c r="BA19" i="9"/>
  <c r="BU19" i="9" s="1"/>
  <c r="BW19" i="9" s="1"/>
  <c r="BU18" i="9"/>
  <c r="BW18" i="9" s="1"/>
  <c r="BA117" i="9"/>
  <c r="BU117" i="9" s="1"/>
  <c r="BW117" i="9" s="1"/>
  <c r="BU116" i="9"/>
  <c r="BW116" i="9" s="1"/>
  <c r="BI10" i="9"/>
  <c r="BA46" i="9"/>
  <c r="BU45" i="9"/>
  <c r="BW45" i="9" s="1"/>
  <c r="BS155" i="9"/>
  <c r="BA108" i="9"/>
  <c r="BU107" i="9"/>
  <c r="BW107" i="9" s="1"/>
  <c r="BA102" i="9"/>
  <c r="BU101" i="9"/>
  <c r="BW101" i="9" s="1"/>
  <c r="BS161" i="9"/>
  <c r="BS146" i="9"/>
  <c r="BP8" i="9"/>
  <c r="BD8" i="9"/>
  <c r="BC9" i="9" s="1"/>
  <c r="BK8" i="9"/>
  <c r="BA66" i="9"/>
  <c r="BU65" i="9"/>
  <c r="BW65" i="9" s="1"/>
  <c r="BS156" i="9"/>
  <c r="BA82" i="9"/>
  <c r="BU82" i="9" s="1"/>
  <c r="BW82" i="9" s="1"/>
  <c r="BU81" i="9"/>
  <c r="BW81" i="9" s="1"/>
  <c r="R233" i="9"/>
  <c r="R309" i="9" s="1"/>
  <c r="BT158" i="9"/>
  <c r="R234" i="9" s="1"/>
  <c r="BA31" i="9"/>
  <c r="BU30" i="9"/>
  <c r="BW30" i="9" s="1"/>
  <c r="BA59" i="9"/>
  <c r="BU58" i="9"/>
  <c r="BW58" i="9" s="1"/>
  <c r="L233" i="9"/>
  <c r="L309" i="9" s="1"/>
  <c r="BT152" i="9"/>
  <c r="L234" i="9" s="1"/>
  <c r="BS151" i="9"/>
  <c r="BS117" i="9"/>
  <c r="BA74" i="9"/>
  <c r="BU73" i="9"/>
  <c r="BW73" i="9" s="1"/>
  <c r="V233" i="9"/>
  <c r="V309" i="9" s="1"/>
  <c r="BT162" i="9"/>
  <c r="V234" i="9" s="1"/>
  <c r="BA54" i="9"/>
  <c r="BU54" i="9" s="1"/>
  <c r="BW54" i="9" s="1"/>
  <c r="BU53" i="9"/>
  <c r="BW53" i="9" s="1"/>
  <c r="BQ8" i="9"/>
  <c r="BA124" i="9"/>
  <c r="BU124" i="9" s="1"/>
  <c r="BW124" i="9" s="1"/>
  <c r="BU123" i="9"/>
  <c r="BW123" i="9" s="1"/>
  <c r="BA12" i="9"/>
  <c r="BU12" i="9" s="1"/>
  <c r="BW12" i="9" s="1"/>
  <c r="BU11" i="9"/>
  <c r="BW11" i="9" s="1"/>
  <c r="BU94" i="9"/>
  <c r="BW94" i="9" s="1"/>
  <c r="BA95" i="9"/>
  <c r="AT74" i="9"/>
  <c r="AN8" i="9"/>
  <c r="AJ9" i="9"/>
  <c r="AQ8" i="9"/>
  <c r="AL8" i="9"/>
  <c r="AE8" i="9"/>
  <c r="AD9" i="9" s="1"/>
  <c r="AT152" i="9"/>
  <c r="AT130" i="9"/>
  <c r="AT122" i="9"/>
  <c r="AU121" i="9"/>
  <c r="AT159" i="9"/>
  <c r="AT149" i="9"/>
  <c r="AT89" i="9"/>
  <c r="AB136" i="9"/>
  <c r="AV135" i="9"/>
  <c r="AX135" i="9" s="1"/>
  <c r="AR8" i="9"/>
  <c r="AB25" i="9"/>
  <c r="AV24" i="9"/>
  <c r="AX24" i="9" s="1"/>
  <c r="AB54" i="9"/>
  <c r="AV54" i="9" s="1"/>
  <c r="AX54" i="9" s="1"/>
  <c r="AV53" i="9"/>
  <c r="AX53" i="9" s="1"/>
  <c r="AT18" i="9"/>
  <c r="AT150" i="9"/>
  <c r="AT103" i="9"/>
  <c r="AV101" i="9"/>
  <c r="AX101" i="9" s="1"/>
  <c r="AB102" i="9"/>
  <c r="E208" i="9"/>
  <c r="AU145" i="9"/>
  <c r="E209" i="9" s="1"/>
  <c r="AB32" i="9"/>
  <c r="AV31" i="9"/>
  <c r="AX31" i="9" s="1"/>
  <c r="AB39" i="9"/>
  <c r="AV38" i="9"/>
  <c r="AX38" i="9" s="1"/>
  <c r="AB46" i="9"/>
  <c r="AV45" i="9"/>
  <c r="AX45" i="9" s="1"/>
  <c r="AV87" i="9"/>
  <c r="AX87" i="9" s="1"/>
  <c r="AB88" i="9"/>
  <c r="AB73" i="9"/>
  <c r="AV72" i="9"/>
  <c r="AX72" i="9" s="1"/>
  <c r="AB80" i="9"/>
  <c r="AV79" i="9"/>
  <c r="AX79" i="9" s="1"/>
  <c r="AB129" i="9"/>
  <c r="AV128" i="9"/>
  <c r="AX128" i="9" s="1"/>
  <c r="AV16" i="9"/>
  <c r="AX16" i="9" s="1"/>
  <c r="AB17" i="9"/>
  <c r="AB60" i="9"/>
  <c r="AV59" i="9"/>
  <c r="AX59" i="9" s="1"/>
  <c r="AV116" i="9"/>
  <c r="AX116" i="9" s="1"/>
  <c r="AB117" i="9"/>
  <c r="AV117" i="9" s="1"/>
  <c r="AX117" i="9" s="1"/>
  <c r="AT117" i="9"/>
  <c r="AV93" i="9"/>
  <c r="AX93" i="9" s="1"/>
  <c r="AB94" i="9"/>
  <c r="AB124" i="9"/>
  <c r="AV124" i="9" s="1"/>
  <c r="AX124" i="9" s="1"/>
  <c r="AV123" i="9"/>
  <c r="AX123" i="9" s="1"/>
  <c r="AT138" i="9"/>
  <c r="AT82" i="9"/>
  <c r="AT95" i="9"/>
  <c r="Q23" i="9"/>
  <c r="L23" i="9"/>
  <c r="T23" i="9"/>
  <c r="V23" i="9" s="1"/>
  <c r="C24" i="9"/>
  <c r="W23" i="9"/>
  <c r="Y23" i="9" s="1"/>
  <c r="N23" i="9"/>
  <c r="Q44" i="9"/>
  <c r="L44" i="9"/>
  <c r="T44" i="9"/>
  <c r="V44" i="9" s="1"/>
  <c r="C45" i="9"/>
  <c r="W44" i="9"/>
  <c r="Y44" i="9" s="1"/>
  <c r="N44" i="9"/>
  <c r="Q30" i="9"/>
  <c r="L30" i="9"/>
  <c r="T30" i="9"/>
  <c r="V30" i="9" s="1"/>
  <c r="C31" i="9"/>
  <c r="W30" i="9"/>
  <c r="Y30" i="9" s="1"/>
  <c r="N30" i="9"/>
  <c r="Q108" i="9"/>
  <c r="L108" i="9"/>
  <c r="T108" i="9"/>
  <c r="V108" i="9" s="1"/>
  <c r="C109" i="9"/>
  <c r="W108" i="9"/>
  <c r="Y108" i="9" s="1"/>
  <c r="N108" i="9"/>
  <c r="C38" i="9"/>
  <c r="Q37" i="9"/>
  <c r="L37" i="9"/>
  <c r="T37" i="9"/>
  <c r="V37" i="9" s="1"/>
  <c r="W37" i="9"/>
  <c r="Y37" i="9" s="1"/>
  <c r="N37" i="9"/>
  <c r="C115" i="9"/>
  <c r="W114" i="9"/>
  <c r="Y114" i="9" s="1"/>
  <c r="N114" i="9"/>
  <c r="Q114" i="9"/>
  <c r="L114" i="9"/>
  <c r="T114" i="9"/>
  <c r="V114" i="9" s="1"/>
  <c r="T51" i="9"/>
  <c r="V51" i="9" s="1"/>
  <c r="C52" i="9"/>
  <c r="W51" i="9"/>
  <c r="Y51" i="9" s="1"/>
  <c r="N51" i="9"/>
  <c r="Q51" i="9"/>
  <c r="L51" i="9"/>
  <c r="T128" i="9"/>
  <c r="V128" i="9" s="1"/>
  <c r="C129" i="9"/>
  <c r="W128" i="9"/>
  <c r="Y128" i="9" s="1"/>
  <c r="N128" i="9"/>
  <c r="Q128" i="9"/>
  <c r="L128" i="9"/>
  <c r="Q100" i="9"/>
  <c r="L100" i="9"/>
  <c r="T100" i="9"/>
  <c r="V100" i="9" s="1"/>
  <c r="C101" i="9"/>
  <c r="W100" i="9"/>
  <c r="Y100" i="9" s="1"/>
  <c r="N100" i="9"/>
  <c r="C137" i="9"/>
  <c r="W136" i="9"/>
  <c r="Y136" i="9" s="1"/>
  <c r="N136" i="9"/>
  <c r="Q136" i="9"/>
  <c r="L136" i="9"/>
  <c r="T136" i="9"/>
  <c r="V136" i="9" s="1"/>
  <c r="C60" i="9"/>
  <c r="Q59" i="9"/>
  <c r="L59" i="9"/>
  <c r="T59" i="9"/>
  <c r="V59" i="9" s="1"/>
  <c r="W59" i="9"/>
  <c r="Y59" i="9" s="1"/>
  <c r="N59" i="9"/>
  <c r="Q87" i="9"/>
  <c r="L87" i="9"/>
  <c r="T87" i="9"/>
  <c r="V87" i="9" s="1"/>
  <c r="C88" i="9"/>
  <c r="W87" i="9"/>
  <c r="Y87" i="9" s="1"/>
  <c r="N87" i="9"/>
  <c r="T122" i="9"/>
  <c r="V122" i="9" s="1"/>
  <c r="W122" i="9"/>
  <c r="Y122" i="9" s="1"/>
  <c r="N122" i="9"/>
  <c r="C123" i="9"/>
  <c r="Q122" i="9"/>
  <c r="L122" i="9"/>
  <c r="Q17" i="9"/>
  <c r="L17" i="9"/>
  <c r="T17" i="9"/>
  <c r="V17" i="9" s="1"/>
  <c r="C18" i="9"/>
  <c r="W17" i="9"/>
  <c r="Y17" i="9" s="1"/>
  <c r="N17" i="9"/>
  <c r="Q65" i="9"/>
  <c r="L65" i="9"/>
  <c r="T65" i="9"/>
  <c r="V65" i="9" s="1"/>
  <c r="C66" i="9"/>
  <c r="W65" i="9"/>
  <c r="Y65" i="9" s="1"/>
  <c r="N65" i="9"/>
  <c r="C74" i="9"/>
  <c r="W73" i="9"/>
  <c r="Y73" i="9" s="1"/>
  <c r="N73" i="9"/>
  <c r="Q73" i="9"/>
  <c r="L73" i="9"/>
  <c r="T73" i="9"/>
  <c r="V73" i="9" s="1"/>
  <c r="C295" i="9"/>
  <c r="S8" i="9"/>
  <c r="Q79" i="9"/>
  <c r="L79" i="9"/>
  <c r="T79" i="9"/>
  <c r="V79" i="9" s="1"/>
  <c r="C80" i="9"/>
  <c r="W79" i="9"/>
  <c r="Y79" i="9" s="1"/>
  <c r="N79" i="9"/>
  <c r="C10" i="9"/>
  <c r="W9" i="9"/>
  <c r="Y9" i="9" s="1"/>
  <c r="N9" i="9"/>
  <c r="Q9" i="9"/>
  <c r="L9" i="9"/>
  <c r="T9" i="9"/>
  <c r="V9" i="9" s="1"/>
  <c r="T93" i="9"/>
  <c r="V93" i="9" s="1"/>
  <c r="C94" i="9"/>
  <c r="W93" i="9"/>
  <c r="Y93" i="9" s="1"/>
  <c r="N93" i="9"/>
  <c r="Q93" i="9"/>
  <c r="L93" i="9"/>
  <c r="M8" i="9" l="1"/>
  <c r="F8" i="9"/>
  <c r="AV108" i="9"/>
  <c r="AX108" i="9" s="1"/>
  <c r="AB109" i="9"/>
  <c r="DM66" i="9"/>
  <c r="DJ66" i="9"/>
  <c r="DH66" i="9"/>
  <c r="CK66" i="9"/>
  <c r="CI66" i="9"/>
  <c r="BO66" i="9"/>
  <c r="BL66" i="9"/>
  <c r="DP66" i="9"/>
  <c r="DR66" i="9" s="1"/>
  <c r="CN66" i="9"/>
  <c r="BJ66" i="9"/>
  <c r="AK66" i="9"/>
  <c r="AP66" i="9"/>
  <c r="AS66" i="9"/>
  <c r="AU66" i="9" s="1"/>
  <c r="CQ66" i="9"/>
  <c r="CS66" i="9" s="1"/>
  <c r="AM66" i="9"/>
  <c r="BR66" i="9"/>
  <c r="BT66" i="9" s="1"/>
  <c r="DH52" i="9"/>
  <c r="DP52" i="9"/>
  <c r="DR52" i="9" s="1"/>
  <c r="DM52" i="9"/>
  <c r="DJ52" i="9"/>
  <c r="CN52" i="9"/>
  <c r="CK52" i="9"/>
  <c r="CQ52" i="9"/>
  <c r="CS52" i="9" s="1"/>
  <c r="BJ52" i="9"/>
  <c r="CI52" i="9"/>
  <c r="BR52" i="9"/>
  <c r="BT52" i="9" s="1"/>
  <c r="BL52" i="9"/>
  <c r="AP52" i="9"/>
  <c r="AK52" i="9"/>
  <c r="BO52" i="9"/>
  <c r="AS52" i="9"/>
  <c r="AU52" i="9" s="1"/>
  <c r="AM52" i="9"/>
  <c r="DH109" i="9"/>
  <c r="DP109" i="9"/>
  <c r="DM109" i="9"/>
  <c r="DJ109" i="9"/>
  <c r="CK109" i="9"/>
  <c r="CI109" i="9"/>
  <c r="BL109" i="9"/>
  <c r="BJ109" i="9"/>
  <c r="CN109" i="9"/>
  <c r="BR109" i="9"/>
  <c r="BT109" i="9" s="1"/>
  <c r="BO109" i="9"/>
  <c r="AM109" i="9"/>
  <c r="CQ109" i="9"/>
  <c r="CS109" i="9" s="1"/>
  <c r="AK109" i="9"/>
  <c r="AS109" i="9"/>
  <c r="AU109" i="9" s="1"/>
  <c r="AP109" i="9"/>
  <c r="DJ10" i="9"/>
  <c r="DH10" i="9"/>
  <c r="DM10" i="9"/>
  <c r="CQ10" i="9"/>
  <c r="CS10" i="9" s="1"/>
  <c r="CN10" i="9"/>
  <c r="CK10" i="9"/>
  <c r="BR10" i="9"/>
  <c r="BT10" i="9" s="1"/>
  <c r="CI10" i="9"/>
  <c r="BO10" i="9"/>
  <c r="DP10" i="9"/>
  <c r="DR10" i="9" s="1"/>
  <c r="BL10" i="9"/>
  <c r="AS10" i="9"/>
  <c r="AU10" i="9" s="1"/>
  <c r="BJ10" i="9"/>
  <c r="AP10" i="9"/>
  <c r="AM10" i="9"/>
  <c r="AK10" i="9"/>
  <c r="DP74" i="9"/>
  <c r="DR74" i="9" s="1"/>
  <c r="DM74" i="9"/>
  <c r="DJ74" i="9"/>
  <c r="DH74" i="9"/>
  <c r="CK74" i="9"/>
  <c r="CI74" i="9"/>
  <c r="BJ74" i="9"/>
  <c r="CQ74" i="9"/>
  <c r="CS74" i="9" s="1"/>
  <c r="BR74" i="9"/>
  <c r="BT74" i="9" s="1"/>
  <c r="CN74" i="9"/>
  <c r="BO74" i="9"/>
  <c r="AP74" i="9"/>
  <c r="BL74" i="9"/>
  <c r="AK74" i="9"/>
  <c r="AS74" i="9"/>
  <c r="AM74" i="9"/>
  <c r="DM38" i="9"/>
  <c r="DJ38" i="9"/>
  <c r="DH38" i="9"/>
  <c r="DP38" i="9"/>
  <c r="DR38" i="9" s="1"/>
  <c r="CK38" i="9"/>
  <c r="CI38" i="9"/>
  <c r="BR38" i="9"/>
  <c r="BT38" i="9" s="1"/>
  <c r="CQ38" i="9"/>
  <c r="CS38" i="9" s="1"/>
  <c r="BO38" i="9"/>
  <c r="CN38" i="9"/>
  <c r="BL38" i="9"/>
  <c r="BJ38" i="9"/>
  <c r="AP38" i="9"/>
  <c r="AM38" i="9"/>
  <c r="AK38" i="9"/>
  <c r="AS38" i="9"/>
  <c r="AU38" i="9" s="1"/>
  <c r="DJ17" i="9"/>
  <c r="DM17" i="9"/>
  <c r="DH17" i="9"/>
  <c r="CQ17" i="9"/>
  <c r="CS17" i="9" s="1"/>
  <c r="CN17" i="9"/>
  <c r="BR17" i="9"/>
  <c r="BT17" i="9" s="1"/>
  <c r="BO17" i="9"/>
  <c r="CK17" i="9"/>
  <c r="BL17" i="9"/>
  <c r="DP17" i="9"/>
  <c r="DR17" i="9" s="1"/>
  <c r="CI17" i="9"/>
  <c r="BJ17" i="9"/>
  <c r="AM17" i="9"/>
  <c r="AK17" i="9"/>
  <c r="AP17" i="9"/>
  <c r="AS17" i="9"/>
  <c r="AU17" i="9" s="1"/>
  <c r="DP80" i="9"/>
  <c r="DR80" i="9" s="1"/>
  <c r="DM80" i="9"/>
  <c r="DH80" i="9"/>
  <c r="DJ80" i="9"/>
  <c r="CN80" i="9"/>
  <c r="CK80" i="9"/>
  <c r="BL80" i="9"/>
  <c r="CQ80" i="9"/>
  <c r="CS80" i="9" s="1"/>
  <c r="BJ80" i="9"/>
  <c r="AM80" i="9"/>
  <c r="CI80" i="9"/>
  <c r="BR80" i="9"/>
  <c r="BT80" i="9" s="1"/>
  <c r="AS80" i="9"/>
  <c r="AU80" i="9" s="1"/>
  <c r="BO80" i="9"/>
  <c r="AP80" i="9"/>
  <c r="AK80" i="9"/>
  <c r="DM123" i="9"/>
  <c r="DJ123" i="9"/>
  <c r="DH123" i="9"/>
  <c r="DP123" i="9"/>
  <c r="DR123" i="9" s="1"/>
  <c r="CI123" i="9"/>
  <c r="CQ123" i="9"/>
  <c r="CS123" i="9" s="1"/>
  <c r="CK123" i="9"/>
  <c r="BR123" i="9"/>
  <c r="BT123" i="9" s="1"/>
  <c r="BO123" i="9"/>
  <c r="BL123" i="9"/>
  <c r="CN123" i="9"/>
  <c r="BJ123" i="9"/>
  <c r="AS123" i="9"/>
  <c r="AP123" i="9"/>
  <c r="AM123" i="9"/>
  <c r="AK123" i="9"/>
  <c r="DH45" i="9"/>
  <c r="DP45" i="9"/>
  <c r="DR45" i="9" s="1"/>
  <c r="DM45" i="9"/>
  <c r="CN45" i="9"/>
  <c r="DJ45" i="9"/>
  <c r="CK45" i="9"/>
  <c r="BL45" i="9"/>
  <c r="BJ45" i="9"/>
  <c r="BR45" i="9"/>
  <c r="BT45" i="9" s="1"/>
  <c r="CQ45" i="9"/>
  <c r="CS45" i="9" s="1"/>
  <c r="BO45" i="9"/>
  <c r="AP45" i="9"/>
  <c r="AM45" i="9"/>
  <c r="AS45" i="9"/>
  <c r="AU45" i="9" s="1"/>
  <c r="AK45" i="9"/>
  <c r="CI45" i="9"/>
  <c r="DP18" i="9"/>
  <c r="DR18" i="9" s="1"/>
  <c r="DH18" i="9"/>
  <c r="CN18" i="9"/>
  <c r="CK18" i="9"/>
  <c r="DM18" i="9"/>
  <c r="CI18" i="9"/>
  <c r="BO18" i="9"/>
  <c r="DJ18" i="9"/>
  <c r="BL18" i="9"/>
  <c r="BR18" i="9"/>
  <c r="BT18" i="9" s="1"/>
  <c r="CQ18" i="9"/>
  <c r="CS18" i="9" s="1"/>
  <c r="BJ18" i="9"/>
  <c r="AS18" i="9"/>
  <c r="AP18" i="9"/>
  <c r="AM18" i="9"/>
  <c r="AK18" i="9"/>
  <c r="DH88" i="9"/>
  <c r="DP88" i="9"/>
  <c r="DR88" i="9" s="1"/>
  <c r="DM88" i="9"/>
  <c r="DJ88" i="9"/>
  <c r="CQ88" i="9"/>
  <c r="CS88" i="9" s="1"/>
  <c r="CN88" i="9"/>
  <c r="CI88" i="9"/>
  <c r="BL88" i="9"/>
  <c r="CK88" i="9"/>
  <c r="BJ88" i="9"/>
  <c r="BO88" i="9"/>
  <c r="AP88" i="9"/>
  <c r="AM88" i="9"/>
  <c r="AK88" i="9"/>
  <c r="AS88" i="9"/>
  <c r="AU88" i="9" s="1"/>
  <c r="BR88" i="9"/>
  <c r="BT88" i="9" s="1"/>
  <c r="DP101" i="9"/>
  <c r="DM101" i="9"/>
  <c r="DJ101" i="9"/>
  <c r="CN101" i="9"/>
  <c r="DH101" i="9"/>
  <c r="CK101" i="9"/>
  <c r="BL101" i="9"/>
  <c r="CQ101" i="9"/>
  <c r="CS101" i="9" s="1"/>
  <c r="BJ101" i="9"/>
  <c r="BR101" i="9"/>
  <c r="BT101" i="9" s="1"/>
  <c r="CI101" i="9"/>
  <c r="AS101" i="9"/>
  <c r="AU101" i="9" s="1"/>
  <c r="AP101" i="9"/>
  <c r="AM101" i="9"/>
  <c r="AK101" i="9"/>
  <c r="BO101" i="9"/>
  <c r="DP129" i="9"/>
  <c r="DR129" i="9" s="1"/>
  <c r="DM129" i="9"/>
  <c r="DJ129" i="9"/>
  <c r="DH129" i="9"/>
  <c r="CI129" i="9"/>
  <c r="CQ129" i="9"/>
  <c r="CS129" i="9" s="1"/>
  <c r="CK129" i="9"/>
  <c r="BO129" i="9"/>
  <c r="BL129" i="9"/>
  <c r="BJ129" i="9"/>
  <c r="AM129" i="9"/>
  <c r="BR129" i="9"/>
  <c r="BT129" i="9" s="1"/>
  <c r="AS129" i="9"/>
  <c r="AU129" i="9" s="1"/>
  <c r="CN129" i="9"/>
  <c r="AP129" i="9"/>
  <c r="AK129" i="9"/>
  <c r="DH31" i="9"/>
  <c r="DP31" i="9"/>
  <c r="DR31" i="9" s="1"/>
  <c r="DM31" i="9"/>
  <c r="DJ31" i="9"/>
  <c r="CQ31" i="9"/>
  <c r="CS31" i="9" s="1"/>
  <c r="CN31" i="9"/>
  <c r="CK31" i="9"/>
  <c r="BJ31" i="9"/>
  <c r="CI31" i="9"/>
  <c r="BR31" i="9"/>
  <c r="BT31" i="9" s="1"/>
  <c r="BO31" i="9"/>
  <c r="BL31" i="9"/>
  <c r="AM31" i="9"/>
  <c r="AK31" i="9"/>
  <c r="AS31" i="9"/>
  <c r="AU31" i="9" s="1"/>
  <c r="AP31" i="9"/>
  <c r="DH24" i="9"/>
  <c r="DP24" i="9"/>
  <c r="DR24" i="9" s="1"/>
  <c r="DM24" i="9"/>
  <c r="DJ24" i="9"/>
  <c r="CQ24" i="9"/>
  <c r="CS24" i="9" s="1"/>
  <c r="CN24" i="9"/>
  <c r="CK24" i="9"/>
  <c r="BL24" i="9"/>
  <c r="CI24" i="9"/>
  <c r="BJ24" i="9"/>
  <c r="BR24" i="9"/>
  <c r="BT24" i="9" s="1"/>
  <c r="AK24" i="9"/>
  <c r="BO24" i="9"/>
  <c r="AS24" i="9"/>
  <c r="AU24" i="9" s="1"/>
  <c r="AP24" i="9"/>
  <c r="AM24" i="9"/>
  <c r="DS101" i="9"/>
  <c r="DU101" i="9" s="1"/>
  <c r="CY102" i="9"/>
  <c r="DH94" i="9"/>
  <c r="DP94" i="9"/>
  <c r="DR94" i="9" s="1"/>
  <c r="DM94" i="9"/>
  <c r="CI94" i="9"/>
  <c r="DJ94" i="9"/>
  <c r="CQ94" i="9"/>
  <c r="CS94" i="9" s="1"/>
  <c r="CN94" i="9"/>
  <c r="BL94" i="9"/>
  <c r="CK94" i="9"/>
  <c r="BJ94" i="9"/>
  <c r="BR94" i="9"/>
  <c r="BT94" i="9" s="1"/>
  <c r="BO94" i="9"/>
  <c r="AK94" i="9"/>
  <c r="AS94" i="9"/>
  <c r="AU94" i="9" s="1"/>
  <c r="AP94" i="9"/>
  <c r="AM94" i="9"/>
  <c r="DP60" i="9"/>
  <c r="DR60" i="9" s="1"/>
  <c r="DM60" i="9"/>
  <c r="DJ60" i="9"/>
  <c r="DH60" i="9"/>
  <c r="CQ60" i="9"/>
  <c r="CS60" i="9" s="1"/>
  <c r="CN60" i="9"/>
  <c r="BL60" i="9"/>
  <c r="CK60" i="9"/>
  <c r="BJ60" i="9"/>
  <c r="CI60" i="9"/>
  <c r="AP60" i="9"/>
  <c r="BR60" i="9"/>
  <c r="BT60" i="9" s="1"/>
  <c r="AK60" i="9"/>
  <c r="BO60" i="9"/>
  <c r="AS60" i="9"/>
  <c r="AU60" i="9" s="1"/>
  <c r="AM60" i="9"/>
  <c r="DH137" i="9"/>
  <c r="DP137" i="9"/>
  <c r="DM137" i="9"/>
  <c r="DJ137" i="9"/>
  <c r="CN137" i="9"/>
  <c r="CK137" i="9"/>
  <c r="CI137" i="9"/>
  <c r="BR137" i="9"/>
  <c r="BT137" i="9" s="1"/>
  <c r="BO137" i="9"/>
  <c r="AM137" i="9"/>
  <c r="CQ137" i="9"/>
  <c r="CS137" i="9" s="1"/>
  <c r="AK137" i="9"/>
  <c r="BL137" i="9"/>
  <c r="AS137" i="9"/>
  <c r="AU137" i="9" s="1"/>
  <c r="BJ137" i="9"/>
  <c r="AP137" i="9"/>
  <c r="DM115" i="9"/>
  <c r="DJ115" i="9"/>
  <c r="DP115" i="9"/>
  <c r="DR115" i="9" s="1"/>
  <c r="DH115" i="9"/>
  <c r="CK115" i="9"/>
  <c r="CI115" i="9"/>
  <c r="BL115" i="9"/>
  <c r="BJ115" i="9"/>
  <c r="BR115" i="9"/>
  <c r="BT115" i="9" s="1"/>
  <c r="AS115" i="9"/>
  <c r="AU115" i="9" s="1"/>
  <c r="CQ115" i="9"/>
  <c r="CS115" i="9" s="1"/>
  <c r="BO115" i="9"/>
  <c r="AP115" i="9"/>
  <c r="CN115" i="9"/>
  <c r="AM115" i="9"/>
  <c r="AK115" i="9"/>
  <c r="DG10" i="9"/>
  <c r="DK9" i="9"/>
  <c r="DS10" i="9"/>
  <c r="DU10" i="9" s="1"/>
  <c r="CY11" i="9"/>
  <c r="Q281" i="9"/>
  <c r="Q282" i="9" s="1"/>
  <c r="DR157" i="9"/>
  <c r="CY40" i="9"/>
  <c r="DS40" i="9" s="1"/>
  <c r="DU40" i="9" s="1"/>
  <c r="DS39" i="9"/>
  <c r="DU39" i="9" s="1"/>
  <c r="CY19" i="9"/>
  <c r="DS19" i="9" s="1"/>
  <c r="DU19" i="9" s="1"/>
  <c r="DS18" i="9"/>
  <c r="DU18" i="9" s="1"/>
  <c r="DQ102" i="9"/>
  <c r="DR101" i="9"/>
  <c r="DQ109" i="9"/>
  <c r="DR108" i="9"/>
  <c r="CY81" i="9"/>
  <c r="DS80" i="9"/>
  <c r="DU80" i="9" s="1"/>
  <c r="CY33" i="9"/>
  <c r="DS33" i="9" s="1"/>
  <c r="DU33" i="9" s="1"/>
  <c r="DS32" i="9"/>
  <c r="DU32" i="9" s="1"/>
  <c r="CY117" i="9"/>
  <c r="DS117" i="9" s="1"/>
  <c r="DU117" i="9" s="1"/>
  <c r="DS116" i="9"/>
  <c r="DU116" i="9" s="1"/>
  <c r="CY54" i="9"/>
  <c r="DS54" i="9" s="1"/>
  <c r="DU54" i="9" s="1"/>
  <c r="DS53" i="9"/>
  <c r="DU53" i="9" s="1"/>
  <c r="DN9" i="9"/>
  <c r="DO9" i="9" s="1"/>
  <c r="DI9" i="9"/>
  <c r="DB9" i="9"/>
  <c r="DA10" i="9" s="1"/>
  <c r="CY26" i="9"/>
  <c r="DS26" i="9" s="1"/>
  <c r="DU26" i="9" s="1"/>
  <c r="DS25" i="9"/>
  <c r="DU25" i="9" s="1"/>
  <c r="DQ137" i="9"/>
  <c r="DR136" i="9"/>
  <c r="CY74" i="9"/>
  <c r="DS73" i="9"/>
  <c r="DU73" i="9" s="1"/>
  <c r="DS88" i="9"/>
  <c r="DU88" i="9" s="1"/>
  <c r="CY89" i="9"/>
  <c r="DS89" i="9" s="1"/>
  <c r="DU89" i="9" s="1"/>
  <c r="DQ12" i="9"/>
  <c r="CY124" i="9"/>
  <c r="DS124" i="9" s="1"/>
  <c r="DU124" i="9" s="1"/>
  <c r="DS123" i="9"/>
  <c r="DU123" i="9" s="1"/>
  <c r="DQ161" i="9"/>
  <c r="DQ40" i="9"/>
  <c r="CY47" i="9"/>
  <c r="DS47" i="9" s="1"/>
  <c r="DU47" i="9" s="1"/>
  <c r="DS46" i="9"/>
  <c r="DU46" i="9" s="1"/>
  <c r="DS60" i="9"/>
  <c r="DU60" i="9" s="1"/>
  <c r="CY61" i="9"/>
  <c r="DS61" i="9" s="1"/>
  <c r="DU61" i="9" s="1"/>
  <c r="BZ96" i="9"/>
  <c r="CT96" i="9" s="1"/>
  <c r="CV96" i="9" s="1"/>
  <c r="CT95" i="9"/>
  <c r="CV95" i="9" s="1"/>
  <c r="BZ26" i="9"/>
  <c r="CT26" i="9" s="1"/>
  <c r="CV26" i="9" s="1"/>
  <c r="CT25" i="9"/>
  <c r="CV25" i="9" s="1"/>
  <c r="BZ82" i="9"/>
  <c r="CT82" i="9" s="1"/>
  <c r="CV82" i="9" s="1"/>
  <c r="CT81" i="9"/>
  <c r="CV81" i="9" s="1"/>
  <c r="BZ33" i="9"/>
  <c r="CT33" i="9" s="1"/>
  <c r="CV33" i="9" s="1"/>
  <c r="CT32" i="9"/>
  <c r="CV32" i="9" s="1"/>
  <c r="BZ19" i="9"/>
  <c r="CT19" i="9" s="1"/>
  <c r="CV19" i="9" s="1"/>
  <c r="CT18" i="9"/>
  <c r="CV18" i="9" s="1"/>
  <c r="CT102" i="9"/>
  <c r="CV102" i="9" s="1"/>
  <c r="BZ103" i="9"/>
  <c r="CT103" i="9" s="1"/>
  <c r="CV103" i="9" s="1"/>
  <c r="CT66" i="9"/>
  <c r="CV66" i="9" s="1"/>
  <c r="BZ67" i="9"/>
  <c r="CR156" i="9"/>
  <c r="DQ156" i="9"/>
  <c r="CP10" i="9"/>
  <c r="CO10" i="9"/>
  <c r="CJ10" i="9"/>
  <c r="CC10" i="9"/>
  <c r="CB11" i="9" s="1"/>
  <c r="BZ124" i="9"/>
  <c r="CT124" i="9" s="1"/>
  <c r="CV124" i="9" s="1"/>
  <c r="CT123" i="9"/>
  <c r="CV123" i="9" s="1"/>
  <c r="BZ117" i="9"/>
  <c r="CT117" i="9" s="1"/>
  <c r="CV117" i="9" s="1"/>
  <c r="CT116" i="9"/>
  <c r="CV116" i="9" s="1"/>
  <c r="BZ138" i="9"/>
  <c r="CT138" i="9" s="1"/>
  <c r="CV138" i="9" s="1"/>
  <c r="CT137" i="9"/>
  <c r="CV137" i="9" s="1"/>
  <c r="CT38" i="9"/>
  <c r="CV38" i="9" s="1"/>
  <c r="BZ39" i="9"/>
  <c r="CT73" i="9"/>
  <c r="CV73" i="9" s="1"/>
  <c r="BZ74" i="9"/>
  <c r="CH11" i="9"/>
  <c r="CL10" i="9"/>
  <c r="BZ89" i="9"/>
  <c r="CT89" i="9" s="1"/>
  <c r="CV89" i="9" s="1"/>
  <c r="CT88" i="9"/>
  <c r="CV88" i="9" s="1"/>
  <c r="BA96" i="9"/>
  <c r="BU96" i="9" s="1"/>
  <c r="BW96" i="9" s="1"/>
  <c r="BU95" i="9"/>
  <c r="BW95" i="9" s="1"/>
  <c r="U233" i="9"/>
  <c r="U309" i="9" s="1"/>
  <c r="BT161" i="9"/>
  <c r="U234" i="9" s="1"/>
  <c r="BS160" i="9"/>
  <c r="BU108" i="9"/>
  <c r="BW108" i="9" s="1"/>
  <c r="BA109" i="9"/>
  <c r="BA47" i="9"/>
  <c r="BU47" i="9" s="1"/>
  <c r="BW47" i="9" s="1"/>
  <c r="BU46" i="9"/>
  <c r="BW46" i="9" s="1"/>
  <c r="BS163" i="9"/>
  <c r="BA25" i="9"/>
  <c r="BU24" i="9"/>
  <c r="BW24" i="9" s="1"/>
  <c r="K233" i="9"/>
  <c r="K309" i="9" s="1"/>
  <c r="BT151" i="9"/>
  <c r="K234" i="9" s="1"/>
  <c r="BA60" i="9"/>
  <c r="BU59" i="9"/>
  <c r="BW59" i="9" s="1"/>
  <c r="BA32" i="9"/>
  <c r="BU31" i="9"/>
  <c r="BW31" i="9" s="1"/>
  <c r="BU66" i="9"/>
  <c r="BW66" i="9" s="1"/>
  <c r="BA67" i="9"/>
  <c r="F233" i="9"/>
  <c r="F309" i="9" s="1"/>
  <c r="F310" i="9" s="1"/>
  <c r="BT146" i="9"/>
  <c r="F234" i="9" s="1"/>
  <c r="O233" i="9"/>
  <c r="O309" i="9" s="1"/>
  <c r="BT155" i="9"/>
  <c r="O234" i="9" s="1"/>
  <c r="BU74" i="9"/>
  <c r="BW74" i="9" s="1"/>
  <c r="BA75" i="9"/>
  <c r="BU75" i="9" s="1"/>
  <c r="BW75" i="9" s="1"/>
  <c r="BP9" i="9"/>
  <c r="BQ9" i="9" s="1"/>
  <c r="BD9" i="9"/>
  <c r="BC10" i="9" s="1"/>
  <c r="BK9" i="9"/>
  <c r="G233" i="9"/>
  <c r="G309" i="9" s="1"/>
  <c r="BT147" i="9"/>
  <c r="G234" i="9" s="1"/>
  <c r="BT156" i="9"/>
  <c r="P234" i="9" s="1"/>
  <c r="P233" i="9"/>
  <c r="P309" i="9" s="1"/>
  <c r="BA103" i="9"/>
  <c r="BU103" i="9" s="1"/>
  <c r="BW103" i="9" s="1"/>
  <c r="BU102" i="9"/>
  <c r="BW102" i="9" s="1"/>
  <c r="BI11" i="9"/>
  <c r="BA131" i="9"/>
  <c r="BU131" i="9" s="1"/>
  <c r="BW131" i="9" s="1"/>
  <c r="BU130" i="9"/>
  <c r="BW130" i="9" s="1"/>
  <c r="BA40" i="9"/>
  <c r="BU40" i="9" s="1"/>
  <c r="BW40" i="9" s="1"/>
  <c r="BU39" i="9"/>
  <c r="BW39" i="9" s="1"/>
  <c r="I233" i="9"/>
  <c r="I309" i="9" s="1"/>
  <c r="BT149" i="9"/>
  <c r="I234" i="9" s="1"/>
  <c r="BA137" i="9"/>
  <c r="BU136" i="9"/>
  <c r="BW136" i="9" s="1"/>
  <c r="I208" i="9"/>
  <c r="AU149" i="9"/>
  <c r="I209" i="9" s="1"/>
  <c r="AJ10" i="9"/>
  <c r="AN9" i="9"/>
  <c r="AV60" i="9"/>
  <c r="AX60" i="9" s="1"/>
  <c r="AB61" i="9"/>
  <c r="AV61" i="9" s="1"/>
  <c r="AX61" i="9" s="1"/>
  <c r="AV39" i="9"/>
  <c r="AX39" i="9" s="1"/>
  <c r="AB40" i="9"/>
  <c r="AV40" i="9" s="1"/>
  <c r="AX40" i="9" s="1"/>
  <c r="AT158" i="9"/>
  <c r="AV94" i="9"/>
  <c r="AX94" i="9" s="1"/>
  <c r="AB95" i="9"/>
  <c r="AB18" i="9"/>
  <c r="AV17" i="9"/>
  <c r="AX17" i="9" s="1"/>
  <c r="AV88" i="9"/>
  <c r="AX88" i="9" s="1"/>
  <c r="AB89" i="9"/>
  <c r="AV89" i="9" s="1"/>
  <c r="AX89" i="9" s="1"/>
  <c r="AV102" i="9"/>
  <c r="AX102" i="9" s="1"/>
  <c r="AB103" i="9"/>
  <c r="AV103" i="9" s="1"/>
  <c r="AX103" i="9" s="1"/>
  <c r="AT156" i="9"/>
  <c r="AU159" i="9"/>
  <c r="S209" i="9" s="1"/>
  <c r="S208" i="9"/>
  <c r="AT131" i="9"/>
  <c r="AV136" i="9"/>
  <c r="AX136" i="9" s="1"/>
  <c r="AB137" i="9"/>
  <c r="AT123" i="9"/>
  <c r="AU122" i="9"/>
  <c r="L208" i="9"/>
  <c r="AU152" i="9"/>
  <c r="L209" i="9" s="1"/>
  <c r="AT155" i="9"/>
  <c r="AT160" i="9"/>
  <c r="AV129" i="9"/>
  <c r="AX129" i="9" s="1"/>
  <c r="AB130" i="9"/>
  <c r="AB74" i="9"/>
  <c r="AV73" i="9"/>
  <c r="AX73" i="9" s="1"/>
  <c r="AT19" i="9"/>
  <c r="AU18" i="9"/>
  <c r="AB26" i="9"/>
  <c r="AV26" i="9" s="1"/>
  <c r="AX26" i="9" s="1"/>
  <c r="AV25" i="9"/>
  <c r="AX25" i="9" s="1"/>
  <c r="AQ9" i="9"/>
  <c r="AR9" i="9" s="1"/>
  <c r="AE9" i="9"/>
  <c r="AD10" i="9" s="1"/>
  <c r="AD145" i="9" s="1"/>
  <c r="E192" i="9" s="1"/>
  <c r="E292" i="9" s="1"/>
  <c r="AL9" i="9"/>
  <c r="AT96" i="9"/>
  <c r="AT163" i="9"/>
  <c r="AB81" i="9"/>
  <c r="AV80" i="9"/>
  <c r="AX80" i="9" s="1"/>
  <c r="AB47" i="9"/>
  <c r="AV47" i="9" s="1"/>
  <c r="AX47" i="9" s="1"/>
  <c r="AV46" i="9"/>
  <c r="AX46" i="9" s="1"/>
  <c r="AB33" i="9"/>
  <c r="AV33" i="9" s="1"/>
  <c r="AX33" i="9" s="1"/>
  <c r="AV32" i="9"/>
  <c r="AX32" i="9" s="1"/>
  <c r="J208" i="9"/>
  <c r="AU150" i="9"/>
  <c r="J209" i="9" s="1"/>
  <c r="AT75" i="9"/>
  <c r="AU74" i="9"/>
  <c r="Q94" i="9"/>
  <c r="L94" i="9"/>
  <c r="T94" i="9"/>
  <c r="V94" i="9" s="1"/>
  <c r="C95" i="9"/>
  <c r="W94" i="9"/>
  <c r="Y94" i="9" s="1"/>
  <c r="N94" i="9"/>
  <c r="C81" i="9"/>
  <c r="W80" i="9"/>
  <c r="Y80" i="9" s="1"/>
  <c r="N80" i="9"/>
  <c r="Q80" i="9"/>
  <c r="L80" i="9"/>
  <c r="T80" i="9"/>
  <c r="V80" i="9" s="1"/>
  <c r="C102" i="9"/>
  <c r="W101" i="9"/>
  <c r="Y101" i="9" s="1"/>
  <c r="N101" i="9"/>
  <c r="Q101" i="9"/>
  <c r="L101" i="9"/>
  <c r="T101" i="9"/>
  <c r="V101" i="9" s="1"/>
  <c r="C110" i="9"/>
  <c r="W109" i="9"/>
  <c r="Y109" i="9" s="1"/>
  <c r="N109" i="9"/>
  <c r="Q109" i="9"/>
  <c r="L109" i="9"/>
  <c r="T109" i="9"/>
  <c r="V109" i="9" s="1"/>
  <c r="Q45" i="9"/>
  <c r="L45" i="9"/>
  <c r="T45" i="9"/>
  <c r="V45" i="9" s="1"/>
  <c r="C46" i="9"/>
  <c r="W45" i="9"/>
  <c r="Y45" i="9" s="1"/>
  <c r="N45" i="9"/>
  <c r="C25" i="9"/>
  <c r="Q24" i="9"/>
  <c r="L24" i="9"/>
  <c r="T24" i="9"/>
  <c r="V24" i="9" s="1"/>
  <c r="W24" i="9"/>
  <c r="Y24" i="9" s="1"/>
  <c r="N24" i="9"/>
  <c r="C67" i="9"/>
  <c r="W66" i="9"/>
  <c r="Y66" i="9" s="1"/>
  <c r="N66" i="9"/>
  <c r="Q66" i="9"/>
  <c r="L66" i="9"/>
  <c r="T66" i="9"/>
  <c r="V66" i="9" s="1"/>
  <c r="C19" i="9"/>
  <c r="W18" i="9"/>
  <c r="Y18" i="9" s="1"/>
  <c r="N18" i="9"/>
  <c r="Q18" i="9"/>
  <c r="L18" i="9"/>
  <c r="T18" i="9"/>
  <c r="V18" i="9" s="1"/>
  <c r="C124" i="9"/>
  <c r="Q123" i="9"/>
  <c r="L123" i="9"/>
  <c r="T123" i="9"/>
  <c r="V123" i="9" s="1"/>
  <c r="W123" i="9"/>
  <c r="Y123" i="9" s="1"/>
  <c r="N123" i="9"/>
  <c r="C89" i="9"/>
  <c r="W88" i="9"/>
  <c r="Y88" i="9" s="1"/>
  <c r="N88" i="9"/>
  <c r="Q88" i="9"/>
  <c r="L88" i="9"/>
  <c r="T88" i="9"/>
  <c r="V88" i="9" s="1"/>
  <c r="Q129" i="9"/>
  <c r="L129" i="9"/>
  <c r="T129" i="9"/>
  <c r="V129" i="9" s="1"/>
  <c r="C130" i="9"/>
  <c r="W129" i="9"/>
  <c r="Y129" i="9" s="1"/>
  <c r="N129" i="9"/>
  <c r="Q52" i="9"/>
  <c r="L52" i="9"/>
  <c r="T52" i="9"/>
  <c r="V52" i="9" s="1"/>
  <c r="C53" i="9"/>
  <c r="W52" i="9"/>
  <c r="Y52" i="9" s="1"/>
  <c r="N52" i="9"/>
  <c r="T74" i="9"/>
  <c r="V74" i="9" s="1"/>
  <c r="C75" i="9"/>
  <c r="W74" i="9"/>
  <c r="Y74" i="9" s="1"/>
  <c r="N74" i="9"/>
  <c r="Q74" i="9"/>
  <c r="L74" i="9"/>
  <c r="T60" i="9"/>
  <c r="V60" i="9" s="1"/>
  <c r="C61" i="9"/>
  <c r="W60" i="9"/>
  <c r="Y60" i="9" s="1"/>
  <c r="N60" i="9"/>
  <c r="Q60" i="9"/>
  <c r="L60" i="9"/>
  <c r="T115" i="9"/>
  <c r="V115" i="9" s="1"/>
  <c r="W115" i="9"/>
  <c r="Y115" i="9" s="1"/>
  <c r="N115" i="9"/>
  <c r="L115" i="9"/>
  <c r="C116" i="9"/>
  <c r="Q115" i="9"/>
  <c r="C32" i="9"/>
  <c r="W31" i="9"/>
  <c r="Y31" i="9" s="1"/>
  <c r="N31" i="9"/>
  <c r="Q31" i="9"/>
  <c r="L31" i="9"/>
  <c r="T31" i="9"/>
  <c r="V31" i="9" s="1"/>
  <c r="L10" i="9"/>
  <c r="T10" i="9"/>
  <c r="V10" i="9" s="1"/>
  <c r="W10" i="9"/>
  <c r="Y10" i="9" s="1"/>
  <c r="C11" i="9"/>
  <c r="N10" i="9"/>
  <c r="Q10" i="9"/>
  <c r="C296" i="9"/>
  <c r="T137" i="9"/>
  <c r="V137" i="9" s="1"/>
  <c r="C138" i="9"/>
  <c r="W137" i="9"/>
  <c r="Y137" i="9" s="1"/>
  <c r="N137" i="9"/>
  <c r="Q137" i="9"/>
  <c r="L137" i="9"/>
  <c r="T38" i="9"/>
  <c r="V38" i="9" s="1"/>
  <c r="C39" i="9"/>
  <c r="W38" i="9"/>
  <c r="Y38" i="9" s="1"/>
  <c r="N38" i="9"/>
  <c r="Q38" i="9"/>
  <c r="L38" i="9"/>
  <c r="E9" i="9" l="1"/>
  <c r="R9" i="9" s="1"/>
  <c r="S9" i="9" s="1"/>
  <c r="F9" i="9"/>
  <c r="E10" i="9" s="1"/>
  <c r="AB110" i="9"/>
  <c r="AV110" i="9" s="1"/>
  <c r="AX110" i="9" s="1"/>
  <c r="AV109" i="9"/>
  <c r="AX109" i="9" s="1"/>
  <c r="DJ39" i="9"/>
  <c r="DH39" i="9"/>
  <c r="DP39" i="9"/>
  <c r="DR39" i="9" s="1"/>
  <c r="DM39" i="9"/>
  <c r="CI39" i="9"/>
  <c r="CQ39" i="9"/>
  <c r="CS39" i="9" s="1"/>
  <c r="BO39" i="9"/>
  <c r="BL39" i="9"/>
  <c r="BJ39" i="9"/>
  <c r="CN39" i="9"/>
  <c r="CK39" i="9"/>
  <c r="AM39" i="9"/>
  <c r="AK39" i="9"/>
  <c r="AP39" i="9"/>
  <c r="BR39" i="9"/>
  <c r="BT39" i="9" s="1"/>
  <c r="AS39" i="9"/>
  <c r="AU39" i="9" s="1"/>
  <c r="DP32" i="9"/>
  <c r="DR32" i="9" s="1"/>
  <c r="DM32" i="9"/>
  <c r="DJ32" i="9"/>
  <c r="DH32" i="9"/>
  <c r="CN32" i="9"/>
  <c r="CK32" i="9"/>
  <c r="BR32" i="9"/>
  <c r="BT32" i="9" s="1"/>
  <c r="CQ32" i="9"/>
  <c r="CS32" i="9" s="1"/>
  <c r="BO32" i="9"/>
  <c r="BL32" i="9"/>
  <c r="CI32" i="9"/>
  <c r="AK32" i="9"/>
  <c r="AS32" i="9"/>
  <c r="AU32" i="9" s="1"/>
  <c r="BJ32" i="9"/>
  <c r="AP32" i="9"/>
  <c r="AM32" i="9"/>
  <c r="DJ124" i="9"/>
  <c r="DH124" i="9"/>
  <c r="DP124" i="9"/>
  <c r="DR124" i="9" s="1"/>
  <c r="DM124" i="9"/>
  <c r="CQ124" i="9"/>
  <c r="CS124" i="9" s="1"/>
  <c r="CN124" i="9"/>
  <c r="CK124" i="9"/>
  <c r="BO124" i="9"/>
  <c r="CI124" i="9"/>
  <c r="BL124" i="9"/>
  <c r="BR124" i="9"/>
  <c r="BT124" i="9" s="1"/>
  <c r="AM124" i="9"/>
  <c r="AP124" i="9"/>
  <c r="BJ124" i="9"/>
  <c r="AK124" i="9"/>
  <c r="AS124" i="9"/>
  <c r="DH67" i="9"/>
  <c r="DP67" i="9"/>
  <c r="DR67" i="9" s="1"/>
  <c r="DJ67" i="9"/>
  <c r="DM67" i="9"/>
  <c r="CI67" i="9"/>
  <c r="CQ67" i="9"/>
  <c r="CS67" i="9" s="1"/>
  <c r="CK67" i="9"/>
  <c r="BL67" i="9"/>
  <c r="BJ67" i="9"/>
  <c r="BR67" i="9"/>
  <c r="BT67" i="9" s="1"/>
  <c r="AS67" i="9"/>
  <c r="AU67" i="9" s="1"/>
  <c r="CN67" i="9"/>
  <c r="BO67" i="9"/>
  <c r="AM67" i="9"/>
  <c r="AP67" i="9"/>
  <c r="AK67" i="9"/>
  <c r="DM102" i="9"/>
  <c r="DJ102" i="9"/>
  <c r="DH102" i="9"/>
  <c r="CK102" i="9"/>
  <c r="CI102" i="9"/>
  <c r="BR102" i="9"/>
  <c r="BT102" i="9" s="1"/>
  <c r="BO102" i="9"/>
  <c r="CN102" i="9"/>
  <c r="DP102" i="9"/>
  <c r="BL102" i="9"/>
  <c r="AM102" i="9"/>
  <c r="BJ102" i="9"/>
  <c r="AK102" i="9"/>
  <c r="CQ102" i="9"/>
  <c r="CS102" i="9" s="1"/>
  <c r="AS102" i="9"/>
  <c r="AU102" i="9" s="1"/>
  <c r="AP102" i="9"/>
  <c r="DM81" i="9"/>
  <c r="DJ81" i="9"/>
  <c r="DP81" i="9"/>
  <c r="DR81" i="9" s="1"/>
  <c r="DH81" i="9"/>
  <c r="CK81" i="9"/>
  <c r="CN81" i="9"/>
  <c r="CI81" i="9"/>
  <c r="BJ81" i="9"/>
  <c r="BR81" i="9"/>
  <c r="BT81" i="9" s="1"/>
  <c r="CQ81" i="9"/>
  <c r="CS81" i="9" s="1"/>
  <c r="BL81" i="9"/>
  <c r="AK81" i="9"/>
  <c r="AP81" i="9"/>
  <c r="AM81" i="9"/>
  <c r="BO81" i="9"/>
  <c r="AS81" i="9"/>
  <c r="AU81" i="9" s="1"/>
  <c r="CY103" i="9"/>
  <c r="DS103" i="9" s="1"/>
  <c r="DU103" i="9" s="1"/>
  <c r="DS102" i="9"/>
  <c r="DU102" i="9" s="1"/>
  <c r="DP61" i="9"/>
  <c r="DR61" i="9" s="1"/>
  <c r="DM61" i="9"/>
  <c r="DJ61" i="9"/>
  <c r="DH61" i="9"/>
  <c r="CK61" i="9"/>
  <c r="CI61" i="9"/>
  <c r="BJ61" i="9"/>
  <c r="CQ61" i="9"/>
  <c r="CS61" i="9" s="1"/>
  <c r="BR61" i="9"/>
  <c r="BT61" i="9" s="1"/>
  <c r="BL61" i="9"/>
  <c r="AM61" i="9"/>
  <c r="CN61" i="9"/>
  <c r="AS61" i="9"/>
  <c r="AU61" i="9" s="1"/>
  <c r="BO61" i="9"/>
  <c r="AP61" i="9"/>
  <c r="AK61" i="9"/>
  <c r="DP53" i="9"/>
  <c r="DR53" i="9" s="1"/>
  <c r="DM53" i="9"/>
  <c r="DJ53" i="9"/>
  <c r="DH53" i="9"/>
  <c r="CK53" i="9"/>
  <c r="CI53" i="9"/>
  <c r="BR53" i="9"/>
  <c r="BT53" i="9" s="1"/>
  <c r="CQ53" i="9"/>
  <c r="CS53" i="9" s="1"/>
  <c r="BO53" i="9"/>
  <c r="BL53" i="9"/>
  <c r="AK53" i="9"/>
  <c r="CN53" i="9"/>
  <c r="BJ53" i="9"/>
  <c r="AP53" i="9"/>
  <c r="AM53" i="9"/>
  <c r="AS53" i="9"/>
  <c r="AU53" i="9" s="1"/>
  <c r="DP138" i="9"/>
  <c r="DM138" i="9"/>
  <c r="DJ138" i="9"/>
  <c r="DH138" i="9"/>
  <c r="CK138" i="9"/>
  <c r="CI138" i="9"/>
  <c r="CQ138" i="9"/>
  <c r="CS138" i="9" s="1"/>
  <c r="BO138" i="9"/>
  <c r="CN138" i="9"/>
  <c r="BL138" i="9"/>
  <c r="BJ138" i="9"/>
  <c r="AK138" i="9"/>
  <c r="AS138" i="9"/>
  <c r="AU138" i="9" s="1"/>
  <c r="AP138" i="9"/>
  <c r="BR138" i="9"/>
  <c r="BT138" i="9" s="1"/>
  <c r="AM138" i="9"/>
  <c r="DM75" i="9"/>
  <c r="DJ75" i="9"/>
  <c r="DP75" i="9"/>
  <c r="DR75" i="9" s="1"/>
  <c r="DH75" i="9"/>
  <c r="CI75" i="9"/>
  <c r="CQ75" i="9"/>
  <c r="CS75" i="9" s="1"/>
  <c r="BR75" i="9"/>
  <c r="BT75" i="9" s="1"/>
  <c r="BO75" i="9"/>
  <c r="AM75" i="9"/>
  <c r="CN75" i="9"/>
  <c r="BL75" i="9"/>
  <c r="CK75" i="9"/>
  <c r="BJ75" i="9"/>
  <c r="AS75" i="9"/>
  <c r="AP75" i="9"/>
  <c r="AK75" i="9"/>
  <c r="DJ130" i="9"/>
  <c r="DH130" i="9"/>
  <c r="DP130" i="9"/>
  <c r="DR130" i="9" s="1"/>
  <c r="DM130" i="9"/>
  <c r="CQ130" i="9"/>
  <c r="CS130" i="9" s="1"/>
  <c r="CN130" i="9"/>
  <c r="CK130" i="9"/>
  <c r="BL130" i="9"/>
  <c r="CI130" i="9"/>
  <c r="BJ130" i="9"/>
  <c r="BR130" i="9"/>
  <c r="BT130" i="9" s="1"/>
  <c r="BO130" i="9"/>
  <c r="AS130" i="9"/>
  <c r="AU130" i="9" s="1"/>
  <c r="AP130" i="9"/>
  <c r="AM130" i="9"/>
  <c r="AK130" i="9"/>
  <c r="DP46" i="9"/>
  <c r="DR46" i="9" s="1"/>
  <c r="DM46" i="9"/>
  <c r="DJ46" i="9"/>
  <c r="DH46" i="9"/>
  <c r="CK46" i="9"/>
  <c r="CI46" i="9"/>
  <c r="CN46" i="9"/>
  <c r="BR46" i="9"/>
  <c r="BT46" i="9" s="1"/>
  <c r="BO46" i="9"/>
  <c r="CQ46" i="9"/>
  <c r="CS46" i="9" s="1"/>
  <c r="BL46" i="9"/>
  <c r="AM46" i="9"/>
  <c r="BJ46" i="9"/>
  <c r="AK46" i="9"/>
  <c r="AP46" i="9"/>
  <c r="AS46" i="9"/>
  <c r="AU46" i="9" s="1"/>
  <c r="DP95" i="9"/>
  <c r="DR95" i="9" s="1"/>
  <c r="DM95" i="9"/>
  <c r="DH95" i="9"/>
  <c r="CQ95" i="9"/>
  <c r="CS95" i="9" s="1"/>
  <c r="CN95" i="9"/>
  <c r="BJ95" i="9"/>
  <c r="DJ95" i="9"/>
  <c r="CK95" i="9"/>
  <c r="BR95" i="9"/>
  <c r="BT95" i="9" s="1"/>
  <c r="AS95" i="9"/>
  <c r="AU95" i="9" s="1"/>
  <c r="BO95" i="9"/>
  <c r="AP95" i="9"/>
  <c r="BL95" i="9"/>
  <c r="AM95" i="9"/>
  <c r="CI95" i="9"/>
  <c r="AK95" i="9"/>
  <c r="DH11" i="9"/>
  <c r="DP11" i="9"/>
  <c r="DR11" i="9" s="1"/>
  <c r="DM11" i="9"/>
  <c r="CN11" i="9"/>
  <c r="DJ11" i="9"/>
  <c r="CK11" i="9"/>
  <c r="BO11" i="9"/>
  <c r="CQ11" i="9"/>
  <c r="CS11" i="9" s="1"/>
  <c r="BL11" i="9"/>
  <c r="CI11" i="9"/>
  <c r="BJ11" i="9"/>
  <c r="AP11" i="9"/>
  <c r="AM11" i="9"/>
  <c r="AK11" i="9"/>
  <c r="BR11" i="9"/>
  <c r="BT11" i="9" s="1"/>
  <c r="AS11" i="9"/>
  <c r="AU11" i="9" s="1"/>
  <c r="DJ116" i="9"/>
  <c r="DH116" i="9"/>
  <c r="DP116" i="9"/>
  <c r="DR116" i="9" s="1"/>
  <c r="DM116" i="9"/>
  <c r="CI116" i="9"/>
  <c r="CQ116" i="9"/>
  <c r="CS116" i="9" s="1"/>
  <c r="CK116" i="9"/>
  <c r="BR116" i="9"/>
  <c r="BT116" i="9" s="1"/>
  <c r="BO116" i="9"/>
  <c r="CN116" i="9"/>
  <c r="AM116" i="9"/>
  <c r="AK116" i="9"/>
  <c r="BL116" i="9"/>
  <c r="AS116" i="9"/>
  <c r="AU116" i="9" s="1"/>
  <c r="BJ116" i="9"/>
  <c r="AP116" i="9"/>
  <c r="DP89" i="9"/>
  <c r="DR89" i="9" s="1"/>
  <c r="DM89" i="9"/>
  <c r="DJ89" i="9"/>
  <c r="DH89" i="9"/>
  <c r="CN89" i="9"/>
  <c r="CK89" i="9"/>
  <c r="CQ89" i="9"/>
  <c r="CS89" i="9" s="1"/>
  <c r="CI89" i="9"/>
  <c r="BR89" i="9"/>
  <c r="BT89" i="9" s="1"/>
  <c r="BO89" i="9"/>
  <c r="BL89" i="9"/>
  <c r="AM89" i="9"/>
  <c r="BJ89" i="9"/>
  <c r="AK89" i="9"/>
  <c r="AS89" i="9"/>
  <c r="AU89" i="9" s="1"/>
  <c r="AP89" i="9"/>
  <c r="DM19" i="9"/>
  <c r="DH19" i="9"/>
  <c r="DJ19" i="9"/>
  <c r="CK19" i="9"/>
  <c r="CI19" i="9"/>
  <c r="CQ19" i="9"/>
  <c r="CS19" i="9" s="1"/>
  <c r="BL19" i="9"/>
  <c r="CN19" i="9"/>
  <c r="BJ19" i="9"/>
  <c r="DP19" i="9"/>
  <c r="DR19" i="9" s="1"/>
  <c r="BR19" i="9"/>
  <c r="BT19" i="9" s="1"/>
  <c r="AP19" i="9"/>
  <c r="AM19" i="9"/>
  <c r="AS19" i="9"/>
  <c r="BO19" i="9"/>
  <c r="AK19" i="9"/>
  <c r="DM25" i="9"/>
  <c r="DJ25" i="9"/>
  <c r="DH25" i="9"/>
  <c r="CN25" i="9"/>
  <c r="DP25" i="9"/>
  <c r="DR25" i="9" s="1"/>
  <c r="CK25" i="9"/>
  <c r="BJ25" i="9"/>
  <c r="CQ25" i="9"/>
  <c r="CS25" i="9" s="1"/>
  <c r="BR25" i="9"/>
  <c r="BT25" i="9" s="1"/>
  <c r="CI25" i="9"/>
  <c r="BL25" i="9"/>
  <c r="AS25" i="9"/>
  <c r="AU25" i="9" s="1"/>
  <c r="AP25" i="9"/>
  <c r="AK25" i="9"/>
  <c r="AM25" i="9"/>
  <c r="BO25" i="9"/>
  <c r="DP110" i="9"/>
  <c r="DM110" i="9"/>
  <c r="DJ110" i="9"/>
  <c r="DH110" i="9"/>
  <c r="CI110" i="9"/>
  <c r="CQ110" i="9"/>
  <c r="CS110" i="9" s="1"/>
  <c r="CK110" i="9"/>
  <c r="BR110" i="9"/>
  <c r="BT110" i="9" s="1"/>
  <c r="BO110" i="9"/>
  <c r="CN110" i="9"/>
  <c r="BL110" i="9"/>
  <c r="AK110" i="9"/>
  <c r="AS110" i="9"/>
  <c r="AU110" i="9" s="1"/>
  <c r="BJ110" i="9"/>
  <c r="AP110" i="9"/>
  <c r="AM110" i="9"/>
  <c r="DK10" i="9"/>
  <c r="DG11" i="9"/>
  <c r="U281" i="9"/>
  <c r="U282" i="9" s="1"/>
  <c r="DR161" i="9"/>
  <c r="CY75" i="9"/>
  <c r="DS75" i="9" s="1"/>
  <c r="DU75" i="9" s="1"/>
  <c r="DS74" i="9"/>
  <c r="DU74" i="9" s="1"/>
  <c r="CY12" i="9"/>
  <c r="DS12" i="9" s="1"/>
  <c r="DU12" i="9" s="1"/>
  <c r="DS11" i="9"/>
  <c r="DU11" i="9" s="1"/>
  <c r="DN10" i="9"/>
  <c r="DO10" i="9" s="1"/>
  <c r="DB10" i="9"/>
  <c r="DA11" i="9" s="1"/>
  <c r="DI10" i="9"/>
  <c r="DS81" i="9"/>
  <c r="DU81" i="9" s="1"/>
  <c r="CY82" i="9"/>
  <c r="DS82" i="9" s="1"/>
  <c r="DU82" i="9" s="1"/>
  <c r="DQ103" i="9"/>
  <c r="DR102" i="9"/>
  <c r="DQ110" i="9"/>
  <c r="DR109" i="9"/>
  <c r="DQ138" i="9"/>
  <c r="DR137" i="9"/>
  <c r="CL11" i="9"/>
  <c r="CH12" i="9"/>
  <c r="P257" i="9"/>
  <c r="P258" i="9" s="1"/>
  <c r="CS156" i="9"/>
  <c r="BZ75" i="9"/>
  <c r="CT75" i="9" s="1"/>
  <c r="CV75" i="9" s="1"/>
  <c r="CT74" i="9"/>
  <c r="CV74" i="9" s="1"/>
  <c r="BZ68" i="9"/>
  <c r="CT68" i="9" s="1"/>
  <c r="CV68" i="9" s="1"/>
  <c r="CT67" i="9"/>
  <c r="CV67" i="9" s="1"/>
  <c r="BZ40" i="9"/>
  <c r="CT40" i="9" s="1"/>
  <c r="CV40" i="9" s="1"/>
  <c r="CT39" i="9"/>
  <c r="CV39" i="9" s="1"/>
  <c r="CO11" i="9"/>
  <c r="CP11" i="9" s="1"/>
  <c r="CC11" i="9"/>
  <c r="CB12" i="9" s="1"/>
  <c r="CJ11" i="9"/>
  <c r="P281" i="9"/>
  <c r="P282" i="9" s="1"/>
  <c r="DR156" i="9"/>
  <c r="BI12" i="9"/>
  <c r="BA110" i="9"/>
  <c r="BU110" i="9" s="1"/>
  <c r="BW110" i="9" s="1"/>
  <c r="BU109" i="9"/>
  <c r="BW109" i="9" s="1"/>
  <c r="BA138" i="9"/>
  <c r="BU138" i="9" s="1"/>
  <c r="BW138" i="9" s="1"/>
  <c r="BU137" i="9"/>
  <c r="BW137" i="9" s="1"/>
  <c r="BK10" i="9"/>
  <c r="BP10" i="9"/>
  <c r="BQ10" i="9" s="1"/>
  <c r="BD10" i="9"/>
  <c r="BC11" i="9" s="1"/>
  <c r="BA68" i="9"/>
  <c r="BU68" i="9" s="1"/>
  <c r="BW68" i="9" s="1"/>
  <c r="BU67" i="9"/>
  <c r="BW67" i="9" s="1"/>
  <c r="W233" i="9"/>
  <c r="W309" i="9" s="1"/>
  <c r="BT163" i="9"/>
  <c r="W234" i="9" s="1"/>
  <c r="BA33" i="9"/>
  <c r="BU33" i="9" s="1"/>
  <c r="BW33" i="9" s="1"/>
  <c r="BU32" i="9"/>
  <c r="BW32" i="9" s="1"/>
  <c r="BA61" i="9"/>
  <c r="BU61" i="9" s="1"/>
  <c r="BW61" i="9" s="1"/>
  <c r="BU60" i="9"/>
  <c r="BW60" i="9" s="1"/>
  <c r="BA26" i="9"/>
  <c r="BU26" i="9" s="1"/>
  <c r="BW26" i="9" s="1"/>
  <c r="BU25" i="9"/>
  <c r="BW25" i="9" s="1"/>
  <c r="T233" i="9"/>
  <c r="T309" i="9" s="1"/>
  <c r="BT160" i="9"/>
  <c r="T234" i="9" s="1"/>
  <c r="AU19" i="9"/>
  <c r="AT146" i="9"/>
  <c r="O208" i="9"/>
  <c r="AU155" i="9"/>
  <c r="O209" i="9" s="1"/>
  <c r="AT124" i="9"/>
  <c r="AU123" i="9"/>
  <c r="AT162" i="9"/>
  <c r="P208" i="9"/>
  <c r="AU156" i="9"/>
  <c r="P209" i="9" s="1"/>
  <c r="AU75" i="9"/>
  <c r="AT154" i="9"/>
  <c r="AV137" i="9"/>
  <c r="AX137" i="9" s="1"/>
  <c r="AB138" i="9"/>
  <c r="AV138" i="9" s="1"/>
  <c r="AX138" i="9" s="1"/>
  <c r="AB75" i="9"/>
  <c r="AV75" i="9" s="1"/>
  <c r="AX75" i="9" s="1"/>
  <c r="AV74" i="9"/>
  <c r="AX74" i="9" s="1"/>
  <c r="T208" i="9"/>
  <c r="AU160" i="9"/>
  <c r="T209" i="9" s="1"/>
  <c r="AB96" i="9"/>
  <c r="AV96" i="9" s="1"/>
  <c r="AX96" i="9" s="1"/>
  <c r="AV95" i="9"/>
  <c r="AX95" i="9" s="1"/>
  <c r="AV81" i="9"/>
  <c r="AX81" i="9" s="1"/>
  <c r="AB82" i="9"/>
  <c r="AV82" i="9" s="1"/>
  <c r="AX82" i="9" s="1"/>
  <c r="AT157" i="9"/>
  <c r="AJ11" i="9"/>
  <c r="AU163" i="9"/>
  <c r="W209" i="9" s="1"/>
  <c r="W208" i="9"/>
  <c r="AQ10" i="9"/>
  <c r="AR10" i="9" s="1"/>
  <c r="AE10" i="9"/>
  <c r="AD11" i="9" s="1"/>
  <c r="AL10" i="9"/>
  <c r="AB131" i="9"/>
  <c r="AV131" i="9" s="1"/>
  <c r="AX131" i="9" s="1"/>
  <c r="AV130" i="9"/>
  <c r="AX130" i="9" s="1"/>
  <c r="AB19" i="9"/>
  <c r="AV19" i="9" s="1"/>
  <c r="AX19" i="9" s="1"/>
  <c r="AV18" i="9"/>
  <c r="AX18" i="9" s="1"/>
  <c r="R208" i="9"/>
  <c r="AU158" i="9"/>
  <c r="R209" i="9" s="1"/>
  <c r="Q138" i="9"/>
  <c r="L138" i="9"/>
  <c r="T138" i="9"/>
  <c r="V138" i="9" s="1"/>
  <c r="W138" i="9"/>
  <c r="Y138" i="9" s="1"/>
  <c r="N138" i="9"/>
  <c r="C12" i="9"/>
  <c r="Q11" i="9"/>
  <c r="L11" i="9"/>
  <c r="T11" i="9"/>
  <c r="V11" i="9" s="1"/>
  <c r="W11" i="9"/>
  <c r="Y11" i="9" s="1"/>
  <c r="N11" i="9"/>
  <c r="Q61" i="9"/>
  <c r="L61" i="9"/>
  <c r="T61" i="9"/>
  <c r="V61" i="9" s="1"/>
  <c r="W61" i="9"/>
  <c r="Y61" i="9" s="1"/>
  <c r="N61" i="9"/>
  <c r="Q53" i="9"/>
  <c r="L53" i="9"/>
  <c r="T53" i="9"/>
  <c r="V53" i="9" s="1"/>
  <c r="C54" i="9"/>
  <c r="W53" i="9"/>
  <c r="Y53" i="9" s="1"/>
  <c r="N53" i="9"/>
  <c r="C47" i="9"/>
  <c r="W46" i="9"/>
  <c r="Y46" i="9" s="1"/>
  <c r="N46" i="9"/>
  <c r="Q46" i="9"/>
  <c r="L46" i="9"/>
  <c r="T46" i="9"/>
  <c r="V46" i="9" s="1"/>
  <c r="C96" i="9"/>
  <c r="Q95" i="9"/>
  <c r="L95" i="9"/>
  <c r="T95" i="9"/>
  <c r="V95" i="9" s="1"/>
  <c r="W95" i="9"/>
  <c r="Y95" i="9" s="1"/>
  <c r="N95" i="9"/>
  <c r="Q39" i="9"/>
  <c r="L39" i="9"/>
  <c r="T39" i="9"/>
  <c r="V39" i="9" s="1"/>
  <c r="C40" i="9"/>
  <c r="W39" i="9"/>
  <c r="Y39" i="9" s="1"/>
  <c r="N39" i="9"/>
  <c r="T19" i="9"/>
  <c r="V19" i="9" s="1"/>
  <c r="W19" i="9"/>
  <c r="Y19" i="9" s="1"/>
  <c r="N19" i="9"/>
  <c r="Q19" i="9"/>
  <c r="L19" i="9"/>
  <c r="T25" i="9"/>
  <c r="V25" i="9" s="1"/>
  <c r="C26" i="9"/>
  <c r="W25" i="9"/>
  <c r="Y25" i="9" s="1"/>
  <c r="N25" i="9"/>
  <c r="Q25" i="9"/>
  <c r="L25" i="9"/>
  <c r="T110" i="9"/>
  <c r="V110" i="9" s="1"/>
  <c r="W110" i="9"/>
  <c r="Y110" i="9" s="1"/>
  <c r="N110" i="9"/>
  <c r="Q110" i="9"/>
  <c r="L110" i="9"/>
  <c r="T102" i="9"/>
  <c r="V102" i="9" s="1"/>
  <c r="C103" i="9"/>
  <c r="W102" i="9"/>
  <c r="Y102" i="9" s="1"/>
  <c r="N102" i="9"/>
  <c r="Q102" i="9"/>
  <c r="L102" i="9"/>
  <c r="T81" i="9"/>
  <c r="V81" i="9" s="1"/>
  <c r="C82" i="9"/>
  <c r="W81" i="9"/>
  <c r="Y81" i="9" s="1"/>
  <c r="N81" i="9"/>
  <c r="Q81" i="9"/>
  <c r="L81" i="9"/>
  <c r="Q75" i="9"/>
  <c r="L75" i="9"/>
  <c r="T75" i="9"/>
  <c r="V75" i="9" s="1"/>
  <c r="W75" i="9"/>
  <c r="Y75" i="9" s="1"/>
  <c r="N75" i="9"/>
  <c r="C297" i="9"/>
  <c r="C33" i="9"/>
  <c r="T32" i="9"/>
  <c r="V32" i="9" s="1"/>
  <c r="W32" i="9"/>
  <c r="Y32" i="9" s="1"/>
  <c r="N32" i="9"/>
  <c r="Q32" i="9"/>
  <c r="L32" i="9"/>
  <c r="Q116" i="9"/>
  <c r="L116" i="9"/>
  <c r="C117" i="9"/>
  <c r="W116" i="9"/>
  <c r="Y116" i="9" s="1"/>
  <c r="N116" i="9"/>
  <c r="T116" i="9"/>
  <c r="V116" i="9" s="1"/>
  <c r="C131" i="9"/>
  <c r="W130" i="9"/>
  <c r="Y130" i="9" s="1"/>
  <c r="N130" i="9"/>
  <c r="Q130" i="9"/>
  <c r="L130" i="9"/>
  <c r="T130" i="9"/>
  <c r="V130" i="9" s="1"/>
  <c r="T89" i="9"/>
  <c r="V89" i="9" s="1"/>
  <c r="W89" i="9"/>
  <c r="Y89" i="9" s="1"/>
  <c r="N89" i="9"/>
  <c r="Q89" i="9"/>
  <c r="L89" i="9"/>
  <c r="T124" i="9"/>
  <c r="V124" i="9" s="1"/>
  <c r="W124" i="9"/>
  <c r="Y124" i="9" s="1"/>
  <c r="N124" i="9"/>
  <c r="Q124" i="9"/>
  <c r="L124" i="9"/>
  <c r="T67" i="9"/>
  <c r="V67" i="9" s="1"/>
  <c r="C68" i="9"/>
  <c r="W67" i="9"/>
  <c r="Y67" i="9" s="1"/>
  <c r="N67" i="9"/>
  <c r="Q67" i="9"/>
  <c r="L67" i="9"/>
  <c r="DE163" i="9"/>
  <c r="W269" i="9" s="1"/>
  <c r="M9" i="9" l="1"/>
  <c r="F10" i="9"/>
  <c r="E11" i="9" s="1"/>
  <c r="BN159" i="9"/>
  <c r="S228" i="9" s="1"/>
  <c r="AF151" i="9"/>
  <c r="DM47" i="9"/>
  <c r="DJ47" i="9"/>
  <c r="DH47" i="9"/>
  <c r="CI47" i="9"/>
  <c r="CQ47" i="9"/>
  <c r="CS47" i="9" s="1"/>
  <c r="DP47" i="9"/>
  <c r="DR47" i="9" s="1"/>
  <c r="CN47" i="9"/>
  <c r="BO47" i="9"/>
  <c r="CK47" i="9"/>
  <c r="BL47" i="9"/>
  <c r="BJ47" i="9"/>
  <c r="AK47" i="9"/>
  <c r="AS47" i="9"/>
  <c r="AU47" i="9" s="1"/>
  <c r="AM47" i="9"/>
  <c r="AP47" i="9"/>
  <c r="BR47" i="9"/>
  <c r="BT47" i="9" s="1"/>
  <c r="CF154" i="9"/>
  <c r="N245" i="9" s="1"/>
  <c r="DJ103" i="9"/>
  <c r="DH103" i="9"/>
  <c r="DP103" i="9"/>
  <c r="DM103" i="9"/>
  <c r="CI103" i="9"/>
  <c r="CQ103" i="9"/>
  <c r="CS103" i="9" s="1"/>
  <c r="CK103" i="9"/>
  <c r="BO103" i="9"/>
  <c r="BL103" i="9"/>
  <c r="BJ103" i="9"/>
  <c r="CN103" i="9"/>
  <c r="AK103" i="9"/>
  <c r="AS103" i="9"/>
  <c r="AU103" i="9" s="1"/>
  <c r="BR103" i="9"/>
  <c r="BT103" i="9" s="1"/>
  <c r="AP103" i="9"/>
  <c r="AM103" i="9"/>
  <c r="DH40" i="9"/>
  <c r="DP40" i="9"/>
  <c r="DR40" i="9" s="1"/>
  <c r="DM40" i="9"/>
  <c r="DJ40" i="9"/>
  <c r="CQ40" i="9"/>
  <c r="CS40" i="9" s="1"/>
  <c r="CN40" i="9"/>
  <c r="CI40" i="9"/>
  <c r="BL40" i="9"/>
  <c r="BJ40" i="9"/>
  <c r="BR40" i="9"/>
  <c r="BT40" i="9" s="1"/>
  <c r="BO40" i="9"/>
  <c r="CK40" i="9"/>
  <c r="AK40" i="9"/>
  <c r="AS40" i="9"/>
  <c r="AU40" i="9" s="1"/>
  <c r="AP40" i="9"/>
  <c r="AM40" i="9"/>
  <c r="I155" i="9"/>
  <c r="O173" i="9" s="1"/>
  <c r="DJ26" i="9"/>
  <c r="DH26" i="9"/>
  <c r="DP26" i="9"/>
  <c r="DR26" i="9" s="1"/>
  <c r="DM26" i="9"/>
  <c r="CK26" i="9"/>
  <c r="CI26" i="9"/>
  <c r="BR26" i="9"/>
  <c r="BT26" i="9" s="1"/>
  <c r="BO26" i="9"/>
  <c r="BL26" i="9"/>
  <c r="CQ26" i="9"/>
  <c r="CS26" i="9" s="1"/>
  <c r="BJ26" i="9"/>
  <c r="CN26" i="9"/>
  <c r="AP26" i="9"/>
  <c r="AM26" i="9"/>
  <c r="AK26" i="9"/>
  <c r="AS26" i="9"/>
  <c r="AU26" i="9" s="1"/>
  <c r="H152" i="9"/>
  <c r="L172" i="9" s="1"/>
  <c r="DH12" i="9"/>
  <c r="DP12" i="9"/>
  <c r="DR12" i="9" s="1"/>
  <c r="CK12" i="9"/>
  <c r="DM12" i="9"/>
  <c r="CI12" i="9"/>
  <c r="BL12" i="9"/>
  <c r="BJ12" i="9"/>
  <c r="BR12" i="9"/>
  <c r="BT12" i="9" s="1"/>
  <c r="CQ12" i="9"/>
  <c r="CS12" i="9" s="1"/>
  <c r="BO12" i="9"/>
  <c r="CN12" i="9"/>
  <c r="DJ12" i="9"/>
  <c r="AM12" i="9"/>
  <c r="AK12" i="9"/>
  <c r="AP12" i="9"/>
  <c r="AS12" i="9"/>
  <c r="AU12" i="9" s="1"/>
  <c r="I146" i="9"/>
  <c r="F173" i="9" s="1"/>
  <c r="BG151" i="9"/>
  <c r="K221" i="9" s="1"/>
  <c r="DM68" i="9"/>
  <c r="DJ68" i="9"/>
  <c r="DP68" i="9"/>
  <c r="DR68" i="9" s="1"/>
  <c r="DH68" i="9"/>
  <c r="CQ68" i="9"/>
  <c r="CS68" i="9" s="1"/>
  <c r="CN68" i="9"/>
  <c r="CK68" i="9"/>
  <c r="BR68" i="9"/>
  <c r="BT68" i="9" s="1"/>
  <c r="CI68" i="9"/>
  <c r="BO68" i="9"/>
  <c r="AP68" i="9"/>
  <c r="BL68" i="9"/>
  <c r="BJ68" i="9"/>
  <c r="AK68" i="9"/>
  <c r="AS68" i="9"/>
  <c r="AU68" i="9" s="1"/>
  <c r="AM68" i="9"/>
  <c r="DG12" i="9"/>
  <c r="DK11" i="9"/>
  <c r="H148" i="9"/>
  <c r="H172" i="9" s="1"/>
  <c r="DH131" i="9"/>
  <c r="DP131" i="9"/>
  <c r="DR131" i="9" s="1"/>
  <c r="DM131" i="9"/>
  <c r="CN131" i="9"/>
  <c r="CK131" i="9"/>
  <c r="BJ131" i="9"/>
  <c r="DJ131" i="9"/>
  <c r="CQ131" i="9"/>
  <c r="CS131" i="9" s="1"/>
  <c r="BR131" i="9"/>
  <c r="BT131" i="9" s="1"/>
  <c r="BO131" i="9"/>
  <c r="AP131" i="9"/>
  <c r="AS131" i="9"/>
  <c r="AU131" i="9" s="1"/>
  <c r="AM131" i="9"/>
  <c r="BL131" i="9"/>
  <c r="AK131" i="9"/>
  <c r="CI131" i="9"/>
  <c r="DC158" i="9"/>
  <c r="DM96" i="9"/>
  <c r="DJ96" i="9"/>
  <c r="DP96" i="9"/>
  <c r="DR96" i="9" s="1"/>
  <c r="DH96" i="9"/>
  <c r="CK96" i="9"/>
  <c r="CI96" i="9"/>
  <c r="BR96" i="9"/>
  <c r="BT96" i="9" s="1"/>
  <c r="CQ96" i="9"/>
  <c r="CS96" i="9" s="1"/>
  <c r="BO96" i="9"/>
  <c r="BJ96" i="9"/>
  <c r="CN96" i="9"/>
  <c r="AP96" i="9"/>
  <c r="AM96" i="9"/>
  <c r="AK96" i="9"/>
  <c r="AS96" i="9"/>
  <c r="AU96" i="9" s="1"/>
  <c r="BL96" i="9"/>
  <c r="BG163" i="9"/>
  <c r="W221" i="9" s="1"/>
  <c r="DP117" i="9"/>
  <c r="DR117" i="9" s="1"/>
  <c r="DM117" i="9"/>
  <c r="DJ117" i="9"/>
  <c r="CQ117" i="9"/>
  <c r="CS117" i="9" s="1"/>
  <c r="CN117" i="9"/>
  <c r="DH117" i="9"/>
  <c r="CK117" i="9"/>
  <c r="BO117" i="9"/>
  <c r="CI117" i="9"/>
  <c r="BL117" i="9"/>
  <c r="BJ117" i="9"/>
  <c r="BR117" i="9"/>
  <c r="BT117" i="9" s="1"/>
  <c r="AK117" i="9"/>
  <c r="AS117" i="9"/>
  <c r="AU117" i="9" s="1"/>
  <c r="AP117" i="9"/>
  <c r="AM117" i="9"/>
  <c r="H158" i="9"/>
  <c r="R172" i="9" s="1"/>
  <c r="DM33" i="9"/>
  <c r="DJ33" i="9"/>
  <c r="DH33" i="9"/>
  <c r="CK33" i="9"/>
  <c r="DP33" i="9"/>
  <c r="DR33" i="9" s="1"/>
  <c r="CI33" i="9"/>
  <c r="BO33" i="9"/>
  <c r="BL33" i="9"/>
  <c r="CQ33" i="9"/>
  <c r="CS33" i="9" s="1"/>
  <c r="BJ33" i="9"/>
  <c r="CN33" i="9"/>
  <c r="BR33" i="9"/>
  <c r="BT33" i="9" s="1"/>
  <c r="AS33" i="9"/>
  <c r="AU33" i="9" s="1"/>
  <c r="AP33" i="9"/>
  <c r="AM33" i="9"/>
  <c r="AK33" i="9"/>
  <c r="DJ82" i="9"/>
  <c r="DH82" i="9"/>
  <c r="DP82" i="9"/>
  <c r="DR82" i="9" s="1"/>
  <c r="DM82" i="9"/>
  <c r="CI82" i="9"/>
  <c r="CQ82" i="9"/>
  <c r="CS82" i="9" s="1"/>
  <c r="CN82" i="9"/>
  <c r="CK82" i="9"/>
  <c r="BO82" i="9"/>
  <c r="BL82" i="9"/>
  <c r="BR82" i="9"/>
  <c r="BT82" i="9" s="1"/>
  <c r="AS82" i="9"/>
  <c r="AU82" i="9" s="1"/>
  <c r="BJ82" i="9"/>
  <c r="AM82" i="9"/>
  <c r="AK82" i="9"/>
  <c r="AP82" i="9"/>
  <c r="DJ54" i="9"/>
  <c r="DH54" i="9"/>
  <c r="DP54" i="9"/>
  <c r="DR54" i="9" s="1"/>
  <c r="DM54" i="9"/>
  <c r="CQ54" i="9"/>
  <c r="CS54" i="9" s="1"/>
  <c r="CN54" i="9"/>
  <c r="BL54" i="9"/>
  <c r="CK54" i="9"/>
  <c r="BJ54" i="9"/>
  <c r="BR54" i="9"/>
  <c r="BT54" i="9" s="1"/>
  <c r="AP54" i="9"/>
  <c r="BO54" i="9"/>
  <c r="CI54" i="9"/>
  <c r="AK54" i="9"/>
  <c r="AM54" i="9"/>
  <c r="AS54" i="9"/>
  <c r="AU54" i="9" s="1"/>
  <c r="DD160" i="9"/>
  <c r="T268" i="9" s="1"/>
  <c r="DE158" i="9"/>
  <c r="R269" i="9" s="1"/>
  <c r="DR138" i="9"/>
  <c r="DQ163" i="9"/>
  <c r="DC157" i="9"/>
  <c r="DC156" i="9"/>
  <c r="DC163" i="9"/>
  <c r="W267" i="9" s="1"/>
  <c r="DE161" i="9"/>
  <c r="U269" i="9" s="1"/>
  <c r="DD156" i="9"/>
  <c r="P268" i="9" s="1"/>
  <c r="DR110" i="9"/>
  <c r="DQ159" i="9"/>
  <c r="DQ158" i="9"/>
  <c r="DR103" i="9"/>
  <c r="DN11" i="9"/>
  <c r="DO11" i="9" s="1"/>
  <c r="DB11" i="9"/>
  <c r="DA12" i="9" s="1"/>
  <c r="DI11" i="9"/>
  <c r="CH13" i="9"/>
  <c r="CL12" i="9"/>
  <c r="CC12" i="9"/>
  <c r="CB13" i="9" s="1"/>
  <c r="CJ12" i="9"/>
  <c r="CO12" i="9"/>
  <c r="CP12" i="9" s="1"/>
  <c r="BI13" i="9"/>
  <c r="BP11" i="9"/>
  <c r="BQ11" i="9" s="1"/>
  <c r="BD11" i="9"/>
  <c r="BC12" i="9" s="1"/>
  <c r="BK11" i="9"/>
  <c r="BN162" i="9"/>
  <c r="V228" i="9" s="1"/>
  <c r="AQ11" i="9"/>
  <c r="AR11" i="9" s="1"/>
  <c r="AL11" i="9"/>
  <c r="AE11" i="9"/>
  <c r="AD12" i="9" s="1"/>
  <c r="AU146" i="9"/>
  <c r="F209" i="9" s="1"/>
  <c r="F208" i="9"/>
  <c r="AH162" i="9"/>
  <c r="V196" i="9" s="1"/>
  <c r="AN11" i="9"/>
  <c r="AJ12" i="9"/>
  <c r="AJ145" i="9" s="1"/>
  <c r="AU124" i="9"/>
  <c r="AT161" i="9"/>
  <c r="AH159" i="9"/>
  <c r="S196" i="9" s="1"/>
  <c r="Q208" i="9"/>
  <c r="AU157" i="9"/>
  <c r="Q209" i="9" s="1"/>
  <c r="N208" i="9"/>
  <c r="AU154" i="9"/>
  <c r="N209" i="9" s="1"/>
  <c r="V208" i="9"/>
  <c r="AU162" i="9"/>
  <c r="V209" i="9" s="1"/>
  <c r="Q68" i="9"/>
  <c r="L68" i="9"/>
  <c r="T68" i="9"/>
  <c r="V68" i="9" s="1"/>
  <c r="W68" i="9"/>
  <c r="Y68" i="9" s="1"/>
  <c r="N68" i="9"/>
  <c r="DL156" i="9"/>
  <c r="DC161" i="9"/>
  <c r="DD159" i="9"/>
  <c r="S268" i="9" s="1"/>
  <c r="DC162" i="9"/>
  <c r="DE162" i="9"/>
  <c r="V269" i="9" s="1"/>
  <c r="DC159" i="9"/>
  <c r="DC160" i="9"/>
  <c r="G147" i="9"/>
  <c r="G151" i="9"/>
  <c r="G157" i="9"/>
  <c r="P145" i="9"/>
  <c r="H147" i="9"/>
  <c r="G172" i="9" s="1"/>
  <c r="G146" i="9"/>
  <c r="AH156" i="9"/>
  <c r="P196" i="9" s="1"/>
  <c r="AO153" i="9"/>
  <c r="AH149" i="9"/>
  <c r="I196" i="9" s="1"/>
  <c r="AF149" i="9"/>
  <c r="AH160" i="9"/>
  <c r="T196" i="9" s="1"/>
  <c r="AO154" i="9"/>
  <c r="AF161" i="9"/>
  <c r="AF152" i="9"/>
  <c r="AG148" i="9"/>
  <c r="H195" i="9" s="1"/>
  <c r="AO163" i="9"/>
  <c r="AH146" i="9"/>
  <c r="F196" i="9" s="1"/>
  <c r="AH155" i="9"/>
  <c r="O196" i="9" s="1"/>
  <c r="AG145" i="9"/>
  <c r="E195" i="9" s="1"/>
  <c r="AF162" i="9"/>
  <c r="AF156" i="9"/>
  <c r="AO162" i="9"/>
  <c r="BN152" i="9"/>
  <c r="G163" i="9"/>
  <c r="BF156" i="9"/>
  <c r="P220" i="9" s="1"/>
  <c r="BE151" i="9"/>
  <c r="BN160" i="9"/>
  <c r="BG153" i="9"/>
  <c r="M221" i="9" s="1"/>
  <c r="BF148" i="9"/>
  <c r="H220" i="9" s="1"/>
  <c r="BN145" i="9"/>
  <c r="BE154" i="9"/>
  <c r="BN151" i="9"/>
  <c r="BE163" i="9"/>
  <c r="BE146" i="9"/>
  <c r="BN161" i="9"/>
  <c r="BE157" i="9"/>
  <c r="BN163" i="9"/>
  <c r="BF155" i="9"/>
  <c r="O220" i="9" s="1"/>
  <c r="BG149" i="9"/>
  <c r="I221" i="9" s="1"/>
  <c r="BG161" i="9"/>
  <c r="U221" i="9" s="1"/>
  <c r="G148" i="9"/>
  <c r="AO161" i="9"/>
  <c r="DL149" i="9"/>
  <c r="I276" i="9" s="1"/>
  <c r="CF160" i="9"/>
  <c r="T245" i="9" s="1"/>
  <c r="DL151" i="9"/>
  <c r="K276" i="9" s="1"/>
  <c r="DE148" i="9"/>
  <c r="H269" i="9" s="1"/>
  <c r="CF147" i="9"/>
  <c r="G245" i="9" s="1"/>
  <c r="DD147" i="9"/>
  <c r="G268" i="9" s="1"/>
  <c r="CE156" i="9"/>
  <c r="P244" i="9" s="1"/>
  <c r="CM151" i="9"/>
  <c r="K252" i="9" s="1"/>
  <c r="CF146" i="9"/>
  <c r="F245" i="9" s="1"/>
  <c r="CD153" i="9"/>
  <c r="DC145" i="9"/>
  <c r="CF155" i="9"/>
  <c r="O245" i="9" s="1"/>
  <c r="DE146" i="9"/>
  <c r="F269" i="9" s="1"/>
  <c r="CE148" i="9"/>
  <c r="H244" i="9" s="1"/>
  <c r="CF150" i="9"/>
  <c r="J245" i="9" s="1"/>
  <c r="CM145" i="9"/>
  <c r="E252" i="9" s="1"/>
  <c r="CF148" i="9"/>
  <c r="H245" i="9" s="1"/>
  <c r="CF163" i="9"/>
  <c r="W245" i="9" s="1"/>
  <c r="BG154" i="9"/>
  <c r="N221" i="9" s="1"/>
  <c r="DE153" i="9"/>
  <c r="M269" i="9" s="1"/>
  <c r="W54" i="9"/>
  <c r="Y54" i="9" s="1"/>
  <c r="N54" i="9"/>
  <c r="Q54" i="9"/>
  <c r="L54" i="9"/>
  <c r="T54" i="9"/>
  <c r="V54" i="9" s="1"/>
  <c r="I147" i="9"/>
  <c r="G173" i="9" s="1"/>
  <c r="I151" i="9"/>
  <c r="K173" i="9" s="1"/>
  <c r="H145" i="9"/>
  <c r="E172" i="9" s="1"/>
  <c r="I149" i="9"/>
  <c r="I173" i="9" s="1"/>
  <c r="P149" i="9"/>
  <c r="I154" i="9"/>
  <c r="N173" i="9" s="1"/>
  <c r="AF157" i="9"/>
  <c r="O11" i="9"/>
  <c r="R267" i="9"/>
  <c r="P267" i="9"/>
  <c r="H161" i="9"/>
  <c r="U172" i="9" s="1"/>
  <c r="G160" i="9"/>
  <c r="H160" i="9"/>
  <c r="T172" i="9" s="1"/>
  <c r="G161" i="9"/>
  <c r="H159" i="9"/>
  <c r="S172" i="9" s="1"/>
  <c r="G154" i="9"/>
  <c r="C298" i="9"/>
  <c r="AG160" i="9"/>
  <c r="T195" i="9" s="1"/>
  <c r="AF158" i="9"/>
  <c r="AH148" i="9"/>
  <c r="H196" i="9" s="1"/>
  <c r="AG157" i="9"/>
  <c r="Q195" i="9" s="1"/>
  <c r="AH151" i="9"/>
  <c r="K196" i="9" s="1"/>
  <c r="AF159" i="9"/>
  <c r="AG159" i="9"/>
  <c r="S195" i="9" s="1"/>
  <c r="AG150" i="9"/>
  <c r="J195" i="9" s="1"/>
  <c r="AH161" i="9"/>
  <c r="U196" i="9" s="1"/>
  <c r="AG158" i="9"/>
  <c r="R195" i="9" s="1"/>
  <c r="AO147" i="9"/>
  <c r="AF163" i="9"/>
  <c r="AH152" i="9"/>
  <c r="L196" i="9" s="1"/>
  <c r="AO152" i="9"/>
  <c r="AF145" i="9"/>
  <c r="AF153" i="9"/>
  <c r="AO151" i="9"/>
  <c r="AF146" i="9"/>
  <c r="AO155" i="9"/>
  <c r="AO159" i="9"/>
  <c r="BF153" i="9"/>
  <c r="M220" i="9" s="1"/>
  <c r="BE150" i="9"/>
  <c r="BE162" i="9"/>
  <c r="BG152" i="9"/>
  <c r="L221" i="9" s="1"/>
  <c r="BN147" i="9"/>
  <c r="BG156" i="9"/>
  <c r="P221" i="9" s="1"/>
  <c r="BN149" i="9"/>
  <c r="BG162" i="9"/>
  <c r="V221" i="9" s="1"/>
  <c r="BE152" i="9"/>
  <c r="BN150" i="9"/>
  <c r="BE156" i="9"/>
  <c r="BN154" i="9"/>
  <c r="BG145" i="9"/>
  <c r="E221" i="9" s="1"/>
  <c r="BG155" i="9"/>
  <c r="O221" i="9" s="1"/>
  <c r="BN156" i="9"/>
  <c r="BE149" i="9"/>
  <c r="BG159" i="9"/>
  <c r="S221" i="9" s="1"/>
  <c r="BN158" i="9"/>
  <c r="AG162" i="9"/>
  <c r="V195" i="9" s="1"/>
  <c r="H154" i="9"/>
  <c r="N172" i="9" s="1"/>
  <c r="CE150" i="9"/>
  <c r="J244" i="9" s="1"/>
  <c r="DE150" i="9"/>
  <c r="J269" i="9" s="1"/>
  <c r="DE152" i="9"/>
  <c r="L269" i="9" s="1"/>
  <c r="CD162" i="9"/>
  <c r="CD146" i="9"/>
  <c r="CM146" i="9"/>
  <c r="F252" i="9" s="1"/>
  <c r="CM147" i="9"/>
  <c r="G252" i="9" s="1"/>
  <c r="CM155" i="9"/>
  <c r="O252" i="9" s="1"/>
  <c r="DL153" i="9"/>
  <c r="M276" i="9" s="1"/>
  <c r="DE149" i="9"/>
  <c r="I269" i="9" s="1"/>
  <c r="CD148" i="9"/>
  <c r="CM148" i="9"/>
  <c r="H252" i="9" s="1"/>
  <c r="CM149" i="9"/>
  <c r="I252" i="9" s="1"/>
  <c r="DL155" i="9"/>
  <c r="O276" i="9" s="1"/>
  <c r="CM160" i="9"/>
  <c r="DD146" i="9"/>
  <c r="F268" i="9" s="1"/>
  <c r="DD154" i="9"/>
  <c r="N268" i="9" s="1"/>
  <c r="CM150" i="9"/>
  <c r="J252" i="9" s="1"/>
  <c r="CD158" i="9"/>
  <c r="CD152" i="9"/>
  <c r="DC147" i="9"/>
  <c r="CM159" i="9"/>
  <c r="CD160" i="9"/>
  <c r="DL152" i="9"/>
  <c r="L276" i="9" s="1"/>
  <c r="DE145" i="9"/>
  <c r="E269" i="9" s="1"/>
  <c r="DL146" i="9"/>
  <c r="F276" i="9" s="1"/>
  <c r="DL154" i="9"/>
  <c r="N276" i="9" s="1"/>
  <c r="CD155" i="9"/>
  <c r="CD156" i="9"/>
  <c r="DC154" i="9"/>
  <c r="DL147" i="9"/>
  <c r="G276" i="9" s="1"/>
  <c r="DL148" i="9"/>
  <c r="H276" i="9" s="1"/>
  <c r="CE159" i="9"/>
  <c r="S244" i="9" s="1"/>
  <c r="CM163" i="9"/>
  <c r="CD154" i="9"/>
  <c r="DC152" i="9"/>
  <c r="H155" i="9"/>
  <c r="O172" i="9" s="1"/>
  <c r="G158" i="9"/>
  <c r="P147" i="9"/>
  <c r="I160" i="9"/>
  <c r="T173" i="9" s="1"/>
  <c r="P161" i="9"/>
  <c r="P146" i="9"/>
  <c r="DE156" i="9"/>
  <c r="P269" i="9" s="1"/>
  <c r="BF159" i="9"/>
  <c r="S220" i="9" s="1"/>
  <c r="K194" i="9"/>
  <c r="DL163" i="9"/>
  <c r="DL162" i="9"/>
  <c r="DD161" i="9"/>
  <c r="U268" i="9" s="1"/>
  <c r="DD158" i="9"/>
  <c r="R268" i="9" s="1"/>
  <c r="I153" i="9"/>
  <c r="M173" i="9" s="1"/>
  <c r="I157" i="9"/>
  <c r="Q173" i="9" s="1"/>
  <c r="P160" i="9"/>
  <c r="H162" i="9"/>
  <c r="V172" i="9" s="1"/>
  <c r="I148" i="9"/>
  <c r="H173" i="9" s="1"/>
  <c r="H151" i="9"/>
  <c r="K172" i="9" s="1"/>
  <c r="AG153" i="9"/>
  <c r="M195" i="9" s="1"/>
  <c r="AF148" i="9"/>
  <c r="AG155" i="9"/>
  <c r="O195" i="9" s="1"/>
  <c r="AG154" i="9"/>
  <c r="N195" i="9" s="1"/>
  <c r="AH150" i="9"/>
  <c r="J196" i="9" s="1"/>
  <c r="AG156" i="9"/>
  <c r="P195" i="9" s="1"/>
  <c r="AO149" i="9"/>
  <c r="AO146" i="9"/>
  <c r="AG163" i="9"/>
  <c r="W195" i="9" s="1"/>
  <c r="AH153" i="9"/>
  <c r="M196" i="9" s="1"/>
  <c r="AO148" i="9"/>
  <c r="AF160" i="9"/>
  <c r="AH157" i="9"/>
  <c r="Q196" i="9" s="1"/>
  <c r="AO150" i="9"/>
  <c r="AO145" i="9"/>
  <c r="AH163" i="9"/>
  <c r="W196" i="9" s="1"/>
  <c r="CD157" i="9"/>
  <c r="BG148" i="9"/>
  <c r="H221" i="9" s="1"/>
  <c r="BF152" i="9"/>
  <c r="L220" i="9" s="1"/>
  <c r="BF157" i="9"/>
  <c r="Q220" i="9" s="1"/>
  <c r="BN146" i="9"/>
  <c r="BF145" i="9"/>
  <c r="E220" i="9" s="1"/>
  <c r="BN148" i="9"/>
  <c r="BF147" i="9"/>
  <c r="G220" i="9" s="1"/>
  <c r="BG160" i="9"/>
  <c r="T221" i="9" s="1"/>
  <c r="BG158" i="9"/>
  <c r="R221" i="9" s="1"/>
  <c r="BE145" i="9"/>
  <c r="BF161" i="9"/>
  <c r="U220" i="9" s="1"/>
  <c r="BE159" i="9"/>
  <c r="BF151" i="9"/>
  <c r="K220" i="9" s="1"/>
  <c r="BN153" i="9"/>
  <c r="BE148" i="9"/>
  <c r="BE160" i="9"/>
  <c r="BN155" i="9"/>
  <c r="Q82" i="9"/>
  <c r="L82" i="9"/>
  <c r="T82" i="9"/>
  <c r="V82" i="9" s="1"/>
  <c r="W82" i="9"/>
  <c r="Y82" i="9" s="1"/>
  <c r="N82" i="9"/>
  <c r="AO156" i="9"/>
  <c r="Q26" i="9"/>
  <c r="L26" i="9"/>
  <c r="T26" i="9"/>
  <c r="V26" i="9" s="1"/>
  <c r="W26" i="9"/>
  <c r="Y26" i="9" s="1"/>
  <c r="N26" i="9"/>
  <c r="Q96" i="9"/>
  <c r="L96" i="9"/>
  <c r="W96" i="9"/>
  <c r="Y96" i="9" s="1"/>
  <c r="T96" i="9"/>
  <c r="V96" i="9" s="1"/>
  <c r="N96" i="9"/>
  <c r="I158" i="9"/>
  <c r="R173" i="9" s="1"/>
  <c r="DC150" i="9"/>
  <c r="CF161" i="9"/>
  <c r="U245" i="9" s="1"/>
  <c r="CM152" i="9"/>
  <c r="L252" i="9" s="1"/>
  <c r="CF159" i="9"/>
  <c r="S245" i="9" s="1"/>
  <c r="CD145" i="9"/>
  <c r="DE155" i="9"/>
  <c r="O269" i="9" s="1"/>
  <c r="DE147" i="9"/>
  <c r="G269" i="9" s="1"/>
  <c r="CE154" i="9"/>
  <c r="N244" i="9" s="1"/>
  <c r="CD150" i="9"/>
  <c r="CE152" i="9"/>
  <c r="L244" i="9" s="1"/>
  <c r="CF158" i="9"/>
  <c r="R245" i="9" s="1"/>
  <c r="DC149" i="9"/>
  <c r="CF152" i="9"/>
  <c r="L245" i="9" s="1"/>
  <c r="DL145" i="9"/>
  <c r="E276" i="9" s="1"/>
  <c r="DD152" i="9"/>
  <c r="L268" i="9" s="1"/>
  <c r="CD159" i="9"/>
  <c r="CF149" i="9"/>
  <c r="I245" i="9" s="1"/>
  <c r="DD149" i="9"/>
  <c r="I268" i="9" s="1"/>
  <c r="DD150" i="9"/>
  <c r="J268" i="9" s="1"/>
  <c r="CE158" i="9"/>
  <c r="R244" i="9" s="1"/>
  <c r="CE157" i="9"/>
  <c r="Q244" i="9" s="1"/>
  <c r="CM154" i="9"/>
  <c r="N252" i="9" s="1"/>
  <c r="CM161" i="9"/>
  <c r="CF156" i="9"/>
  <c r="P245" i="9" s="1"/>
  <c r="CM156" i="9"/>
  <c r="CD163" i="9"/>
  <c r="DC151" i="9"/>
  <c r="P159" i="9"/>
  <c r="G156" i="9"/>
  <c r="G159" i="9"/>
  <c r="H157" i="9"/>
  <c r="Q172" i="9" s="1"/>
  <c r="P152" i="9"/>
  <c r="P151" i="9"/>
  <c r="I150" i="9"/>
  <c r="J173" i="9" s="1"/>
  <c r="W12" i="9"/>
  <c r="Y12" i="9" s="1"/>
  <c r="N12" i="9"/>
  <c r="Q12" i="9"/>
  <c r="L12" i="9"/>
  <c r="T12" i="9"/>
  <c r="V12" i="9" s="1"/>
  <c r="G145" i="9"/>
  <c r="G149" i="9"/>
  <c r="G162" i="9"/>
  <c r="I162" i="9"/>
  <c r="V173" i="9" s="1"/>
  <c r="H150" i="9"/>
  <c r="J172" i="9" s="1"/>
  <c r="P150" i="9"/>
  <c r="P158" i="9"/>
  <c r="G155" i="9"/>
  <c r="H163" i="9"/>
  <c r="W172" i="9" s="1"/>
  <c r="P155" i="9"/>
  <c r="G150" i="9"/>
  <c r="H146" i="9"/>
  <c r="F172" i="9" s="1"/>
  <c r="P148" i="9"/>
  <c r="H156" i="9"/>
  <c r="P172" i="9" s="1"/>
  <c r="Q267" i="9"/>
  <c r="DE157" i="9"/>
  <c r="Q269" i="9" s="1"/>
  <c r="DD162" i="9"/>
  <c r="V268" i="9" s="1"/>
  <c r="DL161" i="9"/>
  <c r="DL159" i="9"/>
  <c r="CE161" i="9"/>
  <c r="U244" i="9" s="1"/>
  <c r="CD161" i="9"/>
  <c r="DL158" i="9"/>
  <c r="DE160" i="9"/>
  <c r="T269" i="9" s="1"/>
  <c r="DD157" i="9"/>
  <c r="Q268" i="9" s="1"/>
  <c r="DL160" i="9"/>
  <c r="DL157" i="9"/>
  <c r="DD163" i="9"/>
  <c r="W268" i="9" s="1"/>
  <c r="DE159" i="9"/>
  <c r="S269" i="9" s="1"/>
  <c r="T131" i="9"/>
  <c r="V131" i="9" s="1"/>
  <c r="W131" i="9"/>
  <c r="Y131" i="9" s="1"/>
  <c r="N131" i="9"/>
  <c r="L131" i="9"/>
  <c r="Q131" i="9"/>
  <c r="H149" i="9"/>
  <c r="I172" i="9" s="1"/>
  <c r="W117" i="9"/>
  <c r="Y117" i="9" s="1"/>
  <c r="N117" i="9"/>
  <c r="Q117" i="9"/>
  <c r="L117" i="9"/>
  <c r="T117" i="9"/>
  <c r="V117" i="9" s="1"/>
  <c r="T33" i="9"/>
  <c r="V33" i="9" s="1"/>
  <c r="W33" i="9"/>
  <c r="Y33" i="9" s="1"/>
  <c r="N33" i="9"/>
  <c r="Q33" i="9"/>
  <c r="L33" i="9"/>
  <c r="P156" i="9"/>
  <c r="G153" i="9"/>
  <c r="I145" i="9"/>
  <c r="E173" i="9" s="1"/>
  <c r="I159" i="9"/>
  <c r="S173" i="9" s="1"/>
  <c r="P157" i="9"/>
  <c r="P154" i="9"/>
  <c r="AF147" i="9"/>
  <c r="AO160" i="9"/>
  <c r="AF150" i="9"/>
  <c r="AO157" i="9"/>
  <c r="AG161" i="9"/>
  <c r="U195" i="9" s="1"/>
  <c r="AF154" i="9"/>
  <c r="AG147" i="9"/>
  <c r="G195" i="9" s="1"/>
  <c r="AO158" i="9"/>
  <c r="AG149" i="9"/>
  <c r="I195" i="9" s="1"/>
  <c r="AH147" i="9"/>
  <c r="G196" i="9" s="1"/>
  <c r="AF155" i="9"/>
  <c r="AG151" i="9"/>
  <c r="K195" i="9" s="1"/>
  <c r="AH145" i="9"/>
  <c r="E196" i="9" s="1"/>
  <c r="AH154" i="9"/>
  <c r="N196" i="9" s="1"/>
  <c r="AG152" i="9"/>
  <c r="L195" i="9" s="1"/>
  <c r="AH158" i="9"/>
  <c r="R196" i="9" s="1"/>
  <c r="BE153" i="9"/>
  <c r="BG147" i="9"/>
  <c r="G221" i="9" s="1"/>
  <c r="BF163" i="9"/>
  <c r="W220" i="9" s="1"/>
  <c r="BN157" i="9"/>
  <c r="BF160" i="9"/>
  <c r="T220" i="9" s="1"/>
  <c r="BE155" i="9"/>
  <c r="BF149" i="9"/>
  <c r="I220" i="9" s="1"/>
  <c r="BE161" i="9"/>
  <c r="BF146" i="9"/>
  <c r="F220" i="9" s="1"/>
  <c r="BG146" i="9"/>
  <c r="F221" i="9" s="1"/>
  <c r="BF154" i="9"/>
  <c r="N220" i="9" s="1"/>
  <c r="BE147" i="9"/>
  <c r="BG157" i="9"/>
  <c r="Q221" i="9" s="1"/>
  <c r="BF150" i="9"/>
  <c r="J220" i="9" s="1"/>
  <c r="BE158" i="9"/>
  <c r="BF158" i="9"/>
  <c r="R220" i="9" s="1"/>
  <c r="BG150" i="9"/>
  <c r="J221" i="9" s="1"/>
  <c r="CE162" i="9"/>
  <c r="V244" i="9" s="1"/>
  <c r="Q103" i="9"/>
  <c r="L103" i="9"/>
  <c r="T103" i="9"/>
  <c r="V103" i="9" s="1"/>
  <c r="W103" i="9"/>
  <c r="Y103" i="9" s="1"/>
  <c r="N103" i="9"/>
  <c r="Q40" i="9"/>
  <c r="L40" i="9"/>
  <c r="T40" i="9"/>
  <c r="V40" i="9" s="1"/>
  <c r="W40" i="9"/>
  <c r="Y40" i="9" s="1"/>
  <c r="N40" i="9"/>
  <c r="AG146" i="9"/>
  <c r="F195" i="9" s="1"/>
  <c r="CE151" i="9"/>
  <c r="K244" i="9" s="1"/>
  <c r="DL150" i="9"/>
  <c r="J276" i="9" s="1"/>
  <c r="CM158" i="9"/>
  <c r="DD145" i="9"/>
  <c r="E268" i="9" s="1"/>
  <c r="CM153" i="9"/>
  <c r="M252" i="9" s="1"/>
  <c r="DE154" i="9"/>
  <c r="N269" i="9" s="1"/>
  <c r="CE145" i="9"/>
  <c r="E244" i="9" s="1"/>
  <c r="DD148" i="9"/>
  <c r="H268" i="9" s="1"/>
  <c r="CM157" i="9"/>
  <c r="CE163" i="9"/>
  <c r="W244" i="9" s="1"/>
  <c r="CF157" i="9"/>
  <c r="Q245" i="9" s="1"/>
  <c r="CF145" i="9"/>
  <c r="E245" i="9" s="1"/>
  <c r="CM162" i="9"/>
  <c r="CF151" i="9"/>
  <c r="K245" i="9" s="1"/>
  <c r="DD151" i="9"/>
  <c r="K268" i="9" s="1"/>
  <c r="CE153" i="9"/>
  <c r="M244" i="9" s="1"/>
  <c r="CD147" i="9"/>
  <c r="CF153" i="9"/>
  <c r="M245" i="9" s="1"/>
  <c r="DE151" i="9"/>
  <c r="K269" i="9" s="1"/>
  <c r="CD149" i="9"/>
  <c r="DC153" i="9"/>
  <c r="CF162" i="9"/>
  <c r="V245" i="9" s="1"/>
  <c r="DC148" i="9"/>
  <c r="CE149" i="9"/>
  <c r="I244" i="9" s="1"/>
  <c r="DD155" i="9"/>
  <c r="O268" i="9" s="1"/>
  <c r="CE160" i="9"/>
  <c r="T244" i="9" s="1"/>
  <c r="CD151" i="9"/>
  <c r="DC155" i="9"/>
  <c r="CE146" i="9"/>
  <c r="F244" i="9" s="1"/>
  <c r="DC146" i="9"/>
  <c r="CE147" i="9"/>
  <c r="G244" i="9" s="1"/>
  <c r="CE155" i="9"/>
  <c r="O244" i="9" s="1"/>
  <c r="DD153" i="9"/>
  <c r="M268" i="9" s="1"/>
  <c r="BF162" i="9"/>
  <c r="V220" i="9" s="1"/>
  <c r="T47" i="9"/>
  <c r="V47" i="9" s="1"/>
  <c r="W47" i="9"/>
  <c r="Y47" i="9" s="1"/>
  <c r="N47" i="9"/>
  <c r="Q47" i="9"/>
  <c r="L47" i="9"/>
  <c r="I152" i="9"/>
  <c r="L173" i="9" s="1"/>
  <c r="I156" i="9"/>
  <c r="P173" i="9" s="1"/>
  <c r="H153" i="9"/>
  <c r="M172" i="9" s="1"/>
  <c r="P153" i="9"/>
  <c r="G152" i="9"/>
  <c r="P162" i="9"/>
  <c r="I161" i="9"/>
  <c r="U173" i="9" s="1"/>
  <c r="I163" i="9"/>
  <c r="W173" i="9" s="1"/>
  <c r="P163" i="9"/>
  <c r="F11" i="9" l="1"/>
  <c r="E12" i="9" s="1"/>
  <c r="R11" i="9"/>
  <c r="M10" i="9"/>
  <c r="R10" i="9"/>
  <c r="S10" i="9" s="1"/>
  <c r="S11" i="9" s="1"/>
  <c r="E296" i="9"/>
  <c r="W296" i="9"/>
  <c r="P296" i="9"/>
  <c r="E295" i="9"/>
  <c r="M11" i="9"/>
  <c r="U296" i="9"/>
  <c r="M295" i="9"/>
  <c r="L295" i="9"/>
  <c r="DG13" i="9"/>
  <c r="DK12" i="9"/>
  <c r="DR158" i="9"/>
  <c r="R281" i="9"/>
  <c r="R282" i="9" s="1"/>
  <c r="DF157" i="9"/>
  <c r="DI12" i="9"/>
  <c r="DN12" i="9"/>
  <c r="DO12" i="9" s="1"/>
  <c r="DB12" i="9"/>
  <c r="DA13" i="9" s="1"/>
  <c r="S281" i="9"/>
  <c r="S282" i="9" s="1"/>
  <c r="DR159" i="9"/>
  <c r="W281" i="9"/>
  <c r="W282" i="9" s="1"/>
  <c r="DR163" i="9"/>
  <c r="CO13" i="9"/>
  <c r="CP13" i="9" s="1"/>
  <c r="CC13" i="9"/>
  <c r="CB14" i="9" s="1"/>
  <c r="CJ13" i="9"/>
  <c r="CL13" i="9"/>
  <c r="CH14" i="9"/>
  <c r="H295" i="9"/>
  <c r="R295" i="9"/>
  <c r="O296" i="9"/>
  <c r="BI14" i="9"/>
  <c r="P295" i="9"/>
  <c r="F296" i="9"/>
  <c r="BP12" i="9"/>
  <c r="BQ12" i="9" s="1"/>
  <c r="BD12" i="9"/>
  <c r="BC13" i="9" s="1"/>
  <c r="BK12" i="9"/>
  <c r="AQ12" i="9"/>
  <c r="AR12" i="9" s="1"/>
  <c r="AL12" i="9"/>
  <c r="AE12" i="9"/>
  <c r="AD13" i="9" s="1"/>
  <c r="AU161" i="9"/>
  <c r="U209" i="9" s="1"/>
  <c r="U208" i="9"/>
  <c r="L296" i="9"/>
  <c r="S296" i="9"/>
  <c r="AJ13" i="9"/>
  <c r="AN12" i="9"/>
  <c r="F267" i="9"/>
  <c r="F270" i="9" s="1"/>
  <c r="DF146" i="9"/>
  <c r="R252" i="9"/>
  <c r="O219" i="9"/>
  <c r="O222" i="9" s="1"/>
  <c r="BH155" i="9"/>
  <c r="G194" i="9"/>
  <c r="G197" i="9" s="1"/>
  <c r="AI147" i="9"/>
  <c r="U276" i="9"/>
  <c r="O180" i="9"/>
  <c r="J180" i="9"/>
  <c r="I171" i="9"/>
  <c r="J149" i="9"/>
  <c r="Q295" i="9"/>
  <c r="CO145" i="9"/>
  <c r="E254" i="9" s="1"/>
  <c r="DN145" i="9"/>
  <c r="E278" i="9" s="1"/>
  <c r="J243" i="9"/>
  <c r="J246" i="9" s="1"/>
  <c r="CG150" i="9"/>
  <c r="J267" i="9"/>
  <c r="J270" i="9" s="1"/>
  <c r="DF150" i="9"/>
  <c r="P203" i="9"/>
  <c r="T219" i="9"/>
  <c r="T222" i="9" s="1"/>
  <c r="BH160" i="9"/>
  <c r="DG145" i="9"/>
  <c r="E271" i="9" s="1"/>
  <c r="CH145" i="9"/>
  <c r="E247" i="9" s="1"/>
  <c r="V295" i="9"/>
  <c r="AI151" i="9"/>
  <c r="T296" i="9"/>
  <c r="L267" i="9"/>
  <c r="L270" i="9" s="1"/>
  <c r="DF152" i="9"/>
  <c r="P243" i="9"/>
  <c r="P246" i="9" s="1"/>
  <c r="CG156" i="9"/>
  <c r="R243" i="9"/>
  <c r="R246" i="9" s="1"/>
  <c r="CG158" i="9"/>
  <c r="P228" i="9"/>
  <c r="P219" i="9"/>
  <c r="P222" i="9" s="1"/>
  <c r="BH156" i="9"/>
  <c r="I228" i="9"/>
  <c r="S203" i="9"/>
  <c r="K203" i="9"/>
  <c r="T295" i="9"/>
  <c r="R270" i="9"/>
  <c r="N296" i="9"/>
  <c r="I296" i="9"/>
  <c r="E267" i="9"/>
  <c r="E270" i="9" s="1"/>
  <c r="DF145" i="9"/>
  <c r="W228" i="9"/>
  <c r="E228" i="9"/>
  <c r="BP145" i="9"/>
  <c r="E230" i="9" s="1"/>
  <c r="T228" i="9"/>
  <c r="W171" i="9"/>
  <c r="J163" i="9"/>
  <c r="V203" i="9"/>
  <c r="L194" i="9"/>
  <c r="L197" i="9" s="1"/>
  <c r="AI152" i="9"/>
  <c r="I194" i="9"/>
  <c r="I197" i="9" s="1"/>
  <c r="AI149" i="9"/>
  <c r="F171" i="9"/>
  <c r="J146" i="9"/>
  <c r="Q171" i="9"/>
  <c r="J157" i="9"/>
  <c r="S267" i="9"/>
  <c r="S270" i="9" s="1"/>
  <c r="DF159" i="9"/>
  <c r="U267" i="9"/>
  <c r="U270" i="9" s="1"/>
  <c r="DF161" i="9"/>
  <c r="V252" i="9"/>
  <c r="Q252" i="9"/>
  <c r="V180" i="9"/>
  <c r="H267" i="9"/>
  <c r="H270" i="9" s="1"/>
  <c r="DF148" i="9"/>
  <c r="M267" i="9"/>
  <c r="M270" i="9" s="1"/>
  <c r="DF153" i="9"/>
  <c r="G219" i="9"/>
  <c r="G222" i="9" s="1"/>
  <c r="BH147" i="9"/>
  <c r="R203" i="9"/>
  <c r="Q203" i="9"/>
  <c r="N180" i="9"/>
  <c r="M171" i="9"/>
  <c r="J153" i="9"/>
  <c r="Q270" i="9"/>
  <c r="H180" i="9"/>
  <c r="W295" i="9"/>
  <c r="J295" i="9"/>
  <c r="E171" i="9"/>
  <c r="J145" i="9"/>
  <c r="S171" i="9"/>
  <c r="J159" i="9"/>
  <c r="K267" i="9"/>
  <c r="K270" i="9" s="1"/>
  <c r="DF151" i="9"/>
  <c r="S243" i="9"/>
  <c r="S246" i="9" s="1"/>
  <c r="CG159" i="9"/>
  <c r="R296" i="9"/>
  <c r="H219" i="9"/>
  <c r="H222" i="9" s="1"/>
  <c r="BH148" i="9"/>
  <c r="S219" i="9"/>
  <c r="S222" i="9" s="1"/>
  <c r="BH159" i="9"/>
  <c r="F228" i="9"/>
  <c r="Q243" i="9"/>
  <c r="Q246" i="9" s="1"/>
  <c r="CG157" i="9"/>
  <c r="T194" i="9"/>
  <c r="T197" i="9" s="1"/>
  <c r="AI160" i="9"/>
  <c r="F203" i="9"/>
  <c r="AQ146" i="9"/>
  <c r="F205" i="9" s="1"/>
  <c r="K295" i="9"/>
  <c r="T180" i="9"/>
  <c r="K197" i="9"/>
  <c r="F180" i="9"/>
  <c r="G180" i="9"/>
  <c r="N243" i="9"/>
  <c r="N246" i="9" s="1"/>
  <c r="CG154" i="9"/>
  <c r="W252" i="9"/>
  <c r="O243" i="9"/>
  <c r="O246" i="9" s="1"/>
  <c r="CG155" i="9"/>
  <c r="S252" i="9"/>
  <c r="T252" i="9"/>
  <c r="V243" i="9"/>
  <c r="V246" i="9" s="1"/>
  <c r="CG162" i="9"/>
  <c r="N295" i="9"/>
  <c r="R228" i="9"/>
  <c r="J228" i="9"/>
  <c r="V219" i="9"/>
  <c r="V222" i="9" s="1"/>
  <c r="BH162" i="9"/>
  <c r="M194" i="9"/>
  <c r="M197" i="9" s="1"/>
  <c r="AI153" i="9"/>
  <c r="AI163" i="9"/>
  <c r="W194" i="9"/>
  <c r="W197" i="9" s="1"/>
  <c r="C299" i="9"/>
  <c r="C300" i="9" s="1"/>
  <c r="C301" i="9" s="1"/>
  <c r="C302" i="9" s="1"/>
  <c r="C303" i="9" s="1"/>
  <c r="N171" i="9"/>
  <c r="J154" i="9"/>
  <c r="T171" i="9"/>
  <c r="J160" i="9"/>
  <c r="DF156" i="9"/>
  <c r="M243" i="9"/>
  <c r="M246" i="9" s="1"/>
  <c r="CG153" i="9"/>
  <c r="H171" i="9"/>
  <c r="J148" i="9"/>
  <c r="Q219" i="9"/>
  <c r="Q222" i="9" s="1"/>
  <c r="BH157" i="9"/>
  <c r="W219" i="9"/>
  <c r="W222" i="9" s="1"/>
  <c r="BH163" i="9"/>
  <c r="K219" i="9"/>
  <c r="K222" i="9" s="1"/>
  <c r="BH151" i="9"/>
  <c r="L228" i="9"/>
  <c r="P194" i="9"/>
  <c r="P197" i="9" s="1"/>
  <c r="AI156" i="9"/>
  <c r="U194" i="9"/>
  <c r="U197" i="9" s="1"/>
  <c r="AI161" i="9"/>
  <c r="G295" i="9"/>
  <c r="K171" i="9"/>
  <c r="J151" i="9"/>
  <c r="P276" i="9"/>
  <c r="O267" i="9"/>
  <c r="O270" i="9" s="1"/>
  <c r="DF155" i="9"/>
  <c r="W180" i="9"/>
  <c r="L171" i="9"/>
  <c r="J152" i="9"/>
  <c r="K243" i="9"/>
  <c r="K246" i="9" s="1"/>
  <c r="CG151" i="9"/>
  <c r="R219" i="9"/>
  <c r="R222" i="9" s="1"/>
  <c r="BH158" i="9"/>
  <c r="U219" i="9"/>
  <c r="U222" i="9" s="1"/>
  <c r="BH161" i="9"/>
  <c r="Q228" i="9"/>
  <c r="M219" i="9"/>
  <c r="M222" i="9" s="1"/>
  <c r="BH153" i="9"/>
  <c r="O194" i="9"/>
  <c r="O197" i="9" s="1"/>
  <c r="AI155" i="9"/>
  <c r="J194" i="9"/>
  <c r="J197" i="9" s="1"/>
  <c r="AI150" i="9"/>
  <c r="Q180" i="9"/>
  <c r="P180" i="9"/>
  <c r="I295" i="9"/>
  <c r="Q276" i="9"/>
  <c r="U243" i="9"/>
  <c r="U246" i="9" s="1"/>
  <c r="CG161" i="9"/>
  <c r="F295" i="9"/>
  <c r="O171" i="9"/>
  <c r="J155" i="9"/>
  <c r="V296" i="9"/>
  <c r="K180" i="9"/>
  <c r="P171" i="9"/>
  <c r="J156" i="9"/>
  <c r="CJ145" i="9"/>
  <c r="E249" i="9" s="1"/>
  <c r="DI145" i="9"/>
  <c r="E273" i="9" s="1"/>
  <c r="W243" i="9"/>
  <c r="W246" i="9" s="1"/>
  <c r="CG163" i="9"/>
  <c r="M228" i="9"/>
  <c r="E203" i="9"/>
  <c r="AQ145" i="9"/>
  <c r="E205" i="9" s="1"/>
  <c r="H203" i="9"/>
  <c r="I203" i="9"/>
  <c r="H296" i="9"/>
  <c r="Q296" i="9"/>
  <c r="V276" i="9"/>
  <c r="U180" i="9"/>
  <c r="R171" i="9"/>
  <c r="J158" i="9"/>
  <c r="BI145" i="9"/>
  <c r="E223" i="9" s="1"/>
  <c r="BM145" i="9"/>
  <c r="E227" i="9" s="1"/>
  <c r="G267" i="9"/>
  <c r="G270" i="9" s="1"/>
  <c r="DF147" i="9"/>
  <c r="L219" i="9"/>
  <c r="L222" i="9" s="1"/>
  <c r="BH152" i="9"/>
  <c r="J219" i="9"/>
  <c r="J222" i="9" s="1"/>
  <c r="BH150" i="9"/>
  <c r="O203" i="9"/>
  <c r="E194" i="9"/>
  <c r="E197" i="9" s="1"/>
  <c r="AI145" i="9"/>
  <c r="G203" i="9"/>
  <c r="S295" i="9"/>
  <c r="U295" i="9"/>
  <c r="P270" i="9"/>
  <c r="K296" i="9"/>
  <c r="U203" i="9"/>
  <c r="U228" i="9"/>
  <c r="K228" i="9"/>
  <c r="V194" i="9"/>
  <c r="V197" i="9" s="1"/>
  <c r="AI162" i="9"/>
  <c r="W203" i="9"/>
  <c r="N203" i="9"/>
  <c r="M203" i="9"/>
  <c r="G171" i="9"/>
  <c r="J147" i="9"/>
  <c r="V267" i="9"/>
  <c r="V270" i="9" s="1"/>
  <c r="DF162" i="9"/>
  <c r="DF163" i="9"/>
  <c r="M180" i="9"/>
  <c r="I243" i="9"/>
  <c r="I246" i="9" s="1"/>
  <c r="CG149" i="9"/>
  <c r="G243" i="9"/>
  <c r="G246" i="9" s="1"/>
  <c r="CG147" i="9"/>
  <c r="N194" i="9"/>
  <c r="N197" i="9" s="1"/>
  <c r="AI154" i="9"/>
  <c r="T203" i="9"/>
  <c r="T276" i="9"/>
  <c r="R276" i="9"/>
  <c r="S276" i="9"/>
  <c r="J171" i="9"/>
  <c r="J150" i="9"/>
  <c r="R180" i="9"/>
  <c r="J162" i="9"/>
  <c r="V171" i="9"/>
  <c r="J296" i="9"/>
  <c r="L180" i="9"/>
  <c r="S180" i="9"/>
  <c r="CC145" i="9"/>
  <c r="E242" i="9" s="1"/>
  <c r="DB145" i="9"/>
  <c r="P252" i="9"/>
  <c r="U252" i="9"/>
  <c r="I267" i="9"/>
  <c r="I270" i="9" s="1"/>
  <c r="DF149" i="9"/>
  <c r="E243" i="9"/>
  <c r="E246" i="9" s="1"/>
  <c r="CG145" i="9"/>
  <c r="O228" i="9"/>
  <c r="E219" i="9"/>
  <c r="E222" i="9" s="1"/>
  <c r="BH145" i="9"/>
  <c r="H228" i="9"/>
  <c r="J203" i="9"/>
  <c r="H194" i="9"/>
  <c r="H197" i="9" s="1"/>
  <c r="AI148" i="9"/>
  <c r="M296" i="9"/>
  <c r="W276" i="9"/>
  <c r="E198" i="9"/>
  <c r="AN145" i="9"/>
  <c r="E202" i="9" s="1"/>
  <c r="O295" i="9"/>
  <c r="N267" i="9"/>
  <c r="N270" i="9" s="1"/>
  <c r="DF154" i="9"/>
  <c r="T243" i="9"/>
  <c r="T246" i="9" s="1"/>
  <c r="CG160" i="9"/>
  <c r="L243" i="9"/>
  <c r="L246" i="9" s="1"/>
  <c r="CG152" i="9"/>
  <c r="H243" i="9"/>
  <c r="H246" i="9" s="1"/>
  <c r="CG148" i="9"/>
  <c r="F243" i="9"/>
  <c r="F246" i="9" s="1"/>
  <c r="CG146" i="9"/>
  <c r="I219" i="9"/>
  <c r="I222" i="9" s="1"/>
  <c r="BH149" i="9"/>
  <c r="N228" i="9"/>
  <c r="G228" i="9"/>
  <c r="F194" i="9"/>
  <c r="F197" i="9" s="1"/>
  <c r="AI146" i="9"/>
  <c r="L203" i="9"/>
  <c r="S194" i="9"/>
  <c r="S197" i="9" s="1"/>
  <c r="AI159" i="9"/>
  <c r="R194" i="9"/>
  <c r="R197" i="9" s="1"/>
  <c r="AI158" i="9"/>
  <c r="U171" i="9"/>
  <c r="J161" i="9"/>
  <c r="DF158" i="9"/>
  <c r="Q194" i="9"/>
  <c r="Q197" i="9" s="1"/>
  <c r="AI157" i="9"/>
  <c r="I180" i="9"/>
  <c r="G296" i="9"/>
  <c r="M12" i="9"/>
  <c r="F219" i="9"/>
  <c r="F222" i="9" s="1"/>
  <c r="BH146" i="9"/>
  <c r="N219" i="9"/>
  <c r="N222" i="9" s="1"/>
  <c r="BH154" i="9"/>
  <c r="E180" i="9"/>
  <c r="R145" i="9"/>
  <c r="E182" i="9" s="1"/>
  <c r="T267" i="9"/>
  <c r="T270" i="9" s="1"/>
  <c r="DF160" i="9"/>
  <c r="W270" i="9"/>
  <c r="F12" i="9" l="1"/>
  <c r="R12" i="9"/>
  <c r="S12" i="9" s="1"/>
  <c r="S145" i="9" s="1"/>
  <c r="E183" i="9" s="1"/>
  <c r="E294" i="9"/>
  <c r="E297" i="9" s="1"/>
  <c r="M145" i="9"/>
  <c r="E177" i="9" s="1"/>
  <c r="DG14" i="9"/>
  <c r="DK13" i="9"/>
  <c r="DN13" i="9"/>
  <c r="DO13" i="9" s="1"/>
  <c r="DB13" i="9"/>
  <c r="DA14" i="9" s="1"/>
  <c r="DI13" i="9"/>
  <c r="CO14" i="9"/>
  <c r="CP14" i="9" s="1"/>
  <c r="CJ14" i="9"/>
  <c r="CC14" i="9"/>
  <c r="CB15" i="9" s="1"/>
  <c r="CH15" i="9"/>
  <c r="CL14" i="9"/>
  <c r="BP13" i="9"/>
  <c r="BQ13" i="9" s="1"/>
  <c r="BD13" i="9"/>
  <c r="BK13" i="9"/>
  <c r="BI15" i="9"/>
  <c r="AR145" i="9"/>
  <c r="E206" i="9" s="1"/>
  <c r="AE145" i="9"/>
  <c r="E193" i="9" s="1"/>
  <c r="AQ13" i="9"/>
  <c r="AR13" i="9" s="1"/>
  <c r="AL13" i="9"/>
  <c r="AE13" i="9"/>
  <c r="AD14" i="9" s="1"/>
  <c r="AN13" i="9"/>
  <c r="AJ14" i="9"/>
  <c r="BQ145" i="9"/>
  <c r="E231" i="9" s="1"/>
  <c r="G174" i="9"/>
  <c r="G294" i="9"/>
  <c r="G297" i="9" s="1"/>
  <c r="F174" i="9"/>
  <c r="F294" i="9"/>
  <c r="F297" i="9" s="1"/>
  <c r="W174" i="9"/>
  <c r="W294" i="9"/>
  <c r="W297" i="9" s="1"/>
  <c r="E266" i="9"/>
  <c r="J174" i="9"/>
  <c r="J294" i="9"/>
  <c r="J297" i="9" s="1"/>
  <c r="F145" i="9"/>
  <c r="E170" i="9" s="1"/>
  <c r="E13" i="9"/>
  <c r="R13" i="9" s="1"/>
  <c r="CB146" i="9"/>
  <c r="F241" i="9" s="1"/>
  <c r="DA146" i="9"/>
  <c r="F265" i="9" s="1"/>
  <c r="V174" i="9"/>
  <c r="V294" i="9"/>
  <c r="V297" i="9" s="1"/>
  <c r="L174" i="9"/>
  <c r="L294" i="9"/>
  <c r="L297" i="9" s="1"/>
  <c r="K174" i="9"/>
  <c r="K294" i="9"/>
  <c r="K297" i="9" s="1"/>
  <c r="H174" i="9"/>
  <c r="H294" i="9"/>
  <c r="H297" i="9" s="1"/>
  <c r="K145" i="9"/>
  <c r="O145" i="9" s="1"/>
  <c r="O13" i="9"/>
  <c r="T174" i="9"/>
  <c r="T294" i="9"/>
  <c r="T297" i="9" s="1"/>
  <c r="N174" i="9"/>
  <c r="N294" i="9"/>
  <c r="N297" i="9" s="1"/>
  <c r="S174" i="9"/>
  <c r="S294" i="9"/>
  <c r="S297" i="9" s="1"/>
  <c r="R174" i="9"/>
  <c r="R294" i="9"/>
  <c r="R297" i="9" s="1"/>
  <c r="P174" i="9"/>
  <c r="P294" i="9"/>
  <c r="P297" i="9" s="1"/>
  <c r="W303" i="9"/>
  <c r="S303" i="9"/>
  <c r="O303" i="9"/>
  <c r="K303" i="9"/>
  <c r="G303" i="9"/>
  <c r="V303" i="9"/>
  <c r="R303" i="9"/>
  <c r="N303" i="9"/>
  <c r="J303" i="9"/>
  <c r="F303" i="9"/>
  <c r="U303" i="9"/>
  <c r="Q303" i="9"/>
  <c r="M303" i="9"/>
  <c r="I303" i="9"/>
  <c r="E303" i="9"/>
  <c r="E307" i="9" s="1"/>
  <c r="C304" i="9"/>
  <c r="C305" i="9" s="1"/>
  <c r="T303" i="9"/>
  <c r="P303" i="9"/>
  <c r="L303" i="9"/>
  <c r="H303" i="9"/>
  <c r="M174" i="9"/>
  <c r="M294" i="9"/>
  <c r="M297" i="9" s="1"/>
  <c r="Q174" i="9"/>
  <c r="Q294" i="9"/>
  <c r="Q297" i="9" s="1"/>
  <c r="I174" i="9"/>
  <c r="I294" i="9"/>
  <c r="I297" i="9" s="1"/>
  <c r="U174" i="9"/>
  <c r="U294" i="9"/>
  <c r="U297" i="9" s="1"/>
  <c r="O174" i="9"/>
  <c r="O294" i="9"/>
  <c r="O297" i="9" s="1"/>
  <c r="DO145" i="9"/>
  <c r="E279" i="9" s="1"/>
  <c r="CP145" i="9"/>
  <c r="E255" i="9" s="1"/>
  <c r="E174" i="9"/>
  <c r="DK145" i="9"/>
  <c r="E275" i="9" s="1"/>
  <c r="CL145" i="9"/>
  <c r="E251" i="9" s="1"/>
  <c r="E300" i="9" l="1"/>
  <c r="E328" i="9" s="1"/>
  <c r="BC14" i="9"/>
  <c r="BD145" i="9"/>
  <c r="E218" i="9" s="1"/>
  <c r="E293" i="9"/>
  <c r="DK14" i="9"/>
  <c r="DG15" i="9"/>
  <c r="DN14" i="9"/>
  <c r="DO14" i="9" s="1"/>
  <c r="DB14" i="9"/>
  <c r="DA15" i="9" s="1"/>
  <c r="DI14" i="9"/>
  <c r="CO15" i="9"/>
  <c r="CP15" i="9" s="1"/>
  <c r="CC15" i="9"/>
  <c r="CB16" i="9" s="1"/>
  <c r="CJ15" i="9"/>
  <c r="CL15" i="9"/>
  <c r="CH16" i="9"/>
  <c r="BK14" i="9"/>
  <c r="BD14" i="9"/>
  <c r="BC15" i="9" s="1"/>
  <c r="BP14" i="9"/>
  <c r="BQ14" i="9" s="1"/>
  <c r="BI16" i="9"/>
  <c r="BM16" i="9" s="1"/>
  <c r="AJ15" i="9"/>
  <c r="AQ14" i="9"/>
  <c r="AR14" i="9" s="1"/>
  <c r="AE14" i="9"/>
  <c r="AD15" i="9" s="1"/>
  <c r="AL14" i="9"/>
  <c r="E175" i="9"/>
  <c r="E298" i="9" s="1"/>
  <c r="E179" i="9"/>
  <c r="BC146" i="9"/>
  <c r="E305" i="9"/>
  <c r="E330" i="9" s="1"/>
  <c r="C306" i="9"/>
  <c r="C307" i="9" s="1"/>
  <c r="O14" i="9"/>
  <c r="E146" i="9"/>
  <c r="M146" i="9" s="1"/>
  <c r="F13" i="9"/>
  <c r="E14" i="9" s="1"/>
  <c r="R14" i="9" s="1"/>
  <c r="S13" i="9"/>
  <c r="M13" i="9"/>
  <c r="DG16" i="9" l="1"/>
  <c r="DK15" i="9"/>
  <c r="DN15" i="9"/>
  <c r="DO15" i="9" s="1"/>
  <c r="DB15" i="9"/>
  <c r="DA16" i="9" s="1"/>
  <c r="DI15" i="9"/>
  <c r="CO16" i="9"/>
  <c r="CP16" i="9" s="1"/>
  <c r="CJ16" i="9"/>
  <c r="CC16" i="9"/>
  <c r="CB17" i="9" s="1"/>
  <c r="CL16" i="9"/>
  <c r="CH17" i="9"/>
  <c r="BP15" i="9"/>
  <c r="BQ15" i="9" s="1"/>
  <c r="BD15" i="9"/>
  <c r="BC16" i="9" s="1"/>
  <c r="BK15" i="9"/>
  <c r="BI17" i="9"/>
  <c r="BM17" i="9" s="1"/>
  <c r="AJ16" i="9"/>
  <c r="AQ15" i="9"/>
  <c r="AR15" i="9" s="1"/>
  <c r="AL15" i="9"/>
  <c r="AE15" i="9"/>
  <c r="AD16" i="9" s="1"/>
  <c r="S14" i="9"/>
  <c r="F14" i="9"/>
  <c r="E15" i="9" s="1"/>
  <c r="M14" i="9"/>
  <c r="E334" i="9"/>
  <c r="E302" i="9"/>
  <c r="E329" i="9" s="1"/>
  <c r="F169" i="9"/>
  <c r="R146" i="9"/>
  <c r="F182" i="9" s="1"/>
  <c r="F177" i="9"/>
  <c r="O15" i="9"/>
  <c r="C308" i="9"/>
  <c r="C309" i="9" s="1"/>
  <c r="E331" i="9"/>
  <c r="F217" i="9"/>
  <c r="BP146" i="9"/>
  <c r="F230" i="9" s="1"/>
  <c r="F292" i="9" l="1"/>
  <c r="F300" i="9" s="1"/>
  <c r="F328" i="9" s="1"/>
  <c r="DK16" i="9"/>
  <c r="DG17" i="9"/>
  <c r="DN16" i="9"/>
  <c r="DO16" i="9" s="1"/>
  <c r="DB16" i="9"/>
  <c r="DA17" i="9" s="1"/>
  <c r="DI16" i="9"/>
  <c r="CH18" i="9"/>
  <c r="CL17" i="9"/>
  <c r="CO17" i="9"/>
  <c r="CP17" i="9" s="1"/>
  <c r="CC17" i="9"/>
  <c r="CB18" i="9" s="1"/>
  <c r="CJ17" i="9"/>
  <c r="BP16" i="9"/>
  <c r="BQ16" i="9" s="1"/>
  <c r="BD16" i="9"/>
  <c r="BC17" i="9" s="1"/>
  <c r="BK16" i="9"/>
  <c r="BI18" i="9"/>
  <c r="BM18" i="9" s="1"/>
  <c r="AN16" i="9"/>
  <c r="AJ17" i="9"/>
  <c r="AQ16" i="9"/>
  <c r="AR16" i="9" s="1"/>
  <c r="AL16" i="9"/>
  <c r="AE16" i="9"/>
  <c r="AD17" i="9" s="1"/>
  <c r="R15" i="9"/>
  <c r="S15" i="9" s="1"/>
  <c r="M15" i="9"/>
  <c r="F15" i="9"/>
  <c r="E16" i="9" s="1"/>
  <c r="C310" i="9"/>
  <c r="C311" i="9" s="1"/>
  <c r="C312" i="9" s="1"/>
  <c r="K16" i="9"/>
  <c r="O16" i="9" s="1"/>
  <c r="F307" i="9" l="1"/>
  <c r="F331" i="9" s="1"/>
  <c r="DK17" i="9"/>
  <c r="DG18" i="9"/>
  <c r="DI17" i="9"/>
  <c r="DN17" i="9"/>
  <c r="DO17" i="9" s="1"/>
  <c r="DB17" i="9"/>
  <c r="DA18" i="9" s="1"/>
  <c r="CH19" i="9"/>
  <c r="CL18" i="9"/>
  <c r="CO18" i="9"/>
  <c r="CP18" i="9" s="1"/>
  <c r="CJ18" i="9"/>
  <c r="CC18" i="9"/>
  <c r="CB19" i="9" s="1"/>
  <c r="BP17" i="9"/>
  <c r="BQ17" i="9" s="1"/>
  <c r="BD17" i="9"/>
  <c r="BC18" i="9" s="1"/>
  <c r="BK17" i="9"/>
  <c r="BI19" i="9"/>
  <c r="BM19" i="9" s="1"/>
  <c r="AJ18" i="9"/>
  <c r="AN17" i="9"/>
  <c r="AQ17" i="9"/>
  <c r="AR17" i="9" s="1"/>
  <c r="AE17" i="9"/>
  <c r="AD18" i="9" s="1"/>
  <c r="AL17" i="9"/>
  <c r="P332" i="9"/>
  <c r="P310" i="9"/>
  <c r="R332" i="9"/>
  <c r="R310" i="9"/>
  <c r="O332" i="9"/>
  <c r="O310" i="9"/>
  <c r="L332" i="9"/>
  <c r="L310" i="9"/>
  <c r="E332" i="9"/>
  <c r="U332" i="9"/>
  <c r="U310" i="9"/>
  <c r="V332" i="9"/>
  <c r="V310" i="9"/>
  <c r="S332" i="9"/>
  <c r="S310" i="9"/>
  <c r="J332" i="9"/>
  <c r="J310" i="9"/>
  <c r="G332" i="9"/>
  <c r="G310" i="9"/>
  <c r="W332" i="9"/>
  <c r="W310" i="9"/>
  <c r="T332" i="9"/>
  <c r="T310" i="9"/>
  <c r="M332" i="9"/>
  <c r="M310" i="9"/>
  <c r="R16" i="9"/>
  <c r="S16" i="9" s="1"/>
  <c r="F16" i="9"/>
  <c r="E17" i="9" s="1"/>
  <c r="M16" i="9"/>
  <c r="F332" i="9"/>
  <c r="I332" i="9"/>
  <c r="I310" i="9"/>
  <c r="K17" i="9"/>
  <c r="N332" i="9"/>
  <c r="N310" i="9"/>
  <c r="K332" i="9"/>
  <c r="K310" i="9"/>
  <c r="H332" i="9"/>
  <c r="H310" i="9"/>
  <c r="C313" i="9"/>
  <c r="Q332" i="9"/>
  <c r="Q310" i="9"/>
  <c r="DK18" i="9" l="1"/>
  <c r="DG19" i="9"/>
  <c r="DN18" i="9"/>
  <c r="DO18" i="9" s="1"/>
  <c r="DB18" i="9"/>
  <c r="DA19" i="9" s="1"/>
  <c r="DI18" i="9"/>
  <c r="CO19" i="9"/>
  <c r="CP19" i="9" s="1"/>
  <c r="CC19" i="9"/>
  <c r="CB20" i="9" s="1"/>
  <c r="CJ19" i="9"/>
  <c r="CL19" i="9"/>
  <c r="CH20" i="9"/>
  <c r="BK18" i="9"/>
  <c r="BP18" i="9"/>
  <c r="BQ18" i="9" s="1"/>
  <c r="BD18" i="9"/>
  <c r="BC19" i="9" s="1"/>
  <c r="BI20" i="9"/>
  <c r="BM20" i="9" s="1"/>
  <c r="AJ19" i="9"/>
  <c r="AN18" i="9"/>
  <c r="AQ18" i="9"/>
  <c r="AR18" i="9" s="1"/>
  <c r="AE18" i="9"/>
  <c r="AD19" i="9" s="1"/>
  <c r="AL18" i="9"/>
  <c r="V333" i="9"/>
  <c r="V313" i="9"/>
  <c r="S333" i="9"/>
  <c r="S313" i="9"/>
  <c r="I333" i="9"/>
  <c r="I313" i="9"/>
  <c r="J333" i="9"/>
  <c r="J313" i="9"/>
  <c r="G333" i="9"/>
  <c r="G313" i="9"/>
  <c r="W333" i="9"/>
  <c r="W313" i="9"/>
  <c r="T333" i="9"/>
  <c r="T313" i="9"/>
  <c r="M333" i="9"/>
  <c r="M313" i="9"/>
  <c r="AJ146" i="9"/>
  <c r="K333" i="9"/>
  <c r="K313" i="9"/>
  <c r="C317" i="9"/>
  <c r="C318" i="9"/>
  <c r="C319" i="9" s="1"/>
  <c r="C320" i="9" s="1"/>
  <c r="C321" i="9" s="1"/>
  <c r="C322" i="9" s="1"/>
  <c r="C323" i="9" s="1"/>
  <c r="C327" i="9" s="1"/>
  <c r="K18" i="9"/>
  <c r="N333" i="9"/>
  <c r="N313" i="9"/>
  <c r="H333" i="9"/>
  <c r="H313" i="9"/>
  <c r="Q333" i="9"/>
  <c r="Q313" i="9"/>
  <c r="R333" i="9"/>
  <c r="R313" i="9"/>
  <c r="O333" i="9"/>
  <c r="O313" i="9"/>
  <c r="L333" i="9"/>
  <c r="L313" i="9"/>
  <c r="E333" i="9"/>
  <c r="U333" i="9"/>
  <c r="U313" i="9"/>
  <c r="R17" i="9"/>
  <c r="S17" i="9" s="1"/>
  <c r="M17" i="9"/>
  <c r="F17" i="9"/>
  <c r="E18" i="9" s="1"/>
  <c r="F18" i="9" s="1"/>
  <c r="F333" i="9"/>
  <c r="P333" i="9"/>
  <c r="P313" i="9"/>
  <c r="DK19" i="9" l="1"/>
  <c r="DG20" i="9"/>
  <c r="DN19" i="9"/>
  <c r="DO19" i="9" s="1"/>
  <c r="DB19" i="9"/>
  <c r="DA20" i="9" s="1"/>
  <c r="DI19" i="9"/>
  <c r="CO20" i="9"/>
  <c r="CP20" i="9" s="1"/>
  <c r="CJ20" i="9"/>
  <c r="CC20" i="9"/>
  <c r="CB21" i="9" s="1"/>
  <c r="CL20" i="9"/>
  <c r="CH21" i="9"/>
  <c r="BP19" i="9"/>
  <c r="BQ19" i="9" s="1"/>
  <c r="BD19" i="9"/>
  <c r="BC20" i="9" s="1"/>
  <c r="BK19" i="9"/>
  <c r="BI21" i="9"/>
  <c r="BM21" i="9" s="1"/>
  <c r="AN19" i="9"/>
  <c r="AJ20" i="9"/>
  <c r="AQ19" i="9"/>
  <c r="AR19" i="9" s="1"/>
  <c r="AL19" i="9"/>
  <c r="AE19" i="9"/>
  <c r="AD20" i="9" s="1"/>
  <c r="C328" i="9"/>
  <c r="C329" i="9" s="1"/>
  <c r="C330" i="9" s="1"/>
  <c r="C331" i="9" s="1"/>
  <c r="C332" i="9" s="1"/>
  <c r="C333" i="9" s="1"/>
  <c r="E327" i="9"/>
  <c r="E344" i="9" s="1"/>
  <c r="C12" i="5" s="1"/>
  <c r="F198" i="9"/>
  <c r="AN146" i="9"/>
  <c r="F202" i="9" s="1"/>
  <c r="DG146" i="9"/>
  <c r="F271" i="9" s="1"/>
  <c r="CH146" i="9"/>
  <c r="F247" i="9" s="1"/>
  <c r="F317" i="9"/>
  <c r="F343" i="9" s="1"/>
  <c r="D11" i="5" s="1"/>
  <c r="E317" i="9"/>
  <c r="E343" i="9" s="1"/>
  <c r="C11" i="5" s="1"/>
  <c r="BI146" i="9"/>
  <c r="F223" i="9" s="1"/>
  <c r="K19" i="9"/>
  <c r="O19" i="9" s="1"/>
  <c r="BM146" i="9"/>
  <c r="F227" i="9" s="1"/>
  <c r="R18" i="9"/>
  <c r="S18" i="9" s="1"/>
  <c r="E19" i="9"/>
  <c r="F19" i="9" s="1"/>
  <c r="M18" i="9"/>
  <c r="DK20" i="9" l="1"/>
  <c r="DG21" i="9"/>
  <c r="DN20" i="9"/>
  <c r="DO20" i="9" s="1"/>
  <c r="DB20" i="9"/>
  <c r="DA21" i="9" s="1"/>
  <c r="DI20" i="9"/>
  <c r="CO21" i="9"/>
  <c r="CP21" i="9" s="1"/>
  <c r="CC21" i="9"/>
  <c r="CB22" i="9" s="1"/>
  <c r="CJ21" i="9"/>
  <c r="CH22" i="9"/>
  <c r="CL21" i="9"/>
  <c r="BP20" i="9"/>
  <c r="BQ20" i="9" s="1"/>
  <c r="BK20" i="9"/>
  <c r="BD20" i="9"/>
  <c r="BC21" i="9" s="1"/>
  <c r="BI22" i="9"/>
  <c r="BM22" i="9" s="1"/>
  <c r="AJ21" i="9"/>
  <c r="AN20" i="9"/>
  <c r="AQ20" i="9"/>
  <c r="AR20" i="9" s="1"/>
  <c r="AE20" i="9"/>
  <c r="AD21" i="9" s="1"/>
  <c r="AL20" i="9"/>
  <c r="DO146" i="9"/>
  <c r="F279" i="9" s="1"/>
  <c r="CP146" i="9"/>
  <c r="F255" i="9" s="1"/>
  <c r="CC146" i="9"/>
  <c r="F242" i="9" s="1"/>
  <c r="DB146" i="9"/>
  <c r="DK146" i="9"/>
  <c r="F275" i="9" s="1"/>
  <c r="CL146" i="9"/>
  <c r="F251" i="9" s="1"/>
  <c r="K146" i="9"/>
  <c r="O146" i="9" s="1"/>
  <c r="K20" i="9"/>
  <c r="AE146" i="9"/>
  <c r="F193" i="9" s="1"/>
  <c r="R19" i="9"/>
  <c r="S19" i="9" s="1"/>
  <c r="M19" i="9"/>
  <c r="AR146" i="9"/>
  <c r="F206" i="9" s="1"/>
  <c r="DK21" i="9" l="1"/>
  <c r="DG22" i="9"/>
  <c r="DI21" i="9"/>
  <c r="DN21" i="9"/>
  <c r="DO21" i="9" s="1"/>
  <c r="DB21" i="9"/>
  <c r="DA22" i="9" s="1"/>
  <c r="CO22" i="9"/>
  <c r="CP22" i="9" s="1"/>
  <c r="CC22" i="9"/>
  <c r="CB23" i="9" s="1"/>
  <c r="CJ22" i="9"/>
  <c r="CL22" i="9"/>
  <c r="CH23" i="9"/>
  <c r="BI23" i="9"/>
  <c r="BM23" i="9" s="1"/>
  <c r="BP21" i="9"/>
  <c r="BQ21" i="9" s="1"/>
  <c r="BD21" i="9"/>
  <c r="BC22" i="9" s="1"/>
  <c r="BK21" i="9"/>
  <c r="AJ22" i="9"/>
  <c r="AN21" i="9"/>
  <c r="AQ21" i="9"/>
  <c r="AR21" i="9" s="1"/>
  <c r="AE21" i="9"/>
  <c r="AD22" i="9" s="1"/>
  <c r="AL21" i="9"/>
  <c r="S146" i="9"/>
  <c r="F183" i="9" s="1"/>
  <c r="BQ146" i="9"/>
  <c r="F231" i="9" s="1"/>
  <c r="F266" i="9"/>
  <c r="F146" i="9"/>
  <c r="F170" i="9" s="1"/>
  <c r="E20" i="9"/>
  <c r="BD146" i="9"/>
  <c r="F218" i="9" s="1"/>
  <c r="O20" i="9"/>
  <c r="K21" i="9"/>
  <c r="AD147" i="9"/>
  <c r="F175" i="9"/>
  <c r="F298" i="9" s="1"/>
  <c r="F179" i="9"/>
  <c r="DA147" i="9"/>
  <c r="G265" i="9" s="1"/>
  <c r="CB147" i="9"/>
  <c r="G241" i="9" s="1"/>
  <c r="DG23" i="9" l="1"/>
  <c r="DK22" i="9"/>
  <c r="DN22" i="9"/>
  <c r="DO22" i="9" s="1"/>
  <c r="DB22" i="9"/>
  <c r="DA23" i="9" s="1"/>
  <c r="DI22" i="9"/>
  <c r="CJ23" i="9"/>
  <c r="CO23" i="9"/>
  <c r="CP23" i="9" s="1"/>
  <c r="CC23" i="9"/>
  <c r="CB24" i="9" s="1"/>
  <c r="CL23" i="9"/>
  <c r="CH24" i="9"/>
  <c r="BI24" i="9"/>
  <c r="BM24" i="9" s="1"/>
  <c r="BP22" i="9"/>
  <c r="BQ22" i="9" s="1"/>
  <c r="BD22" i="9"/>
  <c r="BC23" i="9" s="1"/>
  <c r="BK22" i="9"/>
  <c r="AN22" i="9"/>
  <c r="AJ23" i="9"/>
  <c r="AQ22" i="9"/>
  <c r="AR22" i="9" s="1"/>
  <c r="AL22" i="9"/>
  <c r="AE22" i="9"/>
  <c r="AD23" i="9" s="1"/>
  <c r="K22" i="9"/>
  <c r="O21" i="9"/>
  <c r="BC147" i="9"/>
  <c r="F334" i="9"/>
  <c r="F302" i="9"/>
  <c r="F329" i="9" s="1"/>
  <c r="G192" i="9"/>
  <c r="AQ147" i="9"/>
  <c r="G205" i="9" s="1"/>
  <c r="E147" i="9"/>
  <c r="M147" i="9" s="1"/>
  <c r="R20" i="9"/>
  <c r="S20" i="9" s="1"/>
  <c r="F20" i="9"/>
  <c r="E21" i="9" s="1"/>
  <c r="M20" i="9"/>
  <c r="F293" i="9"/>
  <c r="F327" i="9"/>
  <c r="DK23" i="9" l="1"/>
  <c r="DG24" i="9"/>
  <c r="DI23" i="9"/>
  <c r="DN23" i="9"/>
  <c r="DO23" i="9" s="1"/>
  <c r="DB23" i="9"/>
  <c r="DA24" i="9" s="1"/>
  <c r="CO24" i="9"/>
  <c r="CP24" i="9" s="1"/>
  <c r="CC24" i="9"/>
  <c r="CB25" i="9" s="1"/>
  <c r="CJ24" i="9"/>
  <c r="CL24" i="9"/>
  <c r="CH25" i="9"/>
  <c r="BI25" i="9"/>
  <c r="BM25" i="9" s="1"/>
  <c r="BP23" i="9"/>
  <c r="BQ23" i="9" s="1"/>
  <c r="BD23" i="9"/>
  <c r="BC24" i="9" s="1"/>
  <c r="BK23" i="9"/>
  <c r="AQ23" i="9"/>
  <c r="AR23" i="9" s="1"/>
  <c r="AE23" i="9"/>
  <c r="AD24" i="9" s="1"/>
  <c r="AL23" i="9"/>
  <c r="AJ24" i="9"/>
  <c r="AN23" i="9"/>
  <c r="F21" i="9"/>
  <c r="E22" i="9" s="1"/>
  <c r="M21" i="9"/>
  <c r="R21" i="9"/>
  <c r="S21" i="9" s="1"/>
  <c r="K23" i="9"/>
  <c r="G169" i="9"/>
  <c r="R147" i="9"/>
  <c r="G182" i="9" s="1"/>
  <c r="G177" i="9"/>
  <c r="G217" i="9"/>
  <c r="BP147" i="9"/>
  <c r="G230" i="9" s="1"/>
  <c r="DG25" i="9" l="1"/>
  <c r="DK24" i="9"/>
  <c r="DN24" i="9"/>
  <c r="DO24" i="9" s="1"/>
  <c r="DB24" i="9"/>
  <c r="DA25" i="9" s="1"/>
  <c r="DI24" i="9"/>
  <c r="CO25" i="9"/>
  <c r="CP25" i="9" s="1"/>
  <c r="CJ25" i="9"/>
  <c r="CC25" i="9"/>
  <c r="CB26" i="9" s="1"/>
  <c r="CH26" i="9"/>
  <c r="CL25" i="9"/>
  <c r="BI26" i="9"/>
  <c r="BM26" i="9" s="1"/>
  <c r="BP24" i="9"/>
  <c r="BQ24" i="9" s="1"/>
  <c r="BD24" i="9"/>
  <c r="BC25" i="9" s="1"/>
  <c r="BK24" i="9"/>
  <c r="AQ24" i="9"/>
  <c r="AR24" i="9" s="1"/>
  <c r="AL24" i="9"/>
  <c r="AE24" i="9"/>
  <c r="AD25" i="9" s="1"/>
  <c r="AJ25" i="9"/>
  <c r="AN24" i="9"/>
  <c r="G292" i="9"/>
  <c r="G307" i="9" s="1"/>
  <c r="G317" i="9"/>
  <c r="G343" i="9" s="1"/>
  <c r="E11" i="5" s="1"/>
  <c r="R22" i="9"/>
  <c r="S22" i="9" s="1"/>
  <c r="F22" i="9"/>
  <c r="E23" i="9" s="1"/>
  <c r="M22" i="9"/>
  <c r="O23" i="9"/>
  <c r="K24" i="9"/>
  <c r="DG26" i="9" l="1"/>
  <c r="DK25" i="9"/>
  <c r="DN25" i="9"/>
  <c r="DO25" i="9" s="1"/>
  <c r="DB25" i="9"/>
  <c r="DA26" i="9" s="1"/>
  <c r="DI25" i="9"/>
  <c r="CL26" i="9"/>
  <c r="CH27" i="9"/>
  <c r="CO26" i="9"/>
  <c r="CP26" i="9" s="1"/>
  <c r="CC26" i="9"/>
  <c r="CB27" i="9" s="1"/>
  <c r="CJ26" i="9"/>
  <c r="BI27" i="9"/>
  <c r="BM27" i="9" s="1"/>
  <c r="BD25" i="9"/>
  <c r="BC26" i="9" s="1"/>
  <c r="BK25" i="9"/>
  <c r="BP25" i="9"/>
  <c r="BQ25" i="9" s="1"/>
  <c r="AE25" i="9"/>
  <c r="AD26" i="9" s="1"/>
  <c r="AL25" i="9"/>
  <c r="AQ25" i="9"/>
  <c r="AR25" i="9" s="1"/>
  <c r="AN25" i="9"/>
  <c r="AJ26" i="9"/>
  <c r="G300" i="9"/>
  <c r="G328" i="9" s="1"/>
  <c r="G331" i="9"/>
  <c r="AJ147" i="9"/>
  <c r="M23" i="9"/>
  <c r="F23" i="9"/>
  <c r="E24" i="9" s="1"/>
  <c r="R23" i="9"/>
  <c r="S23" i="9" s="1"/>
  <c r="K25" i="9"/>
  <c r="O24" i="9"/>
  <c r="DK26" i="9" l="1"/>
  <c r="DG27" i="9"/>
  <c r="DN26" i="9"/>
  <c r="DO26" i="9" s="1"/>
  <c r="DB26" i="9"/>
  <c r="DA27" i="9" s="1"/>
  <c r="DI26" i="9"/>
  <c r="CO27" i="9"/>
  <c r="CP27" i="9" s="1"/>
  <c r="CC27" i="9"/>
  <c r="CB28" i="9" s="1"/>
  <c r="CJ27" i="9"/>
  <c r="CH28" i="9"/>
  <c r="CL27" i="9"/>
  <c r="BP26" i="9"/>
  <c r="BQ26" i="9" s="1"/>
  <c r="BD26" i="9"/>
  <c r="BC27" i="9" s="1"/>
  <c r="BC148" i="9" s="1"/>
  <c r="BK26" i="9"/>
  <c r="BI28" i="9"/>
  <c r="BM28" i="9" s="1"/>
  <c r="AN26" i="9"/>
  <c r="AJ27" i="9"/>
  <c r="AE26" i="9"/>
  <c r="AD27" i="9" s="1"/>
  <c r="AQ26" i="9"/>
  <c r="AR26" i="9" s="1"/>
  <c r="AL26" i="9"/>
  <c r="R24" i="9"/>
  <c r="S24" i="9" s="1"/>
  <c r="F24" i="9"/>
  <c r="E25" i="9" s="1"/>
  <c r="M24" i="9"/>
  <c r="G198" i="9"/>
  <c r="AN147" i="9"/>
  <c r="G202" i="9" s="1"/>
  <c r="BI147" i="9"/>
  <c r="G223" i="9" s="1"/>
  <c r="CH147" i="9"/>
  <c r="G247" i="9" s="1"/>
  <c r="DG147" i="9"/>
  <c r="G271" i="9" s="1"/>
  <c r="O25" i="9"/>
  <c r="K26" i="9"/>
  <c r="H217" i="9" l="1"/>
  <c r="BP148" i="9"/>
  <c r="H230" i="9" s="1"/>
  <c r="DG28" i="9"/>
  <c r="DK27" i="9"/>
  <c r="DN27" i="9"/>
  <c r="DO27" i="9" s="1"/>
  <c r="DI27" i="9"/>
  <c r="DB27" i="9"/>
  <c r="DA28" i="9" s="1"/>
  <c r="CP28" i="9"/>
  <c r="CL28" i="9"/>
  <c r="CH29" i="9"/>
  <c r="CO28" i="9"/>
  <c r="CC28" i="9"/>
  <c r="CB29" i="9" s="1"/>
  <c r="CJ28" i="9"/>
  <c r="BP27" i="9"/>
  <c r="BQ27" i="9" s="1"/>
  <c r="BD27" i="9"/>
  <c r="BC28" i="9" s="1"/>
  <c r="BK27" i="9"/>
  <c r="BI29" i="9"/>
  <c r="BM29" i="9" s="1"/>
  <c r="AQ27" i="9"/>
  <c r="AR27" i="9" s="1"/>
  <c r="AL27" i="9"/>
  <c r="AE27" i="9"/>
  <c r="AD28" i="9" s="1"/>
  <c r="AN27" i="9"/>
  <c r="AJ28" i="9"/>
  <c r="K147" i="9"/>
  <c r="O147" i="9" s="1"/>
  <c r="O26" i="9"/>
  <c r="K27" i="9"/>
  <c r="R25" i="9"/>
  <c r="S25" i="9" s="1"/>
  <c r="M25" i="9"/>
  <c r="F25" i="9"/>
  <c r="E26" i="9" s="1"/>
  <c r="DK28" i="9" l="1"/>
  <c r="DG29" i="9"/>
  <c r="DN28" i="9"/>
  <c r="DO28" i="9" s="1"/>
  <c r="DB28" i="9"/>
  <c r="DA29" i="9" s="1"/>
  <c r="DI28" i="9"/>
  <c r="CH30" i="9"/>
  <c r="CL29" i="9"/>
  <c r="CO29" i="9"/>
  <c r="CP29" i="9" s="1"/>
  <c r="CJ29" i="9"/>
  <c r="CC29" i="9"/>
  <c r="CB30" i="9" s="1"/>
  <c r="BP28" i="9"/>
  <c r="BQ28" i="9" s="1"/>
  <c r="BD28" i="9"/>
  <c r="BC29" i="9" s="1"/>
  <c r="BK28" i="9"/>
  <c r="BI30" i="9"/>
  <c r="BM30" i="9" s="1"/>
  <c r="AQ28" i="9"/>
  <c r="AR28" i="9" s="1"/>
  <c r="AE28" i="9"/>
  <c r="AD29" i="9" s="1"/>
  <c r="AL28" i="9"/>
  <c r="AN28" i="9"/>
  <c r="AJ29" i="9"/>
  <c r="AR147" i="9"/>
  <c r="G206" i="9" s="1"/>
  <c r="CP147" i="9"/>
  <c r="G255" i="9" s="1"/>
  <c r="DO147" i="9"/>
  <c r="G279" i="9" s="1"/>
  <c r="AE147" i="9"/>
  <c r="G193" i="9" s="1"/>
  <c r="DB147" i="9"/>
  <c r="CC147" i="9"/>
  <c r="G242" i="9" s="1"/>
  <c r="G175" i="9"/>
  <c r="G298" i="9" s="1"/>
  <c r="G179" i="9"/>
  <c r="BM147" i="9"/>
  <c r="G227" i="9" s="1"/>
  <c r="R26" i="9"/>
  <c r="S26" i="9" s="1"/>
  <c r="F26" i="9"/>
  <c r="E27" i="9" s="1"/>
  <c r="F27" i="9" s="1"/>
  <c r="M26" i="9"/>
  <c r="K28" i="9"/>
  <c r="O27" i="9"/>
  <c r="CL147" i="9"/>
  <c r="G251" i="9" s="1"/>
  <c r="DK147" i="9"/>
  <c r="G275" i="9" s="1"/>
  <c r="DG30" i="9" l="1"/>
  <c r="DK29" i="9"/>
  <c r="DI29" i="9"/>
  <c r="DN29" i="9"/>
  <c r="DO29" i="9" s="1"/>
  <c r="DB29" i="9"/>
  <c r="DA30" i="9" s="1"/>
  <c r="CO30" i="9"/>
  <c r="CP30" i="9" s="1"/>
  <c r="CC30" i="9"/>
  <c r="CB31" i="9" s="1"/>
  <c r="CJ30" i="9"/>
  <c r="CL30" i="9"/>
  <c r="CH31" i="9"/>
  <c r="BP29" i="9"/>
  <c r="BQ29" i="9" s="1"/>
  <c r="BD29" i="9"/>
  <c r="BC30" i="9" s="1"/>
  <c r="BK29" i="9"/>
  <c r="BI31" i="9"/>
  <c r="BM31" i="9" s="1"/>
  <c r="AJ30" i="9"/>
  <c r="AN29" i="9"/>
  <c r="AQ29" i="9"/>
  <c r="AR29" i="9" s="1"/>
  <c r="AL29" i="9"/>
  <c r="AE29" i="9"/>
  <c r="AD30" i="9" s="1"/>
  <c r="S147" i="9"/>
  <c r="G183" i="9" s="1"/>
  <c r="O28" i="9"/>
  <c r="K29" i="9"/>
  <c r="F147" i="9"/>
  <c r="G170" i="9" s="1"/>
  <c r="CB148" i="9"/>
  <c r="H241" i="9" s="1"/>
  <c r="DA148" i="9"/>
  <c r="H265" i="9" s="1"/>
  <c r="AD148" i="9"/>
  <c r="G334" i="9"/>
  <c r="G302" i="9"/>
  <c r="G329" i="9" s="1"/>
  <c r="BD147" i="9"/>
  <c r="G218" i="9" s="1"/>
  <c r="G266" i="9"/>
  <c r="BQ147" i="9"/>
  <c r="G231" i="9" s="1"/>
  <c r="DK30" i="9" l="1"/>
  <c r="DG31" i="9"/>
  <c r="DN30" i="9"/>
  <c r="DO30" i="9" s="1"/>
  <c r="DB30" i="9"/>
  <c r="DA31" i="9" s="1"/>
  <c r="DI30" i="9"/>
  <c r="CO31" i="9"/>
  <c r="CP31" i="9" s="1"/>
  <c r="CJ31" i="9"/>
  <c r="CC31" i="9"/>
  <c r="CB32" i="9" s="1"/>
  <c r="CH32" i="9"/>
  <c r="CL31" i="9"/>
  <c r="BP30" i="9"/>
  <c r="BQ30" i="9" s="1"/>
  <c r="BK30" i="9"/>
  <c r="BD30" i="9"/>
  <c r="BC31" i="9" s="1"/>
  <c r="BI32" i="9"/>
  <c r="BM32" i="9" s="1"/>
  <c r="AE30" i="9"/>
  <c r="AD31" i="9" s="1"/>
  <c r="AL30" i="9"/>
  <c r="AQ30" i="9"/>
  <c r="AR30" i="9" s="1"/>
  <c r="AN30" i="9"/>
  <c r="AJ31" i="9"/>
  <c r="H192" i="9"/>
  <c r="AQ148" i="9"/>
  <c r="H205" i="9" s="1"/>
  <c r="R27" i="9"/>
  <c r="S27" i="9" s="1"/>
  <c r="E28" i="9"/>
  <c r="F28" i="9" s="1"/>
  <c r="M27" i="9"/>
  <c r="G293" i="9"/>
  <c r="G327" i="9"/>
  <c r="O29" i="9"/>
  <c r="K30" i="9"/>
  <c r="DG32" i="9" l="1"/>
  <c r="DK31" i="9"/>
  <c r="DN31" i="9"/>
  <c r="DO31" i="9" s="1"/>
  <c r="DI31" i="9"/>
  <c r="DB31" i="9"/>
  <c r="DA32" i="9" s="1"/>
  <c r="CL32" i="9"/>
  <c r="CH33" i="9"/>
  <c r="CO32" i="9"/>
  <c r="CP32" i="9" s="1"/>
  <c r="CC32" i="9"/>
  <c r="CB33" i="9" s="1"/>
  <c r="CJ32" i="9"/>
  <c r="BP31" i="9"/>
  <c r="BQ31" i="9" s="1"/>
  <c r="BD31" i="9"/>
  <c r="BC32" i="9" s="1"/>
  <c r="BK31" i="9"/>
  <c r="BI33" i="9"/>
  <c r="BM33" i="9" s="1"/>
  <c r="AN31" i="9"/>
  <c r="AJ32" i="9"/>
  <c r="AE31" i="9"/>
  <c r="AD32" i="9" s="1"/>
  <c r="AQ31" i="9"/>
  <c r="AR31" i="9" s="1"/>
  <c r="AL31" i="9"/>
  <c r="R28" i="9"/>
  <c r="S28" i="9" s="1"/>
  <c r="M28" i="9"/>
  <c r="E29" i="9"/>
  <c r="F29" i="9" s="1"/>
  <c r="O30" i="9"/>
  <c r="K31" i="9"/>
  <c r="DK32" i="9" l="1"/>
  <c r="DG33" i="9"/>
  <c r="DI32" i="9"/>
  <c r="DN32" i="9"/>
  <c r="DO32" i="9" s="1"/>
  <c r="DB32" i="9"/>
  <c r="DA33" i="9" s="1"/>
  <c r="CO33" i="9"/>
  <c r="CP33" i="9" s="1"/>
  <c r="CJ33" i="9"/>
  <c r="CC33" i="9"/>
  <c r="CB34" i="9" s="1"/>
  <c r="CH34" i="9"/>
  <c r="CL33" i="9"/>
  <c r="BP32" i="9"/>
  <c r="BQ32" i="9" s="1"/>
  <c r="BD32" i="9"/>
  <c r="BC33" i="9" s="1"/>
  <c r="BK32" i="9"/>
  <c r="BI34" i="9"/>
  <c r="BM34" i="9" s="1"/>
  <c r="AQ32" i="9"/>
  <c r="AR32" i="9" s="1"/>
  <c r="AE32" i="9"/>
  <c r="AD33" i="9" s="1"/>
  <c r="AL32" i="9"/>
  <c r="AJ33" i="9"/>
  <c r="AJ148" i="9" s="1"/>
  <c r="AN32" i="9"/>
  <c r="K32" i="9"/>
  <c r="O31" i="9"/>
  <c r="R29" i="9"/>
  <c r="S29" i="9" s="1"/>
  <c r="E30" i="9"/>
  <c r="F30" i="9" s="1"/>
  <c r="M29" i="9"/>
  <c r="DG34" i="9" l="1"/>
  <c r="DK33" i="9"/>
  <c r="DN33" i="9"/>
  <c r="DO33" i="9" s="1"/>
  <c r="DB33" i="9"/>
  <c r="DA34" i="9" s="1"/>
  <c r="DI33" i="9"/>
  <c r="CO34" i="9"/>
  <c r="CP34" i="9" s="1"/>
  <c r="CC34" i="9"/>
  <c r="CB35" i="9" s="1"/>
  <c r="CJ34" i="9"/>
  <c r="CL34" i="9"/>
  <c r="CH35" i="9"/>
  <c r="BP33" i="9"/>
  <c r="BQ33" i="9" s="1"/>
  <c r="BD33" i="9"/>
  <c r="BC34" i="9" s="1"/>
  <c r="BK33" i="9"/>
  <c r="BI35" i="9"/>
  <c r="BM35" i="9" s="1"/>
  <c r="AQ33" i="9"/>
  <c r="AR33" i="9" s="1"/>
  <c r="AL33" i="9"/>
  <c r="AE33" i="9"/>
  <c r="AD34" i="9" s="1"/>
  <c r="AJ34" i="9"/>
  <c r="AN33" i="9"/>
  <c r="E148" i="9"/>
  <c r="M148" i="9" s="1"/>
  <c r="R30" i="9"/>
  <c r="S30" i="9" s="1"/>
  <c r="M30" i="9"/>
  <c r="E31" i="9"/>
  <c r="F31" i="9" s="1"/>
  <c r="K33" i="9"/>
  <c r="O32" i="9"/>
  <c r="DG148" i="9"/>
  <c r="H271" i="9" s="1"/>
  <c r="CH148" i="9"/>
  <c r="H247" i="9" s="1"/>
  <c r="BI148" i="9"/>
  <c r="H223" i="9" s="1"/>
  <c r="BM148" i="9"/>
  <c r="H227" i="9" s="1"/>
  <c r="H198" i="9"/>
  <c r="AN148" i="9"/>
  <c r="H202" i="9" s="1"/>
  <c r="DK34" i="9" l="1"/>
  <c r="DG35" i="9"/>
  <c r="DN34" i="9"/>
  <c r="DO34" i="9" s="1"/>
  <c r="DI34" i="9"/>
  <c r="DB34" i="9"/>
  <c r="DA35" i="9" s="1"/>
  <c r="CO35" i="9"/>
  <c r="CP35" i="9" s="1"/>
  <c r="CJ35" i="9"/>
  <c r="CC35" i="9"/>
  <c r="CB36" i="9" s="1"/>
  <c r="CH36" i="9"/>
  <c r="CL35" i="9"/>
  <c r="BP34" i="9"/>
  <c r="BQ34" i="9" s="1"/>
  <c r="BD34" i="9"/>
  <c r="BC35" i="9" s="1"/>
  <c r="BK34" i="9"/>
  <c r="BI36" i="9"/>
  <c r="BM36" i="9" s="1"/>
  <c r="AQ34" i="9"/>
  <c r="AR34" i="9" s="1"/>
  <c r="AE34" i="9"/>
  <c r="AD35" i="9" s="1"/>
  <c r="AL34" i="9"/>
  <c r="AJ35" i="9"/>
  <c r="AN34" i="9"/>
  <c r="R31" i="9"/>
  <c r="S31" i="9" s="1"/>
  <c r="E32" i="9"/>
  <c r="F32" i="9" s="1"/>
  <c r="M31" i="9"/>
  <c r="K148" i="9"/>
  <c r="O148" i="9" s="1"/>
  <c r="O33" i="9"/>
  <c r="K34" i="9"/>
  <c r="H169" i="9"/>
  <c r="R148" i="9"/>
  <c r="H182" i="9" s="1"/>
  <c r="H177" i="9"/>
  <c r="DG36" i="9" l="1"/>
  <c r="DK35" i="9"/>
  <c r="DN35" i="9"/>
  <c r="DO35" i="9" s="1"/>
  <c r="DI35" i="9"/>
  <c r="DB35" i="9"/>
  <c r="DA36" i="9" s="1"/>
  <c r="CO36" i="9"/>
  <c r="CP36" i="9" s="1"/>
  <c r="CC36" i="9"/>
  <c r="CB37" i="9" s="1"/>
  <c r="CJ36" i="9"/>
  <c r="CL36" i="9"/>
  <c r="CH37" i="9"/>
  <c r="BP35" i="9"/>
  <c r="BQ35" i="9" s="1"/>
  <c r="BD35" i="9"/>
  <c r="BC36" i="9" s="1"/>
  <c r="BK35" i="9"/>
  <c r="BI37" i="9"/>
  <c r="BM37" i="9" s="1"/>
  <c r="AE35" i="9"/>
  <c r="AD36" i="9" s="1"/>
  <c r="AL35" i="9"/>
  <c r="AQ35" i="9"/>
  <c r="AR35" i="9" s="1"/>
  <c r="AN35" i="9"/>
  <c r="AJ36" i="9"/>
  <c r="H175" i="9"/>
  <c r="H298" i="9" s="1"/>
  <c r="H179" i="9"/>
  <c r="K35" i="9"/>
  <c r="O34" i="9"/>
  <c r="R32" i="9"/>
  <c r="S32" i="9" s="1"/>
  <c r="M32" i="9"/>
  <c r="E33" i="9"/>
  <c r="F33" i="9" s="1"/>
  <c r="H292" i="9"/>
  <c r="H307" i="9" s="1"/>
  <c r="H317" i="9"/>
  <c r="H343" i="9" s="1"/>
  <c r="F11" i="5" s="1"/>
  <c r="DG37" i="9" l="1"/>
  <c r="DK36" i="9"/>
  <c r="DN36" i="9"/>
  <c r="DO36" i="9" s="1"/>
  <c r="DB36" i="9"/>
  <c r="DA37" i="9" s="1"/>
  <c r="DI36" i="9"/>
  <c r="CO37" i="9"/>
  <c r="CP37" i="9" s="1"/>
  <c r="CJ37" i="9"/>
  <c r="CC37" i="9"/>
  <c r="CB38" i="9" s="1"/>
  <c r="CH38" i="9"/>
  <c r="CL37" i="9"/>
  <c r="BP36" i="9"/>
  <c r="BQ36" i="9" s="1"/>
  <c r="BD36" i="9"/>
  <c r="BC37" i="9" s="1"/>
  <c r="BK36" i="9"/>
  <c r="BI38" i="9"/>
  <c r="BM38" i="9" s="1"/>
  <c r="AJ37" i="9"/>
  <c r="AN36" i="9"/>
  <c r="AQ36" i="9"/>
  <c r="AR36" i="9" s="1"/>
  <c r="AE36" i="9"/>
  <c r="AD37" i="9" s="1"/>
  <c r="AL36" i="9"/>
  <c r="AR148" i="9"/>
  <c r="H206" i="9" s="1"/>
  <c r="DO148" i="9"/>
  <c r="H279" i="9" s="1"/>
  <c r="CP148" i="9"/>
  <c r="H255" i="9" s="1"/>
  <c r="H300" i="9"/>
  <c r="H328" i="9" s="1"/>
  <c r="H331" i="9"/>
  <c r="O35" i="9"/>
  <c r="K36" i="9"/>
  <c r="CC148" i="9"/>
  <c r="H242" i="9" s="1"/>
  <c r="DB148" i="9"/>
  <c r="R33" i="9"/>
  <c r="S33" i="9" s="1"/>
  <c r="M33" i="9"/>
  <c r="E34" i="9"/>
  <c r="F34" i="9" s="1"/>
  <c r="DK148" i="9"/>
  <c r="H275" i="9" s="1"/>
  <c r="CL148" i="9"/>
  <c r="H251" i="9" s="1"/>
  <c r="AE148" i="9"/>
  <c r="H193" i="9" s="1"/>
  <c r="H334" i="9"/>
  <c r="H302" i="9"/>
  <c r="H329" i="9" s="1"/>
  <c r="DK37" i="9" l="1"/>
  <c r="DG38" i="9"/>
  <c r="DN37" i="9"/>
  <c r="DO37" i="9" s="1"/>
  <c r="DB37" i="9"/>
  <c r="DA38" i="9" s="1"/>
  <c r="DI37" i="9"/>
  <c r="CO38" i="9"/>
  <c r="CP38" i="9" s="1"/>
  <c r="CC38" i="9"/>
  <c r="CB39" i="9" s="1"/>
  <c r="CJ38" i="9"/>
  <c r="CL38" i="9"/>
  <c r="CH39" i="9"/>
  <c r="BP37" i="9"/>
  <c r="BQ37" i="9" s="1"/>
  <c r="BD37" i="9"/>
  <c r="BC38" i="9" s="1"/>
  <c r="BK37" i="9"/>
  <c r="BI39" i="9"/>
  <c r="BM39" i="9" s="1"/>
  <c r="AJ38" i="9"/>
  <c r="AN37" i="9"/>
  <c r="AQ37" i="9"/>
  <c r="AR37" i="9" s="1"/>
  <c r="AL37" i="9"/>
  <c r="AE37" i="9"/>
  <c r="AD38" i="9" s="1"/>
  <c r="S148" i="9"/>
  <c r="H183" i="9" s="1"/>
  <c r="BQ148" i="9"/>
  <c r="H231" i="9" s="1"/>
  <c r="BD148" i="9"/>
  <c r="H218" i="9" s="1"/>
  <c r="H266" i="9"/>
  <c r="AD149" i="9"/>
  <c r="F148" i="9"/>
  <c r="H170" i="9" s="1"/>
  <c r="K37" i="9"/>
  <c r="O36" i="9"/>
  <c r="DG39" i="9" l="1"/>
  <c r="DK38" i="9"/>
  <c r="DI38" i="9"/>
  <c r="DN38" i="9"/>
  <c r="DO38" i="9" s="1"/>
  <c r="DB38" i="9"/>
  <c r="DA39" i="9" s="1"/>
  <c r="CO39" i="9"/>
  <c r="CP39" i="9" s="1"/>
  <c r="CJ39" i="9"/>
  <c r="CC39" i="9"/>
  <c r="CB40" i="9" s="1"/>
  <c r="CH40" i="9"/>
  <c r="CL39" i="9"/>
  <c r="BP38" i="9"/>
  <c r="BQ38" i="9" s="1"/>
  <c r="BK38" i="9"/>
  <c r="BD38" i="9"/>
  <c r="BC39" i="9" s="1"/>
  <c r="BI40" i="9"/>
  <c r="BM40" i="9" s="1"/>
  <c r="AL38" i="9"/>
  <c r="AQ38" i="9"/>
  <c r="AR38" i="9" s="1"/>
  <c r="AE38" i="9"/>
  <c r="AD39" i="9" s="1"/>
  <c r="AN38" i="9"/>
  <c r="AJ39" i="9"/>
  <c r="E149" i="9"/>
  <c r="M149" i="9" s="1"/>
  <c r="R34" i="9"/>
  <c r="S34" i="9" s="1"/>
  <c r="E35" i="9"/>
  <c r="F35" i="9" s="1"/>
  <c r="M34" i="9"/>
  <c r="BC149" i="9"/>
  <c r="K38" i="9"/>
  <c r="O37" i="9"/>
  <c r="H293" i="9"/>
  <c r="H327" i="9"/>
  <c r="I192" i="9"/>
  <c r="AQ149" i="9"/>
  <c r="I205" i="9" s="1"/>
  <c r="DG40" i="9" l="1"/>
  <c r="DK39" i="9"/>
  <c r="DN39" i="9"/>
  <c r="DO39" i="9" s="1"/>
  <c r="DB39" i="9"/>
  <c r="DA40" i="9" s="1"/>
  <c r="DI39" i="9"/>
  <c r="CO40" i="9"/>
  <c r="CP40" i="9" s="1"/>
  <c r="CC40" i="9"/>
  <c r="CB41" i="9" s="1"/>
  <c r="CJ40" i="9"/>
  <c r="CH41" i="9"/>
  <c r="CL40" i="9"/>
  <c r="BP39" i="9"/>
  <c r="BQ39" i="9" s="1"/>
  <c r="BD39" i="9"/>
  <c r="BC40" i="9" s="1"/>
  <c r="BK39" i="9"/>
  <c r="BI41" i="9"/>
  <c r="BM41" i="9" s="1"/>
  <c r="AQ39" i="9"/>
  <c r="AR39" i="9" s="1"/>
  <c r="AE39" i="9"/>
  <c r="AD40" i="9" s="1"/>
  <c r="AL39" i="9"/>
  <c r="AN39" i="9"/>
  <c r="AJ40" i="9"/>
  <c r="I169" i="9"/>
  <c r="R149" i="9"/>
  <c r="I182" i="9" s="1"/>
  <c r="I177" i="9"/>
  <c r="AJ149" i="9"/>
  <c r="O38" i="9"/>
  <c r="K39" i="9"/>
  <c r="I217" i="9"/>
  <c r="BP149" i="9"/>
  <c r="I230" i="9" s="1"/>
  <c r="R35" i="9"/>
  <c r="S35" i="9" s="1"/>
  <c r="M35" i="9"/>
  <c r="E36" i="9"/>
  <c r="F36" i="9" s="1"/>
  <c r="DK40" i="9" l="1"/>
  <c r="DG41" i="9"/>
  <c r="DB40" i="9"/>
  <c r="DA41" i="9" s="1"/>
  <c r="DI40" i="9"/>
  <c r="DN40" i="9"/>
  <c r="DO40" i="9" s="1"/>
  <c r="CC41" i="9"/>
  <c r="CB42" i="9" s="1"/>
  <c r="CJ41" i="9"/>
  <c r="CO41" i="9"/>
  <c r="CP41" i="9" s="1"/>
  <c r="CH42" i="9"/>
  <c r="CL41" i="9"/>
  <c r="BP40" i="9"/>
  <c r="BQ40" i="9" s="1"/>
  <c r="BD40" i="9"/>
  <c r="BC41" i="9" s="1"/>
  <c r="BK40" i="9"/>
  <c r="BI42" i="9"/>
  <c r="BM42" i="9" s="1"/>
  <c r="AQ40" i="9"/>
  <c r="AR40" i="9" s="1"/>
  <c r="AE40" i="9"/>
  <c r="AD41" i="9" s="1"/>
  <c r="AL40" i="9"/>
  <c r="AJ41" i="9"/>
  <c r="AN40" i="9"/>
  <c r="R36" i="9"/>
  <c r="S36" i="9" s="1"/>
  <c r="E37" i="9"/>
  <c r="F37" i="9" s="1"/>
  <c r="M36" i="9"/>
  <c r="O39" i="9"/>
  <c r="K40" i="9"/>
  <c r="BI149" i="9"/>
  <c r="I223" i="9" s="1"/>
  <c r="BM149" i="9"/>
  <c r="I227" i="9" s="1"/>
  <c r="CH149" i="9"/>
  <c r="I247" i="9" s="1"/>
  <c r="DG149" i="9"/>
  <c r="I271" i="9" s="1"/>
  <c r="I198" i="9"/>
  <c r="AN149" i="9"/>
  <c r="I202" i="9" s="1"/>
  <c r="DK41" i="9" l="1"/>
  <c r="DG42" i="9"/>
  <c r="DN41" i="9"/>
  <c r="DO41" i="9" s="1"/>
  <c r="DB41" i="9"/>
  <c r="DA42" i="9" s="1"/>
  <c r="DI41" i="9"/>
  <c r="CO42" i="9"/>
  <c r="CP42" i="9" s="1"/>
  <c r="CC42" i="9"/>
  <c r="CB43" i="9" s="1"/>
  <c r="CJ42" i="9"/>
  <c r="CL42" i="9"/>
  <c r="CH43" i="9"/>
  <c r="BP41" i="9"/>
  <c r="BQ41" i="9" s="1"/>
  <c r="BD41" i="9"/>
  <c r="BC42" i="9" s="1"/>
  <c r="BK41" i="9"/>
  <c r="BI43" i="9"/>
  <c r="BM43" i="9" s="1"/>
  <c r="AE41" i="9"/>
  <c r="AD42" i="9" s="1"/>
  <c r="AQ41" i="9"/>
  <c r="AR41" i="9" s="1"/>
  <c r="AL41" i="9"/>
  <c r="AJ42" i="9"/>
  <c r="AN41" i="9"/>
  <c r="R37" i="9"/>
  <c r="S37" i="9" s="1"/>
  <c r="E38" i="9"/>
  <c r="F38" i="9" s="1"/>
  <c r="M37" i="9"/>
  <c r="K149" i="9"/>
  <c r="O149" i="9" s="1"/>
  <c r="K41" i="9"/>
  <c r="O40" i="9"/>
  <c r="DG43" i="9" l="1"/>
  <c r="DK42" i="9"/>
  <c r="DN42" i="9"/>
  <c r="DO42" i="9" s="1"/>
  <c r="DB42" i="9"/>
  <c r="DA43" i="9" s="1"/>
  <c r="DI42" i="9"/>
  <c r="CO43" i="9"/>
  <c r="CP43" i="9" s="1"/>
  <c r="CC43" i="9"/>
  <c r="CB44" i="9" s="1"/>
  <c r="CJ43" i="9"/>
  <c r="CL43" i="9"/>
  <c r="CH44" i="9"/>
  <c r="BP42" i="9"/>
  <c r="BQ42" i="9" s="1"/>
  <c r="BD42" i="9"/>
  <c r="BC43" i="9" s="1"/>
  <c r="BK42" i="9"/>
  <c r="BI44" i="9"/>
  <c r="BM44" i="9" s="1"/>
  <c r="AQ42" i="9"/>
  <c r="AR42" i="9" s="1"/>
  <c r="AE42" i="9"/>
  <c r="AD43" i="9" s="1"/>
  <c r="AL42" i="9"/>
  <c r="AN42" i="9"/>
  <c r="AJ43" i="9"/>
  <c r="R38" i="9"/>
  <c r="S38" i="9" s="1"/>
  <c r="M38" i="9"/>
  <c r="E39" i="9"/>
  <c r="F39" i="9" s="1"/>
  <c r="K42" i="9"/>
  <c r="O41" i="9"/>
  <c r="I175" i="9"/>
  <c r="I298" i="9" s="1"/>
  <c r="I179" i="9"/>
  <c r="DG44" i="9" l="1"/>
  <c r="DK43" i="9"/>
  <c r="DB43" i="9"/>
  <c r="DA44" i="9" s="1"/>
  <c r="DI43" i="9"/>
  <c r="DN43" i="9"/>
  <c r="DO43" i="9" s="1"/>
  <c r="CO44" i="9"/>
  <c r="CP44" i="9" s="1"/>
  <c r="CJ44" i="9"/>
  <c r="CC44" i="9"/>
  <c r="CB45" i="9" s="1"/>
  <c r="CH45" i="9"/>
  <c r="CL44" i="9"/>
  <c r="BP43" i="9"/>
  <c r="BQ43" i="9" s="1"/>
  <c r="BD43" i="9"/>
  <c r="BC44" i="9" s="1"/>
  <c r="BK43" i="9"/>
  <c r="BI45" i="9"/>
  <c r="BM45" i="9" s="1"/>
  <c r="AQ43" i="9"/>
  <c r="AR43" i="9" s="1"/>
  <c r="AE43" i="9"/>
  <c r="AD44" i="9" s="1"/>
  <c r="AL43" i="9"/>
  <c r="AN43" i="9"/>
  <c r="AJ44" i="9"/>
  <c r="I334" i="9"/>
  <c r="DA149" i="9"/>
  <c r="I265" i="9" s="1"/>
  <c r="CB149" i="9"/>
  <c r="I241" i="9" s="1"/>
  <c r="O42" i="9"/>
  <c r="K43" i="9"/>
  <c r="R39" i="9"/>
  <c r="S39" i="9" s="1"/>
  <c r="E40" i="9"/>
  <c r="F40" i="9" s="1"/>
  <c r="M39" i="9"/>
  <c r="DG45" i="9" l="1"/>
  <c r="DK44" i="9"/>
  <c r="DB44" i="9"/>
  <c r="DA45" i="9" s="1"/>
  <c r="DN44" i="9"/>
  <c r="DO44" i="9" s="1"/>
  <c r="DI44" i="9"/>
  <c r="CO45" i="9"/>
  <c r="CP45" i="9" s="1"/>
  <c r="CC45" i="9"/>
  <c r="CB46" i="9" s="1"/>
  <c r="CJ45" i="9"/>
  <c r="CL45" i="9"/>
  <c r="CH46" i="9"/>
  <c r="BP44" i="9"/>
  <c r="BQ44" i="9" s="1"/>
  <c r="BD44" i="9"/>
  <c r="BC45" i="9" s="1"/>
  <c r="BK44" i="9"/>
  <c r="BI46" i="9"/>
  <c r="BM46" i="9" s="1"/>
  <c r="AJ45" i="9"/>
  <c r="AN44" i="9"/>
  <c r="AQ44" i="9"/>
  <c r="AR44" i="9" s="1"/>
  <c r="AE44" i="9"/>
  <c r="AD45" i="9" s="1"/>
  <c r="AL44" i="9"/>
  <c r="CP149" i="9"/>
  <c r="I255" i="9" s="1"/>
  <c r="DO149" i="9"/>
  <c r="I279" i="9" s="1"/>
  <c r="AR149" i="9"/>
  <c r="I206" i="9" s="1"/>
  <c r="R40" i="9"/>
  <c r="S40" i="9" s="1"/>
  <c r="M40" i="9"/>
  <c r="E41" i="9"/>
  <c r="F41" i="9" s="1"/>
  <c r="CL149" i="9"/>
  <c r="I251" i="9" s="1"/>
  <c r="DK149" i="9"/>
  <c r="I275" i="9" s="1"/>
  <c r="I292" i="9"/>
  <c r="I307" i="9" s="1"/>
  <c r="I317" i="9"/>
  <c r="I343" i="9" s="1"/>
  <c r="G11" i="5" s="1"/>
  <c r="K44" i="9"/>
  <c r="O43" i="9"/>
  <c r="DB149" i="9"/>
  <c r="CC149" i="9"/>
  <c r="I242" i="9" s="1"/>
  <c r="AE149" i="9"/>
  <c r="I193" i="9" s="1"/>
  <c r="DG46" i="9" l="1"/>
  <c r="DK45" i="9"/>
  <c r="DN45" i="9"/>
  <c r="DO45" i="9" s="1"/>
  <c r="DB45" i="9"/>
  <c r="DA46" i="9" s="1"/>
  <c r="DI45" i="9"/>
  <c r="CC46" i="9"/>
  <c r="CB47" i="9" s="1"/>
  <c r="CO46" i="9"/>
  <c r="CP46" i="9" s="1"/>
  <c r="CJ46" i="9"/>
  <c r="CL46" i="9"/>
  <c r="CH47" i="9"/>
  <c r="BI47" i="9"/>
  <c r="BM47" i="9" s="1"/>
  <c r="BD45" i="9"/>
  <c r="BC46" i="9" s="1"/>
  <c r="BK45" i="9"/>
  <c r="BP45" i="9"/>
  <c r="BQ45" i="9" s="1"/>
  <c r="AN45" i="9"/>
  <c r="AJ46" i="9"/>
  <c r="AE45" i="9"/>
  <c r="AD46" i="9" s="1"/>
  <c r="AL45" i="9"/>
  <c r="AQ45" i="9"/>
  <c r="AR45" i="9" s="1"/>
  <c r="S149" i="9"/>
  <c r="I183" i="9" s="1"/>
  <c r="BQ149" i="9"/>
  <c r="I231" i="9" s="1"/>
  <c r="I300" i="9"/>
  <c r="I328" i="9" s="1"/>
  <c r="I331" i="9"/>
  <c r="I302" i="9"/>
  <c r="I329" i="9" s="1"/>
  <c r="I266" i="9"/>
  <c r="AD150" i="9"/>
  <c r="F149" i="9"/>
  <c r="I170" i="9" s="1"/>
  <c r="BD149" i="9"/>
  <c r="I218" i="9" s="1"/>
  <c r="CB150" i="9"/>
  <c r="J241" i="9" s="1"/>
  <c r="DA150" i="9"/>
  <c r="J265" i="9" s="1"/>
  <c r="O44" i="9"/>
  <c r="K45" i="9"/>
  <c r="DG47" i="9" l="1"/>
  <c r="DK46" i="9"/>
  <c r="DN46" i="9"/>
  <c r="DO46" i="9" s="1"/>
  <c r="DB46" i="9"/>
  <c r="DA47" i="9" s="1"/>
  <c r="DI46" i="9"/>
  <c r="CH48" i="9"/>
  <c r="CL47" i="9"/>
  <c r="CO47" i="9"/>
  <c r="CP47" i="9" s="1"/>
  <c r="CC47" i="9"/>
  <c r="CB48" i="9" s="1"/>
  <c r="CJ47" i="9"/>
  <c r="BI48" i="9"/>
  <c r="BM48" i="9" s="1"/>
  <c r="BP46" i="9"/>
  <c r="BQ46" i="9" s="1"/>
  <c r="BD46" i="9"/>
  <c r="BC47" i="9" s="1"/>
  <c r="BK46" i="9"/>
  <c r="AE46" i="9"/>
  <c r="AD47" i="9" s="1"/>
  <c r="AL46" i="9"/>
  <c r="AQ46" i="9"/>
  <c r="AR46" i="9" s="1"/>
  <c r="AN46" i="9"/>
  <c r="AJ47" i="9"/>
  <c r="E150" i="9"/>
  <c r="M150" i="9" s="1"/>
  <c r="R41" i="9"/>
  <c r="S41" i="9" s="1"/>
  <c r="E42" i="9"/>
  <c r="F42" i="9" s="1"/>
  <c r="M41" i="9"/>
  <c r="I293" i="9"/>
  <c r="I327" i="9"/>
  <c r="BC150" i="9"/>
  <c r="O45" i="9"/>
  <c r="K46" i="9"/>
  <c r="AJ150" i="9"/>
  <c r="J192" i="9"/>
  <c r="AQ150" i="9"/>
  <c r="J205" i="9" s="1"/>
  <c r="DK47" i="9" l="1"/>
  <c r="DG48" i="9"/>
  <c r="DB47" i="9"/>
  <c r="DA48" i="9" s="1"/>
  <c r="DN47" i="9"/>
  <c r="DO47" i="9" s="1"/>
  <c r="DI47" i="9"/>
  <c r="CH49" i="9"/>
  <c r="CL48" i="9"/>
  <c r="CC48" i="9"/>
  <c r="CB49" i="9" s="1"/>
  <c r="CJ48" i="9"/>
  <c r="CO48" i="9"/>
  <c r="CP48" i="9" s="1"/>
  <c r="BI49" i="9"/>
  <c r="BM49" i="9" s="1"/>
  <c r="BP47" i="9"/>
  <c r="BQ47" i="9" s="1"/>
  <c r="BD47" i="9"/>
  <c r="BC48" i="9" s="1"/>
  <c r="BK47" i="9"/>
  <c r="AJ48" i="9"/>
  <c r="AN47" i="9"/>
  <c r="AQ47" i="9"/>
  <c r="AR47" i="9" s="1"/>
  <c r="AE47" i="9"/>
  <c r="AD48" i="9" s="1"/>
  <c r="AL47" i="9"/>
  <c r="K47" i="9"/>
  <c r="O46" i="9"/>
  <c r="DG150" i="9"/>
  <c r="J271" i="9" s="1"/>
  <c r="CH150" i="9"/>
  <c r="J247" i="9" s="1"/>
  <c r="J169" i="9"/>
  <c r="R150" i="9"/>
  <c r="J182" i="9" s="1"/>
  <c r="J177" i="9"/>
  <c r="J198" i="9"/>
  <c r="AN150" i="9"/>
  <c r="J202" i="9" s="1"/>
  <c r="BI150" i="9"/>
  <c r="J223" i="9" s="1"/>
  <c r="BM150" i="9"/>
  <c r="J227" i="9" s="1"/>
  <c r="J217" i="9"/>
  <c r="BP150" i="9"/>
  <c r="J230" i="9" s="1"/>
  <c r="R42" i="9"/>
  <c r="S42" i="9" s="1"/>
  <c r="M42" i="9"/>
  <c r="E43" i="9"/>
  <c r="F43" i="9" s="1"/>
  <c r="DK48" i="9" l="1"/>
  <c r="DG49" i="9"/>
  <c r="DN48" i="9"/>
  <c r="DO48" i="9" s="1"/>
  <c r="DB48" i="9"/>
  <c r="DA49" i="9" s="1"/>
  <c r="DI48" i="9"/>
  <c r="CO49" i="9"/>
  <c r="CP49" i="9" s="1"/>
  <c r="CC49" i="9"/>
  <c r="CB50" i="9" s="1"/>
  <c r="CJ49" i="9"/>
  <c r="CL49" i="9"/>
  <c r="CH50" i="9"/>
  <c r="BI50" i="9"/>
  <c r="BM50" i="9" s="1"/>
  <c r="BP48" i="9"/>
  <c r="BQ48" i="9" s="1"/>
  <c r="BD48" i="9"/>
  <c r="BC49" i="9" s="1"/>
  <c r="BK48" i="9"/>
  <c r="AJ49" i="9"/>
  <c r="AN48" i="9"/>
  <c r="AQ48" i="9"/>
  <c r="AR48" i="9" s="1"/>
  <c r="AE48" i="9"/>
  <c r="AD49" i="9" s="1"/>
  <c r="AL48" i="9"/>
  <c r="J292" i="9"/>
  <c r="J307" i="9" s="1"/>
  <c r="J317" i="9"/>
  <c r="J343" i="9" s="1"/>
  <c r="H11" i="5" s="1"/>
  <c r="K150" i="9"/>
  <c r="O150" i="9" s="1"/>
  <c r="O47" i="9"/>
  <c r="K48" i="9"/>
  <c r="R43" i="9"/>
  <c r="S43" i="9" s="1"/>
  <c r="M43" i="9"/>
  <c r="E44" i="9"/>
  <c r="F44" i="9" s="1"/>
  <c r="DK49" i="9" l="1"/>
  <c r="DG50" i="9"/>
  <c r="DN49" i="9"/>
  <c r="DO49" i="9" s="1"/>
  <c r="DB49" i="9"/>
  <c r="DA50" i="9" s="1"/>
  <c r="DI49" i="9"/>
  <c r="CO50" i="9"/>
  <c r="CP50" i="9" s="1"/>
  <c r="CJ50" i="9"/>
  <c r="CC50" i="9"/>
  <c r="CB51" i="9" s="1"/>
  <c r="CL50" i="9"/>
  <c r="CH51" i="9"/>
  <c r="BI51" i="9"/>
  <c r="BM51" i="9" s="1"/>
  <c r="BD49" i="9"/>
  <c r="BC50" i="9" s="1"/>
  <c r="BK49" i="9"/>
  <c r="BP49" i="9"/>
  <c r="BQ49" i="9" s="1"/>
  <c r="AN49" i="9"/>
  <c r="AJ50" i="9"/>
  <c r="AE49" i="9"/>
  <c r="AD50" i="9" s="1"/>
  <c r="AL49" i="9"/>
  <c r="AQ49" i="9"/>
  <c r="AR49" i="9" s="1"/>
  <c r="R44" i="9"/>
  <c r="S44" i="9" s="1"/>
  <c r="E45" i="9"/>
  <c r="F45" i="9" s="1"/>
  <c r="M44" i="9"/>
  <c r="K49" i="9"/>
  <c r="O48" i="9"/>
  <c r="J175" i="9"/>
  <c r="J298" i="9" s="1"/>
  <c r="J179" i="9"/>
  <c r="J300" i="9"/>
  <c r="J328" i="9" s="1"/>
  <c r="J331" i="9"/>
  <c r="DK50" i="9" l="1"/>
  <c r="DG51" i="9"/>
  <c r="DN50" i="9"/>
  <c r="DO50" i="9" s="1"/>
  <c r="DB50" i="9"/>
  <c r="DA51" i="9" s="1"/>
  <c r="DI50" i="9"/>
  <c r="CO51" i="9"/>
  <c r="CP51" i="9" s="1"/>
  <c r="CC51" i="9"/>
  <c r="CB52" i="9" s="1"/>
  <c r="CJ51" i="9"/>
  <c r="CL51" i="9"/>
  <c r="CH52" i="9"/>
  <c r="BP50" i="9"/>
  <c r="BQ50" i="9" s="1"/>
  <c r="BD50" i="9"/>
  <c r="BC51" i="9" s="1"/>
  <c r="BK50" i="9"/>
  <c r="BI52" i="9"/>
  <c r="BM52" i="9" s="1"/>
  <c r="AQ50" i="9"/>
  <c r="AR50" i="9" s="1"/>
  <c r="AE50" i="9"/>
  <c r="AD51" i="9" s="1"/>
  <c r="AL50" i="9"/>
  <c r="AJ51" i="9"/>
  <c r="AN50" i="9"/>
  <c r="O49" i="9"/>
  <c r="K50" i="9"/>
  <c r="R45" i="9"/>
  <c r="S45" i="9" s="1"/>
  <c r="M45" i="9"/>
  <c r="E46" i="9"/>
  <c r="F46" i="9" s="1"/>
  <c r="J334" i="9"/>
  <c r="J302" i="9"/>
  <c r="J329" i="9" s="1"/>
  <c r="DG52" i="9" l="1"/>
  <c r="DK51" i="9"/>
  <c r="DB51" i="9"/>
  <c r="DA52" i="9" s="1"/>
  <c r="DI51" i="9"/>
  <c r="DN51" i="9"/>
  <c r="DO51" i="9" s="1"/>
  <c r="CO52" i="9"/>
  <c r="CP52" i="9" s="1"/>
  <c r="CJ52" i="9"/>
  <c r="CC52" i="9"/>
  <c r="CB53" i="9" s="1"/>
  <c r="CH53" i="9"/>
  <c r="CL52" i="9"/>
  <c r="BP51" i="9"/>
  <c r="BQ51" i="9" s="1"/>
  <c r="BD51" i="9"/>
  <c r="BC52" i="9" s="1"/>
  <c r="BK51" i="9"/>
  <c r="BI53" i="9"/>
  <c r="BM53" i="9" s="1"/>
  <c r="AQ51" i="9"/>
  <c r="AR51" i="9" s="1"/>
  <c r="AE51" i="9"/>
  <c r="AD52" i="9" s="1"/>
  <c r="AL51" i="9"/>
  <c r="AJ52" i="9"/>
  <c r="AN51" i="9"/>
  <c r="K51" i="9"/>
  <c r="O50" i="9"/>
  <c r="R46" i="9"/>
  <c r="S46" i="9" s="1"/>
  <c r="E47" i="9"/>
  <c r="F47" i="9" s="1"/>
  <c r="M46" i="9"/>
  <c r="DK52" i="9" l="1"/>
  <c r="DG53" i="9"/>
  <c r="DB52" i="9"/>
  <c r="DA53" i="9" s="1"/>
  <c r="DN52" i="9"/>
  <c r="DO52" i="9" s="1"/>
  <c r="DI52" i="9"/>
  <c r="CJ53" i="9"/>
  <c r="CO53" i="9"/>
  <c r="CP53" i="9" s="1"/>
  <c r="CC53" i="9"/>
  <c r="CB54" i="9" s="1"/>
  <c r="CL53" i="9"/>
  <c r="CH54" i="9"/>
  <c r="BP52" i="9"/>
  <c r="BQ52" i="9" s="1"/>
  <c r="BK52" i="9"/>
  <c r="BD52" i="9"/>
  <c r="BC53" i="9" s="1"/>
  <c r="BI54" i="9"/>
  <c r="BM54" i="9" s="1"/>
  <c r="AL52" i="9"/>
  <c r="AQ52" i="9"/>
  <c r="AR52" i="9" s="1"/>
  <c r="AE52" i="9"/>
  <c r="AD53" i="9" s="1"/>
  <c r="AN52" i="9"/>
  <c r="AJ53" i="9"/>
  <c r="DO150" i="9"/>
  <c r="J279" i="9" s="1"/>
  <c r="CP150" i="9"/>
  <c r="J255" i="9" s="1"/>
  <c r="AR150" i="9"/>
  <c r="J206" i="9" s="1"/>
  <c r="DK150" i="9"/>
  <c r="J275" i="9" s="1"/>
  <c r="CL150" i="9"/>
  <c r="J251" i="9" s="1"/>
  <c r="AE150" i="9"/>
  <c r="J193" i="9" s="1"/>
  <c r="R47" i="9"/>
  <c r="S47" i="9" s="1"/>
  <c r="M47" i="9"/>
  <c r="E48" i="9"/>
  <c r="F48" i="9" s="1"/>
  <c r="CC150" i="9"/>
  <c r="J242" i="9" s="1"/>
  <c r="DB150" i="9"/>
  <c r="O51" i="9"/>
  <c r="K52" i="9"/>
  <c r="DK53" i="9" l="1"/>
  <c r="DG54" i="9"/>
  <c r="DN53" i="9"/>
  <c r="DO53" i="9" s="1"/>
  <c r="DB53" i="9"/>
  <c r="DA54" i="9" s="1"/>
  <c r="DI53" i="9"/>
  <c r="CO54" i="9"/>
  <c r="CP54" i="9" s="1"/>
  <c r="CC54" i="9"/>
  <c r="CB55" i="9" s="1"/>
  <c r="CJ54" i="9"/>
  <c r="CH55" i="9"/>
  <c r="CL54" i="9"/>
  <c r="BI55" i="9"/>
  <c r="BM55" i="9" s="1"/>
  <c r="BP53" i="9"/>
  <c r="BQ53" i="9" s="1"/>
  <c r="BD53" i="9"/>
  <c r="BC54" i="9" s="1"/>
  <c r="BK53" i="9"/>
  <c r="AJ54" i="9"/>
  <c r="AJ151" i="9" s="1"/>
  <c r="AN53" i="9"/>
  <c r="AQ53" i="9"/>
  <c r="AR53" i="9" s="1"/>
  <c r="AE53" i="9"/>
  <c r="AD54" i="9" s="1"/>
  <c r="AL53" i="9"/>
  <c r="BQ150" i="9"/>
  <c r="J231" i="9" s="1"/>
  <c r="S150" i="9"/>
  <c r="J183" i="9" s="1"/>
  <c r="O52" i="9"/>
  <c r="K53" i="9"/>
  <c r="DA151" i="9"/>
  <c r="K265" i="9" s="1"/>
  <c r="CB151" i="9"/>
  <c r="K241" i="9" s="1"/>
  <c r="J266" i="9"/>
  <c r="F150" i="9"/>
  <c r="J170" i="9" s="1"/>
  <c r="BD150" i="9"/>
  <c r="J218" i="9" s="1"/>
  <c r="AD151" i="9"/>
  <c r="FX157" i="7"/>
  <c r="CB156" i="7"/>
  <c r="BC156" i="7"/>
  <c r="AD156" i="7"/>
  <c r="AD88" i="7"/>
  <c r="BC90" i="7"/>
  <c r="BC89" i="7"/>
  <c r="BC88" i="7"/>
  <c r="AD87" i="7"/>
  <c r="E87" i="7"/>
  <c r="DK54" i="9" l="1"/>
  <c r="DG55" i="9"/>
  <c r="DI54" i="9"/>
  <c r="DN54" i="9"/>
  <c r="DO54" i="9" s="1"/>
  <c r="DB54" i="9"/>
  <c r="DA55" i="9" s="1"/>
  <c r="CO55" i="9"/>
  <c r="CP55" i="9" s="1"/>
  <c r="CJ55" i="9"/>
  <c r="CC55" i="9"/>
  <c r="CB56" i="9" s="1"/>
  <c r="CH56" i="9"/>
  <c r="CL55" i="9"/>
  <c r="BI56" i="9"/>
  <c r="BM56" i="9" s="1"/>
  <c r="BP54" i="9"/>
  <c r="BQ54" i="9" s="1"/>
  <c r="BD54" i="9"/>
  <c r="BC55" i="9" s="1"/>
  <c r="BK54" i="9"/>
  <c r="AN54" i="9"/>
  <c r="AJ55" i="9"/>
  <c r="AQ54" i="9"/>
  <c r="AR54" i="9" s="1"/>
  <c r="AE54" i="9"/>
  <c r="AD55" i="9" s="1"/>
  <c r="AL54" i="9"/>
  <c r="K192" i="9"/>
  <c r="AQ151" i="9"/>
  <c r="K205" i="9" s="1"/>
  <c r="CH151" i="9"/>
  <c r="K247" i="9" s="1"/>
  <c r="DG151" i="9"/>
  <c r="K271" i="9" s="1"/>
  <c r="K198" i="9"/>
  <c r="AN151" i="9"/>
  <c r="K202" i="9" s="1"/>
  <c r="BI151" i="9"/>
  <c r="K223" i="9" s="1"/>
  <c r="BM151" i="9"/>
  <c r="K227" i="9" s="1"/>
  <c r="E151" i="9"/>
  <c r="M151" i="9" s="1"/>
  <c r="R48" i="9"/>
  <c r="S48" i="9" s="1"/>
  <c r="E49" i="9"/>
  <c r="F49" i="9" s="1"/>
  <c r="M48" i="9"/>
  <c r="O53" i="9"/>
  <c r="K54" i="9"/>
  <c r="BC151" i="9"/>
  <c r="J293" i="9"/>
  <c r="J327" i="9"/>
  <c r="O398" i="7"/>
  <c r="O396" i="7"/>
  <c r="E391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E362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E360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E339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E337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E316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E314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E293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E291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E269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E267" i="7"/>
  <c r="C336" i="7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13" i="7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290" i="7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266" i="7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DK55" i="9" l="1"/>
  <c r="DG56" i="9"/>
  <c r="DN55" i="9"/>
  <c r="DO55" i="9" s="1"/>
  <c r="DB55" i="9"/>
  <c r="DA56" i="9" s="1"/>
  <c r="DI55" i="9"/>
  <c r="CO56" i="9"/>
  <c r="CP56" i="9" s="1"/>
  <c r="CC56" i="9"/>
  <c r="CB57" i="9" s="1"/>
  <c r="CJ56" i="9"/>
  <c r="CL56" i="9"/>
  <c r="CH57" i="9"/>
  <c r="BI57" i="9"/>
  <c r="BM57" i="9" s="1"/>
  <c r="BP55" i="9"/>
  <c r="BQ55" i="9" s="1"/>
  <c r="BD55" i="9"/>
  <c r="BC56" i="9" s="1"/>
  <c r="BK55" i="9"/>
  <c r="AJ56" i="9"/>
  <c r="AN55" i="9"/>
  <c r="AQ55" i="9"/>
  <c r="AR55" i="9" s="1"/>
  <c r="AE55" i="9"/>
  <c r="AD56" i="9" s="1"/>
  <c r="AL55" i="9"/>
  <c r="K217" i="9"/>
  <c r="BP151" i="9"/>
  <c r="K230" i="9" s="1"/>
  <c r="R49" i="9"/>
  <c r="S49" i="9" s="1"/>
  <c r="M49" i="9"/>
  <c r="E50" i="9"/>
  <c r="F50" i="9" s="1"/>
  <c r="K169" i="9"/>
  <c r="R151" i="9"/>
  <c r="K182" i="9" s="1"/>
  <c r="K177" i="9"/>
  <c r="K151" i="9"/>
  <c r="O151" i="9" s="1"/>
  <c r="K55" i="9"/>
  <c r="O54" i="9"/>
  <c r="HF157" i="7"/>
  <c r="Q367" i="7" s="1"/>
  <c r="HD163" i="7"/>
  <c r="W365" i="7" s="1"/>
  <c r="HD162" i="7"/>
  <c r="V365" i="7" s="1"/>
  <c r="HD161" i="7"/>
  <c r="U365" i="7" s="1"/>
  <c r="HD160" i="7"/>
  <c r="T365" i="7" s="1"/>
  <c r="HD159" i="7"/>
  <c r="S365" i="7" s="1"/>
  <c r="HD158" i="7"/>
  <c r="R365" i="7" s="1"/>
  <c r="HD157" i="7"/>
  <c r="Q365" i="7" s="1"/>
  <c r="HD156" i="7"/>
  <c r="P365" i="7" s="1"/>
  <c r="DG57" i="9" l="1"/>
  <c r="DK56" i="9"/>
  <c r="DN56" i="9"/>
  <c r="DO56" i="9" s="1"/>
  <c r="DB56" i="9"/>
  <c r="DA57" i="9" s="1"/>
  <c r="DI56" i="9"/>
  <c r="CC57" i="9"/>
  <c r="CB58" i="9" s="1"/>
  <c r="CJ57" i="9"/>
  <c r="CO57" i="9"/>
  <c r="CP57" i="9" s="1"/>
  <c r="CL57" i="9"/>
  <c r="CH58" i="9"/>
  <c r="BI58" i="9"/>
  <c r="BM58" i="9" s="1"/>
  <c r="BP56" i="9"/>
  <c r="BQ56" i="9" s="1"/>
  <c r="BD56" i="9"/>
  <c r="BC57" i="9" s="1"/>
  <c r="BK56" i="9"/>
  <c r="AN56" i="9"/>
  <c r="AJ57" i="9"/>
  <c r="AE56" i="9"/>
  <c r="AD57" i="9" s="1"/>
  <c r="AQ56" i="9"/>
  <c r="AR56" i="9" s="1"/>
  <c r="AL56" i="9"/>
  <c r="K56" i="9"/>
  <c r="O55" i="9"/>
  <c r="K175" i="9"/>
  <c r="K298" i="9" s="1"/>
  <c r="K179" i="9"/>
  <c r="R50" i="9"/>
  <c r="S50" i="9" s="1"/>
  <c r="E51" i="9"/>
  <c r="F51" i="9" s="1"/>
  <c r="M50" i="9"/>
  <c r="K292" i="9"/>
  <c r="K307" i="9" s="1"/>
  <c r="K317" i="9"/>
  <c r="K343" i="9" s="1"/>
  <c r="I11" i="5" s="1"/>
  <c r="HO163" i="7"/>
  <c r="W376" i="7" s="1"/>
  <c r="HL163" i="7"/>
  <c r="HI163" i="7"/>
  <c r="W370" i="7" s="1"/>
  <c r="HF163" i="7"/>
  <c r="W367" i="7" s="1"/>
  <c r="HO162" i="7"/>
  <c r="V376" i="7" s="1"/>
  <c r="HL162" i="7"/>
  <c r="HI162" i="7"/>
  <c r="V370" i="7" s="1"/>
  <c r="HF162" i="7"/>
  <c r="V367" i="7" s="1"/>
  <c r="HO161" i="7"/>
  <c r="U376" i="7" s="1"/>
  <c r="HL161" i="7"/>
  <c r="HI161" i="7"/>
  <c r="U370" i="7" s="1"/>
  <c r="HF161" i="7"/>
  <c r="U367" i="7" s="1"/>
  <c r="HO160" i="7"/>
  <c r="T376" i="7" s="1"/>
  <c r="HL160" i="7"/>
  <c r="HI160" i="7"/>
  <c r="T370" i="7" s="1"/>
  <c r="HF160" i="7"/>
  <c r="T367" i="7" s="1"/>
  <c r="HO159" i="7"/>
  <c r="S376" i="7" s="1"/>
  <c r="HL159" i="7"/>
  <c r="HI159" i="7"/>
  <c r="S370" i="7" s="1"/>
  <c r="HF159" i="7"/>
  <c r="S367" i="7" s="1"/>
  <c r="HO158" i="7"/>
  <c r="R376" i="7" s="1"/>
  <c r="HL158" i="7"/>
  <c r="HI158" i="7"/>
  <c r="R370" i="7" s="1"/>
  <c r="HF158" i="7"/>
  <c r="R367" i="7" s="1"/>
  <c r="HO157" i="7"/>
  <c r="Q376" i="7" s="1"/>
  <c r="HL157" i="7"/>
  <c r="HI157" i="7"/>
  <c r="Q370" i="7" s="1"/>
  <c r="HO156" i="7"/>
  <c r="P376" i="7" s="1"/>
  <c r="HL156" i="7"/>
  <c r="HI156" i="7"/>
  <c r="P370" i="7" s="1"/>
  <c r="HF156" i="7"/>
  <c r="P367" i="7" s="1"/>
  <c r="HO155" i="7"/>
  <c r="O376" i="7" s="1"/>
  <c r="HL155" i="7"/>
  <c r="HI155" i="7"/>
  <c r="O370" i="7" s="1"/>
  <c r="HF155" i="7"/>
  <c r="O367" i="7" s="1"/>
  <c r="HD155" i="7"/>
  <c r="O365" i="7" s="1"/>
  <c r="HO154" i="7"/>
  <c r="N376" i="7" s="1"/>
  <c r="HL154" i="7"/>
  <c r="HI154" i="7"/>
  <c r="N370" i="7" s="1"/>
  <c r="HF154" i="7"/>
  <c r="N367" i="7" s="1"/>
  <c r="HD154" i="7"/>
  <c r="N365" i="7" s="1"/>
  <c r="HO153" i="7"/>
  <c r="M376" i="7" s="1"/>
  <c r="HL153" i="7"/>
  <c r="HI153" i="7"/>
  <c r="M370" i="7" s="1"/>
  <c r="HF153" i="7"/>
  <c r="M367" i="7" s="1"/>
  <c r="HD153" i="7"/>
  <c r="M365" i="7" s="1"/>
  <c r="HO152" i="7"/>
  <c r="L376" i="7" s="1"/>
  <c r="HL152" i="7"/>
  <c r="HI152" i="7"/>
  <c r="L370" i="7" s="1"/>
  <c r="HF152" i="7"/>
  <c r="L367" i="7" s="1"/>
  <c r="HD152" i="7"/>
  <c r="L365" i="7" s="1"/>
  <c r="HO151" i="7"/>
  <c r="K376" i="7" s="1"/>
  <c r="HL151" i="7"/>
  <c r="HI151" i="7"/>
  <c r="K370" i="7" s="1"/>
  <c r="HF151" i="7"/>
  <c r="K367" i="7" s="1"/>
  <c r="HD151" i="7"/>
  <c r="K365" i="7" s="1"/>
  <c r="HO150" i="7"/>
  <c r="J376" i="7" s="1"/>
  <c r="HL150" i="7"/>
  <c r="HI150" i="7"/>
  <c r="J370" i="7" s="1"/>
  <c r="HF150" i="7"/>
  <c r="J367" i="7" s="1"/>
  <c r="HD150" i="7"/>
  <c r="J365" i="7" s="1"/>
  <c r="HO149" i="7"/>
  <c r="I376" i="7" s="1"/>
  <c r="HL149" i="7"/>
  <c r="HI149" i="7"/>
  <c r="I370" i="7" s="1"/>
  <c r="HF149" i="7"/>
  <c r="I367" i="7" s="1"/>
  <c r="HD149" i="7"/>
  <c r="I365" i="7" s="1"/>
  <c r="HO148" i="7"/>
  <c r="H376" i="7" s="1"/>
  <c r="HL148" i="7"/>
  <c r="HI148" i="7"/>
  <c r="H370" i="7" s="1"/>
  <c r="HF148" i="7"/>
  <c r="H367" i="7" s="1"/>
  <c r="HD148" i="7"/>
  <c r="H365" i="7" s="1"/>
  <c r="HO147" i="7"/>
  <c r="G376" i="7" s="1"/>
  <c r="HL147" i="7"/>
  <c r="HI147" i="7"/>
  <c r="G370" i="7" s="1"/>
  <c r="HF147" i="7"/>
  <c r="G367" i="7" s="1"/>
  <c r="HD147" i="7"/>
  <c r="G365" i="7" s="1"/>
  <c r="HO146" i="7"/>
  <c r="F376" i="7" s="1"/>
  <c r="HL146" i="7"/>
  <c r="HI146" i="7"/>
  <c r="F370" i="7" s="1"/>
  <c r="HF146" i="7"/>
  <c r="F367" i="7" s="1"/>
  <c r="HD146" i="7"/>
  <c r="F365" i="7" s="1"/>
  <c r="GV146" i="7"/>
  <c r="GV147" i="7" s="1"/>
  <c r="GV148" i="7" s="1"/>
  <c r="GV149" i="7" s="1"/>
  <c r="GV150" i="7" s="1"/>
  <c r="GV151" i="7" s="1"/>
  <c r="GV152" i="7" s="1"/>
  <c r="GV153" i="7" s="1"/>
  <c r="GV154" i="7" s="1"/>
  <c r="GV155" i="7" s="1"/>
  <c r="GV156" i="7" s="1"/>
  <c r="GV157" i="7" s="1"/>
  <c r="GV158" i="7" s="1"/>
  <c r="GV159" i="7" s="1"/>
  <c r="GV160" i="7" s="1"/>
  <c r="GV161" i="7" s="1"/>
  <c r="GV162" i="7" s="1"/>
  <c r="GV163" i="7" s="1"/>
  <c r="HO145" i="7"/>
  <c r="E376" i="7" s="1"/>
  <c r="HL145" i="7"/>
  <c r="HI145" i="7"/>
  <c r="E370" i="7" s="1"/>
  <c r="HF145" i="7"/>
  <c r="E367" i="7" s="1"/>
  <c r="HD145" i="7"/>
  <c r="E365" i="7" s="1"/>
  <c r="GE156" i="7"/>
  <c r="P342" i="7" s="1"/>
  <c r="GP163" i="7"/>
  <c r="W353" i="7" s="1"/>
  <c r="GM163" i="7"/>
  <c r="W350" i="7" s="1"/>
  <c r="GJ163" i="7"/>
  <c r="W347" i="7" s="1"/>
  <c r="GG163" i="7"/>
  <c r="W344" i="7" s="1"/>
  <c r="GE163" i="7"/>
  <c r="W342" i="7" s="1"/>
  <c r="GP162" i="7"/>
  <c r="V353" i="7" s="1"/>
  <c r="GM162" i="7"/>
  <c r="V350" i="7" s="1"/>
  <c r="GJ162" i="7"/>
  <c r="V347" i="7" s="1"/>
  <c r="GG162" i="7"/>
  <c r="V344" i="7" s="1"/>
  <c r="GE162" i="7"/>
  <c r="V342" i="7" s="1"/>
  <c r="GP161" i="7"/>
  <c r="U353" i="7" s="1"/>
  <c r="GM161" i="7"/>
  <c r="U350" i="7" s="1"/>
  <c r="GJ161" i="7"/>
  <c r="U347" i="7" s="1"/>
  <c r="GG161" i="7"/>
  <c r="U344" i="7" s="1"/>
  <c r="GE161" i="7"/>
  <c r="U342" i="7" s="1"/>
  <c r="GP160" i="7"/>
  <c r="T353" i="7" s="1"/>
  <c r="GM160" i="7"/>
  <c r="T350" i="7" s="1"/>
  <c r="GJ160" i="7"/>
  <c r="T347" i="7" s="1"/>
  <c r="GG160" i="7"/>
  <c r="T344" i="7" s="1"/>
  <c r="GE160" i="7"/>
  <c r="T342" i="7" s="1"/>
  <c r="GP159" i="7"/>
  <c r="S353" i="7" s="1"/>
  <c r="GM159" i="7"/>
  <c r="S350" i="7" s="1"/>
  <c r="GJ159" i="7"/>
  <c r="S347" i="7" s="1"/>
  <c r="GG159" i="7"/>
  <c r="S344" i="7" s="1"/>
  <c r="GE159" i="7"/>
  <c r="S342" i="7" s="1"/>
  <c r="GP158" i="7"/>
  <c r="R353" i="7" s="1"/>
  <c r="GM158" i="7"/>
  <c r="R350" i="7" s="1"/>
  <c r="GJ158" i="7"/>
  <c r="R347" i="7" s="1"/>
  <c r="GG158" i="7"/>
  <c r="R344" i="7" s="1"/>
  <c r="GE158" i="7"/>
  <c r="R342" i="7" s="1"/>
  <c r="GP157" i="7"/>
  <c r="Q353" i="7" s="1"/>
  <c r="GM157" i="7"/>
  <c r="Q350" i="7" s="1"/>
  <c r="GJ157" i="7"/>
  <c r="Q347" i="7" s="1"/>
  <c r="GG157" i="7"/>
  <c r="Q344" i="7" s="1"/>
  <c r="GE157" i="7"/>
  <c r="Q342" i="7" s="1"/>
  <c r="GP156" i="7"/>
  <c r="P353" i="7" s="1"/>
  <c r="GM156" i="7"/>
  <c r="P350" i="7" s="1"/>
  <c r="GJ156" i="7"/>
  <c r="P347" i="7" s="1"/>
  <c r="GG156" i="7"/>
  <c r="P344" i="7" s="1"/>
  <c r="GP155" i="7"/>
  <c r="O353" i="7" s="1"/>
  <c r="GM155" i="7"/>
  <c r="O350" i="7" s="1"/>
  <c r="GJ155" i="7"/>
  <c r="O347" i="7" s="1"/>
  <c r="GG155" i="7"/>
  <c r="O344" i="7" s="1"/>
  <c r="GE155" i="7"/>
  <c r="O342" i="7" s="1"/>
  <c r="GP154" i="7"/>
  <c r="N353" i="7" s="1"/>
  <c r="GM154" i="7"/>
  <c r="N350" i="7" s="1"/>
  <c r="GJ154" i="7"/>
  <c r="N347" i="7" s="1"/>
  <c r="GG154" i="7"/>
  <c r="N344" i="7" s="1"/>
  <c r="GE154" i="7"/>
  <c r="N342" i="7" s="1"/>
  <c r="GP153" i="7"/>
  <c r="M353" i="7" s="1"/>
  <c r="GM153" i="7"/>
  <c r="M350" i="7" s="1"/>
  <c r="GJ153" i="7"/>
  <c r="M347" i="7" s="1"/>
  <c r="GG153" i="7"/>
  <c r="M344" i="7" s="1"/>
  <c r="GE153" i="7"/>
  <c r="M342" i="7" s="1"/>
  <c r="GP152" i="7"/>
  <c r="L353" i="7" s="1"/>
  <c r="GM152" i="7"/>
  <c r="L350" i="7" s="1"/>
  <c r="GJ152" i="7"/>
  <c r="L347" i="7" s="1"/>
  <c r="GG152" i="7"/>
  <c r="L344" i="7" s="1"/>
  <c r="GE152" i="7"/>
  <c r="L342" i="7" s="1"/>
  <c r="GP151" i="7"/>
  <c r="K353" i="7" s="1"/>
  <c r="GM151" i="7"/>
  <c r="K350" i="7" s="1"/>
  <c r="GJ151" i="7"/>
  <c r="K347" i="7" s="1"/>
  <c r="GG151" i="7"/>
  <c r="K344" i="7" s="1"/>
  <c r="GE151" i="7"/>
  <c r="K342" i="7" s="1"/>
  <c r="GP150" i="7"/>
  <c r="J353" i="7" s="1"/>
  <c r="GM150" i="7"/>
  <c r="J350" i="7" s="1"/>
  <c r="GJ150" i="7"/>
  <c r="J347" i="7" s="1"/>
  <c r="GG150" i="7"/>
  <c r="J344" i="7" s="1"/>
  <c r="GE150" i="7"/>
  <c r="J342" i="7" s="1"/>
  <c r="GP149" i="7"/>
  <c r="I353" i="7" s="1"/>
  <c r="GM149" i="7"/>
  <c r="I350" i="7" s="1"/>
  <c r="GJ149" i="7"/>
  <c r="I347" i="7" s="1"/>
  <c r="GG149" i="7"/>
  <c r="I344" i="7" s="1"/>
  <c r="GE149" i="7"/>
  <c r="I342" i="7" s="1"/>
  <c r="GP148" i="7"/>
  <c r="H353" i="7" s="1"/>
  <c r="GM148" i="7"/>
  <c r="H350" i="7" s="1"/>
  <c r="GJ148" i="7"/>
  <c r="H347" i="7" s="1"/>
  <c r="GG148" i="7"/>
  <c r="H344" i="7" s="1"/>
  <c r="GE148" i="7"/>
  <c r="H342" i="7" s="1"/>
  <c r="GP147" i="7"/>
  <c r="G353" i="7" s="1"/>
  <c r="GM147" i="7"/>
  <c r="G350" i="7" s="1"/>
  <c r="GJ147" i="7"/>
  <c r="G347" i="7" s="1"/>
  <c r="GG147" i="7"/>
  <c r="G344" i="7" s="1"/>
  <c r="GE147" i="7"/>
  <c r="G342" i="7" s="1"/>
  <c r="GP146" i="7"/>
  <c r="F353" i="7" s="1"/>
  <c r="GM146" i="7"/>
  <c r="F350" i="7" s="1"/>
  <c r="GJ146" i="7"/>
  <c r="F347" i="7" s="1"/>
  <c r="GG146" i="7"/>
  <c r="F344" i="7" s="1"/>
  <c r="GE146" i="7"/>
  <c r="F342" i="7" s="1"/>
  <c r="FW146" i="7"/>
  <c r="FW147" i="7" s="1"/>
  <c r="FW148" i="7" s="1"/>
  <c r="FW149" i="7" s="1"/>
  <c r="FW150" i="7" s="1"/>
  <c r="FW151" i="7" s="1"/>
  <c r="FW152" i="7" s="1"/>
  <c r="FW153" i="7" s="1"/>
  <c r="FW154" i="7" s="1"/>
  <c r="FW155" i="7" s="1"/>
  <c r="FW156" i="7" s="1"/>
  <c r="FW157" i="7" s="1"/>
  <c r="FW158" i="7" s="1"/>
  <c r="FW159" i="7" s="1"/>
  <c r="FW160" i="7" s="1"/>
  <c r="FW161" i="7" s="1"/>
  <c r="FW162" i="7" s="1"/>
  <c r="FW163" i="7" s="1"/>
  <c r="GP145" i="7"/>
  <c r="E353" i="7" s="1"/>
  <c r="GM145" i="7"/>
  <c r="E350" i="7" s="1"/>
  <c r="GJ145" i="7"/>
  <c r="E347" i="7" s="1"/>
  <c r="GG145" i="7"/>
  <c r="E344" i="7" s="1"/>
  <c r="GE145" i="7"/>
  <c r="E342" i="7" s="1"/>
  <c r="FN145" i="7"/>
  <c r="E327" i="7" s="1"/>
  <c r="FH156" i="7"/>
  <c r="P321" i="7" s="1"/>
  <c r="FQ163" i="7"/>
  <c r="W330" i="7" s="1"/>
  <c r="FN163" i="7"/>
  <c r="W327" i="7" s="1"/>
  <c r="FK163" i="7"/>
  <c r="W324" i="7" s="1"/>
  <c r="FH163" i="7"/>
  <c r="W321" i="7" s="1"/>
  <c r="FF163" i="7"/>
  <c r="W319" i="7" s="1"/>
  <c r="FQ162" i="7"/>
  <c r="V330" i="7" s="1"/>
  <c r="FN162" i="7"/>
  <c r="V327" i="7" s="1"/>
  <c r="FK162" i="7"/>
  <c r="V324" i="7" s="1"/>
  <c r="FH162" i="7"/>
  <c r="V321" i="7" s="1"/>
  <c r="FF162" i="7"/>
  <c r="V319" i="7" s="1"/>
  <c r="FQ161" i="7"/>
  <c r="U330" i="7" s="1"/>
  <c r="FN161" i="7"/>
  <c r="U327" i="7" s="1"/>
  <c r="FK161" i="7"/>
  <c r="U324" i="7" s="1"/>
  <c r="FH161" i="7"/>
  <c r="U321" i="7" s="1"/>
  <c r="FF161" i="7"/>
  <c r="U319" i="7" s="1"/>
  <c r="FQ160" i="7"/>
  <c r="T330" i="7" s="1"/>
  <c r="FN160" i="7"/>
  <c r="T327" i="7" s="1"/>
  <c r="FK160" i="7"/>
  <c r="T324" i="7" s="1"/>
  <c r="FH160" i="7"/>
  <c r="T321" i="7" s="1"/>
  <c r="FF160" i="7"/>
  <c r="T319" i="7" s="1"/>
  <c r="FQ159" i="7"/>
  <c r="S330" i="7" s="1"/>
  <c r="FN159" i="7"/>
  <c r="S327" i="7" s="1"/>
  <c r="FK159" i="7"/>
  <c r="S324" i="7" s="1"/>
  <c r="FH159" i="7"/>
  <c r="S321" i="7" s="1"/>
  <c r="FF159" i="7"/>
  <c r="S319" i="7" s="1"/>
  <c r="FQ158" i="7"/>
  <c r="R330" i="7" s="1"/>
  <c r="FN158" i="7"/>
  <c r="R327" i="7" s="1"/>
  <c r="FK158" i="7"/>
  <c r="R324" i="7" s="1"/>
  <c r="FH158" i="7"/>
  <c r="R321" i="7" s="1"/>
  <c r="FF158" i="7"/>
  <c r="R319" i="7" s="1"/>
  <c r="FQ157" i="7"/>
  <c r="Q330" i="7" s="1"/>
  <c r="FN157" i="7"/>
  <c r="Q327" i="7" s="1"/>
  <c r="FK157" i="7"/>
  <c r="Q324" i="7" s="1"/>
  <c r="FH157" i="7"/>
  <c r="Q321" i="7" s="1"/>
  <c r="FF157" i="7"/>
  <c r="Q319" i="7" s="1"/>
  <c r="FQ156" i="7"/>
  <c r="P330" i="7" s="1"/>
  <c r="FN156" i="7"/>
  <c r="P327" i="7" s="1"/>
  <c r="FK156" i="7"/>
  <c r="P324" i="7" s="1"/>
  <c r="FF156" i="7"/>
  <c r="P319" i="7" s="1"/>
  <c r="FQ155" i="7"/>
  <c r="O330" i="7" s="1"/>
  <c r="FN155" i="7"/>
  <c r="O327" i="7" s="1"/>
  <c r="FK155" i="7"/>
  <c r="O324" i="7" s="1"/>
  <c r="FH155" i="7"/>
  <c r="O321" i="7" s="1"/>
  <c r="FF155" i="7"/>
  <c r="O319" i="7" s="1"/>
  <c r="FQ154" i="7"/>
  <c r="N330" i="7" s="1"/>
  <c r="FN154" i="7"/>
  <c r="N327" i="7" s="1"/>
  <c r="FK154" i="7"/>
  <c r="N324" i="7" s="1"/>
  <c r="FH154" i="7"/>
  <c r="N321" i="7" s="1"/>
  <c r="FF154" i="7"/>
  <c r="N319" i="7" s="1"/>
  <c r="FQ153" i="7"/>
  <c r="M330" i="7" s="1"/>
  <c r="FN153" i="7"/>
  <c r="M327" i="7" s="1"/>
  <c r="FK153" i="7"/>
  <c r="M324" i="7" s="1"/>
  <c r="FH153" i="7"/>
  <c r="M321" i="7" s="1"/>
  <c r="FF153" i="7"/>
  <c r="M319" i="7" s="1"/>
  <c r="FQ152" i="7"/>
  <c r="L330" i="7" s="1"/>
  <c r="FN152" i="7"/>
  <c r="L327" i="7" s="1"/>
  <c r="FK152" i="7"/>
  <c r="L324" i="7" s="1"/>
  <c r="FH152" i="7"/>
  <c r="L321" i="7" s="1"/>
  <c r="FF152" i="7"/>
  <c r="L319" i="7" s="1"/>
  <c r="FQ151" i="7"/>
  <c r="K330" i="7" s="1"/>
  <c r="FN151" i="7"/>
  <c r="K327" i="7" s="1"/>
  <c r="FK151" i="7"/>
  <c r="K324" i="7" s="1"/>
  <c r="FH151" i="7"/>
  <c r="K321" i="7" s="1"/>
  <c r="FF151" i="7"/>
  <c r="K319" i="7" s="1"/>
  <c r="FQ150" i="7"/>
  <c r="J330" i="7" s="1"/>
  <c r="FN150" i="7"/>
  <c r="J327" i="7" s="1"/>
  <c r="FK150" i="7"/>
  <c r="J324" i="7" s="1"/>
  <c r="FH150" i="7"/>
  <c r="J321" i="7" s="1"/>
  <c r="FF150" i="7"/>
  <c r="J319" i="7" s="1"/>
  <c r="FQ149" i="7"/>
  <c r="I330" i="7" s="1"/>
  <c r="FN149" i="7"/>
  <c r="I327" i="7" s="1"/>
  <c r="FK149" i="7"/>
  <c r="I324" i="7" s="1"/>
  <c r="FH149" i="7"/>
  <c r="I321" i="7" s="1"/>
  <c r="FF149" i="7"/>
  <c r="I319" i="7" s="1"/>
  <c r="FQ148" i="7"/>
  <c r="H330" i="7" s="1"/>
  <c r="FN148" i="7"/>
  <c r="H327" i="7" s="1"/>
  <c r="FK148" i="7"/>
  <c r="H324" i="7" s="1"/>
  <c r="FH148" i="7"/>
  <c r="H321" i="7" s="1"/>
  <c r="FF148" i="7"/>
  <c r="H319" i="7" s="1"/>
  <c r="FQ147" i="7"/>
  <c r="G330" i="7" s="1"/>
  <c r="FN147" i="7"/>
  <c r="G327" i="7" s="1"/>
  <c r="FK147" i="7"/>
  <c r="G324" i="7" s="1"/>
  <c r="FH147" i="7"/>
  <c r="G321" i="7" s="1"/>
  <c r="FF147" i="7"/>
  <c r="G319" i="7" s="1"/>
  <c r="FQ146" i="7"/>
  <c r="F330" i="7" s="1"/>
  <c r="FN146" i="7"/>
  <c r="F327" i="7" s="1"/>
  <c r="FK146" i="7"/>
  <c r="F324" i="7" s="1"/>
  <c r="FH146" i="7"/>
  <c r="F321" i="7" s="1"/>
  <c r="FF146" i="7"/>
  <c r="F319" i="7" s="1"/>
  <c r="EX146" i="7"/>
  <c r="EX147" i="7" s="1"/>
  <c r="EX148" i="7" s="1"/>
  <c r="EX149" i="7" s="1"/>
  <c r="EX150" i="7" s="1"/>
  <c r="EX151" i="7" s="1"/>
  <c r="EX152" i="7" s="1"/>
  <c r="EX153" i="7" s="1"/>
  <c r="EX154" i="7" s="1"/>
  <c r="EX155" i="7" s="1"/>
  <c r="EX156" i="7" s="1"/>
  <c r="EX157" i="7" s="1"/>
  <c r="EX158" i="7" s="1"/>
  <c r="EX159" i="7" s="1"/>
  <c r="EX160" i="7" s="1"/>
  <c r="EX161" i="7" s="1"/>
  <c r="EX162" i="7" s="1"/>
  <c r="EX163" i="7" s="1"/>
  <c r="FQ145" i="7"/>
  <c r="E330" i="7" s="1"/>
  <c r="FK145" i="7"/>
  <c r="E324" i="7" s="1"/>
  <c r="FH145" i="7"/>
  <c r="E321" i="7" s="1"/>
  <c r="FF145" i="7"/>
  <c r="E319" i="7" s="1"/>
  <c r="EG156" i="7"/>
  <c r="P296" i="7" s="1"/>
  <c r="DG58" i="9" l="1"/>
  <c r="DK57" i="9"/>
  <c r="DN57" i="9"/>
  <c r="DO57" i="9" s="1"/>
  <c r="DB57" i="9"/>
  <c r="DA58" i="9" s="1"/>
  <c r="DI57" i="9"/>
  <c r="CL58" i="9"/>
  <c r="CH59" i="9"/>
  <c r="CO58" i="9"/>
  <c r="CP58" i="9" s="1"/>
  <c r="CC58" i="9"/>
  <c r="CB59" i="9" s="1"/>
  <c r="CJ58" i="9"/>
  <c r="BI59" i="9"/>
  <c r="BM59" i="9" s="1"/>
  <c r="BP57" i="9"/>
  <c r="BQ57" i="9" s="1"/>
  <c r="BD57" i="9"/>
  <c r="BC58" i="9" s="1"/>
  <c r="BK57" i="9"/>
  <c r="AQ57" i="9"/>
  <c r="AR57" i="9" s="1"/>
  <c r="AE57" i="9"/>
  <c r="AD58" i="9" s="1"/>
  <c r="AL57" i="9"/>
  <c r="AJ58" i="9"/>
  <c r="AN57" i="9"/>
  <c r="R51" i="9"/>
  <c r="S51" i="9" s="1"/>
  <c r="M51" i="9"/>
  <c r="E52" i="9"/>
  <c r="F52" i="9" s="1"/>
  <c r="K334" i="9"/>
  <c r="K302" i="9"/>
  <c r="K329" i="9" s="1"/>
  <c r="K300" i="9"/>
  <c r="K328" i="9" s="1"/>
  <c r="K331" i="9"/>
  <c r="O56" i="9"/>
  <c r="K57" i="9"/>
  <c r="ER163" i="7"/>
  <c r="W307" i="7" s="1"/>
  <c r="EO163" i="7"/>
  <c r="W304" i="7" s="1"/>
  <c r="EL163" i="7"/>
  <c r="W301" i="7" s="1"/>
  <c r="EI163" i="7"/>
  <c r="W298" i="7" s="1"/>
  <c r="EG163" i="7"/>
  <c r="W296" i="7" s="1"/>
  <c r="ER162" i="7"/>
  <c r="V307" i="7" s="1"/>
  <c r="EO162" i="7"/>
  <c r="V304" i="7" s="1"/>
  <c r="EL162" i="7"/>
  <c r="V301" i="7" s="1"/>
  <c r="EI162" i="7"/>
  <c r="V298" i="7" s="1"/>
  <c r="EG162" i="7"/>
  <c r="V296" i="7" s="1"/>
  <c r="ER161" i="7"/>
  <c r="U307" i="7" s="1"/>
  <c r="EO161" i="7"/>
  <c r="U304" i="7" s="1"/>
  <c r="EL161" i="7"/>
  <c r="U301" i="7" s="1"/>
  <c r="EI161" i="7"/>
  <c r="U298" i="7" s="1"/>
  <c r="EG161" i="7"/>
  <c r="U296" i="7" s="1"/>
  <c r="ER160" i="7"/>
  <c r="T307" i="7" s="1"/>
  <c r="EO160" i="7"/>
  <c r="T304" i="7" s="1"/>
  <c r="EL160" i="7"/>
  <c r="T301" i="7" s="1"/>
  <c r="EI160" i="7"/>
  <c r="T298" i="7" s="1"/>
  <c r="EG160" i="7"/>
  <c r="T296" i="7" s="1"/>
  <c r="ER159" i="7"/>
  <c r="S307" i="7" s="1"/>
  <c r="EO159" i="7"/>
  <c r="S304" i="7" s="1"/>
  <c r="EL159" i="7"/>
  <c r="S301" i="7" s="1"/>
  <c r="EI159" i="7"/>
  <c r="S298" i="7" s="1"/>
  <c r="EG159" i="7"/>
  <c r="S296" i="7" s="1"/>
  <c r="ER158" i="7"/>
  <c r="R307" i="7" s="1"/>
  <c r="EO158" i="7"/>
  <c r="R304" i="7" s="1"/>
  <c r="EL158" i="7"/>
  <c r="R301" i="7" s="1"/>
  <c r="EI158" i="7"/>
  <c r="R298" i="7" s="1"/>
  <c r="EG158" i="7"/>
  <c r="R296" i="7" s="1"/>
  <c r="ER157" i="7"/>
  <c r="Q307" i="7" s="1"/>
  <c r="EO157" i="7"/>
  <c r="Q304" i="7" s="1"/>
  <c r="EL157" i="7"/>
  <c r="Q301" i="7" s="1"/>
  <c r="EI157" i="7"/>
  <c r="Q298" i="7" s="1"/>
  <c r="EG157" i="7"/>
  <c r="Q296" i="7" s="1"/>
  <c r="ER156" i="7"/>
  <c r="P307" i="7" s="1"/>
  <c r="EO156" i="7"/>
  <c r="P304" i="7" s="1"/>
  <c r="EL156" i="7"/>
  <c r="P301" i="7" s="1"/>
  <c r="EI156" i="7"/>
  <c r="P298" i="7" s="1"/>
  <c r="ER155" i="7"/>
  <c r="O307" i="7" s="1"/>
  <c r="EO155" i="7"/>
  <c r="O304" i="7" s="1"/>
  <c r="EL155" i="7"/>
  <c r="O301" i="7" s="1"/>
  <c r="EI155" i="7"/>
  <c r="O298" i="7" s="1"/>
  <c r="EG155" i="7"/>
  <c r="O296" i="7" s="1"/>
  <c r="ER154" i="7"/>
  <c r="N307" i="7" s="1"/>
  <c r="EO154" i="7"/>
  <c r="N304" i="7" s="1"/>
  <c r="EL154" i="7"/>
  <c r="N301" i="7" s="1"/>
  <c r="EI154" i="7"/>
  <c r="N298" i="7" s="1"/>
  <c r="EG154" i="7"/>
  <c r="N296" i="7" s="1"/>
  <c r="ER153" i="7"/>
  <c r="M307" i="7" s="1"/>
  <c r="EO153" i="7"/>
  <c r="M304" i="7" s="1"/>
  <c r="EL153" i="7"/>
  <c r="M301" i="7" s="1"/>
  <c r="EI153" i="7"/>
  <c r="M298" i="7" s="1"/>
  <c r="EG153" i="7"/>
  <c r="M296" i="7" s="1"/>
  <c r="ER152" i="7"/>
  <c r="L307" i="7" s="1"/>
  <c r="EO152" i="7"/>
  <c r="L304" i="7" s="1"/>
  <c r="EL152" i="7"/>
  <c r="L301" i="7" s="1"/>
  <c r="EI152" i="7"/>
  <c r="L298" i="7" s="1"/>
  <c r="EG152" i="7"/>
  <c r="L296" i="7" s="1"/>
  <c r="ER151" i="7"/>
  <c r="K307" i="7" s="1"/>
  <c r="EO151" i="7"/>
  <c r="K304" i="7" s="1"/>
  <c r="EL151" i="7"/>
  <c r="K301" i="7" s="1"/>
  <c r="EI151" i="7"/>
  <c r="K298" i="7" s="1"/>
  <c r="EG151" i="7"/>
  <c r="K296" i="7" s="1"/>
  <c r="ER150" i="7"/>
  <c r="J307" i="7" s="1"/>
  <c r="EO150" i="7"/>
  <c r="J304" i="7" s="1"/>
  <c r="EL150" i="7"/>
  <c r="J301" i="7" s="1"/>
  <c r="EI150" i="7"/>
  <c r="J298" i="7" s="1"/>
  <c r="EG150" i="7"/>
  <c r="J296" i="7" s="1"/>
  <c r="ER149" i="7"/>
  <c r="I307" i="7" s="1"/>
  <c r="EO149" i="7"/>
  <c r="I304" i="7" s="1"/>
  <c r="EL149" i="7"/>
  <c r="I301" i="7" s="1"/>
  <c r="EI149" i="7"/>
  <c r="I298" i="7" s="1"/>
  <c r="EG149" i="7"/>
  <c r="I296" i="7" s="1"/>
  <c r="ER148" i="7"/>
  <c r="H307" i="7" s="1"/>
  <c r="EO148" i="7"/>
  <c r="H304" i="7" s="1"/>
  <c r="EL148" i="7"/>
  <c r="H301" i="7" s="1"/>
  <c r="EI148" i="7"/>
  <c r="H298" i="7" s="1"/>
  <c r="EG148" i="7"/>
  <c r="H296" i="7" s="1"/>
  <c r="ER147" i="7"/>
  <c r="G307" i="7" s="1"/>
  <c r="EO147" i="7"/>
  <c r="G304" i="7" s="1"/>
  <c r="EL147" i="7"/>
  <c r="G301" i="7" s="1"/>
  <c r="EI147" i="7"/>
  <c r="G298" i="7" s="1"/>
  <c r="EG147" i="7"/>
  <c r="G296" i="7" s="1"/>
  <c r="ER146" i="7"/>
  <c r="F307" i="7" s="1"/>
  <c r="EO146" i="7"/>
  <c r="F304" i="7" s="1"/>
  <c r="EL146" i="7"/>
  <c r="F301" i="7" s="1"/>
  <c r="EI146" i="7"/>
  <c r="F298" i="7" s="1"/>
  <c r="EG146" i="7"/>
  <c r="F296" i="7" s="1"/>
  <c r="DY146" i="7"/>
  <c r="DY147" i="7" s="1"/>
  <c r="DY148" i="7" s="1"/>
  <c r="DY149" i="7" s="1"/>
  <c r="DY150" i="7" s="1"/>
  <c r="DY151" i="7" s="1"/>
  <c r="DY152" i="7" s="1"/>
  <c r="DY153" i="7" s="1"/>
  <c r="DY154" i="7" s="1"/>
  <c r="DY155" i="7" s="1"/>
  <c r="DY156" i="7" s="1"/>
  <c r="DY157" i="7" s="1"/>
  <c r="DY158" i="7" s="1"/>
  <c r="DY159" i="7" s="1"/>
  <c r="DY160" i="7" s="1"/>
  <c r="DY161" i="7" s="1"/>
  <c r="DY162" i="7" s="1"/>
  <c r="DY163" i="7" s="1"/>
  <c r="ER145" i="7"/>
  <c r="E307" i="7" s="1"/>
  <c r="EO145" i="7"/>
  <c r="E304" i="7" s="1"/>
  <c r="EL145" i="7"/>
  <c r="E301" i="7" s="1"/>
  <c r="EI145" i="7"/>
  <c r="E298" i="7" s="1"/>
  <c r="EG145" i="7"/>
  <c r="E296" i="7" s="1"/>
  <c r="DJ156" i="7"/>
  <c r="P274" i="7" s="1"/>
  <c r="DH156" i="7"/>
  <c r="P272" i="7" s="1"/>
  <c r="CN156" i="7"/>
  <c r="P253" i="7" s="1"/>
  <c r="CK156" i="7"/>
  <c r="P250" i="7" s="1"/>
  <c r="CI156" i="7"/>
  <c r="P248" i="7" s="1"/>
  <c r="HB138" i="7"/>
  <c r="HB137" i="7"/>
  <c r="HB136" i="7"/>
  <c r="HB135" i="7"/>
  <c r="GT135" i="7"/>
  <c r="GT136" i="7" s="1"/>
  <c r="GT137" i="7" s="1"/>
  <c r="GT138" i="7" s="1"/>
  <c r="HB134" i="7"/>
  <c r="HP133" i="7"/>
  <c r="HP134" i="7" s="1"/>
  <c r="HP135" i="7" s="1"/>
  <c r="HP136" i="7" s="1"/>
  <c r="HP137" i="7" s="1"/>
  <c r="HP138" i="7" s="1"/>
  <c r="HP163" i="7" s="1"/>
  <c r="HM133" i="7"/>
  <c r="HM134" i="7" s="1"/>
  <c r="HM135" i="7" s="1"/>
  <c r="HM136" i="7" s="1"/>
  <c r="HM137" i="7" s="1"/>
  <c r="HM138" i="7" s="1"/>
  <c r="HB133" i="7"/>
  <c r="GU133" i="7"/>
  <c r="GT133" i="7"/>
  <c r="HO132" i="7"/>
  <c r="HQ132" i="7" s="1"/>
  <c r="HL132" i="7"/>
  <c r="HN132" i="7" s="1"/>
  <c r="HI132" i="7"/>
  <c r="HF132" i="7"/>
  <c r="HD132" i="7"/>
  <c r="HB132" i="7"/>
  <c r="HB131" i="7"/>
  <c r="HB130" i="7"/>
  <c r="HB129" i="7"/>
  <c r="HB128" i="7"/>
  <c r="HB127" i="7"/>
  <c r="HP126" i="7"/>
  <c r="HP127" i="7" s="1"/>
  <c r="HP128" i="7" s="1"/>
  <c r="HP129" i="7" s="1"/>
  <c r="HP130" i="7" s="1"/>
  <c r="HP131" i="7" s="1"/>
  <c r="HP162" i="7" s="1"/>
  <c r="HM126" i="7"/>
  <c r="HM127" i="7" s="1"/>
  <c r="HB126" i="7"/>
  <c r="GU126" i="7"/>
  <c r="GU127" i="7" s="1"/>
  <c r="GT126" i="7"/>
  <c r="GT127" i="7" s="1"/>
  <c r="GT128" i="7" s="1"/>
  <c r="GT129" i="7" s="1"/>
  <c r="GT130" i="7" s="1"/>
  <c r="GT131" i="7" s="1"/>
  <c r="HO125" i="7"/>
  <c r="HQ125" i="7" s="1"/>
  <c r="HL125" i="7"/>
  <c r="HN125" i="7" s="1"/>
  <c r="HI125" i="7"/>
  <c r="HF125" i="7"/>
  <c r="HD125" i="7"/>
  <c r="HB125" i="7"/>
  <c r="HB124" i="7"/>
  <c r="HB123" i="7"/>
  <c r="HB122" i="7"/>
  <c r="HB121" i="7"/>
  <c r="HB120" i="7"/>
  <c r="HP119" i="7"/>
  <c r="HP120" i="7" s="1"/>
  <c r="HP121" i="7" s="1"/>
  <c r="HP122" i="7" s="1"/>
  <c r="HP123" i="7" s="1"/>
  <c r="HP124" i="7" s="1"/>
  <c r="HP161" i="7" s="1"/>
  <c r="HM119" i="7"/>
  <c r="HM120" i="7" s="1"/>
  <c r="HM121" i="7" s="1"/>
  <c r="HM122" i="7" s="1"/>
  <c r="HM123" i="7" s="1"/>
  <c r="HB119" i="7"/>
  <c r="GU119" i="7"/>
  <c r="GU120" i="7" s="1"/>
  <c r="GT119" i="7"/>
  <c r="GT120" i="7" s="1"/>
  <c r="GT121" i="7" s="1"/>
  <c r="GT122" i="7" s="1"/>
  <c r="GT123" i="7" s="1"/>
  <c r="GT124" i="7" s="1"/>
  <c r="HO118" i="7"/>
  <c r="HQ118" i="7" s="1"/>
  <c r="HL118" i="7"/>
  <c r="HN118" i="7" s="1"/>
  <c r="HI118" i="7"/>
  <c r="HF118" i="7"/>
  <c r="HD118" i="7"/>
  <c r="HB118" i="7"/>
  <c r="HB117" i="7"/>
  <c r="HB116" i="7"/>
  <c r="HB115" i="7"/>
  <c r="HB114" i="7"/>
  <c r="HB113" i="7"/>
  <c r="HP112" i="7"/>
  <c r="HP113" i="7" s="1"/>
  <c r="HP114" i="7" s="1"/>
  <c r="HP115" i="7" s="1"/>
  <c r="HP116" i="7" s="1"/>
  <c r="HP117" i="7" s="1"/>
  <c r="HP160" i="7" s="1"/>
  <c r="HM112" i="7"/>
  <c r="HM113" i="7" s="1"/>
  <c r="HM114" i="7" s="1"/>
  <c r="HM115" i="7" s="1"/>
  <c r="HM116" i="7" s="1"/>
  <c r="HM117" i="7" s="1"/>
  <c r="HM160" i="7" s="1"/>
  <c r="HB112" i="7"/>
  <c r="GU112" i="7"/>
  <c r="HO112" i="7" s="1"/>
  <c r="GT112" i="7"/>
  <c r="GT113" i="7" s="1"/>
  <c r="GT114" i="7" s="1"/>
  <c r="GT115" i="7" s="1"/>
  <c r="GT116" i="7" s="1"/>
  <c r="GT117" i="7" s="1"/>
  <c r="HO111" i="7"/>
  <c r="HQ111" i="7" s="1"/>
  <c r="HL111" i="7"/>
  <c r="HN111" i="7" s="1"/>
  <c r="HI111" i="7"/>
  <c r="HF111" i="7"/>
  <c r="HD111" i="7"/>
  <c r="HB111" i="7"/>
  <c r="HB110" i="7"/>
  <c r="HB109" i="7"/>
  <c r="HB108" i="7"/>
  <c r="HB107" i="7"/>
  <c r="HP106" i="7"/>
  <c r="HP107" i="7" s="1"/>
  <c r="HP108" i="7" s="1"/>
  <c r="HP109" i="7" s="1"/>
  <c r="HP110" i="7" s="1"/>
  <c r="HP159" i="7" s="1"/>
  <c r="HB106" i="7"/>
  <c r="GU106" i="7"/>
  <c r="HP105" i="7"/>
  <c r="HO105" i="7"/>
  <c r="HQ105" i="7" s="1"/>
  <c r="HM105" i="7"/>
  <c r="HM106" i="7" s="1"/>
  <c r="HM107" i="7" s="1"/>
  <c r="HM108" i="7" s="1"/>
  <c r="HB105" i="7"/>
  <c r="GU105" i="7"/>
  <c r="GT105" i="7"/>
  <c r="GT106" i="7" s="1"/>
  <c r="GT107" i="7" s="1"/>
  <c r="GT108" i="7" s="1"/>
  <c r="GT109" i="7" s="1"/>
  <c r="GT110" i="7" s="1"/>
  <c r="HO104" i="7"/>
  <c r="HQ104" i="7" s="1"/>
  <c r="HL104" i="7"/>
  <c r="HN104" i="7" s="1"/>
  <c r="HI104" i="7"/>
  <c r="HF104" i="7"/>
  <c r="HD104" i="7"/>
  <c r="HB104" i="7"/>
  <c r="HB103" i="7"/>
  <c r="HB102" i="7"/>
  <c r="HB101" i="7"/>
  <c r="HB100" i="7"/>
  <c r="HB99" i="7"/>
  <c r="HP98" i="7"/>
  <c r="HP99" i="7" s="1"/>
  <c r="HP100" i="7" s="1"/>
  <c r="HP101" i="7" s="1"/>
  <c r="HP102" i="7" s="1"/>
  <c r="HP103" i="7" s="1"/>
  <c r="HP158" i="7" s="1"/>
  <c r="HM98" i="7"/>
  <c r="HM99" i="7" s="1"/>
  <c r="HM100" i="7" s="1"/>
  <c r="HM101" i="7" s="1"/>
  <c r="HM102" i="7" s="1"/>
  <c r="HM103" i="7" s="1"/>
  <c r="HM158" i="7" s="1"/>
  <c r="HB98" i="7"/>
  <c r="GU98" i="7"/>
  <c r="GT98" i="7"/>
  <c r="GT99" i="7" s="1"/>
  <c r="GT100" i="7" s="1"/>
  <c r="GT101" i="7" s="1"/>
  <c r="GT102" i="7" s="1"/>
  <c r="GT103" i="7" s="1"/>
  <c r="HO97" i="7"/>
  <c r="HQ97" i="7" s="1"/>
  <c r="HL97" i="7"/>
  <c r="HN97" i="7" s="1"/>
  <c r="HI97" i="7"/>
  <c r="HF97" i="7"/>
  <c r="HD97" i="7"/>
  <c r="HB97" i="7"/>
  <c r="HB96" i="7"/>
  <c r="HB95" i="7"/>
  <c r="HB94" i="7"/>
  <c r="HB93" i="7"/>
  <c r="HB92" i="7"/>
  <c r="GT92" i="7"/>
  <c r="GT93" i="7" s="1"/>
  <c r="GT94" i="7" s="1"/>
  <c r="GT95" i="7" s="1"/>
  <c r="GT96" i="7" s="1"/>
  <c r="HP91" i="7"/>
  <c r="HP92" i="7" s="1"/>
  <c r="HP93" i="7" s="1"/>
  <c r="HP94" i="7" s="1"/>
  <c r="HP95" i="7" s="1"/>
  <c r="HP96" i="7" s="1"/>
  <c r="HP157" i="7" s="1"/>
  <c r="HM91" i="7"/>
  <c r="HM92" i="7" s="1"/>
  <c r="HB91" i="7"/>
  <c r="GU91" i="7"/>
  <c r="HO90" i="7"/>
  <c r="HQ90" i="7" s="1"/>
  <c r="HL90" i="7"/>
  <c r="HN90" i="7" s="1"/>
  <c r="HI90" i="7"/>
  <c r="HF90" i="7"/>
  <c r="HD90" i="7"/>
  <c r="HB90" i="7"/>
  <c r="HB89" i="7"/>
  <c r="HB88" i="7"/>
  <c r="HB87" i="7"/>
  <c r="HB86" i="7"/>
  <c r="HB85" i="7"/>
  <c r="GT85" i="7"/>
  <c r="GT86" i="7" s="1"/>
  <c r="GT87" i="7" s="1"/>
  <c r="GT88" i="7" s="1"/>
  <c r="GT89" i="7" s="1"/>
  <c r="HP84" i="7"/>
  <c r="HP85" i="7" s="1"/>
  <c r="HP86" i="7" s="1"/>
  <c r="HP87" i="7" s="1"/>
  <c r="HP88" i="7" s="1"/>
  <c r="HP89" i="7" s="1"/>
  <c r="HP156" i="7" s="1"/>
  <c r="HM84" i="7"/>
  <c r="HM85" i="7" s="1"/>
  <c r="HM86" i="7" s="1"/>
  <c r="HB84" i="7"/>
  <c r="GU84" i="7"/>
  <c r="GT84" i="7"/>
  <c r="HO83" i="7"/>
  <c r="HQ83" i="7" s="1"/>
  <c r="HL83" i="7"/>
  <c r="HN83" i="7" s="1"/>
  <c r="HI83" i="7"/>
  <c r="HF83" i="7"/>
  <c r="HD83" i="7"/>
  <c r="HB83" i="7"/>
  <c r="HB82" i="7"/>
  <c r="HB81" i="7"/>
  <c r="HB80" i="7"/>
  <c r="HB79" i="7"/>
  <c r="HP78" i="7"/>
  <c r="HP79" i="7" s="1"/>
  <c r="HP80" i="7" s="1"/>
  <c r="HP81" i="7" s="1"/>
  <c r="HP82" i="7" s="1"/>
  <c r="HB78" i="7"/>
  <c r="GU78" i="7"/>
  <c r="GU79" i="7" s="1"/>
  <c r="HP77" i="7"/>
  <c r="HO77" i="7"/>
  <c r="HQ77" i="7" s="1"/>
  <c r="HM77" i="7"/>
  <c r="HM78" i="7" s="1"/>
  <c r="HB77" i="7"/>
  <c r="GU77" i="7"/>
  <c r="GT77" i="7"/>
  <c r="GT78" i="7" s="1"/>
  <c r="GT79" i="7" s="1"/>
  <c r="GT80" i="7" s="1"/>
  <c r="GT81" i="7" s="1"/>
  <c r="GT82" i="7" s="1"/>
  <c r="HO76" i="7"/>
  <c r="HQ76" i="7" s="1"/>
  <c r="HL76" i="7"/>
  <c r="HN76" i="7" s="1"/>
  <c r="HI76" i="7"/>
  <c r="HF76" i="7"/>
  <c r="HD76" i="7"/>
  <c r="HB76" i="7"/>
  <c r="HB75" i="7"/>
  <c r="HB74" i="7"/>
  <c r="GT74" i="7"/>
  <c r="GT75" i="7" s="1"/>
  <c r="HB73" i="7"/>
  <c r="HB72" i="7"/>
  <c r="HB71" i="7"/>
  <c r="HP70" i="7"/>
  <c r="HP71" i="7" s="1"/>
  <c r="HP72" i="7" s="1"/>
  <c r="HP73" i="7" s="1"/>
  <c r="HP74" i="7" s="1"/>
  <c r="HP75" i="7" s="1"/>
  <c r="HM70" i="7"/>
  <c r="HM71" i="7" s="1"/>
  <c r="HM72" i="7" s="1"/>
  <c r="HB70" i="7"/>
  <c r="GU70" i="7"/>
  <c r="GU71" i="7" s="1"/>
  <c r="GT70" i="7"/>
  <c r="GT71" i="7" s="1"/>
  <c r="GT72" i="7" s="1"/>
  <c r="HO69" i="7"/>
  <c r="HQ69" i="7" s="1"/>
  <c r="HL69" i="7"/>
  <c r="HN69" i="7" s="1"/>
  <c r="HI69" i="7"/>
  <c r="HF69" i="7"/>
  <c r="HD69" i="7"/>
  <c r="HB69" i="7"/>
  <c r="HB68" i="7"/>
  <c r="HB67" i="7"/>
  <c r="HB66" i="7"/>
  <c r="HB65" i="7"/>
  <c r="HB64" i="7"/>
  <c r="GT64" i="7"/>
  <c r="GT65" i="7" s="1"/>
  <c r="GT66" i="7" s="1"/>
  <c r="GT67" i="7" s="1"/>
  <c r="GT68" i="7" s="1"/>
  <c r="HP63" i="7"/>
  <c r="HP64" i="7" s="1"/>
  <c r="HP65" i="7" s="1"/>
  <c r="HP66" i="7" s="1"/>
  <c r="HP67" i="7" s="1"/>
  <c r="HP68" i="7" s="1"/>
  <c r="HM63" i="7"/>
  <c r="HM64" i="7" s="1"/>
  <c r="HM65" i="7" s="1"/>
  <c r="HB63" i="7"/>
  <c r="GU63" i="7"/>
  <c r="GT63" i="7"/>
  <c r="HO62" i="7"/>
  <c r="HQ62" i="7" s="1"/>
  <c r="HL62" i="7"/>
  <c r="HN62" i="7" s="1"/>
  <c r="HI62" i="7"/>
  <c r="HF62" i="7"/>
  <c r="HD62" i="7"/>
  <c r="HB62" i="7"/>
  <c r="HB61" i="7"/>
  <c r="GT61" i="7"/>
  <c r="HB60" i="7"/>
  <c r="HB59" i="7"/>
  <c r="HB58" i="7"/>
  <c r="HB57" i="7"/>
  <c r="HP56" i="7"/>
  <c r="HP57" i="7" s="1"/>
  <c r="HP58" i="7" s="1"/>
  <c r="HP59" i="7" s="1"/>
  <c r="HP60" i="7" s="1"/>
  <c r="HP61" i="7" s="1"/>
  <c r="HM56" i="7"/>
  <c r="HM57" i="7" s="1"/>
  <c r="HM58" i="7" s="1"/>
  <c r="HM59" i="7" s="1"/>
  <c r="HM60" i="7" s="1"/>
  <c r="HM61" i="7" s="1"/>
  <c r="HB56" i="7"/>
  <c r="GU56" i="7"/>
  <c r="GT56" i="7"/>
  <c r="GT57" i="7" s="1"/>
  <c r="GT58" i="7" s="1"/>
  <c r="GT59" i="7" s="1"/>
  <c r="HO55" i="7"/>
  <c r="HQ55" i="7" s="1"/>
  <c r="HL55" i="7"/>
  <c r="HN55" i="7" s="1"/>
  <c r="HI55" i="7"/>
  <c r="HF55" i="7"/>
  <c r="HD55" i="7"/>
  <c r="HB55" i="7"/>
  <c r="HB54" i="7"/>
  <c r="HB53" i="7"/>
  <c r="HB52" i="7"/>
  <c r="HB51" i="7"/>
  <c r="HB50" i="7"/>
  <c r="HP49" i="7"/>
  <c r="HP50" i="7" s="1"/>
  <c r="HP51" i="7" s="1"/>
  <c r="HP52" i="7" s="1"/>
  <c r="HP53" i="7" s="1"/>
  <c r="HP54" i="7" s="1"/>
  <c r="HM49" i="7"/>
  <c r="HM50" i="7" s="1"/>
  <c r="HM51" i="7" s="1"/>
  <c r="HM52" i="7" s="1"/>
  <c r="HM53" i="7" s="1"/>
  <c r="HM54" i="7" s="1"/>
  <c r="HB49" i="7"/>
  <c r="GU49" i="7"/>
  <c r="GU50" i="7" s="1"/>
  <c r="GU51" i="7" s="1"/>
  <c r="GT49" i="7"/>
  <c r="GT50" i="7" s="1"/>
  <c r="GT51" i="7" s="1"/>
  <c r="GT52" i="7" s="1"/>
  <c r="GT53" i="7" s="1"/>
  <c r="GT54" i="7" s="1"/>
  <c r="HO48" i="7"/>
  <c r="HQ48" i="7" s="1"/>
  <c r="HN48" i="7"/>
  <c r="HL48" i="7"/>
  <c r="HI48" i="7"/>
  <c r="HF48" i="7"/>
  <c r="HD48" i="7"/>
  <c r="HB48" i="7"/>
  <c r="HB47" i="7"/>
  <c r="HB46" i="7"/>
  <c r="HB45" i="7"/>
  <c r="HB44" i="7"/>
  <c r="HP43" i="7"/>
  <c r="HP44" i="7" s="1"/>
  <c r="HP45" i="7" s="1"/>
  <c r="HP46" i="7" s="1"/>
  <c r="HP47" i="7" s="1"/>
  <c r="HB43" i="7"/>
  <c r="GU43" i="7"/>
  <c r="HP42" i="7"/>
  <c r="HO42" i="7"/>
  <c r="HQ42" i="7" s="1"/>
  <c r="HM42" i="7"/>
  <c r="HM43" i="7" s="1"/>
  <c r="HM44" i="7" s="1"/>
  <c r="HM45" i="7" s="1"/>
  <c r="HM46" i="7" s="1"/>
  <c r="HM47" i="7" s="1"/>
  <c r="HB42" i="7"/>
  <c r="GU42" i="7"/>
  <c r="GT42" i="7"/>
  <c r="GT43" i="7" s="1"/>
  <c r="GT44" i="7" s="1"/>
  <c r="GT45" i="7" s="1"/>
  <c r="GT46" i="7" s="1"/>
  <c r="GT47" i="7" s="1"/>
  <c r="HO41" i="7"/>
  <c r="HQ41" i="7" s="1"/>
  <c r="HL41" i="7"/>
  <c r="HN41" i="7" s="1"/>
  <c r="HI41" i="7"/>
  <c r="HF41" i="7"/>
  <c r="HD41" i="7"/>
  <c r="HB41" i="7"/>
  <c r="HB40" i="7"/>
  <c r="HB39" i="7"/>
  <c r="HB38" i="7"/>
  <c r="GT38" i="7"/>
  <c r="GT39" i="7" s="1"/>
  <c r="GT40" i="7" s="1"/>
  <c r="HB37" i="7"/>
  <c r="HP36" i="7"/>
  <c r="HP37" i="7" s="1"/>
  <c r="HP38" i="7" s="1"/>
  <c r="HP39" i="7" s="1"/>
  <c r="HP40" i="7" s="1"/>
  <c r="HB36" i="7"/>
  <c r="HP35" i="7"/>
  <c r="HM35" i="7"/>
  <c r="HM36" i="7" s="1"/>
  <c r="HM37" i="7" s="1"/>
  <c r="HM38" i="7" s="1"/>
  <c r="HM39" i="7" s="1"/>
  <c r="HM40" i="7" s="1"/>
  <c r="HB35" i="7"/>
  <c r="GU35" i="7"/>
  <c r="HO35" i="7" s="1"/>
  <c r="HQ35" i="7" s="1"/>
  <c r="HO34" i="7"/>
  <c r="HQ34" i="7" s="1"/>
  <c r="HL34" i="7"/>
  <c r="HN34" i="7" s="1"/>
  <c r="HI34" i="7"/>
  <c r="HF34" i="7"/>
  <c r="HD34" i="7"/>
  <c r="HB34" i="7"/>
  <c r="HB33" i="7"/>
  <c r="HB32" i="7"/>
  <c r="HB31" i="7"/>
  <c r="HB30" i="7"/>
  <c r="HB29" i="7"/>
  <c r="HP28" i="7"/>
  <c r="HP29" i="7" s="1"/>
  <c r="HP30" i="7" s="1"/>
  <c r="HP31" i="7" s="1"/>
  <c r="HP32" i="7" s="1"/>
  <c r="HP33" i="7" s="1"/>
  <c r="HM28" i="7"/>
  <c r="HM29" i="7" s="1"/>
  <c r="HM30" i="7" s="1"/>
  <c r="HB28" i="7"/>
  <c r="GU28" i="7"/>
  <c r="GT28" i="7"/>
  <c r="GT29" i="7" s="1"/>
  <c r="GT30" i="7" s="1"/>
  <c r="GT31" i="7" s="1"/>
  <c r="HO27" i="7"/>
  <c r="HQ27" i="7" s="1"/>
  <c r="HL27" i="7"/>
  <c r="HN27" i="7" s="1"/>
  <c r="HI27" i="7"/>
  <c r="HF27" i="7"/>
  <c r="HD27" i="7"/>
  <c r="HB27" i="7"/>
  <c r="HB26" i="7"/>
  <c r="HB25" i="7"/>
  <c r="HB24" i="7"/>
  <c r="HB23" i="7"/>
  <c r="HB22" i="7"/>
  <c r="GT22" i="7"/>
  <c r="GT23" i="7" s="1"/>
  <c r="GT24" i="7" s="1"/>
  <c r="GT25" i="7" s="1"/>
  <c r="GT26" i="7" s="1"/>
  <c r="HP21" i="7"/>
  <c r="HP22" i="7" s="1"/>
  <c r="HP23" i="7" s="1"/>
  <c r="HP24" i="7" s="1"/>
  <c r="HP25" i="7" s="1"/>
  <c r="HP26" i="7" s="1"/>
  <c r="HM21" i="7"/>
  <c r="HM22" i="7" s="1"/>
  <c r="HM23" i="7" s="1"/>
  <c r="HM24" i="7" s="1"/>
  <c r="HM25" i="7" s="1"/>
  <c r="HM26" i="7" s="1"/>
  <c r="HB21" i="7"/>
  <c r="GU21" i="7"/>
  <c r="GU22" i="7" s="1"/>
  <c r="GT21" i="7"/>
  <c r="HO20" i="7"/>
  <c r="HQ20" i="7" s="1"/>
  <c r="HL20" i="7"/>
  <c r="HN20" i="7" s="1"/>
  <c r="HI20" i="7"/>
  <c r="HF20" i="7"/>
  <c r="HD20" i="7"/>
  <c r="HB20" i="7"/>
  <c r="HB19" i="7"/>
  <c r="HB18" i="7"/>
  <c r="HB17" i="7"/>
  <c r="HB16" i="7"/>
  <c r="HP15" i="7"/>
  <c r="HP16" i="7" s="1"/>
  <c r="HP17" i="7" s="1"/>
  <c r="HP18" i="7" s="1"/>
  <c r="HP19" i="7" s="1"/>
  <c r="HB15" i="7"/>
  <c r="GU15" i="7"/>
  <c r="GU16" i="7" s="1"/>
  <c r="HP14" i="7"/>
  <c r="HO14" i="7"/>
  <c r="HQ14" i="7" s="1"/>
  <c r="HM14" i="7"/>
  <c r="HM15" i="7" s="1"/>
  <c r="HM16" i="7" s="1"/>
  <c r="HB14" i="7"/>
  <c r="GU14" i="7"/>
  <c r="GT14" i="7"/>
  <c r="GT15" i="7" s="1"/>
  <c r="GT16" i="7" s="1"/>
  <c r="GT17" i="7" s="1"/>
  <c r="GT18" i="7" s="1"/>
  <c r="GT19" i="7" s="1"/>
  <c r="HO13" i="7"/>
  <c r="HQ13" i="7" s="1"/>
  <c r="HL13" i="7"/>
  <c r="HN13" i="7" s="1"/>
  <c r="HI13" i="7"/>
  <c r="HF13" i="7"/>
  <c r="HD13" i="7"/>
  <c r="HB13" i="7"/>
  <c r="HB12" i="7"/>
  <c r="HB11" i="7"/>
  <c r="HB10" i="7"/>
  <c r="HB9" i="7"/>
  <c r="HB8" i="7"/>
  <c r="HP7" i="7"/>
  <c r="HP8" i="7" s="1"/>
  <c r="HP9" i="7" s="1"/>
  <c r="HP10" i="7" s="1"/>
  <c r="HP11" i="7" s="1"/>
  <c r="HP12" i="7" s="1"/>
  <c r="HM7" i="7"/>
  <c r="HM8" i="7" s="1"/>
  <c r="HM9" i="7" s="1"/>
  <c r="HB7" i="7"/>
  <c r="GU7" i="7"/>
  <c r="GU8" i="7" s="1"/>
  <c r="GT7" i="7"/>
  <c r="GT8" i="7" s="1"/>
  <c r="GT9" i="7" s="1"/>
  <c r="GT10" i="7" s="1"/>
  <c r="GT11" i="7" s="1"/>
  <c r="GT12" i="7" s="1"/>
  <c r="HO6" i="7"/>
  <c r="HQ6" i="7" s="1"/>
  <c r="HL6" i="7"/>
  <c r="HN6" i="7" s="1"/>
  <c r="HI6" i="7"/>
  <c r="HF6" i="7"/>
  <c r="HD6" i="7"/>
  <c r="HB6" i="7"/>
  <c r="HC6" i="7" s="1"/>
  <c r="GW6" i="7"/>
  <c r="HJ6" i="7" s="1"/>
  <c r="HK6" i="7" s="1"/>
  <c r="GC138" i="7"/>
  <c r="GC137" i="7"/>
  <c r="GC136" i="7"/>
  <c r="GC135" i="7"/>
  <c r="FU135" i="7"/>
  <c r="FU136" i="7" s="1"/>
  <c r="FU137" i="7" s="1"/>
  <c r="FU138" i="7" s="1"/>
  <c r="GC134" i="7"/>
  <c r="GQ133" i="7"/>
  <c r="GQ134" i="7" s="1"/>
  <c r="GQ135" i="7" s="1"/>
  <c r="GQ136" i="7" s="1"/>
  <c r="GQ137" i="7" s="1"/>
  <c r="GQ138" i="7" s="1"/>
  <c r="GQ163" i="7" s="1"/>
  <c r="GN133" i="7"/>
  <c r="GN134" i="7" s="1"/>
  <c r="GN135" i="7" s="1"/>
  <c r="GN136" i="7" s="1"/>
  <c r="GN137" i="7" s="1"/>
  <c r="GN138" i="7" s="1"/>
  <c r="GC133" i="7"/>
  <c r="FV133" i="7"/>
  <c r="FU133" i="7"/>
  <c r="GP132" i="7"/>
  <c r="GR132" i="7" s="1"/>
  <c r="GM132" i="7"/>
  <c r="GO132" i="7" s="1"/>
  <c r="GJ132" i="7"/>
  <c r="GG132" i="7"/>
  <c r="GE132" i="7"/>
  <c r="GC132" i="7"/>
  <c r="GC131" i="7"/>
  <c r="GC130" i="7"/>
  <c r="GC129" i="7"/>
  <c r="GC128" i="7"/>
  <c r="GC127" i="7"/>
  <c r="GQ126" i="7"/>
  <c r="GQ127" i="7" s="1"/>
  <c r="GQ128" i="7" s="1"/>
  <c r="GQ129" i="7" s="1"/>
  <c r="GQ130" i="7" s="1"/>
  <c r="GQ131" i="7" s="1"/>
  <c r="GQ162" i="7" s="1"/>
  <c r="GN126" i="7"/>
  <c r="GN127" i="7" s="1"/>
  <c r="GC126" i="7"/>
  <c r="FV126" i="7"/>
  <c r="FV127" i="7" s="1"/>
  <c r="FU126" i="7"/>
  <c r="FU127" i="7" s="1"/>
  <c r="FU128" i="7" s="1"/>
  <c r="FU129" i="7" s="1"/>
  <c r="FU130" i="7" s="1"/>
  <c r="FU131" i="7" s="1"/>
  <c r="GP125" i="7"/>
  <c r="GR125" i="7" s="1"/>
  <c r="GM125" i="7"/>
  <c r="GO125" i="7" s="1"/>
  <c r="GJ125" i="7"/>
  <c r="GG125" i="7"/>
  <c r="GE125" i="7"/>
  <c r="GC125" i="7"/>
  <c r="GC124" i="7"/>
  <c r="GC123" i="7"/>
  <c r="GC122" i="7"/>
  <c r="GC121" i="7"/>
  <c r="GC120" i="7"/>
  <c r="GQ119" i="7"/>
  <c r="GQ120" i="7" s="1"/>
  <c r="GQ121" i="7" s="1"/>
  <c r="GQ122" i="7" s="1"/>
  <c r="GQ123" i="7" s="1"/>
  <c r="GQ124" i="7" s="1"/>
  <c r="GQ161" i="7" s="1"/>
  <c r="GN119" i="7"/>
  <c r="GN120" i="7" s="1"/>
  <c r="GN121" i="7" s="1"/>
  <c r="GN122" i="7" s="1"/>
  <c r="GN123" i="7" s="1"/>
  <c r="GC119" i="7"/>
  <c r="FV119" i="7"/>
  <c r="FV120" i="7" s="1"/>
  <c r="FU119" i="7"/>
  <c r="FU120" i="7" s="1"/>
  <c r="FU121" i="7" s="1"/>
  <c r="FU122" i="7" s="1"/>
  <c r="FU123" i="7" s="1"/>
  <c r="FU124" i="7" s="1"/>
  <c r="GP118" i="7"/>
  <c r="GR118" i="7" s="1"/>
  <c r="GM118" i="7"/>
  <c r="GO118" i="7" s="1"/>
  <c r="GJ118" i="7"/>
  <c r="GG118" i="7"/>
  <c r="GE118" i="7"/>
  <c r="GC118" i="7"/>
  <c r="GC117" i="7"/>
  <c r="GC116" i="7"/>
  <c r="GC115" i="7"/>
  <c r="GC114" i="7"/>
  <c r="GQ113" i="7"/>
  <c r="GQ114" i="7" s="1"/>
  <c r="GQ115" i="7" s="1"/>
  <c r="GQ116" i="7" s="1"/>
  <c r="GQ117" i="7" s="1"/>
  <c r="GQ160" i="7" s="1"/>
  <c r="GC113" i="7"/>
  <c r="GQ112" i="7"/>
  <c r="GN112" i="7"/>
  <c r="GN113" i="7" s="1"/>
  <c r="GN114" i="7" s="1"/>
  <c r="GN115" i="7" s="1"/>
  <c r="GC112" i="7"/>
  <c r="FV112" i="7"/>
  <c r="FV113" i="7" s="1"/>
  <c r="FU112" i="7"/>
  <c r="FU113" i="7" s="1"/>
  <c r="FU114" i="7" s="1"/>
  <c r="FU115" i="7" s="1"/>
  <c r="FU116" i="7" s="1"/>
  <c r="FU117" i="7" s="1"/>
  <c r="GP111" i="7"/>
  <c r="GR111" i="7" s="1"/>
  <c r="GM111" i="7"/>
  <c r="GO111" i="7" s="1"/>
  <c r="GJ111" i="7"/>
  <c r="GG111" i="7"/>
  <c r="GE111" i="7"/>
  <c r="GC111" i="7"/>
  <c r="GC110" i="7"/>
  <c r="GC109" i="7"/>
  <c r="GC108" i="7"/>
  <c r="GC107" i="7"/>
  <c r="FU107" i="7"/>
  <c r="FU108" i="7" s="1"/>
  <c r="FU109" i="7" s="1"/>
  <c r="FU110" i="7" s="1"/>
  <c r="GC106" i="7"/>
  <c r="GQ105" i="7"/>
  <c r="GQ106" i="7" s="1"/>
  <c r="GQ107" i="7" s="1"/>
  <c r="GQ108" i="7" s="1"/>
  <c r="GQ109" i="7" s="1"/>
  <c r="GQ110" i="7" s="1"/>
  <c r="GQ159" i="7" s="1"/>
  <c r="GN105" i="7"/>
  <c r="GN106" i="7" s="1"/>
  <c r="GN107" i="7" s="1"/>
  <c r="GC105" i="7"/>
  <c r="FV105" i="7"/>
  <c r="GP105" i="7" s="1"/>
  <c r="FU105" i="7"/>
  <c r="FU106" i="7" s="1"/>
  <c r="GP104" i="7"/>
  <c r="GR104" i="7" s="1"/>
  <c r="GM104" i="7"/>
  <c r="GO104" i="7" s="1"/>
  <c r="GJ104" i="7"/>
  <c r="GG104" i="7"/>
  <c r="GE104" i="7"/>
  <c r="GC104" i="7"/>
  <c r="GC103" i="7"/>
  <c r="GC102" i="7"/>
  <c r="GC101" i="7"/>
  <c r="GC100" i="7"/>
  <c r="GC99" i="7"/>
  <c r="FU99" i="7"/>
  <c r="FU100" i="7" s="1"/>
  <c r="FU101" i="7" s="1"/>
  <c r="FU102" i="7" s="1"/>
  <c r="FU103" i="7" s="1"/>
  <c r="GQ98" i="7"/>
  <c r="GQ99" i="7" s="1"/>
  <c r="GQ100" i="7" s="1"/>
  <c r="GQ101" i="7" s="1"/>
  <c r="GQ102" i="7" s="1"/>
  <c r="GQ103" i="7" s="1"/>
  <c r="GQ158" i="7" s="1"/>
  <c r="GN98" i="7"/>
  <c r="GN99" i="7" s="1"/>
  <c r="GN100" i="7" s="1"/>
  <c r="GN101" i="7" s="1"/>
  <c r="GN102" i="7" s="1"/>
  <c r="GC98" i="7"/>
  <c r="FV98" i="7"/>
  <c r="FV99" i="7" s="1"/>
  <c r="GP99" i="7" s="1"/>
  <c r="FU98" i="7"/>
  <c r="GP97" i="7"/>
  <c r="GR97" i="7" s="1"/>
  <c r="GM97" i="7"/>
  <c r="GO97" i="7" s="1"/>
  <c r="GJ97" i="7"/>
  <c r="GG97" i="7"/>
  <c r="GE97" i="7"/>
  <c r="GC97" i="7"/>
  <c r="GC96" i="7"/>
  <c r="GC95" i="7"/>
  <c r="GC94" i="7"/>
  <c r="GC93" i="7"/>
  <c r="GC92" i="7"/>
  <c r="FU92" i="7"/>
  <c r="FU93" i="7" s="1"/>
  <c r="FU94" i="7" s="1"/>
  <c r="FU95" i="7" s="1"/>
  <c r="FU96" i="7" s="1"/>
  <c r="GQ91" i="7"/>
  <c r="GQ92" i="7" s="1"/>
  <c r="GQ93" i="7" s="1"/>
  <c r="GQ94" i="7" s="1"/>
  <c r="GQ95" i="7" s="1"/>
  <c r="GQ96" i="7" s="1"/>
  <c r="GQ157" i="7" s="1"/>
  <c r="GN91" i="7"/>
  <c r="GN92" i="7" s="1"/>
  <c r="GN93" i="7" s="1"/>
  <c r="GC91" i="7"/>
  <c r="FV91" i="7"/>
  <c r="FV92" i="7" s="1"/>
  <c r="GP90" i="7"/>
  <c r="GR90" i="7" s="1"/>
  <c r="GM90" i="7"/>
  <c r="GO90" i="7" s="1"/>
  <c r="GJ90" i="7"/>
  <c r="GG90" i="7"/>
  <c r="GE90" i="7"/>
  <c r="GC90" i="7"/>
  <c r="GC89" i="7"/>
  <c r="GC88" i="7"/>
  <c r="GC87" i="7"/>
  <c r="GC86" i="7"/>
  <c r="GC85" i="7"/>
  <c r="GQ84" i="7"/>
  <c r="GQ85" i="7" s="1"/>
  <c r="GQ86" i="7" s="1"/>
  <c r="GQ87" i="7" s="1"/>
  <c r="GQ88" i="7" s="1"/>
  <c r="GQ89" i="7" s="1"/>
  <c r="GQ156" i="7" s="1"/>
  <c r="GN84" i="7"/>
  <c r="GN85" i="7" s="1"/>
  <c r="GN86" i="7" s="1"/>
  <c r="GC84" i="7"/>
  <c r="FV84" i="7"/>
  <c r="FV85" i="7" s="1"/>
  <c r="FU84" i="7"/>
  <c r="FU85" i="7" s="1"/>
  <c r="FU86" i="7" s="1"/>
  <c r="FU87" i="7" s="1"/>
  <c r="FU88" i="7" s="1"/>
  <c r="FU89" i="7" s="1"/>
  <c r="GP83" i="7"/>
  <c r="GR83" i="7" s="1"/>
  <c r="GM83" i="7"/>
  <c r="GO83" i="7" s="1"/>
  <c r="GJ83" i="7"/>
  <c r="GG83" i="7"/>
  <c r="GE83" i="7"/>
  <c r="GC83" i="7"/>
  <c r="GC82" i="7"/>
  <c r="GC81" i="7"/>
  <c r="GC80" i="7"/>
  <c r="GC79" i="7"/>
  <c r="GC78" i="7"/>
  <c r="GQ77" i="7"/>
  <c r="GQ78" i="7" s="1"/>
  <c r="GQ79" i="7" s="1"/>
  <c r="GQ80" i="7" s="1"/>
  <c r="GQ81" i="7" s="1"/>
  <c r="GQ82" i="7" s="1"/>
  <c r="GN77" i="7"/>
  <c r="GN78" i="7" s="1"/>
  <c r="GC77" i="7"/>
  <c r="FV77" i="7"/>
  <c r="FV78" i="7" s="1"/>
  <c r="FV79" i="7" s="1"/>
  <c r="FU77" i="7"/>
  <c r="FU78" i="7" s="1"/>
  <c r="FU79" i="7" s="1"/>
  <c r="FU80" i="7" s="1"/>
  <c r="FU81" i="7" s="1"/>
  <c r="FU82" i="7" s="1"/>
  <c r="GP76" i="7"/>
  <c r="GR76" i="7" s="1"/>
  <c r="GM76" i="7"/>
  <c r="GO76" i="7" s="1"/>
  <c r="GJ76" i="7"/>
  <c r="GG76" i="7"/>
  <c r="GE76" i="7"/>
  <c r="GC76" i="7"/>
  <c r="GC75" i="7"/>
  <c r="GC74" i="7"/>
  <c r="FU74" i="7"/>
  <c r="FU75" i="7" s="1"/>
  <c r="GC73" i="7"/>
  <c r="GC72" i="7"/>
  <c r="GC71" i="7"/>
  <c r="GQ70" i="7"/>
  <c r="GQ71" i="7" s="1"/>
  <c r="GQ72" i="7" s="1"/>
  <c r="GQ73" i="7" s="1"/>
  <c r="GQ74" i="7" s="1"/>
  <c r="GQ75" i="7" s="1"/>
  <c r="GN70" i="7"/>
  <c r="GN71" i="7" s="1"/>
  <c r="GN72" i="7" s="1"/>
  <c r="GN73" i="7" s="1"/>
  <c r="GN74" i="7" s="1"/>
  <c r="GN75" i="7" s="1"/>
  <c r="GC70" i="7"/>
  <c r="FV70" i="7"/>
  <c r="FV71" i="7" s="1"/>
  <c r="FU70" i="7"/>
  <c r="FU71" i="7" s="1"/>
  <c r="FU72" i="7" s="1"/>
  <c r="GP69" i="7"/>
  <c r="GR69" i="7" s="1"/>
  <c r="GM69" i="7"/>
  <c r="GO69" i="7" s="1"/>
  <c r="GJ69" i="7"/>
  <c r="GG69" i="7"/>
  <c r="GE69" i="7"/>
  <c r="GC69" i="7"/>
  <c r="GC68" i="7"/>
  <c r="GC67" i="7"/>
  <c r="GC66" i="7"/>
  <c r="GC65" i="7"/>
  <c r="GC64" i="7"/>
  <c r="GQ63" i="7"/>
  <c r="GQ64" i="7" s="1"/>
  <c r="GQ65" i="7" s="1"/>
  <c r="GQ66" i="7" s="1"/>
  <c r="GQ67" i="7" s="1"/>
  <c r="GQ68" i="7" s="1"/>
  <c r="GN63" i="7"/>
  <c r="GN64" i="7" s="1"/>
  <c r="GN65" i="7" s="1"/>
  <c r="GN66" i="7" s="1"/>
  <c r="GN67" i="7" s="1"/>
  <c r="GN68" i="7" s="1"/>
  <c r="GC63" i="7"/>
  <c r="FV63" i="7"/>
  <c r="GP63" i="7" s="1"/>
  <c r="GR63" i="7" s="1"/>
  <c r="FU63" i="7"/>
  <c r="FU64" i="7" s="1"/>
  <c r="FU65" i="7" s="1"/>
  <c r="FU66" i="7" s="1"/>
  <c r="FU67" i="7" s="1"/>
  <c r="FU68" i="7" s="1"/>
  <c r="GP62" i="7"/>
  <c r="GR62" i="7" s="1"/>
  <c r="GM62" i="7"/>
  <c r="GO62" i="7" s="1"/>
  <c r="GJ62" i="7"/>
  <c r="GG62" i="7"/>
  <c r="GE62" i="7"/>
  <c r="GC62" i="7"/>
  <c r="GC61" i="7"/>
  <c r="FU61" i="7"/>
  <c r="GC60" i="7"/>
  <c r="GC59" i="7"/>
  <c r="GC58" i="7"/>
  <c r="GC57" i="7"/>
  <c r="GQ56" i="7"/>
  <c r="GQ57" i="7" s="1"/>
  <c r="GQ58" i="7" s="1"/>
  <c r="GQ59" i="7" s="1"/>
  <c r="GQ60" i="7" s="1"/>
  <c r="GQ61" i="7" s="1"/>
  <c r="GN56" i="7"/>
  <c r="GN57" i="7" s="1"/>
  <c r="GN58" i="7" s="1"/>
  <c r="GN59" i="7" s="1"/>
  <c r="GN60" i="7" s="1"/>
  <c r="GN61" i="7" s="1"/>
  <c r="GC56" i="7"/>
  <c r="FV56" i="7"/>
  <c r="GP56" i="7" s="1"/>
  <c r="GR56" i="7" s="1"/>
  <c r="FU56" i="7"/>
  <c r="FU57" i="7" s="1"/>
  <c r="FU58" i="7" s="1"/>
  <c r="FU59" i="7" s="1"/>
  <c r="GP55" i="7"/>
  <c r="GR55" i="7" s="1"/>
  <c r="GM55" i="7"/>
  <c r="GO55" i="7" s="1"/>
  <c r="GJ55" i="7"/>
  <c r="GG55" i="7"/>
  <c r="GE55" i="7"/>
  <c r="GC55" i="7"/>
  <c r="GC54" i="7"/>
  <c r="GC53" i="7"/>
  <c r="GC52" i="7"/>
  <c r="GC51" i="7"/>
  <c r="GN50" i="7"/>
  <c r="GN51" i="7" s="1"/>
  <c r="GN52" i="7" s="1"/>
  <c r="GC50" i="7"/>
  <c r="GQ49" i="7"/>
  <c r="GQ50" i="7" s="1"/>
  <c r="GQ51" i="7" s="1"/>
  <c r="GQ52" i="7" s="1"/>
  <c r="GQ53" i="7" s="1"/>
  <c r="GQ54" i="7" s="1"/>
  <c r="GN49" i="7"/>
  <c r="GC49" i="7"/>
  <c r="FV49" i="7"/>
  <c r="FU49" i="7"/>
  <c r="FU50" i="7" s="1"/>
  <c r="FU51" i="7" s="1"/>
  <c r="FU52" i="7" s="1"/>
  <c r="FU53" i="7" s="1"/>
  <c r="FU54" i="7" s="1"/>
  <c r="GP48" i="7"/>
  <c r="GR48" i="7" s="1"/>
  <c r="GM48" i="7"/>
  <c r="GO48" i="7" s="1"/>
  <c r="GJ48" i="7"/>
  <c r="GG48" i="7"/>
  <c r="GE48" i="7"/>
  <c r="GC48" i="7"/>
  <c r="GC47" i="7"/>
  <c r="GC46" i="7"/>
  <c r="GC45" i="7"/>
  <c r="GC44" i="7"/>
  <c r="GC43" i="7"/>
  <c r="GQ42" i="7"/>
  <c r="GQ43" i="7" s="1"/>
  <c r="GQ44" i="7" s="1"/>
  <c r="GQ45" i="7" s="1"/>
  <c r="GQ46" i="7" s="1"/>
  <c r="GQ47" i="7" s="1"/>
  <c r="GN42" i="7"/>
  <c r="GN43" i="7" s="1"/>
  <c r="GN44" i="7" s="1"/>
  <c r="GC42" i="7"/>
  <c r="FV42" i="7"/>
  <c r="FV43" i="7" s="1"/>
  <c r="FU42" i="7"/>
  <c r="FU43" i="7" s="1"/>
  <c r="FU44" i="7" s="1"/>
  <c r="FU45" i="7" s="1"/>
  <c r="FU46" i="7" s="1"/>
  <c r="FU47" i="7" s="1"/>
  <c r="GP41" i="7"/>
  <c r="GR41" i="7" s="1"/>
  <c r="GM41" i="7"/>
  <c r="GO41" i="7" s="1"/>
  <c r="GJ41" i="7"/>
  <c r="GG41" i="7"/>
  <c r="GE41" i="7"/>
  <c r="GC41" i="7"/>
  <c r="GC40" i="7"/>
  <c r="GC39" i="7"/>
  <c r="GC38" i="7"/>
  <c r="FU38" i="7"/>
  <c r="FU39" i="7" s="1"/>
  <c r="FU40" i="7" s="1"/>
  <c r="GC37" i="7"/>
  <c r="GN36" i="7"/>
  <c r="GN37" i="7" s="1"/>
  <c r="GN38" i="7" s="1"/>
  <c r="GN39" i="7" s="1"/>
  <c r="GC36" i="7"/>
  <c r="GQ35" i="7"/>
  <c r="GQ36" i="7" s="1"/>
  <c r="GQ37" i="7" s="1"/>
  <c r="GQ38" i="7" s="1"/>
  <c r="GQ39" i="7" s="1"/>
  <c r="GQ40" i="7" s="1"/>
  <c r="GN35" i="7"/>
  <c r="GC35" i="7"/>
  <c r="FV35" i="7"/>
  <c r="GP34" i="7"/>
  <c r="GR34" i="7" s="1"/>
  <c r="GM34" i="7"/>
  <c r="GO34" i="7" s="1"/>
  <c r="GJ34" i="7"/>
  <c r="GG34" i="7"/>
  <c r="GE34" i="7"/>
  <c r="GC34" i="7"/>
  <c r="GC33" i="7"/>
  <c r="GC32" i="7"/>
  <c r="GC31" i="7"/>
  <c r="GC30" i="7"/>
  <c r="GQ29" i="7"/>
  <c r="GQ30" i="7" s="1"/>
  <c r="GQ31" i="7" s="1"/>
  <c r="GQ32" i="7" s="1"/>
  <c r="GQ33" i="7" s="1"/>
  <c r="GC29" i="7"/>
  <c r="FV29" i="7"/>
  <c r="GP29" i="7" s="1"/>
  <c r="GQ28" i="7"/>
  <c r="GP28" i="7"/>
  <c r="GR28" i="7" s="1"/>
  <c r="GN28" i="7"/>
  <c r="GC28" i="7"/>
  <c r="FV28" i="7"/>
  <c r="FU28" i="7"/>
  <c r="FU29" i="7" s="1"/>
  <c r="FU30" i="7" s="1"/>
  <c r="FU31" i="7" s="1"/>
  <c r="GP27" i="7"/>
  <c r="GR27" i="7" s="1"/>
  <c r="GM27" i="7"/>
  <c r="GO27" i="7" s="1"/>
  <c r="GJ27" i="7"/>
  <c r="GG27" i="7"/>
  <c r="GE27" i="7"/>
  <c r="GC27" i="7"/>
  <c r="GC26" i="7"/>
  <c r="GC25" i="7"/>
  <c r="GC24" i="7"/>
  <c r="GC23" i="7"/>
  <c r="GC22" i="7"/>
  <c r="GQ21" i="7"/>
  <c r="GQ22" i="7" s="1"/>
  <c r="GQ23" i="7" s="1"/>
  <c r="GQ24" i="7" s="1"/>
  <c r="GQ25" i="7" s="1"/>
  <c r="GQ26" i="7" s="1"/>
  <c r="GN21" i="7"/>
  <c r="GN22" i="7" s="1"/>
  <c r="GN23" i="7" s="1"/>
  <c r="GC21" i="7"/>
  <c r="FV21" i="7"/>
  <c r="FV22" i="7" s="1"/>
  <c r="FU21" i="7"/>
  <c r="FU22" i="7" s="1"/>
  <c r="FU23" i="7" s="1"/>
  <c r="FU24" i="7" s="1"/>
  <c r="FU25" i="7" s="1"/>
  <c r="FU26" i="7" s="1"/>
  <c r="GP20" i="7"/>
  <c r="GR20" i="7" s="1"/>
  <c r="GM20" i="7"/>
  <c r="GO20" i="7" s="1"/>
  <c r="GJ20" i="7"/>
  <c r="GG20" i="7"/>
  <c r="GE20" i="7"/>
  <c r="GC20" i="7"/>
  <c r="GC19" i="7"/>
  <c r="GC18" i="7"/>
  <c r="GC17" i="7"/>
  <c r="GC16" i="7"/>
  <c r="GC15" i="7"/>
  <c r="GQ14" i="7"/>
  <c r="GQ15" i="7" s="1"/>
  <c r="GQ16" i="7" s="1"/>
  <c r="GQ17" i="7" s="1"/>
  <c r="GQ18" i="7" s="1"/>
  <c r="GQ19" i="7" s="1"/>
  <c r="GN14" i="7"/>
  <c r="GN15" i="7" s="1"/>
  <c r="GC14" i="7"/>
  <c r="FV14" i="7"/>
  <c r="FV15" i="7" s="1"/>
  <c r="FU14" i="7"/>
  <c r="FU15" i="7" s="1"/>
  <c r="FU16" i="7" s="1"/>
  <c r="FU17" i="7" s="1"/>
  <c r="FU18" i="7" s="1"/>
  <c r="FU19" i="7" s="1"/>
  <c r="GP13" i="7"/>
  <c r="GR13" i="7" s="1"/>
  <c r="GM13" i="7"/>
  <c r="GO13" i="7" s="1"/>
  <c r="GJ13" i="7"/>
  <c r="GG13" i="7"/>
  <c r="GE13" i="7"/>
  <c r="GC13" i="7"/>
  <c r="GC12" i="7"/>
  <c r="GC11" i="7"/>
  <c r="GC10" i="7"/>
  <c r="GC9" i="7"/>
  <c r="GC8" i="7"/>
  <c r="GQ7" i="7"/>
  <c r="GQ8" i="7" s="1"/>
  <c r="GQ9" i="7" s="1"/>
  <c r="GQ10" i="7" s="1"/>
  <c r="GQ11" i="7" s="1"/>
  <c r="GQ12" i="7" s="1"/>
  <c r="GN7" i="7"/>
  <c r="GN8" i="7" s="1"/>
  <c r="GC7" i="7"/>
  <c r="FV7" i="7"/>
  <c r="FV8" i="7" s="1"/>
  <c r="GP8" i="7" s="1"/>
  <c r="FU7" i="7"/>
  <c r="FU8" i="7" s="1"/>
  <c r="FU9" i="7" s="1"/>
  <c r="FU10" i="7" s="1"/>
  <c r="FU11" i="7" s="1"/>
  <c r="FU12" i="7" s="1"/>
  <c r="GP6" i="7"/>
  <c r="GR6" i="7" s="1"/>
  <c r="GM6" i="7"/>
  <c r="GO6" i="7" s="1"/>
  <c r="GK6" i="7"/>
  <c r="GL6" i="7" s="1"/>
  <c r="GJ6" i="7"/>
  <c r="GG6" i="7"/>
  <c r="GE6" i="7"/>
  <c r="GC6" i="7"/>
  <c r="FX6" i="7"/>
  <c r="FD138" i="7"/>
  <c r="FD137" i="7"/>
  <c r="FD136" i="7"/>
  <c r="FD135" i="7"/>
  <c r="EV135" i="7"/>
  <c r="EV136" i="7" s="1"/>
  <c r="EV137" i="7" s="1"/>
  <c r="EV138" i="7" s="1"/>
  <c r="FD134" i="7"/>
  <c r="FR133" i="7"/>
  <c r="FR134" i="7" s="1"/>
  <c r="FR135" i="7" s="1"/>
  <c r="FR136" i="7" s="1"/>
  <c r="FR137" i="7" s="1"/>
  <c r="FR138" i="7" s="1"/>
  <c r="FR163" i="7" s="1"/>
  <c r="FO133" i="7"/>
  <c r="FO134" i="7" s="1"/>
  <c r="FO135" i="7" s="1"/>
  <c r="FO136" i="7" s="1"/>
  <c r="FO137" i="7" s="1"/>
  <c r="FO138" i="7" s="1"/>
  <c r="FD133" i="7"/>
  <c r="EW133" i="7"/>
  <c r="EV133" i="7"/>
  <c r="FQ132" i="7"/>
  <c r="FS132" i="7" s="1"/>
  <c r="FN132" i="7"/>
  <c r="FP132" i="7" s="1"/>
  <c r="FK132" i="7"/>
  <c r="FH132" i="7"/>
  <c r="FF132" i="7"/>
  <c r="FD132" i="7"/>
  <c r="FD131" i="7"/>
  <c r="FD130" i="7"/>
  <c r="FD129" i="7"/>
  <c r="FD128" i="7"/>
  <c r="FD127" i="7"/>
  <c r="EV127" i="7"/>
  <c r="EV128" i="7" s="1"/>
  <c r="EV129" i="7" s="1"/>
  <c r="EV130" i="7" s="1"/>
  <c r="EV131" i="7" s="1"/>
  <c r="FR126" i="7"/>
  <c r="FR127" i="7" s="1"/>
  <c r="FR128" i="7" s="1"/>
  <c r="FR129" i="7" s="1"/>
  <c r="FR130" i="7" s="1"/>
  <c r="FR131" i="7" s="1"/>
  <c r="FR162" i="7" s="1"/>
  <c r="FO126" i="7"/>
  <c r="FD126" i="7"/>
  <c r="EW126" i="7"/>
  <c r="EW127" i="7" s="1"/>
  <c r="EV126" i="7"/>
  <c r="FQ125" i="7"/>
  <c r="FS125" i="7" s="1"/>
  <c r="FN125" i="7"/>
  <c r="FP125" i="7" s="1"/>
  <c r="FK125" i="7"/>
  <c r="FH125" i="7"/>
  <c r="FF125" i="7"/>
  <c r="FD125" i="7"/>
  <c r="FD124" i="7"/>
  <c r="FD123" i="7"/>
  <c r="FD122" i="7"/>
  <c r="FD121" i="7"/>
  <c r="FD120" i="7"/>
  <c r="EW120" i="7"/>
  <c r="FQ120" i="7" s="1"/>
  <c r="FR119" i="7"/>
  <c r="FR120" i="7" s="1"/>
  <c r="FR121" i="7" s="1"/>
  <c r="FR122" i="7" s="1"/>
  <c r="FR123" i="7" s="1"/>
  <c r="FR124" i="7" s="1"/>
  <c r="FR161" i="7" s="1"/>
  <c r="FO119" i="7"/>
  <c r="FO120" i="7" s="1"/>
  <c r="FO121" i="7" s="1"/>
  <c r="FO122" i="7" s="1"/>
  <c r="FD119" i="7"/>
  <c r="EW119" i="7"/>
  <c r="FQ119" i="7" s="1"/>
  <c r="FS119" i="7" s="1"/>
  <c r="EV119" i="7"/>
  <c r="EV120" i="7" s="1"/>
  <c r="EV121" i="7" s="1"/>
  <c r="EV122" i="7" s="1"/>
  <c r="EV123" i="7" s="1"/>
  <c r="EV124" i="7" s="1"/>
  <c r="FQ118" i="7"/>
  <c r="FS118" i="7" s="1"/>
  <c r="FN118" i="7"/>
  <c r="FP118" i="7" s="1"/>
  <c r="FK118" i="7"/>
  <c r="FH118" i="7"/>
  <c r="FF118" i="7"/>
  <c r="FD118" i="7"/>
  <c r="FD117" i="7"/>
  <c r="FD116" i="7"/>
  <c r="FD115" i="7"/>
  <c r="FD114" i="7"/>
  <c r="FD113" i="7"/>
  <c r="FR112" i="7"/>
  <c r="FR113" i="7" s="1"/>
  <c r="FR114" i="7" s="1"/>
  <c r="FR115" i="7" s="1"/>
  <c r="FR116" i="7" s="1"/>
  <c r="FR117" i="7" s="1"/>
  <c r="FR160" i="7" s="1"/>
  <c r="FO112" i="7"/>
  <c r="FO113" i="7" s="1"/>
  <c r="FO114" i="7" s="1"/>
  <c r="FD112" i="7"/>
  <c r="EW112" i="7"/>
  <c r="EW113" i="7" s="1"/>
  <c r="EV112" i="7"/>
  <c r="EV113" i="7" s="1"/>
  <c r="EV114" i="7" s="1"/>
  <c r="EV115" i="7" s="1"/>
  <c r="EV116" i="7" s="1"/>
  <c r="EV117" i="7" s="1"/>
  <c r="FQ111" i="7"/>
  <c r="FS111" i="7" s="1"/>
  <c r="FN111" i="7"/>
  <c r="FP111" i="7" s="1"/>
  <c r="FK111" i="7"/>
  <c r="FH111" i="7"/>
  <c r="FF111" i="7"/>
  <c r="FD111" i="7"/>
  <c r="FD110" i="7"/>
  <c r="FD109" i="7"/>
  <c r="FD108" i="7"/>
  <c r="FD107" i="7"/>
  <c r="EV107" i="7"/>
  <c r="EV108" i="7" s="1"/>
  <c r="EV109" i="7" s="1"/>
  <c r="EV110" i="7" s="1"/>
  <c r="FD106" i="7"/>
  <c r="FR105" i="7"/>
  <c r="FR106" i="7" s="1"/>
  <c r="FR107" i="7" s="1"/>
  <c r="FR108" i="7" s="1"/>
  <c r="FR109" i="7" s="1"/>
  <c r="FR110" i="7" s="1"/>
  <c r="FR159" i="7" s="1"/>
  <c r="FO105" i="7"/>
  <c r="FO106" i="7" s="1"/>
  <c r="FD105" i="7"/>
  <c r="EW105" i="7"/>
  <c r="EV105" i="7"/>
  <c r="EV106" i="7" s="1"/>
  <c r="FQ104" i="7"/>
  <c r="FS104" i="7" s="1"/>
  <c r="FN104" i="7"/>
  <c r="FP104" i="7" s="1"/>
  <c r="FK104" i="7"/>
  <c r="FH104" i="7"/>
  <c r="FF104" i="7"/>
  <c r="FD104" i="7"/>
  <c r="FD103" i="7"/>
  <c r="FD102" i="7"/>
  <c r="FD101" i="7"/>
  <c r="FD100" i="7"/>
  <c r="FD99" i="7"/>
  <c r="FR98" i="7"/>
  <c r="FR99" i="7" s="1"/>
  <c r="FR100" i="7" s="1"/>
  <c r="FR101" i="7" s="1"/>
  <c r="FR102" i="7" s="1"/>
  <c r="FR103" i="7" s="1"/>
  <c r="FR158" i="7" s="1"/>
  <c r="FO98" i="7"/>
  <c r="FD98" i="7"/>
  <c r="EW98" i="7"/>
  <c r="EW99" i="7" s="1"/>
  <c r="FQ99" i="7" s="1"/>
  <c r="EV98" i="7"/>
  <c r="EV99" i="7" s="1"/>
  <c r="EV100" i="7" s="1"/>
  <c r="EV101" i="7" s="1"/>
  <c r="EV102" i="7" s="1"/>
  <c r="EV103" i="7" s="1"/>
  <c r="FQ97" i="7"/>
  <c r="FS97" i="7" s="1"/>
  <c r="FN97" i="7"/>
  <c r="FP97" i="7" s="1"/>
  <c r="FK97" i="7"/>
  <c r="FH97" i="7"/>
  <c r="FF97" i="7"/>
  <c r="FD97" i="7"/>
  <c r="FD96" i="7"/>
  <c r="FD95" i="7"/>
  <c r="FD94" i="7"/>
  <c r="FD93" i="7"/>
  <c r="FO92" i="7"/>
  <c r="FO93" i="7" s="1"/>
  <c r="FD92" i="7"/>
  <c r="EV92" i="7"/>
  <c r="EV93" i="7" s="1"/>
  <c r="EV94" i="7" s="1"/>
  <c r="EV95" i="7" s="1"/>
  <c r="EV96" i="7" s="1"/>
  <c r="FR91" i="7"/>
  <c r="FR92" i="7" s="1"/>
  <c r="FR93" i="7" s="1"/>
  <c r="FR94" i="7" s="1"/>
  <c r="FR95" i="7" s="1"/>
  <c r="FR96" i="7" s="1"/>
  <c r="FR157" i="7" s="1"/>
  <c r="FQ91" i="7"/>
  <c r="FS91" i="7" s="1"/>
  <c r="FO91" i="7"/>
  <c r="FD91" i="7"/>
  <c r="EW91" i="7"/>
  <c r="EW92" i="7" s="1"/>
  <c r="FQ90" i="7"/>
  <c r="FS90" i="7" s="1"/>
  <c r="FN90" i="7"/>
  <c r="FP90" i="7" s="1"/>
  <c r="FK90" i="7"/>
  <c r="FH90" i="7"/>
  <c r="FF90" i="7"/>
  <c r="FD90" i="7"/>
  <c r="FD89" i="7"/>
  <c r="FD88" i="7"/>
  <c r="FD87" i="7"/>
  <c r="FD86" i="7"/>
  <c r="FD85" i="7"/>
  <c r="FR84" i="7"/>
  <c r="FR85" i="7" s="1"/>
  <c r="FR86" i="7" s="1"/>
  <c r="FR87" i="7" s="1"/>
  <c r="FR88" i="7" s="1"/>
  <c r="FR89" i="7" s="1"/>
  <c r="FR156" i="7" s="1"/>
  <c r="FO84" i="7"/>
  <c r="FO85" i="7" s="1"/>
  <c r="FO86" i="7" s="1"/>
  <c r="FD84" i="7"/>
  <c r="EW84" i="7"/>
  <c r="FQ84" i="7" s="1"/>
  <c r="EV84" i="7"/>
  <c r="EV85" i="7" s="1"/>
  <c r="EV86" i="7" s="1"/>
  <c r="EV87" i="7" s="1"/>
  <c r="EV88" i="7" s="1"/>
  <c r="EV89" i="7" s="1"/>
  <c r="FQ83" i="7"/>
  <c r="FS83" i="7" s="1"/>
  <c r="FN83" i="7"/>
  <c r="FP83" i="7" s="1"/>
  <c r="FK83" i="7"/>
  <c r="FH83" i="7"/>
  <c r="FF83" i="7"/>
  <c r="FD83" i="7"/>
  <c r="FD82" i="7"/>
  <c r="FD81" i="7"/>
  <c r="FD80" i="7"/>
  <c r="FD79" i="7"/>
  <c r="FD78" i="7"/>
  <c r="FR77" i="7"/>
  <c r="FR78" i="7" s="1"/>
  <c r="FR79" i="7" s="1"/>
  <c r="FR80" i="7" s="1"/>
  <c r="FR81" i="7" s="1"/>
  <c r="FR82" i="7" s="1"/>
  <c r="FR155" i="7" s="1"/>
  <c r="FO77" i="7"/>
  <c r="FO78" i="7" s="1"/>
  <c r="FD77" i="7"/>
  <c r="EW77" i="7"/>
  <c r="EV77" i="7"/>
  <c r="EV78" i="7" s="1"/>
  <c r="EV79" i="7" s="1"/>
  <c r="EV80" i="7" s="1"/>
  <c r="EV81" i="7" s="1"/>
  <c r="EV82" i="7" s="1"/>
  <c r="FQ76" i="7"/>
  <c r="FS76" i="7" s="1"/>
  <c r="FN76" i="7"/>
  <c r="FP76" i="7" s="1"/>
  <c r="FK76" i="7"/>
  <c r="FH76" i="7"/>
  <c r="FF76" i="7"/>
  <c r="FD76" i="7"/>
  <c r="FD75" i="7"/>
  <c r="FD74" i="7"/>
  <c r="EV74" i="7"/>
  <c r="EV75" i="7" s="1"/>
  <c r="FD73" i="7"/>
  <c r="FD72" i="7"/>
  <c r="FD71" i="7"/>
  <c r="FR70" i="7"/>
  <c r="FR71" i="7" s="1"/>
  <c r="FR72" i="7" s="1"/>
  <c r="FR73" i="7" s="1"/>
  <c r="FR74" i="7" s="1"/>
  <c r="FR75" i="7" s="1"/>
  <c r="FO70" i="7"/>
  <c r="FO71" i="7" s="1"/>
  <c r="FD70" i="7"/>
  <c r="EW70" i="7"/>
  <c r="EV70" i="7"/>
  <c r="EV71" i="7" s="1"/>
  <c r="EV72" i="7" s="1"/>
  <c r="FQ69" i="7"/>
  <c r="FS69" i="7" s="1"/>
  <c r="FN69" i="7"/>
  <c r="FP69" i="7" s="1"/>
  <c r="FK69" i="7"/>
  <c r="FH69" i="7"/>
  <c r="FF69" i="7"/>
  <c r="FD69" i="7"/>
  <c r="FD68" i="7"/>
  <c r="FD67" i="7"/>
  <c r="FD66" i="7"/>
  <c r="FD65" i="7"/>
  <c r="FD64" i="7"/>
  <c r="EV64" i="7"/>
  <c r="EV65" i="7" s="1"/>
  <c r="EV66" i="7" s="1"/>
  <c r="EV67" i="7" s="1"/>
  <c r="EV68" i="7" s="1"/>
  <c r="FR63" i="7"/>
  <c r="FR64" i="7" s="1"/>
  <c r="FR65" i="7" s="1"/>
  <c r="FR66" i="7" s="1"/>
  <c r="FR67" i="7" s="1"/>
  <c r="FR68" i="7" s="1"/>
  <c r="FO63" i="7"/>
  <c r="FO64" i="7" s="1"/>
  <c r="FD63" i="7"/>
  <c r="EW63" i="7"/>
  <c r="EW64" i="7" s="1"/>
  <c r="FQ64" i="7" s="1"/>
  <c r="EV63" i="7"/>
  <c r="FQ62" i="7"/>
  <c r="FS62" i="7" s="1"/>
  <c r="FN62" i="7"/>
  <c r="FP62" i="7" s="1"/>
  <c r="FK62" i="7"/>
  <c r="FH62" i="7"/>
  <c r="FF62" i="7"/>
  <c r="FD62" i="7"/>
  <c r="FD61" i="7"/>
  <c r="EV61" i="7"/>
  <c r="FD60" i="7"/>
  <c r="FD59" i="7"/>
  <c r="FD58" i="7"/>
  <c r="FD57" i="7"/>
  <c r="FR56" i="7"/>
  <c r="FR57" i="7" s="1"/>
  <c r="FR58" i="7" s="1"/>
  <c r="FR59" i="7" s="1"/>
  <c r="FR60" i="7" s="1"/>
  <c r="FR61" i="7" s="1"/>
  <c r="FO56" i="7"/>
  <c r="FO57" i="7" s="1"/>
  <c r="FO58" i="7" s="1"/>
  <c r="FO59" i="7" s="1"/>
  <c r="FO60" i="7" s="1"/>
  <c r="FO61" i="7" s="1"/>
  <c r="FD56" i="7"/>
  <c r="EW56" i="7"/>
  <c r="EV56" i="7"/>
  <c r="EV57" i="7" s="1"/>
  <c r="EV58" i="7" s="1"/>
  <c r="EV59" i="7" s="1"/>
  <c r="FQ55" i="7"/>
  <c r="FS55" i="7" s="1"/>
  <c r="FN55" i="7"/>
  <c r="FP55" i="7" s="1"/>
  <c r="FK55" i="7"/>
  <c r="FH55" i="7"/>
  <c r="FF55" i="7"/>
  <c r="FD55" i="7"/>
  <c r="FD54" i="7"/>
  <c r="FD53" i="7"/>
  <c r="FD52" i="7"/>
  <c r="FD51" i="7"/>
  <c r="FD50" i="7"/>
  <c r="FR49" i="7"/>
  <c r="FR50" i="7" s="1"/>
  <c r="FR51" i="7" s="1"/>
  <c r="FR52" i="7" s="1"/>
  <c r="FR53" i="7" s="1"/>
  <c r="FR54" i="7" s="1"/>
  <c r="FO49" i="7"/>
  <c r="FO50" i="7" s="1"/>
  <c r="FO51" i="7" s="1"/>
  <c r="FO52" i="7" s="1"/>
  <c r="FO53" i="7" s="1"/>
  <c r="FO54" i="7" s="1"/>
  <c r="FD49" i="7"/>
  <c r="EW49" i="7"/>
  <c r="EV49" i="7"/>
  <c r="EV50" i="7" s="1"/>
  <c r="EV51" i="7" s="1"/>
  <c r="EV52" i="7" s="1"/>
  <c r="EV53" i="7" s="1"/>
  <c r="EV54" i="7" s="1"/>
  <c r="FQ48" i="7"/>
  <c r="FS48" i="7" s="1"/>
  <c r="FN48" i="7"/>
  <c r="FP48" i="7" s="1"/>
  <c r="FK48" i="7"/>
  <c r="FH48" i="7"/>
  <c r="FF48" i="7"/>
  <c r="FD48" i="7"/>
  <c r="FD47" i="7"/>
  <c r="FD46" i="7"/>
  <c r="FD45" i="7"/>
  <c r="FD44" i="7"/>
  <c r="FD43" i="7"/>
  <c r="FR42" i="7"/>
  <c r="FR43" i="7" s="1"/>
  <c r="FR44" i="7" s="1"/>
  <c r="FR45" i="7" s="1"/>
  <c r="FR46" i="7" s="1"/>
  <c r="FR47" i="7" s="1"/>
  <c r="FQ42" i="7"/>
  <c r="FS42" i="7" s="1"/>
  <c r="FO42" i="7"/>
  <c r="FO43" i="7" s="1"/>
  <c r="FO44" i="7" s="1"/>
  <c r="FO45" i="7" s="1"/>
  <c r="FO46" i="7" s="1"/>
  <c r="FD42" i="7"/>
  <c r="EW42" i="7"/>
  <c r="EW43" i="7" s="1"/>
  <c r="EW44" i="7" s="1"/>
  <c r="EW45" i="7" s="1"/>
  <c r="EV42" i="7"/>
  <c r="EV43" i="7" s="1"/>
  <c r="EV44" i="7" s="1"/>
  <c r="EV45" i="7" s="1"/>
  <c r="EV46" i="7" s="1"/>
  <c r="EV47" i="7" s="1"/>
  <c r="FQ41" i="7"/>
  <c r="FS41" i="7" s="1"/>
  <c r="FN41" i="7"/>
  <c r="FP41" i="7" s="1"/>
  <c r="FK41" i="7"/>
  <c r="FH41" i="7"/>
  <c r="FF41" i="7"/>
  <c r="FD41" i="7"/>
  <c r="FD40" i="7"/>
  <c r="FD39" i="7"/>
  <c r="FD38" i="7"/>
  <c r="EV38" i="7"/>
  <c r="EV39" i="7" s="1"/>
  <c r="EV40" i="7" s="1"/>
  <c r="FD37" i="7"/>
  <c r="FD36" i="7"/>
  <c r="FR35" i="7"/>
  <c r="FR36" i="7" s="1"/>
  <c r="FR37" i="7" s="1"/>
  <c r="FR38" i="7" s="1"/>
  <c r="FR39" i="7" s="1"/>
  <c r="FR40" i="7" s="1"/>
  <c r="FO35" i="7"/>
  <c r="FO36" i="7" s="1"/>
  <c r="FD35" i="7"/>
  <c r="EW35" i="7"/>
  <c r="FQ34" i="7"/>
  <c r="FS34" i="7" s="1"/>
  <c r="FN34" i="7"/>
  <c r="FP34" i="7" s="1"/>
  <c r="FK34" i="7"/>
  <c r="FH34" i="7"/>
  <c r="FF34" i="7"/>
  <c r="FD34" i="7"/>
  <c r="FD33" i="7"/>
  <c r="FD32" i="7"/>
  <c r="FD31" i="7"/>
  <c r="FD30" i="7"/>
  <c r="FD29" i="7"/>
  <c r="EW29" i="7"/>
  <c r="EW30" i="7" s="1"/>
  <c r="FR28" i="7"/>
  <c r="FR29" i="7" s="1"/>
  <c r="FR30" i="7" s="1"/>
  <c r="FR31" i="7" s="1"/>
  <c r="FR32" i="7" s="1"/>
  <c r="FR33" i="7" s="1"/>
  <c r="FQ28" i="7"/>
  <c r="FS28" i="7" s="1"/>
  <c r="FO28" i="7"/>
  <c r="FO29" i="7" s="1"/>
  <c r="FO30" i="7" s="1"/>
  <c r="FO31" i="7" s="1"/>
  <c r="FD28" i="7"/>
  <c r="EW28" i="7"/>
  <c r="EV28" i="7"/>
  <c r="EV29" i="7" s="1"/>
  <c r="EV30" i="7" s="1"/>
  <c r="EV31" i="7" s="1"/>
  <c r="FQ27" i="7"/>
  <c r="FS27" i="7" s="1"/>
  <c r="FN27" i="7"/>
  <c r="FP27" i="7" s="1"/>
  <c r="FK27" i="7"/>
  <c r="FH27" i="7"/>
  <c r="FF27" i="7"/>
  <c r="FD27" i="7"/>
  <c r="FD26" i="7"/>
  <c r="FD25" i="7"/>
  <c r="FD24" i="7"/>
  <c r="FD23" i="7"/>
  <c r="FO22" i="7"/>
  <c r="FO23" i="7" s="1"/>
  <c r="FO24" i="7" s="1"/>
  <c r="FD22" i="7"/>
  <c r="EW22" i="7"/>
  <c r="EW23" i="7" s="1"/>
  <c r="FR21" i="7"/>
  <c r="FR22" i="7" s="1"/>
  <c r="FR23" i="7" s="1"/>
  <c r="FR24" i="7" s="1"/>
  <c r="FR25" i="7" s="1"/>
  <c r="FR26" i="7" s="1"/>
  <c r="FQ21" i="7"/>
  <c r="FS21" i="7" s="1"/>
  <c r="FO21" i="7"/>
  <c r="FD21" i="7"/>
  <c r="EW21" i="7"/>
  <c r="EV21" i="7"/>
  <c r="EV22" i="7" s="1"/>
  <c r="EV23" i="7" s="1"/>
  <c r="EV24" i="7" s="1"/>
  <c r="EV25" i="7" s="1"/>
  <c r="EV26" i="7" s="1"/>
  <c r="FQ20" i="7"/>
  <c r="FS20" i="7" s="1"/>
  <c r="FN20" i="7"/>
  <c r="FP20" i="7" s="1"/>
  <c r="FK20" i="7"/>
  <c r="FH20" i="7"/>
  <c r="FF20" i="7"/>
  <c r="FD20" i="7"/>
  <c r="FD19" i="7"/>
  <c r="FD18" i="7"/>
  <c r="FD17" i="7"/>
  <c r="FD16" i="7"/>
  <c r="FD15" i="7"/>
  <c r="FR14" i="7"/>
  <c r="FR15" i="7" s="1"/>
  <c r="FR16" i="7" s="1"/>
  <c r="FR17" i="7" s="1"/>
  <c r="FR18" i="7" s="1"/>
  <c r="FR19" i="7" s="1"/>
  <c r="FO14" i="7"/>
  <c r="FO15" i="7" s="1"/>
  <c r="FO16" i="7" s="1"/>
  <c r="FD14" i="7"/>
  <c r="EW14" i="7"/>
  <c r="EW15" i="7" s="1"/>
  <c r="EV14" i="7"/>
  <c r="EV15" i="7" s="1"/>
  <c r="EV16" i="7" s="1"/>
  <c r="EV17" i="7" s="1"/>
  <c r="EV18" i="7" s="1"/>
  <c r="EV19" i="7" s="1"/>
  <c r="FQ13" i="7"/>
  <c r="FS13" i="7" s="1"/>
  <c r="FN13" i="7"/>
  <c r="FP13" i="7" s="1"/>
  <c r="FK13" i="7"/>
  <c r="FH13" i="7"/>
  <c r="FF13" i="7"/>
  <c r="FD13" i="7"/>
  <c r="FD12" i="7"/>
  <c r="FD11" i="7"/>
  <c r="FD10" i="7"/>
  <c r="FD9" i="7"/>
  <c r="FD8" i="7"/>
  <c r="FR7" i="7"/>
  <c r="FR8" i="7" s="1"/>
  <c r="FR9" i="7" s="1"/>
  <c r="FR10" i="7" s="1"/>
  <c r="FR11" i="7" s="1"/>
  <c r="FR12" i="7" s="1"/>
  <c r="FO7" i="7"/>
  <c r="FO8" i="7" s="1"/>
  <c r="FD7" i="7"/>
  <c r="EW7" i="7"/>
  <c r="EW8" i="7" s="1"/>
  <c r="EV7" i="7"/>
  <c r="EV8" i="7" s="1"/>
  <c r="EV9" i="7" s="1"/>
  <c r="EV10" i="7" s="1"/>
  <c r="EV11" i="7" s="1"/>
  <c r="EV12" i="7" s="1"/>
  <c r="FQ6" i="7"/>
  <c r="FS6" i="7" s="1"/>
  <c r="FN6" i="7"/>
  <c r="FP6" i="7" s="1"/>
  <c r="FK6" i="7"/>
  <c r="FH6" i="7"/>
  <c r="FF6" i="7"/>
  <c r="FD6" i="7"/>
  <c r="FE6" i="7" s="1"/>
  <c r="EY6" i="7"/>
  <c r="FL6" i="7" s="1"/>
  <c r="FM6" i="7" s="1"/>
  <c r="EE138" i="7"/>
  <c r="EE137" i="7"/>
  <c r="EE136" i="7"/>
  <c r="EE135" i="7"/>
  <c r="DW135" i="7"/>
  <c r="DW136" i="7" s="1"/>
  <c r="DW137" i="7" s="1"/>
  <c r="DW138" i="7" s="1"/>
  <c r="EE134" i="7"/>
  <c r="ES133" i="7"/>
  <c r="ES134" i="7" s="1"/>
  <c r="ES135" i="7" s="1"/>
  <c r="ES136" i="7" s="1"/>
  <c r="ES137" i="7" s="1"/>
  <c r="ES138" i="7" s="1"/>
  <c r="ES163" i="7" s="1"/>
  <c r="W308" i="7" s="1"/>
  <c r="W309" i="7" s="1"/>
  <c r="EP133" i="7"/>
  <c r="EP134" i="7" s="1"/>
  <c r="EP135" i="7" s="1"/>
  <c r="EE133" i="7"/>
  <c r="DX133" i="7"/>
  <c r="DW133" i="7"/>
  <c r="ER132" i="7"/>
  <c r="ET132" i="7" s="1"/>
  <c r="EO132" i="7"/>
  <c r="EQ132" i="7" s="1"/>
  <c r="EL132" i="7"/>
  <c r="EI132" i="7"/>
  <c r="EG132" i="7"/>
  <c r="EE132" i="7"/>
  <c r="EE131" i="7"/>
  <c r="EE130" i="7"/>
  <c r="EE129" i="7"/>
  <c r="EE128" i="7"/>
  <c r="EE127" i="7"/>
  <c r="ES126" i="7"/>
  <c r="ES127" i="7" s="1"/>
  <c r="ES128" i="7" s="1"/>
  <c r="ES129" i="7" s="1"/>
  <c r="ES130" i="7" s="1"/>
  <c r="ES131" i="7" s="1"/>
  <c r="ES162" i="7" s="1"/>
  <c r="V308" i="7" s="1"/>
  <c r="EP126" i="7"/>
  <c r="EP127" i="7" s="1"/>
  <c r="EE126" i="7"/>
  <c r="DX126" i="7"/>
  <c r="DX127" i="7" s="1"/>
  <c r="DW126" i="7"/>
  <c r="DW127" i="7" s="1"/>
  <c r="DW128" i="7" s="1"/>
  <c r="DW129" i="7" s="1"/>
  <c r="DW130" i="7" s="1"/>
  <c r="DW131" i="7" s="1"/>
  <c r="ER125" i="7"/>
  <c r="ET125" i="7" s="1"/>
  <c r="EO125" i="7"/>
  <c r="EQ125" i="7" s="1"/>
  <c r="EL125" i="7"/>
  <c r="EI125" i="7"/>
  <c r="EG125" i="7"/>
  <c r="EE125" i="7"/>
  <c r="EE124" i="7"/>
  <c r="EE123" i="7"/>
  <c r="EE122" i="7"/>
  <c r="EE121" i="7"/>
  <c r="EE120" i="7"/>
  <c r="ES119" i="7"/>
  <c r="ES120" i="7" s="1"/>
  <c r="ES121" i="7" s="1"/>
  <c r="ES122" i="7" s="1"/>
  <c r="ES123" i="7" s="1"/>
  <c r="ES124" i="7" s="1"/>
  <c r="ES161" i="7" s="1"/>
  <c r="U308" i="7" s="1"/>
  <c r="EP119" i="7"/>
  <c r="EP120" i="7" s="1"/>
  <c r="EE119" i="7"/>
  <c r="DX119" i="7"/>
  <c r="DX120" i="7" s="1"/>
  <c r="ER120" i="7" s="1"/>
  <c r="DW119" i="7"/>
  <c r="DW120" i="7" s="1"/>
  <c r="DW121" i="7" s="1"/>
  <c r="DW122" i="7" s="1"/>
  <c r="DW123" i="7" s="1"/>
  <c r="DW124" i="7" s="1"/>
  <c r="ER118" i="7"/>
  <c r="ET118" i="7" s="1"/>
  <c r="EO118" i="7"/>
  <c r="EQ118" i="7" s="1"/>
  <c r="EL118" i="7"/>
  <c r="EI118" i="7"/>
  <c r="EG118" i="7"/>
  <c r="EE118" i="7"/>
  <c r="EE117" i="7"/>
  <c r="EE116" i="7"/>
  <c r="EE115" i="7"/>
  <c r="EE114" i="7"/>
  <c r="EE113" i="7"/>
  <c r="ES112" i="7"/>
  <c r="ES113" i="7" s="1"/>
  <c r="ES114" i="7" s="1"/>
  <c r="ES115" i="7" s="1"/>
  <c r="ES116" i="7" s="1"/>
  <c r="ES117" i="7" s="1"/>
  <c r="ES160" i="7" s="1"/>
  <c r="T308" i="7" s="1"/>
  <c r="T309" i="7" s="1"/>
  <c r="EP112" i="7"/>
  <c r="EP113" i="7" s="1"/>
  <c r="EP114" i="7" s="1"/>
  <c r="EP115" i="7" s="1"/>
  <c r="EP116" i="7" s="1"/>
  <c r="EE112" i="7"/>
  <c r="DX112" i="7"/>
  <c r="DX113" i="7" s="1"/>
  <c r="ER113" i="7" s="1"/>
  <c r="DW112" i="7"/>
  <c r="DW113" i="7" s="1"/>
  <c r="DW114" i="7" s="1"/>
  <c r="DW115" i="7" s="1"/>
  <c r="DW116" i="7" s="1"/>
  <c r="DW117" i="7" s="1"/>
  <c r="ER111" i="7"/>
  <c r="ET111" i="7" s="1"/>
  <c r="EO111" i="7"/>
  <c r="EQ111" i="7" s="1"/>
  <c r="EL111" i="7"/>
  <c r="EI111" i="7"/>
  <c r="EG111" i="7"/>
  <c r="EE111" i="7"/>
  <c r="EE110" i="7"/>
  <c r="EE109" i="7"/>
  <c r="EE108" i="7"/>
  <c r="EE107" i="7"/>
  <c r="EE106" i="7"/>
  <c r="ES105" i="7"/>
  <c r="ES106" i="7" s="1"/>
  <c r="ES107" i="7" s="1"/>
  <c r="ES108" i="7" s="1"/>
  <c r="ES109" i="7" s="1"/>
  <c r="ES110" i="7" s="1"/>
  <c r="ES159" i="7" s="1"/>
  <c r="S308" i="7" s="1"/>
  <c r="S309" i="7" s="1"/>
  <c r="EP105" i="7"/>
  <c r="EP106" i="7" s="1"/>
  <c r="EP107" i="7" s="1"/>
  <c r="EP108" i="7" s="1"/>
  <c r="EE105" i="7"/>
  <c r="DX105" i="7"/>
  <c r="DW105" i="7"/>
  <c r="DW106" i="7" s="1"/>
  <c r="DW107" i="7" s="1"/>
  <c r="DW108" i="7" s="1"/>
  <c r="DW109" i="7" s="1"/>
  <c r="DW110" i="7" s="1"/>
  <c r="ER104" i="7"/>
  <c r="ET104" i="7" s="1"/>
  <c r="EO104" i="7"/>
  <c r="EQ104" i="7" s="1"/>
  <c r="EL104" i="7"/>
  <c r="EI104" i="7"/>
  <c r="EG104" i="7"/>
  <c r="EE104" i="7"/>
  <c r="EE103" i="7"/>
  <c r="EE102" i="7"/>
  <c r="EE101" i="7"/>
  <c r="EE100" i="7"/>
  <c r="EE99" i="7"/>
  <c r="DW99" i="7"/>
  <c r="DW100" i="7" s="1"/>
  <c r="DW101" i="7" s="1"/>
  <c r="DW102" i="7" s="1"/>
  <c r="DW103" i="7" s="1"/>
  <c r="ES98" i="7"/>
  <c r="ES99" i="7" s="1"/>
  <c r="ES100" i="7" s="1"/>
  <c r="ES101" i="7" s="1"/>
  <c r="ES102" i="7" s="1"/>
  <c r="ES103" i="7" s="1"/>
  <c r="ES158" i="7" s="1"/>
  <c r="R308" i="7" s="1"/>
  <c r="R309" i="7" s="1"/>
  <c r="EP98" i="7"/>
  <c r="EP99" i="7" s="1"/>
  <c r="EE98" i="7"/>
  <c r="DX98" i="7"/>
  <c r="DW98" i="7"/>
  <c r="ER97" i="7"/>
  <c r="ET97" i="7" s="1"/>
  <c r="EO97" i="7"/>
  <c r="EQ97" i="7" s="1"/>
  <c r="EL97" i="7"/>
  <c r="EI97" i="7"/>
  <c r="EG97" i="7"/>
  <c r="EE97" i="7"/>
  <c r="EE96" i="7"/>
  <c r="EE95" i="7"/>
  <c r="EE94" i="7"/>
  <c r="EE93" i="7"/>
  <c r="EE92" i="7"/>
  <c r="DW92" i="7"/>
  <c r="DW93" i="7" s="1"/>
  <c r="DW94" i="7" s="1"/>
  <c r="DW95" i="7" s="1"/>
  <c r="DW96" i="7" s="1"/>
  <c r="ES91" i="7"/>
  <c r="ES92" i="7" s="1"/>
  <c r="ES93" i="7" s="1"/>
  <c r="ES94" i="7" s="1"/>
  <c r="ES95" i="7" s="1"/>
  <c r="ES96" i="7" s="1"/>
  <c r="ES157" i="7" s="1"/>
  <c r="Q308" i="7" s="1"/>
  <c r="Q309" i="7" s="1"/>
  <c r="EP91" i="7"/>
  <c r="EP92" i="7" s="1"/>
  <c r="EP93" i="7" s="1"/>
  <c r="EE91" i="7"/>
  <c r="DX91" i="7"/>
  <c r="DX92" i="7" s="1"/>
  <c r="ER90" i="7"/>
  <c r="ET90" i="7" s="1"/>
  <c r="EO90" i="7"/>
  <c r="EQ90" i="7" s="1"/>
  <c r="EL90" i="7"/>
  <c r="EI90" i="7"/>
  <c r="EG90" i="7"/>
  <c r="EE90" i="7"/>
  <c r="EE89" i="7"/>
  <c r="EE88" i="7"/>
  <c r="EE87" i="7"/>
  <c r="EE86" i="7"/>
  <c r="EE85" i="7"/>
  <c r="ES84" i="7"/>
  <c r="ES85" i="7" s="1"/>
  <c r="ES86" i="7" s="1"/>
  <c r="ES87" i="7" s="1"/>
  <c r="ES88" i="7" s="1"/>
  <c r="ES89" i="7" s="1"/>
  <c r="ES156" i="7" s="1"/>
  <c r="P308" i="7" s="1"/>
  <c r="EP84" i="7"/>
  <c r="EP85" i="7" s="1"/>
  <c r="EP86" i="7" s="1"/>
  <c r="EE84" i="7"/>
  <c r="DX84" i="7"/>
  <c r="DX85" i="7" s="1"/>
  <c r="DW84" i="7"/>
  <c r="DW85" i="7" s="1"/>
  <c r="DW86" i="7" s="1"/>
  <c r="DW87" i="7" s="1"/>
  <c r="DW88" i="7" s="1"/>
  <c r="DW89" i="7" s="1"/>
  <c r="ER83" i="7"/>
  <c r="ET83" i="7" s="1"/>
  <c r="EO83" i="7"/>
  <c r="EQ83" i="7" s="1"/>
  <c r="EL83" i="7"/>
  <c r="EI83" i="7"/>
  <c r="EG83" i="7"/>
  <c r="EE83" i="7"/>
  <c r="EE82" i="7"/>
  <c r="EE81" i="7"/>
  <c r="EE80" i="7"/>
  <c r="EE79" i="7"/>
  <c r="EE78" i="7"/>
  <c r="ES77" i="7"/>
  <c r="ES78" i="7" s="1"/>
  <c r="ES79" i="7" s="1"/>
  <c r="ES80" i="7" s="1"/>
  <c r="ES81" i="7" s="1"/>
  <c r="ES82" i="7" s="1"/>
  <c r="EP77" i="7"/>
  <c r="EP78" i="7" s="1"/>
  <c r="EE77" i="7"/>
  <c r="DX77" i="7"/>
  <c r="DX78" i="7" s="1"/>
  <c r="DX79" i="7" s="1"/>
  <c r="DW77" i="7"/>
  <c r="DW78" i="7" s="1"/>
  <c r="DW79" i="7" s="1"/>
  <c r="DW80" i="7" s="1"/>
  <c r="DW81" i="7" s="1"/>
  <c r="DW82" i="7" s="1"/>
  <c r="ER76" i="7"/>
  <c r="ET76" i="7" s="1"/>
  <c r="EO76" i="7"/>
  <c r="EQ76" i="7" s="1"/>
  <c r="EL76" i="7"/>
  <c r="EI76" i="7"/>
  <c r="EG76" i="7"/>
  <c r="EE76" i="7"/>
  <c r="EE75" i="7"/>
  <c r="EE74" i="7"/>
  <c r="DW74" i="7"/>
  <c r="DW75" i="7" s="1"/>
  <c r="EE73" i="7"/>
  <c r="EE72" i="7"/>
  <c r="ES71" i="7"/>
  <c r="ES72" i="7" s="1"/>
  <c r="ES73" i="7" s="1"/>
  <c r="ES74" i="7" s="1"/>
  <c r="ES75" i="7" s="1"/>
  <c r="EE71" i="7"/>
  <c r="DX71" i="7"/>
  <c r="DX72" i="7" s="1"/>
  <c r="DX73" i="7" s="1"/>
  <c r="ES70" i="7"/>
  <c r="ER70" i="7"/>
  <c r="ET70" i="7" s="1"/>
  <c r="EP70" i="7"/>
  <c r="EP71" i="7" s="1"/>
  <c r="EP72" i="7" s="1"/>
  <c r="EE70" i="7"/>
  <c r="DX70" i="7"/>
  <c r="DW70" i="7"/>
  <c r="DW71" i="7" s="1"/>
  <c r="DW72" i="7" s="1"/>
  <c r="ER69" i="7"/>
  <c r="ET69" i="7" s="1"/>
  <c r="EO69" i="7"/>
  <c r="EQ69" i="7" s="1"/>
  <c r="EL69" i="7"/>
  <c r="EI69" i="7"/>
  <c r="EG69" i="7"/>
  <c r="EE69" i="7"/>
  <c r="EE68" i="7"/>
  <c r="EE67" i="7"/>
  <c r="EE66" i="7"/>
  <c r="EE65" i="7"/>
  <c r="EE64" i="7"/>
  <c r="DW64" i="7"/>
  <c r="DW65" i="7" s="1"/>
  <c r="DW66" i="7" s="1"/>
  <c r="DW67" i="7" s="1"/>
  <c r="DW68" i="7" s="1"/>
  <c r="ES63" i="7"/>
  <c r="ES64" i="7" s="1"/>
  <c r="ES65" i="7" s="1"/>
  <c r="ES66" i="7" s="1"/>
  <c r="ES67" i="7" s="1"/>
  <c r="ES68" i="7" s="1"/>
  <c r="EP63" i="7"/>
  <c r="EP64" i="7" s="1"/>
  <c r="EE63" i="7"/>
  <c r="DX63" i="7"/>
  <c r="DX64" i="7" s="1"/>
  <c r="DW63" i="7"/>
  <c r="ER62" i="7"/>
  <c r="ET62" i="7" s="1"/>
  <c r="EO62" i="7"/>
  <c r="EQ62" i="7" s="1"/>
  <c r="EL62" i="7"/>
  <c r="EI62" i="7"/>
  <c r="EG62" i="7"/>
  <c r="EE62" i="7"/>
  <c r="EE61" i="7"/>
  <c r="DW61" i="7"/>
  <c r="EE60" i="7"/>
  <c r="EE59" i="7"/>
  <c r="EE58" i="7"/>
  <c r="EE57" i="7"/>
  <c r="DW57" i="7"/>
  <c r="DW58" i="7" s="1"/>
  <c r="DW59" i="7" s="1"/>
  <c r="ES56" i="7"/>
  <c r="ES57" i="7" s="1"/>
  <c r="ES58" i="7" s="1"/>
  <c r="ES59" i="7" s="1"/>
  <c r="ES60" i="7" s="1"/>
  <c r="ES61" i="7" s="1"/>
  <c r="EP56" i="7"/>
  <c r="EP57" i="7" s="1"/>
  <c r="EP58" i="7" s="1"/>
  <c r="EP59" i="7" s="1"/>
  <c r="EP60" i="7" s="1"/>
  <c r="EP61" i="7" s="1"/>
  <c r="EE56" i="7"/>
  <c r="DX56" i="7"/>
  <c r="DX57" i="7" s="1"/>
  <c r="DX58" i="7" s="1"/>
  <c r="DW56" i="7"/>
  <c r="ER55" i="7"/>
  <c r="ET55" i="7" s="1"/>
  <c r="EO55" i="7"/>
  <c r="EQ55" i="7" s="1"/>
  <c r="EL55" i="7"/>
  <c r="EI55" i="7"/>
  <c r="EG55" i="7"/>
  <c r="EE55" i="7"/>
  <c r="EE54" i="7"/>
  <c r="EE53" i="7"/>
  <c r="EE52" i="7"/>
  <c r="EE51" i="7"/>
  <c r="ES50" i="7"/>
  <c r="ES51" i="7" s="1"/>
  <c r="ES52" i="7" s="1"/>
  <c r="ES53" i="7" s="1"/>
  <c r="ES54" i="7" s="1"/>
  <c r="EE50" i="7"/>
  <c r="DX50" i="7"/>
  <c r="ES49" i="7"/>
  <c r="ER49" i="7"/>
  <c r="ET49" i="7" s="1"/>
  <c r="EP49" i="7"/>
  <c r="EP50" i="7" s="1"/>
  <c r="EP51" i="7" s="1"/>
  <c r="EP52" i="7" s="1"/>
  <c r="EP53" i="7" s="1"/>
  <c r="EP54" i="7" s="1"/>
  <c r="EE49" i="7"/>
  <c r="DX49" i="7"/>
  <c r="DW49" i="7"/>
  <c r="DW50" i="7" s="1"/>
  <c r="DW51" i="7" s="1"/>
  <c r="DW52" i="7" s="1"/>
  <c r="DW53" i="7" s="1"/>
  <c r="DW54" i="7" s="1"/>
  <c r="ER48" i="7"/>
  <c r="ET48" i="7" s="1"/>
  <c r="EO48" i="7"/>
  <c r="EQ48" i="7" s="1"/>
  <c r="EL48" i="7"/>
  <c r="EI48" i="7"/>
  <c r="EG48" i="7"/>
  <c r="EE48" i="7"/>
  <c r="EE47" i="7"/>
  <c r="EE46" i="7"/>
  <c r="EE45" i="7"/>
  <c r="EE44" i="7"/>
  <c r="EE43" i="7"/>
  <c r="ES42" i="7"/>
  <c r="ES43" i="7" s="1"/>
  <c r="ES44" i="7" s="1"/>
  <c r="ES45" i="7" s="1"/>
  <c r="ES46" i="7" s="1"/>
  <c r="ES47" i="7" s="1"/>
  <c r="EP42" i="7"/>
  <c r="EP43" i="7" s="1"/>
  <c r="EP44" i="7" s="1"/>
  <c r="EP45" i="7" s="1"/>
  <c r="EP46" i="7" s="1"/>
  <c r="EP47" i="7" s="1"/>
  <c r="EE42" i="7"/>
  <c r="DX42" i="7"/>
  <c r="DW42" i="7"/>
  <c r="DW43" i="7" s="1"/>
  <c r="DW44" i="7" s="1"/>
  <c r="DW45" i="7" s="1"/>
  <c r="DW46" i="7" s="1"/>
  <c r="DW47" i="7" s="1"/>
  <c r="ER41" i="7"/>
  <c r="ET41" i="7" s="1"/>
  <c r="EO41" i="7"/>
  <c r="EQ41" i="7" s="1"/>
  <c r="EL41" i="7"/>
  <c r="EI41" i="7"/>
  <c r="EG41" i="7"/>
  <c r="EE41" i="7"/>
  <c r="EE40" i="7"/>
  <c r="EE39" i="7"/>
  <c r="EE38" i="7"/>
  <c r="DW38" i="7"/>
  <c r="DW39" i="7" s="1"/>
  <c r="DW40" i="7" s="1"/>
  <c r="EE37" i="7"/>
  <c r="EP36" i="7"/>
  <c r="EP37" i="7" s="1"/>
  <c r="EE36" i="7"/>
  <c r="DX36" i="7"/>
  <c r="ER36" i="7" s="1"/>
  <c r="ES35" i="7"/>
  <c r="ES36" i="7" s="1"/>
  <c r="ES37" i="7" s="1"/>
  <c r="ES38" i="7" s="1"/>
  <c r="ES39" i="7" s="1"/>
  <c r="ES40" i="7" s="1"/>
  <c r="ER35" i="7"/>
  <c r="ET35" i="7" s="1"/>
  <c r="EP35" i="7"/>
  <c r="EE35" i="7"/>
  <c r="DX35" i="7"/>
  <c r="ER34" i="7"/>
  <c r="ET34" i="7" s="1"/>
  <c r="EO34" i="7"/>
  <c r="EQ34" i="7" s="1"/>
  <c r="EL34" i="7"/>
  <c r="EI34" i="7"/>
  <c r="EG34" i="7"/>
  <c r="EE34" i="7"/>
  <c r="EE33" i="7"/>
  <c r="EE32" i="7"/>
  <c r="EE31" i="7"/>
  <c r="EE30" i="7"/>
  <c r="EE29" i="7"/>
  <c r="ES28" i="7"/>
  <c r="ES29" i="7" s="1"/>
  <c r="ES30" i="7" s="1"/>
  <c r="ES31" i="7" s="1"/>
  <c r="ES32" i="7" s="1"/>
  <c r="ES33" i="7" s="1"/>
  <c r="EP28" i="7"/>
  <c r="EP29" i="7" s="1"/>
  <c r="EP30" i="7" s="1"/>
  <c r="EE28" i="7"/>
  <c r="DX28" i="7"/>
  <c r="DW28" i="7"/>
  <c r="DW29" i="7" s="1"/>
  <c r="DW30" i="7" s="1"/>
  <c r="DW31" i="7" s="1"/>
  <c r="ER27" i="7"/>
  <c r="ET27" i="7" s="1"/>
  <c r="EO27" i="7"/>
  <c r="EQ27" i="7" s="1"/>
  <c r="EL27" i="7"/>
  <c r="EI27" i="7"/>
  <c r="EG27" i="7"/>
  <c r="EE27" i="7"/>
  <c r="EE26" i="7"/>
  <c r="EE25" i="7"/>
  <c r="EE24" i="7"/>
  <c r="EE23" i="7"/>
  <c r="ES22" i="7"/>
  <c r="ES23" i="7" s="1"/>
  <c r="ES24" i="7" s="1"/>
  <c r="ES25" i="7" s="1"/>
  <c r="ES26" i="7" s="1"/>
  <c r="EE22" i="7"/>
  <c r="DX22" i="7"/>
  <c r="DX23" i="7" s="1"/>
  <c r="ES21" i="7"/>
  <c r="ER21" i="7"/>
  <c r="ET21" i="7" s="1"/>
  <c r="EP21" i="7"/>
  <c r="EP22" i="7" s="1"/>
  <c r="EP23" i="7" s="1"/>
  <c r="EP24" i="7" s="1"/>
  <c r="EE21" i="7"/>
  <c r="DX21" i="7"/>
  <c r="DW21" i="7"/>
  <c r="DW22" i="7" s="1"/>
  <c r="DW23" i="7" s="1"/>
  <c r="DW24" i="7" s="1"/>
  <c r="DW25" i="7" s="1"/>
  <c r="DW26" i="7" s="1"/>
  <c r="ER20" i="7"/>
  <c r="ET20" i="7" s="1"/>
  <c r="EO20" i="7"/>
  <c r="EQ20" i="7" s="1"/>
  <c r="EL20" i="7"/>
  <c r="EI20" i="7"/>
  <c r="EG20" i="7"/>
  <c r="EE20" i="7"/>
  <c r="EE19" i="7"/>
  <c r="EE18" i="7"/>
  <c r="EE17" i="7"/>
  <c r="EE16" i="7"/>
  <c r="EE15" i="7"/>
  <c r="ES14" i="7"/>
  <c r="ES15" i="7" s="1"/>
  <c r="ES16" i="7" s="1"/>
  <c r="ES17" i="7" s="1"/>
  <c r="ES18" i="7" s="1"/>
  <c r="ES19" i="7" s="1"/>
  <c r="EP14" i="7"/>
  <c r="EP15" i="7" s="1"/>
  <c r="EP16" i="7" s="1"/>
  <c r="EE14" i="7"/>
  <c r="DX14" i="7"/>
  <c r="DX15" i="7" s="1"/>
  <c r="DW14" i="7"/>
  <c r="DW15" i="7" s="1"/>
  <c r="DW16" i="7" s="1"/>
  <c r="DW17" i="7" s="1"/>
  <c r="DW18" i="7" s="1"/>
  <c r="DW19" i="7" s="1"/>
  <c r="ER13" i="7"/>
  <c r="ET13" i="7" s="1"/>
  <c r="EO13" i="7"/>
  <c r="EQ13" i="7" s="1"/>
  <c r="EL13" i="7"/>
  <c r="EI13" i="7"/>
  <c r="EG13" i="7"/>
  <c r="EE13" i="7"/>
  <c r="EE12" i="7"/>
  <c r="EE11" i="7"/>
  <c r="EE10" i="7"/>
  <c r="EE9" i="7"/>
  <c r="EE8" i="7"/>
  <c r="ES7" i="7"/>
  <c r="ES8" i="7" s="1"/>
  <c r="ES9" i="7" s="1"/>
  <c r="ES10" i="7" s="1"/>
  <c r="ES11" i="7" s="1"/>
  <c r="ES12" i="7" s="1"/>
  <c r="EP7" i="7"/>
  <c r="EP8" i="7" s="1"/>
  <c r="EE7" i="7"/>
  <c r="DX7" i="7"/>
  <c r="DX8" i="7" s="1"/>
  <c r="DW7" i="7"/>
  <c r="DW8" i="7" s="1"/>
  <c r="DW9" i="7" s="1"/>
  <c r="DW10" i="7" s="1"/>
  <c r="DW11" i="7" s="1"/>
  <c r="DW12" i="7" s="1"/>
  <c r="ER6" i="7"/>
  <c r="ET6" i="7" s="1"/>
  <c r="EO6" i="7"/>
  <c r="EQ6" i="7" s="1"/>
  <c r="EL6" i="7"/>
  <c r="EI6" i="7"/>
  <c r="EH6" i="7"/>
  <c r="EG6" i="7"/>
  <c r="EF6" i="7"/>
  <c r="EJ6" i="7" s="1"/>
  <c r="EE6" i="7"/>
  <c r="EA6" i="7"/>
  <c r="DZ7" i="7" s="1"/>
  <c r="DZ6" i="7"/>
  <c r="EM6" i="7" s="1"/>
  <c r="EN6" i="7" s="1"/>
  <c r="DF138" i="7"/>
  <c r="DF137" i="7"/>
  <c r="DF136" i="7"/>
  <c r="DF135" i="7"/>
  <c r="CX135" i="7"/>
  <c r="CX136" i="7" s="1"/>
  <c r="CX137" i="7" s="1"/>
  <c r="CX138" i="7" s="1"/>
  <c r="DF134" i="7"/>
  <c r="DT133" i="7"/>
  <c r="DT134" i="7" s="1"/>
  <c r="DT135" i="7" s="1"/>
  <c r="DT136" i="7" s="1"/>
  <c r="DT137" i="7" s="1"/>
  <c r="DT138" i="7" s="1"/>
  <c r="DT163" i="7" s="1"/>
  <c r="W284" i="7" s="1"/>
  <c r="DQ133" i="7"/>
  <c r="DQ134" i="7" s="1"/>
  <c r="DQ135" i="7" s="1"/>
  <c r="DF133" i="7"/>
  <c r="CY133" i="7"/>
  <c r="CX133" i="7"/>
  <c r="DS132" i="7"/>
  <c r="DU132" i="7" s="1"/>
  <c r="DP132" i="7"/>
  <c r="DR132" i="7" s="1"/>
  <c r="DM132" i="7"/>
  <c r="DJ132" i="7"/>
  <c r="DH132" i="7"/>
  <c r="DF132" i="7"/>
  <c r="DF131" i="7"/>
  <c r="DF130" i="7"/>
  <c r="DF129" i="7"/>
  <c r="DF128" i="7"/>
  <c r="DF127" i="7"/>
  <c r="DT126" i="7"/>
  <c r="DT127" i="7" s="1"/>
  <c r="DT128" i="7" s="1"/>
  <c r="DT129" i="7" s="1"/>
  <c r="DT130" i="7" s="1"/>
  <c r="DT131" i="7" s="1"/>
  <c r="DT162" i="7" s="1"/>
  <c r="V284" i="7" s="1"/>
  <c r="DQ126" i="7"/>
  <c r="DQ127" i="7" s="1"/>
  <c r="DQ128" i="7" s="1"/>
  <c r="DF126" i="7"/>
  <c r="CY126" i="7"/>
  <c r="CY127" i="7" s="1"/>
  <c r="CX126" i="7"/>
  <c r="CX127" i="7" s="1"/>
  <c r="CX128" i="7" s="1"/>
  <c r="CX129" i="7" s="1"/>
  <c r="CX130" i="7" s="1"/>
  <c r="CX131" i="7" s="1"/>
  <c r="DS125" i="7"/>
  <c r="DU125" i="7" s="1"/>
  <c r="DP125" i="7"/>
  <c r="DR125" i="7" s="1"/>
  <c r="DM125" i="7"/>
  <c r="DJ125" i="7"/>
  <c r="DH125" i="7"/>
  <c r="DF125" i="7"/>
  <c r="DF124" i="7"/>
  <c r="DF123" i="7"/>
  <c r="DF122" i="7"/>
  <c r="DF121" i="7"/>
  <c r="DF120" i="7"/>
  <c r="DT119" i="7"/>
  <c r="DT120" i="7" s="1"/>
  <c r="DT121" i="7" s="1"/>
  <c r="DT122" i="7" s="1"/>
  <c r="DT123" i="7" s="1"/>
  <c r="DT124" i="7" s="1"/>
  <c r="DT161" i="7" s="1"/>
  <c r="U284" i="7" s="1"/>
  <c r="DQ119" i="7"/>
  <c r="DQ120" i="7" s="1"/>
  <c r="DQ121" i="7" s="1"/>
  <c r="DQ122" i="7" s="1"/>
  <c r="DQ123" i="7" s="1"/>
  <c r="DQ124" i="7" s="1"/>
  <c r="DF119" i="7"/>
  <c r="CY119" i="7"/>
  <c r="CY120" i="7" s="1"/>
  <c r="CY121" i="7" s="1"/>
  <c r="CX119" i="7"/>
  <c r="CX120" i="7" s="1"/>
  <c r="CX121" i="7" s="1"/>
  <c r="CX122" i="7" s="1"/>
  <c r="CX123" i="7" s="1"/>
  <c r="CX124" i="7" s="1"/>
  <c r="DS118" i="7"/>
  <c r="DU118" i="7" s="1"/>
  <c r="DP118" i="7"/>
  <c r="DR118" i="7" s="1"/>
  <c r="DM118" i="7"/>
  <c r="DJ118" i="7"/>
  <c r="DH118" i="7"/>
  <c r="DF118" i="7"/>
  <c r="DF117" i="7"/>
  <c r="DF116" i="7"/>
  <c r="DF115" i="7"/>
  <c r="DF114" i="7"/>
  <c r="DF113" i="7"/>
  <c r="DT112" i="7"/>
  <c r="DT113" i="7" s="1"/>
  <c r="DT114" i="7" s="1"/>
  <c r="DT115" i="7" s="1"/>
  <c r="DT116" i="7" s="1"/>
  <c r="DT117" i="7" s="1"/>
  <c r="DT160" i="7" s="1"/>
  <c r="T284" i="7" s="1"/>
  <c r="DQ112" i="7"/>
  <c r="DQ113" i="7" s="1"/>
  <c r="DQ114" i="7" s="1"/>
  <c r="DQ115" i="7" s="1"/>
  <c r="DF112" i="7"/>
  <c r="CY112" i="7"/>
  <c r="CX112" i="7"/>
  <c r="CX113" i="7" s="1"/>
  <c r="CX114" i="7" s="1"/>
  <c r="CX115" i="7" s="1"/>
  <c r="CX116" i="7" s="1"/>
  <c r="CX117" i="7" s="1"/>
  <c r="DS111" i="7"/>
  <c r="DU111" i="7" s="1"/>
  <c r="DP111" i="7"/>
  <c r="DR111" i="7" s="1"/>
  <c r="DM111" i="7"/>
  <c r="DJ111" i="7"/>
  <c r="DH111" i="7"/>
  <c r="DF111" i="7"/>
  <c r="DF110" i="7"/>
  <c r="DF109" i="7"/>
  <c r="DF108" i="7"/>
  <c r="DF107" i="7"/>
  <c r="DF106" i="7"/>
  <c r="DT105" i="7"/>
  <c r="DT106" i="7" s="1"/>
  <c r="DT107" i="7" s="1"/>
  <c r="DT108" i="7" s="1"/>
  <c r="DT109" i="7" s="1"/>
  <c r="DT110" i="7" s="1"/>
  <c r="DT159" i="7" s="1"/>
  <c r="S284" i="7" s="1"/>
  <c r="DQ105" i="7"/>
  <c r="DQ106" i="7" s="1"/>
  <c r="DF105" i="7"/>
  <c r="CY105" i="7"/>
  <c r="CY106" i="7" s="1"/>
  <c r="CX105" i="7"/>
  <c r="CX106" i="7" s="1"/>
  <c r="CX107" i="7" s="1"/>
  <c r="CX108" i="7" s="1"/>
  <c r="CX109" i="7" s="1"/>
  <c r="CX110" i="7" s="1"/>
  <c r="DS104" i="7"/>
  <c r="DU104" i="7" s="1"/>
  <c r="DP104" i="7"/>
  <c r="DR104" i="7" s="1"/>
  <c r="DM104" i="7"/>
  <c r="DJ104" i="7"/>
  <c r="DH104" i="7"/>
  <c r="DF104" i="7"/>
  <c r="DF103" i="7"/>
  <c r="DF102" i="7"/>
  <c r="DF101" i="7"/>
  <c r="DF100" i="7"/>
  <c r="DF99" i="7"/>
  <c r="CX99" i="7"/>
  <c r="CX100" i="7" s="1"/>
  <c r="CX101" i="7" s="1"/>
  <c r="CX102" i="7" s="1"/>
  <c r="CX103" i="7" s="1"/>
  <c r="DT98" i="7"/>
  <c r="DT99" i="7" s="1"/>
  <c r="DT100" i="7" s="1"/>
  <c r="DT101" i="7" s="1"/>
  <c r="DT102" i="7" s="1"/>
  <c r="DT103" i="7" s="1"/>
  <c r="DT158" i="7" s="1"/>
  <c r="R284" i="7" s="1"/>
  <c r="DQ98" i="7"/>
  <c r="DQ99" i="7" s="1"/>
  <c r="DF98" i="7"/>
  <c r="CY98" i="7"/>
  <c r="CY99" i="7" s="1"/>
  <c r="CY100" i="7" s="1"/>
  <c r="CX98" i="7"/>
  <c r="DS97" i="7"/>
  <c r="DU97" i="7" s="1"/>
  <c r="DP97" i="7"/>
  <c r="DR97" i="7" s="1"/>
  <c r="DM97" i="7"/>
  <c r="DJ97" i="7"/>
  <c r="DH97" i="7"/>
  <c r="DF97" i="7"/>
  <c r="DF96" i="7"/>
  <c r="DF95" i="7"/>
  <c r="DF94" i="7"/>
  <c r="DF93" i="7"/>
  <c r="DF92" i="7"/>
  <c r="CY92" i="7"/>
  <c r="CX92" i="7"/>
  <c r="CX93" i="7" s="1"/>
  <c r="CX94" i="7" s="1"/>
  <c r="CX95" i="7" s="1"/>
  <c r="CX96" i="7" s="1"/>
  <c r="DT91" i="7"/>
  <c r="DT92" i="7" s="1"/>
  <c r="DT93" i="7" s="1"/>
  <c r="DT94" i="7" s="1"/>
  <c r="DT95" i="7" s="1"/>
  <c r="DT96" i="7" s="1"/>
  <c r="DT157" i="7" s="1"/>
  <c r="Q284" i="7" s="1"/>
  <c r="DQ91" i="7"/>
  <c r="DQ92" i="7" s="1"/>
  <c r="DF91" i="7"/>
  <c r="CY91" i="7"/>
  <c r="DS91" i="7" s="1"/>
  <c r="DU91" i="7" s="1"/>
  <c r="DS90" i="7"/>
  <c r="DU90" i="7" s="1"/>
  <c r="DP90" i="7"/>
  <c r="DR90" i="7" s="1"/>
  <c r="DM90" i="7"/>
  <c r="DJ90" i="7"/>
  <c r="DH90" i="7"/>
  <c r="DF90" i="7"/>
  <c r="DF89" i="7"/>
  <c r="DF88" i="7"/>
  <c r="DF87" i="7"/>
  <c r="DF86" i="7"/>
  <c r="DF85" i="7"/>
  <c r="DT84" i="7"/>
  <c r="DT85" i="7" s="1"/>
  <c r="DT86" i="7" s="1"/>
  <c r="DT87" i="7" s="1"/>
  <c r="DT88" i="7" s="1"/>
  <c r="DT89" i="7" s="1"/>
  <c r="DT156" i="7" s="1"/>
  <c r="P284" i="7" s="1"/>
  <c r="DQ84" i="7"/>
  <c r="DQ85" i="7" s="1"/>
  <c r="DQ86" i="7" s="1"/>
  <c r="DF84" i="7"/>
  <c r="CY84" i="7"/>
  <c r="DS84" i="7" s="1"/>
  <c r="DU84" i="7" s="1"/>
  <c r="CX84" i="7"/>
  <c r="CX85" i="7" s="1"/>
  <c r="CX86" i="7" s="1"/>
  <c r="CX87" i="7" s="1"/>
  <c r="CX88" i="7" s="1"/>
  <c r="CX89" i="7" s="1"/>
  <c r="DS83" i="7"/>
  <c r="DU83" i="7" s="1"/>
  <c r="DP83" i="7"/>
  <c r="DR83" i="7" s="1"/>
  <c r="DM83" i="7"/>
  <c r="DJ83" i="7"/>
  <c r="DH83" i="7"/>
  <c r="DF83" i="7"/>
  <c r="DF82" i="7"/>
  <c r="DF81" i="7"/>
  <c r="DF80" i="7"/>
  <c r="DF79" i="7"/>
  <c r="DQ78" i="7"/>
  <c r="DQ79" i="7" s="1"/>
  <c r="DQ80" i="7" s="1"/>
  <c r="DQ81" i="7" s="1"/>
  <c r="DQ82" i="7" s="1"/>
  <c r="DF78" i="7"/>
  <c r="CX78" i="7"/>
  <c r="CX79" i="7" s="1"/>
  <c r="CX80" i="7" s="1"/>
  <c r="CX81" i="7" s="1"/>
  <c r="CX82" i="7" s="1"/>
  <c r="DT77" i="7"/>
  <c r="DT78" i="7" s="1"/>
  <c r="DT79" i="7" s="1"/>
  <c r="DT80" i="7" s="1"/>
  <c r="DT81" i="7" s="1"/>
  <c r="DT82" i="7" s="1"/>
  <c r="DQ77" i="7"/>
  <c r="DF77" i="7"/>
  <c r="CY77" i="7"/>
  <c r="CX77" i="7"/>
  <c r="DS76" i="7"/>
  <c r="DU76" i="7" s="1"/>
  <c r="DP76" i="7"/>
  <c r="DR76" i="7" s="1"/>
  <c r="DM76" i="7"/>
  <c r="DJ76" i="7"/>
  <c r="DH76" i="7"/>
  <c r="DF76" i="7"/>
  <c r="DF75" i="7"/>
  <c r="DF74" i="7"/>
  <c r="CX74" i="7"/>
  <c r="CX75" i="7" s="1"/>
  <c r="DF73" i="7"/>
  <c r="DF72" i="7"/>
  <c r="DF71" i="7"/>
  <c r="DT70" i="7"/>
  <c r="DT71" i="7" s="1"/>
  <c r="DT72" i="7" s="1"/>
  <c r="DT73" i="7" s="1"/>
  <c r="DT74" i="7" s="1"/>
  <c r="DT75" i="7" s="1"/>
  <c r="DQ70" i="7"/>
  <c r="DQ71" i="7" s="1"/>
  <c r="DQ72" i="7" s="1"/>
  <c r="DF70" i="7"/>
  <c r="CY70" i="7"/>
  <c r="CX70" i="7"/>
  <c r="CX71" i="7" s="1"/>
  <c r="CX72" i="7" s="1"/>
  <c r="DS69" i="7"/>
  <c r="DU69" i="7" s="1"/>
  <c r="DP69" i="7"/>
  <c r="DR69" i="7" s="1"/>
  <c r="DM69" i="7"/>
  <c r="DJ69" i="7"/>
  <c r="DH69" i="7"/>
  <c r="DF69" i="7"/>
  <c r="DF68" i="7"/>
  <c r="DF67" i="7"/>
  <c r="DF66" i="7"/>
  <c r="DF65" i="7"/>
  <c r="DF64" i="7"/>
  <c r="DT63" i="7"/>
  <c r="DT64" i="7" s="1"/>
  <c r="DT65" i="7" s="1"/>
  <c r="DT66" i="7" s="1"/>
  <c r="DT67" i="7" s="1"/>
  <c r="DT68" i="7" s="1"/>
  <c r="DQ63" i="7"/>
  <c r="DQ64" i="7" s="1"/>
  <c r="DF63" i="7"/>
  <c r="CY63" i="7"/>
  <c r="CY64" i="7" s="1"/>
  <c r="CX63" i="7"/>
  <c r="CX64" i="7" s="1"/>
  <c r="CX65" i="7" s="1"/>
  <c r="CX66" i="7" s="1"/>
  <c r="CX67" i="7" s="1"/>
  <c r="CX68" i="7" s="1"/>
  <c r="DS62" i="7"/>
  <c r="DU62" i="7" s="1"/>
  <c r="DP62" i="7"/>
  <c r="DR62" i="7" s="1"/>
  <c r="DM62" i="7"/>
  <c r="DJ62" i="7"/>
  <c r="DH62" i="7"/>
  <c r="DF62" i="7"/>
  <c r="DF61" i="7"/>
  <c r="CX61" i="7"/>
  <c r="DF60" i="7"/>
  <c r="DF59" i="7"/>
  <c r="DF58" i="7"/>
  <c r="DF57" i="7"/>
  <c r="DT56" i="7"/>
  <c r="DT57" i="7" s="1"/>
  <c r="DT58" i="7" s="1"/>
  <c r="DT59" i="7" s="1"/>
  <c r="DT60" i="7" s="1"/>
  <c r="DT61" i="7" s="1"/>
  <c r="DQ56" i="7"/>
  <c r="DQ57" i="7" s="1"/>
  <c r="DF56" i="7"/>
  <c r="CY56" i="7"/>
  <c r="CY57" i="7" s="1"/>
  <c r="CX56" i="7"/>
  <c r="CX57" i="7" s="1"/>
  <c r="CX58" i="7" s="1"/>
  <c r="CX59" i="7" s="1"/>
  <c r="DS55" i="7"/>
  <c r="DU55" i="7" s="1"/>
  <c r="DP55" i="7"/>
  <c r="DR55" i="7" s="1"/>
  <c r="DM55" i="7"/>
  <c r="DJ55" i="7"/>
  <c r="DH55" i="7"/>
  <c r="DF55" i="7"/>
  <c r="DF54" i="7"/>
  <c r="DF53" i="7"/>
  <c r="DF52" i="7"/>
  <c r="DF51" i="7"/>
  <c r="DF50" i="7"/>
  <c r="CX50" i="7"/>
  <c r="CX51" i="7" s="1"/>
  <c r="CX52" i="7" s="1"/>
  <c r="CX53" i="7" s="1"/>
  <c r="CX54" i="7" s="1"/>
  <c r="DT49" i="7"/>
  <c r="DT50" i="7" s="1"/>
  <c r="DT51" i="7" s="1"/>
  <c r="DT52" i="7" s="1"/>
  <c r="DT53" i="7" s="1"/>
  <c r="DT54" i="7" s="1"/>
  <c r="DQ49" i="7"/>
  <c r="DQ50" i="7" s="1"/>
  <c r="DF49" i="7"/>
  <c r="CY49" i="7"/>
  <c r="CY50" i="7" s="1"/>
  <c r="DS50" i="7" s="1"/>
  <c r="CX49" i="7"/>
  <c r="DS48" i="7"/>
  <c r="DU48" i="7" s="1"/>
  <c r="DP48" i="7"/>
  <c r="DR48" i="7" s="1"/>
  <c r="DM48" i="7"/>
  <c r="DJ48" i="7"/>
  <c r="DH48" i="7"/>
  <c r="DF48" i="7"/>
  <c r="DF47" i="7"/>
  <c r="DF46" i="7"/>
  <c r="DF45" i="7"/>
  <c r="DF44" i="7"/>
  <c r="DT43" i="7"/>
  <c r="DT44" i="7" s="1"/>
  <c r="DT45" i="7" s="1"/>
  <c r="DT46" i="7" s="1"/>
  <c r="DT47" i="7" s="1"/>
  <c r="DF43" i="7"/>
  <c r="CY43" i="7"/>
  <c r="CY44" i="7" s="1"/>
  <c r="DT42" i="7"/>
  <c r="DS42" i="7"/>
  <c r="DU42" i="7" s="1"/>
  <c r="DQ42" i="7"/>
  <c r="DQ43" i="7" s="1"/>
  <c r="DQ44" i="7" s="1"/>
  <c r="DQ45" i="7" s="1"/>
  <c r="DQ46" i="7" s="1"/>
  <c r="DQ47" i="7" s="1"/>
  <c r="DF42" i="7"/>
  <c r="CY42" i="7"/>
  <c r="CX42" i="7"/>
  <c r="CX43" i="7" s="1"/>
  <c r="CX44" i="7" s="1"/>
  <c r="CX45" i="7" s="1"/>
  <c r="CX46" i="7" s="1"/>
  <c r="CX47" i="7" s="1"/>
  <c r="DS41" i="7"/>
  <c r="DU41" i="7" s="1"/>
  <c r="DP41" i="7"/>
  <c r="DR41" i="7" s="1"/>
  <c r="DM41" i="7"/>
  <c r="DJ41" i="7"/>
  <c r="DH41" i="7"/>
  <c r="DF41" i="7"/>
  <c r="DF40" i="7"/>
  <c r="DF39" i="7"/>
  <c r="DF38" i="7"/>
  <c r="CX38" i="7"/>
  <c r="CX39" i="7" s="1"/>
  <c r="CX40" i="7" s="1"/>
  <c r="DF37" i="7"/>
  <c r="DF36" i="7"/>
  <c r="DT35" i="7"/>
  <c r="DT36" i="7" s="1"/>
  <c r="DT37" i="7" s="1"/>
  <c r="DT38" i="7" s="1"/>
  <c r="DT39" i="7" s="1"/>
  <c r="DT40" i="7" s="1"/>
  <c r="DQ35" i="7"/>
  <c r="DQ36" i="7" s="1"/>
  <c r="DQ37" i="7" s="1"/>
  <c r="DQ38" i="7" s="1"/>
  <c r="DF35" i="7"/>
  <c r="CY35" i="7"/>
  <c r="DS34" i="7"/>
  <c r="DU34" i="7" s="1"/>
  <c r="DP34" i="7"/>
  <c r="DR34" i="7" s="1"/>
  <c r="DM34" i="7"/>
  <c r="DJ34" i="7"/>
  <c r="DH34" i="7"/>
  <c r="DF34" i="7"/>
  <c r="DF33" i="7"/>
  <c r="DF32" i="7"/>
  <c r="DF31" i="7"/>
  <c r="DF30" i="7"/>
  <c r="DF29" i="7"/>
  <c r="CY29" i="7"/>
  <c r="DS29" i="7" s="1"/>
  <c r="CX29" i="7"/>
  <c r="CX30" i="7" s="1"/>
  <c r="CX31" i="7" s="1"/>
  <c r="DT28" i="7"/>
  <c r="DT29" i="7" s="1"/>
  <c r="DT30" i="7" s="1"/>
  <c r="DT31" i="7" s="1"/>
  <c r="DT32" i="7" s="1"/>
  <c r="DT33" i="7" s="1"/>
  <c r="DS28" i="7"/>
  <c r="DU28" i="7" s="1"/>
  <c r="DQ28" i="7"/>
  <c r="DQ29" i="7" s="1"/>
  <c r="DQ30" i="7" s="1"/>
  <c r="DQ31" i="7" s="1"/>
  <c r="DF28" i="7"/>
  <c r="CY28" i="7"/>
  <c r="CX28" i="7"/>
  <c r="DS27" i="7"/>
  <c r="DU27" i="7" s="1"/>
  <c r="DP27" i="7"/>
  <c r="DR27" i="7" s="1"/>
  <c r="DM27" i="7"/>
  <c r="DJ27" i="7"/>
  <c r="DH27" i="7"/>
  <c r="DF27" i="7"/>
  <c r="DF26" i="7"/>
  <c r="DF25" i="7"/>
  <c r="DF24" i="7"/>
  <c r="DF23" i="7"/>
  <c r="DQ22" i="7"/>
  <c r="DQ23" i="7" s="1"/>
  <c r="DF22" i="7"/>
  <c r="CY22" i="7"/>
  <c r="DT21" i="7"/>
  <c r="DT22" i="7" s="1"/>
  <c r="DT23" i="7" s="1"/>
  <c r="DT24" i="7" s="1"/>
  <c r="DT25" i="7" s="1"/>
  <c r="DT26" i="7" s="1"/>
  <c r="DS21" i="7"/>
  <c r="DU21" i="7" s="1"/>
  <c r="DQ21" i="7"/>
  <c r="DF21" i="7"/>
  <c r="CY21" i="7"/>
  <c r="CX21" i="7"/>
  <c r="CX22" i="7" s="1"/>
  <c r="CX23" i="7" s="1"/>
  <c r="CX24" i="7" s="1"/>
  <c r="CX25" i="7" s="1"/>
  <c r="CX26" i="7" s="1"/>
  <c r="DS20" i="7"/>
  <c r="DU20" i="7" s="1"/>
  <c r="DP20" i="7"/>
  <c r="DR20" i="7" s="1"/>
  <c r="DM20" i="7"/>
  <c r="DJ20" i="7"/>
  <c r="DH20" i="7"/>
  <c r="DF20" i="7"/>
  <c r="DF19" i="7"/>
  <c r="DF18" i="7"/>
  <c r="DF17" i="7"/>
  <c r="DF16" i="7"/>
  <c r="DF15" i="7"/>
  <c r="DT14" i="7"/>
  <c r="DT15" i="7" s="1"/>
  <c r="DT16" i="7" s="1"/>
  <c r="DT17" i="7" s="1"/>
  <c r="DT18" i="7" s="1"/>
  <c r="DT19" i="7" s="1"/>
  <c r="DQ14" i="7"/>
  <c r="DQ15" i="7" s="1"/>
  <c r="DF14" i="7"/>
  <c r="CY14" i="7"/>
  <c r="CX14" i="7"/>
  <c r="CX15" i="7" s="1"/>
  <c r="CX16" i="7" s="1"/>
  <c r="CX17" i="7" s="1"/>
  <c r="CX18" i="7" s="1"/>
  <c r="CX19" i="7" s="1"/>
  <c r="DS13" i="7"/>
  <c r="DU13" i="7" s="1"/>
  <c r="DP13" i="7"/>
  <c r="DR13" i="7" s="1"/>
  <c r="DM13" i="7"/>
  <c r="DJ13" i="7"/>
  <c r="DH13" i="7"/>
  <c r="DF13" i="7"/>
  <c r="DF12" i="7"/>
  <c r="DF11" i="7"/>
  <c r="DF10" i="7"/>
  <c r="DF9" i="7"/>
  <c r="DF8" i="7"/>
  <c r="DT7" i="7"/>
  <c r="DT8" i="7" s="1"/>
  <c r="DT9" i="7" s="1"/>
  <c r="DT10" i="7" s="1"/>
  <c r="DT11" i="7" s="1"/>
  <c r="DT12" i="7" s="1"/>
  <c r="DQ7" i="7"/>
  <c r="DF7" i="7"/>
  <c r="CY7" i="7"/>
  <c r="CY8" i="7" s="1"/>
  <c r="CX7" i="7"/>
  <c r="CX8" i="7" s="1"/>
  <c r="CX9" i="7" s="1"/>
  <c r="CX10" i="7" s="1"/>
  <c r="CX11" i="7" s="1"/>
  <c r="CX12" i="7" s="1"/>
  <c r="DS6" i="7"/>
  <c r="DU6" i="7" s="1"/>
  <c r="DP6" i="7"/>
  <c r="DR6" i="7" s="1"/>
  <c r="DN6" i="7"/>
  <c r="DO6" i="7" s="1"/>
  <c r="DM6" i="7"/>
  <c r="DJ6" i="7"/>
  <c r="DH6" i="7"/>
  <c r="DF6" i="7"/>
  <c r="DG6" i="7" s="1"/>
  <c r="DB6" i="7"/>
  <c r="DA7" i="7" s="1"/>
  <c r="DA6" i="7"/>
  <c r="DI6" i="7" s="1"/>
  <c r="BJ90" i="7"/>
  <c r="BH90" i="7"/>
  <c r="HQ112" i="7" l="1"/>
  <c r="P309" i="7"/>
  <c r="U309" i="7"/>
  <c r="V309" i="7"/>
  <c r="DK58" i="9"/>
  <c r="DG59" i="9"/>
  <c r="DI58" i="9"/>
  <c r="DB58" i="9"/>
  <c r="DA59" i="9" s="1"/>
  <c r="DN58" i="9"/>
  <c r="DO58" i="9" s="1"/>
  <c r="CH60" i="9"/>
  <c r="CL59" i="9"/>
  <c r="CO59" i="9"/>
  <c r="CP59" i="9" s="1"/>
  <c r="CJ59" i="9"/>
  <c r="CC59" i="9"/>
  <c r="CB60" i="9" s="1"/>
  <c r="BI60" i="9"/>
  <c r="BM60" i="9" s="1"/>
  <c r="BP58" i="9"/>
  <c r="BQ58" i="9" s="1"/>
  <c r="BD58" i="9"/>
  <c r="BC59" i="9" s="1"/>
  <c r="BK58" i="9"/>
  <c r="AQ58" i="9"/>
  <c r="AR58" i="9" s="1"/>
  <c r="AE58" i="9"/>
  <c r="AD59" i="9" s="1"/>
  <c r="AL58" i="9"/>
  <c r="AJ59" i="9"/>
  <c r="AN58" i="9"/>
  <c r="K58" i="9"/>
  <c r="O57" i="9"/>
  <c r="R52" i="9"/>
  <c r="S52" i="9" s="1"/>
  <c r="E53" i="9"/>
  <c r="F53" i="9" s="1"/>
  <c r="M52" i="9"/>
  <c r="GR105" i="7"/>
  <c r="HN160" i="7"/>
  <c r="T374" i="7"/>
  <c r="HQ156" i="7"/>
  <c r="P377" i="7"/>
  <c r="P378" i="7" s="1"/>
  <c r="HQ157" i="7"/>
  <c r="Q377" i="7"/>
  <c r="Q378" i="7" s="1"/>
  <c r="HN158" i="7"/>
  <c r="R374" i="7"/>
  <c r="HQ160" i="7"/>
  <c r="T377" i="7"/>
  <c r="T378" i="7" s="1"/>
  <c r="HQ161" i="7"/>
  <c r="U377" i="7"/>
  <c r="U378" i="7" s="1"/>
  <c r="HQ162" i="7"/>
  <c r="V377" i="7"/>
  <c r="V378" i="7" s="1"/>
  <c r="HQ163" i="7"/>
  <c r="W377" i="7"/>
  <c r="W378" i="7" s="1"/>
  <c r="HQ158" i="7"/>
  <c r="R377" i="7"/>
  <c r="R378" i="7" s="1"/>
  <c r="HQ159" i="7"/>
  <c r="S377" i="7"/>
  <c r="S378" i="7" s="1"/>
  <c r="GR162" i="7"/>
  <c r="V354" i="7"/>
  <c r="V355" i="7" s="1"/>
  <c r="GR161" i="7"/>
  <c r="U354" i="7"/>
  <c r="U355" i="7" s="1"/>
  <c r="GR156" i="7"/>
  <c r="P354" i="7"/>
  <c r="P355" i="7" s="1"/>
  <c r="GR158" i="7"/>
  <c r="R354" i="7"/>
  <c r="R355" i="7" s="1"/>
  <c r="GR160" i="7"/>
  <c r="T354" i="7"/>
  <c r="T355" i="7" s="1"/>
  <c r="GR159" i="7"/>
  <c r="S354" i="7"/>
  <c r="S355" i="7" s="1"/>
  <c r="GR157" i="7"/>
  <c r="Q354" i="7"/>
  <c r="Q355" i="7" s="1"/>
  <c r="GR163" i="7"/>
  <c r="W354" i="7"/>
  <c r="W355" i="7" s="1"/>
  <c r="FS158" i="7"/>
  <c r="R331" i="7"/>
  <c r="R332" i="7" s="1"/>
  <c r="FS160" i="7"/>
  <c r="T331" i="7"/>
  <c r="T332" i="7" s="1"/>
  <c r="FS161" i="7"/>
  <c r="U331" i="7"/>
  <c r="U332" i="7" s="1"/>
  <c r="FS155" i="7"/>
  <c r="O331" i="7"/>
  <c r="O332" i="7" s="1"/>
  <c r="FS156" i="7"/>
  <c r="P331" i="7"/>
  <c r="P332" i="7" s="1"/>
  <c r="FS157" i="7"/>
  <c r="Q331" i="7"/>
  <c r="Q332" i="7" s="1"/>
  <c r="FS162" i="7"/>
  <c r="V331" i="7"/>
  <c r="V332" i="7" s="1"/>
  <c r="FS159" i="7"/>
  <c r="S331" i="7"/>
  <c r="S332" i="7" s="1"/>
  <c r="FS163" i="7"/>
  <c r="W331" i="7"/>
  <c r="W332" i="7" s="1"/>
  <c r="GU36" i="7"/>
  <c r="CY85" i="7"/>
  <c r="EF7" i="7"/>
  <c r="EJ7" i="7" s="1"/>
  <c r="ER112" i="7"/>
  <c r="ET112" i="7" s="1"/>
  <c r="EZ6" i="7"/>
  <c r="EY7" i="7" s="1"/>
  <c r="FV64" i="7"/>
  <c r="FV106" i="7"/>
  <c r="FV107" i="7" s="1"/>
  <c r="GP107" i="7" s="1"/>
  <c r="HO70" i="7"/>
  <c r="HQ70" i="7" s="1"/>
  <c r="FG6" i="7"/>
  <c r="FS84" i="7"/>
  <c r="EW85" i="7"/>
  <c r="FQ112" i="7"/>
  <c r="FS112" i="7" s="1"/>
  <c r="DU50" i="7"/>
  <c r="ER78" i="7"/>
  <c r="ET120" i="7"/>
  <c r="FQ44" i="7"/>
  <c r="FS44" i="7" s="1"/>
  <c r="FS120" i="7"/>
  <c r="GR107" i="7"/>
  <c r="DS43" i="7"/>
  <c r="DU43" i="7" s="1"/>
  <c r="FS64" i="7"/>
  <c r="GR99" i="7"/>
  <c r="DU29" i="7"/>
  <c r="ET113" i="7"/>
  <c r="FQ29" i="7"/>
  <c r="FS29" i="7" s="1"/>
  <c r="FV57" i="7"/>
  <c r="FV108" i="7"/>
  <c r="DS99" i="7"/>
  <c r="DU99" i="7" s="1"/>
  <c r="DS120" i="7"/>
  <c r="DU120" i="7" s="1"/>
  <c r="ET36" i="7"/>
  <c r="FQ43" i="7"/>
  <c r="FS43" i="7" s="1"/>
  <c r="DQ161" i="7"/>
  <c r="U281" i="7" s="1"/>
  <c r="DX65" i="7"/>
  <c r="DX66" i="7" s="1"/>
  <c r="ER64" i="7"/>
  <c r="ET64" i="7" s="1"/>
  <c r="EW121" i="7"/>
  <c r="EW122" i="7" s="1"/>
  <c r="CY30" i="7"/>
  <c r="CY31" i="7" s="1"/>
  <c r="FV72" i="7"/>
  <c r="GP72" i="7" s="1"/>
  <c r="GR72" i="7" s="1"/>
  <c r="GP71" i="7"/>
  <c r="ER57" i="7"/>
  <c r="ET57" i="7" s="1"/>
  <c r="FO163" i="7"/>
  <c r="FO37" i="7"/>
  <c r="FO38" i="7" s="1"/>
  <c r="FO39" i="7" s="1"/>
  <c r="FS99" i="7"/>
  <c r="FV9" i="7"/>
  <c r="FV10" i="7" s="1"/>
  <c r="HO56" i="7"/>
  <c r="HQ56" i="7" s="1"/>
  <c r="GU57" i="7"/>
  <c r="GU58" i="7" s="1"/>
  <c r="EW65" i="7"/>
  <c r="GR29" i="7"/>
  <c r="HM66" i="7"/>
  <c r="HM67" i="7" s="1"/>
  <c r="HM68" i="7" s="1"/>
  <c r="EW100" i="7"/>
  <c r="FQ100" i="7" s="1"/>
  <c r="FS100" i="7" s="1"/>
  <c r="GN163" i="7"/>
  <c r="HP155" i="7"/>
  <c r="GQ155" i="7"/>
  <c r="ET163" i="7"/>
  <c r="FV100" i="7"/>
  <c r="GP100" i="7" s="1"/>
  <c r="GR100" i="7" s="1"/>
  <c r="ET160" i="7"/>
  <c r="HM163" i="7"/>
  <c r="ET158" i="7"/>
  <c r="ET162" i="7"/>
  <c r="ET156" i="7"/>
  <c r="ET159" i="7"/>
  <c r="ET161" i="7"/>
  <c r="ET157" i="7"/>
  <c r="HM10" i="7"/>
  <c r="HM11" i="7" s="1"/>
  <c r="HM12" i="7" s="1"/>
  <c r="HG6" i="7"/>
  <c r="HC7" i="7"/>
  <c r="GU17" i="7"/>
  <c r="HO16" i="7"/>
  <c r="HQ16" i="7" s="1"/>
  <c r="GU23" i="7"/>
  <c r="HO22" i="7"/>
  <c r="HQ22" i="7" s="1"/>
  <c r="GU52" i="7"/>
  <c r="HO51" i="7"/>
  <c r="HQ51" i="7" s="1"/>
  <c r="GU9" i="7"/>
  <c r="HO8" i="7"/>
  <c r="HQ8" i="7" s="1"/>
  <c r="HM17" i="7"/>
  <c r="HM31" i="7"/>
  <c r="HM32" i="7" s="1"/>
  <c r="HM33" i="7" s="1"/>
  <c r="GX6" i="7"/>
  <c r="GW7" i="7" s="1"/>
  <c r="HE6" i="7"/>
  <c r="HO21" i="7"/>
  <c r="HQ21" i="7" s="1"/>
  <c r="GU44" i="7"/>
  <c r="HO43" i="7"/>
  <c r="HQ43" i="7" s="1"/>
  <c r="HM79" i="7"/>
  <c r="HM80" i="7" s="1"/>
  <c r="HM81" i="7" s="1"/>
  <c r="HM82" i="7" s="1"/>
  <c r="GU80" i="7"/>
  <c r="HO79" i="7"/>
  <c r="HQ79" i="7" s="1"/>
  <c r="GU29" i="7"/>
  <c r="HO28" i="7"/>
  <c r="HQ28" i="7" s="1"/>
  <c r="HO50" i="7"/>
  <c r="HQ50" i="7" s="1"/>
  <c r="HM73" i="7"/>
  <c r="HM74" i="7" s="1"/>
  <c r="HM75" i="7" s="1"/>
  <c r="HM87" i="7"/>
  <c r="HM88" i="7" s="1"/>
  <c r="HM89" i="7" s="1"/>
  <c r="GU92" i="7"/>
  <c r="HO91" i="7"/>
  <c r="HQ91" i="7" s="1"/>
  <c r="HM124" i="7"/>
  <c r="HM161" i="7" s="1"/>
  <c r="HO7" i="7"/>
  <c r="HQ7" i="7" s="1"/>
  <c r="HO15" i="7"/>
  <c r="HQ15" i="7" s="1"/>
  <c r="HO36" i="7"/>
  <c r="HQ36" i="7" s="1"/>
  <c r="GU37" i="7"/>
  <c r="HM109" i="7"/>
  <c r="HM110" i="7" s="1"/>
  <c r="HM159" i="7" s="1"/>
  <c r="HO49" i="7"/>
  <c r="HQ49" i="7" s="1"/>
  <c r="HM93" i="7"/>
  <c r="GU64" i="7"/>
  <c r="HO63" i="7"/>
  <c r="HQ63" i="7" s="1"/>
  <c r="GU99" i="7"/>
  <c r="HO98" i="7"/>
  <c r="HQ98" i="7" s="1"/>
  <c r="GU121" i="7"/>
  <c r="HO120" i="7"/>
  <c r="HQ120" i="7" s="1"/>
  <c r="GU72" i="7"/>
  <c r="HO71" i="7"/>
  <c r="HQ71" i="7" s="1"/>
  <c r="GU85" i="7"/>
  <c r="HO84" i="7"/>
  <c r="HQ84" i="7" s="1"/>
  <c r="HO78" i="7"/>
  <c r="HQ78" i="7" s="1"/>
  <c r="HM128" i="7"/>
  <c r="HM129" i="7" s="1"/>
  <c r="HM130" i="7" s="1"/>
  <c r="HM131" i="7" s="1"/>
  <c r="GU107" i="7"/>
  <c r="HO106" i="7"/>
  <c r="HQ106" i="7" s="1"/>
  <c r="GU113" i="7"/>
  <c r="GU128" i="7"/>
  <c r="HO127" i="7"/>
  <c r="HQ127" i="7" s="1"/>
  <c r="HO133" i="7"/>
  <c r="HQ133" i="7" s="1"/>
  <c r="GU134" i="7"/>
  <c r="HO119" i="7"/>
  <c r="HQ119" i="7" s="1"/>
  <c r="HO126" i="7"/>
  <c r="HQ126" i="7" s="1"/>
  <c r="GR8" i="7"/>
  <c r="GN24" i="7"/>
  <c r="GN40" i="7"/>
  <c r="FV16" i="7"/>
  <c r="GP15" i="7"/>
  <c r="GR15" i="7" s="1"/>
  <c r="GN9" i="7"/>
  <c r="GN10" i="7" s="1"/>
  <c r="GN11" i="7" s="1"/>
  <c r="GF6" i="7"/>
  <c r="FY6" i="7"/>
  <c r="FX7" i="7" s="1"/>
  <c r="GD6" i="7"/>
  <c r="GN16" i="7"/>
  <c r="FV23" i="7"/>
  <c r="GP22" i="7"/>
  <c r="GR22" i="7" s="1"/>
  <c r="GP7" i="7"/>
  <c r="GR7" i="7" s="1"/>
  <c r="GN29" i="7"/>
  <c r="GN30" i="7" s="1"/>
  <c r="GN31" i="7" s="1"/>
  <c r="GN32" i="7" s="1"/>
  <c r="FV44" i="7"/>
  <c r="GP43" i="7"/>
  <c r="GR43" i="7" s="1"/>
  <c r="GP14" i="7"/>
  <c r="GR14" i="7" s="1"/>
  <c r="FV30" i="7"/>
  <c r="GP35" i="7"/>
  <c r="GR35" i="7" s="1"/>
  <c r="FV36" i="7"/>
  <c r="FV50" i="7"/>
  <c r="GP49" i="7"/>
  <c r="GR49" i="7" s="1"/>
  <c r="GN53" i="7"/>
  <c r="GN54" i="7" s="1"/>
  <c r="GR71" i="7"/>
  <c r="GN79" i="7"/>
  <c r="GN80" i="7" s="1"/>
  <c r="GN81" i="7" s="1"/>
  <c r="GN103" i="7"/>
  <c r="GP21" i="7"/>
  <c r="GR21" i="7" s="1"/>
  <c r="GN45" i="7"/>
  <c r="GN46" i="7" s="1"/>
  <c r="GN47" i="7" s="1"/>
  <c r="FV58" i="7"/>
  <c r="GP57" i="7"/>
  <c r="GR57" i="7" s="1"/>
  <c r="FV65" i="7"/>
  <c r="GP64" i="7"/>
  <c r="GR64" i="7" s="1"/>
  <c r="FV80" i="7"/>
  <c r="GP79" i="7"/>
  <c r="GR79" i="7" s="1"/>
  <c r="FV86" i="7"/>
  <c r="GP85" i="7"/>
  <c r="GR85" i="7" s="1"/>
  <c r="GP70" i="7"/>
  <c r="GR70" i="7" s="1"/>
  <c r="GN94" i="7"/>
  <c r="GN95" i="7" s="1"/>
  <c r="GN96" i="7" s="1"/>
  <c r="FV101" i="7"/>
  <c r="GN124" i="7"/>
  <c r="GN161" i="7" s="1"/>
  <c r="GP42" i="7"/>
  <c r="GR42" i="7" s="1"/>
  <c r="GP78" i="7"/>
  <c r="GR78" i="7" s="1"/>
  <c r="FV93" i="7"/>
  <c r="GP92" i="7"/>
  <c r="GR92" i="7" s="1"/>
  <c r="GN116" i="7"/>
  <c r="GN117" i="7" s="1"/>
  <c r="GN160" i="7" s="1"/>
  <c r="GN87" i="7"/>
  <c r="GN88" i="7" s="1"/>
  <c r="GN89" i="7" s="1"/>
  <c r="FV121" i="7"/>
  <c r="GP120" i="7"/>
  <c r="GR120" i="7" s="1"/>
  <c r="GP77" i="7"/>
  <c r="GR77" i="7" s="1"/>
  <c r="GP84" i="7"/>
  <c r="GR84" i="7" s="1"/>
  <c r="GP91" i="7"/>
  <c r="GR91" i="7" s="1"/>
  <c r="FV109" i="7"/>
  <c r="GP108" i="7"/>
  <c r="GR108" i="7" s="1"/>
  <c r="FV114" i="7"/>
  <c r="GP113" i="7"/>
  <c r="GR113" i="7" s="1"/>
  <c r="GP112" i="7"/>
  <c r="GR112" i="7" s="1"/>
  <c r="GN128" i="7"/>
  <c r="GN129" i="7" s="1"/>
  <c r="GN130" i="7" s="1"/>
  <c r="GN131" i="7" s="1"/>
  <c r="GN108" i="7"/>
  <c r="GN109" i="7" s="1"/>
  <c r="GN110" i="7" s="1"/>
  <c r="GP98" i="7"/>
  <c r="GR98" i="7" s="1"/>
  <c r="GP106" i="7"/>
  <c r="GR106" i="7" s="1"/>
  <c r="FV128" i="7"/>
  <c r="GP127" i="7"/>
  <c r="GR127" i="7" s="1"/>
  <c r="GP133" i="7"/>
  <c r="GR133" i="7" s="1"/>
  <c r="FV134" i="7"/>
  <c r="GP119" i="7"/>
  <c r="GR119" i="7" s="1"/>
  <c r="GP126" i="7"/>
  <c r="GR126" i="7" s="1"/>
  <c r="EW46" i="7"/>
  <c r="FQ45" i="7"/>
  <c r="FS45" i="7" s="1"/>
  <c r="FO72" i="7"/>
  <c r="FL7" i="7"/>
  <c r="FG7" i="7"/>
  <c r="EZ7" i="7"/>
  <c r="EY8" i="7" s="1"/>
  <c r="FO9" i="7"/>
  <c r="FO10" i="7" s="1"/>
  <c r="FO11" i="7" s="1"/>
  <c r="FO25" i="7"/>
  <c r="FO26" i="7" s="1"/>
  <c r="FO94" i="7"/>
  <c r="FE7" i="7"/>
  <c r="FI6" i="7"/>
  <c r="EW16" i="7"/>
  <c r="FQ15" i="7"/>
  <c r="FS15" i="7" s="1"/>
  <c r="FO47" i="7"/>
  <c r="EW24" i="7"/>
  <c r="FQ23" i="7"/>
  <c r="FS23" i="7" s="1"/>
  <c r="FM7" i="7"/>
  <c r="EW9" i="7"/>
  <c r="FQ8" i="7"/>
  <c r="FS8" i="7" s="1"/>
  <c r="FO17" i="7"/>
  <c r="FO18" i="7" s="1"/>
  <c r="FO19" i="7" s="1"/>
  <c r="FO32" i="7"/>
  <c r="FO33" i="7" s="1"/>
  <c r="EW31" i="7"/>
  <c r="FQ30" i="7"/>
  <c r="FS30" i="7" s="1"/>
  <c r="FO65" i="7"/>
  <c r="FO66" i="7" s="1"/>
  <c r="FO67" i="7" s="1"/>
  <c r="EW71" i="7"/>
  <c r="FQ70" i="7"/>
  <c r="FS70" i="7" s="1"/>
  <c r="FO87" i="7"/>
  <c r="FQ7" i="7"/>
  <c r="FS7" i="7" s="1"/>
  <c r="EW50" i="7"/>
  <c r="FQ49" i="7"/>
  <c r="FS49" i="7" s="1"/>
  <c r="EW57" i="7"/>
  <c r="FQ56" i="7"/>
  <c r="FS56" i="7" s="1"/>
  <c r="FO79" i="7"/>
  <c r="FO107" i="7"/>
  <c r="EW86" i="7"/>
  <c r="FQ85" i="7"/>
  <c r="FS85" i="7" s="1"/>
  <c r="EW93" i="7"/>
  <c r="FQ92" i="7"/>
  <c r="FS92" i="7" s="1"/>
  <c r="EW114" i="7"/>
  <c r="FQ113" i="7"/>
  <c r="FS113" i="7" s="1"/>
  <c r="FQ35" i="7"/>
  <c r="FS35" i="7" s="1"/>
  <c r="EW36" i="7"/>
  <c r="FQ14" i="7"/>
  <c r="FS14" i="7" s="1"/>
  <c r="FQ22" i="7"/>
  <c r="FS22" i="7" s="1"/>
  <c r="EW78" i="7"/>
  <c r="FQ77" i="7"/>
  <c r="FS77" i="7" s="1"/>
  <c r="FO99" i="7"/>
  <c r="FO115" i="7"/>
  <c r="EW106" i="7"/>
  <c r="FQ105" i="7"/>
  <c r="FS105" i="7" s="1"/>
  <c r="FQ63" i="7"/>
  <c r="FS63" i="7" s="1"/>
  <c r="EW128" i="7"/>
  <c r="FQ127" i="7"/>
  <c r="FS127" i="7" s="1"/>
  <c r="FQ121" i="7"/>
  <c r="FS121" i="7" s="1"/>
  <c r="FQ98" i="7"/>
  <c r="FS98" i="7" s="1"/>
  <c r="FO123" i="7"/>
  <c r="FO127" i="7"/>
  <c r="FQ133" i="7"/>
  <c r="FS133" i="7" s="1"/>
  <c r="EW134" i="7"/>
  <c r="FQ126" i="7"/>
  <c r="FS126" i="7" s="1"/>
  <c r="EM7" i="7"/>
  <c r="EN7" i="7" s="1"/>
  <c r="EA7" i="7"/>
  <c r="DZ8" i="7" s="1"/>
  <c r="DX9" i="7"/>
  <c r="ER8" i="7"/>
  <c r="ET8" i="7" s="1"/>
  <c r="EP9" i="7"/>
  <c r="EP17" i="7"/>
  <c r="EH7" i="7"/>
  <c r="DX16" i="7"/>
  <c r="ER15" i="7"/>
  <c r="ET15" i="7" s="1"/>
  <c r="EP25" i="7"/>
  <c r="DX24" i="7"/>
  <c r="ER23" i="7"/>
  <c r="ET23" i="7" s="1"/>
  <c r="DX59" i="7"/>
  <c r="ER58" i="7"/>
  <c r="ET58" i="7" s="1"/>
  <c r="EP38" i="7"/>
  <c r="EP39" i="7" s="1"/>
  <c r="EP40" i="7" s="1"/>
  <c r="EP31" i="7"/>
  <c r="EP32" i="7" s="1"/>
  <c r="DX51" i="7"/>
  <c r="ER50" i="7"/>
  <c r="ET50" i="7" s="1"/>
  <c r="EP73" i="7"/>
  <c r="EP74" i="7" s="1"/>
  <c r="DX80" i="7"/>
  <c r="ER79" i="7"/>
  <c r="ET79" i="7" s="1"/>
  <c r="DX86" i="7"/>
  <c r="ER85" i="7"/>
  <c r="ET85" i="7" s="1"/>
  <c r="EP79" i="7"/>
  <c r="EP80" i="7" s="1"/>
  <c r="EP81" i="7" s="1"/>
  <c r="ER7" i="7"/>
  <c r="ET7" i="7" s="1"/>
  <c r="EF8" i="7"/>
  <c r="DX29" i="7"/>
  <c r="ER28" i="7"/>
  <c r="ET28" i="7" s="1"/>
  <c r="DX43" i="7"/>
  <c r="ER42" i="7"/>
  <c r="ET42" i="7" s="1"/>
  <c r="EP65" i="7"/>
  <c r="EP66" i="7" s="1"/>
  <c r="EP67" i="7" s="1"/>
  <c r="ER72" i="7"/>
  <c r="ET72" i="7" s="1"/>
  <c r="EP94" i="7"/>
  <c r="EP95" i="7" s="1"/>
  <c r="DX74" i="7"/>
  <c r="ER73" i="7"/>
  <c r="ET73" i="7" s="1"/>
  <c r="ER14" i="7"/>
  <c r="ET14" i="7" s="1"/>
  <c r="ER22" i="7"/>
  <c r="ET22" i="7" s="1"/>
  <c r="DX37" i="7"/>
  <c r="ER56" i="7"/>
  <c r="ET56" i="7" s="1"/>
  <c r="ER63" i="7"/>
  <c r="ET63" i="7" s="1"/>
  <c r="ER71" i="7"/>
  <c r="ET71" i="7" s="1"/>
  <c r="DX93" i="7"/>
  <c r="ER92" i="7"/>
  <c r="ET92" i="7" s="1"/>
  <c r="ET78" i="7"/>
  <c r="EP87" i="7"/>
  <c r="EP88" i="7" s="1"/>
  <c r="EP89" i="7" s="1"/>
  <c r="EP100" i="7"/>
  <c r="ER77" i="7"/>
  <c r="ET77" i="7" s="1"/>
  <c r="DX106" i="7"/>
  <c r="ER105" i="7"/>
  <c r="ET105" i="7" s="1"/>
  <c r="EP109" i="7"/>
  <c r="EP110" i="7" s="1"/>
  <c r="EP159" i="7" s="1"/>
  <c r="ER84" i="7"/>
  <c r="ET84" i="7" s="1"/>
  <c r="ER91" i="7"/>
  <c r="ET91" i="7" s="1"/>
  <c r="DX114" i="7"/>
  <c r="EP128" i="7"/>
  <c r="DX99" i="7"/>
  <c r="ER98" i="7"/>
  <c r="ET98" i="7" s="1"/>
  <c r="DX121" i="7"/>
  <c r="EP117" i="7"/>
  <c r="EP121" i="7"/>
  <c r="EP122" i="7" s="1"/>
  <c r="EP123" i="7" s="1"/>
  <c r="DX128" i="7"/>
  <c r="ER127" i="7"/>
  <c r="ET127" i="7" s="1"/>
  <c r="ER133" i="7"/>
  <c r="ET133" i="7" s="1"/>
  <c r="DX134" i="7"/>
  <c r="EP136" i="7"/>
  <c r="EP137" i="7" s="1"/>
  <c r="EP138" i="7" s="1"/>
  <c r="ER119" i="7"/>
  <c r="ET119" i="7" s="1"/>
  <c r="ER126" i="7"/>
  <c r="ET126" i="7" s="1"/>
  <c r="DQ32" i="7"/>
  <c r="DQ33" i="7" s="1"/>
  <c r="DQ39" i="7"/>
  <c r="DQ40" i="7" s="1"/>
  <c r="DN7" i="7"/>
  <c r="DB7" i="7"/>
  <c r="DA8" i="7" s="1"/>
  <c r="DI7" i="7"/>
  <c r="DG7" i="7"/>
  <c r="DK6" i="7"/>
  <c r="CY45" i="7"/>
  <c r="DS44" i="7"/>
  <c r="DU44" i="7" s="1"/>
  <c r="CY9" i="7"/>
  <c r="DS8" i="7"/>
  <c r="DU8" i="7" s="1"/>
  <c r="CY51" i="7"/>
  <c r="DQ73" i="7"/>
  <c r="DQ74" i="7" s="1"/>
  <c r="DQ75" i="7" s="1"/>
  <c r="CY23" i="7"/>
  <c r="DS22" i="7"/>
  <c r="DU22" i="7" s="1"/>
  <c r="DQ24" i="7"/>
  <c r="DQ65" i="7"/>
  <c r="DO7" i="7"/>
  <c r="DQ8" i="7"/>
  <c r="CY15" i="7"/>
  <c r="DS14" i="7"/>
  <c r="DU14" i="7" s="1"/>
  <c r="DQ16" i="7"/>
  <c r="DS35" i="7"/>
  <c r="DU35" i="7" s="1"/>
  <c r="CY36" i="7"/>
  <c r="DQ58" i="7"/>
  <c r="CY71" i="7"/>
  <c r="DS70" i="7"/>
  <c r="DU70" i="7" s="1"/>
  <c r="CY78" i="7"/>
  <c r="DS77" i="7"/>
  <c r="DU77" i="7" s="1"/>
  <c r="DQ93" i="7"/>
  <c r="DQ51" i="7"/>
  <c r="DQ52" i="7" s="1"/>
  <c r="DQ53" i="7" s="1"/>
  <c r="CY58" i="7"/>
  <c r="DS57" i="7"/>
  <c r="DU57" i="7" s="1"/>
  <c r="CY65" i="7"/>
  <c r="DS64" i="7"/>
  <c r="DU64" i="7" s="1"/>
  <c r="DS7" i="7"/>
  <c r="DU7" i="7" s="1"/>
  <c r="DQ107" i="7"/>
  <c r="DS49" i="7"/>
  <c r="DU49" i="7" s="1"/>
  <c r="CY86" i="7"/>
  <c r="DS85" i="7"/>
  <c r="DU85" i="7" s="1"/>
  <c r="CY93" i="7"/>
  <c r="DS92" i="7"/>
  <c r="DU92" i="7" s="1"/>
  <c r="CY113" i="7"/>
  <c r="DS112" i="7"/>
  <c r="DU112" i="7" s="1"/>
  <c r="CY128" i="7"/>
  <c r="DS127" i="7"/>
  <c r="DU127" i="7" s="1"/>
  <c r="DQ136" i="7"/>
  <c r="DQ137" i="7" s="1"/>
  <c r="DQ138" i="7" s="1"/>
  <c r="DS56" i="7"/>
  <c r="DU56" i="7" s="1"/>
  <c r="DS63" i="7"/>
  <c r="DU63" i="7" s="1"/>
  <c r="DQ87" i="7"/>
  <c r="CY101" i="7"/>
  <c r="DS100" i="7"/>
  <c r="DU100" i="7" s="1"/>
  <c r="DQ100" i="7"/>
  <c r="DQ101" i="7" s="1"/>
  <c r="DQ102" i="7" s="1"/>
  <c r="DQ116" i="7"/>
  <c r="CY107" i="7"/>
  <c r="DS106" i="7"/>
  <c r="DU106" i="7" s="1"/>
  <c r="DS121" i="7"/>
  <c r="DU121" i="7" s="1"/>
  <c r="CY122" i="7"/>
  <c r="DS98" i="7"/>
  <c r="DU98" i="7" s="1"/>
  <c r="DS105" i="7"/>
  <c r="DU105" i="7" s="1"/>
  <c r="DS133" i="7"/>
  <c r="DU133" i="7" s="1"/>
  <c r="CY134" i="7"/>
  <c r="DQ129" i="7"/>
  <c r="DQ130" i="7" s="1"/>
  <c r="DQ131" i="7" s="1"/>
  <c r="DS119" i="7"/>
  <c r="DU119" i="7" s="1"/>
  <c r="DS126" i="7"/>
  <c r="DU126" i="7" s="1"/>
  <c r="DG60" i="9" l="1"/>
  <c r="DK59" i="9"/>
  <c r="DN59" i="9"/>
  <c r="DO59" i="9" s="1"/>
  <c r="DB59" i="9"/>
  <c r="DA60" i="9" s="1"/>
  <c r="DI59" i="9"/>
  <c r="CO60" i="9"/>
  <c r="CP60" i="9" s="1"/>
  <c r="CC60" i="9"/>
  <c r="CB61" i="9" s="1"/>
  <c r="CJ60" i="9"/>
  <c r="CL60" i="9"/>
  <c r="CH61" i="9"/>
  <c r="BI61" i="9"/>
  <c r="BM61" i="9" s="1"/>
  <c r="BP59" i="9"/>
  <c r="BQ59" i="9" s="1"/>
  <c r="BD59" i="9"/>
  <c r="BC60" i="9" s="1"/>
  <c r="BK59" i="9"/>
  <c r="AQ59" i="9"/>
  <c r="AR59" i="9" s="1"/>
  <c r="AE59" i="9"/>
  <c r="AD60" i="9" s="1"/>
  <c r="AL59" i="9"/>
  <c r="AN59" i="9"/>
  <c r="AJ60" i="9"/>
  <c r="O58" i="9"/>
  <c r="K59" i="9"/>
  <c r="R53" i="9"/>
  <c r="S53" i="9" s="1"/>
  <c r="M53" i="9"/>
  <c r="E54" i="9"/>
  <c r="F54" i="9" s="1"/>
  <c r="EQ159" i="7"/>
  <c r="S305" i="7"/>
  <c r="S306" i="7" s="1"/>
  <c r="HN161" i="7"/>
  <c r="U374" i="7"/>
  <c r="HN159" i="7"/>
  <c r="S374" i="7"/>
  <c r="HN163" i="7"/>
  <c r="W374" i="7"/>
  <c r="GO161" i="7"/>
  <c r="U351" i="7"/>
  <c r="U352" i="7" s="1"/>
  <c r="HQ155" i="7"/>
  <c r="O377" i="7"/>
  <c r="O378" i="7" s="1"/>
  <c r="GO163" i="7"/>
  <c r="W351" i="7"/>
  <c r="W352" i="7" s="1"/>
  <c r="GO160" i="7"/>
  <c r="T351" i="7"/>
  <c r="T352" i="7" s="1"/>
  <c r="GR155" i="7"/>
  <c r="O354" i="7"/>
  <c r="O355" i="7" s="1"/>
  <c r="FP163" i="7"/>
  <c r="W328" i="7"/>
  <c r="W329" i="7" s="1"/>
  <c r="HO57" i="7"/>
  <c r="HQ57" i="7" s="1"/>
  <c r="EW101" i="7"/>
  <c r="FV73" i="7"/>
  <c r="FV74" i="7" s="1"/>
  <c r="ER65" i="7"/>
  <c r="ET65" i="7" s="1"/>
  <c r="GP9" i="7"/>
  <c r="GR9" i="7" s="1"/>
  <c r="FQ65" i="7"/>
  <c r="FS65" i="7" s="1"/>
  <c r="EW66" i="7"/>
  <c r="DS30" i="7"/>
  <c r="DU30" i="7" s="1"/>
  <c r="GN162" i="7"/>
  <c r="EP163" i="7"/>
  <c r="GN156" i="7"/>
  <c r="HM156" i="7"/>
  <c r="GU59" i="7"/>
  <c r="HO58" i="7"/>
  <c r="HQ58" i="7" s="1"/>
  <c r="DQ162" i="7"/>
  <c r="V281" i="7" s="1"/>
  <c r="DQ163" i="7"/>
  <c r="W281" i="7" s="1"/>
  <c r="EP156" i="7"/>
  <c r="GN157" i="7"/>
  <c r="EP160" i="7"/>
  <c r="GN159" i="7"/>
  <c r="GN158" i="7"/>
  <c r="HM162" i="7"/>
  <c r="GU10" i="7"/>
  <c r="HO9" i="7"/>
  <c r="HQ9" i="7" s="1"/>
  <c r="GU18" i="7"/>
  <c r="HO17" i="7"/>
  <c r="HQ17" i="7" s="1"/>
  <c r="HO99" i="7"/>
  <c r="HQ99" i="7" s="1"/>
  <c r="GU100" i="7"/>
  <c r="GU30" i="7"/>
  <c r="HO29" i="7"/>
  <c r="HQ29" i="7" s="1"/>
  <c r="GU93" i="7"/>
  <c r="HO92" i="7"/>
  <c r="HQ92" i="7" s="1"/>
  <c r="HO128" i="7"/>
  <c r="HQ128" i="7" s="1"/>
  <c r="GU129" i="7"/>
  <c r="GU114" i="7"/>
  <c r="HO113" i="7"/>
  <c r="HQ113" i="7" s="1"/>
  <c r="GU86" i="7"/>
  <c r="HO85" i="7"/>
  <c r="HQ85" i="7" s="1"/>
  <c r="GU73" i="7"/>
  <c r="HO72" i="7"/>
  <c r="HQ72" i="7" s="1"/>
  <c r="GU122" i="7"/>
  <c r="HO121" i="7"/>
  <c r="HQ121" i="7" s="1"/>
  <c r="GU38" i="7"/>
  <c r="HO37" i="7"/>
  <c r="HQ37" i="7" s="1"/>
  <c r="GU45" i="7"/>
  <c r="HO44" i="7"/>
  <c r="HQ44" i="7" s="1"/>
  <c r="HO23" i="7"/>
  <c r="HQ23" i="7" s="1"/>
  <c r="GU24" i="7"/>
  <c r="HC8" i="7"/>
  <c r="HG7" i="7"/>
  <c r="GU135" i="7"/>
  <c r="HO134" i="7"/>
  <c r="HQ134" i="7" s="1"/>
  <c r="HM94" i="7"/>
  <c r="GU81" i="7"/>
  <c r="HO80" i="7"/>
  <c r="HQ80" i="7" s="1"/>
  <c r="HM18" i="7"/>
  <c r="GU108" i="7"/>
  <c r="HO107" i="7"/>
  <c r="HQ107" i="7" s="1"/>
  <c r="GU65" i="7"/>
  <c r="HO64" i="7"/>
  <c r="HQ64" i="7" s="1"/>
  <c r="HJ7" i="7"/>
  <c r="HK7" i="7" s="1"/>
  <c r="HE7" i="7"/>
  <c r="GX7" i="7"/>
  <c r="GW8" i="7" s="1"/>
  <c r="GU53" i="7"/>
  <c r="HO52" i="7"/>
  <c r="HQ52" i="7" s="1"/>
  <c r="FV135" i="7"/>
  <c r="GP134" i="7"/>
  <c r="GR134" i="7" s="1"/>
  <c r="FV115" i="7"/>
  <c r="GP114" i="7"/>
  <c r="GR114" i="7" s="1"/>
  <c r="FV94" i="7"/>
  <c r="GP93" i="7"/>
  <c r="GR93" i="7" s="1"/>
  <c r="GN12" i="7"/>
  <c r="FV17" i="7"/>
  <c r="GP16" i="7"/>
  <c r="GR16" i="7" s="1"/>
  <c r="GN25" i="7"/>
  <c r="GP128" i="7"/>
  <c r="GR128" i="7" s="1"/>
  <c r="FV129" i="7"/>
  <c r="FV102" i="7"/>
  <c r="GP101" i="7"/>
  <c r="GR101" i="7" s="1"/>
  <c r="FV81" i="7"/>
  <c r="GP80" i="7"/>
  <c r="GR80" i="7" s="1"/>
  <c r="FV59" i="7"/>
  <c r="GP58" i="7"/>
  <c r="GR58" i="7" s="1"/>
  <c r="FV31" i="7"/>
  <c r="GP30" i="7"/>
  <c r="GR30" i="7" s="1"/>
  <c r="GD7" i="7"/>
  <c r="GH6" i="7"/>
  <c r="FV110" i="7"/>
  <c r="GP110" i="7" s="1"/>
  <c r="GR110" i="7" s="1"/>
  <c r="GP109" i="7"/>
  <c r="GR109" i="7" s="1"/>
  <c r="FV122" i="7"/>
  <c r="GP121" i="7"/>
  <c r="GR121" i="7" s="1"/>
  <c r="FV66" i="7"/>
  <c r="GP65" i="7"/>
  <c r="GR65" i="7" s="1"/>
  <c r="GN82" i="7"/>
  <c r="FV51" i="7"/>
  <c r="GP50" i="7"/>
  <c r="GR50" i="7" s="1"/>
  <c r="GP36" i="7"/>
  <c r="GR36" i="7" s="1"/>
  <c r="FV37" i="7"/>
  <c r="GN33" i="7"/>
  <c r="FV24" i="7"/>
  <c r="GP23" i="7"/>
  <c r="GR23" i="7" s="1"/>
  <c r="GN17" i="7"/>
  <c r="FY7" i="7"/>
  <c r="FX8" i="7" s="1"/>
  <c r="GF7" i="7"/>
  <c r="GK7" i="7"/>
  <c r="GL7" i="7" s="1"/>
  <c r="FV87" i="7"/>
  <c r="GP86" i="7"/>
  <c r="GR86" i="7" s="1"/>
  <c r="FV45" i="7"/>
  <c r="GP44" i="7"/>
  <c r="GR44" i="7" s="1"/>
  <c r="FV11" i="7"/>
  <c r="GP10" i="7"/>
  <c r="GR10" i="7" s="1"/>
  <c r="FO116" i="7"/>
  <c r="EW72" i="7"/>
  <c r="FQ71" i="7"/>
  <c r="FS71" i="7" s="1"/>
  <c r="EW25" i="7"/>
  <c r="FQ24" i="7"/>
  <c r="FS24" i="7" s="1"/>
  <c r="FL8" i="7"/>
  <c r="FM8" i="7" s="1"/>
  <c r="FG8" i="7"/>
  <c r="EZ8" i="7"/>
  <c r="EY9" i="7" s="1"/>
  <c r="EW94" i="7"/>
  <c r="FQ93" i="7"/>
  <c r="FS93" i="7" s="1"/>
  <c r="FO80" i="7"/>
  <c r="EW51" i="7"/>
  <c r="FQ50" i="7"/>
  <c r="FS50" i="7" s="1"/>
  <c r="FQ31" i="7"/>
  <c r="FS31" i="7" s="1"/>
  <c r="EW32" i="7"/>
  <c r="EW10" i="7"/>
  <c r="FQ9" i="7"/>
  <c r="FS9" i="7" s="1"/>
  <c r="FO40" i="7"/>
  <c r="FQ16" i="7"/>
  <c r="FS16" i="7" s="1"/>
  <c r="EW17" i="7"/>
  <c r="FI7" i="7"/>
  <c r="FE8" i="7"/>
  <c r="FO95" i="7"/>
  <c r="FO100" i="7"/>
  <c r="FO73" i="7"/>
  <c r="FO124" i="7"/>
  <c r="EW107" i="7"/>
  <c r="FQ106" i="7"/>
  <c r="FS106" i="7" s="1"/>
  <c r="EW102" i="7"/>
  <c r="FQ101" i="7"/>
  <c r="FS101" i="7" s="1"/>
  <c r="EW115" i="7"/>
  <c r="FQ114" i="7"/>
  <c r="FS114" i="7" s="1"/>
  <c r="FQ57" i="7"/>
  <c r="FS57" i="7" s="1"/>
  <c r="EW58" i="7"/>
  <c r="FO88" i="7"/>
  <c r="EW47" i="7"/>
  <c r="FQ47" i="7" s="1"/>
  <c r="FS47" i="7" s="1"/>
  <c r="FQ46" i="7"/>
  <c r="FS46" i="7" s="1"/>
  <c r="FQ128" i="7"/>
  <c r="FS128" i="7" s="1"/>
  <c r="EW129" i="7"/>
  <c r="EW79" i="7"/>
  <c r="FQ78" i="7"/>
  <c r="FS78" i="7" s="1"/>
  <c r="FO108" i="7"/>
  <c r="FO68" i="7"/>
  <c r="EW135" i="7"/>
  <c r="FQ134" i="7"/>
  <c r="FS134" i="7" s="1"/>
  <c r="FO128" i="7"/>
  <c r="EW123" i="7"/>
  <c r="FQ122" i="7"/>
  <c r="FS122" i="7" s="1"/>
  <c r="FQ36" i="7"/>
  <c r="FS36" i="7" s="1"/>
  <c r="EW37" i="7"/>
  <c r="EW87" i="7"/>
  <c r="FQ86" i="7"/>
  <c r="FS86" i="7" s="1"/>
  <c r="FO12" i="7"/>
  <c r="ER128" i="7"/>
  <c r="ET128" i="7" s="1"/>
  <c r="DX129" i="7"/>
  <c r="DX107" i="7"/>
  <c r="ER106" i="7"/>
  <c r="ET106" i="7" s="1"/>
  <c r="EP18" i="7"/>
  <c r="DX135" i="7"/>
  <c r="ER134" i="7"/>
  <c r="ET134" i="7" s="1"/>
  <c r="DX115" i="7"/>
  <c r="ER114" i="7"/>
  <c r="ET114" i="7" s="1"/>
  <c r="DX94" i="7"/>
  <c r="ER93" i="7"/>
  <c r="ET93" i="7" s="1"/>
  <c r="EP96" i="7"/>
  <c r="DX44" i="7"/>
  <c r="ER43" i="7"/>
  <c r="ET43" i="7" s="1"/>
  <c r="EJ8" i="7"/>
  <c r="EF9" i="7"/>
  <c r="DX81" i="7"/>
  <c r="ER80" i="7"/>
  <c r="ET80" i="7" s="1"/>
  <c r="DX17" i="7"/>
  <c r="ER16" i="7"/>
  <c r="ET16" i="7" s="1"/>
  <c r="DX100" i="7"/>
  <c r="ER99" i="7"/>
  <c r="ET99" i="7" s="1"/>
  <c r="EP33" i="7"/>
  <c r="ER59" i="7"/>
  <c r="ET59" i="7" s="1"/>
  <c r="DX60" i="7"/>
  <c r="EP26" i="7"/>
  <c r="DX67" i="7"/>
  <c r="ER66" i="7"/>
  <c r="ET66" i="7" s="1"/>
  <c r="EH8" i="7"/>
  <c r="EM8" i="7"/>
  <c r="EN8" i="7" s="1"/>
  <c r="EA8" i="7"/>
  <c r="DZ9" i="7" s="1"/>
  <c r="DX122" i="7"/>
  <c r="ER121" i="7"/>
  <c r="ET121" i="7" s="1"/>
  <c r="DX38" i="7"/>
  <c r="ER37" i="7"/>
  <c r="ET37" i="7" s="1"/>
  <c r="EP68" i="7"/>
  <c r="EP75" i="7"/>
  <c r="DX25" i="7"/>
  <c r="ER24" i="7"/>
  <c r="ET24" i="7" s="1"/>
  <c r="EP129" i="7"/>
  <c r="EP101" i="7"/>
  <c r="DX30" i="7"/>
  <c r="ER29" i="7"/>
  <c r="ET29" i="7" s="1"/>
  <c r="EP124" i="7"/>
  <c r="ER74" i="7"/>
  <c r="ET74" i="7" s="1"/>
  <c r="DX75" i="7"/>
  <c r="ER75" i="7" s="1"/>
  <c r="ET75" i="7" s="1"/>
  <c r="EP82" i="7"/>
  <c r="DX87" i="7"/>
  <c r="ER86" i="7"/>
  <c r="ET86" i="7" s="1"/>
  <c r="DX52" i="7"/>
  <c r="ER51" i="7"/>
  <c r="ET51" i="7" s="1"/>
  <c r="EP10" i="7"/>
  <c r="DX10" i="7"/>
  <c r="ER9" i="7"/>
  <c r="ET9" i="7" s="1"/>
  <c r="CY16" i="7"/>
  <c r="DS15" i="7"/>
  <c r="DU15" i="7" s="1"/>
  <c r="CY135" i="7"/>
  <c r="DS134" i="7"/>
  <c r="DU134" i="7" s="1"/>
  <c r="CY102" i="7"/>
  <c r="DS101" i="7"/>
  <c r="DU101" i="7" s="1"/>
  <c r="DQ108" i="7"/>
  <c r="DQ94" i="7"/>
  <c r="CY129" i="7"/>
  <c r="DS128" i="7"/>
  <c r="DU128" i="7" s="1"/>
  <c r="DQ59" i="7"/>
  <c r="DS31" i="7"/>
  <c r="DU31" i="7" s="1"/>
  <c r="CY32" i="7"/>
  <c r="CY52" i="7"/>
  <c r="DS51" i="7"/>
  <c r="DU51" i="7" s="1"/>
  <c r="DS107" i="7"/>
  <c r="DU107" i="7" s="1"/>
  <c r="CY108" i="7"/>
  <c r="DQ117" i="7"/>
  <c r="DQ103" i="7"/>
  <c r="CY114" i="7"/>
  <c r="DS113" i="7"/>
  <c r="DU113" i="7" s="1"/>
  <c r="DS86" i="7"/>
  <c r="DU86" i="7" s="1"/>
  <c r="CY87" i="7"/>
  <c r="DQ54" i="7"/>
  <c r="CY72" i="7"/>
  <c r="DS71" i="7"/>
  <c r="DU71" i="7" s="1"/>
  <c r="DQ17" i="7"/>
  <c r="DQ25" i="7"/>
  <c r="DB8" i="7"/>
  <c r="DA9" i="7" s="1"/>
  <c r="DI8" i="7"/>
  <c r="DN8" i="7"/>
  <c r="DO8" i="7" s="1"/>
  <c r="DQ88" i="7"/>
  <c r="CY24" i="7"/>
  <c r="DS23" i="7"/>
  <c r="DU23" i="7" s="1"/>
  <c r="DS9" i="7"/>
  <c r="DU9" i="7" s="1"/>
  <c r="CY10" i="7"/>
  <c r="DK7" i="7"/>
  <c r="DG8" i="7"/>
  <c r="CY123" i="7"/>
  <c r="DS122" i="7"/>
  <c r="DU122" i="7" s="1"/>
  <c r="DS93" i="7"/>
  <c r="DU93" i="7" s="1"/>
  <c r="CY94" i="7"/>
  <c r="DS65" i="7"/>
  <c r="DU65" i="7" s="1"/>
  <c r="CY66" i="7"/>
  <c r="DS58" i="7"/>
  <c r="DU58" i="7" s="1"/>
  <c r="CY59" i="7"/>
  <c r="DS78" i="7"/>
  <c r="DU78" i="7" s="1"/>
  <c r="CY79" i="7"/>
  <c r="DS36" i="7"/>
  <c r="DU36" i="7" s="1"/>
  <c r="CY37" i="7"/>
  <c r="DQ9" i="7"/>
  <c r="DQ66" i="7"/>
  <c r="CY46" i="7"/>
  <c r="DS45" i="7"/>
  <c r="DU45" i="7" s="1"/>
  <c r="DK60" i="9" l="1"/>
  <c r="DG61" i="9"/>
  <c r="DN60" i="9"/>
  <c r="DO60" i="9" s="1"/>
  <c r="DI60" i="9"/>
  <c r="DB60" i="9"/>
  <c r="DA61" i="9" s="1"/>
  <c r="CO61" i="9"/>
  <c r="CP61" i="9" s="1"/>
  <c r="CC61" i="9"/>
  <c r="CB62" i="9" s="1"/>
  <c r="CJ61" i="9"/>
  <c r="CH62" i="9"/>
  <c r="CL61" i="9"/>
  <c r="BP60" i="9"/>
  <c r="BQ60" i="9" s="1"/>
  <c r="BD60" i="9"/>
  <c r="BC61" i="9" s="1"/>
  <c r="BK60" i="9"/>
  <c r="BI62" i="9"/>
  <c r="BM62" i="9" s="1"/>
  <c r="AQ60" i="9"/>
  <c r="AR60" i="9" s="1"/>
  <c r="AL60" i="9"/>
  <c r="AE60" i="9"/>
  <c r="AD61" i="9" s="1"/>
  <c r="AN60" i="9"/>
  <c r="AJ61" i="9"/>
  <c r="AR151" i="9"/>
  <c r="K206" i="9" s="1"/>
  <c r="CP151" i="9"/>
  <c r="K255" i="9" s="1"/>
  <c r="DO151" i="9"/>
  <c r="K279" i="9" s="1"/>
  <c r="AJ152" i="9"/>
  <c r="K60" i="9"/>
  <c r="O59" i="9"/>
  <c r="CL151" i="9"/>
  <c r="K251" i="9" s="1"/>
  <c r="DK151" i="9"/>
  <c r="K275" i="9" s="1"/>
  <c r="AE151" i="9"/>
  <c r="K193" i="9" s="1"/>
  <c r="R54" i="9"/>
  <c r="S54" i="9" s="1"/>
  <c r="E55" i="9"/>
  <c r="F55" i="9" s="1"/>
  <c r="M54" i="9"/>
  <c r="DB151" i="9"/>
  <c r="CC151" i="9"/>
  <c r="K242" i="9" s="1"/>
  <c r="EQ160" i="7"/>
  <c r="T305" i="7"/>
  <c r="T306" i="7" s="1"/>
  <c r="EQ163" i="7"/>
  <c r="W305" i="7"/>
  <c r="W306" i="7" s="1"/>
  <c r="EQ156" i="7"/>
  <c r="P305" i="7"/>
  <c r="P306" i="7" s="1"/>
  <c r="HN162" i="7"/>
  <c r="V374" i="7"/>
  <c r="GO159" i="7"/>
  <c r="S351" i="7"/>
  <c r="S352" i="7" s="1"/>
  <c r="HN156" i="7"/>
  <c r="P374" i="7"/>
  <c r="GO156" i="7"/>
  <c r="P351" i="7"/>
  <c r="P352" i="7" s="1"/>
  <c r="GO157" i="7"/>
  <c r="Q351" i="7"/>
  <c r="Q352" i="7" s="1"/>
  <c r="GO158" i="7"/>
  <c r="R351" i="7"/>
  <c r="R352" i="7" s="1"/>
  <c r="GO162" i="7"/>
  <c r="V351" i="7"/>
  <c r="V352" i="7" s="1"/>
  <c r="GP73" i="7"/>
  <c r="GR73" i="7" s="1"/>
  <c r="HO59" i="7"/>
  <c r="HQ59" i="7" s="1"/>
  <c r="GU60" i="7"/>
  <c r="DQ158" i="7"/>
  <c r="R281" i="7" s="1"/>
  <c r="HM155" i="7"/>
  <c r="GN155" i="7"/>
  <c r="FO161" i="7"/>
  <c r="EW67" i="7"/>
  <c r="FQ66" i="7"/>
  <c r="FS66" i="7" s="1"/>
  <c r="EP161" i="7"/>
  <c r="DQ160" i="7"/>
  <c r="T281" i="7" s="1"/>
  <c r="EP157" i="7"/>
  <c r="GU54" i="7"/>
  <c r="HO54" i="7" s="1"/>
  <c r="HQ54" i="7" s="1"/>
  <c r="HO53" i="7"/>
  <c r="HQ53" i="7" s="1"/>
  <c r="HJ8" i="7"/>
  <c r="HK8" i="7" s="1"/>
  <c r="GX8" i="7"/>
  <c r="GW9" i="7" s="1"/>
  <c r="HE8" i="7"/>
  <c r="GU66" i="7"/>
  <c r="HO65" i="7"/>
  <c r="HQ65" i="7" s="1"/>
  <c r="HM19" i="7"/>
  <c r="HM95" i="7"/>
  <c r="HG8" i="7"/>
  <c r="HC9" i="7"/>
  <c r="GU46" i="7"/>
  <c r="HO45" i="7"/>
  <c r="HQ45" i="7" s="1"/>
  <c r="HO73" i="7"/>
  <c r="HQ73" i="7" s="1"/>
  <c r="GU74" i="7"/>
  <c r="HO114" i="7"/>
  <c r="HQ114" i="7" s="1"/>
  <c r="GU115" i="7"/>
  <c r="GU94" i="7"/>
  <c r="HO93" i="7"/>
  <c r="HQ93" i="7" s="1"/>
  <c r="GU31" i="7"/>
  <c r="HO30" i="7"/>
  <c r="HQ30" i="7" s="1"/>
  <c r="HO18" i="7"/>
  <c r="HQ18" i="7" s="1"/>
  <c r="GU19" i="7"/>
  <c r="HO19" i="7" s="1"/>
  <c r="HQ19" i="7" s="1"/>
  <c r="GU25" i="7"/>
  <c r="HO24" i="7"/>
  <c r="HQ24" i="7" s="1"/>
  <c r="GU130" i="7"/>
  <c r="HO129" i="7"/>
  <c r="HQ129" i="7" s="1"/>
  <c r="GU101" i="7"/>
  <c r="HO100" i="7"/>
  <c r="HQ100" i="7" s="1"/>
  <c r="GU109" i="7"/>
  <c r="HO108" i="7"/>
  <c r="HQ108" i="7" s="1"/>
  <c r="GU82" i="7"/>
  <c r="HO82" i="7" s="1"/>
  <c r="HQ82" i="7" s="1"/>
  <c r="HO81" i="7"/>
  <c r="HQ81" i="7" s="1"/>
  <c r="GU136" i="7"/>
  <c r="HO135" i="7"/>
  <c r="HQ135" i="7" s="1"/>
  <c r="GU39" i="7"/>
  <c r="HO38" i="7"/>
  <c r="HQ38" i="7" s="1"/>
  <c r="GU123" i="7"/>
  <c r="HO122" i="7"/>
  <c r="HQ122" i="7" s="1"/>
  <c r="GU87" i="7"/>
  <c r="HO86" i="7"/>
  <c r="HQ86" i="7" s="1"/>
  <c r="GU11" i="7"/>
  <c r="HO10" i="7"/>
  <c r="HQ10" i="7" s="1"/>
  <c r="FV88" i="7"/>
  <c r="GP87" i="7"/>
  <c r="GR87" i="7" s="1"/>
  <c r="GK8" i="7"/>
  <c r="GL8" i="7" s="1"/>
  <c r="FY8" i="7"/>
  <c r="FX9" i="7" s="1"/>
  <c r="GF8" i="7"/>
  <c r="FV25" i="7"/>
  <c r="GP24" i="7"/>
  <c r="GR24" i="7" s="1"/>
  <c r="GH7" i="7"/>
  <c r="GD8" i="7"/>
  <c r="FV130" i="7"/>
  <c r="GP129" i="7"/>
  <c r="GR129" i="7" s="1"/>
  <c r="FV46" i="7"/>
  <c r="GP45" i="7"/>
  <c r="GR45" i="7" s="1"/>
  <c r="GN18" i="7"/>
  <c r="GP31" i="7"/>
  <c r="GR31" i="7" s="1"/>
  <c r="FV32" i="7"/>
  <c r="FV82" i="7"/>
  <c r="GP82" i="7" s="1"/>
  <c r="GR82" i="7" s="1"/>
  <c r="GP81" i="7"/>
  <c r="GR81" i="7" s="1"/>
  <c r="FV18" i="7"/>
  <c r="GP17" i="7"/>
  <c r="GR17" i="7" s="1"/>
  <c r="FV116" i="7"/>
  <c r="GP115" i="7"/>
  <c r="GR115" i="7" s="1"/>
  <c r="FV12" i="7"/>
  <c r="GP11" i="7"/>
  <c r="GR11" i="7" s="1"/>
  <c r="FV52" i="7"/>
  <c r="GP51" i="7"/>
  <c r="GR51" i="7" s="1"/>
  <c r="FV67" i="7"/>
  <c r="GP66" i="7"/>
  <c r="GR66" i="7" s="1"/>
  <c r="FV123" i="7"/>
  <c r="GP122" i="7"/>
  <c r="GR122" i="7" s="1"/>
  <c r="FV75" i="7"/>
  <c r="GP75" i="7" s="1"/>
  <c r="GR75" i="7" s="1"/>
  <c r="GP74" i="7"/>
  <c r="GR74" i="7" s="1"/>
  <c r="GN26" i="7"/>
  <c r="FV38" i="7"/>
  <c r="GP37" i="7"/>
  <c r="GR37" i="7" s="1"/>
  <c r="GP59" i="7"/>
  <c r="GR59" i="7" s="1"/>
  <c r="FV60" i="7"/>
  <c r="FV103" i="7"/>
  <c r="GP103" i="7" s="1"/>
  <c r="GR103" i="7" s="1"/>
  <c r="GP102" i="7"/>
  <c r="GR102" i="7" s="1"/>
  <c r="FV95" i="7"/>
  <c r="GP94" i="7"/>
  <c r="GR94" i="7" s="1"/>
  <c r="FV136" i="7"/>
  <c r="GP135" i="7"/>
  <c r="GR135" i="7" s="1"/>
  <c r="FQ87" i="7"/>
  <c r="FS87" i="7" s="1"/>
  <c r="EW88" i="7"/>
  <c r="EW124" i="7"/>
  <c r="FQ124" i="7" s="1"/>
  <c r="FS124" i="7" s="1"/>
  <c r="FQ123" i="7"/>
  <c r="FS123" i="7" s="1"/>
  <c r="EW136" i="7"/>
  <c r="FQ135" i="7"/>
  <c r="FS135" i="7" s="1"/>
  <c r="EW130" i="7"/>
  <c r="FQ129" i="7"/>
  <c r="FS129" i="7" s="1"/>
  <c r="EW103" i="7"/>
  <c r="FQ103" i="7" s="1"/>
  <c r="FS103" i="7" s="1"/>
  <c r="FQ102" i="7"/>
  <c r="FS102" i="7" s="1"/>
  <c r="FO101" i="7"/>
  <c r="FO81" i="7"/>
  <c r="EW38" i="7"/>
  <c r="FQ37" i="7"/>
  <c r="FS37" i="7" s="1"/>
  <c r="FO109" i="7"/>
  <c r="FO89" i="7"/>
  <c r="FQ115" i="7"/>
  <c r="FS115" i="7" s="1"/>
  <c r="EW116" i="7"/>
  <c r="FO74" i="7"/>
  <c r="EW18" i="7"/>
  <c r="FQ17" i="7"/>
  <c r="FS17" i="7" s="1"/>
  <c r="FQ72" i="7"/>
  <c r="FS72" i="7" s="1"/>
  <c r="EW73" i="7"/>
  <c r="FO129" i="7"/>
  <c r="EW59" i="7"/>
  <c r="FQ58" i="7"/>
  <c r="FS58" i="7" s="1"/>
  <c r="FQ107" i="7"/>
  <c r="FS107" i="7" s="1"/>
  <c r="EW108" i="7"/>
  <c r="FO96" i="7"/>
  <c r="EW11" i="7"/>
  <c r="FQ10" i="7"/>
  <c r="FS10" i="7" s="1"/>
  <c r="FQ51" i="7"/>
  <c r="FS51" i="7" s="1"/>
  <c r="EW52" i="7"/>
  <c r="EW95" i="7"/>
  <c r="FQ94" i="7"/>
  <c r="FS94" i="7" s="1"/>
  <c r="EW80" i="7"/>
  <c r="FQ79" i="7"/>
  <c r="FS79" i="7" s="1"/>
  <c r="FE9" i="7"/>
  <c r="FI8" i="7"/>
  <c r="EW33" i="7"/>
  <c r="FQ33" i="7" s="1"/>
  <c r="FS33" i="7" s="1"/>
  <c r="FQ32" i="7"/>
  <c r="FS32" i="7" s="1"/>
  <c r="FL9" i="7"/>
  <c r="FM9" i="7" s="1"/>
  <c r="EZ9" i="7"/>
  <c r="EY10" i="7" s="1"/>
  <c r="FG9" i="7"/>
  <c r="EW26" i="7"/>
  <c r="FQ26" i="7" s="1"/>
  <c r="FS26" i="7" s="1"/>
  <c r="FQ25" i="7"/>
  <c r="FS25" i="7" s="1"/>
  <c r="FO117" i="7"/>
  <c r="DX88" i="7"/>
  <c r="ER87" i="7"/>
  <c r="ET87" i="7" s="1"/>
  <c r="EP130" i="7"/>
  <c r="EJ9" i="7"/>
  <c r="EF10" i="7"/>
  <c r="DX31" i="7"/>
  <c r="ER30" i="7"/>
  <c r="ET30" i="7" s="1"/>
  <c r="DX18" i="7"/>
  <c r="ER17" i="7"/>
  <c r="ET17" i="7" s="1"/>
  <c r="DX136" i="7"/>
  <c r="ER135" i="7"/>
  <c r="ET135" i="7" s="1"/>
  <c r="DX108" i="7"/>
  <c r="ER107" i="7"/>
  <c r="ET107" i="7" s="1"/>
  <c r="DX11" i="7"/>
  <c r="ER10" i="7"/>
  <c r="ET10" i="7" s="1"/>
  <c r="DX53" i="7"/>
  <c r="ER52" i="7"/>
  <c r="ET52" i="7" s="1"/>
  <c r="EP102" i="7"/>
  <c r="DX123" i="7"/>
  <c r="ER122" i="7"/>
  <c r="ET122" i="7" s="1"/>
  <c r="ER60" i="7"/>
  <c r="ET60" i="7" s="1"/>
  <c r="DX61" i="7"/>
  <c r="ER61" i="7" s="1"/>
  <c r="ET61" i="7" s="1"/>
  <c r="DX116" i="7"/>
  <c r="ER115" i="7"/>
  <c r="ET115" i="7" s="1"/>
  <c r="EP19" i="7"/>
  <c r="DX130" i="7"/>
  <c r="ER129" i="7"/>
  <c r="ET129" i="7" s="1"/>
  <c r="EP11" i="7"/>
  <c r="DX26" i="7"/>
  <c r="ER26" i="7" s="1"/>
  <c r="ET26" i="7" s="1"/>
  <c r="ER25" i="7"/>
  <c r="ET25" i="7" s="1"/>
  <c r="DX39" i="7"/>
  <c r="ER38" i="7"/>
  <c r="ET38" i="7" s="1"/>
  <c r="EM9" i="7"/>
  <c r="EN9" i="7" s="1"/>
  <c r="EA9" i="7"/>
  <c r="DZ10" i="7" s="1"/>
  <c r="EH9" i="7"/>
  <c r="DX68" i="7"/>
  <c r="ER68" i="7" s="1"/>
  <c r="ET68" i="7" s="1"/>
  <c r="ER67" i="7"/>
  <c r="ET67" i="7" s="1"/>
  <c r="DX101" i="7"/>
  <c r="ER100" i="7"/>
  <c r="ET100" i="7" s="1"/>
  <c r="DX82" i="7"/>
  <c r="ER82" i="7" s="1"/>
  <c r="ET82" i="7" s="1"/>
  <c r="ER81" i="7"/>
  <c r="ET81" i="7" s="1"/>
  <c r="DX45" i="7"/>
  <c r="ER44" i="7"/>
  <c r="ET44" i="7" s="1"/>
  <c r="DX95" i="7"/>
  <c r="ER94" i="7"/>
  <c r="ET94" i="7" s="1"/>
  <c r="CY80" i="7"/>
  <c r="DS79" i="7"/>
  <c r="DU79" i="7" s="1"/>
  <c r="CY67" i="7"/>
  <c r="DS66" i="7"/>
  <c r="DU66" i="7" s="1"/>
  <c r="DG9" i="7"/>
  <c r="DK8" i="7"/>
  <c r="DQ26" i="7"/>
  <c r="DS72" i="7"/>
  <c r="DU72" i="7" s="1"/>
  <c r="CY73" i="7"/>
  <c r="CY33" i="7"/>
  <c r="DS33" i="7" s="1"/>
  <c r="DU33" i="7" s="1"/>
  <c r="DS32" i="7"/>
  <c r="DU32" i="7" s="1"/>
  <c r="DQ95" i="7"/>
  <c r="CY136" i="7"/>
  <c r="DS135" i="7"/>
  <c r="DU135" i="7" s="1"/>
  <c r="DQ89" i="7"/>
  <c r="CY88" i="7"/>
  <c r="DS87" i="7"/>
  <c r="DU87" i="7" s="1"/>
  <c r="CY109" i="7"/>
  <c r="DS108" i="7"/>
  <c r="DU108" i="7" s="1"/>
  <c r="CY53" i="7"/>
  <c r="DS52" i="7"/>
  <c r="DU52" i="7" s="1"/>
  <c r="DQ60" i="7"/>
  <c r="CY47" i="7"/>
  <c r="DS47" i="7" s="1"/>
  <c r="DU47" i="7" s="1"/>
  <c r="DS46" i="7"/>
  <c r="DU46" i="7" s="1"/>
  <c r="DQ10" i="7"/>
  <c r="CY25" i="7"/>
  <c r="DS24" i="7"/>
  <c r="DU24" i="7" s="1"/>
  <c r="CY103" i="7"/>
  <c r="DS103" i="7" s="1"/>
  <c r="DU103" i="7" s="1"/>
  <c r="DS102" i="7"/>
  <c r="DU102" i="7" s="1"/>
  <c r="DQ67" i="7"/>
  <c r="CY38" i="7"/>
  <c r="DS37" i="7"/>
  <c r="DU37" i="7" s="1"/>
  <c r="DS59" i="7"/>
  <c r="DU59" i="7" s="1"/>
  <c r="CY60" i="7"/>
  <c r="CY95" i="7"/>
  <c r="DS94" i="7"/>
  <c r="DU94" i="7" s="1"/>
  <c r="CY124" i="7"/>
  <c r="DS124" i="7" s="1"/>
  <c r="DU124" i="7" s="1"/>
  <c r="DS123" i="7"/>
  <c r="DU123" i="7" s="1"/>
  <c r="CY11" i="7"/>
  <c r="DS10" i="7"/>
  <c r="DU10" i="7" s="1"/>
  <c r="DN9" i="7"/>
  <c r="DO9" i="7" s="1"/>
  <c r="DB9" i="7"/>
  <c r="DA10" i="7" s="1"/>
  <c r="DI9" i="7"/>
  <c r="DQ18" i="7"/>
  <c r="CY115" i="7"/>
  <c r="DS114" i="7"/>
  <c r="DU114" i="7" s="1"/>
  <c r="CY130" i="7"/>
  <c r="DS129" i="7"/>
  <c r="DU129" i="7" s="1"/>
  <c r="DQ109" i="7"/>
  <c r="CY17" i="7"/>
  <c r="DS16" i="7"/>
  <c r="DU16" i="7" s="1"/>
  <c r="DK61" i="9" l="1"/>
  <c r="DG62" i="9"/>
  <c r="DN61" i="9"/>
  <c r="DO61" i="9" s="1"/>
  <c r="DB61" i="9"/>
  <c r="DA62" i="9" s="1"/>
  <c r="DI61" i="9"/>
  <c r="CO62" i="9"/>
  <c r="CP62" i="9" s="1"/>
  <c r="CC62" i="9"/>
  <c r="CB63" i="9" s="1"/>
  <c r="CJ62" i="9"/>
  <c r="CL62" i="9"/>
  <c r="CH63" i="9"/>
  <c r="BD61" i="9"/>
  <c r="BC62" i="9" s="1"/>
  <c r="BK61" i="9"/>
  <c r="BP61" i="9"/>
  <c r="BQ61" i="9" s="1"/>
  <c r="BI63" i="9"/>
  <c r="BM63" i="9" s="1"/>
  <c r="AQ61" i="9"/>
  <c r="AR61" i="9" s="1"/>
  <c r="AE61" i="9"/>
  <c r="AD62" i="9" s="1"/>
  <c r="AL61" i="9"/>
  <c r="AJ62" i="9"/>
  <c r="AN61" i="9"/>
  <c r="S151" i="9"/>
  <c r="K183" i="9" s="1"/>
  <c r="BQ151" i="9"/>
  <c r="K231" i="9" s="1"/>
  <c r="AD152" i="9"/>
  <c r="AN152" i="9" s="1"/>
  <c r="L202" i="9" s="1"/>
  <c r="DG152" i="9"/>
  <c r="L271" i="9" s="1"/>
  <c r="CH152" i="9"/>
  <c r="L247" i="9" s="1"/>
  <c r="CB152" i="9"/>
  <c r="L241" i="9" s="1"/>
  <c r="DA152" i="9"/>
  <c r="L265" i="9" s="1"/>
  <c r="K266" i="9"/>
  <c r="F151" i="9"/>
  <c r="K170" i="9" s="1"/>
  <c r="L198" i="9"/>
  <c r="BD151" i="9"/>
  <c r="K218" i="9" s="1"/>
  <c r="BI152" i="9"/>
  <c r="L223" i="9" s="1"/>
  <c r="BM152" i="9"/>
  <c r="L227" i="9" s="1"/>
  <c r="O60" i="9"/>
  <c r="K61" i="9"/>
  <c r="EQ161" i="7"/>
  <c r="U305" i="7"/>
  <c r="U306" i="7" s="1"/>
  <c r="EQ157" i="7"/>
  <c r="Q305" i="7"/>
  <c r="Q306" i="7" s="1"/>
  <c r="GO155" i="7"/>
  <c r="O351" i="7"/>
  <c r="O352" i="7" s="1"/>
  <c r="HN155" i="7"/>
  <c r="O374" i="7"/>
  <c r="FP161" i="7"/>
  <c r="U328" i="7"/>
  <c r="U329" i="7" s="1"/>
  <c r="FO157" i="7"/>
  <c r="FO160" i="7"/>
  <c r="EW68" i="7"/>
  <c r="FQ68" i="7" s="1"/>
  <c r="FS68" i="7" s="1"/>
  <c r="FQ67" i="7"/>
  <c r="FS67" i="7" s="1"/>
  <c r="FO156" i="7"/>
  <c r="GP12" i="7"/>
  <c r="GR12" i="7" s="1"/>
  <c r="GU61" i="7"/>
  <c r="HO61" i="7" s="1"/>
  <c r="HQ61" i="7" s="1"/>
  <c r="HO60" i="7"/>
  <c r="HQ60" i="7" s="1"/>
  <c r="GU95" i="7"/>
  <c r="HO94" i="7"/>
  <c r="HQ94" i="7" s="1"/>
  <c r="HE9" i="7"/>
  <c r="HJ9" i="7"/>
  <c r="HK9" i="7" s="1"/>
  <c r="GX9" i="7"/>
  <c r="GW10" i="7" s="1"/>
  <c r="GU131" i="7"/>
  <c r="HO131" i="7" s="1"/>
  <c r="HQ131" i="7" s="1"/>
  <c r="HO130" i="7"/>
  <c r="HQ130" i="7" s="1"/>
  <c r="GU88" i="7"/>
  <c r="HO87" i="7"/>
  <c r="HQ87" i="7" s="1"/>
  <c r="GU40" i="7"/>
  <c r="HO40" i="7" s="1"/>
  <c r="HQ40" i="7" s="1"/>
  <c r="HO39" i="7"/>
  <c r="HQ39" i="7" s="1"/>
  <c r="GU116" i="7"/>
  <c r="HO115" i="7"/>
  <c r="HQ115" i="7" s="1"/>
  <c r="GU102" i="7"/>
  <c r="HO101" i="7"/>
  <c r="HQ101" i="7" s="1"/>
  <c r="HO25" i="7"/>
  <c r="HQ25" i="7" s="1"/>
  <c r="GU26" i="7"/>
  <c r="HO26" i="7" s="1"/>
  <c r="HQ26" i="7" s="1"/>
  <c r="GU32" i="7"/>
  <c r="HO31" i="7"/>
  <c r="HQ31" i="7" s="1"/>
  <c r="GU47" i="7"/>
  <c r="HO47" i="7" s="1"/>
  <c r="HQ47" i="7" s="1"/>
  <c r="HO46" i="7"/>
  <c r="HQ46" i="7" s="1"/>
  <c r="HM96" i="7"/>
  <c r="GU67" i="7"/>
  <c r="HO66" i="7"/>
  <c r="HQ66" i="7" s="1"/>
  <c r="GU12" i="7"/>
  <c r="HO12" i="7" s="1"/>
  <c r="HQ12" i="7" s="1"/>
  <c r="HO11" i="7"/>
  <c r="HQ11" i="7" s="1"/>
  <c r="GU124" i="7"/>
  <c r="HO124" i="7" s="1"/>
  <c r="HQ124" i="7" s="1"/>
  <c r="HO123" i="7"/>
  <c r="HQ123" i="7" s="1"/>
  <c r="GU137" i="7"/>
  <c r="HO136" i="7"/>
  <c r="HQ136" i="7" s="1"/>
  <c r="GU110" i="7"/>
  <c r="HO110" i="7" s="1"/>
  <c r="HQ110" i="7" s="1"/>
  <c r="HO109" i="7"/>
  <c r="HQ109" i="7" s="1"/>
  <c r="GU75" i="7"/>
  <c r="HO75" i="7" s="1"/>
  <c r="HQ75" i="7" s="1"/>
  <c r="HO74" i="7"/>
  <c r="HQ74" i="7" s="1"/>
  <c r="HG9" i="7"/>
  <c r="HC10" i="7"/>
  <c r="FV61" i="7"/>
  <c r="GP61" i="7" s="1"/>
  <c r="GR61" i="7" s="1"/>
  <c r="GP60" i="7"/>
  <c r="GR60" i="7" s="1"/>
  <c r="FV19" i="7"/>
  <c r="GP18" i="7"/>
  <c r="GR18" i="7" s="1"/>
  <c r="FV47" i="7"/>
  <c r="GP47" i="7" s="1"/>
  <c r="GR47" i="7" s="1"/>
  <c r="GP46" i="7"/>
  <c r="GR46" i="7" s="1"/>
  <c r="GK9" i="7"/>
  <c r="GL9" i="7" s="1"/>
  <c r="FY9" i="7"/>
  <c r="FX10" i="7" s="1"/>
  <c r="GF9" i="7"/>
  <c r="FV96" i="7"/>
  <c r="GP96" i="7" s="1"/>
  <c r="GR96" i="7" s="1"/>
  <c r="GP95" i="7"/>
  <c r="GR95" i="7" s="1"/>
  <c r="FV124" i="7"/>
  <c r="GP124" i="7" s="1"/>
  <c r="GR124" i="7" s="1"/>
  <c r="GP123" i="7"/>
  <c r="GR123" i="7" s="1"/>
  <c r="FV53" i="7"/>
  <c r="GP52" i="7"/>
  <c r="GR52" i="7" s="1"/>
  <c r="FV117" i="7"/>
  <c r="GP117" i="7" s="1"/>
  <c r="GR117" i="7" s="1"/>
  <c r="GP116" i="7"/>
  <c r="GR116" i="7" s="1"/>
  <c r="GN19" i="7"/>
  <c r="FV131" i="7"/>
  <c r="GP131" i="7" s="1"/>
  <c r="GR131" i="7" s="1"/>
  <c r="GP130" i="7"/>
  <c r="GR130" i="7" s="1"/>
  <c r="FV26" i="7"/>
  <c r="GP26" i="7" s="1"/>
  <c r="GR26" i="7" s="1"/>
  <c r="GP25" i="7"/>
  <c r="GR25" i="7" s="1"/>
  <c r="FV137" i="7"/>
  <c r="GP136" i="7"/>
  <c r="GR136" i="7" s="1"/>
  <c r="FV39" i="7"/>
  <c r="GP38" i="7"/>
  <c r="GR38" i="7" s="1"/>
  <c r="FV68" i="7"/>
  <c r="GP68" i="7" s="1"/>
  <c r="GR68" i="7" s="1"/>
  <c r="GP67" i="7"/>
  <c r="GR67" i="7" s="1"/>
  <c r="GP32" i="7"/>
  <c r="GR32" i="7" s="1"/>
  <c r="FV33" i="7"/>
  <c r="GP33" i="7" s="1"/>
  <c r="GR33" i="7" s="1"/>
  <c r="GH8" i="7"/>
  <c r="GD9" i="7"/>
  <c r="FV89" i="7"/>
  <c r="GP89" i="7" s="1"/>
  <c r="GR89" i="7" s="1"/>
  <c r="GP88" i="7"/>
  <c r="GR88" i="7" s="1"/>
  <c r="EW53" i="7"/>
  <c r="FQ52" i="7"/>
  <c r="FS52" i="7" s="1"/>
  <c r="FO110" i="7"/>
  <c r="FO82" i="7"/>
  <c r="EW137" i="7"/>
  <c r="FQ136" i="7"/>
  <c r="FS136" i="7" s="1"/>
  <c r="FQ80" i="7"/>
  <c r="FS80" i="7" s="1"/>
  <c r="EW81" i="7"/>
  <c r="FQ59" i="7"/>
  <c r="FS59" i="7" s="1"/>
  <c r="EW60" i="7"/>
  <c r="FO75" i="7"/>
  <c r="FL10" i="7"/>
  <c r="FM10" i="7" s="1"/>
  <c r="EZ10" i="7"/>
  <c r="EY11" i="7" s="1"/>
  <c r="FG10" i="7"/>
  <c r="FQ108" i="7"/>
  <c r="FS108" i="7" s="1"/>
  <c r="EW109" i="7"/>
  <c r="EW117" i="7"/>
  <c r="FQ117" i="7" s="1"/>
  <c r="FS117" i="7" s="1"/>
  <c r="FQ116" i="7"/>
  <c r="FS116" i="7" s="1"/>
  <c r="EW39" i="7"/>
  <c r="FQ38" i="7"/>
  <c r="FS38" i="7" s="1"/>
  <c r="FO102" i="7"/>
  <c r="EW131" i="7"/>
  <c r="FQ131" i="7" s="1"/>
  <c r="FS131" i="7" s="1"/>
  <c r="FQ130" i="7"/>
  <c r="FS130" i="7" s="1"/>
  <c r="FI9" i="7"/>
  <c r="FE10" i="7"/>
  <c r="EW96" i="7"/>
  <c r="FQ96" i="7" s="1"/>
  <c r="FS96" i="7" s="1"/>
  <c r="FQ95" i="7"/>
  <c r="FS95" i="7" s="1"/>
  <c r="EW12" i="7"/>
  <c r="FQ11" i="7"/>
  <c r="FS11" i="7" s="1"/>
  <c r="FO130" i="7"/>
  <c r="EW19" i="7"/>
  <c r="FQ19" i="7" s="1"/>
  <c r="FS19" i="7" s="1"/>
  <c r="FQ18" i="7"/>
  <c r="FS18" i="7" s="1"/>
  <c r="FQ88" i="7"/>
  <c r="FS88" i="7" s="1"/>
  <c r="EW89" i="7"/>
  <c r="FQ89" i="7" s="1"/>
  <c r="FS89" i="7" s="1"/>
  <c r="EW74" i="7"/>
  <c r="FQ73" i="7"/>
  <c r="FS73" i="7" s="1"/>
  <c r="DX40" i="7"/>
  <c r="ER40" i="7" s="1"/>
  <c r="ET40" i="7" s="1"/>
  <c r="ER39" i="7"/>
  <c r="ET39" i="7" s="1"/>
  <c r="DX46" i="7"/>
  <c r="ER45" i="7"/>
  <c r="ET45" i="7" s="1"/>
  <c r="DX102" i="7"/>
  <c r="ER101" i="7"/>
  <c r="ET101" i="7" s="1"/>
  <c r="EM10" i="7"/>
  <c r="EN10" i="7" s="1"/>
  <c r="EA10" i="7"/>
  <c r="DZ11" i="7" s="1"/>
  <c r="EH10" i="7"/>
  <c r="EP12" i="7"/>
  <c r="EP103" i="7"/>
  <c r="DX12" i="7"/>
  <c r="ER11" i="7"/>
  <c r="ET11" i="7" s="1"/>
  <c r="DX137" i="7"/>
  <c r="ER136" i="7"/>
  <c r="ET136" i="7" s="1"/>
  <c r="ER31" i="7"/>
  <c r="ET31" i="7" s="1"/>
  <c r="DX32" i="7"/>
  <c r="EP131" i="7"/>
  <c r="EF11" i="7"/>
  <c r="EJ10" i="7"/>
  <c r="DX96" i="7"/>
  <c r="ER96" i="7" s="1"/>
  <c r="ET96" i="7" s="1"/>
  <c r="ER95" i="7"/>
  <c r="ET95" i="7" s="1"/>
  <c r="DX131" i="7"/>
  <c r="ER131" i="7" s="1"/>
  <c r="ET131" i="7" s="1"/>
  <c r="ER130" i="7"/>
  <c r="ET130" i="7" s="1"/>
  <c r="DX117" i="7"/>
  <c r="ER117" i="7" s="1"/>
  <c r="ET117" i="7" s="1"/>
  <c r="ER116" i="7"/>
  <c r="ET116" i="7" s="1"/>
  <c r="DX124" i="7"/>
  <c r="ER124" i="7" s="1"/>
  <c r="ET124" i="7" s="1"/>
  <c r="ER123" i="7"/>
  <c r="ET123" i="7" s="1"/>
  <c r="DX54" i="7"/>
  <c r="ER54" i="7" s="1"/>
  <c r="ET54" i="7" s="1"/>
  <c r="ER53" i="7"/>
  <c r="ET53" i="7" s="1"/>
  <c r="ER108" i="7"/>
  <c r="ET108" i="7" s="1"/>
  <c r="DX109" i="7"/>
  <c r="DX19" i="7"/>
  <c r="ER19" i="7" s="1"/>
  <c r="ET19" i="7" s="1"/>
  <c r="ER18" i="7"/>
  <c r="ET18" i="7" s="1"/>
  <c r="DX89" i="7"/>
  <c r="ER89" i="7" s="1"/>
  <c r="ET89" i="7" s="1"/>
  <c r="ER88" i="7"/>
  <c r="ET88" i="7" s="1"/>
  <c r="CY137" i="7"/>
  <c r="DS136" i="7"/>
  <c r="DU136" i="7" s="1"/>
  <c r="CY18" i="7"/>
  <c r="DS17" i="7"/>
  <c r="DU17" i="7" s="1"/>
  <c r="DQ19" i="7"/>
  <c r="CY74" i="7"/>
  <c r="DS73" i="7"/>
  <c r="DU73" i="7" s="1"/>
  <c r="CY54" i="7"/>
  <c r="DS54" i="7" s="1"/>
  <c r="DU54" i="7" s="1"/>
  <c r="DS53" i="7"/>
  <c r="DU53" i="7" s="1"/>
  <c r="DS88" i="7"/>
  <c r="DU88" i="7" s="1"/>
  <c r="CY89" i="7"/>
  <c r="DS89" i="7" s="1"/>
  <c r="DU89" i="7" s="1"/>
  <c r="CY131" i="7"/>
  <c r="DS131" i="7" s="1"/>
  <c r="DU131" i="7" s="1"/>
  <c r="DS130" i="7"/>
  <c r="DU130" i="7" s="1"/>
  <c r="CY12" i="7"/>
  <c r="DS11" i="7"/>
  <c r="DU11" i="7" s="1"/>
  <c r="DS95" i="7"/>
  <c r="DU95" i="7" s="1"/>
  <c r="CY96" i="7"/>
  <c r="DS96" i="7" s="1"/>
  <c r="DU96" i="7" s="1"/>
  <c r="CY39" i="7"/>
  <c r="DS38" i="7"/>
  <c r="DU38" i="7" s="1"/>
  <c r="DQ11" i="7"/>
  <c r="DQ61" i="7"/>
  <c r="CY110" i="7"/>
  <c r="DS110" i="7" s="1"/>
  <c r="DU110" i="7" s="1"/>
  <c r="DS109" i="7"/>
  <c r="DU109" i="7" s="1"/>
  <c r="DQ96" i="7"/>
  <c r="DK9" i="7"/>
  <c r="DG10" i="7"/>
  <c r="DS80" i="7"/>
  <c r="DU80" i="7" s="1"/>
  <c r="CY81" i="7"/>
  <c r="DQ68" i="7"/>
  <c r="CY26" i="7"/>
  <c r="DS26" i="7" s="1"/>
  <c r="DU26" i="7" s="1"/>
  <c r="DS25" i="7"/>
  <c r="DU25" i="7" s="1"/>
  <c r="CY68" i="7"/>
  <c r="DS68" i="7" s="1"/>
  <c r="DU68" i="7" s="1"/>
  <c r="DS67" i="7"/>
  <c r="DU67" i="7" s="1"/>
  <c r="DQ110" i="7"/>
  <c r="CY116" i="7"/>
  <c r="DS115" i="7"/>
  <c r="DU115" i="7" s="1"/>
  <c r="DN10" i="7"/>
  <c r="DO10" i="7" s="1"/>
  <c r="DB10" i="7"/>
  <c r="DA11" i="7" s="1"/>
  <c r="DI10" i="7"/>
  <c r="CY61" i="7"/>
  <c r="DS61" i="7" s="1"/>
  <c r="DU61" i="7" s="1"/>
  <c r="DS60" i="7"/>
  <c r="DU60" i="7" s="1"/>
  <c r="F18" i="8"/>
  <c r="D342" i="8"/>
  <c r="D341" i="8"/>
  <c r="Q341" i="8" s="1"/>
  <c r="P321" i="8"/>
  <c r="W320" i="8"/>
  <c r="P319" i="8"/>
  <c r="W316" i="8"/>
  <c r="W309" i="8"/>
  <c r="W321" i="8" s="1"/>
  <c r="V309" i="8"/>
  <c r="V321" i="8" s="1"/>
  <c r="U309" i="8"/>
  <c r="U321" i="8" s="1"/>
  <c r="T309" i="8"/>
  <c r="T321" i="8" s="1"/>
  <c r="S309" i="8"/>
  <c r="S321" i="8" s="1"/>
  <c r="R309" i="8"/>
  <c r="R321" i="8" s="1"/>
  <c r="Q309" i="8"/>
  <c r="Q321" i="8" s="1"/>
  <c r="P309" i="8"/>
  <c r="O309" i="8"/>
  <c r="O321" i="8" s="1"/>
  <c r="N309" i="8"/>
  <c r="M309" i="8"/>
  <c r="M321" i="8" s="1"/>
  <c r="L309" i="8"/>
  <c r="L321" i="8" s="1"/>
  <c r="K309" i="8"/>
  <c r="K321" i="8" s="1"/>
  <c r="J309" i="8"/>
  <c r="I309" i="8"/>
  <c r="I321" i="8" s="1"/>
  <c r="H309" i="8"/>
  <c r="H321" i="8" s="1"/>
  <c r="G309" i="8"/>
  <c r="G321" i="8" s="1"/>
  <c r="F309" i="8"/>
  <c r="E309" i="8"/>
  <c r="E321" i="8" s="1"/>
  <c r="W306" i="8"/>
  <c r="V306" i="8"/>
  <c r="V320" i="8" s="1"/>
  <c r="U306" i="8"/>
  <c r="U320" i="8" s="1"/>
  <c r="T306" i="8"/>
  <c r="T320" i="8" s="1"/>
  <c r="S306" i="8"/>
  <c r="S320" i="8" s="1"/>
  <c r="R306" i="8"/>
  <c r="R320" i="8" s="1"/>
  <c r="Q306" i="8"/>
  <c r="Q320" i="8" s="1"/>
  <c r="P306" i="8"/>
  <c r="P320" i="8" s="1"/>
  <c r="O306" i="8"/>
  <c r="N306" i="8"/>
  <c r="N320" i="8" s="1"/>
  <c r="M306" i="8"/>
  <c r="M320" i="8" s="1"/>
  <c r="L306" i="8"/>
  <c r="L320" i="8" s="1"/>
  <c r="K306" i="8"/>
  <c r="K320" i="8" s="1"/>
  <c r="J306" i="8"/>
  <c r="J320" i="8" s="1"/>
  <c r="I306" i="8"/>
  <c r="I320" i="8" s="1"/>
  <c r="H306" i="8"/>
  <c r="H320" i="8" s="1"/>
  <c r="G306" i="8"/>
  <c r="G320" i="8" s="1"/>
  <c r="F306" i="8"/>
  <c r="F320" i="8" s="1"/>
  <c r="E306" i="8"/>
  <c r="E320" i="8" s="1"/>
  <c r="W304" i="8"/>
  <c r="W319" i="8" s="1"/>
  <c r="V304" i="8"/>
  <c r="V319" i="8" s="1"/>
  <c r="U304" i="8"/>
  <c r="U319" i="8" s="1"/>
  <c r="T304" i="8"/>
  <c r="T319" i="8" s="1"/>
  <c r="S304" i="8"/>
  <c r="S319" i="8" s="1"/>
  <c r="R304" i="8"/>
  <c r="R319" i="8" s="1"/>
  <c r="Q304" i="8"/>
  <c r="Q319" i="8" s="1"/>
  <c r="P304" i="8"/>
  <c r="O304" i="8"/>
  <c r="O319" i="8" s="1"/>
  <c r="N304" i="8"/>
  <c r="N319" i="8" s="1"/>
  <c r="M304" i="8"/>
  <c r="M319" i="8" s="1"/>
  <c r="L304" i="8"/>
  <c r="L319" i="8" s="1"/>
  <c r="K304" i="8"/>
  <c r="K319" i="8" s="1"/>
  <c r="J304" i="8"/>
  <c r="J319" i="8" s="1"/>
  <c r="I304" i="8"/>
  <c r="I319" i="8" s="1"/>
  <c r="H304" i="8"/>
  <c r="H319" i="8" s="1"/>
  <c r="G304" i="8"/>
  <c r="G319" i="8" s="1"/>
  <c r="F304" i="8"/>
  <c r="F319" i="8" s="1"/>
  <c r="E304" i="8"/>
  <c r="E319" i="8" s="1"/>
  <c r="W302" i="8"/>
  <c r="W318" i="8" s="1"/>
  <c r="V302" i="8"/>
  <c r="V318" i="8" s="1"/>
  <c r="U302" i="8"/>
  <c r="U318" i="8" s="1"/>
  <c r="T302" i="8"/>
  <c r="T318" i="8" s="1"/>
  <c r="S302" i="8"/>
  <c r="S318" i="8" s="1"/>
  <c r="R302" i="8"/>
  <c r="R318" i="8" s="1"/>
  <c r="Q302" i="8"/>
  <c r="Q318" i="8" s="1"/>
  <c r="P302" i="8"/>
  <c r="P318" i="8" s="1"/>
  <c r="O302" i="8"/>
  <c r="O318" i="8" s="1"/>
  <c r="N302" i="8"/>
  <c r="N318" i="8" s="1"/>
  <c r="M302" i="8"/>
  <c r="M318" i="8" s="1"/>
  <c r="L302" i="8"/>
  <c r="L318" i="8" s="1"/>
  <c r="K302" i="8"/>
  <c r="K318" i="8" s="1"/>
  <c r="J302" i="8"/>
  <c r="J318" i="8" s="1"/>
  <c r="I302" i="8"/>
  <c r="I318" i="8" s="1"/>
  <c r="H302" i="8"/>
  <c r="H318" i="8" s="1"/>
  <c r="G302" i="8"/>
  <c r="G318" i="8" s="1"/>
  <c r="F302" i="8"/>
  <c r="F318" i="8" s="1"/>
  <c r="E302" i="8"/>
  <c r="E318" i="8" s="1"/>
  <c r="W299" i="8"/>
  <c r="W317" i="8" s="1"/>
  <c r="V299" i="8"/>
  <c r="V317" i="8" s="1"/>
  <c r="U299" i="8"/>
  <c r="U317" i="8" s="1"/>
  <c r="T299" i="8"/>
  <c r="T317" i="8" s="1"/>
  <c r="S299" i="8"/>
  <c r="S317" i="8" s="1"/>
  <c r="R299" i="8"/>
  <c r="R317" i="8" s="1"/>
  <c r="Q299" i="8"/>
  <c r="Q317" i="8" s="1"/>
  <c r="P299" i="8"/>
  <c r="P317" i="8" s="1"/>
  <c r="O299" i="8"/>
  <c r="O317" i="8" s="1"/>
  <c r="N299" i="8"/>
  <c r="N317" i="8" s="1"/>
  <c r="M299" i="8"/>
  <c r="M317" i="8" s="1"/>
  <c r="L299" i="8"/>
  <c r="L317" i="8" s="1"/>
  <c r="K299" i="8"/>
  <c r="K317" i="8" s="1"/>
  <c r="J299" i="8"/>
  <c r="J317" i="8" s="1"/>
  <c r="I299" i="8"/>
  <c r="I317" i="8" s="1"/>
  <c r="H299" i="8"/>
  <c r="H317" i="8" s="1"/>
  <c r="G299" i="8"/>
  <c r="G317" i="8" s="1"/>
  <c r="F299" i="8"/>
  <c r="F317" i="8" s="1"/>
  <c r="E299" i="8"/>
  <c r="E317" i="8" s="1"/>
  <c r="W297" i="8"/>
  <c r="V297" i="8"/>
  <c r="V316" i="8" s="1"/>
  <c r="U297" i="8"/>
  <c r="U316" i="8" s="1"/>
  <c r="T297" i="8"/>
  <c r="T316" i="8" s="1"/>
  <c r="S297" i="8"/>
  <c r="S316" i="8" s="1"/>
  <c r="R297" i="8"/>
  <c r="R316" i="8" s="1"/>
  <c r="Q297" i="8"/>
  <c r="Q316" i="8" s="1"/>
  <c r="P297" i="8"/>
  <c r="P316" i="8" s="1"/>
  <c r="O297" i="8"/>
  <c r="O316" i="8" s="1"/>
  <c r="N297" i="8"/>
  <c r="N316" i="8" s="1"/>
  <c r="M297" i="8"/>
  <c r="M316" i="8" s="1"/>
  <c r="L297" i="8"/>
  <c r="L316" i="8" s="1"/>
  <c r="K297" i="8"/>
  <c r="K316" i="8" s="1"/>
  <c r="J297" i="8"/>
  <c r="J316" i="8" s="1"/>
  <c r="I297" i="8"/>
  <c r="I316" i="8" s="1"/>
  <c r="H297" i="8"/>
  <c r="H316" i="8" s="1"/>
  <c r="G297" i="8"/>
  <c r="G316" i="8" s="1"/>
  <c r="F297" i="8"/>
  <c r="F316" i="8" s="1"/>
  <c r="E297" i="8"/>
  <c r="E316" i="8" s="1"/>
  <c r="C290" i="8"/>
  <c r="W277" i="8"/>
  <c r="C267" i="8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66" i="8"/>
  <c r="C265" i="8"/>
  <c r="W254" i="8"/>
  <c r="C242" i="8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21" i="8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19" i="8"/>
  <c r="C220" i="8" s="1"/>
  <c r="C218" i="8"/>
  <c r="C193" i="8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171" i="8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70" i="8"/>
  <c r="DS163" i="8"/>
  <c r="W282" i="8" s="1"/>
  <c r="DP163" i="8"/>
  <c r="DM163" i="8"/>
  <c r="W276" i="8" s="1"/>
  <c r="DJ163" i="8"/>
  <c r="W273" i="8" s="1"/>
  <c r="DH163" i="8"/>
  <c r="W271" i="8" s="1"/>
  <c r="CT163" i="8"/>
  <c r="W259" i="8" s="1"/>
  <c r="CQ163" i="8"/>
  <c r="W256" i="8" s="1"/>
  <c r="CN163" i="8"/>
  <c r="W253" i="8" s="1"/>
  <c r="CK163" i="8"/>
  <c r="W250" i="8" s="1"/>
  <c r="CI163" i="8"/>
  <c r="W248" i="8" s="1"/>
  <c r="BU163" i="8"/>
  <c r="W235" i="8" s="1"/>
  <c r="BR163" i="8"/>
  <c r="W232" i="8" s="1"/>
  <c r="BO163" i="8"/>
  <c r="W229" i="8" s="1"/>
  <c r="BL163" i="8"/>
  <c r="W226" i="8" s="1"/>
  <c r="BJ163" i="8"/>
  <c r="W224" i="8" s="1"/>
  <c r="AV163" i="8"/>
  <c r="W210" i="8" s="1"/>
  <c r="AS163" i="8"/>
  <c r="AP163" i="8"/>
  <c r="W204" i="8" s="1"/>
  <c r="AM163" i="8"/>
  <c r="W201" i="8" s="1"/>
  <c r="AK163" i="8"/>
  <c r="W199" i="8" s="1"/>
  <c r="W163" i="8"/>
  <c r="T163" i="8"/>
  <c r="W184" i="8" s="1"/>
  <c r="Q163" i="8"/>
  <c r="W181" i="8" s="1"/>
  <c r="N163" i="8"/>
  <c r="W178" i="8" s="1"/>
  <c r="L163" i="8"/>
  <c r="W176" i="8" s="1"/>
  <c r="DS162" i="8"/>
  <c r="V282" i="8" s="1"/>
  <c r="DP162" i="8"/>
  <c r="DM162" i="8"/>
  <c r="V276" i="8" s="1"/>
  <c r="DJ162" i="8"/>
  <c r="V273" i="8" s="1"/>
  <c r="DH162" i="8"/>
  <c r="V271" i="8" s="1"/>
  <c r="CT162" i="8"/>
  <c r="V259" i="8" s="1"/>
  <c r="CQ162" i="8"/>
  <c r="V256" i="8" s="1"/>
  <c r="CN162" i="8"/>
  <c r="V253" i="8" s="1"/>
  <c r="CK162" i="8"/>
  <c r="V250" i="8" s="1"/>
  <c r="CI162" i="8"/>
  <c r="V248" i="8" s="1"/>
  <c r="BU162" i="8"/>
  <c r="V235" i="8" s="1"/>
  <c r="BR162" i="8"/>
  <c r="BO162" i="8"/>
  <c r="V229" i="8" s="1"/>
  <c r="BL162" i="8"/>
  <c r="V226" i="8" s="1"/>
  <c r="BJ162" i="8"/>
  <c r="V224" i="8" s="1"/>
  <c r="AV162" i="8"/>
  <c r="V210" i="8" s="1"/>
  <c r="AS162" i="8"/>
  <c r="V207" i="8" s="1"/>
  <c r="AP162" i="8"/>
  <c r="V204" i="8" s="1"/>
  <c r="AM162" i="8"/>
  <c r="V201" i="8" s="1"/>
  <c r="AK162" i="8"/>
  <c r="V199" i="8" s="1"/>
  <c r="W162" i="8"/>
  <c r="V187" i="8" s="1"/>
  <c r="T162" i="8"/>
  <c r="Q162" i="8"/>
  <c r="V181" i="8" s="1"/>
  <c r="N162" i="8"/>
  <c r="V178" i="8" s="1"/>
  <c r="L162" i="8"/>
  <c r="V176" i="8" s="1"/>
  <c r="DS161" i="8"/>
  <c r="U282" i="8" s="1"/>
  <c r="DP161" i="8"/>
  <c r="U279" i="8" s="1"/>
  <c r="DM161" i="8"/>
  <c r="U276" i="8" s="1"/>
  <c r="DJ161" i="8"/>
  <c r="U273" i="8" s="1"/>
  <c r="DH161" i="8"/>
  <c r="U271" i="8" s="1"/>
  <c r="CT161" i="8"/>
  <c r="U259" i="8" s="1"/>
  <c r="CQ161" i="8"/>
  <c r="CN161" i="8"/>
  <c r="U253" i="8" s="1"/>
  <c r="CK161" i="8"/>
  <c r="U250" i="8" s="1"/>
  <c r="CI161" i="8"/>
  <c r="U248" i="8" s="1"/>
  <c r="BU161" i="8"/>
  <c r="U235" i="8" s="1"/>
  <c r="BR161" i="8"/>
  <c r="U232" i="8" s="1"/>
  <c r="BO161" i="8"/>
  <c r="U229" i="8" s="1"/>
  <c r="BL161" i="8"/>
  <c r="U226" i="8" s="1"/>
  <c r="BJ161" i="8"/>
  <c r="U224" i="8" s="1"/>
  <c r="AV161" i="8"/>
  <c r="U210" i="8" s="1"/>
  <c r="AS161" i="8"/>
  <c r="AP161" i="8"/>
  <c r="U204" i="8" s="1"/>
  <c r="AM161" i="8"/>
  <c r="U201" i="8" s="1"/>
  <c r="AK161" i="8"/>
  <c r="U199" i="8" s="1"/>
  <c r="W161" i="8"/>
  <c r="U187" i="8" s="1"/>
  <c r="T161" i="8"/>
  <c r="U184" i="8" s="1"/>
  <c r="Q161" i="8"/>
  <c r="U181" i="8" s="1"/>
  <c r="N161" i="8"/>
  <c r="U178" i="8" s="1"/>
  <c r="L161" i="8"/>
  <c r="U176" i="8" s="1"/>
  <c r="DS160" i="8"/>
  <c r="T282" i="8" s="1"/>
  <c r="DP160" i="8"/>
  <c r="T279" i="8" s="1"/>
  <c r="DM160" i="8"/>
  <c r="T276" i="8" s="1"/>
  <c r="DJ160" i="8"/>
  <c r="T273" i="8" s="1"/>
  <c r="DH160" i="8"/>
  <c r="T271" i="8" s="1"/>
  <c r="CT160" i="8"/>
  <c r="T259" i="8" s="1"/>
  <c r="CQ160" i="8"/>
  <c r="T256" i="8" s="1"/>
  <c r="CN160" i="8"/>
  <c r="T253" i="8" s="1"/>
  <c r="CK160" i="8"/>
  <c r="T250" i="8" s="1"/>
  <c r="CI160" i="8"/>
  <c r="T248" i="8" s="1"/>
  <c r="BU160" i="8"/>
  <c r="BR160" i="8"/>
  <c r="T232" i="8" s="1"/>
  <c r="BO160" i="8"/>
  <c r="T229" i="8" s="1"/>
  <c r="BL160" i="8"/>
  <c r="T226" i="8" s="1"/>
  <c r="BJ160" i="8"/>
  <c r="T224" i="8" s="1"/>
  <c r="AV160" i="8"/>
  <c r="T210" i="8" s="1"/>
  <c r="AS160" i="8"/>
  <c r="T207" i="8" s="1"/>
  <c r="AP160" i="8"/>
  <c r="T204" i="8" s="1"/>
  <c r="AM160" i="8"/>
  <c r="T201" i="8" s="1"/>
  <c r="AK160" i="8"/>
  <c r="T199" i="8" s="1"/>
  <c r="W160" i="8"/>
  <c r="T160" i="8"/>
  <c r="T184" i="8" s="1"/>
  <c r="Q160" i="8"/>
  <c r="T181" i="8" s="1"/>
  <c r="N160" i="8"/>
  <c r="T178" i="8" s="1"/>
  <c r="L160" i="8"/>
  <c r="T176" i="8" s="1"/>
  <c r="DS159" i="8"/>
  <c r="S282" i="8" s="1"/>
  <c r="DP159" i="8"/>
  <c r="S279" i="8" s="1"/>
  <c r="DM159" i="8"/>
  <c r="S276" i="8" s="1"/>
  <c r="DJ159" i="8"/>
  <c r="S273" i="8" s="1"/>
  <c r="DH159" i="8"/>
  <c r="S271" i="8" s="1"/>
  <c r="CT159" i="8"/>
  <c r="CQ159" i="8"/>
  <c r="S256" i="8" s="1"/>
  <c r="CN159" i="8"/>
  <c r="S253" i="8" s="1"/>
  <c r="CK159" i="8"/>
  <c r="S250" i="8" s="1"/>
  <c r="CI159" i="8"/>
  <c r="S248" i="8" s="1"/>
  <c r="BU159" i="8"/>
  <c r="S235" i="8" s="1"/>
  <c r="BR159" i="8"/>
  <c r="S232" i="8" s="1"/>
  <c r="BO159" i="8"/>
  <c r="S229" i="8" s="1"/>
  <c r="BL159" i="8"/>
  <c r="S226" i="8" s="1"/>
  <c r="BJ159" i="8"/>
  <c r="S224" i="8" s="1"/>
  <c r="AV159" i="8"/>
  <c r="AS159" i="8"/>
  <c r="S207" i="8" s="1"/>
  <c r="AP159" i="8"/>
  <c r="S204" i="8" s="1"/>
  <c r="AM159" i="8"/>
  <c r="S201" i="8" s="1"/>
  <c r="AK159" i="8"/>
  <c r="S199" i="8" s="1"/>
  <c r="W159" i="8"/>
  <c r="S187" i="8" s="1"/>
  <c r="T159" i="8"/>
  <c r="S184" i="8" s="1"/>
  <c r="Q159" i="8"/>
  <c r="S181" i="8" s="1"/>
  <c r="N159" i="8"/>
  <c r="S178" i="8" s="1"/>
  <c r="L159" i="8"/>
  <c r="S176" i="8" s="1"/>
  <c r="DS158" i="8"/>
  <c r="DP158" i="8"/>
  <c r="R279" i="8" s="1"/>
  <c r="DM158" i="8"/>
  <c r="R276" i="8" s="1"/>
  <c r="DJ158" i="8"/>
  <c r="R273" i="8" s="1"/>
  <c r="DH158" i="8"/>
  <c r="R271" i="8" s="1"/>
  <c r="CT158" i="8"/>
  <c r="R259" i="8" s="1"/>
  <c r="CQ158" i="8"/>
  <c r="R256" i="8" s="1"/>
  <c r="CN158" i="8"/>
  <c r="R253" i="8" s="1"/>
  <c r="CK158" i="8"/>
  <c r="R250" i="8" s="1"/>
  <c r="CI158" i="8"/>
  <c r="R248" i="8" s="1"/>
  <c r="BU158" i="8"/>
  <c r="BR158" i="8"/>
  <c r="R232" i="8" s="1"/>
  <c r="BO158" i="8"/>
  <c r="R229" i="8" s="1"/>
  <c r="BL158" i="8"/>
  <c r="R226" i="8" s="1"/>
  <c r="BJ158" i="8"/>
  <c r="R224" i="8" s="1"/>
  <c r="AV158" i="8"/>
  <c r="R210" i="8" s="1"/>
  <c r="AS158" i="8"/>
  <c r="R207" i="8" s="1"/>
  <c r="AP158" i="8"/>
  <c r="R204" i="8" s="1"/>
  <c r="AM158" i="8"/>
  <c r="R201" i="8" s="1"/>
  <c r="AK158" i="8"/>
  <c r="R199" i="8" s="1"/>
  <c r="W158" i="8"/>
  <c r="T158" i="8"/>
  <c r="R184" i="8" s="1"/>
  <c r="Q158" i="8"/>
  <c r="R181" i="8" s="1"/>
  <c r="N158" i="8"/>
  <c r="R178" i="8" s="1"/>
  <c r="L158" i="8"/>
  <c r="R176" i="8" s="1"/>
  <c r="DS157" i="8"/>
  <c r="Q282" i="8" s="1"/>
  <c r="DP157" i="8"/>
  <c r="Q279" i="8" s="1"/>
  <c r="DM157" i="8"/>
  <c r="Q276" i="8" s="1"/>
  <c r="DJ157" i="8"/>
  <c r="Q273" i="8" s="1"/>
  <c r="DH157" i="8"/>
  <c r="Q271" i="8" s="1"/>
  <c r="CT157" i="8"/>
  <c r="CQ157" i="8"/>
  <c r="Q256" i="8" s="1"/>
  <c r="CN157" i="8"/>
  <c r="Q253" i="8" s="1"/>
  <c r="CK157" i="8"/>
  <c r="Q250" i="8" s="1"/>
  <c r="CI157" i="8"/>
  <c r="Q248" i="8" s="1"/>
  <c r="BU157" i="8"/>
  <c r="Q235" i="8" s="1"/>
  <c r="BR157" i="8"/>
  <c r="Q232" i="8" s="1"/>
  <c r="BO157" i="8"/>
  <c r="Q229" i="8" s="1"/>
  <c r="BL157" i="8"/>
  <c r="Q226" i="8" s="1"/>
  <c r="BJ157" i="8"/>
  <c r="Q224" i="8" s="1"/>
  <c r="AV157" i="8"/>
  <c r="AS157" i="8"/>
  <c r="Q207" i="8" s="1"/>
  <c r="AP157" i="8"/>
  <c r="Q204" i="8" s="1"/>
  <c r="AM157" i="8"/>
  <c r="Q201" i="8" s="1"/>
  <c r="AK157" i="8"/>
  <c r="Q199" i="8" s="1"/>
  <c r="W157" i="8"/>
  <c r="Q187" i="8" s="1"/>
  <c r="T157" i="8"/>
  <c r="Q184" i="8" s="1"/>
  <c r="Q157" i="8"/>
  <c r="Q181" i="8" s="1"/>
  <c r="N157" i="8"/>
  <c r="Q178" i="8" s="1"/>
  <c r="L157" i="8"/>
  <c r="Q176" i="8" s="1"/>
  <c r="DS156" i="8"/>
  <c r="DP156" i="8"/>
  <c r="P279" i="8" s="1"/>
  <c r="DM156" i="8"/>
  <c r="P276" i="8" s="1"/>
  <c r="DJ156" i="8"/>
  <c r="P273" i="8" s="1"/>
  <c r="DH156" i="8"/>
  <c r="P271" i="8" s="1"/>
  <c r="CT156" i="8"/>
  <c r="P259" i="8" s="1"/>
  <c r="CQ156" i="8"/>
  <c r="P256" i="8" s="1"/>
  <c r="CN156" i="8"/>
  <c r="P253" i="8" s="1"/>
  <c r="CK156" i="8"/>
  <c r="P250" i="8" s="1"/>
  <c r="CI156" i="8"/>
  <c r="P248" i="8" s="1"/>
  <c r="BU156" i="8"/>
  <c r="BR156" i="8"/>
  <c r="P232" i="8" s="1"/>
  <c r="BO156" i="8"/>
  <c r="P229" i="8" s="1"/>
  <c r="BL156" i="8"/>
  <c r="P226" i="8" s="1"/>
  <c r="BJ156" i="8"/>
  <c r="P224" i="8" s="1"/>
  <c r="AV156" i="8"/>
  <c r="P210" i="8" s="1"/>
  <c r="AS156" i="8"/>
  <c r="P207" i="8" s="1"/>
  <c r="AP156" i="8"/>
  <c r="P204" i="8" s="1"/>
  <c r="AM156" i="8"/>
  <c r="P201" i="8" s="1"/>
  <c r="AK156" i="8"/>
  <c r="P199" i="8" s="1"/>
  <c r="W156" i="8"/>
  <c r="T156" i="8"/>
  <c r="P184" i="8" s="1"/>
  <c r="Q156" i="8"/>
  <c r="P181" i="8" s="1"/>
  <c r="N156" i="8"/>
  <c r="P178" i="8" s="1"/>
  <c r="L156" i="8"/>
  <c r="P176" i="8" s="1"/>
  <c r="DS155" i="8"/>
  <c r="O282" i="8" s="1"/>
  <c r="DP155" i="8"/>
  <c r="O279" i="8" s="1"/>
  <c r="DM155" i="8"/>
  <c r="O276" i="8" s="1"/>
  <c r="DJ155" i="8"/>
  <c r="O273" i="8" s="1"/>
  <c r="DH155" i="8"/>
  <c r="O271" i="8" s="1"/>
  <c r="CT155" i="8"/>
  <c r="CQ155" i="8"/>
  <c r="O256" i="8" s="1"/>
  <c r="CN155" i="8"/>
  <c r="O253" i="8" s="1"/>
  <c r="CK155" i="8"/>
  <c r="O250" i="8" s="1"/>
  <c r="CI155" i="8"/>
  <c r="O248" i="8" s="1"/>
  <c r="BU155" i="8"/>
  <c r="O235" i="8" s="1"/>
  <c r="BR155" i="8"/>
  <c r="O232" i="8" s="1"/>
  <c r="BO155" i="8"/>
  <c r="O229" i="8" s="1"/>
  <c r="BL155" i="8"/>
  <c r="O226" i="8" s="1"/>
  <c r="BJ155" i="8"/>
  <c r="O224" i="8" s="1"/>
  <c r="AV155" i="8"/>
  <c r="AS155" i="8"/>
  <c r="O207" i="8" s="1"/>
  <c r="AP155" i="8"/>
  <c r="O204" i="8" s="1"/>
  <c r="AM155" i="8"/>
  <c r="O201" i="8" s="1"/>
  <c r="AK155" i="8"/>
  <c r="O199" i="8" s="1"/>
  <c r="W155" i="8"/>
  <c r="O187" i="8" s="1"/>
  <c r="T155" i="8"/>
  <c r="O184" i="8" s="1"/>
  <c r="Q155" i="8"/>
  <c r="O181" i="8" s="1"/>
  <c r="N155" i="8"/>
  <c r="O178" i="8" s="1"/>
  <c r="L155" i="8"/>
  <c r="O176" i="8" s="1"/>
  <c r="DS154" i="8"/>
  <c r="DP154" i="8"/>
  <c r="N279" i="8" s="1"/>
  <c r="DM154" i="8"/>
  <c r="N276" i="8" s="1"/>
  <c r="DJ154" i="8"/>
  <c r="N273" i="8" s="1"/>
  <c r="DH154" i="8"/>
  <c r="N271" i="8" s="1"/>
  <c r="CT154" i="8"/>
  <c r="N259" i="8" s="1"/>
  <c r="CQ154" i="8"/>
  <c r="N256" i="8" s="1"/>
  <c r="CN154" i="8"/>
  <c r="N253" i="8" s="1"/>
  <c r="CK154" i="8"/>
  <c r="N250" i="8" s="1"/>
  <c r="CI154" i="8"/>
  <c r="N248" i="8" s="1"/>
  <c r="BU154" i="8"/>
  <c r="BR154" i="8"/>
  <c r="N232" i="8" s="1"/>
  <c r="BO154" i="8"/>
  <c r="N229" i="8" s="1"/>
  <c r="BL154" i="8"/>
  <c r="N226" i="8" s="1"/>
  <c r="BJ154" i="8"/>
  <c r="N224" i="8" s="1"/>
  <c r="AV154" i="8"/>
  <c r="N210" i="8" s="1"/>
  <c r="AS154" i="8"/>
  <c r="N207" i="8" s="1"/>
  <c r="AP154" i="8"/>
  <c r="N204" i="8" s="1"/>
  <c r="AM154" i="8"/>
  <c r="N201" i="8" s="1"/>
  <c r="AK154" i="8"/>
  <c r="N199" i="8" s="1"/>
  <c r="W154" i="8"/>
  <c r="T154" i="8"/>
  <c r="N184" i="8" s="1"/>
  <c r="Q154" i="8"/>
  <c r="N181" i="8" s="1"/>
  <c r="N154" i="8"/>
  <c r="N178" i="8" s="1"/>
  <c r="L154" i="8"/>
  <c r="N176" i="8" s="1"/>
  <c r="DS153" i="8"/>
  <c r="M282" i="8" s="1"/>
  <c r="DP153" i="8"/>
  <c r="M279" i="8" s="1"/>
  <c r="DM153" i="8"/>
  <c r="M276" i="8" s="1"/>
  <c r="DJ153" i="8"/>
  <c r="M273" i="8" s="1"/>
  <c r="DH153" i="8"/>
  <c r="M271" i="8" s="1"/>
  <c r="CT153" i="8"/>
  <c r="CQ153" i="8"/>
  <c r="M256" i="8" s="1"/>
  <c r="CN153" i="8"/>
  <c r="M253" i="8" s="1"/>
  <c r="CK153" i="8"/>
  <c r="M250" i="8" s="1"/>
  <c r="CI153" i="8"/>
  <c r="M248" i="8" s="1"/>
  <c r="BU153" i="8"/>
  <c r="M235" i="8" s="1"/>
  <c r="BR153" i="8"/>
  <c r="M232" i="8" s="1"/>
  <c r="BO153" i="8"/>
  <c r="M229" i="8" s="1"/>
  <c r="BL153" i="8"/>
  <c r="M226" i="8" s="1"/>
  <c r="BJ153" i="8"/>
  <c r="M224" i="8" s="1"/>
  <c r="AV153" i="8"/>
  <c r="AS153" i="8"/>
  <c r="M207" i="8" s="1"/>
  <c r="AP153" i="8"/>
  <c r="M204" i="8" s="1"/>
  <c r="AM153" i="8"/>
  <c r="M201" i="8" s="1"/>
  <c r="AK153" i="8"/>
  <c r="M199" i="8" s="1"/>
  <c r="W153" i="8"/>
  <c r="M187" i="8" s="1"/>
  <c r="T153" i="8"/>
  <c r="M184" i="8" s="1"/>
  <c r="Q153" i="8"/>
  <c r="M181" i="8" s="1"/>
  <c r="N153" i="8"/>
  <c r="M178" i="8" s="1"/>
  <c r="L153" i="8"/>
  <c r="M176" i="8" s="1"/>
  <c r="DS152" i="8"/>
  <c r="DP152" i="8"/>
  <c r="L279" i="8" s="1"/>
  <c r="DM152" i="8"/>
  <c r="L276" i="8" s="1"/>
  <c r="DJ152" i="8"/>
  <c r="L273" i="8" s="1"/>
  <c r="DH152" i="8"/>
  <c r="L271" i="8" s="1"/>
  <c r="CT152" i="8"/>
  <c r="L259" i="8" s="1"/>
  <c r="CQ152" i="8"/>
  <c r="L256" i="8" s="1"/>
  <c r="CN152" i="8"/>
  <c r="L253" i="8" s="1"/>
  <c r="CK152" i="8"/>
  <c r="L250" i="8" s="1"/>
  <c r="CI152" i="8"/>
  <c r="L248" i="8" s="1"/>
  <c r="BU152" i="8"/>
  <c r="BR152" i="8"/>
  <c r="L232" i="8" s="1"/>
  <c r="BO152" i="8"/>
  <c r="L229" i="8" s="1"/>
  <c r="BL152" i="8"/>
  <c r="L226" i="8" s="1"/>
  <c r="BJ152" i="8"/>
  <c r="L224" i="8" s="1"/>
  <c r="AV152" i="8"/>
  <c r="L210" i="8" s="1"/>
  <c r="AS152" i="8"/>
  <c r="L207" i="8" s="1"/>
  <c r="AP152" i="8"/>
  <c r="L204" i="8" s="1"/>
  <c r="AM152" i="8"/>
  <c r="L201" i="8" s="1"/>
  <c r="AK152" i="8"/>
  <c r="L199" i="8" s="1"/>
  <c r="W152" i="8"/>
  <c r="T152" i="8"/>
  <c r="L184" i="8" s="1"/>
  <c r="Q152" i="8"/>
  <c r="L181" i="8" s="1"/>
  <c r="N152" i="8"/>
  <c r="L178" i="8" s="1"/>
  <c r="L152" i="8"/>
  <c r="L176" i="8" s="1"/>
  <c r="DS151" i="8"/>
  <c r="K282" i="8" s="1"/>
  <c r="DP151" i="8"/>
  <c r="K279" i="8" s="1"/>
  <c r="DM151" i="8"/>
  <c r="K276" i="8" s="1"/>
  <c r="DJ151" i="8"/>
  <c r="K273" i="8" s="1"/>
  <c r="DH151" i="8"/>
  <c r="K271" i="8" s="1"/>
  <c r="CT151" i="8"/>
  <c r="CQ151" i="8"/>
  <c r="K256" i="8" s="1"/>
  <c r="CN151" i="8"/>
  <c r="K253" i="8" s="1"/>
  <c r="CK151" i="8"/>
  <c r="K250" i="8" s="1"/>
  <c r="CI151" i="8"/>
  <c r="K248" i="8" s="1"/>
  <c r="BU151" i="8"/>
  <c r="K235" i="8" s="1"/>
  <c r="BR151" i="8"/>
  <c r="K232" i="8" s="1"/>
  <c r="BO151" i="8"/>
  <c r="K229" i="8" s="1"/>
  <c r="BL151" i="8"/>
  <c r="K226" i="8" s="1"/>
  <c r="BJ151" i="8"/>
  <c r="K224" i="8" s="1"/>
  <c r="AV151" i="8"/>
  <c r="AS151" i="8"/>
  <c r="K207" i="8" s="1"/>
  <c r="AP151" i="8"/>
  <c r="K204" i="8" s="1"/>
  <c r="AM151" i="8"/>
  <c r="K201" i="8" s="1"/>
  <c r="AK151" i="8"/>
  <c r="K199" i="8" s="1"/>
  <c r="W151" i="8"/>
  <c r="K187" i="8" s="1"/>
  <c r="T151" i="8"/>
  <c r="K184" i="8" s="1"/>
  <c r="Q151" i="8"/>
  <c r="K181" i="8" s="1"/>
  <c r="N151" i="8"/>
  <c r="K178" i="8" s="1"/>
  <c r="L151" i="8"/>
  <c r="K176" i="8" s="1"/>
  <c r="DS150" i="8"/>
  <c r="DP150" i="8"/>
  <c r="J279" i="8" s="1"/>
  <c r="DM150" i="8"/>
  <c r="J276" i="8" s="1"/>
  <c r="DJ150" i="8"/>
  <c r="J273" i="8" s="1"/>
  <c r="DH150" i="8"/>
  <c r="J271" i="8" s="1"/>
  <c r="CT150" i="8"/>
  <c r="J259" i="8" s="1"/>
  <c r="CQ150" i="8"/>
  <c r="J256" i="8" s="1"/>
  <c r="CN150" i="8"/>
  <c r="J253" i="8" s="1"/>
  <c r="CK150" i="8"/>
  <c r="J250" i="8" s="1"/>
  <c r="CI150" i="8"/>
  <c r="J248" i="8" s="1"/>
  <c r="BU150" i="8"/>
  <c r="BR150" i="8"/>
  <c r="J232" i="8" s="1"/>
  <c r="BO150" i="8"/>
  <c r="J229" i="8" s="1"/>
  <c r="BL150" i="8"/>
  <c r="J226" i="8" s="1"/>
  <c r="BJ150" i="8"/>
  <c r="J224" i="8" s="1"/>
  <c r="AV150" i="8"/>
  <c r="J210" i="8" s="1"/>
  <c r="AS150" i="8"/>
  <c r="J207" i="8" s="1"/>
  <c r="AP150" i="8"/>
  <c r="J204" i="8" s="1"/>
  <c r="AM150" i="8"/>
  <c r="J201" i="8" s="1"/>
  <c r="AK150" i="8"/>
  <c r="J199" i="8" s="1"/>
  <c r="W150" i="8"/>
  <c r="T150" i="8"/>
  <c r="J184" i="8" s="1"/>
  <c r="Q150" i="8"/>
  <c r="J181" i="8" s="1"/>
  <c r="N150" i="8"/>
  <c r="J178" i="8" s="1"/>
  <c r="L150" i="8"/>
  <c r="J176" i="8" s="1"/>
  <c r="DS149" i="8"/>
  <c r="I282" i="8" s="1"/>
  <c r="DP149" i="8"/>
  <c r="I279" i="8" s="1"/>
  <c r="DM149" i="8"/>
  <c r="I276" i="8" s="1"/>
  <c r="DJ149" i="8"/>
  <c r="I273" i="8" s="1"/>
  <c r="DH149" i="8"/>
  <c r="I271" i="8" s="1"/>
  <c r="CT149" i="8"/>
  <c r="CQ149" i="8"/>
  <c r="I256" i="8" s="1"/>
  <c r="CN149" i="8"/>
  <c r="I253" i="8" s="1"/>
  <c r="CK149" i="8"/>
  <c r="I250" i="8" s="1"/>
  <c r="CI149" i="8"/>
  <c r="I248" i="8" s="1"/>
  <c r="BU149" i="8"/>
  <c r="I235" i="8" s="1"/>
  <c r="BR149" i="8"/>
  <c r="I232" i="8" s="1"/>
  <c r="BO149" i="8"/>
  <c r="I229" i="8" s="1"/>
  <c r="BL149" i="8"/>
  <c r="I226" i="8" s="1"/>
  <c r="BJ149" i="8"/>
  <c r="I224" i="8" s="1"/>
  <c r="AV149" i="8"/>
  <c r="AS149" i="8"/>
  <c r="I207" i="8" s="1"/>
  <c r="AP149" i="8"/>
  <c r="I204" i="8" s="1"/>
  <c r="AM149" i="8"/>
  <c r="I201" i="8" s="1"/>
  <c r="AK149" i="8"/>
  <c r="I199" i="8" s="1"/>
  <c r="W149" i="8"/>
  <c r="I187" i="8" s="1"/>
  <c r="T149" i="8"/>
  <c r="I184" i="8" s="1"/>
  <c r="Q149" i="8"/>
  <c r="I181" i="8" s="1"/>
  <c r="N149" i="8"/>
  <c r="I178" i="8" s="1"/>
  <c r="L149" i="8"/>
  <c r="I176" i="8" s="1"/>
  <c r="DS148" i="8"/>
  <c r="DP148" i="8"/>
  <c r="H279" i="8" s="1"/>
  <c r="DM148" i="8"/>
  <c r="H276" i="8" s="1"/>
  <c r="DJ148" i="8"/>
  <c r="H273" i="8" s="1"/>
  <c r="DH148" i="8"/>
  <c r="H271" i="8" s="1"/>
  <c r="CT148" i="8"/>
  <c r="H259" i="8" s="1"/>
  <c r="CQ148" i="8"/>
  <c r="H256" i="8" s="1"/>
  <c r="CN148" i="8"/>
  <c r="H253" i="8" s="1"/>
  <c r="CK148" i="8"/>
  <c r="H250" i="8" s="1"/>
  <c r="CI148" i="8"/>
  <c r="H248" i="8" s="1"/>
  <c r="BU148" i="8"/>
  <c r="BR148" i="8"/>
  <c r="H232" i="8" s="1"/>
  <c r="BO148" i="8"/>
  <c r="H229" i="8" s="1"/>
  <c r="BL148" i="8"/>
  <c r="H226" i="8" s="1"/>
  <c r="BJ148" i="8"/>
  <c r="H224" i="8" s="1"/>
  <c r="AV148" i="8"/>
  <c r="H210" i="8" s="1"/>
  <c r="AS148" i="8"/>
  <c r="H207" i="8" s="1"/>
  <c r="AP148" i="8"/>
  <c r="H204" i="8" s="1"/>
  <c r="AM148" i="8"/>
  <c r="H201" i="8" s="1"/>
  <c r="AK148" i="8"/>
  <c r="H199" i="8" s="1"/>
  <c r="W148" i="8"/>
  <c r="T148" i="8"/>
  <c r="Q148" i="8"/>
  <c r="H181" i="8" s="1"/>
  <c r="N148" i="8"/>
  <c r="H178" i="8" s="1"/>
  <c r="L148" i="8"/>
  <c r="H176" i="8" s="1"/>
  <c r="DS147" i="8"/>
  <c r="G282" i="8" s="1"/>
  <c r="DP147" i="8"/>
  <c r="G279" i="8" s="1"/>
  <c r="DM147" i="8"/>
  <c r="G276" i="8" s="1"/>
  <c r="DJ147" i="8"/>
  <c r="G273" i="8" s="1"/>
  <c r="DH147" i="8"/>
  <c r="G271" i="8" s="1"/>
  <c r="CT147" i="8"/>
  <c r="CQ147" i="8"/>
  <c r="G256" i="8" s="1"/>
  <c r="CN147" i="8"/>
  <c r="G253" i="8" s="1"/>
  <c r="CK147" i="8"/>
  <c r="G250" i="8" s="1"/>
  <c r="CI147" i="8"/>
  <c r="G248" i="8" s="1"/>
  <c r="BU147" i="8"/>
  <c r="G235" i="8" s="1"/>
  <c r="BR147" i="8"/>
  <c r="G232" i="8" s="1"/>
  <c r="BO147" i="8"/>
  <c r="G229" i="8" s="1"/>
  <c r="BL147" i="8"/>
  <c r="G226" i="8" s="1"/>
  <c r="BJ147" i="8"/>
  <c r="G224" i="8" s="1"/>
  <c r="AV147" i="8"/>
  <c r="G210" i="8" s="1"/>
  <c r="AS147" i="8"/>
  <c r="G207" i="8" s="1"/>
  <c r="AP147" i="8"/>
  <c r="G204" i="8" s="1"/>
  <c r="AM147" i="8"/>
  <c r="G201" i="8" s="1"/>
  <c r="AK147" i="8"/>
  <c r="G199" i="8" s="1"/>
  <c r="W147" i="8"/>
  <c r="G187" i="8" s="1"/>
  <c r="T147" i="8"/>
  <c r="G184" i="8" s="1"/>
  <c r="Q147" i="8"/>
  <c r="G181" i="8" s="1"/>
  <c r="N147" i="8"/>
  <c r="G178" i="8" s="1"/>
  <c r="L147" i="8"/>
  <c r="G176" i="8" s="1"/>
  <c r="DS146" i="8"/>
  <c r="F282" i="8" s="1"/>
  <c r="DP146" i="8"/>
  <c r="F279" i="8" s="1"/>
  <c r="DM146" i="8"/>
  <c r="F276" i="8" s="1"/>
  <c r="DJ146" i="8"/>
  <c r="F273" i="8" s="1"/>
  <c r="DH146" i="8"/>
  <c r="F271" i="8" s="1"/>
  <c r="CZ146" i="8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CZ163" i="8" s="1"/>
  <c r="CT146" i="8"/>
  <c r="F259" i="8" s="1"/>
  <c r="CQ146" i="8"/>
  <c r="CN146" i="8"/>
  <c r="F253" i="8" s="1"/>
  <c r="CK146" i="8"/>
  <c r="F250" i="8" s="1"/>
  <c r="CI146" i="8"/>
  <c r="F248" i="8" s="1"/>
  <c r="CA146" i="8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CA163" i="8" s="1"/>
  <c r="BU146" i="8"/>
  <c r="F235" i="8" s="1"/>
  <c r="BR146" i="8"/>
  <c r="F232" i="8" s="1"/>
  <c r="BO146" i="8"/>
  <c r="F229" i="8" s="1"/>
  <c r="BL146" i="8"/>
  <c r="F226" i="8" s="1"/>
  <c r="BJ146" i="8"/>
  <c r="F224" i="8" s="1"/>
  <c r="BB146" i="8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BB163" i="8" s="1"/>
  <c r="AV146" i="8"/>
  <c r="F210" i="8" s="1"/>
  <c r="AS146" i="8"/>
  <c r="AP146" i="8"/>
  <c r="F204" i="8" s="1"/>
  <c r="AM146" i="8"/>
  <c r="F201" i="8" s="1"/>
  <c r="AK146" i="8"/>
  <c r="F199" i="8" s="1"/>
  <c r="AC146" i="8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W146" i="8"/>
  <c r="F187" i="8" s="1"/>
  <c r="T146" i="8"/>
  <c r="F184" i="8" s="1"/>
  <c r="Q146" i="8"/>
  <c r="F181" i="8" s="1"/>
  <c r="N146" i="8"/>
  <c r="F178" i="8" s="1"/>
  <c r="L146" i="8"/>
  <c r="F176" i="8" s="1"/>
  <c r="D146" i="8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S145" i="8"/>
  <c r="E282" i="8" s="1"/>
  <c r="DP145" i="8"/>
  <c r="DM145" i="8"/>
  <c r="E276" i="8" s="1"/>
  <c r="DJ145" i="8"/>
  <c r="E273" i="8" s="1"/>
  <c r="DH145" i="8"/>
  <c r="E271" i="8" s="1"/>
  <c r="CT145" i="8"/>
  <c r="E259" i="8" s="1"/>
  <c r="CQ145" i="8"/>
  <c r="E256" i="8" s="1"/>
  <c r="CN145" i="8"/>
  <c r="E253" i="8" s="1"/>
  <c r="CK145" i="8"/>
  <c r="E250" i="8" s="1"/>
  <c r="CI145" i="8"/>
  <c r="E248" i="8" s="1"/>
  <c r="BU145" i="8"/>
  <c r="E235" i="8" s="1"/>
  <c r="BR145" i="8"/>
  <c r="E232" i="8" s="1"/>
  <c r="BO145" i="8"/>
  <c r="E229" i="8" s="1"/>
  <c r="BL145" i="8"/>
  <c r="E226" i="8" s="1"/>
  <c r="BJ145" i="8"/>
  <c r="E224" i="8" s="1"/>
  <c r="AV145" i="8"/>
  <c r="AS145" i="8"/>
  <c r="E207" i="8" s="1"/>
  <c r="AP145" i="8"/>
  <c r="E204" i="8" s="1"/>
  <c r="AM145" i="8"/>
  <c r="E201" i="8" s="1"/>
  <c r="AK145" i="8"/>
  <c r="E199" i="8" s="1"/>
  <c r="W145" i="8"/>
  <c r="E187" i="8" s="1"/>
  <c r="T145" i="8"/>
  <c r="Q145" i="8"/>
  <c r="E181" i="8" s="1"/>
  <c r="N145" i="8"/>
  <c r="E178" i="8" s="1"/>
  <c r="L145" i="8"/>
  <c r="E176" i="8" s="1"/>
  <c r="DF138" i="8"/>
  <c r="CG138" i="8"/>
  <c r="BH138" i="8"/>
  <c r="AZ138" i="8"/>
  <c r="AI138" i="8"/>
  <c r="J138" i="8"/>
  <c r="DF137" i="8"/>
  <c r="CG137" i="8"/>
  <c r="BH137" i="8"/>
  <c r="AI137" i="8"/>
  <c r="J137" i="8"/>
  <c r="DF136" i="8"/>
  <c r="CU136" i="8"/>
  <c r="CU137" i="8" s="1"/>
  <c r="CU138" i="8" s="1"/>
  <c r="CG136" i="8"/>
  <c r="BS136" i="8"/>
  <c r="BS137" i="8" s="1"/>
  <c r="BS138" i="8" s="1"/>
  <c r="BS163" i="8" s="1"/>
  <c r="BH136" i="8"/>
  <c r="AZ136" i="8"/>
  <c r="AZ137" i="8" s="1"/>
  <c r="AW136" i="8"/>
  <c r="AW137" i="8" s="1"/>
  <c r="AW138" i="8" s="1"/>
  <c r="AW163" i="8" s="1"/>
  <c r="W211" i="8" s="1"/>
  <c r="AI136" i="8"/>
  <c r="U136" i="8"/>
  <c r="U137" i="8" s="1"/>
  <c r="U138" i="8" s="1"/>
  <c r="J136" i="8"/>
  <c r="B136" i="8"/>
  <c r="B137" i="8" s="1"/>
  <c r="B138" i="8" s="1"/>
  <c r="DT135" i="8"/>
  <c r="DT136" i="8" s="1"/>
  <c r="DT137" i="8" s="1"/>
  <c r="DT138" i="8" s="1"/>
  <c r="DF135" i="8"/>
  <c r="CR135" i="8"/>
  <c r="CR136" i="8" s="1"/>
  <c r="CR137" i="8" s="1"/>
  <c r="CR138" i="8" s="1"/>
  <c r="CG135" i="8"/>
  <c r="BH135" i="8"/>
  <c r="AZ135" i="8"/>
  <c r="AT135" i="8"/>
  <c r="AT136" i="8" s="1"/>
  <c r="AT137" i="8" s="1"/>
  <c r="AT138" i="8" s="1"/>
  <c r="AT163" i="8" s="1"/>
  <c r="W208" i="8" s="1"/>
  <c r="AI135" i="8"/>
  <c r="AA135" i="8"/>
  <c r="AA136" i="8" s="1"/>
  <c r="AA137" i="8" s="1"/>
  <c r="AA138" i="8" s="1"/>
  <c r="J135" i="8"/>
  <c r="B135" i="8"/>
  <c r="DF134" i="8"/>
  <c r="CU134" i="8"/>
  <c r="CU135" i="8" s="1"/>
  <c r="CG134" i="8"/>
  <c r="BH134" i="8"/>
  <c r="AT134" i="8"/>
  <c r="AI134" i="8"/>
  <c r="U134" i="8"/>
  <c r="U135" i="8" s="1"/>
  <c r="J134" i="8"/>
  <c r="DT133" i="8"/>
  <c r="DT134" i="8" s="1"/>
  <c r="DS133" i="8"/>
  <c r="DU133" i="8" s="1"/>
  <c r="DQ133" i="8"/>
  <c r="DQ134" i="8" s="1"/>
  <c r="DQ135" i="8" s="1"/>
  <c r="DQ136" i="8" s="1"/>
  <c r="DQ137" i="8" s="1"/>
  <c r="DQ138" i="8" s="1"/>
  <c r="DM133" i="8"/>
  <c r="DJ133" i="8"/>
  <c r="DH133" i="8"/>
  <c r="DF133" i="8"/>
  <c r="CY133" i="8"/>
  <c r="CY134" i="8" s="1"/>
  <c r="CY135" i="8" s="1"/>
  <c r="CX133" i="8"/>
  <c r="CX134" i="8" s="1"/>
  <c r="CX135" i="8" s="1"/>
  <c r="CX136" i="8" s="1"/>
  <c r="CX137" i="8" s="1"/>
  <c r="CX138" i="8" s="1"/>
  <c r="CU133" i="8"/>
  <c r="CR133" i="8"/>
  <c r="CR134" i="8" s="1"/>
  <c r="CQ133" i="8"/>
  <c r="CS133" i="8" s="1"/>
  <c r="CG133" i="8"/>
  <c r="BZ133" i="8"/>
  <c r="CT133" i="8" s="1"/>
  <c r="CV133" i="8" s="1"/>
  <c r="BY133" i="8"/>
  <c r="BY134" i="8" s="1"/>
  <c r="BY135" i="8" s="1"/>
  <c r="BY136" i="8" s="1"/>
  <c r="BY137" i="8" s="1"/>
  <c r="BY138" i="8" s="1"/>
  <c r="BV133" i="8"/>
  <c r="BV134" i="8" s="1"/>
  <c r="BV135" i="8" s="1"/>
  <c r="BV136" i="8" s="1"/>
  <c r="BV137" i="8" s="1"/>
  <c r="BV138" i="8" s="1"/>
  <c r="BV163" i="8" s="1"/>
  <c r="BU133" i="8"/>
  <c r="BW133" i="8" s="1"/>
  <c r="BS133" i="8"/>
  <c r="BS134" i="8" s="1"/>
  <c r="BS135" i="8" s="1"/>
  <c r="BO133" i="8"/>
  <c r="BL133" i="8"/>
  <c r="BJ133" i="8"/>
  <c r="BH133" i="8"/>
  <c r="BA133" i="8"/>
  <c r="BA134" i="8" s="1"/>
  <c r="BA135" i="8" s="1"/>
  <c r="AZ133" i="8"/>
  <c r="AW133" i="8"/>
  <c r="AW134" i="8" s="1"/>
  <c r="AW135" i="8" s="1"/>
  <c r="AT133" i="8"/>
  <c r="AS133" i="8"/>
  <c r="AU133" i="8" s="1"/>
  <c r="AI133" i="8"/>
  <c r="AB133" i="8"/>
  <c r="AA133" i="8"/>
  <c r="X133" i="8"/>
  <c r="X134" i="8" s="1"/>
  <c r="X135" i="8" s="1"/>
  <c r="X136" i="8" s="1"/>
  <c r="X137" i="8" s="1"/>
  <c r="X138" i="8" s="1"/>
  <c r="W133" i="8"/>
  <c r="Y133" i="8" s="1"/>
  <c r="U133" i="8"/>
  <c r="Q133" i="8"/>
  <c r="N133" i="8"/>
  <c r="L133" i="8"/>
  <c r="J133" i="8"/>
  <c r="C133" i="8"/>
  <c r="DP133" i="8" s="1"/>
  <c r="B133" i="8"/>
  <c r="DS132" i="8"/>
  <c r="DU132" i="8" s="1"/>
  <c r="DP132" i="8"/>
  <c r="DR132" i="8" s="1"/>
  <c r="DM132" i="8"/>
  <c r="DJ132" i="8"/>
  <c r="DH132" i="8"/>
  <c r="DF132" i="8"/>
  <c r="CT132" i="8"/>
  <c r="CV132" i="8" s="1"/>
  <c r="CQ132" i="8"/>
  <c r="CS132" i="8" s="1"/>
  <c r="CN132" i="8"/>
  <c r="CK132" i="8"/>
  <c r="CI132" i="8"/>
  <c r="CG132" i="8"/>
  <c r="BU132" i="8"/>
  <c r="BW132" i="8" s="1"/>
  <c r="BR132" i="8"/>
  <c r="BT132" i="8" s="1"/>
  <c r="BO132" i="8"/>
  <c r="BL132" i="8"/>
  <c r="BJ132" i="8"/>
  <c r="BH132" i="8"/>
  <c r="AV132" i="8"/>
  <c r="AX132" i="8" s="1"/>
  <c r="AS132" i="8"/>
  <c r="AU132" i="8" s="1"/>
  <c r="AP132" i="8"/>
  <c r="AM132" i="8"/>
  <c r="AK132" i="8"/>
  <c r="AI132" i="8"/>
  <c r="W132" i="8"/>
  <c r="Y132" i="8" s="1"/>
  <c r="T132" i="8"/>
  <c r="V132" i="8" s="1"/>
  <c r="Q132" i="8"/>
  <c r="N132" i="8"/>
  <c r="L132" i="8"/>
  <c r="J132" i="8"/>
  <c r="DF131" i="8"/>
  <c r="CG131" i="8"/>
  <c r="BH131" i="8"/>
  <c r="AI131" i="8"/>
  <c r="J131" i="8"/>
  <c r="DF130" i="8"/>
  <c r="CG130" i="8"/>
  <c r="BH130" i="8"/>
  <c r="AI130" i="8"/>
  <c r="J130" i="8"/>
  <c r="DF129" i="8"/>
  <c r="CG129" i="8"/>
  <c r="BH129" i="8"/>
  <c r="AI129" i="8"/>
  <c r="J129" i="8"/>
  <c r="DF128" i="8"/>
  <c r="CG128" i="8"/>
  <c r="BH128" i="8"/>
  <c r="BA128" i="8"/>
  <c r="AI128" i="8"/>
  <c r="AA128" i="8"/>
  <c r="AA129" i="8" s="1"/>
  <c r="AA130" i="8" s="1"/>
  <c r="AA131" i="8" s="1"/>
  <c r="J128" i="8"/>
  <c r="DQ127" i="8"/>
  <c r="DQ128" i="8" s="1"/>
  <c r="DQ129" i="8" s="1"/>
  <c r="DQ130" i="8" s="1"/>
  <c r="DQ131" i="8" s="1"/>
  <c r="DF127" i="8"/>
  <c r="CX127" i="8"/>
  <c r="CX128" i="8" s="1"/>
  <c r="CX129" i="8" s="1"/>
  <c r="CX130" i="8" s="1"/>
  <c r="CX131" i="8" s="1"/>
  <c r="CU127" i="8"/>
  <c r="CU128" i="8" s="1"/>
  <c r="CU129" i="8" s="1"/>
  <c r="CU130" i="8" s="1"/>
  <c r="CU131" i="8" s="1"/>
  <c r="CG127" i="8"/>
  <c r="BZ127" i="8"/>
  <c r="BU127" i="8"/>
  <c r="BS127" i="8"/>
  <c r="BS128" i="8" s="1"/>
  <c r="BS129" i="8" s="1"/>
  <c r="BS130" i="8" s="1"/>
  <c r="BS131" i="8" s="1"/>
  <c r="BS162" i="8" s="1"/>
  <c r="V233" i="8" s="1"/>
  <c r="BH127" i="8"/>
  <c r="AZ127" i="8"/>
  <c r="AZ128" i="8" s="1"/>
  <c r="AZ129" i="8" s="1"/>
  <c r="AZ130" i="8" s="1"/>
  <c r="AZ131" i="8" s="1"/>
  <c r="AW127" i="8"/>
  <c r="AW128" i="8" s="1"/>
  <c r="AW129" i="8" s="1"/>
  <c r="AW130" i="8" s="1"/>
  <c r="AW131" i="8" s="1"/>
  <c r="AW162" i="8" s="1"/>
  <c r="V211" i="8" s="1"/>
  <c r="AI127" i="8"/>
  <c r="AB127" i="8"/>
  <c r="AB128" i="8" s="1"/>
  <c r="U127" i="8"/>
  <c r="U128" i="8" s="1"/>
  <c r="U129" i="8" s="1"/>
  <c r="U130" i="8" s="1"/>
  <c r="U131" i="8" s="1"/>
  <c r="J127" i="8"/>
  <c r="B127" i="8"/>
  <c r="B128" i="8" s="1"/>
  <c r="B129" i="8" s="1"/>
  <c r="B130" i="8" s="1"/>
  <c r="B131" i="8" s="1"/>
  <c r="DT126" i="8"/>
  <c r="DT127" i="8" s="1"/>
  <c r="DT128" i="8" s="1"/>
  <c r="DT129" i="8" s="1"/>
  <c r="DT130" i="8" s="1"/>
  <c r="DT131" i="8" s="1"/>
  <c r="DQ126" i="8"/>
  <c r="DF126" i="8"/>
  <c r="CY126" i="8"/>
  <c r="CX126" i="8"/>
  <c r="CU126" i="8"/>
  <c r="CT126" i="8"/>
  <c r="CV126" i="8" s="1"/>
  <c r="CR126" i="8"/>
  <c r="CR127" i="8" s="1"/>
  <c r="CR128" i="8" s="1"/>
  <c r="CR129" i="8" s="1"/>
  <c r="CR130" i="8" s="1"/>
  <c r="CR131" i="8" s="1"/>
  <c r="CK126" i="8"/>
  <c r="CG126" i="8"/>
  <c r="BZ126" i="8"/>
  <c r="BY126" i="8"/>
  <c r="BY127" i="8" s="1"/>
  <c r="BY128" i="8" s="1"/>
  <c r="BY129" i="8" s="1"/>
  <c r="BY130" i="8" s="1"/>
  <c r="BY131" i="8" s="1"/>
  <c r="BV126" i="8"/>
  <c r="BV127" i="8" s="1"/>
  <c r="BV128" i="8" s="1"/>
  <c r="BV129" i="8" s="1"/>
  <c r="BV130" i="8" s="1"/>
  <c r="BV131" i="8" s="1"/>
  <c r="BV162" i="8" s="1"/>
  <c r="V236" i="8" s="1"/>
  <c r="BS126" i="8"/>
  <c r="BH126" i="8"/>
  <c r="BA126" i="8"/>
  <c r="BA127" i="8" s="1"/>
  <c r="AZ126" i="8"/>
  <c r="AW126" i="8"/>
  <c r="AV126" i="8"/>
  <c r="AX126" i="8" s="1"/>
  <c r="AT126" i="8"/>
  <c r="AT127" i="8" s="1"/>
  <c r="AT128" i="8" s="1"/>
  <c r="AT129" i="8" s="1"/>
  <c r="AT130" i="8" s="1"/>
  <c r="AT131" i="8" s="1"/>
  <c r="AT162" i="8" s="1"/>
  <c r="AI126" i="8"/>
  <c r="AB126" i="8"/>
  <c r="AA126" i="8"/>
  <c r="AA127" i="8" s="1"/>
  <c r="X126" i="8"/>
  <c r="X127" i="8" s="1"/>
  <c r="X128" i="8" s="1"/>
  <c r="X129" i="8" s="1"/>
  <c r="X130" i="8" s="1"/>
  <c r="X131" i="8" s="1"/>
  <c r="U126" i="8"/>
  <c r="J126" i="8"/>
  <c r="C126" i="8"/>
  <c r="DP126" i="8" s="1"/>
  <c r="DR126" i="8" s="1"/>
  <c r="B126" i="8"/>
  <c r="DS125" i="8"/>
  <c r="DU125" i="8" s="1"/>
  <c r="DR125" i="8"/>
  <c r="DP125" i="8"/>
  <c r="DM125" i="8"/>
  <c r="DJ125" i="8"/>
  <c r="DH125" i="8"/>
  <c r="DF125" i="8"/>
  <c r="CT125" i="8"/>
  <c r="CV125" i="8" s="1"/>
  <c r="CQ125" i="8"/>
  <c r="CS125" i="8" s="1"/>
  <c r="CN125" i="8"/>
  <c r="CK125" i="8"/>
  <c r="CI125" i="8"/>
  <c r="CG125" i="8"/>
  <c r="BW125" i="8"/>
  <c r="BU125" i="8"/>
  <c r="BR125" i="8"/>
  <c r="BT125" i="8" s="1"/>
  <c r="BO125" i="8"/>
  <c r="BL125" i="8"/>
  <c r="BJ125" i="8"/>
  <c r="BH125" i="8"/>
  <c r="AV125" i="8"/>
  <c r="AX125" i="8" s="1"/>
  <c r="AS125" i="8"/>
  <c r="AU125" i="8" s="1"/>
  <c r="AP125" i="8"/>
  <c r="AM125" i="8"/>
  <c r="AK125" i="8"/>
  <c r="AI125" i="8"/>
  <c r="W125" i="8"/>
  <c r="Y125" i="8" s="1"/>
  <c r="V125" i="8"/>
  <c r="T125" i="8"/>
  <c r="Q125" i="8"/>
  <c r="N125" i="8"/>
  <c r="L125" i="8"/>
  <c r="J125" i="8"/>
  <c r="DF124" i="8"/>
  <c r="CG124" i="8"/>
  <c r="BH124" i="8"/>
  <c r="AI124" i="8"/>
  <c r="AA124" i="8"/>
  <c r="J124" i="8"/>
  <c r="B124" i="8"/>
  <c r="DQ123" i="8"/>
  <c r="DQ124" i="8" s="1"/>
  <c r="DF123" i="8"/>
  <c r="CG123" i="8"/>
  <c r="BH123" i="8"/>
  <c r="AI123" i="8"/>
  <c r="J123" i="8"/>
  <c r="DF122" i="8"/>
  <c r="CG122" i="8"/>
  <c r="BH122" i="8"/>
  <c r="AI122" i="8"/>
  <c r="AA122" i="8"/>
  <c r="J122" i="8"/>
  <c r="DF121" i="8"/>
  <c r="CG121" i="8"/>
  <c r="BH121" i="8"/>
  <c r="AI121" i="8"/>
  <c r="U121" i="8"/>
  <c r="U122" i="8" s="1"/>
  <c r="U123" i="8" s="1"/>
  <c r="U124" i="8" s="1"/>
  <c r="U161" i="8" s="1"/>
  <c r="J121" i="8"/>
  <c r="DT120" i="8"/>
  <c r="DT121" i="8" s="1"/>
  <c r="DT122" i="8" s="1"/>
  <c r="DT123" i="8" s="1"/>
  <c r="DT124" i="8" s="1"/>
  <c r="DF120" i="8"/>
  <c r="CY120" i="8"/>
  <c r="CT120" i="8"/>
  <c r="CR120" i="8"/>
  <c r="CR121" i="8" s="1"/>
  <c r="CR122" i="8" s="1"/>
  <c r="CR123" i="8" s="1"/>
  <c r="CR124" i="8" s="1"/>
  <c r="CG120" i="8"/>
  <c r="BY120" i="8"/>
  <c r="BY121" i="8" s="1"/>
  <c r="BY122" i="8" s="1"/>
  <c r="BY123" i="8" s="1"/>
  <c r="BY124" i="8" s="1"/>
  <c r="BV120" i="8"/>
  <c r="BV121" i="8" s="1"/>
  <c r="BV122" i="8" s="1"/>
  <c r="BV123" i="8" s="1"/>
  <c r="BV124" i="8" s="1"/>
  <c r="BV161" i="8" s="1"/>
  <c r="U236" i="8" s="1"/>
  <c r="BH120" i="8"/>
  <c r="BA120" i="8"/>
  <c r="BA121" i="8" s="1"/>
  <c r="AT120" i="8"/>
  <c r="AT121" i="8" s="1"/>
  <c r="AT122" i="8" s="1"/>
  <c r="AT123" i="8" s="1"/>
  <c r="AT124" i="8" s="1"/>
  <c r="AT161" i="8" s="1"/>
  <c r="U208" i="8" s="1"/>
  <c r="AK120" i="8"/>
  <c r="AI120" i="8"/>
  <c r="AA120" i="8"/>
  <c r="AA121" i="8" s="1"/>
  <c r="X120" i="8"/>
  <c r="X121" i="8" s="1"/>
  <c r="X122" i="8" s="1"/>
  <c r="X123" i="8" s="1"/>
  <c r="X124" i="8" s="1"/>
  <c r="X161" i="8" s="1"/>
  <c r="U188" i="8" s="1"/>
  <c r="J120" i="8"/>
  <c r="C120" i="8"/>
  <c r="DP120" i="8" s="1"/>
  <c r="DT119" i="8"/>
  <c r="DS119" i="8"/>
  <c r="DU119" i="8" s="1"/>
  <c r="DQ119" i="8"/>
  <c r="DQ120" i="8" s="1"/>
  <c r="DQ121" i="8" s="1"/>
  <c r="DQ122" i="8" s="1"/>
  <c r="DM119" i="8"/>
  <c r="DJ119" i="8"/>
  <c r="DH119" i="8"/>
  <c r="DF119" i="8"/>
  <c r="CY119" i="8"/>
  <c r="CX119" i="8"/>
  <c r="CX120" i="8" s="1"/>
  <c r="CX121" i="8" s="1"/>
  <c r="CX122" i="8" s="1"/>
  <c r="CX123" i="8" s="1"/>
  <c r="CX124" i="8" s="1"/>
  <c r="CU119" i="8"/>
  <c r="CU120" i="8" s="1"/>
  <c r="CU121" i="8" s="1"/>
  <c r="CU122" i="8" s="1"/>
  <c r="CU123" i="8" s="1"/>
  <c r="CU124" i="8" s="1"/>
  <c r="CR119" i="8"/>
  <c r="CQ119" i="8"/>
  <c r="CS119" i="8" s="1"/>
  <c r="CG119" i="8"/>
  <c r="BZ119" i="8"/>
  <c r="BZ120" i="8" s="1"/>
  <c r="BZ121" i="8" s="1"/>
  <c r="BY119" i="8"/>
  <c r="BW119" i="8"/>
  <c r="BV119" i="8"/>
  <c r="BU119" i="8"/>
  <c r="BS119" i="8"/>
  <c r="BS120" i="8" s="1"/>
  <c r="BS121" i="8" s="1"/>
  <c r="BS122" i="8" s="1"/>
  <c r="BS123" i="8" s="1"/>
  <c r="BS124" i="8" s="1"/>
  <c r="BS161" i="8" s="1"/>
  <c r="BO119" i="8"/>
  <c r="BL119" i="8"/>
  <c r="BJ119" i="8"/>
  <c r="BH119" i="8"/>
  <c r="BA119" i="8"/>
  <c r="AZ119" i="8"/>
  <c r="AZ120" i="8" s="1"/>
  <c r="AZ121" i="8" s="1"/>
  <c r="AZ122" i="8" s="1"/>
  <c r="AZ123" i="8" s="1"/>
  <c r="AZ124" i="8" s="1"/>
  <c r="AW119" i="8"/>
  <c r="AW120" i="8" s="1"/>
  <c r="AW121" i="8" s="1"/>
  <c r="AW122" i="8" s="1"/>
  <c r="AW123" i="8" s="1"/>
  <c r="AW124" i="8" s="1"/>
  <c r="AW161" i="8" s="1"/>
  <c r="AT119" i="8"/>
  <c r="AS119" i="8"/>
  <c r="AU119" i="8" s="1"/>
  <c r="AI119" i="8"/>
  <c r="AB119" i="8"/>
  <c r="AA119" i="8"/>
  <c r="X119" i="8"/>
  <c r="W119" i="8"/>
  <c r="Y119" i="8" s="1"/>
  <c r="U119" i="8"/>
  <c r="U120" i="8" s="1"/>
  <c r="Q119" i="8"/>
  <c r="N119" i="8"/>
  <c r="L119" i="8"/>
  <c r="J119" i="8"/>
  <c r="C119" i="8"/>
  <c r="CN119" i="8" s="1"/>
  <c r="B119" i="8"/>
  <c r="B120" i="8" s="1"/>
  <c r="B121" i="8" s="1"/>
  <c r="B122" i="8" s="1"/>
  <c r="DS118" i="8"/>
  <c r="DU118" i="8" s="1"/>
  <c r="DP118" i="8"/>
  <c r="DR118" i="8" s="1"/>
  <c r="DM118" i="8"/>
  <c r="DJ118" i="8"/>
  <c r="DH118" i="8"/>
  <c r="DF118" i="8"/>
  <c r="CT118" i="8"/>
  <c r="CV118" i="8" s="1"/>
  <c r="CS118" i="8"/>
  <c r="CQ118" i="8"/>
  <c r="CN118" i="8"/>
  <c r="CK118" i="8"/>
  <c r="CI118" i="8"/>
  <c r="CG118" i="8"/>
  <c r="BU118" i="8"/>
  <c r="BW118" i="8" s="1"/>
  <c r="BR118" i="8"/>
  <c r="BT118" i="8" s="1"/>
  <c r="BO118" i="8"/>
  <c r="BL118" i="8"/>
  <c r="BJ118" i="8"/>
  <c r="BH118" i="8"/>
  <c r="AX118" i="8"/>
  <c r="AV118" i="8"/>
  <c r="AS118" i="8"/>
  <c r="AU118" i="8" s="1"/>
  <c r="AP118" i="8"/>
  <c r="AM118" i="8"/>
  <c r="AK118" i="8"/>
  <c r="AI118" i="8"/>
  <c r="W118" i="8"/>
  <c r="Y118" i="8" s="1"/>
  <c r="T118" i="8"/>
  <c r="V118" i="8" s="1"/>
  <c r="Q118" i="8"/>
  <c r="N118" i="8"/>
  <c r="L118" i="8"/>
  <c r="J118" i="8"/>
  <c r="DF117" i="8"/>
  <c r="CU117" i="8"/>
  <c r="CG117" i="8"/>
  <c r="BH117" i="8"/>
  <c r="AI117" i="8"/>
  <c r="U117" i="8"/>
  <c r="U160" i="8" s="1"/>
  <c r="T185" i="8" s="1"/>
  <c r="J117" i="8"/>
  <c r="DF116" i="8"/>
  <c r="CG116" i="8"/>
  <c r="BH116" i="8"/>
  <c r="AI116" i="8"/>
  <c r="J116" i="8"/>
  <c r="DF115" i="8"/>
  <c r="CG115" i="8"/>
  <c r="BS115" i="8"/>
  <c r="BS116" i="8" s="1"/>
  <c r="BS117" i="8" s="1"/>
  <c r="BS160" i="8" s="1"/>
  <c r="T233" i="8" s="1"/>
  <c r="BH115" i="8"/>
  <c r="AI115" i="8"/>
  <c r="J115" i="8"/>
  <c r="B115" i="8"/>
  <c r="B116" i="8" s="1"/>
  <c r="B117" i="8" s="1"/>
  <c r="DF114" i="8"/>
  <c r="CG114" i="8"/>
  <c r="BV114" i="8"/>
  <c r="BV115" i="8" s="1"/>
  <c r="BV116" i="8" s="1"/>
  <c r="BV117" i="8" s="1"/>
  <c r="BV160" i="8" s="1"/>
  <c r="T236" i="8" s="1"/>
  <c r="BH114" i="8"/>
  <c r="AI114" i="8"/>
  <c r="J114" i="8"/>
  <c r="DQ113" i="8"/>
  <c r="DQ114" i="8" s="1"/>
  <c r="DQ115" i="8" s="1"/>
  <c r="DQ116" i="8" s="1"/>
  <c r="DQ117" i="8" s="1"/>
  <c r="DF113" i="8"/>
  <c r="CX113" i="8"/>
  <c r="CX114" i="8" s="1"/>
  <c r="CX115" i="8" s="1"/>
  <c r="CX116" i="8" s="1"/>
  <c r="CX117" i="8" s="1"/>
  <c r="CU113" i="8"/>
  <c r="CU114" i="8" s="1"/>
  <c r="CU115" i="8" s="1"/>
  <c r="CU116" i="8" s="1"/>
  <c r="CG113" i="8"/>
  <c r="BZ113" i="8"/>
  <c r="BS113" i="8"/>
  <c r="BS114" i="8" s="1"/>
  <c r="BH113" i="8"/>
  <c r="AZ113" i="8"/>
  <c r="AZ114" i="8" s="1"/>
  <c r="AZ115" i="8" s="1"/>
  <c r="AZ116" i="8" s="1"/>
  <c r="AZ117" i="8" s="1"/>
  <c r="AW113" i="8"/>
  <c r="AW114" i="8" s="1"/>
  <c r="AW115" i="8" s="1"/>
  <c r="AW116" i="8" s="1"/>
  <c r="AW117" i="8" s="1"/>
  <c r="AW160" i="8" s="1"/>
  <c r="AI113" i="8"/>
  <c r="AB113" i="8"/>
  <c r="AB114" i="8" s="1"/>
  <c r="AV114" i="8" s="1"/>
  <c r="AX114" i="8" s="1"/>
  <c r="U113" i="8"/>
  <c r="U114" i="8" s="1"/>
  <c r="U115" i="8" s="1"/>
  <c r="U116" i="8" s="1"/>
  <c r="J113" i="8"/>
  <c r="B113" i="8"/>
  <c r="B114" i="8" s="1"/>
  <c r="DT112" i="8"/>
  <c r="DT113" i="8" s="1"/>
  <c r="DT114" i="8" s="1"/>
  <c r="DT115" i="8" s="1"/>
  <c r="DT116" i="8" s="1"/>
  <c r="DT117" i="8" s="1"/>
  <c r="DQ112" i="8"/>
  <c r="DP112" i="8"/>
  <c r="DR112" i="8" s="1"/>
  <c r="DF112" i="8"/>
  <c r="CY112" i="8"/>
  <c r="CX112" i="8"/>
  <c r="CU112" i="8"/>
  <c r="CT112" i="8"/>
  <c r="CV112" i="8" s="1"/>
  <c r="CR112" i="8"/>
  <c r="CR113" i="8" s="1"/>
  <c r="CR114" i="8" s="1"/>
  <c r="CR115" i="8" s="1"/>
  <c r="CR116" i="8" s="1"/>
  <c r="CR117" i="8" s="1"/>
  <c r="CK112" i="8"/>
  <c r="CG112" i="8"/>
  <c r="BZ112" i="8"/>
  <c r="BY112" i="8"/>
  <c r="BY113" i="8" s="1"/>
  <c r="BY114" i="8" s="1"/>
  <c r="BY115" i="8" s="1"/>
  <c r="BY116" i="8" s="1"/>
  <c r="BY117" i="8" s="1"/>
  <c r="BV112" i="8"/>
  <c r="BV113" i="8" s="1"/>
  <c r="BS112" i="8"/>
  <c r="BH112" i="8"/>
  <c r="BA112" i="8"/>
  <c r="BA113" i="8" s="1"/>
  <c r="AZ112" i="8"/>
  <c r="AX112" i="8"/>
  <c r="AW112" i="8"/>
  <c r="AV112" i="8"/>
  <c r="AT112" i="8"/>
  <c r="AT113" i="8" s="1"/>
  <c r="AT114" i="8" s="1"/>
  <c r="AT115" i="8" s="1"/>
  <c r="AT116" i="8" s="1"/>
  <c r="AT117" i="8" s="1"/>
  <c r="AT160" i="8" s="1"/>
  <c r="AK112" i="8"/>
  <c r="AI112" i="8"/>
  <c r="AB112" i="8"/>
  <c r="AA112" i="8"/>
  <c r="AA113" i="8" s="1"/>
  <c r="AA114" i="8" s="1"/>
  <c r="AA115" i="8" s="1"/>
  <c r="AA116" i="8" s="1"/>
  <c r="AA117" i="8" s="1"/>
  <c r="X112" i="8"/>
  <c r="X113" i="8" s="1"/>
  <c r="X114" i="8" s="1"/>
  <c r="X115" i="8" s="1"/>
  <c r="X116" i="8" s="1"/>
  <c r="X117" i="8" s="1"/>
  <c r="X160" i="8" s="1"/>
  <c r="T188" i="8" s="1"/>
  <c r="U112" i="8"/>
  <c r="J112" i="8"/>
  <c r="C112" i="8"/>
  <c r="B112" i="8"/>
  <c r="DS111" i="8"/>
  <c r="DU111" i="8" s="1"/>
  <c r="DP111" i="8"/>
  <c r="DR111" i="8" s="1"/>
  <c r="DM111" i="8"/>
  <c r="DJ111" i="8"/>
  <c r="DH111" i="8"/>
  <c r="DF111" i="8"/>
  <c r="CT111" i="8"/>
  <c r="CV111" i="8" s="1"/>
  <c r="CQ111" i="8"/>
  <c r="CS111" i="8" s="1"/>
  <c r="CN111" i="8"/>
  <c r="CK111" i="8"/>
  <c r="CI111" i="8"/>
  <c r="CG111" i="8"/>
  <c r="BU111" i="8"/>
  <c r="BW111" i="8" s="1"/>
  <c r="BR111" i="8"/>
  <c r="BT111" i="8" s="1"/>
  <c r="BO111" i="8"/>
  <c r="BL111" i="8"/>
  <c r="BJ111" i="8"/>
  <c r="BH111" i="8"/>
  <c r="AV111" i="8"/>
  <c r="AX111" i="8" s="1"/>
  <c r="AS111" i="8"/>
  <c r="AU111" i="8" s="1"/>
  <c r="AP111" i="8"/>
  <c r="AM111" i="8"/>
  <c r="AK111" i="8"/>
  <c r="AI111" i="8"/>
  <c r="W111" i="8"/>
  <c r="Y111" i="8" s="1"/>
  <c r="T111" i="8"/>
  <c r="V111" i="8" s="1"/>
  <c r="Q111" i="8"/>
  <c r="N111" i="8"/>
  <c r="L111" i="8"/>
  <c r="J111" i="8"/>
  <c r="DF110" i="8"/>
  <c r="CG110" i="8"/>
  <c r="BH110" i="8"/>
  <c r="AI110" i="8"/>
  <c r="AA110" i="8"/>
  <c r="J110" i="8"/>
  <c r="DQ109" i="8"/>
  <c r="DQ110" i="8" s="1"/>
  <c r="DF109" i="8"/>
  <c r="CU109" i="8"/>
  <c r="CU110" i="8" s="1"/>
  <c r="CG109" i="8"/>
  <c r="BH109" i="8"/>
  <c r="AI109" i="8"/>
  <c r="J109" i="8"/>
  <c r="DT108" i="8"/>
  <c r="DT109" i="8" s="1"/>
  <c r="DT110" i="8" s="1"/>
  <c r="DF108" i="8"/>
  <c r="CG108" i="8"/>
  <c r="BY108" i="8"/>
  <c r="BY109" i="8" s="1"/>
  <c r="BY110" i="8" s="1"/>
  <c r="BH108" i="8"/>
  <c r="AT108" i="8"/>
  <c r="AT109" i="8" s="1"/>
  <c r="AT110" i="8" s="1"/>
  <c r="AT159" i="8" s="1"/>
  <c r="S208" i="8" s="1"/>
  <c r="AI108" i="8"/>
  <c r="J108" i="8"/>
  <c r="DF107" i="8"/>
  <c r="CG107" i="8"/>
  <c r="BH107" i="8"/>
  <c r="AI107" i="8"/>
  <c r="J107" i="8"/>
  <c r="DT106" i="8"/>
  <c r="DT107" i="8" s="1"/>
  <c r="DF106" i="8"/>
  <c r="CY106" i="8"/>
  <c r="CY107" i="8" s="1"/>
  <c r="DS107" i="8" s="1"/>
  <c r="DU107" i="8" s="1"/>
  <c r="CR106" i="8"/>
  <c r="CR107" i="8" s="1"/>
  <c r="CR108" i="8" s="1"/>
  <c r="CR109" i="8" s="1"/>
  <c r="CR110" i="8" s="1"/>
  <c r="CN106" i="8"/>
  <c r="CI106" i="8"/>
  <c r="CG106" i="8"/>
  <c r="BY106" i="8"/>
  <c r="BY107" i="8" s="1"/>
  <c r="BV106" i="8"/>
  <c r="BV107" i="8" s="1"/>
  <c r="BV108" i="8" s="1"/>
  <c r="BV109" i="8" s="1"/>
  <c r="BV110" i="8" s="1"/>
  <c r="BV159" i="8" s="1"/>
  <c r="BR106" i="8"/>
  <c r="BH106" i="8"/>
  <c r="BA106" i="8"/>
  <c r="AT106" i="8"/>
  <c r="AT107" i="8" s="1"/>
  <c r="AM106" i="8"/>
  <c r="AI106" i="8"/>
  <c r="AA106" i="8"/>
  <c r="AA107" i="8" s="1"/>
  <c r="AA108" i="8" s="1"/>
  <c r="AA109" i="8" s="1"/>
  <c r="X106" i="8"/>
  <c r="X107" i="8" s="1"/>
  <c r="X108" i="8" s="1"/>
  <c r="X109" i="8" s="1"/>
  <c r="X110" i="8" s="1"/>
  <c r="X159" i="8" s="1"/>
  <c r="J106" i="8"/>
  <c r="C106" i="8"/>
  <c r="DM106" i="8" s="1"/>
  <c r="DT105" i="8"/>
  <c r="DS105" i="8"/>
  <c r="DU105" i="8" s="1"/>
  <c r="DQ105" i="8"/>
  <c r="DQ106" i="8" s="1"/>
  <c r="DQ107" i="8" s="1"/>
  <c r="DQ108" i="8" s="1"/>
  <c r="DM105" i="8"/>
  <c r="DJ105" i="8"/>
  <c r="DH105" i="8"/>
  <c r="DF105" i="8"/>
  <c r="CY105" i="8"/>
  <c r="CX105" i="8"/>
  <c r="CX106" i="8" s="1"/>
  <c r="CX107" i="8" s="1"/>
  <c r="CX108" i="8" s="1"/>
  <c r="CX109" i="8" s="1"/>
  <c r="CX110" i="8" s="1"/>
  <c r="CU105" i="8"/>
  <c r="CU106" i="8" s="1"/>
  <c r="CU107" i="8" s="1"/>
  <c r="CU108" i="8" s="1"/>
  <c r="CR105" i="8"/>
  <c r="CQ105" i="8"/>
  <c r="CS105" i="8" s="1"/>
  <c r="CG105" i="8"/>
  <c r="BZ105" i="8"/>
  <c r="BY105" i="8"/>
  <c r="BV105" i="8"/>
  <c r="BU105" i="8"/>
  <c r="BW105" i="8" s="1"/>
  <c r="BS105" i="8"/>
  <c r="BS106" i="8" s="1"/>
  <c r="BS107" i="8" s="1"/>
  <c r="BS108" i="8" s="1"/>
  <c r="BS109" i="8" s="1"/>
  <c r="BS110" i="8" s="1"/>
  <c r="BS159" i="8" s="1"/>
  <c r="BO105" i="8"/>
  <c r="BL105" i="8"/>
  <c r="BJ105" i="8"/>
  <c r="BH105" i="8"/>
  <c r="BA105" i="8"/>
  <c r="AZ105" i="8"/>
  <c r="AZ106" i="8" s="1"/>
  <c r="AZ107" i="8" s="1"/>
  <c r="AZ108" i="8" s="1"/>
  <c r="AZ109" i="8" s="1"/>
  <c r="AZ110" i="8" s="1"/>
  <c r="AW105" i="8"/>
  <c r="AW106" i="8" s="1"/>
  <c r="AW107" i="8" s="1"/>
  <c r="AW108" i="8" s="1"/>
  <c r="AW109" i="8" s="1"/>
  <c r="AW110" i="8" s="1"/>
  <c r="AW159" i="8" s="1"/>
  <c r="S211" i="8" s="1"/>
  <c r="AT105" i="8"/>
  <c r="AS105" i="8"/>
  <c r="AU105" i="8" s="1"/>
  <c r="AI105" i="8"/>
  <c r="AB105" i="8"/>
  <c r="AA105" i="8"/>
  <c r="X105" i="8"/>
  <c r="W105" i="8"/>
  <c r="Y105" i="8" s="1"/>
  <c r="U105" i="8"/>
  <c r="U106" i="8" s="1"/>
  <c r="U107" i="8" s="1"/>
  <c r="U108" i="8" s="1"/>
  <c r="U109" i="8" s="1"/>
  <c r="U110" i="8" s="1"/>
  <c r="U159" i="8" s="1"/>
  <c r="Q105" i="8"/>
  <c r="N105" i="8"/>
  <c r="L105" i="8"/>
  <c r="J105" i="8"/>
  <c r="C105" i="8"/>
  <c r="DP105" i="8" s="1"/>
  <c r="DR105" i="8" s="1"/>
  <c r="B105" i="8"/>
  <c r="B106" i="8" s="1"/>
  <c r="B107" i="8" s="1"/>
  <c r="B108" i="8" s="1"/>
  <c r="B109" i="8" s="1"/>
  <c r="B110" i="8" s="1"/>
  <c r="DS104" i="8"/>
  <c r="DU104" i="8" s="1"/>
  <c r="DP104" i="8"/>
  <c r="DR104" i="8" s="1"/>
  <c r="DM104" i="8"/>
  <c r="DJ104" i="8"/>
  <c r="DH104" i="8"/>
  <c r="DF104" i="8"/>
  <c r="CV104" i="8"/>
  <c r="CT104" i="8"/>
  <c r="CS104" i="8"/>
  <c r="CQ104" i="8"/>
  <c r="CN104" i="8"/>
  <c r="CK104" i="8"/>
  <c r="CI104" i="8"/>
  <c r="CG104" i="8"/>
  <c r="BU104" i="8"/>
  <c r="BW104" i="8" s="1"/>
  <c r="BR104" i="8"/>
  <c r="BT104" i="8" s="1"/>
  <c r="BO104" i="8"/>
  <c r="BL104" i="8"/>
  <c r="BJ104" i="8"/>
  <c r="BH104" i="8"/>
  <c r="AX104" i="8"/>
  <c r="AV104" i="8"/>
  <c r="AU104" i="8"/>
  <c r="AS104" i="8"/>
  <c r="AP104" i="8"/>
  <c r="AM104" i="8"/>
  <c r="AK104" i="8"/>
  <c r="AI104" i="8"/>
  <c r="W104" i="8"/>
  <c r="Y104" i="8" s="1"/>
  <c r="T104" i="8"/>
  <c r="V104" i="8" s="1"/>
  <c r="Q104" i="8"/>
  <c r="N104" i="8"/>
  <c r="L104" i="8"/>
  <c r="J104" i="8"/>
  <c r="DF103" i="8"/>
  <c r="CG103" i="8"/>
  <c r="BH103" i="8"/>
  <c r="AW103" i="8"/>
  <c r="AW158" i="8" s="1"/>
  <c r="AI103" i="8"/>
  <c r="J103" i="8"/>
  <c r="DF102" i="8"/>
  <c r="CG102" i="8"/>
  <c r="BH102" i="8"/>
  <c r="AI102" i="8"/>
  <c r="J102" i="8"/>
  <c r="DF101" i="8"/>
  <c r="CU101" i="8"/>
  <c r="CU102" i="8" s="1"/>
  <c r="CU103" i="8" s="1"/>
  <c r="CG101" i="8"/>
  <c r="BS101" i="8"/>
  <c r="BS102" i="8" s="1"/>
  <c r="BS103" i="8" s="1"/>
  <c r="BS158" i="8" s="1"/>
  <c r="R233" i="8" s="1"/>
  <c r="BH101" i="8"/>
  <c r="AZ101" i="8"/>
  <c r="AZ102" i="8" s="1"/>
  <c r="AZ103" i="8" s="1"/>
  <c r="AI101" i="8"/>
  <c r="J101" i="8"/>
  <c r="DT100" i="8"/>
  <c r="DT101" i="8" s="1"/>
  <c r="DT102" i="8" s="1"/>
  <c r="DT103" i="8" s="1"/>
  <c r="DP100" i="8"/>
  <c r="DR100" i="8" s="1"/>
  <c r="DF100" i="8"/>
  <c r="CY100" i="8"/>
  <c r="CK100" i="8"/>
  <c r="CG100" i="8"/>
  <c r="BY100" i="8"/>
  <c r="BY101" i="8" s="1"/>
  <c r="BY102" i="8" s="1"/>
  <c r="BY103" i="8" s="1"/>
  <c r="BH100" i="8"/>
  <c r="AT100" i="8"/>
  <c r="AT101" i="8" s="1"/>
  <c r="AT102" i="8" s="1"/>
  <c r="AT103" i="8" s="1"/>
  <c r="AT158" i="8" s="1"/>
  <c r="AP100" i="8"/>
  <c r="AI100" i="8"/>
  <c r="X100" i="8"/>
  <c r="X101" i="8" s="1"/>
  <c r="X102" i="8" s="1"/>
  <c r="X103" i="8" s="1"/>
  <c r="X158" i="8" s="1"/>
  <c r="R188" i="8" s="1"/>
  <c r="J100" i="8"/>
  <c r="C100" i="8"/>
  <c r="DT99" i="8"/>
  <c r="DS99" i="8"/>
  <c r="DU99" i="8" s="1"/>
  <c r="DJ99" i="8"/>
  <c r="DF99" i="8"/>
  <c r="CY99" i="8"/>
  <c r="CX99" i="8"/>
  <c r="CX100" i="8" s="1"/>
  <c r="CX101" i="8" s="1"/>
  <c r="CX102" i="8" s="1"/>
  <c r="CX103" i="8" s="1"/>
  <c r="CN99" i="8"/>
  <c r="CI99" i="8"/>
  <c r="CG99" i="8"/>
  <c r="BY99" i="8"/>
  <c r="BS99" i="8"/>
  <c r="BS100" i="8" s="1"/>
  <c r="BR99" i="8"/>
  <c r="BT99" i="8" s="1"/>
  <c r="BO99" i="8"/>
  <c r="BJ99" i="8"/>
  <c r="BH99" i="8"/>
  <c r="AW99" i="8"/>
  <c r="AW100" i="8" s="1"/>
  <c r="AW101" i="8" s="1"/>
  <c r="AW102" i="8" s="1"/>
  <c r="AT99" i="8"/>
  <c r="AS99" i="8"/>
  <c r="AU99" i="8" s="1"/>
  <c r="AM99" i="8"/>
  <c r="AI99" i="8"/>
  <c r="AB99" i="8"/>
  <c r="X99" i="8"/>
  <c r="W99" i="8"/>
  <c r="Y99" i="8" s="1"/>
  <c r="N99" i="8"/>
  <c r="J99" i="8"/>
  <c r="C99" i="8"/>
  <c r="DM99" i="8" s="1"/>
  <c r="B99" i="8"/>
  <c r="B100" i="8" s="1"/>
  <c r="B101" i="8" s="1"/>
  <c r="B102" i="8" s="1"/>
  <c r="B103" i="8" s="1"/>
  <c r="DT98" i="8"/>
  <c r="DS98" i="8"/>
  <c r="DU98" i="8" s="1"/>
  <c r="DQ98" i="8"/>
  <c r="DQ99" i="8" s="1"/>
  <c r="DQ100" i="8" s="1"/>
  <c r="DQ101" i="8" s="1"/>
  <c r="DQ102" i="8" s="1"/>
  <c r="DQ103" i="8" s="1"/>
  <c r="DM98" i="8"/>
  <c r="DJ98" i="8"/>
  <c r="DH98" i="8"/>
  <c r="DF98" i="8"/>
  <c r="CY98" i="8"/>
  <c r="CX98" i="8"/>
  <c r="CU98" i="8"/>
  <c r="CU99" i="8" s="1"/>
  <c r="CU100" i="8" s="1"/>
  <c r="CR98" i="8"/>
  <c r="CR99" i="8" s="1"/>
  <c r="CR100" i="8" s="1"/>
  <c r="CR101" i="8" s="1"/>
  <c r="CR102" i="8" s="1"/>
  <c r="CR103" i="8" s="1"/>
  <c r="CQ98" i="8"/>
  <c r="CN98" i="8"/>
  <c r="CI98" i="8"/>
  <c r="CG98" i="8"/>
  <c r="BZ98" i="8"/>
  <c r="BZ99" i="8" s="1"/>
  <c r="BY98" i="8"/>
  <c r="BV98" i="8"/>
  <c r="BV99" i="8" s="1"/>
  <c r="BV100" i="8" s="1"/>
  <c r="BV101" i="8" s="1"/>
  <c r="BV102" i="8" s="1"/>
  <c r="BV103" i="8" s="1"/>
  <c r="BV158" i="8" s="1"/>
  <c r="R236" i="8" s="1"/>
  <c r="BS98" i="8"/>
  <c r="BR98" i="8"/>
  <c r="BT98" i="8" s="1"/>
  <c r="BO98" i="8"/>
  <c r="BL98" i="8"/>
  <c r="BJ98" i="8"/>
  <c r="BH98" i="8"/>
  <c r="BA98" i="8"/>
  <c r="AZ98" i="8"/>
  <c r="AZ99" i="8" s="1"/>
  <c r="AZ100" i="8" s="1"/>
  <c r="AW98" i="8"/>
  <c r="AV98" i="8"/>
  <c r="AX98" i="8" s="1"/>
  <c r="AU98" i="8"/>
  <c r="AT98" i="8"/>
  <c r="AS98" i="8"/>
  <c r="AM98" i="8"/>
  <c r="AI98" i="8"/>
  <c r="AB98" i="8"/>
  <c r="AA98" i="8"/>
  <c r="AA99" i="8" s="1"/>
  <c r="AA100" i="8" s="1"/>
  <c r="AA101" i="8" s="1"/>
  <c r="AA102" i="8" s="1"/>
  <c r="AA103" i="8" s="1"/>
  <c r="X98" i="8"/>
  <c r="W98" i="8"/>
  <c r="Y98" i="8" s="1"/>
  <c r="U98" i="8"/>
  <c r="U99" i="8" s="1"/>
  <c r="U100" i="8" s="1"/>
  <c r="U101" i="8" s="1"/>
  <c r="U102" i="8" s="1"/>
  <c r="U103" i="8" s="1"/>
  <c r="U158" i="8" s="1"/>
  <c r="R185" i="8" s="1"/>
  <c r="Q98" i="8"/>
  <c r="N98" i="8"/>
  <c r="L98" i="8"/>
  <c r="J98" i="8"/>
  <c r="C98" i="8"/>
  <c r="DP98" i="8" s="1"/>
  <c r="DR98" i="8" s="1"/>
  <c r="B98" i="8"/>
  <c r="DU97" i="8"/>
  <c r="DS97" i="8"/>
  <c r="DP97" i="8"/>
  <c r="DR97" i="8" s="1"/>
  <c r="DM97" i="8"/>
  <c r="DJ97" i="8"/>
  <c r="DH97" i="8"/>
  <c r="DF97" i="8"/>
  <c r="CT97" i="8"/>
  <c r="CV97" i="8" s="1"/>
  <c r="CS97" i="8"/>
  <c r="CQ97" i="8"/>
  <c r="CN97" i="8"/>
  <c r="CK97" i="8"/>
  <c r="CI97" i="8"/>
  <c r="CG97" i="8"/>
  <c r="BU97" i="8"/>
  <c r="BW97" i="8" s="1"/>
  <c r="BT97" i="8"/>
  <c r="BR97" i="8"/>
  <c r="BO97" i="8"/>
  <c r="BL97" i="8"/>
  <c r="BJ97" i="8"/>
  <c r="BH97" i="8"/>
  <c r="AV97" i="8"/>
  <c r="AX97" i="8" s="1"/>
  <c r="AS97" i="8"/>
  <c r="AU97" i="8" s="1"/>
  <c r="AP97" i="8"/>
  <c r="AM97" i="8"/>
  <c r="AK97" i="8"/>
  <c r="AI97" i="8"/>
  <c r="Y97" i="8"/>
  <c r="W97" i="8"/>
  <c r="T97" i="8"/>
  <c r="V97" i="8" s="1"/>
  <c r="Q97" i="8"/>
  <c r="N97" i="8"/>
  <c r="L97" i="8"/>
  <c r="J97" i="8"/>
  <c r="DF96" i="8"/>
  <c r="CG96" i="8"/>
  <c r="BY96" i="8"/>
  <c r="BH96" i="8"/>
  <c r="AI96" i="8"/>
  <c r="X96" i="8"/>
  <c r="X157" i="8" s="1"/>
  <c r="J96" i="8"/>
  <c r="DF95" i="8"/>
  <c r="CG95" i="8"/>
  <c r="BH95" i="8"/>
  <c r="AI95" i="8"/>
  <c r="J95" i="8"/>
  <c r="B95" i="8"/>
  <c r="B96" i="8" s="1"/>
  <c r="DF94" i="8"/>
  <c r="CR94" i="8"/>
  <c r="CR95" i="8" s="1"/>
  <c r="CR96" i="8" s="1"/>
  <c r="CG94" i="8"/>
  <c r="BH94" i="8"/>
  <c r="AI94" i="8"/>
  <c r="J94" i="8"/>
  <c r="DF93" i="8"/>
  <c r="CG93" i="8"/>
  <c r="BH93" i="8"/>
  <c r="AZ93" i="8"/>
  <c r="AZ94" i="8" s="1"/>
  <c r="AZ95" i="8" s="1"/>
  <c r="AZ96" i="8" s="1"/>
  <c r="AI93" i="8"/>
  <c r="J93" i="8"/>
  <c r="B93" i="8"/>
  <c r="B94" i="8" s="1"/>
  <c r="DT92" i="8"/>
  <c r="DT93" i="8" s="1"/>
  <c r="DT94" i="8" s="1"/>
  <c r="DT95" i="8" s="1"/>
  <c r="DT96" i="8" s="1"/>
  <c r="DF92" i="8"/>
  <c r="CY92" i="8"/>
  <c r="CX92" i="8"/>
  <c r="CX93" i="8" s="1"/>
  <c r="CX94" i="8" s="1"/>
  <c r="CX95" i="8" s="1"/>
  <c r="CX96" i="8" s="1"/>
  <c r="CG92" i="8"/>
  <c r="BY92" i="8"/>
  <c r="BY93" i="8" s="1"/>
  <c r="BY94" i="8" s="1"/>
  <c r="BY95" i="8" s="1"/>
  <c r="BH92" i="8"/>
  <c r="AI92" i="8"/>
  <c r="X92" i="8"/>
  <c r="X93" i="8" s="1"/>
  <c r="X94" i="8" s="1"/>
  <c r="X95" i="8" s="1"/>
  <c r="J92" i="8"/>
  <c r="DU91" i="8"/>
  <c r="DT91" i="8"/>
  <c r="DS91" i="8"/>
  <c r="DQ91" i="8"/>
  <c r="DQ92" i="8" s="1"/>
  <c r="DQ93" i="8" s="1"/>
  <c r="DQ94" i="8" s="1"/>
  <c r="DQ95" i="8" s="1"/>
  <c r="DQ96" i="8" s="1"/>
  <c r="DF91" i="8"/>
  <c r="CY91" i="8"/>
  <c r="CU91" i="8"/>
  <c r="CU92" i="8" s="1"/>
  <c r="CU93" i="8" s="1"/>
  <c r="CU94" i="8" s="1"/>
  <c r="CU95" i="8" s="1"/>
  <c r="CU96" i="8" s="1"/>
  <c r="CR91" i="8"/>
  <c r="CR92" i="8" s="1"/>
  <c r="CR93" i="8" s="1"/>
  <c r="CG91" i="8"/>
  <c r="BZ91" i="8"/>
  <c r="BV91" i="8"/>
  <c r="BV92" i="8" s="1"/>
  <c r="BV93" i="8" s="1"/>
  <c r="BV94" i="8" s="1"/>
  <c r="BV95" i="8" s="1"/>
  <c r="BV96" i="8" s="1"/>
  <c r="BV157" i="8" s="1"/>
  <c r="BU91" i="8"/>
  <c r="BW91" i="8" s="1"/>
  <c r="BS91" i="8"/>
  <c r="BS92" i="8" s="1"/>
  <c r="BS93" i="8" s="1"/>
  <c r="BS94" i="8" s="1"/>
  <c r="BS95" i="8" s="1"/>
  <c r="BS96" i="8" s="1"/>
  <c r="BS157" i="8" s="1"/>
  <c r="BH91" i="8"/>
  <c r="BA91" i="8"/>
  <c r="BA92" i="8" s="1"/>
  <c r="AZ91" i="8"/>
  <c r="AZ92" i="8" s="1"/>
  <c r="AW91" i="8"/>
  <c r="AW92" i="8" s="1"/>
  <c r="AW93" i="8" s="1"/>
  <c r="AW94" i="8" s="1"/>
  <c r="AW95" i="8" s="1"/>
  <c r="AW96" i="8" s="1"/>
  <c r="AW157" i="8" s="1"/>
  <c r="Q211" i="8" s="1"/>
  <c r="AT91" i="8"/>
  <c r="AT92" i="8" s="1"/>
  <c r="AT93" i="8" s="1"/>
  <c r="AT94" i="8" s="1"/>
  <c r="AT95" i="8" s="1"/>
  <c r="AT96" i="8" s="1"/>
  <c r="AT157" i="8" s="1"/>
  <c r="Q208" i="8" s="1"/>
  <c r="AI91" i="8"/>
  <c r="AB91" i="8"/>
  <c r="AB92" i="8" s="1"/>
  <c r="AA91" i="8"/>
  <c r="AA92" i="8" s="1"/>
  <c r="AA93" i="8" s="1"/>
  <c r="AA94" i="8" s="1"/>
  <c r="AA95" i="8" s="1"/>
  <c r="AA96" i="8" s="1"/>
  <c r="X91" i="8"/>
  <c r="U91" i="8"/>
  <c r="U92" i="8" s="1"/>
  <c r="U93" i="8" s="1"/>
  <c r="U94" i="8" s="1"/>
  <c r="U95" i="8" s="1"/>
  <c r="U96" i="8" s="1"/>
  <c r="U157" i="8" s="1"/>
  <c r="J91" i="8"/>
  <c r="C91" i="8"/>
  <c r="CQ91" i="8" s="1"/>
  <c r="CS91" i="8" s="1"/>
  <c r="DU90" i="8"/>
  <c r="DS90" i="8"/>
  <c r="DP90" i="8"/>
  <c r="DR90" i="8" s="1"/>
  <c r="DM90" i="8"/>
  <c r="DJ90" i="8"/>
  <c r="DH90" i="8"/>
  <c r="DF90" i="8"/>
  <c r="CV90" i="8"/>
  <c r="CT90" i="8"/>
  <c r="CQ90" i="8"/>
  <c r="CS90" i="8" s="1"/>
  <c r="CN90" i="8"/>
  <c r="CK90" i="8"/>
  <c r="CI90" i="8"/>
  <c r="CG90" i="8"/>
  <c r="BU90" i="8"/>
  <c r="BW90" i="8" s="1"/>
  <c r="BT90" i="8"/>
  <c r="BR90" i="8"/>
  <c r="BO90" i="8"/>
  <c r="BL90" i="8"/>
  <c r="BJ90" i="8"/>
  <c r="BH90" i="8"/>
  <c r="AV90" i="8"/>
  <c r="AX90" i="8" s="1"/>
  <c r="AU90" i="8"/>
  <c r="AS90" i="8"/>
  <c r="AP90" i="8"/>
  <c r="AM90" i="8"/>
  <c r="AK90" i="8"/>
  <c r="AI90" i="8"/>
  <c r="W90" i="8"/>
  <c r="Y90" i="8" s="1"/>
  <c r="T90" i="8"/>
  <c r="V90" i="8" s="1"/>
  <c r="Q90" i="8"/>
  <c r="N90" i="8"/>
  <c r="L90" i="8"/>
  <c r="J90" i="8"/>
  <c r="DQ89" i="8"/>
  <c r="DF89" i="8"/>
  <c r="CU89" i="8"/>
  <c r="CG89" i="8"/>
  <c r="BH89" i="8"/>
  <c r="AI89" i="8"/>
  <c r="J89" i="8"/>
  <c r="DF88" i="8"/>
  <c r="CG88" i="8"/>
  <c r="BY88" i="8"/>
  <c r="BY89" i="8" s="1"/>
  <c r="BH88" i="8"/>
  <c r="AI88" i="8"/>
  <c r="X88" i="8"/>
  <c r="X89" i="8" s="1"/>
  <c r="X156" i="8" s="1"/>
  <c r="P188" i="8" s="1"/>
  <c r="J88" i="8"/>
  <c r="DF87" i="8"/>
  <c r="CG87" i="8"/>
  <c r="BH87" i="8"/>
  <c r="AI87" i="8"/>
  <c r="J87" i="8"/>
  <c r="B87" i="8"/>
  <c r="B88" i="8" s="1"/>
  <c r="B89" i="8" s="1"/>
  <c r="DF86" i="8"/>
  <c r="CR86" i="8"/>
  <c r="CR87" i="8" s="1"/>
  <c r="CR88" i="8" s="1"/>
  <c r="CR89" i="8" s="1"/>
  <c r="CG86" i="8"/>
  <c r="BH86" i="8"/>
  <c r="AI86" i="8"/>
  <c r="J86" i="8"/>
  <c r="DQ85" i="8"/>
  <c r="DQ86" i="8" s="1"/>
  <c r="DQ87" i="8" s="1"/>
  <c r="DQ88" i="8" s="1"/>
  <c r="DF85" i="8"/>
  <c r="CU85" i="8"/>
  <c r="CU86" i="8" s="1"/>
  <c r="CU87" i="8" s="1"/>
  <c r="CU88" i="8" s="1"/>
  <c r="CG85" i="8"/>
  <c r="BZ85" i="8"/>
  <c r="BU85" i="8"/>
  <c r="BH85" i="8"/>
  <c r="AZ85" i="8"/>
  <c r="AZ86" i="8" s="1"/>
  <c r="AZ87" i="8" s="1"/>
  <c r="AZ88" i="8" s="1"/>
  <c r="AZ89" i="8" s="1"/>
  <c r="AI85" i="8"/>
  <c r="U85" i="8"/>
  <c r="U86" i="8" s="1"/>
  <c r="U87" i="8" s="1"/>
  <c r="U88" i="8" s="1"/>
  <c r="U89" i="8" s="1"/>
  <c r="U156" i="8" s="1"/>
  <c r="P185" i="8" s="1"/>
  <c r="J85" i="8"/>
  <c r="DT84" i="8"/>
  <c r="DT85" i="8" s="1"/>
  <c r="DT86" i="8" s="1"/>
  <c r="DT87" i="8" s="1"/>
  <c r="DT88" i="8" s="1"/>
  <c r="DT89" i="8" s="1"/>
  <c r="DQ84" i="8"/>
  <c r="DF84" i="8"/>
  <c r="CY84" i="8"/>
  <c r="CX84" i="8"/>
  <c r="CX85" i="8" s="1"/>
  <c r="CX86" i="8" s="1"/>
  <c r="CX87" i="8" s="1"/>
  <c r="CX88" i="8" s="1"/>
  <c r="CX89" i="8" s="1"/>
  <c r="CU84" i="8"/>
  <c r="CT84" i="8"/>
  <c r="CV84" i="8" s="1"/>
  <c r="CR84" i="8"/>
  <c r="CR85" i="8" s="1"/>
  <c r="CG84" i="8"/>
  <c r="BZ84" i="8"/>
  <c r="BY84" i="8"/>
  <c r="BY85" i="8" s="1"/>
  <c r="BY86" i="8" s="1"/>
  <c r="BY87" i="8" s="1"/>
  <c r="BV84" i="8"/>
  <c r="BV85" i="8" s="1"/>
  <c r="BV86" i="8" s="1"/>
  <c r="BV87" i="8" s="1"/>
  <c r="BV88" i="8" s="1"/>
  <c r="BV89" i="8" s="1"/>
  <c r="BV156" i="8" s="1"/>
  <c r="P236" i="8" s="1"/>
  <c r="BS84" i="8"/>
  <c r="BS85" i="8" s="1"/>
  <c r="BS86" i="8" s="1"/>
  <c r="BS87" i="8" s="1"/>
  <c r="BS88" i="8" s="1"/>
  <c r="BS89" i="8" s="1"/>
  <c r="BS156" i="8" s="1"/>
  <c r="P233" i="8" s="1"/>
  <c r="BH84" i="8"/>
  <c r="BA84" i="8"/>
  <c r="BA85" i="8" s="1"/>
  <c r="BA86" i="8" s="1"/>
  <c r="AZ84" i="8"/>
  <c r="AW84" i="8"/>
  <c r="AW85" i="8" s="1"/>
  <c r="AW86" i="8" s="1"/>
  <c r="AW87" i="8" s="1"/>
  <c r="AW88" i="8" s="1"/>
  <c r="AW89" i="8" s="1"/>
  <c r="AW156" i="8" s="1"/>
  <c r="AT84" i="8"/>
  <c r="AT85" i="8" s="1"/>
  <c r="AT86" i="8" s="1"/>
  <c r="AT87" i="8" s="1"/>
  <c r="AT88" i="8" s="1"/>
  <c r="AT89" i="8" s="1"/>
  <c r="AT156" i="8" s="1"/>
  <c r="AI84" i="8"/>
  <c r="AB84" i="8"/>
  <c r="AB85" i="8" s="1"/>
  <c r="AA84" i="8"/>
  <c r="AA85" i="8" s="1"/>
  <c r="AA86" i="8" s="1"/>
  <c r="AA87" i="8" s="1"/>
  <c r="AA88" i="8" s="1"/>
  <c r="AA89" i="8" s="1"/>
  <c r="X84" i="8"/>
  <c r="X85" i="8" s="1"/>
  <c r="X86" i="8" s="1"/>
  <c r="X87" i="8" s="1"/>
  <c r="U84" i="8"/>
  <c r="J84" i="8"/>
  <c r="C84" i="8"/>
  <c r="B84" i="8"/>
  <c r="B85" i="8" s="1"/>
  <c r="B86" i="8" s="1"/>
  <c r="DS83" i="8"/>
  <c r="DU83" i="8" s="1"/>
  <c r="DR83" i="8"/>
  <c r="DP83" i="8"/>
  <c r="DM83" i="8"/>
  <c r="DJ83" i="8"/>
  <c r="DH83" i="8"/>
  <c r="DF83" i="8"/>
  <c r="CT83" i="8"/>
  <c r="CV83" i="8" s="1"/>
  <c r="CQ83" i="8"/>
  <c r="CS83" i="8" s="1"/>
  <c r="CN83" i="8"/>
  <c r="CK83" i="8"/>
  <c r="CI83" i="8"/>
  <c r="CG83" i="8"/>
  <c r="BW83" i="8"/>
  <c r="BU83" i="8"/>
  <c r="BR83" i="8"/>
  <c r="BT83" i="8" s="1"/>
  <c r="BO83" i="8"/>
  <c r="BL83" i="8"/>
  <c r="BJ83" i="8"/>
  <c r="BH83" i="8"/>
  <c r="AV83" i="8"/>
  <c r="AX83" i="8" s="1"/>
  <c r="AS83" i="8"/>
  <c r="AU83" i="8" s="1"/>
  <c r="AP83" i="8"/>
  <c r="AM83" i="8"/>
  <c r="AK83" i="8"/>
  <c r="AI83" i="8"/>
  <c r="Y83" i="8"/>
  <c r="W83" i="8"/>
  <c r="V83" i="8"/>
  <c r="T83" i="8"/>
  <c r="Q83" i="8"/>
  <c r="N83" i="8"/>
  <c r="L83" i="8"/>
  <c r="J83" i="8"/>
  <c r="DF82" i="8"/>
  <c r="CR82" i="8"/>
  <c r="CG82" i="8"/>
  <c r="BH82" i="8"/>
  <c r="AI82" i="8"/>
  <c r="J82" i="8"/>
  <c r="DT81" i="8"/>
  <c r="DT82" i="8" s="1"/>
  <c r="DF81" i="8"/>
  <c r="CG81" i="8"/>
  <c r="BH81" i="8"/>
  <c r="AZ81" i="8"/>
  <c r="AZ82" i="8" s="1"/>
  <c r="AI81" i="8"/>
  <c r="J81" i="8"/>
  <c r="DF80" i="8"/>
  <c r="CG80" i="8"/>
  <c r="BY80" i="8"/>
  <c r="BY81" i="8" s="1"/>
  <c r="BY82" i="8" s="1"/>
  <c r="BH80" i="8"/>
  <c r="AI80" i="8"/>
  <c r="J80" i="8"/>
  <c r="DF79" i="8"/>
  <c r="CX79" i="8"/>
  <c r="CX80" i="8" s="1"/>
  <c r="CX81" i="8" s="1"/>
  <c r="CX82" i="8" s="1"/>
  <c r="CR79" i="8"/>
  <c r="CR80" i="8" s="1"/>
  <c r="CR81" i="8" s="1"/>
  <c r="CG79" i="8"/>
  <c r="BH79" i="8"/>
  <c r="AI79" i="8"/>
  <c r="J79" i="8"/>
  <c r="B79" i="8"/>
  <c r="B80" i="8" s="1"/>
  <c r="B81" i="8" s="1"/>
  <c r="B82" i="8" s="1"/>
  <c r="DQ78" i="8"/>
  <c r="DQ79" i="8" s="1"/>
  <c r="DQ80" i="8" s="1"/>
  <c r="DQ81" i="8" s="1"/>
  <c r="DQ82" i="8" s="1"/>
  <c r="DF78" i="8"/>
  <c r="CU78" i="8"/>
  <c r="CU79" i="8" s="1"/>
  <c r="CU80" i="8" s="1"/>
  <c r="CU81" i="8" s="1"/>
  <c r="CU82" i="8" s="1"/>
  <c r="CR78" i="8"/>
  <c r="CG78" i="8"/>
  <c r="BV78" i="8"/>
  <c r="BV79" i="8" s="1"/>
  <c r="BV80" i="8" s="1"/>
  <c r="BV81" i="8" s="1"/>
  <c r="BV82" i="8" s="1"/>
  <c r="BV155" i="8" s="1"/>
  <c r="BU78" i="8"/>
  <c r="BH78" i="8"/>
  <c r="BA78" i="8"/>
  <c r="BA79" i="8" s="1"/>
  <c r="AZ78" i="8"/>
  <c r="AZ79" i="8" s="1"/>
  <c r="AZ80" i="8" s="1"/>
  <c r="AV78" i="8"/>
  <c r="AI78" i="8"/>
  <c r="AA78" i="8"/>
  <c r="AA79" i="8" s="1"/>
  <c r="AA80" i="8" s="1"/>
  <c r="AA81" i="8" s="1"/>
  <c r="AA82" i="8" s="1"/>
  <c r="U78" i="8"/>
  <c r="U79" i="8" s="1"/>
  <c r="U80" i="8" s="1"/>
  <c r="U81" i="8" s="1"/>
  <c r="U82" i="8" s="1"/>
  <c r="U155" i="8" s="1"/>
  <c r="J78" i="8"/>
  <c r="DT77" i="8"/>
  <c r="DT78" i="8" s="1"/>
  <c r="DT79" i="8" s="1"/>
  <c r="DT80" i="8" s="1"/>
  <c r="DQ77" i="8"/>
  <c r="DM77" i="8"/>
  <c r="DF77" i="8"/>
  <c r="CY77" i="8"/>
  <c r="CX77" i="8"/>
  <c r="CX78" i="8" s="1"/>
  <c r="CU77" i="8"/>
  <c r="CR77" i="8"/>
  <c r="CG77" i="8"/>
  <c r="BZ77" i="8"/>
  <c r="BZ78" i="8" s="1"/>
  <c r="BY77" i="8"/>
  <c r="BY78" i="8" s="1"/>
  <c r="BY79" i="8" s="1"/>
  <c r="BV77" i="8"/>
  <c r="BU77" i="8"/>
  <c r="BS77" i="8"/>
  <c r="BS78" i="8" s="1"/>
  <c r="BS79" i="8" s="1"/>
  <c r="BS80" i="8" s="1"/>
  <c r="BS81" i="8" s="1"/>
  <c r="BS82" i="8" s="1"/>
  <c r="BS155" i="8" s="1"/>
  <c r="BL77" i="8"/>
  <c r="BH77" i="8"/>
  <c r="BA77" i="8"/>
  <c r="AZ77" i="8"/>
  <c r="AW77" i="8"/>
  <c r="AW78" i="8" s="1"/>
  <c r="AW79" i="8" s="1"/>
  <c r="AW80" i="8" s="1"/>
  <c r="AW81" i="8" s="1"/>
  <c r="AW82" i="8" s="1"/>
  <c r="AW155" i="8" s="1"/>
  <c r="O211" i="8" s="1"/>
  <c r="AT77" i="8"/>
  <c r="AT78" i="8" s="1"/>
  <c r="AT79" i="8" s="1"/>
  <c r="AT80" i="8" s="1"/>
  <c r="AT81" i="8" s="1"/>
  <c r="AT82" i="8" s="1"/>
  <c r="AT155" i="8" s="1"/>
  <c r="O208" i="8" s="1"/>
  <c r="AP77" i="8"/>
  <c r="AI77" i="8"/>
  <c r="AB77" i="8"/>
  <c r="AB78" i="8" s="1"/>
  <c r="AB79" i="8" s="1"/>
  <c r="AA77" i="8"/>
  <c r="X77" i="8"/>
  <c r="X78" i="8" s="1"/>
  <c r="X79" i="8" s="1"/>
  <c r="X80" i="8" s="1"/>
  <c r="X81" i="8" s="1"/>
  <c r="X82" i="8" s="1"/>
  <c r="X155" i="8" s="1"/>
  <c r="U77" i="8"/>
  <c r="Q77" i="8"/>
  <c r="J77" i="8"/>
  <c r="C77" i="8"/>
  <c r="DP77" i="8" s="1"/>
  <c r="DR77" i="8" s="1"/>
  <c r="B77" i="8"/>
  <c r="B78" i="8" s="1"/>
  <c r="DS76" i="8"/>
  <c r="DU76" i="8" s="1"/>
  <c r="DR76" i="8"/>
  <c r="DP76" i="8"/>
  <c r="DM76" i="8"/>
  <c r="DJ76" i="8"/>
  <c r="DH76" i="8"/>
  <c r="DF76" i="8"/>
  <c r="CT76" i="8"/>
  <c r="CV76" i="8" s="1"/>
  <c r="CS76" i="8"/>
  <c r="CQ76" i="8"/>
  <c r="CN76" i="8"/>
  <c r="CK76" i="8"/>
  <c r="CI76" i="8"/>
  <c r="CG76" i="8"/>
  <c r="BU76" i="8"/>
  <c r="BW76" i="8" s="1"/>
  <c r="BR76" i="8"/>
  <c r="BT76" i="8" s="1"/>
  <c r="BO76" i="8"/>
  <c r="BL76" i="8"/>
  <c r="BJ76" i="8"/>
  <c r="BH76" i="8"/>
  <c r="AX76" i="8"/>
  <c r="AV76" i="8"/>
  <c r="AS76" i="8"/>
  <c r="AU76" i="8" s="1"/>
  <c r="AP76" i="8"/>
  <c r="AM76" i="8"/>
  <c r="AK76" i="8"/>
  <c r="AI76" i="8"/>
  <c r="W76" i="8"/>
  <c r="Y76" i="8" s="1"/>
  <c r="T76" i="8"/>
  <c r="V76" i="8" s="1"/>
  <c r="Q76" i="8"/>
  <c r="N76" i="8"/>
  <c r="L76" i="8"/>
  <c r="J76" i="8"/>
  <c r="DF75" i="8"/>
  <c r="CG75" i="8"/>
  <c r="BS75" i="8"/>
  <c r="BS154" i="8" s="1"/>
  <c r="N233" i="8" s="1"/>
  <c r="BH75" i="8"/>
  <c r="AI75" i="8"/>
  <c r="J75" i="8"/>
  <c r="B75" i="8"/>
  <c r="DF74" i="8"/>
  <c r="CR74" i="8"/>
  <c r="CR75" i="8" s="1"/>
  <c r="CG74" i="8"/>
  <c r="BH74" i="8"/>
  <c r="AZ74" i="8"/>
  <c r="AZ75" i="8" s="1"/>
  <c r="AI74" i="8"/>
  <c r="AA74" i="8"/>
  <c r="AA75" i="8" s="1"/>
  <c r="J74" i="8"/>
  <c r="B74" i="8"/>
  <c r="DQ73" i="8"/>
  <c r="DQ74" i="8" s="1"/>
  <c r="DQ75" i="8" s="1"/>
  <c r="DF73" i="8"/>
  <c r="CG73" i="8"/>
  <c r="BH73" i="8"/>
  <c r="AI73" i="8"/>
  <c r="J73" i="8"/>
  <c r="DQ72" i="8"/>
  <c r="DF72" i="8"/>
  <c r="CU72" i="8"/>
  <c r="CU73" i="8" s="1"/>
  <c r="CU74" i="8" s="1"/>
  <c r="CU75" i="8" s="1"/>
  <c r="CG72" i="8"/>
  <c r="BZ72" i="8"/>
  <c r="CT72" i="8" s="1"/>
  <c r="CV72" i="8" s="1"/>
  <c r="BH72" i="8"/>
  <c r="AI72" i="8"/>
  <c r="J72" i="8"/>
  <c r="DT71" i="8"/>
  <c r="DT72" i="8" s="1"/>
  <c r="DT73" i="8" s="1"/>
  <c r="DT74" i="8" s="1"/>
  <c r="DT75" i="8" s="1"/>
  <c r="DQ71" i="8"/>
  <c r="DF71" i="8"/>
  <c r="CY71" i="8"/>
  <c r="CU71" i="8"/>
  <c r="CT71" i="8"/>
  <c r="CV71" i="8" s="1"/>
  <c r="CG71" i="8"/>
  <c r="BZ71" i="8"/>
  <c r="BY71" i="8"/>
  <c r="BY72" i="8" s="1"/>
  <c r="BY73" i="8" s="1"/>
  <c r="BY74" i="8" s="1"/>
  <c r="BY75" i="8" s="1"/>
  <c r="BH71" i="8"/>
  <c r="AP71" i="8"/>
  <c r="AI71" i="8"/>
  <c r="J71" i="8"/>
  <c r="C71" i="8"/>
  <c r="DT70" i="8"/>
  <c r="DS70" i="8"/>
  <c r="DU70" i="8" s="1"/>
  <c r="DQ70" i="8"/>
  <c r="DJ70" i="8"/>
  <c r="DF70" i="8"/>
  <c r="CY70" i="8"/>
  <c r="CX70" i="8"/>
  <c r="CX71" i="8" s="1"/>
  <c r="CX72" i="8" s="1"/>
  <c r="CX73" i="8" s="1"/>
  <c r="CX74" i="8" s="1"/>
  <c r="CX75" i="8" s="1"/>
  <c r="CU70" i="8"/>
  <c r="CT70" i="8"/>
  <c r="CV70" i="8" s="1"/>
  <c r="CR70" i="8"/>
  <c r="CR71" i="8" s="1"/>
  <c r="CR72" i="8" s="1"/>
  <c r="CR73" i="8" s="1"/>
  <c r="CG70" i="8"/>
  <c r="BZ70" i="8"/>
  <c r="BY70" i="8"/>
  <c r="BV70" i="8"/>
  <c r="BV71" i="8" s="1"/>
  <c r="BV72" i="8" s="1"/>
  <c r="BV73" i="8" s="1"/>
  <c r="BV74" i="8" s="1"/>
  <c r="BV75" i="8" s="1"/>
  <c r="BV154" i="8" s="1"/>
  <c r="N236" i="8" s="1"/>
  <c r="BU70" i="8"/>
  <c r="BS70" i="8"/>
  <c r="BS71" i="8" s="1"/>
  <c r="BS72" i="8" s="1"/>
  <c r="BS73" i="8" s="1"/>
  <c r="BS74" i="8" s="1"/>
  <c r="BO70" i="8"/>
  <c r="BJ70" i="8"/>
  <c r="BH70" i="8"/>
  <c r="BA70" i="8"/>
  <c r="BA71" i="8" s="1"/>
  <c r="AZ70" i="8"/>
  <c r="AZ71" i="8" s="1"/>
  <c r="AZ72" i="8" s="1"/>
  <c r="AW70" i="8"/>
  <c r="AW71" i="8" s="1"/>
  <c r="AW72" i="8" s="1"/>
  <c r="AW73" i="8" s="1"/>
  <c r="AW74" i="8" s="1"/>
  <c r="AW75" i="8" s="1"/>
  <c r="AW154" i="8" s="1"/>
  <c r="AT70" i="8"/>
  <c r="AT71" i="8" s="1"/>
  <c r="AT72" i="8" s="1"/>
  <c r="AT73" i="8" s="1"/>
  <c r="AT74" i="8" s="1"/>
  <c r="AT75" i="8" s="1"/>
  <c r="AT154" i="8" s="1"/>
  <c r="AS70" i="8"/>
  <c r="AU70" i="8" s="1"/>
  <c r="AI70" i="8"/>
  <c r="AB70" i="8"/>
  <c r="AA70" i="8"/>
  <c r="AA71" i="8" s="1"/>
  <c r="AA72" i="8" s="1"/>
  <c r="X70" i="8"/>
  <c r="X71" i="8" s="1"/>
  <c r="X72" i="8" s="1"/>
  <c r="X73" i="8" s="1"/>
  <c r="X74" i="8" s="1"/>
  <c r="X75" i="8" s="1"/>
  <c r="X154" i="8" s="1"/>
  <c r="N188" i="8" s="1"/>
  <c r="W70" i="8"/>
  <c r="Y70" i="8" s="1"/>
  <c r="U70" i="8"/>
  <c r="U71" i="8" s="1"/>
  <c r="U72" i="8" s="1"/>
  <c r="U73" i="8" s="1"/>
  <c r="U74" i="8" s="1"/>
  <c r="U75" i="8" s="1"/>
  <c r="U154" i="8" s="1"/>
  <c r="N185" i="8" s="1"/>
  <c r="N70" i="8"/>
  <c r="J70" i="8"/>
  <c r="C70" i="8"/>
  <c r="CN70" i="8" s="1"/>
  <c r="B70" i="8"/>
  <c r="B71" i="8" s="1"/>
  <c r="B72" i="8" s="1"/>
  <c r="DS69" i="8"/>
  <c r="DU69" i="8" s="1"/>
  <c r="DP69" i="8"/>
  <c r="DR69" i="8" s="1"/>
  <c r="DM69" i="8"/>
  <c r="DJ69" i="8"/>
  <c r="DH69" i="8"/>
  <c r="DF69" i="8"/>
  <c r="CT69" i="8"/>
  <c r="CV69" i="8" s="1"/>
  <c r="CQ69" i="8"/>
  <c r="CS69" i="8" s="1"/>
  <c r="CN69" i="8"/>
  <c r="CK69" i="8"/>
  <c r="CI69" i="8"/>
  <c r="CG69" i="8"/>
  <c r="BU69" i="8"/>
  <c r="BW69" i="8" s="1"/>
  <c r="BR69" i="8"/>
  <c r="BT69" i="8" s="1"/>
  <c r="BO69" i="8"/>
  <c r="BL69" i="8"/>
  <c r="BJ69" i="8"/>
  <c r="BH69" i="8"/>
  <c r="AV69" i="8"/>
  <c r="AX69" i="8" s="1"/>
  <c r="AU69" i="8"/>
  <c r="AS69" i="8"/>
  <c r="AP69" i="8"/>
  <c r="AM69" i="8"/>
  <c r="AK69" i="8"/>
  <c r="AI69" i="8"/>
  <c r="W69" i="8"/>
  <c r="Y69" i="8" s="1"/>
  <c r="T69" i="8"/>
  <c r="V69" i="8" s="1"/>
  <c r="Q69" i="8"/>
  <c r="N69" i="8"/>
  <c r="L69" i="8"/>
  <c r="J69" i="8"/>
  <c r="DF68" i="8"/>
  <c r="CG68" i="8"/>
  <c r="BH68" i="8"/>
  <c r="AI68" i="8"/>
  <c r="J68" i="8"/>
  <c r="DF67" i="8"/>
  <c r="CG67" i="8"/>
  <c r="BH67" i="8"/>
  <c r="AI67" i="8"/>
  <c r="J67" i="8"/>
  <c r="DF66" i="8"/>
  <c r="CG66" i="8"/>
  <c r="BH66" i="8"/>
  <c r="AI66" i="8"/>
  <c r="J66" i="8"/>
  <c r="DF65" i="8"/>
  <c r="CG65" i="8"/>
  <c r="BH65" i="8"/>
  <c r="BA65" i="8"/>
  <c r="AI65" i="8"/>
  <c r="J65" i="8"/>
  <c r="DQ64" i="8"/>
  <c r="DQ65" i="8" s="1"/>
  <c r="DQ66" i="8" s="1"/>
  <c r="DQ67" i="8" s="1"/>
  <c r="DQ68" i="8" s="1"/>
  <c r="DF64" i="8"/>
  <c r="CX64" i="8"/>
  <c r="CX65" i="8" s="1"/>
  <c r="CX66" i="8" s="1"/>
  <c r="CX67" i="8" s="1"/>
  <c r="CX68" i="8" s="1"/>
  <c r="CU64" i="8"/>
  <c r="CU65" i="8" s="1"/>
  <c r="CU66" i="8" s="1"/>
  <c r="CU67" i="8" s="1"/>
  <c r="CU68" i="8" s="1"/>
  <c r="CG64" i="8"/>
  <c r="BZ64" i="8"/>
  <c r="BU64" i="8"/>
  <c r="BH64" i="8"/>
  <c r="AZ64" i="8"/>
  <c r="AZ65" i="8" s="1"/>
  <c r="AZ66" i="8" s="1"/>
  <c r="AZ67" i="8" s="1"/>
  <c r="AZ68" i="8" s="1"/>
  <c r="AI64" i="8"/>
  <c r="AB64" i="8"/>
  <c r="AB65" i="8" s="1"/>
  <c r="AV65" i="8" s="1"/>
  <c r="J64" i="8"/>
  <c r="B64" i="8"/>
  <c r="B65" i="8" s="1"/>
  <c r="B66" i="8" s="1"/>
  <c r="B67" i="8" s="1"/>
  <c r="B68" i="8" s="1"/>
  <c r="DT63" i="8"/>
  <c r="DT64" i="8" s="1"/>
  <c r="DT65" i="8" s="1"/>
  <c r="DT66" i="8" s="1"/>
  <c r="DT67" i="8" s="1"/>
  <c r="DT68" i="8" s="1"/>
  <c r="DQ63" i="8"/>
  <c r="DP63" i="8"/>
  <c r="DR63" i="8" s="1"/>
  <c r="DF63" i="8"/>
  <c r="CY63" i="8"/>
  <c r="CX63" i="8"/>
  <c r="CU63" i="8"/>
  <c r="CT63" i="8"/>
  <c r="CV63" i="8" s="1"/>
  <c r="CR63" i="8"/>
  <c r="CR64" i="8" s="1"/>
  <c r="CR65" i="8" s="1"/>
  <c r="CR66" i="8" s="1"/>
  <c r="CR67" i="8" s="1"/>
  <c r="CR68" i="8" s="1"/>
  <c r="CK63" i="8"/>
  <c r="CG63" i="8"/>
  <c r="BZ63" i="8"/>
  <c r="BY63" i="8"/>
  <c r="BY64" i="8" s="1"/>
  <c r="BY65" i="8" s="1"/>
  <c r="BY66" i="8" s="1"/>
  <c r="BY67" i="8" s="1"/>
  <c r="BY68" i="8" s="1"/>
  <c r="BV63" i="8"/>
  <c r="BV64" i="8" s="1"/>
  <c r="BV65" i="8" s="1"/>
  <c r="BV66" i="8" s="1"/>
  <c r="BV67" i="8" s="1"/>
  <c r="BV68" i="8" s="1"/>
  <c r="BV153" i="8" s="1"/>
  <c r="BS63" i="8"/>
  <c r="BS64" i="8" s="1"/>
  <c r="BS65" i="8" s="1"/>
  <c r="BS66" i="8" s="1"/>
  <c r="BS67" i="8" s="1"/>
  <c r="BS68" i="8" s="1"/>
  <c r="BS153" i="8" s="1"/>
  <c r="BH63" i="8"/>
  <c r="BA63" i="8"/>
  <c r="BA64" i="8" s="1"/>
  <c r="AZ63" i="8"/>
  <c r="AW63" i="8"/>
  <c r="AX63" i="8" s="1"/>
  <c r="AV63" i="8"/>
  <c r="AT63" i="8"/>
  <c r="AT64" i="8" s="1"/>
  <c r="AT65" i="8" s="1"/>
  <c r="AT66" i="8" s="1"/>
  <c r="AT67" i="8" s="1"/>
  <c r="AT68" i="8" s="1"/>
  <c r="AT153" i="8" s="1"/>
  <c r="M208" i="8" s="1"/>
  <c r="AK63" i="8"/>
  <c r="AI63" i="8"/>
  <c r="AB63" i="8"/>
  <c r="AA63" i="8"/>
  <c r="AA64" i="8" s="1"/>
  <c r="AA65" i="8" s="1"/>
  <c r="AA66" i="8" s="1"/>
  <c r="AA67" i="8" s="1"/>
  <c r="AA68" i="8" s="1"/>
  <c r="X63" i="8"/>
  <c r="X64" i="8" s="1"/>
  <c r="X65" i="8" s="1"/>
  <c r="X66" i="8" s="1"/>
  <c r="X67" i="8" s="1"/>
  <c r="X68" i="8" s="1"/>
  <c r="X153" i="8" s="1"/>
  <c r="U63" i="8"/>
  <c r="U64" i="8" s="1"/>
  <c r="U65" i="8" s="1"/>
  <c r="U66" i="8" s="1"/>
  <c r="U67" i="8" s="1"/>
  <c r="U68" i="8" s="1"/>
  <c r="U153" i="8" s="1"/>
  <c r="J63" i="8"/>
  <c r="C63" i="8"/>
  <c r="B63" i="8"/>
  <c r="DU62" i="8"/>
  <c r="DS62" i="8"/>
  <c r="DR62" i="8"/>
  <c r="DP62" i="8"/>
  <c r="DM62" i="8"/>
  <c r="DJ62" i="8"/>
  <c r="DH62" i="8"/>
  <c r="DF62" i="8"/>
  <c r="CT62" i="8"/>
  <c r="CV62" i="8" s="1"/>
  <c r="CQ62" i="8"/>
  <c r="CS62" i="8" s="1"/>
  <c r="CN62" i="8"/>
  <c r="CK62" i="8"/>
  <c r="CI62" i="8"/>
  <c r="CG62" i="8"/>
  <c r="BW62" i="8"/>
  <c r="BU62" i="8"/>
  <c r="BT62" i="8"/>
  <c r="BR62" i="8"/>
  <c r="BO62" i="8"/>
  <c r="BL62" i="8"/>
  <c r="BJ62" i="8"/>
  <c r="BH62" i="8"/>
  <c r="AV62" i="8"/>
  <c r="AX62" i="8" s="1"/>
  <c r="AS62" i="8"/>
  <c r="AU62" i="8" s="1"/>
  <c r="AP62" i="8"/>
  <c r="AM62" i="8"/>
  <c r="AK62" i="8"/>
  <c r="AI62" i="8"/>
  <c r="Y62" i="8"/>
  <c r="W62" i="8"/>
  <c r="V62" i="8"/>
  <c r="T62" i="8"/>
  <c r="Q62" i="8"/>
  <c r="N62" i="8"/>
  <c r="L62" i="8"/>
  <c r="J62" i="8"/>
  <c r="DF61" i="8"/>
  <c r="CX61" i="8"/>
  <c r="CG61" i="8"/>
  <c r="BY61" i="8"/>
  <c r="BH61" i="8"/>
  <c r="AI61" i="8"/>
  <c r="J61" i="8"/>
  <c r="DF60" i="8"/>
  <c r="CG60" i="8"/>
  <c r="BH60" i="8"/>
  <c r="AI60" i="8"/>
  <c r="J60" i="8"/>
  <c r="DF59" i="8"/>
  <c r="CG59" i="8"/>
  <c r="BH59" i="8"/>
  <c r="AI59" i="8"/>
  <c r="AA59" i="8"/>
  <c r="AA60" i="8" s="1"/>
  <c r="AA61" i="8" s="1"/>
  <c r="J59" i="8"/>
  <c r="DF58" i="8"/>
  <c r="CG58" i="8"/>
  <c r="BH58" i="8"/>
  <c r="AI58" i="8"/>
  <c r="J58" i="8"/>
  <c r="DT57" i="8"/>
  <c r="DT58" i="8" s="1"/>
  <c r="DT59" i="8" s="1"/>
  <c r="DT60" i="8" s="1"/>
  <c r="DT61" i="8" s="1"/>
  <c r="DF57" i="8"/>
  <c r="CY57" i="8"/>
  <c r="CR57" i="8"/>
  <c r="CR58" i="8" s="1"/>
  <c r="CR59" i="8" s="1"/>
  <c r="CR60" i="8" s="1"/>
  <c r="CR61" i="8" s="1"/>
  <c r="CG57" i="8"/>
  <c r="BY57" i="8"/>
  <c r="BY58" i="8" s="1"/>
  <c r="BY59" i="8" s="1"/>
  <c r="BV57" i="8"/>
  <c r="BV58" i="8" s="1"/>
  <c r="BV59" i="8" s="1"/>
  <c r="BV60" i="8" s="1"/>
  <c r="BV61" i="8" s="1"/>
  <c r="BV152" i="8" s="1"/>
  <c r="L236" i="8" s="1"/>
  <c r="BH57" i="8"/>
  <c r="BA57" i="8"/>
  <c r="BA58" i="8" s="1"/>
  <c r="BU58" i="8" s="1"/>
  <c r="AK57" i="8"/>
  <c r="AI57" i="8"/>
  <c r="AA57" i="8"/>
  <c r="AA58" i="8" s="1"/>
  <c r="X57" i="8"/>
  <c r="X58" i="8" s="1"/>
  <c r="X59" i="8" s="1"/>
  <c r="X60" i="8" s="1"/>
  <c r="X61" i="8" s="1"/>
  <c r="X152" i="8" s="1"/>
  <c r="L188" i="8" s="1"/>
  <c r="J57" i="8"/>
  <c r="C57" i="8"/>
  <c r="DP57" i="8" s="1"/>
  <c r="DR57" i="8" s="1"/>
  <c r="DT56" i="8"/>
  <c r="DS56" i="8"/>
  <c r="DU56" i="8" s="1"/>
  <c r="DQ56" i="8"/>
  <c r="DQ57" i="8" s="1"/>
  <c r="DQ58" i="8" s="1"/>
  <c r="DQ59" i="8" s="1"/>
  <c r="DQ60" i="8" s="1"/>
  <c r="DQ61" i="8" s="1"/>
  <c r="DM56" i="8"/>
  <c r="DJ56" i="8"/>
  <c r="DH56" i="8"/>
  <c r="DF56" i="8"/>
  <c r="CY56" i="8"/>
  <c r="CX56" i="8"/>
  <c r="CX57" i="8" s="1"/>
  <c r="CX58" i="8" s="1"/>
  <c r="CX59" i="8" s="1"/>
  <c r="CU56" i="8"/>
  <c r="CU57" i="8" s="1"/>
  <c r="CU58" i="8" s="1"/>
  <c r="CU59" i="8" s="1"/>
  <c r="CU60" i="8" s="1"/>
  <c r="CU61" i="8" s="1"/>
  <c r="CS56" i="8"/>
  <c r="CR56" i="8"/>
  <c r="CQ56" i="8"/>
  <c r="CG56" i="8"/>
  <c r="BZ56" i="8"/>
  <c r="BZ57" i="8" s="1"/>
  <c r="BZ58" i="8" s="1"/>
  <c r="BY56" i="8"/>
  <c r="BV56" i="8"/>
  <c r="BW56" i="8" s="1"/>
  <c r="BU56" i="8"/>
  <c r="BS56" i="8"/>
  <c r="BS57" i="8" s="1"/>
  <c r="BS58" i="8" s="1"/>
  <c r="BS59" i="8" s="1"/>
  <c r="BS60" i="8" s="1"/>
  <c r="BS61" i="8" s="1"/>
  <c r="BS152" i="8" s="1"/>
  <c r="L233" i="8" s="1"/>
  <c r="BO56" i="8"/>
  <c r="BL56" i="8"/>
  <c r="BJ56" i="8"/>
  <c r="BH56" i="8"/>
  <c r="BA56" i="8"/>
  <c r="AZ56" i="8"/>
  <c r="AZ57" i="8" s="1"/>
  <c r="AZ58" i="8" s="1"/>
  <c r="AZ59" i="8" s="1"/>
  <c r="AW56" i="8"/>
  <c r="AW57" i="8" s="1"/>
  <c r="AW58" i="8" s="1"/>
  <c r="AW59" i="8" s="1"/>
  <c r="AW60" i="8" s="1"/>
  <c r="AW61" i="8" s="1"/>
  <c r="AW152" i="8" s="1"/>
  <c r="AT56" i="8"/>
  <c r="AT57" i="8" s="1"/>
  <c r="AT58" i="8" s="1"/>
  <c r="AT59" i="8" s="1"/>
  <c r="AT60" i="8" s="1"/>
  <c r="AT61" i="8" s="1"/>
  <c r="AT152" i="8" s="1"/>
  <c r="AS56" i="8"/>
  <c r="AI56" i="8"/>
  <c r="AB56" i="8"/>
  <c r="AA56" i="8"/>
  <c r="X56" i="8"/>
  <c r="W56" i="8"/>
  <c r="Y56" i="8" s="1"/>
  <c r="U56" i="8"/>
  <c r="U57" i="8" s="1"/>
  <c r="U58" i="8" s="1"/>
  <c r="U59" i="8" s="1"/>
  <c r="U60" i="8" s="1"/>
  <c r="U61" i="8" s="1"/>
  <c r="U152" i="8" s="1"/>
  <c r="L185" i="8" s="1"/>
  <c r="Q56" i="8"/>
  <c r="N56" i="8"/>
  <c r="L56" i="8"/>
  <c r="J56" i="8"/>
  <c r="C56" i="8"/>
  <c r="CN56" i="8" s="1"/>
  <c r="B56" i="8"/>
  <c r="B57" i="8" s="1"/>
  <c r="B58" i="8" s="1"/>
  <c r="B59" i="8" s="1"/>
  <c r="DS55" i="8"/>
  <c r="DU55" i="8" s="1"/>
  <c r="DP55" i="8"/>
  <c r="DR55" i="8" s="1"/>
  <c r="DM55" i="8"/>
  <c r="DJ55" i="8"/>
  <c r="DH55" i="8"/>
  <c r="DF55" i="8"/>
  <c r="CV55" i="8"/>
  <c r="CT55" i="8"/>
  <c r="CS55" i="8"/>
  <c r="CQ55" i="8"/>
  <c r="CN55" i="8"/>
  <c r="CK55" i="8"/>
  <c r="CI55" i="8"/>
  <c r="CG55" i="8"/>
  <c r="BU55" i="8"/>
  <c r="BW55" i="8" s="1"/>
  <c r="BR55" i="8"/>
  <c r="BT55" i="8" s="1"/>
  <c r="BO55" i="8"/>
  <c r="BL55" i="8"/>
  <c r="BJ55" i="8"/>
  <c r="BH55" i="8"/>
  <c r="AX55" i="8"/>
  <c r="AV55" i="8"/>
  <c r="AU55" i="8"/>
  <c r="AS55" i="8"/>
  <c r="AP55" i="8"/>
  <c r="AM55" i="8"/>
  <c r="AK55" i="8"/>
  <c r="AI55" i="8"/>
  <c r="W55" i="8"/>
  <c r="Y55" i="8" s="1"/>
  <c r="T55" i="8"/>
  <c r="V55" i="8" s="1"/>
  <c r="Q55" i="8"/>
  <c r="N55" i="8"/>
  <c r="L55" i="8"/>
  <c r="J55" i="8"/>
  <c r="DF54" i="8"/>
  <c r="CG54" i="8"/>
  <c r="BH54" i="8"/>
  <c r="AI54" i="8"/>
  <c r="J54" i="8"/>
  <c r="DF53" i="8"/>
  <c r="CG53" i="8"/>
  <c r="BH53" i="8"/>
  <c r="AI53" i="8"/>
  <c r="J53" i="8"/>
  <c r="DF52" i="8"/>
  <c r="CG52" i="8"/>
  <c r="BH52" i="8"/>
  <c r="AI52" i="8"/>
  <c r="J52" i="8"/>
  <c r="DF51" i="8"/>
  <c r="CG51" i="8"/>
  <c r="BH51" i="8"/>
  <c r="AI51" i="8"/>
  <c r="J51" i="8"/>
  <c r="DT50" i="8"/>
  <c r="DT51" i="8" s="1"/>
  <c r="DT52" i="8" s="1"/>
  <c r="DT53" i="8" s="1"/>
  <c r="DT54" i="8" s="1"/>
  <c r="DF50" i="8"/>
  <c r="CY50" i="8"/>
  <c r="CY51" i="8" s="1"/>
  <c r="CR50" i="8"/>
  <c r="CR51" i="8" s="1"/>
  <c r="CR52" i="8" s="1"/>
  <c r="CR53" i="8" s="1"/>
  <c r="CR54" i="8" s="1"/>
  <c r="CG50" i="8"/>
  <c r="BY50" i="8"/>
  <c r="BY51" i="8" s="1"/>
  <c r="BY52" i="8" s="1"/>
  <c r="BY53" i="8" s="1"/>
  <c r="BY54" i="8" s="1"/>
  <c r="BH50" i="8"/>
  <c r="BA50" i="8"/>
  <c r="BA51" i="8" s="1"/>
  <c r="AI50" i="8"/>
  <c r="AA50" i="8"/>
  <c r="AA51" i="8" s="1"/>
  <c r="AA52" i="8" s="1"/>
  <c r="AA53" i="8" s="1"/>
  <c r="AA54" i="8" s="1"/>
  <c r="J50" i="8"/>
  <c r="C50" i="8"/>
  <c r="C51" i="8" s="1"/>
  <c r="DT49" i="8"/>
  <c r="DS49" i="8"/>
  <c r="DU49" i="8" s="1"/>
  <c r="DQ49" i="8"/>
  <c r="DQ50" i="8" s="1"/>
  <c r="DQ51" i="8" s="1"/>
  <c r="DQ52" i="8" s="1"/>
  <c r="DQ53" i="8" s="1"/>
  <c r="DQ54" i="8" s="1"/>
  <c r="DM49" i="8"/>
  <c r="DJ49" i="8"/>
  <c r="DH49" i="8"/>
  <c r="DF49" i="8"/>
  <c r="CY49" i="8"/>
  <c r="CX49" i="8"/>
  <c r="CX50" i="8" s="1"/>
  <c r="CX51" i="8" s="1"/>
  <c r="CX52" i="8" s="1"/>
  <c r="CX53" i="8" s="1"/>
  <c r="CX54" i="8" s="1"/>
  <c r="CU49" i="8"/>
  <c r="CU50" i="8" s="1"/>
  <c r="CU51" i="8" s="1"/>
  <c r="CU52" i="8" s="1"/>
  <c r="CU53" i="8" s="1"/>
  <c r="CU54" i="8" s="1"/>
  <c r="CR49" i="8"/>
  <c r="CQ49" i="8"/>
  <c r="CS49" i="8" s="1"/>
  <c r="CG49" i="8"/>
  <c r="BZ49" i="8"/>
  <c r="BZ50" i="8" s="1"/>
  <c r="BY49" i="8"/>
  <c r="BW49" i="8"/>
  <c r="BV49" i="8"/>
  <c r="BV50" i="8" s="1"/>
  <c r="BV51" i="8" s="1"/>
  <c r="BV52" i="8" s="1"/>
  <c r="BV53" i="8" s="1"/>
  <c r="BV54" i="8" s="1"/>
  <c r="BV151" i="8" s="1"/>
  <c r="BU49" i="8"/>
  <c r="BS49" i="8"/>
  <c r="BS50" i="8" s="1"/>
  <c r="BS51" i="8" s="1"/>
  <c r="BS52" i="8" s="1"/>
  <c r="BS53" i="8" s="1"/>
  <c r="BS54" i="8" s="1"/>
  <c r="BS151" i="8" s="1"/>
  <c r="BO49" i="8"/>
  <c r="BL49" i="8"/>
  <c r="BJ49" i="8"/>
  <c r="BH49" i="8"/>
  <c r="BA49" i="8"/>
  <c r="AZ49" i="8"/>
  <c r="AZ50" i="8" s="1"/>
  <c r="AZ51" i="8" s="1"/>
  <c r="AZ52" i="8" s="1"/>
  <c r="AZ53" i="8" s="1"/>
  <c r="AZ54" i="8" s="1"/>
  <c r="AW49" i="8"/>
  <c r="AW50" i="8" s="1"/>
  <c r="AW51" i="8" s="1"/>
  <c r="AW52" i="8" s="1"/>
  <c r="AW53" i="8" s="1"/>
  <c r="AW54" i="8" s="1"/>
  <c r="AW151" i="8" s="1"/>
  <c r="K211" i="8" s="1"/>
  <c r="AT49" i="8"/>
  <c r="AT50" i="8" s="1"/>
  <c r="AT51" i="8" s="1"/>
  <c r="AT52" i="8" s="1"/>
  <c r="AT53" i="8" s="1"/>
  <c r="AT54" i="8" s="1"/>
  <c r="AT151" i="8" s="1"/>
  <c r="K208" i="8" s="1"/>
  <c r="AS49" i="8"/>
  <c r="AU49" i="8" s="1"/>
  <c r="AM49" i="8"/>
  <c r="AI49" i="8"/>
  <c r="AB49" i="8"/>
  <c r="AB50" i="8" s="1"/>
  <c r="AA49" i="8"/>
  <c r="X49" i="8"/>
  <c r="X50" i="8" s="1"/>
  <c r="X51" i="8" s="1"/>
  <c r="X52" i="8" s="1"/>
  <c r="X53" i="8" s="1"/>
  <c r="X54" i="8" s="1"/>
  <c r="X151" i="8" s="1"/>
  <c r="W49" i="8"/>
  <c r="U49" i="8"/>
  <c r="U50" i="8" s="1"/>
  <c r="U51" i="8" s="1"/>
  <c r="U52" i="8" s="1"/>
  <c r="U53" i="8" s="1"/>
  <c r="U54" i="8" s="1"/>
  <c r="U151" i="8" s="1"/>
  <c r="Q49" i="8"/>
  <c r="N49" i="8"/>
  <c r="L49" i="8"/>
  <c r="J49" i="8"/>
  <c r="C49" i="8"/>
  <c r="CN49" i="8" s="1"/>
  <c r="B49" i="8"/>
  <c r="B50" i="8" s="1"/>
  <c r="B51" i="8" s="1"/>
  <c r="B52" i="8" s="1"/>
  <c r="B53" i="8" s="1"/>
  <c r="B54" i="8" s="1"/>
  <c r="DS48" i="8"/>
  <c r="DU48" i="8" s="1"/>
  <c r="DP48" i="8"/>
  <c r="DR48" i="8" s="1"/>
  <c r="DM48" i="8"/>
  <c r="DJ48" i="8"/>
  <c r="DH48" i="8"/>
  <c r="DF48" i="8"/>
  <c r="CV48" i="8"/>
  <c r="CT48" i="8"/>
  <c r="CS48" i="8"/>
  <c r="CQ48" i="8"/>
  <c r="CN48" i="8"/>
  <c r="CK48" i="8"/>
  <c r="CI48" i="8"/>
  <c r="CG48" i="8"/>
  <c r="BU48" i="8"/>
  <c r="BW48" i="8" s="1"/>
  <c r="BR48" i="8"/>
  <c r="BT48" i="8" s="1"/>
  <c r="BO48" i="8"/>
  <c r="BL48" i="8"/>
  <c r="BJ48" i="8"/>
  <c r="BH48" i="8"/>
  <c r="AX48" i="8"/>
  <c r="AV48" i="8"/>
  <c r="AU48" i="8"/>
  <c r="AS48" i="8"/>
  <c r="AP48" i="8"/>
  <c r="AM48" i="8"/>
  <c r="AK48" i="8"/>
  <c r="AI48" i="8"/>
  <c r="W48" i="8"/>
  <c r="Y48" i="8" s="1"/>
  <c r="T48" i="8"/>
  <c r="V48" i="8" s="1"/>
  <c r="Q48" i="8"/>
  <c r="N48" i="8"/>
  <c r="L48" i="8"/>
  <c r="J48" i="8"/>
  <c r="DF47" i="8"/>
  <c r="CG47" i="8"/>
  <c r="BH47" i="8"/>
  <c r="AI47" i="8"/>
  <c r="J47" i="8"/>
  <c r="DF46" i="8"/>
  <c r="CG46" i="8"/>
  <c r="BH46" i="8"/>
  <c r="AI46" i="8"/>
  <c r="J46" i="8"/>
  <c r="DF45" i="8"/>
  <c r="CG45" i="8"/>
  <c r="BH45" i="8"/>
  <c r="AZ45" i="8"/>
  <c r="AZ46" i="8" s="1"/>
  <c r="AZ47" i="8" s="1"/>
  <c r="AI45" i="8"/>
  <c r="J45" i="8"/>
  <c r="B45" i="8"/>
  <c r="B46" i="8" s="1"/>
  <c r="B47" i="8" s="1"/>
  <c r="DF44" i="8"/>
  <c r="CG44" i="8"/>
  <c r="BH44" i="8"/>
  <c r="AZ44" i="8"/>
  <c r="AI44" i="8"/>
  <c r="AA44" i="8"/>
  <c r="AA45" i="8" s="1"/>
  <c r="AA46" i="8" s="1"/>
  <c r="AA47" i="8" s="1"/>
  <c r="J44" i="8"/>
  <c r="B44" i="8"/>
  <c r="DF43" i="8"/>
  <c r="CG43" i="8"/>
  <c r="BH43" i="8"/>
  <c r="AT43" i="8"/>
  <c r="AT44" i="8" s="1"/>
  <c r="AT45" i="8" s="1"/>
  <c r="AT46" i="8" s="1"/>
  <c r="AT47" i="8" s="1"/>
  <c r="AT150" i="8" s="1"/>
  <c r="AI43" i="8"/>
  <c r="J43" i="8"/>
  <c r="DT42" i="8"/>
  <c r="DT43" i="8" s="1"/>
  <c r="DT44" i="8" s="1"/>
  <c r="DT45" i="8" s="1"/>
  <c r="DT46" i="8" s="1"/>
  <c r="DT47" i="8" s="1"/>
  <c r="DS42" i="8"/>
  <c r="DU42" i="8" s="1"/>
  <c r="DQ42" i="8"/>
  <c r="DQ43" i="8" s="1"/>
  <c r="DQ44" i="8" s="1"/>
  <c r="DQ45" i="8" s="1"/>
  <c r="DQ46" i="8" s="1"/>
  <c r="DQ47" i="8" s="1"/>
  <c r="DM42" i="8"/>
  <c r="DJ42" i="8"/>
  <c r="DH42" i="8"/>
  <c r="DF42" i="8"/>
  <c r="CY42" i="8"/>
  <c r="CY43" i="8" s="1"/>
  <c r="CX42" i="8"/>
  <c r="CX43" i="8" s="1"/>
  <c r="CX44" i="8" s="1"/>
  <c r="CX45" i="8" s="1"/>
  <c r="CX46" i="8" s="1"/>
  <c r="CX47" i="8" s="1"/>
  <c r="CU42" i="8"/>
  <c r="CU43" i="8" s="1"/>
  <c r="CU44" i="8" s="1"/>
  <c r="CU45" i="8" s="1"/>
  <c r="CU46" i="8" s="1"/>
  <c r="CU47" i="8" s="1"/>
  <c r="CR42" i="8"/>
  <c r="CR43" i="8" s="1"/>
  <c r="CR44" i="8" s="1"/>
  <c r="CR45" i="8" s="1"/>
  <c r="CR46" i="8" s="1"/>
  <c r="CR47" i="8" s="1"/>
  <c r="CQ42" i="8"/>
  <c r="CS42" i="8" s="1"/>
  <c r="CG42" i="8"/>
  <c r="BZ42" i="8"/>
  <c r="CT42" i="8" s="1"/>
  <c r="CV42" i="8" s="1"/>
  <c r="BY42" i="8"/>
  <c r="BY43" i="8" s="1"/>
  <c r="BY44" i="8" s="1"/>
  <c r="BY45" i="8" s="1"/>
  <c r="BY46" i="8" s="1"/>
  <c r="BY47" i="8" s="1"/>
  <c r="BV42" i="8"/>
  <c r="BV43" i="8" s="1"/>
  <c r="BV44" i="8" s="1"/>
  <c r="BV45" i="8" s="1"/>
  <c r="BV46" i="8" s="1"/>
  <c r="BV47" i="8" s="1"/>
  <c r="BV150" i="8" s="1"/>
  <c r="J236" i="8" s="1"/>
  <c r="BU42" i="8"/>
  <c r="BS42" i="8"/>
  <c r="BS43" i="8" s="1"/>
  <c r="BS44" i="8" s="1"/>
  <c r="BS45" i="8" s="1"/>
  <c r="BS46" i="8" s="1"/>
  <c r="BS47" i="8" s="1"/>
  <c r="BS150" i="8" s="1"/>
  <c r="J233" i="8" s="1"/>
  <c r="BO42" i="8"/>
  <c r="BL42" i="8"/>
  <c r="BJ42" i="8"/>
  <c r="BH42" i="8"/>
  <c r="BA42" i="8"/>
  <c r="BA43" i="8" s="1"/>
  <c r="AZ42" i="8"/>
  <c r="AW42" i="8"/>
  <c r="AW43" i="8" s="1"/>
  <c r="AW44" i="8" s="1"/>
  <c r="AW45" i="8" s="1"/>
  <c r="AW46" i="8" s="1"/>
  <c r="AW47" i="8" s="1"/>
  <c r="AW150" i="8" s="1"/>
  <c r="AU42" i="8"/>
  <c r="AT42" i="8"/>
  <c r="AS42" i="8"/>
  <c r="AI42" i="8"/>
  <c r="AB42" i="8"/>
  <c r="AB43" i="8" s="1"/>
  <c r="AA42" i="8"/>
  <c r="X42" i="8"/>
  <c r="X43" i="8" s="1"/>
  <c r="X44" i="8" s="1"/>
  <c r="X45" i="8" s="1"/>
  <c r="X46" i="8" s="1"/>
  <c r="X47" i="8" s="1"/>
  <c r="X150" i="8" s="1"/>
  <c r="J188" i="8" s="1"/>
  <c r="W42" i="8"/>
  <c r="Y42" i="8" s="1"/>
  <c r="U42" i="8"/>
  <c r="U43" i="8" s="1"/>
  <c r="U44" i="8" s="1"/>
  <c r="U45" i="8" s="1"/>
  <c r="U46" i="8" s="1"/>
  <c r="U47" i="8" s="1"/>
  <c r="U150" i="8" s="1"/>
  <c r="J185" i="8" s="1"/>
  <c r="Q42" i="8"/>
  <c r="N42" i="8"/>
  <c r="L42" i="8"/>
  <c r="J42" i="8"/>
  <c r="C42" i="8"/>
  <c r="DP42" i="8" s="1"/>
  <c r="DR42" i="8" s="1"/>
  <c r="B42" i="8"/>
  <c r="DS41" i="8"/>
  <c r="DU41" i="8" s="1"/>
  <c r="DP41" i="8"/>
  <c r="DR41" i="8" s="1"/>
  <c r="DM41" i="8"/>
  <c r="DJ41" i="8"/>
  <c r="DH41" i="8"/>
  <c r="DF41" i="8"/>
  <c r="CT41" i="8"/>
  <c r="CV41" i="8" s="1"/>
  <c r="CS41" i="8"/>
  <c r="CQ41" i="8"/>
  <c r="CN41" i="8"/>
  <c r="CK41" i="8"/>
  <c r="CI41" i="8"/>
  <c r="CG41" i="8"/>
  <c r="BU41" i="8"/>
  <c r="BW41" i="8" s="1"/>
  <c r="BR41" i="8"/>
  <c r="BT41" i="8" s="1"/>
  <c r="BO41" i="8"/>
  <c r="BL41" i="8"/>
  <c r="BJ41" i="8"/>
  <c r="BH41" i="8"/>
  <c r="AX41" i="8"/>
  <c r="AV41" i="8"/>
  <c r="AS41" i="8"/>
  <c r="AU41" i="8" s="1"/>
  <c r="AP41" i="8"/>
  <c r="AM41" i="8"/>
  <c r="AK41" i="8"/>
  <c r="AI41" i="8"/>
  <c r="W41" i="8"/>
  <c r="Y41" i="8" s="1"/>
  <c r="T41" i="8"/>
  <c r="V41" i="8" s="1"/>
  <c r="Q41" i="8"/>
  <c r="N41" i="8"/>
  <c r="L41" i="8"/>
  <c r="J41" i="8"/>
  <c r="DF40" i="8"/>
  <c r="CG40" i="8"/>
  <c r="BH40" i="8"/>
  <c r="AI40" i="8"/>
  <c r="J40" i="8"/>
  <c r="DF39" i="8"/>
  <c r="CG39" i="8"/>
  <c r="BY39" i="8"/>
  <c r="BY40" i="8" s="1"/>
  <c r="BH39" i="8"/>
  <c r="AI39" i="8"/>
  <c r="J39" i="8"/>
  <c r="DF38" i="8"/>
  <c r="CX38" i="8"/>
  <c r="CX39" i="8" s="1"/>
  <c r="CX40" i="8" s="1"/>
  <c r="CG38" i="8"/>
  <c r="BY38" i="8"/>
  <c r="BH38" i="8"/>
  <c r="AI38" i="8"/>
  <c r="J38" i="8"/>
  <c r="DT37" i="8"/>
  <c r="DT38" i="8" s="1"/>
  <c r="DT39" i="8" s="1"/>
  <c r="DT40" i="8" s="1"/>
  <c r="DF37" i="8"/>
  <c r="CY37" i="8"/>
  <c r="CY38" i="8" s="1"/>
  <c r="CG37" i="8"/>
  <c r="BH37" i="8"/>
  <c r="BA37" i="8"/>
  <c r="AI37" i="8"/>
  <c r="AA37" i="8"/>
  <c r="AA38" i="8" s="1"/>
  <c r="AA39" i="8" s="1"/>
  <c r="AA40" i="8" s="1"/>
  <c r="J37" i="8"/>
  <c r="DT36" i="8"/>
  <c r="DF36" i="8"/>
  <c r="CY36" i="8"/>
  <c r="DS36" i="8" s="1"/>
  <c r="DU36" i="8" s="1"/>
  <c r="CU36" i="8"/>
  <c r="CU37" i="8" s="1"/>
  <c r="CU38" i="8" s="1"/>
  <c r="CU39" i="8" s="1"/>
  <c r="CU40" i="8" s="1"/>
  <c r="CG36" i="8"/>
  <c r="BZ36" i="8"/>
  <c r="BV36" i="8"/>
  <c r="BV37" i="8" s="1"/>
  <c r="BV38" i="8" s="1"/>
  <c r="BV39" i="8" s="1"/>
  <c r="BV40" i="8" s="1"/>
  <c r="BV149" i="8" s="1"/>
  <c r="BH36" i="8"/>
  <c r="BA36" i="8"/>
  <c r="BU36" i="8" s="1"/>
  <c r="AT36" i="8"/>
  <c r="AT37" i="8" s="1"/>
  <c r="AT38" i="8" s="1"/>
  <c r="AT39" i="8" s="1"/>
  <c r="AT40" i="8" s="1"/>
  <c r="AT149" i="8" s="1"/>
  <c r="I208" i="8" s="1"/>
  <c r="AP36" i="8"/>
  <c r="AK36" i="8"/>
  <c r="AI36" i="8"/>
  <c r="AA36" i="8"/>
  <c r="J36" i="8"/>
  <c r="C36" i="8"/>
  <c r="DT35" i="8"/>
  <c r="DS35" i="8"/>
  <c r="DU35" i="8" s="1"/>
  <c r="DQ35" i="8"/>
  <c r="DQ36" i="8" s="1"/>
  <c r="DQ37" i="8" s="1"/>
  <c r="DQ38" i="8" s="1"/>
  <c r="DQ39" i="8" s="1"/>
  <c r="DQ40" i="8" s="1"/>
  <c r="DM35" i="8"/>
  <c r="DJ35" i="8"/>
  <c r="DH35" i="8"/>
  <c r="DF35" i="8"/>
  <c r="CY35" i="8"/>
  <c r="CU35" i="8"/>
  <c r="CT35" i="8"/>
  <c r="CV35" i="8" s="1"/>
  <c r="CR35" i="8"/>
  <c r="CR36" i="8" s="1"/>
  <c r="CR37" i="8" s="1"/>
  <c r="CR38" i="8" s="1"/>
  <c r="CR39" i="8" s="1"/>
  <c r="CR40" i="8" s="1"/>
  <c r="CN35" i="8"/>
  <c r="CK35" i="8"/>
  <c r="CI35" i="8"/>
  <c r="CG35" i="8"/>
  <c r="BZ35" i="8"/>
  <c r="BV35" i="8"/>
  <c r="BU35" i="8"/>
  <c r="BW35" i="8" s="1"/>
  <c r="BS35" i="8"/>
  <c r="BS36" i="8" s="1"/>
  <c r="BS37" i="8" s="1"/>
  <c r="BS38" i="8" s="1"/>
  <c r="BS39" i="8" s="1"/>
  <c r="BS40" i="8" s="1"/>
  <c r="BS149" i="8" s="1"/>
  <c r="BO35" i="8"/>
  <c r="BL35" i="8"/>
  <c r="BJ35" i="8"/>
  <c r="BH35" i="8"/>
  <c r="BA35" i="8"/>
  <c r="AZ35" i="8"/>
  <c r="AZ36" i="8" s="1"/>
  <c r="AZ37" i="8" s="1"/>
  <c r="AZ38" i="8" s="1"/>
  <c r="AZ39" i="8" s="1"/>
  <c r="AZ40" i="8" s="1"/>
  <c r="AW35" i="8"/>
  <c r="AW36" i="8" s="1"/>
  <c r="AW37" i="8" s="1"/>
  <c r="AW38" i="8" s="1"/>
  <c r="AW39" i="8" s="1"/>
  <c r="AW40" i="8" s="1"/>
  <c r="AW149" i="8" s="1"/>
  <c r="I211" i="8" s="1"/>
  <c r="AT35" i="8"/>
  <c r="AU35" i="8" s="1"/>
  <c r="AS35" i="8"/>
  <c r="AI35" i="8"/>
  <c r="AB35" i="8"/>
  <c r="AB36" i="8" s="1"/>
  <c r="AA35" i="8"/>
  <c r="X35" i="8"/>
  <c r="X36" i="8" s="1"/>
  <c r="X37" i="8" s="1"/>
  <c r="X38" i="8" s="1"/>
  <c r="X39" i="8" s="1"/>
  <c r="X40" i="8" s="1"/>
  <c r="X149" i="8" s="1"/>
  <c r="W35" i="8"/>
  <c r="Y35" i="8" s="1"/>
  <c r="U35" i="8"/>
  <c r="U36" i="8" s="1"/>
  <c r="U37" i="8" s="1"/>
  <c r="U38" i="8" s="1"/>
  <c r="U39" i="8" s="1"/>
  <c r="U40" i="8" s="1"/>
  <c r="U149" i="8" s="1"/>
  <c r="Q35" i="8"/>
  <c r="N35" i="8"/>
  <c r="L35" i="8"/>
  <c r="J35" i="8"/>
  <c r="C35" i="8"/>
  <c r="CQ35" i="8" s="1"/>
  <c r="CS35" i="8" s="1"/>
  <c r="B35" i="8"/>
  <c r="B36" i="8" s="1"/>
  <c r="B37" i="8" s="1"/>
  <c r="B38" i="8" s="1"/>
  <c r="B39" i="8" s="1"/>
  <c r="B40" i="8" s="1"/>
  <c r="DS34" i="8"/>
  <c r="DU34" i="8" s="1"/>
  <c r="DP34" i="8"/>
  <c r="DR34" i="8" s="1"/>
  <c r="DM34" i="8"/>
  <c r="DJ34" i="8"/>
  <c r="DH34" i="8"/>
  <c r="DF34" i="8"/>
  <c r="CT34" i="8"/>
  <c r="CV34" i="8" s="1"/>
  <c r="CS34" i="8"/>
  <c r="CQ34" i="8"/>
  <c r="CN34" i="8"/>
  <c r="CK34" i="8"/>
  <c r="CI34" i="8"/>
  <c r="CG34" i="8"/>
  <c r="BU34" i="8"/>
  <c r="BW34" i="8" s="1"/>
  <c r="BR34" i="8"/>
  <c r="BT34" i="8" s="1"/>
  <c r="BO34" i="8"/>
  <c r="BL34" i="8"/>
  <c r="BJ34" i="8"/>
  <c r="BH34" i="8"/>
  <c r="AX34" i="8"/>
  <c r="AV34" i="8"/>
  <c r="AS34" i="8"/>
  <c r="AU34" i="8" s="1"/>
  <c r="AP34" i="8"/>
  <c r="AM34" i="8"/>
  <c r="AK34" i="8"/>
  <c r="AI34" i="8"/>
  <c r="W34" i="8"/>
  <c r="Y34" i="8" s="1"/>
  <c r="T34" i="8"/>
  <c r="V34" i="8" s="1"/>
  <c r="Q34" i="8"/>
  <c r="N34" i="8"/>
  <c r="L34" i="8"/>
  <c r="J34" i="8"/>
  <c r="DF33" i="8"/>
  <c r="CG33" i="8"/>
  <c r="BH33" i="8"/>
  <c r="BC148" i="8"/>
  <c r="H217" i="8" s="1"/>
  <c r="AI33" i="8"/>
  <c r="J33" i="8"/>
  <c r="DF32" i="8"/>
  <c r="CG32" i="8"/>
  <c r="BH32" i="8"/>
  <c r="AI32" i="8"/>
  <c r="J32" i="8"/>
  <c r="DF31" i="8"/>
  <c r="CG31" i="8"/>
  <c r="BY31" i="8"/>
  <c r="BH31" i="8"/>
  <c r="AI31" i="8"/>
  <c r="J31" i="8"/>
  <c r="DF30" i="8"/>
  <c r="CG30" i="8"/>
  <c r="BH30" i="8"/>
  <c r="AI30" i="8"/>
  <c r="J30" i="8"/>
  <c r="DT29" i="8"/>
  <c r="DT30" i="8" s="1"/>
  <c r="DT31" i="8" s="1"/>
  <c r="DT32" i="8" s="1"/>
  <c r="DT33" i="8" s="1"/>
  <c r="DF29" i="8"/>
  <c r="CY29" i="8"/>
  <c r="CY30" i="8" s="1"/>
  <c r="DS30" i="8" s="1"/>
  <c r="DU30" i="8" s="1"/>
  <c r="CR29" i="8"/>
  <c r="CR30" i="8" s="1"/>
  <c r="CR31" i="8" s="1"/>
  <c r="CR32" i="8" s="1"/>
  <c r="CR33" i="8" s="1"/>
  <c r="CN29" i="8"/>
  <c r="CI29" i="8"/>
  <c r="CG29" i="8"/>
  <c r="BY29" i="8"/>
  <c r="BY30" i="8" s="1"/>
  <c r="BR29" i="8"/>
  <c r="BH29" i="8"/>
  <c r="BA29" i="8"/>
  <c r="AM29" i="8"/>
  <c r="AI29" i="8"/>
  <c r="X29" i="8"/>
  <c r="X30" i="8" s="1"/>
  <c r="X31" i="8" s="1"/>
  <c r="X32" i="8" s="1"/>
  <c r="X33" i="8" s="1"/>
  <c r="X148" i="8" s="1"/>
  <c r="H188" i="8" s="1"/>
  <c r="J29" i="8"/>
  <c r="C29" i="8"/>
  <c r="DM29" i="8" s="1"/>
  <c r="DU28" i="8"/>
  <c r="DT28" i="8"/>
  <c r="DS28" i="8"/>
  <c r="DQ28" i="8"/>
  <c r="DQ29" i="8" s="1"/>
  <c r="DQ30" i="8" s="1"/>
  <c r="DQ31" i="8" s="1"/>
  <c r="DQ32" i="8" s="1"/>
  <c r="DQ33" i="8" s="1"/>
  <c r="DM28" i="8"/>
  <c r="DJ28" i="8"/>
  <c r="DH28" i="8"/>
  <c r="DF28" i="8"/>
  <c r="CY28" i="8"/>
  <c r="CX28" i="8"/>
  <c r="CX29" i="8" s="1"/>
  <c r="CX30" i="8" s="1"/>
  <c r="CX31" i="8" s="1"/>
  <c r="CU28" i="8"/>
  <c r="CU29" i="8" s="1"/>
  <c r="CU30" i="8" s="1"/>
  <c r="CU31" i="8" s="1"/>
  <c r="CU32" i="8" s="1"/>
  <c r="CU33" i="8" s="1"/>
  <c r="CR28" i="8"/>
  <c r="CQ28" i="8"/>
  <c r="CS28" i="8" s="1"/>
  <c r="CG28" i="8"/>
  <c r="BZ28" i="8"/>
  <c r="BY28" i="8"/>
  <c r="BV28" i="8"/>
  <c r="BV29" i="8" s="1"/>
  <c r="BV30" i="8" s="1"/>
  <c r="BV31" i="8" s="1"/>
  <c r="BV32" i="8" s="1"/>
  <c r="BV33" i="8" s="1"/>
  <c r="BV148" i="8" s="1"/>
  <c r="H236" i="8" s="1"/>
  <c r="BU28" i="8"/>
  <c r="BS28" i="8"/>
  <c r="BS29" i="8" s="1"/>
  <c r="BS30" i="8" s="1"/>
  <c r="BS31" i="8" s="1"/>
  <c r="BS32" i="8" s="1"/>
  <c r="BS33" i="8" s="1"/>
  <c r="BS148" i="8" s="1"/>
  <c r="H233" i="8" s="1"/>
  <c r="BO28" i="8"/>
  <c r="BL28" i="8"/>
  <c r="BJ28" i="8"/>
  <c r="BH28" i="8"/>
  <c r="BA28" i="8"/>
  <c r="AW28" i="8"/>
  <c r="AW29" i="8" s="1"/>
  <c r="AW30" i="8" s="1"/>
  <c r="AW31" i="8" s="1"/>
  <c r="AW32" i="8" s="1"/>
  <c r="AW33" i="8" s="1"/>
  <c r="AW148" i="8" s="1"/>
  <c r="AT28" i="8"/>
  <c r="AU28" i="8" s="1"/>
  <c r="AS28" i="8"/>
  <c r="AI28" i="8"/>
  <c r="AB28" i="8"/>
  <c r="AB29" i="8" s="1"/>
  <c r="AB30" i="8" s="1"/>
  <c r="Y28" i="8"/>
  <c r="X28" i="8"/>
  <c r="W28" i="8"/>
  <c r="U28" i="8"/>
  <c r="U29" i="8" s="1"/>
  <c r="U30" i="8" s="1"/>
  <c r="U31" i="8" s="1"/>
  <c r="U32" i="8" s="1"/>
  <c r="U33" i="8" s="1"/>
  <c r="U148" i="8" s="1"/>
  <c r="H185" i="8" s="1"/>
  <c r="Q28" i="8"/>
  <c r="N28" i="8"/>
  <c r="L28" i="8"/>
  <c r="J28" i="8"/>
  <c r="C28" i="8"/>
  <c r="DP28" i="8" s="1"/>
  <c r="DR28" i="8" s="1"/>
  <c r="DS27" i="8"/>
  <c r="DU27" i="8" s="1"/>
  <c r="DP27" i="8"/>
  <c r="DR27" i="8" s="1"/>
  <c r="DM27" i="8"/>
  <c r="DJ27" i="8"/>
  <c r="DH27" i="8"/>
  <c r="DF27" i="8"/>
  <c r="CV27" i="8"/>
  <c r="CT27" i="8"/>
  <c r="CS27" i="8"/>
  <c r="CQ27" i="8"/>
  <c r="CN27" i="8"/>
  <c r="CK27" i="8"/>
  <c r="CI27" i="8"/>
  <c r="CG27" i="8"/>
  <c r="BU27" i="8"/>
  <c r="BW27" i="8" s="1"/>
  <c r="BR27" i="8"/>
  <c r="BT27" i="8" s="1"/>
  <c r="BO27" i="8"/>
  <c r="BL27" i="8"/>
  <c r="BJ27" i="8"/>
  <c r="BH27" i="8"/>
  <c r="AV27" i="8"/>
  <c r="AX27" i="8" s="1"/>
  <c r="AS27" i="8"/>
  <c r="AU27" i="8" s="1"/>
  <c r="AP27" i="8"/>
  <c r="AM27" i="8"/>
  <c r="AK27" i="8"/>
  <c r="AI27" i="8"/>
  <c r="W27" i="8"/>
  <c r="Y27" i="8" s="1"/>
  <c r="T27" i="8"/>
  <c r="V27" i="8" s="1"/>
  <c r="Q27" i="8"/>
  <c r="N27" i="8"/>
  <c r="L27" i="8"/>
  <c r="J27" i="8"/>
  <c r="DF26" i="8"/>
  <c r="CG26" i="8"/>
  <c r="BH26" i="8"/>
  <c r="AI26" i="8"/>
  <c r="J26" i="8"/>
  <c r="DQ25" i="8"/>
  <c r="DQ26" i="8" s="1"/>
  <c r="DF25" i="8"/>
  <c r="CG25" i="8"/>
  <c r="BH25" i="8"/>
  <c r="AI25" i="8"/>
  <c r="J25" i="8"/>
  <c r="DF24" i="8"/>
  <c r="CG24" i="8"/>
  <c r="BY24" i="8"/>
  <c r="BY25" i="8" s="1"/>
  <c r="BY26" i="8" s="1"/>
  <c r="BH24" i="8"/>
  <c r="AI24" i="8"/>
  <c r="J24" i="8"/>
  <c r="DF23" i="8"/>
  <c r="CG23" i="8"/>
  <c r="BH23" i="8"/>
  <c r="AI23" i="8"/>
  <c r="J23" i="8"/>
  <c r="DT22" i="8"/>
  <c r="DT23" i="8" s="1"/>
  <c r="DT24" i="8" s="1"/>
  <c r="DT25" i="8" s="1"/>
  <c r="DT26" i="8" s="1"/>
  <c r="DF22" i="8"/>
  <c r="CY22" i="8"/>
  <c r="CY23" i="8" s="1"/>
  <c r="CY24" i="8" s="1"/>
  <c r="CR22" i="8"/>
  <c r="CR23" i="8" s="1"/>
  <c r="CR24" i="8" s="1"/>
  <c r="CR25" i="8" s="1"/>
  <c r="CR26" i="8" s="1"/>
  <c r="CN22" i="8"/>
  <c r="CI22" i="8"/>
  <c r="CG22" i="8"/>
  <c r="BY22" i="8"/>
  <c r="BY23" i="8" s="1"/>
  <c r="BV22" i="8"/>
  <c r="BV23" i="8" s="1"/>
  <c r="BV24" i="8" s="1"/>
  <c r="BV25" i="8" s="1"/>
  <c r="BV26" i="8" s="1"/>
  <c r="BV147" i="8" s="1"/>
  <c r="BR22" i="8"/>
  <c r="BH22" i="8"/>
  <c r="BA22" i="8"/>
  <c r="AM22" i="8"/>
  <c r="AI22" i="8"/>
  <c r="AA22" i="8"/>
  <c r="AA23" i="8" s="1"/>
  <c r="AA24" i="8" s="1"/>
  <c r="AA25" i="8" s="1"/>
  <c r="AA26" i="8" s="1"/>
  <c r="AA27" i="8" s="1"/>
  <c r="AA28" i="8" s="1"/>
  <c r="AA29" i="8" s="1"/>
  <c r="AA30" i="8" s="1"/>
  <c r="AA31" i="8" s="1"/>
  <c r="J22" i="8"/>
  <c r="C22" i="8"/>
  <c r="DM22" i="8" s="1"/>
  <c r="DU21" i="8"/>
  <c r="DT21" i="8"/>
  <c r="DS21" i="8"/>
  <c r="DQ21" i="8"/>
  <c r="DQ22" i="8" s="1"/>
  <c r="DQ23" i="8" s="1"/>
  <c r="DQ24" i="8" s="1"/>
  <c r="DM21" i="8"/>
  <c r="DJ21" i="8"/>
  <c r="DH21" i="8"/>
  <c r="DF21" i="8"/>
  <c r="CY21" i="8"/>
  <c r="CX21" i="8"/>
  <c r="CX22" i="8" s="1"/>
  <c r="CX23" i="8" s="1"/>
  <c r="CX24" i="8" s="1"/>
  <c r="CX25" i="8" s="1"/>
  <c r="CX26" i="8" s="1"/>
  <c r="CU21" i="8"/>
  <c r="CU22" i="8" s="1"/>
  <c r="CU23" i="8" s="1"/>
  <c r="CU24" i="8" s="1"/>
  <c r="CU25" i="8" s="1"/>
  <c r="CU26" i="8" s="1"/>
  <c r="CR21" i="8"/>
  <c r="CQ21" i="8"/>
  <c r="CS21" i="8" s="1"/>
  <c r="CG21" i="8"/>
  <c r="BZ21" i="8"/>
  <c r="BY21" i="8"/>
  <c r="BV21" i="8"/>
  <c r="BU21" i="8"/>
  <c r="BW21" i="8" s="1"/>
  <c r="BS21" i="8"/>
  <c r="BS22" i="8" s="1"/>
  <c r="BS23" i="8" s="1"/>
  <c r="BS24" i="8" s="1"/>
  <c r="BS25" i="8" s="1"/>
  <c r="BS26" i="8" s="1"/>
  <c r="BS147" i="8" s="1"/>
  <c r="G233" i="8" s="1"/>
  <c r="BO21" i="8"/>
  <c r="BL21" i="8"/>
  <c r="BJ21" i="8"/>
  <c r="BH21" i="8"/>
  <c r="BA21" i="8"/>
  <c r="AZ21" i="8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W21" i="8"/>
  <c r="AW22" i="8" s="1"/>
  <c r="AW23" i="8" s="1"/>
  <c r="AW24" i="8" s="1"/>
  <c r="AW25" i="8" s="1"/>
  <c r="AW26" i="8" s="1"/>
  <c r="AW147" i="8" s="1"/>
  <c r="AT21" i="8"/>
  <c r="AT22" i="8" s="1"/>
  <c r="AT23" i="8" s="1"/>
  <c r="AT24" i="8" s="1"/>
  <c r="AT25" i="8" s="1"/>
  <c r="AT26" i="8" s="1"/>
  <c r="AT147" i="8" s="1"/>
  <c r="AS21" i="8"/>
  <c r="AI21" i="8"/>
  <c r="AB21" i="8"/>
  <c r="AB22" i="8" s="1"/>
  <c r="AV22" i="8" s="1"/>
  <c r="AA21" i="8"/>
  <c r="Y21" i="8"/>
  <c r="X21" i="8"/>
  <c r="X22" i="8" s="1"/>
  <c r="X23" i="8" s="1"/>
  <c r="X24" i="8" s="1"/>
  <c r="X25" i="8" s="1"/>
  <c r="X26" i="8" s="1"/>
  <c r="X147" i="8" s="1"/>
  <c r="W21" i="8"/>
  <c r="U21" i="8"/>
  <c r="U22" i="8" s="1"/>
  <c r="U23" i="8" s="1"/>
  <c r="U24" i="8" s="1"/>
  <c r="U25" i="8" s="1"/>
  <c r="U26" i="8" s="1"/>
  <c r="U147" i="8" s="1"/>
  <c r="G185" i="8" s="1"/>
  <c r="Q21" i="8"/>
  <c r="N21" i="8"/>
  <c r="L21" i="8"/>
  <c r="J21" i="8"/>
  <c r="C21" i="8"/>
  <c r="DP21" i="8" s="1"/>
  <c r="B21" i="8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DS20" i="8"/>
  <c r="DU20" i="8" s="1"/>
  <c r="DP20" i="8"/>
  <c r="DR20" i="8" s="1"/>
  <c r="DM20" i="8"/>
  <c r="DJ20" i="8"/>
  <c r="DH20" i="8"/>
  <c r="DF20" i="8"/>
  <c r="CV20" i="8"/>
  <c r="CT20" i="8"/>
  <c r="CS20" i="8"/>
  <c r="CQ20" i="8"/>
  <c r="CN20" i="8"/>
  <c r="CK20" i="8"/>
  <c r="CI20" i="8"/>
  <c r="CG20" i="8"/>
  <c r="BU20" i="8"/>
  <c r="BW20" i="8" s="1"/>
  <c r="BR20" i="8"/>
  <c r="BT20" i="8" s="1"/>
  <c r="BO20" i="8"/>
  <c r="BL20" i="8"/>
  <c r="BJ20" i="8"/>
  <c r="BH20" i="8"/>
  <c r="AX20" i="8"/>
  <c r="AV20" i="8"/>
  <c r="AU20" i="8"/>
  <c r="AS20" i="8"/>
  <c r="AP20" i="8"/>
  <c r="AM20" i="8"/>
  <c r="AK20" i="8"/>
  <c r="AI20" i="8"/>
  <c r="W20" i="8"/>
  <c r="Y20" i="8" s="1"/>
  <c r="T20" i="8"/>
  <c r="V20" i="8" s="1"/>
  <c r="Q20" i="8"/>
  <c r="N20" i="8"/>
  <c r="L20" i="8"/>
  <c r="J20" i="8"/>
  <c r="DF19" i="8"/>
  <c r="CG19" i="8"/>
  <c r="BH19" i="8"/>
  <c r="AI19" i="8"/>
  <c r="AD146" i="8"/>
  <c r="F192" i="8" s="1"/>
  <c r="J19" i="8"/>
  <c r="DF18" i="8"/>
  <c r="CG18" i="8"/>
  <c r="BS18" i="8"/>
  <c r="BS19" i="8" s="1"/>
  <c r="BS146" i="8" s="1"/>
  <c r="BH18" i="8"/>
  <c r="AI18" i="8"/>
  <c r="J18" i="8"/>
  <c r="DF17" i="8"/>
  <c r="CG17" i="8"/>
  <c r="BH17" i="8"/>
  <c r="BA17" i="8"/>
  <c r="AI17" i="8"/>
  <c r="J17" i="8"/>
  <c r="DQ16" i="8"/>
  <c r="DQ17" i="8" s="1"/>
  <c r="DQ18" i="8" s="1"/>
  <c r="DQ19" i="8" s="1"/>
  <c r="DF16" i="8"/>
  <c r="CG16" i="8"/>
  <c r="BZ16" i="8"/>
  <c r="BH16" i="8"/>
  <c r="AI16" i="8"/>
  <c r="J16" i="8"/>
  <c r="DT15" i="8"/>
  <c r="DT16" i="8" s="1"/>
  <c r="DT17" i="8" s="1"/>
  <c r="DT18" i="8" s="1"/>
  <c r="DT19" i="8" s="1"/>
  <c r="DP15" i="8"/>
  <c r="DR15" i="8" s="1"/>
  <c r="DF15" i="8"/>
  <c r="CY15" i="8"/>
  <c r="CR15" i="8"/>
  <c r="CR16" i="8" s="1"/>
  <c r="CR17" i="8" s="1"/>
  <c r="CR18" i="8" s="1"/>
  <c r="CR19" i="8" s="1"/>
  <c r="CK15" i="8"/>
  <c r="CG15" i="8"/>
  <c r="BY15" i="8"/>
  <c r="BY16" i="8" s="1"/>
  <c r="BY17" i="8" s="1"/>
  <c r="BY18" i="8" s="1"/>
  <c r="BY19" i="8" s="1"/>
  <c r="BV15" i="8"/>
  <c r="BV16" i="8" s="1"/>
  <c r="BV17" i="8" s="1"/>
  <c r="BV18" i="8" s="1"/>
  <c r="BV19" i="8" s="1"/>
  <c r="BV146" i="8" s="1"/>
  <c r="BH15" i="8"/>
  <c r="BA15" i="8"/>
  <c r="BA16" i="8" s="1"/>
  <c r="BU16" i="8" s="1"/>
  <c r="BW16" i="8" s="1"/>
  <c r="AT15" i="8"/>
  <c r="AT16" i="8" s="1"/>
  <c r="AT17" i="8" s="1"/>
  <c r="AT18" i="8" s="1"/>
  <c r="AT19" i="8" s="1"/>
  <c r="AT146" i="8" s="1"/>
  <c r="F208" i="8" s="1"/>
  <c r="AP15" i="8"/>
  <c r="AI15" i="8"/>
  <c r="AA15" i="8"/>
  <c r="AA16" i="8" s="1"/>
  <c r="AA17" i="8" s="1"/>
  <c r="AA18" i="8" s="1"/>
  <c r="AA19" i="8" s="1"/>
  <c r="J15" i="8"/>
  <c r="C15" i="8"/>
  <c r="T15" i="8" s="1"/>
  <c r="V15" i="8" s="1"/>
  <c r="DT14" i="8"/>
  <c r="DS14" i="8"/>
  <c r="DU14" i="8" s="1"/>
  <c r="DQ14" i="8"/>
  <c r="DQ15" i="8" s="1"/>
  <c r="DM14" i="8"/>
  <c r="DJ14" i="8"/>
  <c r="DH14" i="8"/>
  <c r="DF14" i="8"/>
  <c r="CY14" i="8"/>
  <c r="CX14" i="8"/>
  <c r="CX15" i="8" s="1"/>
  <c r="CX16" i="8" s="1"/>
  <c r="CX17" i="8" s="1"/>
  <c r="CX18" i="8" s="1"/>
  <c r="CX19" i="8" s="1"/>
  <c r="CU14" i="8"/>
  <c r="CU15" i="8" s="1"/>
  <c r="CU16" i="8" s="1"/>
  <c r="CU17" i="8" s="1"/>
  <c r="CU18" i="8" s="1"/>
  <c r="CU19" i="8" s="1"/>
  <c r="CS14" i="8"/>
  <c r="CR14" i="8"/>
  <c r="CQ14" i="8"/>
  <c r="CG14" i="8"/>
  <c r="BZ14" i="8"/>
  <c r="BZ15" i="8" s="1"/>
  <c r="CT15" i="8" s="1"/>
  <c r="CV15" i="8" s="1"/>
  <c r="BY14" i="8"/>
  <c r="BV14" i="8"/>
  <c r="BU14" i="8"/>
  <c r="BW14" i="8" s="1"/>
  <c r="BS14" i="8"/>
  <c r="BS15" i="8" s="1"/>
  <c r="BS16" i="8" s="1"/>
  <c r="BS17" i="8" s="1"/>
  <c r="BO14" i="8"/>
  <c r="BL14" i="8"/>
  <c r="BJ14" i="8"/>
  <c r="BH14" i="8"/>
  <c r="BA14" i="8"/>
  <c r="AZ14" i="8"/>
  <c r="AZ15" i="8" s="1"/>
  <c r="AZ16" i="8" s="1"/>
  <c r="AZ17" i="8" s="1"/>
  <c r="AZ18" i="8" s="1"/>
  <c r="AZ19" i="8" s="1"/>
  <c r="AW14" i="8"/>
  <c r="AW15" i="8" s="1"/>
  <c r="AW16" i="8" s="1"/>
  <c r="AW17" i="8" s="1"/>
  <c r="AW18" i="8" s="1"/>
  <c r="AW19" i="8" s="1"/>
  <c r="AW146" i="8" s="1"/>
  <c r="F211" i="8" s="1"/>
  <c r="AT14" i="8"/>
  <c r="AS14" i="8"/>
  <c r="AI14" i="8"/>
  <c r="AB14" i="8"/>
  <c r="AA14" i="8"/>
  <c r="X14" i="8"/>
  <c r="X15" i="8" s="1"/>
  <c r="X16" i="8" s="1"/>
  <c r="X17" i="8" s="1"/>
  <c r="X18" i="8" s="1"/>
  <c r="X19" i="8" s="1"/>
  <c r="X146" i="8" s="1"/>
  <c r="W14" i="8"/>
  <c r="U14" i="8"/>
  <c r="U15" i="8" s="1"/>
  <c r="U16" i="8" s="1"/>
  <c r="U17" i="8" s="1"/>
  <c r="U18" i="8" s="1"/>
  <c r="U19" i="8" s="1"/>
  <c r="U146" i="8" s="1"/>
  <c r="Q14" i="8"/>
  <c r="N14" i="8"/>
  <c r="L14" i="8"/>
  <c r="J14" i="8"/>
  <c r="C14" i="8"/>
  <c r="CN14" i="8" s="1"/>
  <c r="B14" i="8"/>
  <c r="B15" i="8" s="1"/>
  <c r="B16" i="8" s="1"/>
  <c r="B17" i="8" s="1"/>
  <c r="B18" i="8" s="1"/>
  <c r="B19" i="8" s="1"/>
  <c r="DS13" i="8"/>
  <c r="DU13" i="8" s="1"/>
  <c r="DP13" i="8"/>
  <c r="DR13" i="8" s="1"/>
  <c r="DM13" i="8"/>
  <c r="DJ13" i="8"/>
  <c r="DH13" i="8"/>
  <c r="DF13" i="8"/>
  <c r="CV13" i="8"/>
  <c r="CT13" i="8"/>
  <c r="CQ13" i="8"/>
  <c r="CS13" i="8" s="1"/>
  <c r="CN13" i="8"/>
  <c r="CK13" i="8"/>
  <c r="CI13" i="8"/>
  <c r="CG13" i="8"/>
  <c r="BU13" i="8"/>
  <c r="BW13" i="8" s="1"/>
  <c r="BR13" i="8"/>
  <c r="BT13" i="8" s="1"/>
  <c r="BO13" i="8"/>
  <c r="BL13" i="8"/>
  <c r="BJ13" i="8"/>
  <c r="BH13" i="8"/>
  <c r="AV13" i="8"/>
  <c r="AX13" i="8" s="1"/>
  <c r="AU13" i="8"/>
  <c r="AS13" i="8"/>
  <c r="AP13" i="8"/>
  <c r="AM13" i="8"/>
  <c r="AK13" i="8"/>
  <c r="AI13" i="8"/>
  <c r="W13" i="8"/>
  <c r="Y13" i="8" s="1"/>
  <c r="T13" i="8"/>
  <c r="V13" i="8" s="1"/>
  <c r="Q13" i="8"/>
  <c r="N13" i="8"/>
  <c r="L13" i="8"/>
  <c r="J13" i="8"/>
  <c r="DF12" i="8"/>
  <c r="CG12" i="8"/>
  <c r="BH12" i="8"/>
  <c r="AI12" i="8"/>
  <c r="J12" i="8"/>
  <c r="E145" i="8"/>
  <c r="E169" i="8" s="1"/>
  <c r="DF11" i="8"/>
  <c r="CG11" i="8"/>
  <c r="BV11" i="8"/>
  <c r="BV12" i="8" s="1"/>
  <c r="BV145" i="8" s="1"/>
  <c r="BH11" i="8"/>
  <c r="AI11" i="8"/>
  <c r="J11" i="8"/>
  <c r="DF10" i="8"/>
  <c r="CG10" i="8"/>
  <c r="BH10" i="8"/>
  <c r="AZ10" i="8"/>
  <c r="AZ11" i="8" s="1"/>
  <c r="AI10" i="8"/>
  <c r="J10" i="8"/>
  <c r="DF9" i="8"/>
  <c r="CT9" i="8"/>
  <c r="CG9" i="8"/>
  <c r="BH9" i="8"/>
  <c r="AI9" i="8"/>
  <c r="J9" i="8"/>
  <c r="DS8" i="8"/>
  <c r="DQ8" i="8"/>
  <c r="DQ9" i="8" s="1"/>
  <c r="DQ10" i="8" s="1"/>
  <c r="DQ11" i="8" s="1"/>
  <c r="DQ12" i="8" s="1"/>
  <c r="DF8" i="8"/>
  <c r="CX8" i="8"/>
  <c r="CX9" i="8" s="1"/>
  <c r="CX10" i="8" s="1"/>
  <c r="CX11" i="8" s="1"/>
  <c r="CX12" i="8" s="1"/>
  <c r="CU8" i="8"/>
  <c r="CU9" i="8" s="1"/>
  <c r="CU10" i="8" s="1"/>
  <c r="CU11" i="8" s="1"/>
  <c r="CU12" i="8" s="1"/>
  <c r="CG8" i="8"/>
  <c r="BZ8" i="8"/>
  <c r="BZ9" i="8" s="1"/>
  <c r="BZ10" i="8" s="1"/>
  <c r="BS8" i="8"/>
  <c r="BS9" i="8" s="1"/>
  <c r="BS10" i="8" s="1"/>
  <c r="BS11" i="8" s="1"/>
  <c r="BS12" i="8" s="1"/>
  <c r="BS145" i="8" s="1"/>
  <c r="BH8" i="8"/>
  <c r="AZ8" i="8"/>
  <c r="AZ9" i="8" s="1"/>
  <c r="AW8" i="8"/>
  <c r="AW9" i="8" s="1"/>
  <c r="AW10" i="8" s="1"/>
  <c r="AW11" i="8" s="1"/>
  <c r="AW12" i="8" s="1"/>
  <c r="AW145" i="8" s="1"/>
  <c r="E211" i="8" s="1"/>
  <c r="AI8" i="8"/>
  <c r="AB8" i="8"/>
  <c r="J8" i="8"/>
  <c r="B8" i="8"/>
  <c r="B9" i="8" s="1"/>
  <c r="B10" i="8" s="1"/>
  <c r="B11" i="8" s="1"/>
  <c r="DT7" i="8"/>
  <c r="DT8" i="8" s="1"/>
  <c r="DT9" i="8" s="1"/>
  <c r="DT10" i="8" s="1"/>
  <c r="DT11" i="8" s="1"/>
  <c r="DT12" i="8" s="1"/>
  <c r="DQ7" i="8"/>
  <c r="DF7" i="8"/>
  <c r="CY7" i="8"/>
  <c r="CY8" i="8" s="1"/>
  <c r="CY9" i="8" s="1"/>
  <c r="CX7" i="8"/>
  <c r="CV7" i="8"/>
  <c r="CU7" i="8"/>
  <c r="CT7" i="8"/>
  <c r="CR7" i="8"/>
  <c r="CR8" i="8" s="1"/>
  <c r="CR9" i="8" s="1"/>
  <c r="CR10" i="8" s="1"/>
  <c r="CR11" i="8" s="1"/>
  <c r="CR12" i="8" s="1"/>
  <c r="CN7" i="8"/>
  <c r="CI7" i="8"/>
  <c r="CG7" i="8"/>
  <c r="CB7" i="8"/>
  <c r="BZ7" i="8"/>
  <c r="BY7" i="8"/>
  <c r="BY8" i="8" s="1"/>
  <c r="BY9" i="8" s="1"/>
  <c r="BY10" i="8" s="1"/>
  <c r="BY11" i="8" s="1"/>
  <c r="BY12" i="8" s="1"/>
  <c r="BV7" i="8"/>
  <c r="BV8" i="8" s="1"/>
  <c r="BV9" i="8" s="1"/>
  <c r="BV10" i="8" s="1"/>
  <c r="BS7" i="8"/>
  <c r="BR7" i="8"/>
  <c r="BT7" i="8" s="1"/>
  <c r="BH7" i="8"/>
  <c r="BA7" i="8"/>
  <c r="AZ7" i="8"/>
  <c r="AW7" i="8"/>
  <c r="AV7" i="8"/>
  <c r="AX7" i="8" s="1"/>
  <c r="AT7" i="8"/>
  <c r="AT8" i="8" s="1"/>
  <c r="AT9" i="8" s="1"/>
  <c r="AT10" i="8" s="1"/>
  <c r="AT11" i="8" s="1"/>
  <c r="AT12" i="8" s="1"/>
  <c r="AT145" i="8" s="1"/>
  <c r="AM7" i="8"/>
  <c r="AI7" i="8"/>
  <c r="AB7" i="8"/>
  <c r="AA7" i="8"/>
  <c r="AA8" i="8" s="1"/>
  <c r="AA9" i="8" s="1"/>
  <c r="AA10" i="8" s="1"/>
  <c r="AA11" i="8" s="1"/>
  <c r="X7" i="8"/>
  <c r="X8" i="8" s="1"/>
  <c r="X9" i="8" s="1"/>
  <c r="X10" i="8" s="1"/>
  <c r="X11" i="8" s="1"/>
  <c r="X12" i="8" s="1"/>
  <c r="X145" i="8" s="1"/>
  <c r="U7" i="8"/>
  <c r="U8" i="8" s="1"/>
  <c r="U9" i="8" s="1"/>
  <c r="U10" i="8" s="1"/>
  <c r="U11" i="8" s="1"/>
  <c r="U12" i="8" s="1"/>
  <c r="U145" i="8" s="1"/>
  <c r="E185" i="8" s="1"/>
  <c r="J7" i="8"/>
  <c r="C7" i="8"/>
  <c r="DP7" i="8" s="1"/>
  <c r="DR7" i="8" s="1"/>
  <c r="B7" i="8"/>
  <c r="DU6" i="8"/>
  <c r="DS6" i="8"/>
  <c r="DP6" i="8"/>
  <c r="DR6" i="8" s="1"/>
  <c r="DO6" i="8"/>
  <c r="DM6" i="8"/>
  <c r="DJ6" i="8"/>
  <c r="DH6" i="8"/>
  <c r="DF6" i="8"/>
  <c r="DA6" i="8"/>
  <c r="DN6" i="8" s="1"/>
  <c r="CT6" i="8"/>
  <c r="CV6" i="8" s="1"/>
  <c r="CQ6" i="8"/>
  <c r="CS6" i="8" s="1"/>
  <c r="CO6" i="8"/>
  <c r="CN6" i="8"/>
  <c r="CK6" i="8"/>
  <c r="CJ6" i="8"/>
  <c r="CI6" i="8"/>
  <c r="CH6" i="8"/>
  <c r="CH7" i="8" s="1"/>
  <c r="CG6" i="8"/>
  <c r="CC6" i="8"/>
  <c r="CB6" i="8"/>
  <c r="BU6" i="8"/>
  <c r="BW6" i="8" s="1"/>
  <c r="BT6" i="8"/>
  <c r="BR6" i="8"/>
  <c r="BO6" i="8"/>
  <c r="BL6" i="8"/>
  <c r="BJ6" i="8"/>
  <c r="BH6" i="8"/>
  <c r="BI6" i="8" s="1"/>
  <c r="BM6" i="8" s="1"/>
  <c r="BC6" i="8"/>
  <c r="AV6" i="8"/>
  <c r="AX6" i="8" s="1"/>
  <c r="AS6" i="8"/>
  <c r="AU6" i="8" s="1"/>
  <c r="AQ6" i="8"/>
  <c r="AR6" i="8" s="1"/>
  <c r="AP6" i="8"/>
  <c r="AM6" i="8"/>
  <c r="AL6" i="8"/>
  <c r="AK6" i="8"/>
  <c r="AJ6" i="8"/>
  <c r="AJ7" i="8" s="1"/>
  <c r="AN7" i="8" s="1"/>
  <c r="AI6" i="8"/>
  <c r="AE6" i="8"/>
  <c r="AD7" i="8" s="1"/>
  <c r="AD6" i="8"/>
  <c r="W6" i="8"/>
  <c r="Y6" i="8" s="1"/>
  <c r="V6" i="8"/>
  <c r="T6" i="8"/>
  <c r="Q6" i="8"/>
  <c r="N6" i="8"/>
  <c r="L6" i="8"/>
  <c r="J6" i="8"/>
  <c r="E6" i="8"/>
  <c r="R6" i="8" s="1"/>
  <c r="S6" i="8" s="1"/>
  <c r="DG63" i="9" l="1"/>
  <c r="DK62" i="9"/>
  <c r="DN62" i="9"/>
  <c r="DO62" i="9" s="1"/>
  <c r="DB62" i="9"/>
  <c r="DA63" i="9" s="1"/>
  <c r="DI62" i="9"/>
  <c r="CO63" i="9"/>
  <c r="CP63" i="9" s="1"/>
  <c r="CJ63" i="9"/>
  <c r="CC63" i="9"/>
  <c r="CB64" i="9" s="1"/>
  <c r="CH64" i="9"/>
  <c r="CL63" i="9"/>
  <c r="BI64" i="9"/>
  <c r="BM64" i="9" s="1"/>
  <c r="BP62" i="9"/>
  <c r="BQ62" i="9" s="1"/>
  <c r="BK62" i="9"/>
  <c r="BD62" i="9"/>
  <c r="BC63" i="9" s="1"/>
  <c r="AQ62" i="9"/>
  <c r="AR62" i="9" s="1"/>
  <c r="AE62" i="9"/>
  <c r="AD63" i="9" s="1"/>
  <c r="AL62" i="9"/>
  <c r="AJ63" i="9"/>
  <c r="AN62" i="9"/>
  <c r="BC152" i="9"/>
  <c r="K293" i="9"/>
  <c r="K327" i="9"/>
  <c r="L192" i="9"/>
  <c r="AQ152" i="9"/>
  <c r="L205" i="9" s="1"/>
  <c r="K152" i="9"/>
  <c r="K62" i="9"/>
  <c r="O61" i="9"/>
  <c r="E152" i="9"/>
  <c r="M152" i="9" s="1"/>
  <c r="R55" i="9"/>
  <c r="S55" i="9" s="1"/>
  <c r="M55" i="9"/>
  <c r="E56" i="9"/>
  <c r="F56" i="9" s="1"/>
  <c r="FP156" i="7"/>
  <c r="P328" i="7"/>
  <c r="P329" i="7" s="1"/>
  <c r="FP157" i="7"/>
  <c r="Q328" i="7"/>
  <c r="Q329" i="7" s="1"/>
  <c r="FP160" i="7"/>
  <c r="T328" i="7"/>
  <c r="T329" i="7" s="1"/>
  <c r="DQ159" i="7"/>
  <c r="S281" i="7" s="1"/>
  <c r="DS12" i="7"/>
  <c r="DU12" i="7" s="1"/>
  <c r="HM157" i="7"/>
  <c r="ER12" i="7"/>
  <c r="ET12" i="7" s="1"/>
  <c r="EP162" i="7"/>
  <c r="EP158" i="7"/>
  <c r="FO155" i="7"/>
  <c r="DQ157" i="7"/>
  <c r="Q281" i="7" s="1"/>
  <c r="FO159" i="7"/>
  <c r="FQ12" i="7"/>
  <c r="FS12" i="7" s="1"/>
  <c r="GP19" i="7"/>
  <c r="GR19" i="7" s="1"/>
  <c r="GU138" i="7"/>
  <c r="HO137" i="7"/>
  <c r="HQ137" i="7" s="1"/>
  <c r="HO32" i="7"/>
  <c r="HQ32" i="7" s="1"/>
  <c r="GU33" i="7"/>
  <c r="GU103" i="7"/>
  <c r="HO103" i="7" s="1"/>
  <c r="HQ103" i="7" s="1"/>
  <c r="HO102" i="7"/>
  <c r="HQ102" i="7" s="1"/>
  <c r="HG10" i="7"/>
  <c r="HC11" i="7"/>
  <c r="GU68" i="7"/>
  <c r="HO68" i="7" s="1"/>
  <c r="HQ68" i="7" s="1"/>
  <c r="HO67" i="7"/>
  <c r="HQ67" i="7" s="1"/>
  <c r="GU117" i="7"/>
  <c r="HO117" i="7" s="1"/>
  <c r="HQ117" i="7" s="1"/>
  <c r="HO116" i="7"/>
  <c r="HQ116" i="7" s="1"/>
  <c r="GU89" i="7"/>
  <c r="HO89" i="7" s="1"/>
  <c r="HQ89" i="7" s="1"/>
  <c r="HO88" i="7"/>
  <c r="HQ88" i="7" s="1"/>
  <c r="HJ10" i="7"/>
  <c r="HK10" i="7" s="1"/>
  <c r="GX10" i="7"/>
  <c r="GW11" i="7" s="1"/>
  <c r="HE10" i="7"/>
  <c r="HO95" i="7"/>
  <c r="HQ95" i="7" s="1"/>
  <c r="GU96" i="7"/>
  <c r="HO96" i="7" s="1"/>
  <c r="HQ96" i="7" s="1"/>
  <c r="GK10" i="7"/>
  <c r="GL10" i="7" s="1"/>
  <c r="FY10" i="7"/>
  <c r="FX11" i="7" s="1"/>
  <c r="GF10" i="7"/>
  <c r="FV40" i="7"/>
  <c r="GP40" i="7" s="1"/>
  <c r="GR40" i="7" s="1"/>
  <c r="GP39" i="7"/>
  <c r="GR39" i="7" s="1"/>
  <c r="GD10" i="7"/>
  <c r="GH9" i="7"/>
  <c r="FV54" i="7"/>
  <c r="GP54" i="7" s="1"/>
  <c r="GR54" i="7" s="1"/>
  <c r="GP53" i="7"/>
  <c r="GR53" i="7" s="1"/>
  <c r="FV138" i="7"/>
  <c r="GP137" i="7"/>
  <c r="GR137" i="7" s="1"/>
  <c r="FG11" i="7"/>
  <c r="FL11" i="7"/>
  <c r="FM11" i="7" s="1"/>
  <c r="EZ11" i="7"/>
  <c r="EY12" i="7" s="1"/>
  <c r="EW61" i="7"/>
  <c r="FQ61" i="7" s="1"/>
  <c r="FS61" i="7" s="1"/>
  <c r="FQ60" i="7"/>
  <c r="FS60" i="7" s="1"/>
  <c r="FO131" i="7"/>
  <c r="EW40" i="7"/>
  <c r="FQ39" i="7"/>
  <c r="FS39" i="7" s="1"/>
  <c r="EW110" i="7"/>
  <c r="FQ110" i="7" s="1"/>
  <c r="FS110" i="7" s="1"/>
  <c r="FQ109" i="7"/>
  <c r="FS109" i="7" s="1"/>
  <c r="EW138" i="7"/>
  <c r="FQ137" i="7"/>
  <c r="FS137" i="7" s="1"/>
  <c r="FE11" i="7"/>
  <c r="FI10" i="7"/>
  <c r="EW82" i="7"/>
  <c r="FQ82" i="7" s="1"/>
  <c r="FS82" i="7" s="1"/>
  <c r="FQ81" i="7"/>
  <c r="FS81" i="7" s="1"/>
  <c r="EW75" i="7"/>
  <c r="FQ75" i="7" s="1"/>
  <c r="FS75" i="7" s="1"/>
  <c r="FQ74" i="7"/>
  <c r="FS74" i="7" s="1"/>
  <c r="FO103" i="7"/>
  <c r="EW54" i="7"/>
  <c r="FQ54" i="7" s="1"/>
  <c r="FS54" i="7" s="1"/>
  <c r="FQ53" i="7"/>
  <c r="FS53" i="7" s="1"/>
  <c r="DX110" i="7"/>
  <c r="ER110" i="7" s="1"/>
  <c r="ET110" i="7" s="1"/>
  <c r="ER109" i="7"/>
  <c r="ET109" i="7" s="1"/>
  <c r="ER32" i="7"/>
  <c r="ET32" i="7" s="1"/>
  <c r="DX33" i="7"/>
  <c r="ER33" i="7" s="1"/>
  <c r="ET33" i="7" s="1"/>
  <c r="DX47" i="7"/>
  <c r="ER47" i="7" s="1"/>
  <c r="ET47" i="7" s="1"/>
  <c r="ER46" i="7"/>
  <c r="ET46" i="7" s="1"/>
  <c r="EJ11" i="7"/>
  <c r="EF12" i="7"/>
  <c r="DX103" i="7"/>
  <c r="ER103" i="7" s="1"/>
  <c r="ET103" i="7" s="1"/>
  <c r="ER102" i="7"/>
  <c r="ET102" i="7" s="1"/>
  <c r="DX138" i="7"/>
  <c r="ER137" i="7"/>
  <c r="ET137" i="7" s="1"/>
  <c r="EM11" i="7"/>
  <c r="EN11" i="7" s="1"/>
  <c r="EA11" i="7"/>
  <c r="DZ12" i="7" s="1"/>
  <c r="EH11" i="7"/>
  <c r="CY19" i="7"/>
  <c r="DS19" i="7" s="1"/>
  <c r="DU19" i="7" s="1"/>
  <c r="DS18" i="7"/>
  <c r="DU18" i="7" s="1"/>
  <c r="DG11" i="7"/>
  <c r="DK10" i="7"/>
  <c r="DS116" i="7"/>
  <c r="DU116" i="7" s="1"/>
  <c r="CY117" i="7"/>
  <c r="DS117" i="7" s="1"/>
  <c r="DU117" i="7" s="1"/>
  <c r="DQ12" i="7"/>
  <c r="CY138" i="7"/>
  <c r="DS137" i="7"/>
  <c r="DU137" i="7" s="1"/>
  <c r="DS39" i="7"/>
  <c r="DU39" i="7" s="1"/>
  <c r="CY40" i="7"/>
  <c r="DS40" i="7" s="1"/>
  <c r="DU40" i="7" s="1"/>
  <c r="CY75" i="7"/>
  <c r="DS75" i="7" s="1"/>
  <c r="DU75" i="7" s="1"/>
  <c r="DS74" i="7"/>
  <c r="DU74" i="7" s="1"/>
  <c r="DI11" i="7"/>
  <c r="DN11" i="7"/>
  <c r="DO11" i="7" s="1"/>
  <c r="DB11" i="7"/>
  <c r="DA12" i="7" s="1"/>
  <c r="CY82" i="7"/>
  <c r="DS82" i="7" s="1"/>
  <c r="DU82" i="7" s="1"/>
  <c r="DS81" i="7"/>
  <c r="DU81" i="7" s="1"/>
  <c r="E341" i="8"/>
  <c r="H341" i="8"/>
  <c r="P341" i="8"/>
  <c r="U341" i="8"/>
  <c r="C343" i="8"/>
  <c r="M341" i="8"/>
  <c r="BW85" i="8"/>
  <c r="BW77" i="8"/>
  <c r="BW78" i="8"/>
  <c r="BW70" i="8"/>
  <c r="BW58" i="8"/>
  <c r="BW42" i="8"/>
  <c r="BW36" i="8"/>
  <c r="BW28" i="8"/>
  <c r="AX78" i="8"/>
  <c r="AW64" i="8"/>
  <c r="AW65" i="8" s="1"/>
  <c r="AW66" i="8" s="1"/>
  <c r="AW67" i="8" s="1"/>
  <c r="AW68" i="8" s="1"/>
  <c r="AW153" i="8" s="1"/>
  <c r="M211" i="8" s="1"/>
  <c r="AX65" i="8"/>
  <c r="AU56" i="8"/>
  <c r="AT29" i="8"/>
  <c r="AT30" i="8" s="1"/>
  <c r="AT31" i="8" s="1"/>
  <c r="AT32" i="8" s="1"/>
  <c r="AT33" i="8" s="1"/>
  <c r="AT148" i="8" s="1"/>
  <c r="H208" i="8" s="1"/>
  <c r="AX22" i="8"/>
  <c r="AU21" i="8"/>
  <c r="AU14" i="8"/>
  <c r="Y49" i="8"/>
  <c r="Y14" i="8"/>
  <c r="F188" i="8"/>
  <c r="Y146" i="8"/>
  <c r="F189" i="8" s="1"/>
  <c r="E208" i="8"/>
  <c r="AU145" i="8"/>
  <c r="E209" i="8" s="1"/>
  <c r="CY10" i="8"/>
  <c r="DS9" i="8"/>
  <c r="DU9" i="8" s="1"/>
  <c r="DT147" i="8"/>
  <c r="CU147" i="8"/>
  <c r="G260" i="8" s="1"/>
  <c r="H211" i="8"/>
  <c r="AX148" i="8"/>
  <c r="H212" i="8" s="1"/>
  <c r="DT146" i="8"/>
  <c r="CU146" i="8"/>
  <c r="F260" i="8" s="1"/>
  <c r="F261" i="8" s="1"/>
  <c r="CR147" i="8"/>
  <c r="DQ147" i="8"/>
  <c r="G280" i="8" s="1"/>
  <c r="DQ145" i="8"/>
  <c r="E280" i="8" s="1"/>
  <c r="CR145" i="8"/>
  <c r="E257" i="8" s="1"/>
  <c r="CU145" i="8"/>
  <c r="DT145" i="8"/>
  <c r="E283" i="8" s="1"/>
  <c r="CY25" i="8"/>
  <c r="DS24" i="8"/>
  <c r="DU24" i="8" s="1"/>
  <c r="AB31" i="8"/>
  <c r="AV30" i="8"/>
  <c r="AX30" i="8" s="1"/>
  <c r="DQ148" i="8"/>
  <c r="H280" i="8" s="1"/>
  <c r="CR148" i="8"/>
  <c r="BZ11" i="8"/>
  <c r="CT10" i="8"/>
  <c r="CV10" i="8" s="1"/>
  <c r="F185" i="8"/>
  <c r="V146" i="8"/>
  <c r="F186" i="8" s="1"/>
  <c r="F236" i="8"/>
  <c r="BW146" i="8"/>
  <c r="DQ146" i="8"/>
  <c r="CR146" i="8"/>
  <c r="F257" i="8" s="1"/>
  <c r="G211" i="8"/>
  <c r="AX147" i="8"/>
  <c r="G212" i="8" s="1"/>
  <c r="G188" i="8"/>
  <c r="Y147" i="8"/>
  <c r="G189" i="8" s="1"/>
  <c r="G236" i="8"/>
  <c r="G237" i="8" s="1"/>
  <c r="BW147" i="8"/>
  <c r="F233" i="8"/>
  <c r="BT146" i="8"/>
  <c r="F234" i="8" s="1"/>
  <c r="AN6" i="8"/>
  <c r="E233" i="8"/>
  <c r="BT145" i="8"/>
  <c r="E234" i="8" s="1"/>
  <c r="CV9" i="8"/>
  <c r="AB15" i="8"/>
  <c r="AV14" i="8"/>
  <c r="AX14" i="8" s="1"/>
  <c r="BA18" i="8"/>
  <c r="BU17" i="8"/>
  <c r="BW17" i="8" s="1"/>
  <c r="BZ22" i="8"/>
  <c r="CT21" i="8"/>
  <c r="CV21" i="8" s="1"/>
  <c r="AB23" i="8"/>
  <c r="CY31" i="8"/>
  <c r="J211" i="8"/>
  <c r="AX150" i="8"/>
  <c r="J212" i="8" s="1"/>
  <c r="BZ59" i="8"/>
  <c r="CT58" i="8"/>
  <c r="CV58" i="8" s="1"/>
  <c r="M236" i="8"/>
  <c r="M237" i="8" s="1"/>
  <c r="BW153" i="8"/>
  <c r="BC145" i="8"/>
  <c r="E217" i="8" s="1"/>
  <c r="BP6" i="8"/>
  <c r="BQ6" i="8" s="1"/>
  <c r="BD6" i="8"/>
  <c r="BC7" i="8" s="1"/>
  <c r="CL7" i="8"/>
  <c r="CH8" i="8"/>
  <c r="BA8" i="8"/>
  <c r="BU7" i="8"/>
  <c r="BW7" i="8" s="1"/>
  <c r="AB9" i="8"/>
  <c r="AV8" i="8"/>
  <c r="AX8" i="8" s="1"/>
  <c r="DR21" i="8"/>
  <c r="DS23" i="8"/>
  <c r="DU23" i="8" s="1"/>
  <c r="DM36" i="8"/>
  <c r="DH36" i="8"/>
  <c r="CK36" i="8"/>
  <c r="BO36" i="8"/>
  <c r="BJ36" i="8"/>
  <c r="AS36" i="8"/>
  <c r="AU36" i="8" s="1"/>
  <c r="W36" i="8"/>
  <c r="Y36" i="8" s="1"/>
  <c r="N36" i="8"/>
  <c r="DP36" i="8"/>
  <c r="DR36" i="8" s="1"/>
  <c r="BR36" i="8"/>
  <c r="BT36" i="8" s="1"/>
  <c r="AM36" i="8"/>
  <c r="C37" i="8"/>
  <c r="DJ36" i="8"/>
  <c r="CN36" i="8"/>
  <c r="CI36" i="8"/>
  <c r="BL36" i="8"/>
  <c r="Q36" i="8"/>
  <c r="L36" i="8"/>
  <c r="T36" i="8"/>
  <c r="V36" i="8" s="1"/>
  <c r="CT36" i="8"/>
  <c r="CV36" i="8" s="1"/>
  <c r="BZ37" i="8"/>
  <c r="CQ36" i="8"/>
  <c r="CS36" i="8" s="1"/>
  <c r="CY39" i="8"/>
  <c r="DS38" i="8"/>
  <c r="DU38" i="8" s="1"/>
  <c r="CY44" i="8"/>
  <c r="DS43" i="8"/>
  <c r="DU43" i="8" s="1"/>
  <c r="K185" i="8"/>
  <c r="V151" i="8"/>
  <c r="K186" i="8" s="1"/>
  <c r="AB51" i="8"/>
  <c r="AV50" i="8"/>
  <c r="AX50" i="8" s="1"/>
  <c r="K233" i="8"/>
  <c r="BT151" i="8"/>
  <c r="K234" i="8" s="1"/>
  <c r="DP51" i="8"/>
  <c r="DR51" i="8" s="1"/>
  <c r="CK51" i="8"/>
  <c r="AP51" i="8"/>
  <c r="AK51" i="8"/>
  <c r="T51" i="8"/>
  <c r="V51" i="8" s="1"/>
  <c r="DH51" i="8"/>
  <c r="BL51" i="8"/>
  <c r="C52" i="8"/>
  <c r="DJ51" i="8"/>
  <c r="BO51" i="8"/>
  <c r="BJ51" i="8"/>
  <c r="AS51" i="8"/>
  <c r="AU51" i="8" s="1"/>
  <c r="W51" i="8"/>
  <c r="Y51" i="8" s="1"/>
  <c r="N51" i="8"/>
  <c r="Q51" i="8"/>
  <c r="CN51" i="8"/>
  <c r="CI51" i="8"/>
  <c r="BR51" i="8"/>
  <c r="BT51" i="8" s="1"/>
  <c r="AM51" i="8"/>
  <c r="DM51" i="8"/>
  <c r="CQ51" i="8"/>
  <c r="CS51" i="8" s="1"/>
  <c r="L51" i="8"/>
  <c r="K236" i="8"/>
  <c r="BW151" i="8"/>
  <c r="CY52" i="8"/>
  <c r="DS51" i="8"/>
  <c r="DU51" i="8" s="1"/>
  <c r="CU152" i="8"/>
  <c r="DT152" i="8"/>
  <c r="L283" i="8" s="1"/>
  <c r="CR153" i="8"/>
  <c r="M257" i="8" s="1"/>
  <c r="DQ153" i="8"/>
  <c r="N211" i="8"/>
  <c r="AX154" i="8"/>
  <c r="N212" i="8" s="1"/>
  <c r="E188" i="8"/>
  <c r="Y145" i="8"/>
  <c r="E189" i="8" s="1"/>
  <c r="CY16" i="8"/>
  <c r="DS15" i="8"/>
  <c r="DU15" i="8" s="1"/>
  <c r="G208" i="8"/>
  <c r="AU147" i="8"/>
  <c r="G209" i="8" s="1"/>
  <c r="BZ29" i="8"/>
  <c r="CT28" i="8"/>
  <c r="CV28" i="8" s="1"/>
  <c r="CR149" i="8"/>
  <c r="I257" i="8" s="1"/>
  <c r="DQ149" i="8"/>
  <c r="CP6" i="8"/>
  <c r="DI6" i="8"/>
  <c r="DG6" i="8"/>
  <c r="AL7" i="8"/>
  <c r="CO7" i="8"/>
  <c r="CC7" i="8"/>
  <c r="CB8" i="8" s="1"/>
  <c r="BZ17" i="8"/>
  <c r="CT16" i="8"/>
  <c r="CV16" i="8" s="1"/>
  <c r="CU148" i="8"/>
  <c r="DT148" i="8"/>
  <c r="H283" i="8" s="1"/>
  <c r="AV29" i="8"/>
  <c r="AX29" i="8" s="1"/>
  <c r="I185" i="8"/>
  <c r="V149" i="8"/>
  <c r="I186" i="8" s="1"/>
  <c r="I188" i="8"/>
  <c r="Y149" i="8"/>
  <c r="I189" i="8" s="1"/>
  <c r="DT149" i="8"/>
  <c r="CU149" i="8"/>
  <c r="I260" i="8" s="1"/>
  <c r="BU37" i="8"/>
  <c r="BW37" i="8" s="1"/>
  <c r="BA38" i="8"/>
  <c r="BA44" i="8"/>
  <c r="BU43" i="8"/>
  <c r="BW43" i="8" s="1"/>
  <c r="DQ150" i="8"/>
  <c r="J280" i="8" s="1"/>
  <c r="CR150" i="8"/>
  <c r="BZ51" i="8"/>
  <c r="CT50" i="8"/>
  <c r="CV50" i="8" s="1"/>
  <c r="DT153" i="8"/>
  <c r="CU153" i="8"/>
  <c r="M260" i="8" s="1"/>
  <c r="CU154" i="8"/>
  <c r="DT154" i="8"/>
  <c r="N283" i="8" s="1"/>
  <c r="M6" i="8"/>
  <c r="K6" i="8"/>
  <c r="J208" i="8"/>
  <c r="AU150" i="8"/>
  <c r="J209" i="8" s="1"/>
  <c r="CR151" i="8"/>
  <c r="K257" i="8" s="1"/>
  <c r="DQ151" i="8"/>
  <c r="AQ7" i="8"/>
  <c r="AR7" i="8" s="1"/>
  <c r="AE7" i="8"/>
  <c r="AD8" i="8" s="1"/>
  <c r="DU8" i="8"/>
  <c r="E236" i="8"/>
  <c r="E237" i="8" s="1"/>
  <c r="BW145" i="8"/>
  <c r="C16" i="8"/>
  <c r="DJ15" i="8"/>
  <c r="BO15" i="8"/>
  <c r="BJ15" i="8"/>
  <c r="AS15" i="8"/>
  <c r="AU15" i="8" s="1"/>
  <c r="W15" i="8"/>
  <c r="Y15" i="8" s="1"/>
  <c r="N15" i="8"/>
  <c r="CN15" i="8"/>
  <c r="CI15" i="8"/>
  <c r="BR15" i="8"/>
  <c r="BT15" i="8" s="1"/>
  <c r="AM15" i="8"/>
  <c r="DM15" i="8"/>
  <c r="DH15" i="8"/>
  <c r="CQ15" i="8"/>
  <c r="CS15" i="8" s="1"/>
  <c r="BL15" i="8"/>
  <c r="Q15" i="8"/>
  <c r="L15" i="8"/>
  <c r="BI7" i="8"/>
  <c r="CJ7" i="8"/>
  <c r="AJ8" i="8"/>
  <c r="AK15" i="8"/>
  <c r="BA23" i="8"/>
  <c r="BU22" i="8"/>
  <c r="BW22" i="8" s="1"/>
  <c r="BT22" i="8"/>
  <c r="BA30" i="8"/>
  <c r="BU29" i="8"/>
  <c r="BW29" i="8" s="1"/>
  <c r="BT29" i="8"/>
  <c r="AV36" i="8"/>
  <c r="AX36" i="8" s="1"/>
  <c r="AB37" i="8"/>
  <c r="I233" i="8"/>
  <c r="BT149" i="8"/>
  <c r="I234" i="8" s="1"/>
  <c r="I236" i="8"/>
  <c r="I237" i="8" s="1"/>
  <c r="BW149" i="8"/>
  <c r="AV43" i="8"/>
  <c r="AX43" i="8" s="1"/>
  <c r="AB44" i="8"/>
  <c r="CU150" i="8"/>
  <c r="DT150" i="8"/>
  <c r="J283" i="8" s="1"/>
  <c r="DT151" i="8"/>
  <c r="CU151" i="8"/>
  <c r="K260" i="8" s="1"/>
  <c r="K188" i="8"/>
  <c r="Y151" i="8"/>
  <c r="K189" i="8" s="1"/>
  <c r="BA52" i="8"/>
  <c r="BU51" i="8"/>
  <c r="BW51" i="8" s="1"/>
  <c r="DQ152" i="8"/>
  <c r="L280" i="8" s="1"/>
  <c r="CR152" i="8"/>
  <c r="M188" i="8"/>
  <c r="Y153" i="8"/>
  <c r="M189" i="8" s="1"/>
  <c r="O188" i="8"/>
  <c r="Y155" i="8"/>
  <c r="O189" i="8" s="1"/>
  <c r="Q236" i="8"/>
  <c r="Q237" i="8" s="1"/>
  <c r="BW157" i="8"/>
  <c r="AK50" i="8"/>
  <c r="BW64" i="8"/>
  <c r="N208" i="8"/>
  <c r="AU154" i="8"/>
  <c r="N209" i="8" s="1"/>
  <c r="DQ154" i="8"/>
  <c r="N280" i="8" s="1"/>
  <c r="CR154" i="8"/>
  <c r="O236" i="8"/>
  <c r="O237" i="8" s="1"/>
  <c r="BW155" i="8"/>
  <c r="C85" i="8"/>
  <c r="DJ84" i="8"/>
  <c r="BO84" i="8"/>
  <c r="BJ84" i="8"/>
  <c r="AS84" i="8"/>
  <c r="AU84" i="8" s="1"/>
  <c r="W84" i="8"/>
  <c r="Y84" i="8" s="1"/>
  <c r="N84" i="8"/>
  <c r="CN84" i="8"/>
  <c r="CI84" i="8"/>
  <c r="BR84" i="8"/>
  <c r="BT84" i="8" s="1"/>
  <c r="AM84" i="8"/>
  <c r="DM84" i="8"/>
  <c r="DH84" i="8"/>
  <c r="CQ84" i="8"/>
  <c r="CS84" i="8" s="1"/>
  <c r="BL84" i="8"/>
  <c r="Q84" i="8"/>
  <c r="L84" i="8"/>
  <c r="AK84" i="8"/>
  <c r="DP84" i="8"/>
  <c r="DR84" i="8" s="1"/>
  <c r="BA87" i="8"/>
  <c r="BU86" i="8"/>
  <c r="BW86" i="8" s="1"/>
  <c r="CK84" i="8"/>
  <c r="Q188" i="8"/>
  <c r="Y157" i="8"/>
  <c r="Q189" i="8" s="1"/>
  <c r="R208" i="8"/>
  <c r="AU158" i="8"/>
  <c r="R209" i="8" s="1"/>
  <c r="R211" i="8"/>
  <c r="AX158" i="8"/>
  <c r="R212" i="8" s="1"/>
  <c r="BK6" i="8"/>
  <c r="N7" i="8"/>
  <c r="W7" i="8"/>
  <c r="Y7" i="8" s="1"/>
  <c r="AS7" i="8"/>
  <c r="AU7" i="8" s="1"/>
  <c r="BJ7" i="8"/>
  <c r="BO7" i="8"/>
  <c r="DJ7" i="8"/>
  <c r="DS7" i="8"/>
  <c r="DU7" i="8" s="1"/>
  <c r="C8" i="8"/>
  <c r="CT8" i="8"/>
  <c r="CV8" i="8" s="1"/>
  <c r="T14" i="8"/>
  <c r="V14" i="8" s="1"/>
  <c r="AK14" i="8"/>
  <c r="AP14" i="8"/>
  <c r="CK14" i="8"/>
  <c r="CT14" i="8"/>
  <c r="CV14" i="8" s="1"/>
  <c r="DP14" i="8"/>
  <c r="DR14" i="8" s="1"/>
  <c r="BU15" i="8"/>
  <c r="BW15" i="8" s="1"/>
  <c r="AM21" i="8"/>
  <c r="AV21" i="8"/>
  <c r="AX21" i="8" s="1"/>
  <c r="BR21" i="8"/>
  <c r="BT21" i="8" s="1"/>
  <c r="CI21" i="8"/>
  <c r="CN21" i="8"/>
  <c r="N22" i="8"/>
  <c r="W22" i="8"/>
  <c r="Y22" i="8" s="1"/>
  <c r="AS22" i="8"/>
  <c r="AU22" i="8" s="1"/>
  <c r="BJ22" i="8"/>
  <c r="BO22" i="8"/>
  <c r="DJ22" i="8"/>
  <c r="DS22" i="8"/>
  <c r="DU22" i="8" s="1"/>
  <c r="C23" i="8"/>
  <c r="AM28" i="8"/>
  <c r="AV28" i="8"/>
  <c r="AX28" i="8" s="1"/>
  <c r="BR28" i="8"/>
  <c r="BT28" i="8" s="1"/>
  <c r="CI28" i="8"/>
  <c r="CN28" i="8"/>
  <c r="N29" i="8"/>
  <c r="W29" i="8"/>
  <c r="Y29" i="8" s="1"/>
  <c r="AS29" i="8"/>
  <c r="AU29" i="8" s="1"/>
  <c r="BJ29" i="8"/>
  <c r="BO29" i="8"/>
  <c r="DJ29" i="8"/>
  <c r="DS29" i="8"/>
  <c r="DU29" i="8" s="1"/>
  <c r="C30" i="8"/>
  <c r="AM35" i="8"/>
  <c r="AV35" i="8"/>
  <c r="AX35" i="8" s="1"/>
  <c r="BR35" i="8"/>
  <c r="BT35" i="8" s="1"/>
  <c r="DP35" i="8"/>
  <c r="DR35" i="8" s="1"/>
  <c r="AM42" i="8"/>
  <c r="AV42" i="8"/>
  <c r="AX42" i="8" s="1"/>
  <c r="BR42" i="8"/>
  <c r="BT42" i="8" s="1"/>
  <c r="CI42" i="8"/>
  <c r="CN42" i="8"/>
  <c r="C43" i="8"/>
  <c r="T49" i="8"/>
  <c r="V49" i="8" s="1"/>
  <c r="AK49" i="8"/>
  <c r="AP49" i="8"/>
  <c r="CK49" i="8"/>
  <c r="CT49" i="8"/>
  <c r="CV49" i="8" s="1"/>
  <c r="DP49" i="8"/>
  <c r="DR49" i="8" s="1"/>
  <c r="L50" i="8"/>
  <c r="Q50" i="8"/>
  <c r="BL50" i="8"/>
  <c r="BU50" i="8"/>
  <c r="BW50" i="8" s="1"/>
  <c r="CQ50" i="8"/>
  <c r="CS50" i="8" s="1"/>
  <c r="DH50" i="8"/>
  <c r="DM50" i="8"/>
  <c r="AB57" i="8"/>
  <c r="AV56" i="8"/>
  <c r="AX56" i="8" s="1"/>
  <c r="AP57" i="8"/>
  <c r="CK57" i="8"/>
  <c r="CY58" i="8"/>
  <c r="DS57" i="8"/>
  <c r="DU57" i="8" s="1"/>
  <c r="BA59" i="8"/>
  <c r="BZ65" i="8"/>
  <c r="CT64" i="8"/>
  <c r="CV64" i="8" s="1"/>
  <c r="C72" i="8"/>
  <c r="DJ71" i="8"/>
  <c r="BO71" i="8"/>
  <c r="BJ71" i="8"/>
  <c r="AS71" i="8"/>
  <c r="AU71" i="8" s="1"/>
  <c r="W71" i="8"/>
  <c r="Y71" i="8" s="1"/>
  <c r="N71" i="8"/>
  <c r="CN71" i="8"/>
  <c r="CI71" i="8"/>
  <c r="BR71" i="8"/>
  <c r="BT71" i="8" s="1"/>
  <c r="AM71" i="8"/>
  <c r="DM71" i="8"/>
  <c r="DH71" i="8"/>
  <c r="CQ71" i="8"/>
  <c r="CS71" i="8" s="1"/>
  <c r="BL71" i="8"/>
  <c r="Q71" i="8"/>
  <c r="L71" i="8"/>
  <c r="T71" i="8"/>
  <c r="V71" i="8" s="1"/>
  <c r="AK71" i="8"/>
  <c r="CK71" i="8"/>
  <c r="CY72" i="8"/>
  <c r="DS71" i="8"/>
  <c r="DU71" i="8" s="1"/>
  <c r="DP71" i="8"/>
  <c r="DR71" i="8" s="1"/>
  <c r="AB80" i="8"/>
  <c r="AV79" i="8"/>
  <c r="AX79" i="8" s="1"/>
  <c r="O233" i="8"/>
  <c r="BT155" i="8"/>
  <c r="O234" i="8" s="1"/>
  <c r="P208" i="8"/>
  <c r="AU156" i="8"/>
  <c r="P209" i="8" s="1"/>
  <c r="DQ158" i="8"/>
  <c r="R280" i="8" s="1"/>
  <c r="CR158" i="8"/>
  <c r="AB100" i="8"/>
  <c r="AV99" i="8"/>
  <c r="AX99" i="8" s="1"/>
  <c r="CY108" i="8"/>
  <c r="F256" i="8"/>
  <c r="BZ43" i="8"/>
  <c r="T50" i="8"/>
  <c r="V50" i="8" s="1"/>
  <c r="AP50" i="8"/>
  <c r="DP50" i="8"/>
  <c r="DR50" i="8" s="1"/>
  <c r="CT57" i="8"/>
  <c r="CV57" i="8" s="1"/>
  <c r="BA66" i="8"/>
  <c r="BU65" i="8"/>
  <c r="BW65" i="8" s="1"/>
  <c r="M185" i="8"/>
  <c r="V153" i="8"/>
  <c r="M186" i="8" s="1"/>
  <c r="BA80" i="8"/>
  <c r="BU79" i="8"/>
  <c r="BW79" i="8" s="1"/>
  <c r="T7" i="8"/>
  <c r="V7" i="8" s="1"/>
  <c r="AK7" i="8"/>
  <c r="CK7" i="8"/>
  <c r="T22" i="8"/>
  <c r="V22" i="8" s="1"/>
  <c r="AK22" i="8"/>
  <c r="AP22" i="8"/>
  <c r="CK22" i="8"/>
  <c r="DP22" i="8"/>
  <c r="DR22" i="8" s="1"/>
  <c r="T29" i="8"/>
  <c r="V29" i="8" s="1"/>
  <c r="AK29" i="8"/>
  <c r="AP29" i="8"/>
  <c r="CK29" i="8"/>
  <c r="DP29" i="8"/>
  <c r="DR29" i="8" s="1"/>
  <c r="AM50" i="8"/>
  <c r="BR50" i="8"/>
  <c r="BT50" i="8" s="1"/>
  <c r="CI50" i="8"/>
  <c r="CN50" i="8"/>
  <c r="CY64" i="8"/>
  <c r="DS63" i="8"/>
  <c r="DU63" i="8" s="1"/>
  <c r="AB66" i="8"/>
  <c r="AB71" i="8"/>
  <c r="AV70" i="8"/>
  <c r="AX70" i="8" s="1"/>
  <c r="BA72" i="8"/>
  <c r="BU71" i="8"/>
  <c r="BW71" i="8" s="1"/>
  <c r="BZ73" i="8"/>
  <c r="BZ79" i="8"/>
  <c r="CT78" i="8"/>
  <c r="CV78" i="8" s="1"/>
  <c r="CT77" i="8"/>
  <c r="CV77" i="8" s="1"/>
  <c r="O185" i="8"/>
  <c r="V155" i="8"/>
  <c r="O186" i="8" s="1"/>
  <c r="DT155" i="8"/>
  <c r="CU155" i="8"/>
  <c r="O260" i="8" s="1"/>
  <c r="T84" i="8"/>
  <c r="V84" i="8" s="1"/>
  <c r="AB86" i="8"/>
  <c r="AV85" i="8"/>
  <c r="AX85" i="8" s="1"/>
  <c r="P211" i="8"/>
  <c r="AX156" i="8"/>
  <c r="P212" i="8" s="1"/>
  <c r="CU156" i="8"/>
  <c r="DT156" i="8"/>
  <c r="P283" i="8" s="1"/>
  <c r="Q185" i="8"/>
  <c r="V157" i="8"/>
  <c r="Q186" i="8" s="1"/>
  <c r="Q233" i="8"/>
  <c r="BT157" i="8"/>
  <c r="Q234" i="8" s="1"/>
  <c r="DT157" i="8"/>
  <c r="CU157" i="8"/>
  <c r="Q260" i="8" s="1"/>
  <c r="CY101" i="8"/>
  <c r="DS100" i="8"/>
  <c r="DU100" i="8" s="1"/>
  <c r="S233" i="8"/>
  <c r="BT159" i="8"/>
  <c r="S234" i="8" s="1"/>
  <c r="BZ106" i="8"/>
  <c r="CT105" i="8"/>
  <c r="CV105" i="8" s="1"/>
  <c r="BZ114" i="8"/>
  <c r="CT113" i="8"/>
  <c r="CV113" i="8" s="1"/>
  <c r="CK50" i="8"/>
  <c r="L208" i="8"/>
  <c r="AU152" i="8"/>
  <c r="L209" i="8" s="1"/>
  <c r="M233" i="8"/>
  <c r="BT153" i="8"/>
  <c r="M234" i="8" s="1"/>
  <c r="AP84" i="8"/>
  <c r="DT161" i="8"/>
  <c r="U283" i="8" s="1"/>
  <c r="U284" i="8" s="1"/>
  <c r="CU161" i="8"/>
  <c r="CL6" i="8"/>
  <c r="AP7" i="8"/>
  <c r="F6" i="8"/>
  <c r="E7" i="8" s="1"/>
  <c r="DA145" i="8"/>
  <c r="E264" i="8" s="1"/>
  <c r="CB145" i="8"/>
  <c r="E241" i="8" s="1"/>
  <c r="DB6" i="8"/>
  <c r="DA7" i="8" s="1"/>
  <c r="L7" i="8"/>
  <c r="Q7" i="8"/>
  <c r="BL7" i="8"/>
  <c r="CQ7" i="8"/>
  <c r="CS7" i="8" s="1"/>
  <c r="DH7" i="8"/>
  <c r="DM7" i="8"/>
  <c r="AM14" i="8"/>
  <c r="BR14" i="8"/>
  <c r="BT14" i="8" s="1"/>
  <c r="CI14" i="8"/>
  <c r="T21" i="8"/>
  <c r="V21" i="8" s="1"/>
  <c r="AK21" i="8"/>
  <c r="AP21" i="8"/>
  <c r="CK21" i="8"/>
  <c r="L22" i="8"/>
  <c r="Q22" i="8"/>
  <c r="BL22" i="8"/>
  <c r="CQ22" i="8"/>
  <c r="CS22" i="8" s="1"/>
  <c r="DH22" i="8"/>
  <c r="T28" i="8"/>
  <c r="V28" i="8" s="1"/>
  <c r="AK28" i="8"/>
  <c r="AP28" i="8"/>
  <c r="CK28" i="8"/>
  <c r="L29" i="8"/>
  <c r="Q29" i="8"/>
  <c r="BL29" i="8"/>
  <c r="CQ29" i="8"/>
  <c r="CS29" i="8" s="1"/>
  <c r="DH29" i="8"/>
  <c r="T35" i="8"/>
  <c r="V35" i="8" s="1"/>
  <c r="AK35" i="8"/>
  <c r="AP35" i="8"/>
  <c r="DS37" i="8"/>
  <c r="DU37" i="8" s="1"/>
  <c r="T42" i="8"/>
  <c r="V42" i="8" s="1"/>
  <c r="AK42" i="8"/>
  <c r="AP42" i="8"/>
  <c r="CK42" i="8"/>
  <c r="AV49" i="8"/>
  <c r="AX49" i="8" s="1"/>
  <c r="BR49" i="8"/>
  <c r="BT49" i="8" s="1"/>
  <c r="CI49" i="8"/>
  <c r="N50" i="8"/>
  <c r="W50" i="8"/>
  <c r="Y50" i="8" s="1"/>
  <c r="AS50" i="8"/>
  <c r="AU50" i="8" s="1"/>
  <c r="BJ50" i="8"/>
  <c r="BO50" i="8"/>
  <c r="DJ50" i="8"/>
  <c r="DS50" i="8"/>
  <c r="DU50" i="8" s="1"/>
  <c r="AX152" i="8"/>
  <c r="L212" i="8" s="1"/>
  <c r="L211" i="8"/>
  <c r="C58" i="8"/>
  <c r="DJ57" i="8"/>
  <c r="BO57" i="8"/>
  <c r="BJ57" i="8"/>
  <c r="AS57" i="8"/>
  <c r="AU57" i="8" s="1"/>
  <c r="W57" i="8"/>
  <c r="Y57" i="8" s="1"/>
  <c r="N57" i="8"/>
  <c r="CN57" i="8"/>
  <c r="CI57" i="8"/>
  <c r="BR57" i="8"/>
  <c r="BT57" i="8" s="1"/>
  <c r="AM57" i="8"/>
  <c r="DM57" i="8"/>
  <c r="DH57" i="8"/>
  <c r="CQ57" i="8"/>
  <c r="CS57" i="8" s="1"/>
  <c r="BL57" i="8"/>
  <c r="Q57" i="8"/>
  <c r="L57" i="8"/>
  <c r="T57" i="8"/>
  <c r="V57" i="8" s="1"/>
  <c r="C64" i="8"/>
  <c r="DJ63" i="8"/>
  <c r="BO63" i="8"/>
  <c r="BJ63" i="8"/>
  <c r="AS63" i="8"/>
  <c r="AU63" i="8" s="1"/>
  <c r="W63" i="8"/>
  <c r="Y63" i="8" s="1"/>
  <c r="N63" i="8"/>
  <c r="CN63" i="8"/>
  <c r="CI63" i="8"/>
  <c r="BR63" i="8"/>
  <c r="BT63" i="8" s="1"/>
  <c r="AM63" i="8"/>
  <c r="DM63" i="8"/>
  <c r="DH63" i="8"/>
  <c r="CQ63" i="8"/>
  <c r="CS63" i="8" s="1"/>
  <c r="BL63" i="8"/>
  <c r="Q63" i="8"/>
  <c r="L63" i="8"/>
  <c r="T63" i="8"/>
  <c r="V63" i="8" s="1"/>
  <c r="AP63" i="8"/>
  <c r="CR155" i="8"/>
  <c r="O257" i="8" s="1"/>
  <c r="DQ155" i="8"/>
  <c r="BA93" i="8"/>
  <c r="BU92" i="8"/>
  <c r="BW92" i="8" s="1"/>
  <c r="CU158" i="8"/>
  <c r="DT158" i="8"/>
  <c r="R283" i="8" s="1"/>
  <c r="CV120" i="8"/>
  <c r="T56" i="8"/>
  <c r="V56" i="8" s="1"/>
  <c r="AK56" i="8"/>
  <c r="AP56" i="8"/>
  <c r="CK56" i="8"/>
  <c r="CT56" i="8"/>
  <c r="CV56" i="8" s="1"/>
  <c r="DP56" i="8"/>
  <c r="DR56" i="8" s="1"/>
  <c r="BU57" i="8"/>
  <c r="BW57" i="8" s="1"/>
  <c r="BU63" i="8"/>
  <c r="BW63" i="8" s="1"/>
  <c r="AV64" i="8"/>
  <c r="AX64" i="8" s="1"/>
  <c r="T70" i="8"/>
  <c r="V70" i="8" s="1"/>
  <c r="AK70" i="8"/>
  <c r="AP70" i="8"/>
  <c r="CK70" i="8"/>
  <c r="DP70" i="8"/>
  <c r="DR70" i="8" s="1"/>
  <c r="BZ86" i="8"/>
  <c r="CT85" i="8"/>
  <c r="CV85" i="8" s="1"/>
  <c r="DQ156" i="8"/>
  <c r="P280" i="8" s="1"/>
  <c r="CR156" i="8"/>
  <c r="CR157" i="8"/>
  <c r="Q257" i="8" s="1"/>
  <c r="DQ157" i="8"/>
  <c r="S188" i="8"/>
  <c r="Y159" i="8"/>
  <c r="S189" i="8" s="1"/>
  <c r="DQ160" i="8"/>
  <c r="T280" i="8" s="1"/>
  <c r="CR160" i="8"/>
  <c r="BU121" i="8"/>
  <c r="BW121" i="8" s="1"/>
  <c r="BA122" i="8"/>
  <c r="CR162" i="8"/>
  <c r="DQ162" i="8"/>
  <c r="V280" i="8" s="1"/>
  <c r="BW127" i="8"/>
  <c r="DQ163" i="8"/>
  <c r="W280" i="8" s="1"/>
  <c r="CR163" i="8"/>
  <c r="CU163" i="8"/>
  <c r="DT163" i="8"/>
  <c r="L70" i="8"/>
  <c r="Q70" i="8"/>
  <c r="BL70" i="8"/>
  <c r="CQ70" i="8"/>
  <c r="CS70" i="8" s="1"/>
  <c r="DH70" i="8"/>
  <c r="DM70" i="8"/>
  <c r="T77" i="8"/>
  <c r="V77" i="8" s="1"/>
  <c r="CQ77" i="8"/>
  <c r="CS77" i="8" s="1"/>
  <c r="CY85" i="8"/>
  <c r="DS84" i="8"/>
  <c r="DU84" i="8" s="1"/>
  <c r="AK91" i="8"/>
  <c r="CT91" i="8"/>
  <c r="CV91" i="8" s="1"/>
  <c r="BZ92" i="8"/>
  <c r="CY93" i="8"/>
  <c r="DS92" i="8"/>
  <c r="DU92" i="8" s="1"/>
  <c r="BZ100" i="8"/>
  <c r="CT99" i="8"/>
  <c r="CV99" i="8" s="1"/>
  <c r="C101" i="8"/>
  <c r="DJ100" i="8"/>
  <c r="BO100" i="8"/>
  <c r="BJ100" i="8"/>
  <c r="AS100" i="8"/>
  <c r="AU100" i="8" s="1"/>
  <c r="W100" i="8"/>
  <c r="Y100" i="8" s="1"/>
  <c r="N100" i="8"/>
  <c r="CN100" i="8"/>
  <c r="CI100" i="8"/>
  <c r="BR100" i="8"/>
  <c r="BT100" i="8" s="1"/>
  <c r="AM100" i="8"/>
  <c r="DM100" i="8"/>
  <c r="DH100" i="8"/>
  <c r="CQ100" i="8"/>
  <c r="CS100" i="8" s="1"/>
  <c r="BL100" i="8"/>
  <c r="Q100" i="8"/>
  <c r="L100" i="8"/>
  <c r="T100" i="8"/>
  <c r="V100" i="8" s="1"/>
  <c r="AK100" i="8"/>
  <c r="S236" i="8"/>
  <c r="S237" i="8" s="1"/>
  <c r="BW159" i="8"/>
  <c r="T208" i="8"/>
  <c r="AU160" i="8"/>
  <c r="T209" i="8" s="1"/>
  <c r="BZ122" i="8"/>
  <c r="CT121" i="8"/>
  <c r="CV121" i="8" s="1"/>
  <c r="DR120" i="8"/>
  <c r="AB129" i="8"/>
  <c r="AV128" i="8"/>
  <c r="AX128" i="8" s="1"/>
  <c r="BA129" i="8"/>
  <c r="BU128" i="8"/>
  <c r="BW128" i="8" s="1"/>
  <c r="W236" i="8"/>
  <c r="W237" i="8" s="1"/>
  <c r="BW163" i="8"/>
  <c r="AM56" i="8"/>
  <c r="BR56" i="8"/>
  <c r="BT56" i="8" s="1"/>
  <c r="CI56" i="8"/>
  <c r="AM70" i="8"/>
  <c r="BR70" i="8"/>
  <c r="BT70" i="8" s="1"/>
  <c r="CI70" i="8"/>
  <c r="C78" i="8"/>
  <c r="DJ77" i="8"/>
  <c r="BO77" i="8"/>
  <c r="BJ77" i="8"/>
  <c r="AS77" i="8"/>
  <c r="AU77" i="8" s="1"/>
  <c r="W77" i="8"/>
  <c r="Y77" i="8" s="1"/>
  <c r="N77" i="8"/>
  <c r="CN77" i="8"/>
  <c r="CI77" i="8"/>
  <c r="BR77" i="8"/>
  <c r="BT77" i="8" s="1"/>
  <c r="AM77" i="8"/>
  <c r="L77" i="8"/>
  <c r="AK77" i="8"/>
  <c r="CK77" i="8"/>
  <c r="CY78" i="8"/>
  <c r="DS77" i="8"/>
  <c r="DU77" i="8" s="1"/>
  <c r="DH77" i="8"/>
  <c r="DM91" i="8"/>
  <c r="DH91" i="8"/>
  <c r="CK91" i="8"/>
  <c r="BO91" i="8"/>
  <c r="BJ91" i="8"/>
  <c r="AS91" i="8"/>
  <c r="AU91" i="8" s="1"/>
  <c r="W91" i="8"/>
  <c r="Y91" i="8" s="1"/>
  <c r="N91" i="8"/>
  <c r="DP91" i="8"/>
  <c r="DR91" i="8" s="1"/>
  <c r="BR91" i="8"/>
  <c r="BT91" i="8" s="1"/>
  <c r="AM91" i="8"/>
  <c r="DJ91" i="8"/>
  <c r="CN91" i="8"/>
  <c r="CI91" i="8"/>
  <c r="BL91" i="8"/>
  <c r="Q91" i="8"/>
  <c r="L91" i="8"/>
  <c r="T91" i="8"/>
  <c r="V91" i="8" s="1"/>
  <c r="AB93" i="8"/>
  <c r="AV92" i="8"/>
  <c r="AX92" i="8" s="1"/>
  <c r="AP91" i="8"/>
  <c r="C92" i="8"/>
  <c r="BA99" i="8"/>
  <c r="BU98" i="8"/>
  <c r="BW98" i="8" s="1"/>
  <c r="CS98" i="8"/>
  <c r="S185" i="8"/>
  <c r="V159" i="8"/>
  <c r="S186" i="8" s="1"/>
  <c r="CR159" i="8"/>
  <c r="S257" i="8" s="1"/>
  <c r="DQ159" i="8"/>
  <c r="BA114" i="8"/>
  <c r="BU113" i="8"/>
  <c r="BW113" i="8" s="1"/>
  <c r="T211" i="8"/>
  <c r="AX160" i="8"/>
  <c r="T212" i="8" s="1"/>
  <c r="CU160" i="8"/>
  <c r="DT160" i="8"/>
  <c r="DQ161" i="8"/>
  <c r="CR161" i="8"/>
  <c r="U257" i="8" s="1"/>
  <c r="V208" i="8"/>
  <c r="AU162" i="8"/>
  <c r="V209" i="8" s="1"/>
  <c r="W233" i="8"/>
  <c r="BT163" i="8"/>
  <c r="W234" i="8" s="1"/>
  <c r="M210" i="8"/>
  <c r="AX153" i="8"/>
  <c r="M212" i="8" s="1"/>
  <c r="AV77" i="8"/>
  <c r="AX77" i="8" s="1"/>
  <c r="BU84" i="8"/>
  <c r="BW84" i="8" s="1"/>
  <c r="T99" i="8"/>
  <c r="V99" i="8" s="1"/>
  <c r="AK99" i="8"/>
  <c r="AP99" i="8"/>
  <c r="CK99" i="8"/>
  <c r="DP99" i="8"/>
  <c r="DR99" i="8" s="1"/>
  <c r="AB106" i="8"/>
  <c r="AV105" i="8"/>
  <c r="AX105" i="8" s="1"/>
  <c r="CY113" i="8"/>
  <c r="DS112" i="8"/>
  <c r="DU112" i="8" s="1"/>
  <c r="AB115" i="8"/>
  <c r="AB120" i="8"/>
  <c r="AV119" i="8"/>
  <c r="AX119" i="8" s="1"/>
  <c r="AP120" i="8"/>
  <c r="CK120" i="8"/>
  <c r="CY121" i="8"/>
  <c r="DS120" i="8"/>
  <c r="DU120" i="8" s="1"/>
  <c r="X163" i="8"/>
  <c r="W188" i="8" s="1"/>
  <c r="X162" i="8"/>
  <c r="V188" i="8" s="1"/>
  <c r="BZ128" i="8"/>
  <c r="CT127" i="8"/>
  <c r="CV127" i="8" s="1"/>
  <c r="S259" i="8"/>
  <c r="AV84" i="8"/>
  <c r="AX84" i="8" s="1"/>
  <c r="AV91" i="8"/>
  <c r="AX91" i="8" s="1"/>
  <c r="T98" i="8"/>
  <c r="V98" i="8" s="1"/>
  <c r="AK98" i="8"/>
  <c r="AP98" i="8"/>
  <c r="CK98" i="8"/>
  <c r="CT98" i="8"/>
  <c r="CV98" i="8" s="1"/>
  <c r="L99" i="8"/>
  <c r="Q99" i="8"/>
  <c r="BL99" i="8"/>
  <c r="CQ99" i="8"/>
  <c r="CS99" i="8" s="1"/>
  <c r="DH99" i="8"/>
  <c r="C113" i="8"/>
  <c r="DJ112" i="8"/>
  <c r="BO112" i="8"/>
  <c r="BJ112" i="8"/>
  <c r="AS112" i="8"/>
  <c r="AU112" i="8" s="1"/>
  <c r="W112" i="8"/>
  <c r="Y112" i="8" s="1"/>
  <c r="N112" i="8"/>
  <c r="CN112" i="8"/>
  <c r="CI112" i="8"/>
  <c r="BR112" i="8"/>
  <c r="BT112" i="8" s="1"/>
  <c r="AM112" i="8"/>
  <c r="DM112" i="8"/>
  <c r="DH112" i="8"/>
  <c r="CQ112" i="8"/>
  <c r="CS112" i="8" s="1"/>
  <c r="BL112" i="8"/>
  <c r="Q112" i="8"/>
  <c r="L112" i="8"/>
  <c r="T112" i="8"/>
  <c r="V112" i="8" s="1"/>
  <c r="AP112" i="8"/>
  <c r="AK126" i="8"/>
  <c r="CY127" i="8"/>
  <c r="DS126" i="8"/>
  <c r="DU126" i="8" s="1"/>
  <c r="U163" i="8"/>
  <c r="U162" i="8"/>
  <c r="V185" i="8" s="1"/>
  <c r="CU162" i="8"/>
  <c r="V260" i="8" s="1"/>
  <c r="DT162" i="8"/>
  <c r="V283" i="8" s="1"/>
  <c r="V284" i="8" s="1"/>
  <c r="CY136" i="8"/>
  <c r="DS135" i="8"/>
  <c r="DU135" i="8" s="1"/>
  <c r="V148" i="8"/>
  <c r="H186" i="8" s="1"/>
  <c r="BA107" i="8"/>
  <c r="BU106" i="8"/>
  <c r="BW106" i="8" s="1"/>
  <c r="BT106" i="8"/>
  <c r="DT159" i="8"/>
  <c r="CU159" i="8"/>
  <c r="S260" i="8" s="1"/>
  <c r="U211" i="8"/>
  <c r="AX161" i="8"/>
  <c r="U212" i="8" s="1"/>
  <c r="U233" i="8"/>
  <c r="BT161" i="8"/>
  <c r="U234" i="8" s="1"/>
  <c r="C121" i="8"/>
  <c r="DJ120" i="8"/>
  <c r="BO120" i="8"/>
  <c r="BJ120" i="8"/>
  <c r="AS120" i="8"/>
  <c r="AU120" i="8" s="1"/>
  <c r="W120" i="8"/>
  <c r="Y120" i="8" s="1"/>
  <c r="N120" i="8"/>
  <c r="CN120" i="8"/>
  <c r="CI120" i="8"/>
  <c r="BR120" i="8"/>
  <c r="BT120" i="8" s="1"/>
  <c r="AM120" i="8"/>
  <c r="DM120" i="8"/>
  <c r="DH120" i="8"/>
  <c r="CQ120" i="8"/>
  <c r="CS120" i="8" s="1"/>
  <c r="BL120" i="8"/>
  <c r="Q120" i="8"/>
  <c r="L120" i="8"/>
  <c r="T120" i="8"/>
  <c r="V120" i="8" s="1"/>
  <c r="U185" i="8"/>
  <c r="V161" i="8"/>
  <c r="U186" i="8" s="1"/>
  <c r="C127" i="8"/>
  <c r="DJ126" i="8"/>
  <c r="BO126" i="8"/>
  <c r="BJ126" i="8"/>
  <c r="AS126" i="8"/>
  <c r="AU126" i="8" s="1"/>
  <c r="W126" i="8"/>
  <c r="Y126" i="8" s="1"/>
  <c r="N126" i="8"/>
  <c r="CN126" i="8"/>
  <c r="CI126" i="8"/>
  <c r="BR126" i="8"/>
  <c r="BT126" i="8" s="1"/>
  <c r="AM126" i="8"/>
  <c r="DM126" i="8"/>
  <c r="DH126" i="8"/>
  <c r="CQ126" i="8"/>
  <c r="CS126" i="8" s="1"/>
  <c r="BL126" i="8"/>
  <c r="Q126" i="8"/>
  <c r="L126" i="8"/>
  <c r="T126" i="8"/>
  <c r="V126" i="8" s="1"/>
  <c r="AP126" i="8"/>
  <c r="BA136" i="8"/>
  <c r="BU135" i="8"/>
  <c r="BW135" i="8" s="1"/>
  <c r="AM105" i="8"/>
  <c r="BR105" i="8"/>
  <c r="BT105" i="8" s="1"/>
  <c r="CI105" i="8"/>
  <c r="CN105" i="8"/>
  <c r="N106" i="8"/>
  <c r="W106" i="8"/>
  <c r="Y106" i="8" s="1"/>
  <c r="AS106" i="8"/>
  <c r="AU106" i="8" s="1"/>
  <c r="BJ106" i="8"/>
  <c r="BO106" i="8"/>
  <c r="DJ106" i="8"/>
  <c r="DS106" i="8"/>
  <c r="DU106" i="8" s="1"/>
  <c r="C107" i="8"/>
  <c r="BU112" i="8"/>
  <c r="BW112" i="8" s="1"/>
  <c r="AV113" i="8"/>
  <c r="AX113" i="8" s="1"/>
  <c r="T119" i="8"/>
  <c r="V119" i="8" s="1"/>
  <c r="AK119" i="8"/>
  <c r="AP119" i="8"/>
  <c r="CK119" i="8"/>
  <c r="CT119" i="8"/>
  <c r="CV119" i="8" s="1"/>
  <c r="DP119" i="8"/>
  <c r="DR119" i="8" s="1"/>
  <c r="BU120" i="8"/>
  <c r="BW120" i="8" s="1"/>
  <c r="BU126" i="8"/>
  <c r="BW126" i="8" s="1"/>
  <c r="AV127" i="8"/>
  <c r="AX127" i="8" s="1"/>
  <c r="BZ134" i="8"/>
  <c r="E210" i="8"/>
  <c r="AX145" i="8"/>
  <c r="E212" i="8" s="1"/>
  <c r="F207" i="8"/>
  <c r="AU146" i="8"/>
  <c r="F209" i="8" s="1"/>
  <c r="H235" i="8"/>
  <c r="H237" i="8" s="1"/>
  <c r="BW148" i="8"/>
  <c r="N282" i="8"/>
  <c r="DU154" i="8"/>
  <c r="T106" i="8"/>
  <c r="V106" i="8" s="1"/>
  <c r="AK106" i="8"/>
  <c r="AP106" i="8"/>
  <c r="CK106" i="8"/>
  <c r="DP106" i="8"/>
  <c r="DR106" i="8" s="1"/>
  <c r="E184" i="8"/>
  <c r="V145" i="8"/>
  <c r="E186" i="8" s="1"/>
  <c r="E279" i="8"/>
  <c r="E281" i="8" s="1"/>
  <c r="DR145" i="8"/>
  <c r="J187" i="8"/>
  <c r="Y150" i="8"/>
  <c r="J189" i="8" s="1"/>
  <c r="P235" i="8"/>
  <c r="P237" i="8" s="1"/>
  <c r="BW156" i="8"/>
  <c r="T105" i="8"/>
  <c r="V105" i="8" s="1"/>
  <c r="AK105" i="8"/>
  <c r="AP105" i="8"/>
  <c r="CK105" i="8"/>
  <c r="L106" i="8"/>
  <c r="Q106" i="8"/>
  <c r="BL106" i="8"/>
  <c r="CQ106" i="8"/>
  <c r="CS106" i="8" s="1"/>
  <c r="DH106" i="8"/>
  <c r="AM119" i="8"/>
  <c r="BR119" i="8"/>
  <c r="BT119" i="8" s="1"/>
  <c r="CI119" i="8"/>
  <c r="DR133" i="8"/>
  <c r="AB134" i="8"/>
  <c r="AV133" i="8"/>
  <c r="AX133" i="8" s="1"/>
  <c r="BU134" i="8"/>
  <c r="BW134" i="8" s="1"/>
  <c r="DS134" i="8"/>
  <c r="DU134" i="8" s="1"/>
  <c r="K259" i="8"/>
  <c r="K261" i="8" s="1"/>
  <c r="CV151" i="8"/>
  <c r="R187" i="8"/>
  <c r="Y158" i="8"/>
  <c r="R189" i="8" s="1"/>
  <c r="AM133" i="8"/>
  <c r="BR133" i="8"/>
  <c r="BT133" i="8" s="1"/>
  <c r="CI133" i="8"/>
  <c r="CN133" i="8"/>
  <c r="C134" i="8"/>
  <c r="DU145" i="8"/>
  <c r="AX146" i="8"/>
  <c r="F212" i="8" s="1"/>
  <c r="F237" i="8"/>
  <c r="H187" i="8"/>
  <c r="Y148" i="8"/>
  <c r="H189" i="8" s="1"/>
  <c r="I259" i="8"/>
  <c r="I261" i="8" s="1"/>
  <c r="CV149" i="8"/>
  <c r="K210" i="8"/>
  <c r="AX151" i="8"/>
  <c r="K212" i="8" s="1"/>
  <c r="L282" i="8"/>
  <c r="L284" i="8" s="1"/>
  <c r="DU152" i="8"/>
  <c r="N235" i="8"/>
  <c r="N237" i="8" s="1"/>
  <c r="BW154" i="8"/>
  <c r="P187" i="8"/>
  <c r="Y156" i="8"/>
  <c r="P189" i="8" s="1"/>
  <c r="Q259" i="8"/>
  <c r="Q261" i="8" s="1"/>
  <c r="CV157" i="8"/>
  <c r="S210" i="8"/>
  <c r="AX159" i="8"/>
  <c r="S212" i="8" s="1"/>
  <c r="G259" i="8"/>
  <c r="I210" i="8"/>
  <c r="AX149" i="8"/>
  <c r="I212" i="8" s="1"/>
  <c r="J282" i="8"/>
  <c r="J284" i="8" s="1"/>
  <c r="DU150" i="8"/>
  <c r="L235" i="8"/>
  <c r="L237" i="8" s="1"/>
  <c r="BW152" i="8"/>
  <c r="N187" i="8"/>
  <c r="Y154" i="8"/>
  <c r="N189" i="8" s="1"/>
  <c r="O259" i="8"/>
  <c r="O261" i="8" s="1"/>
  <c r="CV155" i="8"/>
  <c r="Q210" i="8"/>
  <c r="AX157" i="8"/>
  <c r="Q212" i="8" s="1"/>
  <c r="R282" i="8"/>
  <c r="R284" i="8" s="1"/>
  <c r="T235" i="8"/>
  <c r="T237" i="8" s="1"/>
  <c r="BW160" i="8"/>
  <c r="T133" i="8"/>
  <c r="V133" i="8" s="1"/>
  <c r="AK133" i="8"/>
  <c r="AP133" i="8"/>
  <c r="CK133" i="8"/>
  <c r="E284" i="8"/>
  <c r="H282" i="8"/>
  <c r="H284" i="8" s="1"/>
  <c r="DU148" i="8"/>
  <c r="J235" i="8"/>
  <c r="J237" i="8" s="1"/>
  <c r="BW150" i="8"/>
  <c r="L187" i="8"/>
  <c r="Y152" i="8"/>
  <c r="L189" i="8" s="1"/>
  <c r="M259" i="8"/>
  <c r="M261" i="8" s="1"/>
  <c r="CV153" i="8"/>
  <c r="O210" i="8"/>
  <c r="AX155" i="8"/>
  <c r="O212" i="8" s="1"/>
  <c r="P282" i="8"/>
  <c r="P284" i="8" s="1"/>
  <c r="DU156" i="8"/>
  <c r="R235" i="8"/>
  <c r="R237" i="8" s="1"/>
  <c r="BW158" i="8"/>
  <c r="T187" i="8"/>
  <c r="Y160" i="8"/>
  <c r="T189" i="8" s="1"/>
  <c r="V147" i="8"/>
  <c r="G186" i="8" s="1"/>
  <c r="BT147" i="8"/>
  <c r="G234" i="8" s="1"/>
  <c r="DR147" i="8"/>
  <c r="AU148" i="8"/>
  <c r="H209" i="8" s="1"/>
  <c r="H281" i="8"/>
  <c r="J281" i="8"/>
  <c r="L281" i="8"/>
  <c r="N281" i="8"/>
  <c r="P281" i="8"/>
  <c r="R281" i="8"/>
  <c r="T281" i="8"/>
  <c r="U256" i="8"/>
  <c r="CS161" i="8"/>
  <c r="U258" i="8" s="1"/>
  <c r="V232" i="8"/>
  <c r="BT162" i="8"/>
  <c r="V234" i="8" s="1"/>
  <c r="W207" i="8"/>
  <c r="AU163" i="8"/>
  <c r="W209" i="8" s="1"/>
  <c r="W279" i="8"/>
  <c r="W281" i="8" s="1"/>
  <c r="DR163" i="8"/>
  <c r="K237" i="8"/>
  <c r="Y163" i="8"/>
  <c r="W189" i="8" s="1"/>
  <c r="H184" i="8"/>
  <c r="G281" i="8"/>
  <c r="BT148" i="8"/>
  <c r="H234" i="8" s="1"/>
  <c r="DR148" i="8"/>
  <c r="AU149" i="8"/>
  <c r="I209" i="8" s="1"/>
  <c r="CS149" i="8"/>
  <c r="I258" i="8" s="1"/>
  <c r="V150" i="8"/>
  <c r="J186" i="8" s="1"/>
  <c r="BT150" i="8"/>
  <c r="J234" i="8" s="1"/>
  <c r="DR150" i="8"/>
  <c r="AU151" i="8"/>
  <c r="K209" i="8" s="1"/>
  <c r="V152" i="8"/>
  <c r="L186" i="8" s="1"/>
  <c r="BT152" i="8"/>
  <c r="L234" i="8" s="1"/>
  <c r="DR152" i="8"/>
  <c r="AU153" i="8"/>
  <c r="M209" i="8" s="1"/>
  <c r="V154" i="8"/>
  <c r="N186" i="8" s="1"/>
  <c r="BT154" i="8"/>
  <c r="N234" i="8" s="1"/>
  <c r="DR154" i="8"/>
  <c r="AU155" i="8"/>
  <c r="O209" i="8" s="1"/>
  <c r="V156" i="8"/>
  <c r="P186" i="8" s="1"/>
  <c r="BT156" i="8"/>
  <c r="P234" i="8" s="1"/>
  <c r="AU157" i="8"/>
  <c r="Q209" i="8" s="1"/>
  <c r="CS157" i="8"/>
  <c r="Q258" i="8" s="1"/>
  <c r="V158" i="8"/>
  <c r="R186" i="8" s="1"/>
  <c r="BT158" i="8"/>
  <c r="R234" i="8" s="1"/>
  <c r="DR158" i="8"/>
  <c r="AU159" i="8"/>
  <c r="S209" i="8" s="1"/>
  <c r="CS159" i="8"/>
  <c r="S258" i="8" s="1"/>
  <c r="V160" i="8"/>
  <c r="T186" i="8" s="1"/>
  <c r="BT160" i="8"/>
  <c r="T234" i="8" s="1"/>
  <c r="DR160" i="8"/>
  <c r="U207" i="8"/>
  <c r="AU161" i="8"/>
  <c r="U209" i="8" s="1"/>
  <c r="V184" i="8"/>
  <c r="V279" i="8"/>
  <c r="V281" i="8" s="1"/>
  <c r="U237" i="8"/>
  <c r="BW162" i="8"/>
  <c r="V261" i="8"/>
  <c r="AX163" i="8"/>
  <c r="W212" i="8" s="1"/>
  <c r="W187" i="8"/>
  <c r="Y161" i="8"/>
  <c r="U189" i="8" s="1"/>
  <c r="BW161" i="8"/>
  <c r="AX162" i="8"/>
  <c r="V212" i="8" s="1"/>
  <c r="V237" i="8"/>
  <c r="CV162" i="8"/>
  <c r="F321" i="8"/>
  <c r="F341" i="8" s="1"/>
  <c r="J321" i="8"/>
  <c r="J341" i="8" s="1"/>
  <c r="N321" i="8"/>
  <c r="O320" i="8"/>
  <c r="C291" i="8"/>
  <c r="I341" i="8"/>
  <c r="W341" i="8"/>
  <c r="S341" i="8"/>
  <c r="O341" i="8"/>
  <c r="K341" i="8"/>
  <c r="G341" i="8"/>
  <c r="V341" i="8"/>
  <c r="R341" i="8"/>
  <c r="N341" i="8"/>
  <c r="L341" i="8"/>
  <c r="T341" i="8"/>
  <c r="CB120" i="1"/>
  <c r="CB118" i="1"/>
  <c r="CB117" i="1"/>
  <c r="CB116" i="1"/>
  <c r="CB115" i="1"/>
  <c r="AD115" i="1"/>
  <c r="AD114" i="1"/>
  <c r="AD113" i="1"/>
  <c r="DK63" i="9" l="1"/>
  <c r="DG64" i="9"/>
  <c r="DB63" i="9"/>
  <c r="DA64" i="9" s="1"/>
  <c r="DI63" i="9"/>
  <c r="DN63" i="9"/>
  <c r="DO63" i="9" s="1"/>
  <c r="CO64" i="9"/>
  <c r="CP64" i="9" s="1"/>
  <c r="CC64" i="9"/>
  <c r="CB65" i="9" s="1"/>
  <c r="CJ64" i="9"/>
  <c r="CL64" i="9"/>
  <c r="CH65" i="9"/>
  <c r="BP63" i="9"/>
  <c r="BQ63" i="9" s="1"/>
  <c r="BD63" i="9"/>
  <c r="BC64" i="9" s="1"/>
  <c r="BK63" i="9"/>
  <c r="BI65" i="9"/>
  <c r="BM65" i="9" s="1"/>
  <c r="AE63" i="9"/>
  <c r="AD64" i="9" s="1"/>
  <c r="AQ63" i="9"/>
  <c r="AR63" i="9" s="1"/>
  <c r="AL63" i="9"/>
  <c r="AN63" i="9"/>
  <c r="AJ64" i="9"/>
  <c r="DU162" i="8"/>
  <c r="L175" i="9"/>
  <c r="L298" i="9" s="1"/>
  <c r="O152" i="9"/>
  <c r="L179" i="9" s="1"/>
  <c r="L169" i="9"/>
  <c r="R152" i="9"/>
  <c r="L182" i="9" s="1"/>
  <c r="L177" i="9"/>
  <c r="R56" i="9"/>
  <c r="S56" i="9" s="1"/>
  <c r="E57" i="9"/>
  <c r="F57" i="9" s="1"/>
  <c r="M56" i="9"/>
  <c r="L217" i="9"/>
  <c r="BP152" i="9"/>
  <c r="L230" i="9" s="1"/>
  <c r="K63" i="9"/>
  <c r="O62" i="9"/>
  <c r="EQ162" i="7"/>
  <c r="V305" i="7"/>
  <c r="V306" i="7" s="1"/>
  <c r="EQ158" i="7"/>
  <c r="R305" i="7"/>
  <c r="R306" i="7" s="1"/>
  <c r="HN157" i="7"/>
  <c r="Q374" i="7"/>
  <c r="FP159" i="7"/>
  <c r="S328" i="7"/>
  <c r="S329" i="7" s="1"/>
  <c r="FP155" i="7"/>
  <c r="O328" i="7"/>
  <c r="O329" i="7" s="1"/>
  <c r="GA157" i="7"/>
  <c r="Q338" i="7" s="1"/>
  <c r="Q340" i="7" s="1"/>
  <c r="ED163" i="7"/>
  <c r="HA159" i="7"/>
  <c r="GY157" i="7"/>
  <c r="GY162" i="7"/>
  <c r="GZ157" i="7"/>
  <c r="Q361" i="7" s="1"/>
  <c r="Q363" i="7" s="1"/>
  <c r="FO158" i="7"/>
  <c r="FQ138" i="7"/>
  <c r="FS138" i="7" s="1"/>
  <c r="FC160" i="7"/>
  <c r="FQ40" i="7"/>
  <c r="FS40" i="7" s="1"/>
  <c r="FC161" i="7"/>
  <c r="FC163" i="7"/>
  <c r="FA157" i="7"/>
  <c r="FA159" i="7"/>
  <c r="FB161" i="7"/>
  <c r="U315" i="7" s="1"/>
  <c r="FJ161" i="7"/>
  <c r="U323" i="7" s="1"/>
  <c r="DC163" i="7"/>
  <c r="FC158" i="7"/>
  <c r="DS138" i="7"/>
  <c r="DU138" i="7" s="1"/>
  <c r="DL156" i="7"/>
  <c r="P276" i="7" s="1"/>
  <c r="GP138" i="7"/>
  <c r="GR138" i="7" s="1"/>
  <c r="GA156" i="7"/>
  <c r="P338" i="7" s="1"/>
  <c r="HA158" i="7"/>
  <c r="GY156" i="7"/>
  <c r="GZ163" i="7"/>
  <c r="W361" i="7" s="1"/>
  <c r="W363" i="7" s="1"/>
  <c r="GB157" i="7"/>
  <c r="DE156" i="7"/>
  <c r="GA162" i="7"/>
  <c r="V338" i="7" s="1"/>
  <c r="GI162" i="7"/>
  <c r="V346" i="7" s="1"/>
  <c r="FJ162" i="7"/>
  <c r="V323" i="7" s="1"/>
  <c r="FC157" i="7"/>
  <c r="FB162" i="7"/>
  <c r="V315" i="7" s="1"/>
  <c r="FJ156" i="7"/>
  <c r="P323" i="7" s="1"/>
  <c r="FC156" i="7"/>
  <c r="FA162" i="7"/>
  <c r="DD156" i="7"/>
  <c r="P268" i="7" s="1"/>
  <c r="P270" i="7" s="1"/>
  <c r="HA163" i="7"/>
  <c r="GY163" i="7"/>
  <c r="DE161" i="7"/>
  <c r="FZ162" i="7"/>
  <c r="FB157" i="7"/>
  <c r="Q315" i="7" s="1"/>
  <c r="GA161" i="7"/>
  <c r="U338" i="7" s="1"/>
  <c r="GI161" i="7"/>
  <c r="U346" i="7" s="1"/>
  <c r="EK157" i="7"/>
  <c r="Q300" i="7" s="1"/>
  <c r="EK158" i="7"/>
  <c r="R300" i="7" s="1"/>
  <c r="HH160" i="7"/>
  <c r="T369" i="7" s="1"/>
  <c r="ED159" i="7"/>
  <c r="DE158" i="7"/>
  <c r="FZ161" i="7"/>
  <c r="FC159" i="7"/>
  <c r="FB158" i="7"/>
  <c r="R315" i="7" s="1"/>
  <c r="DL160" i="7"/>
  <c r="T276" i="7" s="1"/>
  <c r="DC156" i="7"/>
  <c r="DE162" i="7"/>
  <c r="FA156" i="7"/>
  <c r="EK159" i="7"/>
  <c r="S300" i="7" s="1"/>
  <c r="ER138" i="7"/>
  <c r="ET138" i="7" s="1"/>
  <c r="EK156" i="7"/>
  <c r="P300" i="7" s="1"/>
  <c r="FO162" i="7"/>
  <c r="HO138" i="7"/>
  <c r="HQ138" i="7" s="1"/>
  <c r="HH163" i="7"/>
  <c r="W369" i="7" s="1"/>
  <c r="DC161" i="7"/>
  <c r="HH162" i="7"/>
  <c r="V369" i="7" s="1"/>
  <c r="DD157" i="7"/>
  <c r="Q268" i="7" s="1"/>
  <c r="DL163" i="7"/>
  <c r="W276" i="7" s="1"/>
  <c r="DC160" i="7"/>
  <c r="EB157" i="7"/>
  <c r="GB160" i="7"/>
  <c r="GA160" i="7"/>
  <c r="T338" i="7" s="1"/>
  <c r="GA158" i="7"/>
  <c r="R338" i="7" s="1"/>
  <c r="FJ159" i="7"/>
  <c r="S323" i="7" s="1"/>
  <c r="FB159" i="7"/>
  <c r="S315" i="7" s="1"/>
  <c r="FA158" i="7"/>
  <c r="FJ160" i="7"/>
  <c r="T323" i="7" s="1"/>
  <c r="DL161" i="7"/>
  <c r="U276" i="7" s="1"/>
  <c r="EB160" i="7"/>
  <c r="HA157" i="7"/>
  <c r="GB156" i="7"/>
  <c r="GA163" i="7"/>
  <c r="W338" i="7" s="1"/>
  <c r="DL157" i="7"/>
  <c r="Q276" i="7" s="1"/>
  <c r="GI157" i="7"/>
  <c r="GB162" i="7"/>
  <c r="EC157" i="7"/>
  <c r="Q292" i="7" s="1"/>
  <c r="EK162" i="7"/>
  <c r="V300" i="7" s="1"/>
  <c r="ED158" i="7"/>
  <c r="EC162" i="7"/>
  <c r="V292" i="7" s="1"/>
  <c r="GI156" i="7"/>
  <c r="P346" i="7" s="1"/>
  <c r="EB156" i="7"/>
  <c r="EC161" i="7"/>
  <c r="U292" i="7" s="1"/>
  <c r="FZ156" i="7"/>
  <c r="EK163" i="7"/>
  <c r="W300" i="7" s="1"/>
  <c r="DL158" i="7"/>
  <c r="R276" i="7" s="1"/>
  <c r="DD162" i="7"/>
  <c r="V268" i="7" s="1"/>
  <c r="DC162" i="7"/>
  <c r="FA161" i="7"/>
  <c r="FD161" i="7" s="1"/>
  <c r="EC159" i="7"/>
  <c r="S292" i="7" s="1"/>
  <c r="HO33" i="7"/>
  <c r="HQ33" i="7" s="1"/>
  <c r="GY158" i="7"/>
  <c r="HH161" i="7"/>
  <c r="U369" i="7" s="1"/>
  <c r="HA160" i="7"/>
  <c r="HH159" i="7"/>
  <c r="S369" i="7" s="1"/>
  <c r="GZ160" i="7"/>
  <c r="T361" i="7" s="1"/>
  <c r="T363" i="7" s="1"/>
  <c r="GZ156" i="7"/>
  <c r="P361" i="7" s="1"/>
  <c r="P363" i="7" s="1"/>
  <c r="HH158" i="7"/>
  <c r="R369" i="7" s="1"/>
  <c r="FA163" i="7"/>
  <c r="EB163" i="7"/>
  <c r="GZ158" i="7"/>
  <c r="R361" i="7" s="1"/>
  <c r="R363" i="7" s="1"/>
  <c r="DE157" i="7"/>
  <c r="HA161" i="7"/>
  <c r="GB158" i="7"/>
  <c r="GB161" i="7"/>
  <c r="GI158" i="7"/>
  <c r="R346" i="7" s="1"/>
  <c r="FB163" i="7"/>
  <c r="W315" i="7" s="1"/>
  <c r="FB156" i="7"/>
  <c r="P315" i="7" s="1"/>
  <c r="P317" i="7" s="1"/>
  <c r="FC162" i="7"/>
  <c r="DD161" i="7"/>
  <c r="U268" i="7" s="1"/>
  <c r="ED161" i="7"/>
  <c r="EB159" i="7"/>
  <c r="DD163" i="7"/>
  <c r="W268" i="7" s="1"/>
  <c r="GB159" i="7"/>
  <c r="FJ163" i="7"/>
  <c r="W323" i="7" s="1"/>
  <c r="DD159" i="7"/>
  <c r="S268" i="7" s="1"/>
  <c r="EC158" i="7"/>
  <c r="R292" i="7" s="1"/>
  <c r="ED162" i="7"/>
  <c r="EK161" i="7"/>
  <c r="U300" i="7" s="1"/>
  <c r="GY159" i="7"/>
  <c r="DL159" i="7"/>
  <c r="S276" i="7" s="1"/>
  <c r="FZ160" i="7"/>
  <c r="ED157" i="7"/>
  <c r="GI163" i="7"/>
  <c r="W346" i="7" s="1"/>
  <c r="DL162" i="7"/>
  <c r="V276" i="7" s="1"/>
  <c r="DE160" i="7"/>
  <c r="DC158" i="7"/>
  <c r="EC156" i="7"/>
  <c r="P292" i="7" s="1"/>
  <c r="P294" i="7" s="1"/>
  <c r="GA159" i="7"/>
  <c r="S338" i="7" s="1"/>
  <c r="GI160" i="7"/>
  <c r="T346" i="7" s="1"/>
  <c r="FA160" i="7"/>
  <c r="FB160" i="7"/>
  <c r="T315" i="7" s="1"/>
  <c r="FJ158" i="7"/>
  <c r="R323" i="7" s="1"/>
  <c r="FJ157" i="7"/>
  <c r="Q323" i="7" s="1"/>
  <c r="EB158" i="7"/>
  <c r="FZ158" i="7"/>
  <c r="GY161" i="7"/>
  <c r="HA156" i="7"/>
  <c r="GZ161" i="7"/>
  <c r="U361" i="7" s="1"/>
  <c r="U363" i="7" s="1"/>
  <c r="DE163" i="7"/>
  <c r="GB163" i="7"/>
  <c r="GZ159" i="7"/>
  <c r="S361" i="7" s="1"/>
  <c r="S363" i="7" s="1"/>
  <c r="EB161" i="7"/>
  <c r="GY160" i="7"/>
  <c r="DC157" i="7"/>
  <c r="EC160" i="7"/>
  <c r="T292" i="7" s="1"/>
  <c r="EC163" i="7"/>
  <c r="W292" i="7" s="1"/>
  <c r="EK160" i="7"/>
  <c r="T300" i="7" s="1"/>
  <c r="EB162" i="7"/>
  <c r="ED160" i="7"/>
  <c r="GZ162" i="7"/>
  <c r="V361" i="7" s="1"/>
  <c r="V363" i="7" s="1"/>
  <c r="FZ157" i="7"/>
  <c r="ED156" i="7"/>
  <c r="HH157" i="7"/>
  <c r="Q369" i="7" s="1"/>
  <c r="DD158" i="7"/>
  <c r="R268" i="7" s="1"/>
  <c r="HH156" i="7"/>
  <c r="P369" i="7" s="1"/>
  <c r="GI159" i="7"/>
  <c r="S346" i="7" s="1"/>
  <c r="HA162" i="7"/>
  <c r="FZ163" i="7"/>
  <c r="DC159" i="7"/>
  <c r="DD160" i="7"/>
  <c r="T268" i="7" s="1"/>
  <c r="DE159" i="7"/>
  <c r="FZ159" i="7"/>
  <c r="HC12" i="7"/>
  <c r="HG11" i="7"/>
  <c r="HJ11" i="7"/>
  <c r="HK11" i="7" s="1"/>
  <c r="HE11" i="7"/>
  <c r="GX11" i="7"/>
  <c r="GW12" i="7" s="1"/>
  <c r="GH10" i="7"/>
  <c r="GD11" i="7"/>
  <c r="FY11" i="7"/>
  <c r="FX12" i="7" s="1"/>
  <c r="GK11" i="7"/>
  <c r="GL11" i="7" s="1"/>
  <c r="GF11" i="7"/>
  <c r="FL12" i="7"/>
  <c r="FM12" i="7" s="1"/>
  <c r="EZ12" i="7"/>
  <c r="EY13" i="7" s="1"/>
  <c r="FG12" i="7"/>
  <c r="FI11" i="7"/>
  <c r="FE12" i="7"/>
  <c r="EH12" i="7"/>
  <c r="EM12" i="7"/>
  <c r="EN12" i="7" s="1"/>
  <c r="EA12" i="7"/>
  <c r="DZ13" i="7" s="1"/>
  <c r="EF13" i="7"/>
  <c r="EJ12" i="7"/>
  <c r="DK11" i="7"/>
  <c r="DG12" i="7"/>
  <c r="DN12" i="7"/>
  <c r="DO12" i="7" s="1"/>
  <c r="DB12" i="7"/>
  <c r="DA13" i="7" s="1"/>
  <c r="DI12" i="7"/>
  <c r="Y162" i="8"/>
  <c r="V189" i="8" s="1"/>
  <c r="V162" i="8"/>
  <c r="V186" i="8" s="1"/>
  <c r="DP134" i="8"/>
  <c r="DR134" i="8" s="1"/>
  <c r="CK134" i="8"/>
  <c r="AS134" i="8"/>
  <c r="AU134" i="8" s="1"/>
  <c r="CN134" i="8"/>
  <c r="CI134" i="8"/>
  <c r="BR134" i="8"/>
  <c r="BT134" i="8" s="1"/>
  <c r="T134" i="8"/>
  <c r="V134" i="8" s="1"/>
  <c r="DJ134" i="8"/>
  <c r="BL134" i="8"/>
  <c r="AP134" i="8"/>
  <c r="C135" i="8"/>
  <c r="DH134" i="8"/>
  <c r="BJ134" i="8"/>
  <c r="AM134" i="8"/>
  <c r="Q134" i="8"/>
  <c r="AK134" i="8"/>
  <c r="W134" i="8"/>
  <c r="Y134" i="8" s="1"/>
  <c r="N134" i="8"/>
  <c r="DM134" i="8"/>
  <c r="CQ134" i="8"/>
  <c r="CS134" i="8" s="1"/>
  <c r="BO134" i="8"/>
  <c r="L134" i="8"/>
  <c r="DP127" i="8"/>
  <c r="DR127" i="8" s="1"/>
  <c r="CK127" i="8"/>
  <c r="AP127" i="8"/>
  <c r="AK127" i="8"/>
  <c r="T127" i="8"/>
  <c r="V127" i="8" s="1"/>
  <c r="C128" i="8"/>
  <c r="DJ127" i="8"/>
  <c r="BO127" i="8"/>
  <c r="BJ127" i="8"/>
  <c r="AS127" i="8"/>
  <c r="AU127" i="8" s="1"/>
  <c r="W127" i="8"/>
  <c r="Y127" i="8" s="1"/>
  <c r="N127" i="8"/>
  <c r="CN127" i="8"/>
  <c r="CI127" i="8"/>
  <c r="BR127" i="8"/>
  <c r="BT127" i="8" s="1"/>
  <c r="AM127" i="8"/>
  <c r="DM127" i="8"/>
  <c r="DH127" i="8"/>
  <c r="CQ127" i="8"/>
  <c r="CS127" i="8" s="1"/>
  <c r="BL127" i="8"/>
  <c r="Q127" i="8"/>
  <c r="L127" i="8"/>
  <c r="U280" i="8"/>
  <c r="U281" i="8" s="1"/>
  <c r="DR161" i="8"/>
  <c r="BU129" i="8"/>
  <c r="BW129" i="8" s="1"/>
  <c r="BA130" i="8"/>
  <c r="W257" i="8"/>
  <c r="CS163" i="8"/>
  <c r="W258" i="8" s="1"/>
  <c r="T257" i="8"/>
  <c r="CS160" i="8"/>
  <c r="T258" i="8" s="1"/>
  <c r="M7" i="8"/>
  <c r="F7" i="8"/>
  <c r="E8" i="8" s="1"/>
  <c r="R7" i="8"/>
  <c r="S7" i="8" s="1"/>
  <c r="AV86" i="8"/>
  <c r="AX86" i="8" s="1"/>
  <c r="AB87" i="8"/>
  <c r="BZ66" i="8"/>
  <c r="CT65" i="8"/>
  <c r="CV65" i="8" s="1"/>
  <c r="BI8" i="8"/>
  <c r="BM7" i="8"/>
  <c r="J257" i="8"/>
  <c r="CS150" i="8"/>
  <c r="J258" i="8" s="1"/>
  <c r="I283" i="8"/>
  <c r="I284" i="8" s="1"/>
  <c r="DU149" i="8"/>
  <c r="CP7" i="8"/>
  <c r="BZ38" i="8"/>
  <c r="CT37" i="8"/>
  <c r="CV37" i="8" s="1"/>
  <c r="BQ7" i="8"/>
  <c r="AB24" i="8"/>
  <c r="AV23" i="8"/>
  <c r="AX23" i="8" s="1"/>
  <c r="BA19" i="8"/>
  <c r="BU19" i="8" s="1"/>
  <c r="BW19" i="8" s="1"/>
  <c r="BU18" i="8"/>
  <c r="BW18" i="8" s="1"/>
  <c r="DU161" i="8"/>
  <c r="DR156" i="8"/>
  <c r="CS155" i="8"/>
  <c r="O258" i="8" s="1"/>
  <c r="CS151" i="8"/>
  <c r="K258" i="8" s="1"/>
  <c r="CV147" i="8"/>
  <c r="N284" i="8"/>
  <c r="S283" i="8"/>
  <c r="S284" i="8" s="1"/>
  <c r="DU159" i="8"/>
  <c r="S261" i="8"/>
  <c r="T283" i="8"/>
  <c r="T284" i="8" s="1"/>
  <c r="DU160" i="8"/>
  <c r="S280" i="8"/>
  <c r="S281" i="8" s="1"/>
  <c r="DR159" i="8"/>
  <c r="BA100" i="8"/>
  <c r="BU99" i="8"/>
  <c r="BW99" i="8" s="1"/>
  <c r="DP101" i="8"/>
  <c r="DR101" i="8" s="1"/>
  <c r="CK101" i="8"/>
  <c r="CN101" i="8"/>
  <c r="CI101" i="8"/>
  <c r="BR101" i="8"/>
  <c r="BT101" i="8" s="1"/>
  <c r="C102" i="8"/>
  <c r="AP101" i="8"/>
  <c r="AK101" i="8"/>
  <c r="T101" i="8"/>
  <c r="V101" i="8" s="1"/>
  <c r="DM101" i="8"/>
  <c r="CQ101" i="8"/>
  <c r="CS101" i="8" s="1"/>
  <c r="BO101" i="8"/>
  <c r="BJ101" i="8"/>
  <c r="AS101" i="8"/>
  <c r="AU101" i="8" s="1"/>
  <c r="W101" i="8"/>
  <c r="Y101" i="8" s="1"/>
  <c r="N101" i="8"/>
  <c r="DJ101" i="8"/>
  <c r="AM101" i="8"/>
  <c r="BL101" i="8"/>
  <c r="DH101" i="8"/>
  <c r="Q101" i="8"/>
  <c r="L101" i="8"/>
  <c r="V257" i="8"/>
  <c r="CS162" i="8"/>
  <c r="V258" i="8" s="1"/>
  <c r="Q280" i="8"/>
  <c r="Q281" i="8" s="1"/>
  <c r="DR157" i="8"/>
  <c r="R260" i="8"/>
  <c r="R261" i="8" s="1"/>
  <c r="CV158" i="8"/>
  <c r="BA94" i="8"/>
  <c r="BU93" i="8"/>
  <c r="BW93" i="8" s="1"/>
  <c r="DP58" i="8"/>
  <c r="DR58" i="8" s="1"/>
  <c r="CK58" i="8"/>
  <c r="AP58" i="8"/>
  <c r="AK58" i="8"/>
  <c r="T58" i="8"/>
  <c r="V58" i="8" s="1"/>
  <c r="C59" i="8"/>
  <c r="DJ58" i="8"/>
  <c r="BO58" i="8"/>
  <c r="BJ58" i="8"/>
  <c r="AS58" i="8"/>
  <c r="AU58" i="8" s="1"/>
  <c r="W58" i="8"/>
  <c r="Y58" i="8" s="1"/>
  <c r="N58" i="8"/>
  <c r="CN58" i="8"/>
  <c r="CI58" i="8"/>
  <c r="BR58" i="8"/>
  <c r="BT58" i="8" s="1"/>
  <c r="AM58" i="8"/>
  <c r="DH58" i="8"/>
  <c r="CQ58" i="8"/>
  <c r="CS58" i="8" s="1"/>
  <c r="Q58" i="8"/>
  <c r="DM58" i="8"/>
  <c r="BL58" i="8"/>
  <c r="L58" i="8"/>
  <c r="DN7" i="8"/>
  <c r="DO7" i="8" s="1"/>
  <c r="DI7" i="8"/>
  <c r="DB7" i="8"/>
  <c r="DA8" i="8" s="1"/>
  <c r="BZ80" i="8"/>
  <c r="CT79" i="8"/>
  <c r="CV79" i="8" s="1"/>
  <c r="CY65" i="8"/>
  <c r="DS64" i="8"/>
  <c r="DU64" i="8" s="1"/>
  <c r="R257" i="8"/>
  <c r="CS158" i="8"/>
  <c r="R258" i="8" s="1"/>
  <c r="CN23" i="8"/>
  <c r="CI23" i="8"/>
  <c r="BR23" i="8"/>
  <c r="BT23" i="8" s="1"/>
  <c r="AM23" i="8"/>
  <c r="DM23" i="8"/>
  <c r="DH23" i="8"/>
  <c r="CQ23" i="8"/>
  <c r="CS23" i="8" s="1"/>
  <c r="BL23" i="8"/>
  <c r="Q23" i="8"/>
  <c r="L23" i="8"/>
  <c r="DP23" i="8"/>
  <c r="DR23" i="8" s="1"/>
  <c r="CK23" i="8"/>
  <c r="AP23" i="8"/>
  <c r="AK23" i="8"/>
  <c r="T23" i="8"/>
  <c r="V23" i="8" s="1"/>
  <c r="DJ23" i="8"/>
  <c r="W23" i="8"/>
  <c r="Y23" i="8" s="1"/>
  <c r="AS23" i="8"/>
  <c r="AU23" i="8" s="1"/>
  <c r="C24" i="8"/>
  <c r="BO23" i="8"/>
  <c r="N23" i="8"/>
  <c r="BJ23" i="8"/>
  <c r="N257" i="8"/>
  <c r="CS154" i="8"/>
  <c r="N258" i="8" s="1"/>
  <c r="N260" i="8"/>
  <c r="N261" i="8" s="1"/>
  <c r="CV154" i="8"/>
  <c r="BZ52" i="8"/>
  <c r="CT51" i="8"/>
  <c r="CV51" i="8" s="1"/>
  <c r="I280" i="8"/>
  <c r="I281" i="8" s="1"/>
  <c r="DR149" i="8"/>
  <c r="CL8" i="8"/>
  <c r="CH9" i="8"/>
  <c r="BZ60" i="8"/>
  <c r="CT59" i="8"/>
  <c r="CV59" i="8" s="1"/>
  <c r="DS31" i="8"/>
  <c r="DU31" i="8" s="1"/>
  <c r="CY32" i="8"/>
  <c r="F280" i="8"/>
  <c r="F281" i="8" s="1"/>
  <c r="DR146" i="8"/>
  <c r="CY26" i="8"/>
  <c r="DS26" i="8" s="1"/>
  <c r="DU26" i="8" s="1"/>
  <c r="DS25" i="8"/>
  <c r="DU25" i="8" s="1"/>
  <c r="F283" i="8"/>
  <c r="F284" i="8" s="1"/>
  <c r="DU146" i="8"/>
  <c r="G283" i="8"/>
  <c r="G284" i="8" s="1"/>
  <c r="DU147" i="8"/>
  <c r="W185" i="8"/>
  <c r="V163" i="8"/>
  <c r="W186" i="8" s="1"/>
  <c r="CV159" i="8"/>
  <c r="AB121" i="8"/>
  <c r="AV120" i="8"/>
  <c r="AX120" i="8" s="1"/>
  <c r="CY79" i="8"/>
  <c r="DS78" i="8"/>
  <c r="DU78" i="8" s="1"/>
  <c r="BU122" i="8"/>
  <c r="BW122" i="8" s="1"/>
  <c r="BA123" i="8"/>
  <c r="AB72" i="8"/>
  <c r="AV71" i="8"/>
  <c r="AX71" i="8" s="1"/>
  <c r="AB101" i="8"/>
  <c r="AV100" i="8"/>
  <c r="AX100" i="8" s="1"/>
  <c r="J260" i="8"/>
  <c r="J261" i="8" s="1"/>
  <c r="CV150" i="8"/>
  <c r="AL8" i="8"/>
  <c r="AQ8" i="8"/>
  <c r="AR8" i="8" s="1"/>
  <c r="AE8" i="8"/>
  <c r="AD9" i="8" s="1"/>
  <c r="G261" i="8"/>
  <c r="CV146" i="8"/>
  <c r="CS145" i="8"/>
  <c r="E258" i="8" s="1"/>
  <c r="AB135" i="8"/>
  <c r="AV134" i="8"/>
  <c r="AX134" i="8" s="1"/>
  <c r="BZ135" i="8"/>
  <c r="CT134" i="8"/>
  <c r="CV134" i="8" s="1"/>
  <c r="BA137" i="8"/>
  <c r="BU136" i="8"/>
  <c r="BW136" i="8" s="1"/>
  <c r="CY128" i="8"/>
  <c r="DS127" i="8"/>
  <c r="DU127" i="8" s="1"/>
  <c r="DP113" i="8"/>
  <c r="DR113" i="8" s="1"/>
  <c r="CK113" i="8"/>
  <c r="AP113" i="8"/>
  <c r="AK113" i="8"/>
  <c r="T113" i="8"/>
  <c r="V113" i="8" s="1"/>
  <c r="C114" i="8"/>
  <c r="DJ113" i="8"/>
  <c r="BO113" i="8"/>
  <c r="BJ113" i="8"/>
  <c r="AS113" i="8"/>
  <c r="AU113" i="8" s="1"/>
  <c r="W113" i="8"/>
  <c r="Y113" i="8" s="1"/>
  <c r="N113" i="8"/>
  <c r="CN113" i="8"/>
  <c r="CI113" i="8"/>
  <c r="BR113" i="8"/>
  <c r="BT113" i="8" s="1"/>
  <c r="AM113" i="8"/>
  <c r="L113" i="8"/>
  <c r="DM113" i="8"/>
  <c r="DH113" i="8"/>
  <c r="CQ113" i="8"/>
  <c r="CS113" i="8" s="1"/>
  <c r="BL113" i="8"/>
  <c r="Q113" i="8"/>
  <c r="CY114" i="8"/>
  <c r="DS113" i="8"/>
  <c r="DU113" i="8" s="1"/>
  <c r="T260" i="8"/>
  <c r="T261" i="8" s="1"/>
  <c r="CV160" i="8"/>
  <c r="DP78" i="8"/>
  <c r="DR78" i="8" s="1"/>
  <c r="CK78" i="8"/>
  <c r="AP78" i="8"/>
  <c r="AK78" i="8"/>
  <c r="T78" i="8"/>
  <c r="V78" i="8" s="1"/>
  <c r="C79" i="8"/>
  <c r="DJ78" i="8"/>
  <c r="BO78" i="8"/>
  <c r="BJ78" i="8"/>
  <c r="AS78" i="8"/>
  <c r="AU78" i="8" s="1"/>
  <c r="W78" i="8"/>
  <c r="Y78" i="8" s="1"/>
  <c r="N78" i="8"/>
  <c r="DM78" i="8"/>
  <c r="CI78" i="8"/>
  <c r="Q78" i="8"/>
  <c r="CQ78" i="8"/>
  <c r="CS78" i="8" s="1"/>
  <c r="DH78" i="8"/>
  <c r="CN78" i="8"/>
  <c r="BL78" i="8"/>
  <c r="L78" i="8"/>
  <c r="BR78" i="8"/>
  <c r="BT78" i="8" s="1"/>
  <c r="AM78" i="8"/>
  <c r="AB130" i="8"/>
  <c r="AV129" i="8"/>
  <c r="AX129" i="8" s="1"/>
  <c r="CY94" i="8"/>
  <c r="DS93" i="8"/>
  <c r="DU93" i="8" s="1"/>
  <c r="CY86" i="8"/>
  <c r="DS85" i="8"/>
  <c r="DU85" i="8" s="1"/>
  <c r="W283" i="8"/>
  <c r="W284" i="8" s="1"/>
  <c r="DU163" i="8"/>
  <c r="BZ87" i="8"/>
  <c r="CT86" i="8"/>
  <c r="CV86" i="8" s="1"/>
  <c r="DP64" i="8"/>
  <c r="DR64" i="8" s="1"/>
  <c r="CK64" i="8"/>
  <c r="AP64" i="8"/>
  <c r="AK64" i="8"/>
  <c r="T64" i="8"/>
  <c r="V64" i="8" s="1"/>
  <c r="C65" i="8"/>
  <c r="DJ64" i="8"/>
  <c r="BO64" i="8"/>
  <c r="BJ64" i="8"/>
  <c r="AS64" i="8"/>
  <c r="AU64" i="8" s="1"/>
  <c r="W64" i="8"/>
  <c r="Y64" i="8" s="1"/>
  <c r="N64" i="8"/>
  <c r="CN64" i="8"/>
  <c r="CI64" i="8"/>
  <c r="BR64" i="8"/>
  <c r="BT64" i="8" s="1"/>
  <c r="AM64" i="8"/>
  <c r="DM64" i="8"/>
  <c r="L64" i="8"/>
  <c r="DH64" i="8"/>
  <c r="CQ64" i="8"/>
  <c r="CS64" i="8" s="1"/>
  <c r="BL64" i="8"/>
  <c r="Q64" i="8"/>
  <c r="BZ107" i="8"/>
  <c r="CT106" i="8"/>
  <c r="CV106" i="8" s="1"/>
  <c r="CY102" i="8"/>
  <c r="DS101" i="8"/>
  <c r="DU101" i="8" s="1"/>
  <c r="Q283" i="8"/>
  <c r="Q284" i="8" s="1"/>
  <c r="DU157" i="8"/>
  <c r="BA73" i="8"/>
  <c r="BU72" i="8"/>
  <c r="BW72" i="8" s="1"/>
  <c r="AB67" i="8"/>
  <c r="AV66" i="8"/>
  <c r="AX66" i="8" s="1"/>
  <c r="BA81" i="8"/>
  <c r="BU80" i="8"/>
  <c r="BW80" i="8" s="1"/>
  <c r="BZ44" i="8"/>
  <c r="CT43" i="8"/>
  <c r="CV43" i="8" s="1"/>
  <c r="CY109" i="8"/>
  <c r="DS108" i="8"/>
  <c r="DU108" i="8" s="1"/>
  <c r="DP43" i="8"/>
  <c r="DR43" i="8" s="1"/>
  <c r="CK43" i="8"/>
  <c r="AS43" i="8"/>
  <c r="AU43" i="8" s="1"/>
  <c r="DH43" i="8"/>
  <c r="CQ43" i="8"/>
  <c r="CS43" i="8" s="1"/>
  <c r="AK43" i="8"/>
  <c r="W43" i="8"/>
  <c r="Y43" i="8" s="1"/>
  <c r="N43" i="8"/>
  <c r="C44" i="8"/>
  <c r="DJ43" i="8"/>
  <c r="BO43" i="8"/>
  <c r="BJ43" i="8"/>
  <c r="AM43" i="8"/>
  <c r="Q43" i="8"/>
  <c r="L43" i="8"/>
  <c r="DM43" i="8"/>
  <c r="BL43" i="8"/>
  <c r="CN43" i="8"/>
  <c r="CI43" i="8"/>
  <c r="BR43" i="8"/>
  <c r="BT43" i="8" s="1"/>
  <c r="T43" i="8"/>
  <c r="V43" i="8" s="1"/>
  <c r="AP43" i="8"/>
  <c r="DP85" i="8"/>
  <c r="DR85" i="8" s="1"/>
  <c r="CK85" i="8"/>
  <c r="AP85" i="8"/>
  <c r="AK85" i="8"/>
  <c r="T85" i="8"/>
  <c r="V85" i="8" s="1"/>
  <c r="C86" i="8"/>
  <c r="DJ85" i="8"/>
  <c r="BO85" i="8"/>
  <c r="BJ85" i="8"/>
  <c r="AS85" i="8"/>
  <c r="AU85" i="8" s="1"/>
  <c r="W85" i="8"/>
  <c r="Y85" i="8" s="1"/>
  <c r="N85" i="8"/>
  <c r="CN85" i="8"/>
  <c r="CI85" i="8"/>
  <c r="BR85" i="8"/>
  <c r="BT85" i="8" s="1"/>
  <c r="AM85" i="8"/>
  <c r="L85" i="8"/>
  <c r="DM85" i="8"/>
  <c r="BL85" i="8"/>
  <c r="DH85" i="8"/>
  <c r="CQ85" i="8"/>
  <c r="CS85" i="8" s="1"/>
  <c r="Q85" i="8"/>
  <c r="L257" i="8"/>
  <c r="CS152" i="8"/>
  <c r="L258" i="8" s="1"/>
  <c r="BA53" i="8"/>
  <c r="BU52" i="8"/>
  <c r="BW52" i="8" s="1"/>
  <c r="K283" i="8"/>
  <c r="K284" i="8" s="1"/>
  <c r="DU151" i="8"/>
  <c r="AV44" i="8"/>
  <c r="AX44" i="8" s="1"/>
  <c r="AB45" i="8"/>
  <c r="AB38" i="8"/>
  <c r="AV37" i="8"/>
  <c r="AX37" i="8" s="1"/>
  <c r="AJ9" i="8"/>
  <c r="AN8" i="8"/>
  <c r="K7" i="8"/>
  <c r="O6" i="8"/>
  <c r="BZ18" i="8"/>
  <c r="CT17" i="8"/>
  <c r="CV17" i="8" s="1"/>
  <c r="DG7" i="8"/>
  <c r="DK6" i="8"/>
  <c r="BZ30" i="8"/>
  <c r="CT29" i="8"/>
  <c r="CV29" i="8" s="1"/>
  <c r="CY17" i="8"/>
  <c r="DS16" i="8"/>
  <c r="DU16" i="8" s="1"/>
  <c r="L260" i="8"/>
  <c r="L261" i="8" s="1"/>
  <c r="CV152" i="8"/>
  <c r="DM52" i="8"/>
  <c r="DH52" i="8"/>
  <c r="CQ52" i="8"/>
  <c r="CS52" i="8" s="1"/>
  <c r="BL52" i="8"/>
  <c r="Q52" i="8"/>
  <c r="L52" i="8"/>
  <c r="CN52" i="8"/>
  <c r="DP52" i="8"/>
  <c r="DR52" i="8" s="1"/>
  <c r="CK52" i="8"/>
  <c r="AP52" i="8"/>
  <c r="AK52" i="8"/>
  <c r="T52" i="8"/>
  <c r="V52" i="8" s="1"/>
  <c r="CI52" i="8"/>
  <c r="BR52" i="8"/>
  <c r="BT52" i="8" s="1"/>
  <c r="AM52" i="8"/>
  <c r="C53" i="8"/>
  <c r="DJ52" i="8"/>
  <c r="BO52" i="8"/>
  <c r="BJ52" i="8"/>
  <c r="AS52" i="8"/>
  <c r="AU52" i="8" s="1"/>
  <c r="W52" i="8"/>
  <c r="Y52" i="8" s="1"/>
  <c r="N52" i="8"/>
  <c r="AB52" i="8"/>
  <c r="AV51" i="8"/>
  <c r="AX51" i="8" s="1"/>
  <c r="CY45" i="8"/>
  <c r="DS44" i="8"/>
  <c r="DU44" i="8" s="1"/>
  <c r="CY40" i="8"/>
  <c r="DS40" i="8" s="1"/>
  <c r="DU40" i="8" s="1"/>
  <c r="DS39" i="8"/>
  <c r="DU39" i="8" s="1"/>
  <c r="C38" i="8"/>
  <c r="DJ37" i="8"/>
  <c r="CN37" i="8"/>
  <c r="CI37" i="8"/>
  <c r="BL37" i="8"/>
  <c r="Q37" i="8"/>
  <c r="L37" i="8"/>
  <c r="CQ37" i="8"/>
  <c r="CS37" i="8" s="1"/>
  <c r="AP37" i="8"/>
  <c r="AK37" i="8"/>
  <c r="T37" i="8"/>
  <c r="V37" i="8" s="1"/>
  <c r="DM37" i="8"/>
  <c r="DH37" i="8"/>
  <c r="CK37" i="8"/>
  <c r="BO37" i="8"/>
  <c r="BJ37" i="8"/>
  <c r="AS37" i="8"/>
  <c r="AU37" i="8" s="1"/>
  <c r="W37" i="8"/>
  <c r="Y37" i="8" s="1"/>
  <c r="N37" i="8"/>
  <c r="DP37" i="8"/>
  <c r="DR37" i="8" s="1"/>
  <c r="AM37" i="8"/>
  <c r="BR37" i="8"/>
  <c r="BT37" i="8" s="1"/>
  <c r="BZ23" i="8"/>
  <c r="CT22" i="8"/>
  <c r="CV22" i="8" s="1"/>
  <c r="AB16" i="8"/>
  <c r="AV15" i="8"/>
  <c r="AX15" i="8" s="1"/>
  <c r="CY137" i="8"/>
  <c r="DS136" i="8"/>
  <c r="DU136" i="8" s="1"/>
  <c r="CT128" i="8"/>
  <c r="CV128" i="8" s="1"/>
  <c r="BZ129" i="8"/>
  <c r="CY122" i="8"/>
  <c r="DS121" i="8"/>
  <c r="DU121" i="8" s="1"/>
  <c r="BZ115" i="8"/>
  <c r="CT114" i="8"/>
  <c r="CV114" i="8" s="1"/>
  <c r="P260" i="8"/>
  <c r="P261" i="8" s="1"/>
  <c r="CV156" i="8"/>
  <c r="O283" i="8"/>
  <c r="O284" i="8" s="1"/>
  <c r="DU155" i="8"/>
  <c r="BA67" i="8"/>
  <c r="BU66" i="8"/>
  <c r="BW66" i="8" s="1"/>
  <c r="BU59" i="8"/>
  <c r="BW59" i="8" s="1"/>
  <c r="BA60" i="8"/>
  <c r="CN30" i="8"/>
  <c r="CI30" i="8"/>
  <c r="BR30" i="8"/>
  <c r="BT30" i="8" s="1"/>
  <c r="AM30" i="8"/>
  <c r="DM30" i="8"/>
  <c r="DH30" i="8"/>
  <c r="CQ30" i="8"/>
  <c r="CS30" i="8" s="1"/>
  <c r="BL30" i="8"/>
  <c r="Q30" i="8"/>
  <c r="L30" i="8"/>
  <c r="DP30" i="8"/>
  <c r="DR30" i="8" s="1"/>
  <c r="CK30" i="8"/>
  <c r="AP30" i="8"/>
  <c r="AK30" i="8"/>
  <c r="T30" i="8"/>
  <c r="V30" i="8" s="1"/>
  <c r="DJ30" i="8"/>
  <c r="W30" i="8"/>
  <c r="Y30" i="8" s="1"/>
  <c r="BJ30" i="8"/>
  <c r="C31" i="8"/>
  <c r="AS30" i="8"/>
  <c r="AU30" i="8" s="1"/>
  <c r="BO30" i="8"/>
  <c r="N30" i="8"/>
  <c r="DP16" i="8"/>
  <c r="DR16" i="8" s="1"/>
  <c r="CK16" i="8"/>
  <c r="AP16" i="8"/>
  <c r="AK16" i="8"/>
  <c r="T16" i="8"/>
  <c r="V16" i="8" s="1"/>
  <c r="C17" i="8"/>
  <c r="DJ16" i="8"/>
  <c r="BO16" i="8"/>
  <c r="BJ16" i="8"/>
  <c r="AS16" i="8"/>
  <c r="AU16" i="8" s="1"/>
  <c r="W16" i="8"/>
  <c r="Y16" i="8" s="1"/>
  <c r="N16" i="8"/>
  <c r="CN16" i="8"/>
  <c r="CI16" i="8"/>
  <c r="BR16" i="8"/>
  <c r="BT16" i="8" s="1"/>
  <c r="AM16" i="8"/>
  <c r="DM16" i="8"/>
  <c r="BL16" i="8"/>
  <c r="DH16" i="8"/>
  <c r="CQ16" i="8"/>
  <c r="CS16" i="8" s="1"/>
  <c r="Q16" i="8"/>
  <c r="L16" i="8"/>
  <c r="BA39" i="8"/>
  <c r="BU38" i="8"/>
  <c r="BW38" i="8" s="1"/>
  <c r="CY53" i="8"/>
  <c r="DS52" i="8"/>
  <c r="DU52" i="8" s="1"/>
  <c r="AB10" i="8"/>
  <c r="AV9" i="8"/>
  <c r="AX9" i="8" s="1"/>
  <c r="H257" i="8"/>
  <c r="CS148" i="8"/>
  <c r="H258" i="8" s="1"/>
  <c r="C292" i="8"/>
  <c r="DR162" i="8"/>
  <c r="CS153" i="8"/>
  <c r="M258" i="8" s="1"/>
  <c r="DU158" i="8"/>
  <c r="CN107" i="8"/>
  <c r="CI107" i="8"/>
  <c r="BR107" i="8"/>
  <c r="BT107" i="8" s="1"/>
  <c r="AM107" i="8"/>
  <c r="DM107" i="8"/>
  <c r="DH107" i="8"/>
  <c r="CQ107" i="8"/>
  <c r="CS107" i="8" s="1"/>
  <c r="BL107" i="8"/>
  <c r="Q107" i="8"/>
  <c r="L107" i="8"/>
  <c r="DP107" i="8"/>
  <c r="DR107" i="8" s="1"/>
  <c r="CK107" i="8"/>
  <c r="AP107" i="8"/>
  <c r="AK107" i="8"/>
  <c r="T107" i="8"/>
  <c r="V107" i="8" s="1"/>
  <c r="DJ107" i="8"/>
  <c r="W107" i="8"/>
  <c r="Y107" i="8" s="1"/>
  <c r="C108" i="8"/>
  <c r="BO107" i="8"/>
  <c r="N107" i="8"/>
  <c r="AS107" i="8"/>
  <c r="AU107" i="8" s="1"/>
  <c r="BJ107" i="8"/>
  <c r="DP121" i="8"/>
  <c r="DR121" i="8" s="1"/>
  <c r="CK121" i="8"/>
  <c r="AP121" i="8"/>
  <c r="AK121" i="8"/>
  <c r="T121" i="8"/>
  <c r="V121" i="8" s="1"/>
  <c r="C122" i="8"/>
  <c r="DJ121" i="8"/>
  <c r="BO121" i="8"/>
  <c r="BJ121" i="8"/>
  <c r="AS121" i="8"/>
  <c r="AU121" i="8" s="1"/>
  <c r="W121" i="8"/>
  <c r="Y121" i="8" s="1"/>
  <c r="N121" i="8"/>
  <c r="CN121" i="8"/>
  <c r="CI121" i="8"/>
  <c r="BR121" i="8"/>
  <c r="BT121" i="8" s="1"/>
  <c r="AM121" i="8"/>
  <c r="DH121" i="8"/>
  <c r="CQ121" i="8"/>
  <c r="CS121" i="8" s="1"/>
  <c r="Q121" i="8"/>
  <c r="L121" i="8"/>
  <c r="DM121" i="8"/>
  <c r="BL121" i="8"/>
  <c r="BA108" i="8"/>
  <c r="BU107" i="8"/>
  <c r="BW107" i="8" s="1"/>
  <c r="AB116" i="8"/>
  <c r="AV115" i="8"/>
  <c r="AX115" i="8" s="1"/>
  <c r="AV106" i="8"/>
  <c r="AX106" i="8" s="1"/>
  <c r="AB107" i="8"/>
  <c r="BA115" i="8"/>
  <c r="BU114" i="8"/>
  <c r="BW114" i="8" s="1"/>
  <c r="C93" i="8"/>
  <c r="DJ92" i="8"/>
  <c r="BO92" i="8"/>
  <c r="BJ92" i="8"/>
  <c r="AS92" i="8"/>
  <c r="AU92" i="8" s="1"/>
  <c r="W92" i="8"/>
  <c r="Y92" i="8" s="1"/>
  <c r="N92" i="8"/>
  <c r="CN92" i="8"/>
  <c r="CI92" i="8"/>
  <c r="BR92" i="8"/>
  <c r="BT92" i="8" s="1"/>
  <c r="AM92" i="8"/>
  <c r="DM92" i="8"/>
  <c r="DH92" i="8"/>
  <c r="CQ92" i="8"/>
  <c r="CS92" i="8" s="1"/>
  <c r="BL92" i="8"/>
  <c r="Q92" i="8"/>
  <c r="L92" i="8"/>
  <c r="AK92" i="8"/>
  <c r="T92" i="8"/>
  <c r="V92" i="8" s="1"/>
  <c r="DP92" i="8"/>
  <c r="DR92" i="8" s="1"/>
  <c r="CK92" i="8"/>
  <c r="AP92" i="8"/>
  <c r="AB94" i="8"/>
  <c r="AV93" i="8"/>
  <c r="AX93" i="8" s="1"/>
  <c r="CT122" i="8"/>
  <c r="CV122" i="8" s="1"/>
  <c r="BZ123" i="8"/>
  <c r="BZ101" i="8"/>
  <c r="CT100" i="8"/>
  <c r="CV100" i="8" s="1"/>
  <c r="BZ93" i="8"/>
  <c r="CT92" i="8"/>
  <c r="CV92" i="8" s="1"/>
  <c r="W260" i="8"/>
  <c r="W261" i="8" s="1"/>
  <c r="CV163" i="8"/>
  <c r="P257" i="8"/>
  <c r="CS156" i="8"/>
  <c r="P258" i="8" s="1"/>
  <c r="O280" i="8"/>
  <c r="O281" i="8" s="1"/>
  <c r="DR155" i="8"/>
  <c r="U260" i="8"/>
  <c r="U261" i="8" s="1"/>
  <c r="CV161" i="8"/>
  <c r="BZ74" i="8"/>
  <c r="CT73" i="8"/>
  <c r="CV73" i="8" s="1"/>
  <c r="CS146" i="8"/>
  <c r="F258" i="8" s="1"/>
  <c r="AB81" i="8"/>
  <c r="AV80" i="8"/>
  <c r="AX80" i="8" s="1"/>
  <c r="CY73" i="8"/>
  <c r="DS72" i="8"/>
  <c r="DU72" i="8" s="1"/>
  <c r="DP72" i="8"/>
  <c r="DR72" i="8" s="1"/>
  <c r="CK72" i="8"/>
  <c r="AP72" i="8"/>
  <c r="AK72" i="8"/>
  <c r="T72" i="8"/>
  <c r="V72" i="8" s="1"/>
  <c r="DJ72" i="8"/>
  <c r="BO72" i="8"/>
  <c r="BJ72" i="8"/>
  <c r="AS72" i="8"/>
  <c r="AU72" i="8" s="1"/>
  <c r="W72" i="8"/>
  <c r="Y72" i="8" s="1"/>
  <c r="N72" i="8"/>
  <c r="C73" i="8"/>
  <c r="CN72" i="8"/>
  <c r="CI72" i="8"/>
  <c r="BR72" i="8"/>
  <c r="BT72" i="8" s="1"/>
  <c r="AM72" i="8"/>
  <c r="Q72" i="8"/>
  <c r="CQ72" i="8"/>
  <c r="CS72" i="8" s="1"/>
  <c r="L72" i="8"/>
  <c r="DH72" i="8"/>
  <c r="DM72" i="8"/>
  <c r="BL72" i="8"/>
  <c r="CY59" i="8"/>
  <c r="DS58" i="8"/>
  <c r="DU58" i="8" s="1"/>
  <c r="AB58" i="8"/>
  <c r="AV57" i="8"/>
  <c r="AX57" i="8" s="1"/>
  <c r="CN8" i="8"/>
  <c r="CI8" i="8"/>
  <c r="BR8" i="8"/>
  <c r="BT8" i="8" s="1"/>
  <c r="AM8" i="8"/>
  <c r="CQ8" i="8"/>
  <c r="CS8" i="8" s="1"/>
  <c r="BL8" i="8"/>
  <c r="Q8" i="8"/>
  <c r="L8" i="8"/>
  <c r="DM8" i="8"/>
  <c r="DH8" i="8"/>
  <c r="DP8" i="8"/>
  <c r="DR8" i="8" s="1"/>
  <c r="CK8" i="8"/>
  <c r="AP8" i="8"/>
  <c r="AK8" i="8"/>
  <c r="T8" i="8"/>
  <c r="V8" i="8" s="1"/>
  <c r="C9" i="8"/>
  <c r="DJ8" i="8"/>
  <c r="BO8" i="8"/>
  <c r="W8" i="8"/>
  <c r="Y8" i="8" s="1"/>
  <c r="BJ8" i="8"/>
  <c r="AS8" i="8"/>
  <c r="AU8" i="8" s="1"/>
  <c r="N8" i="8"/>
  <c r="BA88" i="8"/>
  <c r="BU87" i="8"/>
  <c r="BW87" i="8" s="1"/>
  <c r="BA31" i="8"/>
  <c r="BU30" i="8"/>
  <c r="BW30" i="8" s="1"/>
  <c r="BA24" i="8"/>
  <c r="BU23" i="8"/>
  <c r="BW23" i="8" s="1"/>
  <c r="K280" i="8"/>
  <c r="K281" i="8" s="1"/>
  <c r="DR151" i="8"/>
  <c r="M283" i="8"/>
  <c r="M284" i="8" s="1"/>
  <c r="DU153" i="8"/>
  <c r="BA45" i="8"/>
  <c r="BU44" i="8"/>
  <c r="BW44" i="8" s="1"/>
  <c r="H260" i="8"/>
  <c r="H261" i="8" s="1"/>
  <c r="CV148" i="8"/>
  <c r="CC8" i="8"/>
  <c r="CB9" i="8" s="1"/>
  <c r="CO8" i="8"/>
  <c r="CJ8" i="8"/>
  <c r="M280" i="8"/>
  <c r="M281" i="8" s="1"/>
  <c r="DR153" i="8"/>
  <c r="BU8" i="8"/>
  <c r="BW8" i="8" s="1"/>
  <c r="BA9" i="8"/>
  <c r="BK7" i="8"/>
  <c r="BP7" i="8"/>
  <c r="BD7" i="8"/>
  <c r="BC8" i="8" s="1"/>
  <c r="CT11" i="8"/>
  <c r="CV11" i="8" s="1"/>
  <c r="BZ12" i="8"/>
  <c r="AV31" i="8"/>
  <c r="AX31" i="8" s="1"/>
  <c r="AB32" i="8"/>
  <c r="E260" i="8"/>
  <c r="E261" i="8" s="1"/>
  <c r="CV145" i="8"/>
  <c r="G257" i="8"/>
  <c r="CS147" i="8"/>
  <c r="G258" i="8" s="1"/>
  <c r="CY11" i="8"/>
  <c r="DS10" i="8"/>
  <c r="DU10" i="8" s="1"/>
  <c r="D27" i="1"/>
  <c r="D13" i="1"/>
  <c r="DG65" i="9" l="1"/>
  <c r="DK64" i="9"/>
  <c r="DB64" i="9"/>
  <c r="DA65" i="9" s="1"/>
  <c r="DN64" i="9"/>
  <c r="DO64" i="9" s="1"/>
  <c r="DI64" i="9"/>
  <c r="CJ65" i="9"/>
  <c r="CC65" i="9"/>
  <c r="CB66" i="9" s="1"/>
  <c r="CO65" i="9"/>
  <c r="CP65" i="9" s="1"/>
  <c r="CL65" i="9"/>
  <c r="CH66" i="9"/>
  <c r="BP64" i="9"/>
  <c r="BQ64" i="9" s="1"/>
  <c r="BK64" i="9"/>
  <c r="BD64" i="9"/>
  <c r="BC65" i="9" s="1"/>
  <c r="BI66" i="9"/>
  <c r="BM66" i="9" s="1"/>
  <c r="AN64" i="9"/>
  <c r="AJ65" i="9"/>
  <c r="AE64" i="9"/>
  <c r="AD65" i="9" s="1"/>
  <c r="AQ64" i="9"/>
  <c r="AR64" i="9" s="1"/>
  <c r="AL64" i="9"/>
  <c r="O63" i="9"/>
  <c r="K64" i="9"/>
  <c r="L292" i="9"/>
  <c r="L317" i="9"/>
  <c r="L343" i="9" s="1"/>
  <c r="J11" i="5" s="1"/>
  <c r="L334" i="9"/>
  <c r="M57" i="9"/>
  <c r="R57" i="9"/>
  <c r="S57" i="9" s="1"/>
  <c r="E58" i="9"/>
  <c r="F58" i="9" s="1"/>
  <c r="Q346" i="7"/>
  <c r="GK157" i="7"/>
  <c r="GC157" i="7"/>
  <c r="EE161" i="7"/>
  <c r="GC156" i="7"/>
  <c r="GC158" i="7"/>
  <c r="FP158" i="7"/>
  <c r="R328" i="7"/>
  <c r="R329" i="7" s="1"/>
  <c r="FP162" i="7"/>
  <c r="V328" i="7"/>
  <c r="V329" i="7" s="1"/>
  <c r="FD162" i="7"/>
  <c r="HB160" i="7"/>
  <c r="GC159" i="7"/>
  <c r="GC163" i="7"/>
  <c r="EE158" i="7"/>
  <c r="DF156" i="7"/>
  <c r="DF157" i="7"/>
  <c r="DF159" i="7"/>
  <c r="EE159" i="7"/>
  <c r="GC160" i="7"/>
  <c r="HB163" i="7"/>
  <c r="HB162" i="7"/>
  <c r="HB157" i="7"/>
  <c r="FD158" i="7"/>
  <c r="FD163" i="7"/>
  <c r="EE157" i="7"/>
  <c r="EE156" i="7"/>
  <c r="DF160" i="7"/>
  <c r="DF161" i="7"/>
  <c r="GC162" i="7"/>
  <c r="FD160" i="7"/>
  <c r="HB159" i="7"/>
  <c r="GC161" i="7"/>
  <c r="FD159" i="7"/>
  <c r="EE162" i="7"/>
  <c r="HB161" i="7"/>
  <c r="DF158" i="7"/>
  <c r="EE163" i="7"/>
  <c r="HB158" i="7"/>
  <c r="EE160" i="7"/>
  <c r="FD156" i="7"/>
  <c r="HB156" i="7"/>
  <c r="FD157" i="7"/>
  <c r="HJ12" i="7"/>
  <c r="HK12" i="7" s="1"/>
  <c r="GX12" i="7"/>
  <c r="GW13" i="7" s="1"/>
  <c r="HE12" i="7"/>
  <c r="HG12" i="7"/>
  <c r="HC13" i="7"/>
  <c r="GK12" i="7"/>
  <c r="GL12" i="7" s="1"/>
  <c r="FY12" i="7"/>
  <c r="FX13" i="7" s="1"/>
  <c r="GF12" i="7"/>
  <c r="GH11" i="7"/>
  <c r="GD12" i="7"/>
  <c r="FL13" i="7"/>
  <c r="FM13" i="7" s="1"/>
  <c r="FG13" i="7"/>
  <c r="EZ13" i="7"/>
  <c r="EY14" i="7" s="1"/>
  <c r="FE13" i="7"/>
  <c r="FI12" i="7"/>
  <c r="EM13" i="7"/>
  <c r="EN13" i="7" s="1"/>
  <c r="EH13" i="7"/>
  <c r="EA13" i="7"/>
  <c r="DZ14" i="7" s="1"/>
  <c r="EJ13" i="7"/>
  <c r="EF14" i="7"/>
  <c r="DG13" i="7"/>
  <c r="DK12" i="7"/>
  <c r="DI13" i="7"/>
  <c r="DB13" i="7"/>
  <c r="DA14" i="7" s="1"/>
  <c r="DN13" i="7"/>
  <c r="DO13" i="7" s="1"/>
  <c r="BZ94" i="8"/>
  <c r="CT93" i="8"/>
  <c r="CV93" i="8" s="1"/>
  <c r="DP93" i="8"/>
  <c r="DR93" i="8" s="1"/>
  <c r="CK93" i="8"/>
  <c r="AP93" i="8"/>
  <c r="AK93" i="8"/>
  <c r="T93" i="8"/>
  <c r="V93" i="8" s="1"/>
  <c r="C94" i="8"/>
  <c r="DJ93" i="8"/>
  <c r="BO93" i="8"/>
  <c r="BJ93" i="8"/>
  <c r="AS93" i="8"/>
  <c r="AU93" i="8" s="1"/>
  <c r="W93" i="8"/>
  <c r="Y93" i="8" s="1"/>
  <c r="N93" i="8"/>
  <c r="CN93" i="8"/>
  <c r="CI93" i="8"/>
  <c r="BR93" i="8"/>
  <c r="BT93" i="8" s="1"/>
  <c r="AM93" i="8"/>
  <c r="L93" i="8"/>
  <c r="DM93" i="8"/>
  <c r="BL93" i="8"/>
  <c r="DH93" i="8"/>
  <c r="CQ93" i="8"/>
  <c r="CS93" i="8" s="1"/>
  <c r="Q93" i="8"/>
  <c r="BZ31" i="8"/>
  <c r="CT30" i="8"/>
  <c r="CV30" i="8" s="1"/>
  <c r="BZ19" i="8"/>
  <c r="CT19" i="8" s="1"/>
  <c r="CV19" i="8" s="1"/>
  <c r="CT18" i="8"/>
  <c r="CV18" i="8" s="1"/>
  <c r="AN9" i="8"/>
  <c r="AJ10" i="8"/>
  <c r="BA54" i="8"/>
  <c r="BU54" i="8" s="1"/>
  <c r="BW54" i="8" s="1"/>
  <c r="BU53" i="8"/>
  <c r="BW53" i="8" s="1"/>
  <c r="BA95" i="8"/>
  <c r="BU94" i="8"/>
  <c r="BW94" i="8" s="1"/>
  <c r="AB88" i="8"/>
  <c r="AV87" i="8"/>
  <c r="AX87" i="8" s="1"/>
  <c r="CY12" i="8"/>
  <c r="DS12" i="8" s="1"/>
  <c r="DU12" i="8" s="1"/>
  <c r="DS11" i="8"/>
  <c r="DU11" i="8" s="1"/>
  <c r="CY60" i="8"/>
  <c r="DS59" i="8"/>
  <c r="DU59" i="8" s="1"/>
  <c r="CY74" i="8"/>
  <c r="DS73" i="8"/>
  <c r="DU73" i="8" s="1"/>
  <c r="DM122" i="8"/>
  <c r="DH122" i="8"/>
  <c r="CQ122" i="8"/>
  <c r="CS122" i="8" s="1"/>
  <c r="BL122" i="8"/>
  <c r="Q122" i="8"/>
  <c r="L122" i="8"/>
  <c r="DP122" i="8"/>
  <c r="DR122" i="8" s="1"/>
  <c r="CK122" i="8"/>
  <c r="AP122" i="8"/>
  <c r="AK122" i="8"/>
  <c r="T122" i="8"/>
  <c r="V122" i="8" s="1"/>
  <c r="DJ122" i="8"/>
  <c r="BO122" i="8"/>
  <c r="BJ122" i="8"/>
  <c r="AS122" i="8"/>
  <c r="AU122" i="8" s="1"/>
  <c r="W122" i="8"/>
  <c r="Y122" i="8" s="1"/>
  <c r="N122" i="8"/>
  <c r="C123" i="8"/>
  <c r="CN122" i="8"/>
  <c r="AM122" i="8"/>
  <c r="CI122" i="8"/>
  <c r="BR122" i="8"/>
  <c r="BT122" i="8" s="1"/>
  <c r="CY54" i="8"/>
  <c r="DS54" i="8" s="1"/>
  <c r="DU54" i="8" s="1"/>
  <c r="DS53" i="8"/>
  <c r="DU53" i="8" s="1"/>
  <c r="C32" i="8"/>
  <c r="DJ31" i="8"/>
  <c r="BO31" i="8"/>
  <c r="BJ31" i="8"/>
  <c r="AS31" i="8"/>
  <c r="AU31" i="8" s="1"/>
  <c r="W31" i="8"/>
  <c r="Y31" i="8" s="1"/>
  <c r="N31" i="8"/>
  <c r="CN31" i="8"/>
  <c r="CI31" i="8"/>
  <c r="BR31" i="8"/>
  <c r="BT31" i="8" s="1"/>
  <c r="AM31" i="8"/>
  <c r="DM31" i="8"/>
  <c r="DH31" i="8"/>
  <c r="CQ31" i="8"/>
  <c r="CS31" i="8" s="1"/>
  <c r="BL31" i="8"/>
  <c r="Q31" i="8"/>
  <c r="L31" i="8"/>
  <c r="AP31" i="8"/>
  <c r="AK31" i="8"/>
  <c r="T31" i="8"/>
  <c r="V31" i="8" s="1"/>
  <c r="CK31" i="8"/>
  <c r="DP31" i="8"/>
  <c r="DR31" i="8" s="1"/>
  <c r="BZ116" i="8"/>
  <c r="CT115" i="8"/>
  <c r="CV115" i="8" s="1"/>
  <c r="AB17" i="8"/>
  <c r="AV16" i="8"/>
  <c r="AX16" i="8" s="1"/>
  <c r="DM44" i="8"/>
  <c r="DH44" i="8"/>
  <c r="CQ44" i="8"/>
  <c r="CS44" i="8" s="1"/>
  <c r="BL44" i="8"/>
  <c r="Q44" i="8"/>
  <c r="L44" i="8"/>
  <c r="AM44" i="8"/>
  <c r="DP44" i="8"/>
  <c r="DR44" i="8" s="1"/>
  <c r="CK44" i="8"/>
  <c r="AP44" i="8"/>
  <c r="AK44" i="8"/>
  <c r="T44" i="8"/>
  <c r="V44" i="8" s="1"/>
  <c r="CN44" i="8"/>
  <c r="C45" i="8"/>
  <c r="DJ44" i="8"/>
  <c r="BO44" i="8"/>
  <c r="BJ44" i="8"/>
  <c r="AS44" i="8"/>
  <c r="AU44" i="8" s="1"/>
  <c r="W44" i="8"/>
  <c r="Y44" i="8" s="1"/>
  <c r="N44" i="8"/>
  <c r="CI44" i="8"/>
  <c r="BR44" i="8"/>
  <c r="BT44" i="8" s="1"/>
  <c r="BZ45" i="8"/>
  <c r="CT44" i="8"/>
  <c r="CV44" i="8" s="1"/>
  <c r="AB68" i="8"/>
  <c r="AV68" i="8" s="1"/>
  <c r="AX68" i="8" s="1"/>
  <c r="AV67" i="8"/>
  <c r="AX67" i="8" s="1"/>
  <c r="BZ108" i="8"/>
  <c r="CT107" i="8"/>
  <c r="CV107" i="8" s="1"/>
  <c r="BZ88" i="8"/>
  <c r="CT87" i="8"/>
  <c r="CV87" i="8" s="1"/>
  <c r="CY87" i="8"/>
  <c r="DS86" i="8"/>
  <c r="DU86" i="8" s="1"/>
  <c r="AV130" i="8"/>
  <c r="AX130" i="8" s="1"/>
  <c r="AB131" i="8"/>
  <c r="AV131" i="8" s="1"/>
  <c r="AX131" i="8" s="1"/>
  <c r="BA138" i="8"/>
  <c r="BU138" i="8" s="1"/>
  <c r="BW138" i="8" s="1"/>
  <c r="BU137" i="8"/>
  <c r="BW137" i="8" s="1"/>
  <c r="AB136" i="8"/>
  <c r="AV135" i="8"/>
  <c r="AX135" i="8" s="1"/>
  <c r="AQ9" i="8"/>
  <c r="AR9" i="8" s="1"/>
  <c r="AE9" i="8"/>
  <c r="AD10" i="8" s="1"/>
  <c r="AL9" i="8"/>
  <c r="AB73" i="8"/>
  <c r="AV72" i="8"/>
  <c r="AX72" i="8" s="1"/>
  <c r="CY80" i="8"/>
  <c r="DS79" i="8"/>
  <c r="DU79" i="8" s="1"/>
  <c r="C25" i="8"/>
  <c r="DJ24" i="8"/>
  <c r="BO24" i="8"/>
  <c r="BJ24" i="8"/>
  <c r="AS24" i="8"/>
  <c r="AU24" i="8" s="1"/>
  <c r="W24" i="8"/>
  <c r="Y24" i="8" s="1"/>
  <c r="N24" i="8"/>
  <c r="CN24" i="8"/>
  <c r="CI24" i="8"/>
  <c r="BR24" i="8"/>
  <c r="BT24" i="8" s="1"/>
  <c r="AM24" i="8"/>
  <c r="DM24" i="8"/>
  <c r="DH24" i="8"/>
  <c r="CQ24" i="8"/>
  <c r="CS24" i="8" s="1"/>
  <c r="BL24" i="8"/>
  <c r="Q24" i="8"/>
  <c r="L24" i="8"/>
  <c r="AP24" i="8"/>
  <c r="DP24" i="8"/>
  <c r="DR24" i="8" s="1"/>
  <c r="AK24" i="8"/>
  <c r="T24" i="8"/>
  <c r="V24" i="8" s="1"/>
  <c r="CK24" i="8"/>
  <c r="BZ81" i="8"/>
  <c r="CT80" i="8"/>
  <c r="CV80" i="8" s="1"/>
  <c r="DM59" i="8"/>
  <c r="DH59" i="8"/>
  <c r="CQ59" i="8"/>
  <c r="CS59" i="8" s="1"/>
  <c r="BL59" i="8"/>
  <c r="Q59" i="8"/>
  <c r="L59" i="8"/>
  <c r="DP59" i="8"/>
  <c r="DR59" i="8" s="1"/>
  <c r="CK59" i="8"/>
  <c r="AP59" i="8"/>
  <c r="AK59" i="8"/>
  <c r="T59" i="8"/>
  <c r="V59" i="8" s="1"/>
  <c r="DJ59" i="8"/>
  <c r="BO59" i="8"/>
  <c r="BJ59" i="8"/>
  <c r="AS59" i="8"/>
  <c r="AU59" i="8" s="1"/>
  <c r="W59" i="8"/>
  <c r="Y59" i="8" s="1"/>
  <c r="N59" i="8"/>
  <c r="C60" i="8"/>
  <c r="CN59" i="8"/>
  <c r="AM59" i="8"/>
  <c r="CI59" i="8"/>
  <c r="BR59" i="8"/>
  <c r="BT59" i="8" s="1"/>
  <c r="BM8" i="8"/>
  <c r="BI9" i="8"/>
  <c r="BA131" i="8"/>
  <c r="BU131" i="8" s="1"/>
  <c r="BW131" i="8" s="1"/>
  <c r="BU130" i="8"/>
  <c r="BW130" i="8" s="1"/>
  <c r="C129" i="8"/>
  <c r="DM128" i="8"/>
  <c r="DH128" i="8"/>
  <c r="CQ128" i="8"/>
  <c r="CS128" i="8" s="1"/>
  <c r="BL128" i="8"/>
  <c r="Q128" i="8"/>
  <c r="L128" i="8"/>
  <c r="DP128" i="8"/>
  <c r="DR128" i="8" s="1"/>
  <c r="CK128" i="8"/>
  <c r="AP128" i="8"/>
  <c r="AK128" i="8"/>
  <c r="T128" i="8"/>
  <c r="V128" i="8" s="1"/>
  <c r="DJ128" i="8"/>
  <c r="BO128" i="8"/>
  <c r="BJ128" i="8"/>
  <c r="AS128" i="8"/>
  <c r="AU128" i="8" s="1"/>
  <c r="W128" i="8"/>
  <c r="Y128" i="8" s="1"/>
  <c r="N128" i="8"/>
  <c r="CN128" i="8"/>
  <c r="AM128" i="8"/>
  <c r="CI128" i="8"/>
  <c r="BR128" i="8"/>
  <c r="BT128" i="8" s="1"/>
  <c r="BA89" i="8"/>
  <c r="BU89" i="8" s="1"/>
  <c r="BW89" i="8" s="1"/>
  <c r="BU88" i="8"/>
  <c r="BW88" i="8" s="1"/>
  <c r="DM17" i="8"/>
  <c r="DH17" i="8"/>
  <c r="CQ17" i="8"/>
  <c r="CS17" i="8" s="1"/>
  <c r="BL17" i="8"/>
  <c r="Q17" i="8"/>
  <c r="L17" i="8"/>
  <c r="DP17" i="8"/>
  <c r="DR17" i="8" s="1"/>
  <c r="CK17" i="8"/>
  <c r="AP17" i="8"/>
  <c r="AK17" i="8"/>
  <c r="T17" i="8"/>
  <c r="V17" i="8" s="1"/>
  <c r="C18" i="8"/>
  <c r="DJ17" i="8"/>
  <c r="BO17" i="8"/>
  <c r="BJ17" i="8"/>
  <c r="AS17" i="8"/>
  <c r="AU17" i="8" s="1"/>
  <c r="W17" i="8"/>
  <c r="Y17" i="8" s="1"/>
  <c r="N17" i="8"/>
  <c r="CI17" i="8"/>
  <c r="BR17" i="8"/>
  <c r="BT17" i="8" s="1"/>
  <c r="CN17" i="8"/>
  <c r="AM17" i="8"/>
  <c r="BA61" i="8"/>
  <c r="BU61" i="8" s="1"/>
  <c r="BW61" i="8" s="1"/>
  <c r="BU60" i="8"/>
  <c r="BW60" i="8" s="1"/>
  <c r="BZ130" i="8"/>
  <c r="CT129" i="8"/>
  <c r="CV129" i="8" s="1"/>
  <c r="AB33" i="8"/>
  <c r="AV33" i="8" s="1"/>
  <c r="AX33" i="8" s="1"/>
  <c r="AV32" i="8"/>
  <c r="AX32" i="8" s="1"/>
  <c r="CO9" i="8"/>
  <c r="CC9" i="8"/>
  <c r="CB10" i="8" s="1"/>
  <c r="CJ9" i="8"/>
  <c r="BA46" i="8"/>
  <c r="BU45" i="8"/>
  <c r="BW45" i="8" s="1"/>
  <c r="BU31" i="8"/>
  <c r="BW31" i="8" s="1"/>
  <c r="BA32" i="8"/>
  <c r="BZ102" i="8"/>
  <c r="CT101" i="8"/>
  <c r="CV101" i="8" s="1"/>
  <c r="AV94" i="8"/>
  <c r="AX94" i="8" s="1"/>
  <c r="AB95" i="8"/>
  <c r="BA116" i="8"/>
  <c r="BU115" i="8"/>
  <c r="BW115" i="8" s="1"/>
  <c r="DP38" i="8"/>
  <c r="DR38" i="8" s="1"/>
  <c r="CK38" i="8"/>
  <c r="AP38" i="8"/>
  <c r="AK38" i="8"/>
  <c r="T38" i="8"/>
  <c r="V38" i="8" s="1"/>
  <c r="BL38" i="8"/>
  <c r="C39" i="8"/>
  <c r="DJ38" i="8"/>
  <c r="BO38" i="8"/>
  <c r="BJ38" i="8"/>
  <c r="AS38" i="8"/>
  <c r="AU38" i="8" s="1"/>
  <c r="W38" i="8"/>
  <c r="Y38" i="8" s="1"/>
  <c r="N38" i="8"/>
  <c r="DM38" i="8"/>
  <c r="CQ38" i="8"/>
  <c r="CS38" i="8" s="1"/>
  <c r="Q38" i="8"/>
  <c r="CN38" i="8"/>
  <c r="CI38" i="8"/>
  <c r="BR38" i="8"/>
  <c r="BT38" i="8" s="1"/>
  <c r="AM38" i="8"/>
  <c r="DH38" i="8"/>
  <c r="L38" i="8"/>
  <c r="CY46" i="8"/>
  <c r="DS45" i="8"/>
  <c r="DU45" i="8" s="1"/>
  <c r="CY18" i="8"/>
  <c r="DS17" i="8"/>
  <c r="DU17" i="8" s="1"/>
  <c r="DK7" i="8"/>
  <c r="DG8" i="8"/>
  <c r="O7" i="8"/>
  <c r="K8" i="8"/>
  <c r="AB39" i="8"/>
  <c r="AV38" i="8"/>
  <c r="AX38" i="8" s="1"/>
  <c r="DM65" i="8"/>
  <c r="DH65" i="8"/>
  <c r="CQ65" i="8"/>
  <c r="CS65" i="8" s="1"/>
  <c r="BL65" i="8"/>
  <c r="Q65" i="8"/>
  <c r="L65" i="8"/>
  <c r="DP65" i="8"/>
  <c r="DR65" i="8" s="1"/>
  <c r="CK65" i="8"/>
  <c r="AP65" i="8"/>
  <c r="AK65" i="8"/>
  <c r="T65" i="8"/>
  <c r="V65" i="8" s="1"/>
  <c r="C66" i="8"/>
  <c r="DJ65" i="8"/>
  <c r="BO65" i="8"/>
  <c r="BJ65" i="8"/>
  <c r="AS65" i="8"/>
  <c r="AU65" i="8" s="1"/>
  <c r="W65" i="8"/>
  <c r="Y65" i="8" s="1"/>
  <c r="N65" i="8"/>
  <c r="BR65" i="8"/>
  <c r="BT65" i="8" s="1"/>
  <c r="CN65" i="8"/>
  <c r="AM65" i="8"/>
  <c r="CI65" i="8"/>
  <c r="DM79" i="8"/>
  <c r="DH79" i="8"/>
  <c r="CQ79" i="8"/>
  <c r="CS79" i="8" s="1"/>
  <c r="BL79" i="8"/>
  <c r="Q79" i="8"/>
  <c r="L79" i="8"/>
  <c r="DP79" i="8"/>
  <c r="DR79" i="8" s="1"/>
  <c r="CK79" i="8"/>
  <c r="AP79" i="8"/>
  <c r="AK79" i="8"/>
  <c r="T79" i="8"/>
  <c r="V79" i="8" s="1"/>
  <c r="CN79" i="8"/>
  <c r="BJ79" i="8"/>
  <c r="C80" i="8"/>
  <c r="BR79" i="8"/>
  <c r="BT79" i="8" s="1"/>
  <c r="CI79" i="8"/>
  <c r="BO79" i="8"/>
  <c r="AM79" i="8"/>
  <c r="DJ79" i="8"/>
  <c r="AS79" i="8"/>
  <c r="AU79" i="8" s="1"/>
  <c r="N79" i="8"/>
  <c r="W79" i="8"/>
  <c r="Y79" i="8" s="1"/>
  <c r="BA124" i="8"/>
  <c r="BU124" i="8" s="1"/>
  <c r="BW124" i="8" s="1"/>
  <c r="BU123" i="8"/>
  <c r="BW123" i="8" s="1"/>
  <c r="BZ61" i="8"/>
  <c r="CT61" i="8" s="1"/>
  <c r="CV61" i="8" s="1"/>
  <c r="CT60" i="8"/>
  <c r="CV60" i="8" s="1"/>
  <c r="DN8" i="8"/>
  <c r="DB8" i="8"/>
  <c r="DA9" i="8" s="1"/>
  <c r="DI8" i="8"/>
  <c r="BA101" i="8"/>
  <c r="BU100" i="8"/>
  <c r="BW100" i="8" s="1"/>
  <c r="BZ39" i="8"/>
  <c r="CT38" i="8"/>
  <c r="CV38" i="8" s="1"/>
  <c r="DM135" i="8"/>
  <c r="DH135" i="8"/>
  <c r="CQ135" i="8"/>
  <c r="CS135" i="8" s="1"/>
  <c r="BL135" i="8"/>
  <c r="Q135" i="8"/>
  <c r="L135" i="8"/>
  <c r="C136" i="8"/>
  <c r="DJ135" i="8"/>
  <c r="BO135" i="8"/>
  <c r="BJ135" i="8"/>
  <c r="AS135" i="8"/>
  <c r="AU135" i="8" s="1"/>
  <c r="W135" i="8"/>
  <c r="Y135" i="8" s="1"/>
  <c r="N135" i="8"/>
  <c r="AK135" i="8"/>
  <c r="DP135" i="8"/>
  <c r="DR135" i="8" s="1"/>
  <c r="CN135" i="8"/>
  <c r="BR135" i="8"/>
  <c r="BT135" i="8" s="1"/>
  <c r="CK135" i="8"/>
  <c r="AP135" i="8"/>
  <c r="T135" i="8"/>
  <c r="V135" i="8" s="1"/>
  <c r="CI135" i="8"/>
  <c r="AM135" i="8"/>
  <c r="CT12" i="8"/>
  <c r="CV12" i="8" s="1"/>
  <c r="BA10" i="8"/>
  <c r="BU9" i="8"/>
  <c r="BW9" i="8" s="1"/>
  <c r="BA25" i="8"/>
  <c r="BU24" i="8"/>
  <c r="BW24" i="8" s="1"/>
  <c r="DP73" i="8"/>
  <c r="DR73" i="8" s="1"/>
  <c r="CK73" i="8"/>
  <c r="AS73" i="8"/>
  <c r="AU73" i="8" s="1"/>
  <c r="C74" i="8"/>
  <c r="DJ73" i="8"/>
  <c r="BO73" i="8"/>
  <c r="BJ73" i="8"/>
  <c r="AM73" i="8"/>
  <c r="Q73" i="8"/>
  <c r="L73" i="8"/>
  <c r="CN73" i="8"/>
  <c r="CI73" i="8"/>
  <c r="BR73" i="8"/>
  <c r="BT73" i="8" s="1"/>
  <c r="T73" i="8"/>
  <c r="V73" i="8" s="1"/>
  <c r="DM73" i="8"/>
  <c r="BL73" i="8"/>
  <c r="AP73" i="8"/>
  <c r="W73" i="8"/>
  <c r="Y73" i="8" s="1"/>
  <c r="DH73" i="8"/>
  <c r="CQ73" i="8"/>
  <c r="CS73" i="8" s="1"/>
  <c r="AK73" i="8"/>
  <c r="N73" i="8"/>
  <c r="BA109" i="8"/>
  <c r="BU108" i="8"/>
  <c r="BW108" i="8" s="1"/>
  <c r="AB53" i="8"/>
  <c r="AV52" i="8"/>
  <c r="AX52" i="8" s="1"/>
  <c r="DM114" i="8"/>
  <c r="DH114" i="8"/>
  <c r="CQ114" i="8"/>
  <c r="CS114" i="8" s="1"/>
  <c r="BL114" i="8"/>
  <c r="Q114" i="8"/>
  <c r="L114" i="8"/>
  <c r="DP114" i="8"/>
  <c r="DR114" i="8" s="1"/>
  <c r="CK114" i="8"/>
  <c r="AP114" i="8"/>
  <c r="AK114" i="8"/>
  <c r="T114" i="8"/>
  <c r="V114" i="8" s="1"/>
  <c r="C115" i="8"/>
  <c r="DJ114" i="8"/>
  <c r="BO114" i="8"/>
  <c r="BJ114" i="8"/>
  <c r="AS114" i="8"/>
  <c r="AU114" i="8" s="1"/>
  <c r="W114" i="8"/>
  <c r="Y114" i="8" s="1"/>
  <c r="N114" i="8"/>
  <c r="CI114" i="8"/>
  <c r="BR114" i="8"/>
  <c r="BT114" i="8" s="1"/>
  <c r="CN114" i="8"/>
  <c r="AM114" i="8"/>
  <c r="DO8" i="8"/>
  <c r="BP8" i="8"/>
  <c r="BQ8" i="8" s="1"/>
  <c r="BD8" i="8"/>
  <c r="BC9" i="8" s="1"/>
  <c r="BK8" i="8"/>
  <c r="C10" i="8"/>
  <c r="DJ9" i="8"/>
  <c r="BO9" i="8"/>
  <c r="BJ9" i="8"/>
  <c r="AS9" i="8"/>
  <c r="AU9" i="8" s="1"/>
  <c r="W9" i="8"/>
  <c r="Y9" i="8" s="1"/>
  <c r="N9" i="8"/>
  <c r="CN9" i="8"/>
  <c r="BR9" i="8"/>
  <c r="BT9" i="8" s="1"/>
  <c r="CI9" i="8"/>
  <c r="AM9" i="8"/>
  <c r="DM9" i="8"/>
  <c r="DH9" i="8"/>
  <c r="CQ9" i="8"/>
  <c r="CS9" i="8" s="1"/>
  <c r="BL9" i="8"/>
  <c r="Q9" i="8"/>
  <c r="L9" i="8"/>
  <c r="AK9" i="8"/>
  <c r="T9" i="8"/>
  <c r="V9" i="8" s="1"/>
  <c r="CK9" i="8"/>
  <c r="AP9" i="8"/>
  <c r="DP9" i="8"/>
  <c r="DR9" i="8" s="1"/>
  <c r="BZ75" i="8"/>
  <c r="CT75" i="8" s="1"/>
  <c r="CV75" i="8" s="1"/>
  <c r="CT74" i="8"/>
  <c r="CV74" i="8" s="1"/>
  <c r="AB117" i="8"/>
  <c r="AV117" i="8" s="1"/>
  <c r="AX117" i="8" s="1"/>
  <c r="AV116" i="8"/>
  <c r="AX116" i="8" s="1"/>
  <c r="AB59" i="8"/>
  <c r="AV58" i="8"/>
  <c r="AX58" i="8" s="1"/>
  <c r="AB82" i="8"/>
  <c r="AV82" i="8" s="1"/>
  <c r="AX82" i="8" s="1"/>
  <c r="AV81" i="8"/>
  <c r="AX81" i="8" s="1"/>
  <c r="BZ124" i="8"/>
  <c r="CT124" i="8" s="1"/>
  <c r="CV124" i="8" s="1"/>
  <c r="CT123" i="8"/>
  <c r="CV123" i="8" s="1"/>
  <c r="AB108" i="8"/>
  <c r="AV107" i="8"/>
  <c r="AX107" i="8" s="1"/>
  <c r="C109" i="8"/>
  <c r="DJ108" i="8"/>
  <c r="BO108" i="8"/>
  <c r="BJ108" i="8"/>
  <c r="AS108" i="8"/>
  <c r="AU108" i="8" s="1"/>
  <c r="W108" i="8"/>
  <c r="Y108" i="8" s="1"/>
  <c r="N108" i="8"/>
  <c r="CN108" i="8"/>
  <c r="CI108" i="8"/>
  <c r="BR108" i="8"/>
  <c r="BT108" i="8" s="1"/>
  <c r="AM108" i="8"/>
  <c r="DM108" i="8"/>
  <c r="DH108" i="8"/>
  <c r="CQ108" i="8"/>
  <c r="CS108" i="8" s="1"/>
  <c r="BL108" i="8"/>
  <c r="Q108" i="8"/>
  <c r="L108" i="8"/>
  <c r="AP108" i="8"/>
  <c r="AK108" i="8"/>
  <c r="T108" i="8"/>
  <c r="V108" i="8" s="1"/>
  <c r="CK108" i="8"/>
  <c r="DP108" i="8"/>
  <c r="DR108" i="8" s="1"/>
  <c r="C293" i="8"/>
  <c r="AB11" i="8"/>
  <c r="AV10" i="8"/>
  <c r="AX10" i="8" s="1"/>
  <c r="BA40" i="8"/>
  <c r="BU40" i="8" s="1"/>
  <c r="BW40" i="8" s="1"/>
  <c r="BU39" i="8"/>
  <c r="BW39" i="8" s="1"/>
  <c r="BA68" i="8"/>
  <c r="BU68" i="8" s="1"/>
  <c r="BW68" i="8" s="1"/>
  <c r="BU67" i="8"/>
  <c r="BW67" i="8" s="1"/>
  <c r="CY123" i="8"/>
  <c r="DS122" i="8"/>
  <c r="DU122" i="8" s="1"/>
  <c r="CY138" i="8"/>
  <c r="DS138" i="8" s="1"/>
  <c r="DU138" i="8" s="1"/>
  <c r="DS137" i="8"/>
  <c r="DU137" i="8" s="1"/>
  <c r="BZ24" i="8"/>
  <c r="CT23" i="8"/>
  <c r="CV23" i="8" s="1"/>
  <c r="C54" i="8"/>
  <c r="DJ53" i="8"/>
  <c r="BO53" i="8"/>
  <c r="BJ53" i="8"/>
  <c r="DM53" i="8"/>
  <c r="DH53" i="8"/>
  <c r="CQ53" i="8"/>
  <c r="CS53" i="8" s="1"/>
  <c r="BL53" i="8"/>
  <c r="DP53" i="8"/>
  <c r="DR53" i="8" s="1"/>
  <c r="CN53" i="8"/>
  <c r="BR53" i="8"/>
  <c r="BT53" i="8" s="1"/>
  <c r="AM53" i="8"/>
  <c r="CK53" i="8"/>
  <c r="Q53" i="8"/>
  <c r="L53" i="8"/>
  <c r="W53" i="8"/>
  <c r="Y53" i="8" s="1"/>
  <c r="CI53" i="8"/>
  <c r="AP53" i="8"/>
  <c r="AK53" i="8"/>
  <c r="T53" i="8"/>
  <c r="V53" i="8" s="1"/>
  <c r="AS53" i="8"/>
  <c r="AU53" i="8" s="1"/>
  <c r="N53" i="8"/>
  <c r="AB46" i="8"/>
  <c r="AV45" i="8"/>
  <c r="AX45" i="8" s="1"/>
  <c r="DM86" i="8"/>
  <c r="DH86" i="8"/>
  <c r="CQ86" i="8"/>
  <c r="CS86" i="8" s="1"/>
  <c r="BL86" i="8"/>
  <c r="Q86" i="8"/>
  <c r="L86" i="8"/>
  <c r="DP86" i="8"/>
  <c r="DR86" i="8" s="1"/>
  <c r="CK86" i="8"/>
  <c r="AP86" i="8"/>
  <c r="AK86" i="8"/>
  <c r="T86" i="8"/>
  <c r="V86" i="8" s="1"/>
  <c r="C87" i="8"/>
  <c r="DJ86" i="8"/>
  <c r="BO86" i="8"/>
  <c r="BJ86" i="8"/>
  <c r="AS86" i="8"/>
  <c r="AU86" i="8" s="1"/>
  <c r="W86" i="8"/>
  <c r="Y86" i="8" s="1"/>
  <c r="N86" i="8"/>
  <c r="CI86" i="8"/>
  <c r="BR86" i="8"/>
  <c r="BT86" i="8" s="1"/>
  <c r="CN86" i="8"/>
  <c r="AM86" i="8"/>
  <c r="CY110" i="8"/>
  <c r="DS110" i="8" s="1"/>
  <c r="DU110" i="8" s="1"/>
  <c r="DS109" i="8"/>
  <c r="DU109" i="8" s="1"/>
  <c r="BA82" i="8"/>
  <c r="BU82" i="8" s="1"/>
  <c r="BW82" i="8" s="1"/>
  <c r="BU81" i="8"/>
  <c r="BW81" i="8" s="1"/>
  <c r="BA74" i="8"/>
  <c r="BU73" i="8"/>
  <c r="BW73" i="8" s="1"/>
  <c r="CY103" i="8"/>
  <c r="DS103" i="8" s="1"/>
  <c r="DU103" i="8" s="1"/>
  <c r="DS102" i="8"/>
  <c r="DU102" i="8" s="1"/>
  <c r="CY95" i="8"/>
  <c r="DS94" i="8"/>
  <c r="DU94" i="8" s="1"/>
  <c r="CY115" i="8"/>
  <c r="DS114" i="8"/>
  <c r="DU114" i="8" s="1"/>
  <c r="CY129" i="8"/>
  <c r="DS128" i="8"/>
  <c r="DU128" i="8" s="1"/>
  <c r="BZ136" i="8"/>
  <c r="CT135" i="8"/>
  <c r="CV135" i="8" s="1"/>
  <c r="AB102" i="8"/>
  <c r="AV101" i="8"/>
  <c r="AX101" i="8" s="1"/>
  <c r="AB122" i="8"/>
  <c r="AV121" i="8"/>
  <c r="AX121" i="8" s="1"/>
  <c r="DS32" i="8"/>
  <c r="DU32" i="8" s="1"/>
  <c r="CY33" i="8"/>
  <c r="DS33" i="8" s="1"/>
  <c r="DU33" i="8" s="1"/>
  <c r="CL9" i="8"/>
  <c r="CH10" i="8"/>
  <c r="BZ53" i="8"/>
  <c r="CT52" i="8"/>
  <c r="CV52" i="8" s="1"/>
  <c r="CY66" i="8"/>
  <c r="DS65" i="8"/>
  <c r="DU65" i="8" s="1"/>
  <c r="DM102" i="8"/>
  <c r="DH102" i="8"/>
  <c r="CQ102" i="8"/>
  <c r="CS102" i="8" s="1"/>
  <c r="BL102" i="8"/>
  <c r="Q102" i="8"/>
  <c r="L102" i="8"/>
  <c r="C103" i="8"/>
  <c r="DJ102" i="8"/>
  <c r="BO102" i="8"/>
  <c r="BJ102" i="8"/>
  <c r="AS102" i="8"/>
  <c r="AU102" i="8" s="1"/>
  <c r="W102" i="8"/>
  <c r="Y102" i="8" s="1"/>
  <c r="N102" i="8"/>
  <c r="DP102" i="8"/>
  <c r="DR102" i="8" s="1"/>
  <c r="CN102" i="8"/>
  <c r="BR102" i="8"/>
  <c r="BT102" i="8" s="1"/>
  <c r="AP102" i="8"/>
  <c r="T102" i="8"/>
  <c r="V102" i="8" s="1"/>
  <c r="CK102" i="8"/>
  <c r="AM102" i="8"/>
  <c r="AK102" i="8"/>
  <c r="CI102" i="8"/>
  <c r="AB25" i="8"/>
  <c r="AV24" i="8"/>
  <c r="AX24" i="8" s="1"/>
  <c r="CP8" i="8"/>
  <c r="CP9" i="8" s="1"/>
  <c r="BZ67" i="8"/>
  <c r="CT66" i="8"/>
  <c r="CV66" i="8" s="1"/>
  <c r="R8" i="8"/>
  <c r="S8" i="8" s="1"/>
  <c r="F8" i="8"/>
  <c r="E9" i="8" s="1"/>
  <c r="M8" i="8"/>
  <c r="CL58" i="1"/>
  <c r="CL53" i="1"/>
  <c r="AN56" i="1"/>
  <c r="AN50" i="1"/>
  <c r="BM46" i="1"/>
  <c r="L302" i="9" l="1"/>
  <c r="L329" i="9" s="1"/>
  <c r="L307" i="9"/>
  <c r="L331" i="9" s="1"/>
  <c r="DK65" i="9"/>
  <c r="DG66" i="9"/>
  <c r="DN65" i="9"/>
  <c r="DO65" i="9" s="1"/>
  <c r="DB65" i="9"/>
  <c r="DA66" i="9" s="1"/>
  <c r="DI65" i="9"/>
  <c r="CO66" i="9"/>
  <c r="CP66" i="9" s="1"/>
  <c r="CC66" i="9"/>
  <c r="CB67" i="9" s="1"/>
  <c r="CJ66" i="9"/>
  <c r="CL66" i="9"/>
  <c r="CH67" i="9"/>
  <c r="BD65" i="9"/>
  <c r="BC66" i="9" s="1"/>
  <c r="BK65" i="9"/>
  <c r="BP65" i="9"/>
  <c r="BQ65" i="9" s="1"/>
  <c r="BI67" i="9"/>
  <c r="BM67" i="9" s="1"/>
  <c r="AJ66" i="9"/>
  <c r="AN65" i="9"/>
  <c r="AQ65" i="9"/>
  <c r="AR65" i="9" s="1"/>
  <c r="AE65" i="9"/>
  <c r="AD66" i="9" s="1"/>
  <c r="AL65" i="9"/>
  <c r="R58" i="9"/>
  <c r="S58" i="9" s="1"/>
  <c r="E59" i="9"/>
  <c r="F59" i="9" s="1"/>
  <c r="M58" i="9"/>
  <c r="O64" i="9"/>
  <c r="K65" i="9"/>
  <c r="L300" i="9"/>
  <c r="L328" i="9" s="1"/>
  <c r="HJ13" i="7"/>
  <c r="HK13" i="7" s="1"/>
  <c r="HE13" i="7"/>
  <c r="GX13" i="7"/>
  <c r="GW14" i="7" s="1"/>
  <c r="HG13" i="7"/>
  <c r="HC14" i="7"/>
  <c r="GF13" i="7"/>
  <c r="GK13" i="7"/>
  <c r="GL13" i="7" s="1"/>
  <c r="FY13" i="7"/>
  <c r="FX14" i="7" s="1"/>
  <c r="GD13" i="7"/>
  <c r="GH12" i="7"/>
  <c r="FI13" i="7"/>
  <c r="FE14" i="7"/>
  <c r="FL14" i="7"/>
  <c r="FM14" i="7" s="1"/>
  <c r="EZ14" i="7"/>
  <c r="EY15" i="7" s="1"/>
  <c r="FG14" i="7"/>
  <c r="EM14" i="7"/>
  <c r="EN14" i="7" s="1"/>
  <c r="EA14" i="7"/>
  <c r="DZ15" i="7" s="1"/>
  <c r="EH14" i="7"/>
  <c r="EF15" i="7"/>
  <c r="EJ14" i="7"/>
  <c r="DK13" i="7"/>
  <c r="DG14" i="7"/>
  <c r="DN14" i="7"/>
  <c r="DO14" i="7" s="1"/>
  <c r="DB14" i="7"/>
  <c r="DA15" i="7" s="1"/>
  <c r="DI14" i="7"/>
  <c r="AB123" i="8"/>
  <c r="AV122" i="8"/>
  <c r="AX122" i="8" s="1"/>
  <c r="AV53" i="8"/>
  <c r="AX53" i="8" s="1"/>
  <c r="AB54" i="8"/>
  <c r="AV54" i="8" s="1"/>
  <c r="AX54" i="8" s="1"/>
  <c r="CN136" i="8"/>
  <c r="CI136" i="8"/>
  <c r="BR136" i="8"/>
  <c r="BT136" i="8" s="1"/>
  <c r="AM136" i="8"/>
  <c r="DP136" i="8"/>
  <c r="DR136" i="8" s="1"/>
  <c r="CK136" i="8"/>
  <c r="AP136" i="8"/>
  <c r="AK136" i="8"/>
  <c r="T136" i="8"/>
  <c r="V136" i="8" s="1"/>
  <c r="C137" i="8"/>
  <c r="DM136" i="8"/>
  <c r="CQ136" i="8"/>
  <c r="CS136" i="8" s="1"/>
  <c r="BO136" i="8"/>
  <c r="AS136" i="8"/>
  <c r="AU136" i="8" s="1"/>
  <c r="Q136" i="8"/>
  <c r="DJ136" i="8"/>
  <c r="BL136" i="8"/>
  <c r="W136" i="8"/>
  <c r="Y136" i="8" s="1"/>
  <c r="N136" i="8"/>
  <c r="BJ136" i="8"/>
  <c r="L136" i="8"/>
  <c r="DH136" i="8"/>
  <c r="DK8" i="8"/>
  <c r="DG9" i="8"/>
  <c r="BZ82" i="8"/>
  <c r="CT82" i="8" s="1"/>
  <c r="CV82" i="8" s="1"/>
  <c r="CT81" i="8"/>
  <c r="CV81" i="8" s="1"/>
  <c r="CY75" i="8"/>
  <c r="DS75" i="8" s="1"/>
  <c r="DU75" i="8" s="1"/>
  <c r="DS74" i="8"/>
  <c r="DU74" i="8" s="1"/>
  <c r="AB103" i="8"/>
  <c r="AV103" i="8" s="1"/>
  <c r="AX103" i="8" s="1"/>
  <c r="AV102" i="8"/>
  <c r="AX102" i="8" s="1"/>
  <c r="BU10" i="8"/>
  <c r="BW10" i="8" s="1"/>
  <c r="BA11" i="8"/>
  <c r="BZ40" i="8"/>
  <c r="CT40" i="8" s="1"/>
  <c r="CV40" i="8" s="1"/>
  <c r="CT39" i="8"/>
  <c r="CV39" i="8" s="1"/>
  <c r="DN9" i="8"/>
  <c r="DO9" i="8" s="1"/>
  <c r="DB9" i="8"/>
  <c r="DA10" i="8" s="1"/>
  <c r="DI9" i="8"/>
  <c r="AB40" i="8"/>
  <c r="AV40" i="8" s="1"/>
  <c r="AX40" i="8" s="1"/>
  <c r="AV39" i="8"/>
  <c r="AX39" i="8" s="1"/>
  <c r="CY47" i="8"/>
  <c r="DS47" i="8" s="1"/>
  <c r="DU47" i="8" s="1"/>
  <c r="DS46" i="8"/>
  <c r="DU46" i="8" s="1"/>
  <c r="DM39" i="8"/>
  <c r="DH39" i="8"/>
  <c r="CQ39" i="8"/>
  <c r="CS39" i="8" s="1"/>
  <c r="BL39" i="8"/>
  <c r="Q39" i="8"/>
  <c r="L39" i="8"/>
  <c r="CI39" i="8"/>
  <c r="BR39" i="8"/>
  <c r="BT39" i="8" s="1"/>
  <c r="DP39" i="8"/>
  <c r="DR39" i="8" s="1"/>
  <c r="CK39" i="8"/>
  <c r="AP39" i="8"/>
  <c r="AK39" i="8"/>
  <c r="T39" i="8"/>
  <c r="V39" i="8" s="1"/>
  <c r="CN39" i="8"/>
  <c r="C40" i="8"/>
  <c r="DJ39" i="8"/>
  <c r="BO39" i="8"/>
  <c r="BJ39" i="8"/>
  <c r="AS39" i="8"/>
  <c r="AU39" i="8" s="1"/>
  <c r="W39" i="8"/>
  <c r="Y39" i="8" s="1"/>
  <c r="N39" i="8"/>
  <c r="AM39" i="8"/>
  <c r="CJ10" i="8"/>
  <c r="CO10" i="8"/>
  <c r="CC10" i="8"/>
  <c r="CB11" i="8" s="1"/>
  <c r="C61" i="8"/>
  <c r="CQ60" i="8"/>
  <c r="CS60" i="8" s="1"/>
  <c r="AS60" i="8"/>
  <c r="AU60" i="8" s="1"/>
  <c r="W60" i="8"/>
  <c r="Y60" i="8" s="1"/>
  <c r="N60" i="8"/>
  <c r="DM60" i="8"/>
  <c r="DH60" i="8"/>
  <c r="CK60" i="8"/>
  <c r="BO60" i="8"/>
  <c r="BJ60" i="8"/>
  <c r="AM60" i="8"/>
  <c r="DP60" i="8"/>
  <c r="DR60" i="8" s="1"/>
  <c r="BR60" i="8"/>
  <c r="BT60" i="8" s="1"/>
  <c r="Q60" i="8"/>
  <c r="L60" i="8"/>
  <c r="BL60" i="8"/>
  <c r="AP60" i="8"/>
  <c r="CI60" i="8"/>
  <c r="AK60" i="8"/>
  <c r="T60" i="8"/>
  <c r="V60" i="8" s="1"/>
  <c r="DJ60" i="8"/>
  <c r="CN60" i="8"/>
  <c r="CY81" i="8"/>
  <c r="DS80" i="8"/>
  <c r="DU80" i="8" s="1"/>
  <c r="AD145" i="8"/>
  <c r="E192" i="8" s="1"/>
  <c r="E290" i="8" s="1"/>
  <c r="AL10" i="8"/>
  <c r="AQ10" i="8"/>
  <c r="AR10" i="8" s="1"/>
  <c r="AE10" i="8"/>
  <c r="AD11" i="8" s="1"/>
  <c r="DP123" i="8"/>
  <c r="DR123" i="8" s="1"/>
  <c r="CK123" i="8"/>
  <c r="AP123" i="8"/>
  <c r="AK123" i="8"/>
  <c r="W123" i="8"/>
  <c r="Y123" i="8" s="1"/>
  <c r="N123" i="8"/>
  <c r="C124" i="8"/>
  <c r="DJ123" i="8"/>
  <c r="BO123" i="8"/>
  <c r="BJ123" i="8"/>
  <c r="AS123" i="8"/>
  <c r="AU123" i="8" s="1"/>
  <c r="CN123" i="8"/>
  <c r="CI123" i="8"/>
  <c r="BR123" i="8"/>
  <c r="BT123" i="8" s="1"/>
  <c r="AM123" i="8"/>
  <c r="Q123" i="8"/>
  <c r="L123" i="8"/>
  <c r="DM123" i="8"/>
  <c r="BL123" i="8"/>
  <c r="DH123" i="8"/>
  <c r="CQ123" i="8"/>
  <c r="CS123" i="8" s="1"/>
  <c r="T123" i="8"/>
  <c r="V123" i="8" s="1"/>
  <c r="BZ95" i="8"/>
  <c r="CT94" i="8"/>
  <c r="CV94" i="8" s="1"/>
  <c r="CN87" i="8"/>
  <c r="CI87" i="8"/>
  <c r="BR87" i="8"/>
  <c r="BT87" i="8" s="1"/>
  <c r="AM87" i="8"/>
  <c r="DM87" i="8"/>
  <c r="DH87" i="8"/>
  <c r="CQ87" i="8"/>
  <c r="CS87" i="8" s="1"/>
  <c r="BL87" i="8"/>
  <c r="Q87" i="8"/>
  <c r="L87" i="8"/>
  <c r="DP87" i="8"/>
  <c r="DR87" i="8" s="1"/>
  <c r="CK87" i="8"/>
  <c r="AP87" i="8"/>
  <c r="AK87" i="8"/>
  <c r="T87" i="8"/>
  <c r="V87" i="8" s="1"/>
  <c r="C88" i="8"/>
  <c r="BO87" i="8"/>
  <c r="N87" i="8"/>
  <c r="BJ87" i="8"/>
  <c r="AS87" i="8"/>
  <c r="AU87" i="8" s="1"/>
  <c r="W87" i="8"/>
  <c r="Y87" i="8" s="1"/>
  <c r="DJ87" i="8"/>
  <c r="AB12" i="8"/>
  <c r="AV11" i="8"/>
  <c r="AX11" i="8" s="1"/>
  <c r="C294" i="8"/>
  <c r="AB109" i="8"/>
  <c r="AV108" i="8"/>
  <c r="AX108" i="8" s="1"/>
  <c r="BA102" i="8"/>
  <c r="BU101" i="8"/>
  <c r="BW101" i="8" s="1"/>
  <c r="CY19" i="8"/>
  <c r="DS19" i="8" s="1"/>
  <c r="DU19" i="8" s="1"/>
  <c r="DS18" i="8"/>
  <c r="DU18" i="8" s="1"/>
  <c r="BA117" i="8"/>
  <c r="BU116" i="8"/>
  <c r="BW116" i="8" s="1"/>
  <c r="BZ103" i="8"/>
  <c r="CT103" i="8" s="1"/>
  <c r="CV103" i="8" s="1"/>
  <c r="CT102" i="8"/>
  <c r="CV102" i="8" s="1"/>
  <c r="BA47" i="8"/>
  <c r="BU47" i="8" s="1"/>
  <c r="BW47" i="8" s="1"/>
  <c r="BU46" i="8"/>
  <c r="BW46" i="8" s="1"/>
  <c r="CT130" i="8"/>
  <c r="CV130" i="8" s="1"/>
  <c r="BZ131" i="8"/>
  <c r="CT131" i="8" s="1"/>
  <c r="CV131" i="8" s="1"/>
  <c r="BM9" i="8"/>
  <c r="BI10" i="8"/>
  <c r="AV73" i="8"/>
  <c r="AX73" i="8" s="1"/>
  <c r="AB74" i="8"/>
  <c r="CN45" i="8"/>
  <c r="CI45" i="8"/>
  <c r="BR45" i="8"/>
  <c r="BT45" i="8" s="1"/>
  <c r="AM45" i="8"/>
  <c r="BO45" i="8"/>
  <c r="DM45" i="8"/>
  <c r="DH45" i="8"/>
  <c r="CQ45" i="8"/>
  <c r="CS45" i="8" s="1"/>
  <c r="BL45" i="8"/>
  <c r="Q45" i="8"/>
  <c r="L45" i="8"/>
  <c r="C46" i="8"/>
  <c r="BJ45" i="8"/>
  <c r="W45" i="8"/>
  <c r="Y45" i="8" s="1"/>
  <c r="DP45" i="8"/>
  <c r="DR45" i="8" s="1"/>
  <c r="CK45" i="8"/>
  <c r="AP45" i="8"/>
  <c r="AK45" i="8"/>
  <c r="T45" i="8"/>
  <c r="V45" i="8" s="1"/>
  <c r="DJ45" i="8"/>
  <c r="AS45" i="8"/>
  <c r="AU45" i="8" s="1"/>
  <c r="N45" i="8"/>
  <c r="BA96" i="8"/>
  <c r="BU96" i="8" s="1"/>
  <c r="BW96" i="8" s="1"/>
  <c r="BU95" i="8"/>
  <c r="BW95" i="8" s="1"/>
  <c r="AN10" i="8"/>
  <c r="AJ11" i="8"/>
  <c r="AB26" i="8"/>
  <c r="AV26" i="8" s="1"/>
  <c r="AX26" i="8" s="1"/>
  <c r="AV25" i="8"/>
  <c r="AX25" i="8" s="1"/>
  <c r="CN103" i="8"/>
  <c r="CI103" i="8"/>
  <c r="BR103" i="8"/>
  <c r="BT103" i="8" s="1"/>
  <c r="AM103" i="8"/>
  <c r="DP103" i="8"/>
  <c r="DR103" i="8" s="1"/>
  <c r="CK103" i="8"/>
  <c r="AP103" i="8"/>
  <c r="AK103" i="8"/>
  <c r="T103" i="8"/>
  <c r="V103" i="8" s="1"/>
  <c r="DM103" i="8"/>
  <c r="CQ103" i="8"/>
  <c r="CS103" i="8" s="1"/>
  <c r="BO103" i="8"/>
  <c r="AS103" i="8"/>
  <c r="AU103" i="8" s="1"/>
  <c r="Q103" i="8"/>
  <c r="DJ103" i="8"/>
  <c r="BL103" i="8"/>
  <c r="W103" i="8"/>
  <c r="Y103" i="8" s="1"/>
  <c r="N103" i="8"/>
  <c r="L103" i="8"/>
  <c r="BJ103" i="8"/>
  <c r="DH103" i="8"/>
  <c r="DS66" i="8"/>
  <c r="DU66" i="8" s="1"/>
  <c r="CY67" i="8"/>
  <c r="CT53" i="8"/>
  <c r="CV53" i="8" s="1"/>
  <c r="BZ54" i="8"/>
  <c r="CT54" i="8" s="1"/>
  <c r="CV54" i="8" s="1"/>
  <c r="BZ137" i="8"/>
  <c r="CT136" i="8"/>
  <c r="CV136" i="8" s="1"/>
  <c r="DS115" i="8"/>
  <c r="DU115" i="8" s="1"/>
  <c r="CY116" i="8"/>
  <c r="AB47" i="8"/>
  <c r="AV47" i="8" s="1"/>
  <c r="AX47" i="8" s="1"/>
  <c r="AV46" i="8"/>
  <c r="AX46" i="8" s="1"/>
  <c r="AB96" i="8"/>
  <c r="AV96" i="8" s="1"/>
  <c r="AX96" i="8" s="1"/>
  <c r="AV95" i="8"/>
  <c r="AX95" i="8" s="1"/>
  <c r="BU32" i="8"/>
  <c r="BW32" i="8" s="1"/>
  <c r="BA33" i="8"/>
  <c r="BU33" i="8" s="1"/>
  <c r="BW33" i="8" s="1"/>
  <c r="CN18" i="8"/>
  <c r="CI18" i="8"/>
  <c r="BR18" i="8"/>
  <c r="BT18" i="8" s="1"/>
  <c r="AM18" i="8"/>
  <c r="DM18" i="8"/>
  <c r="DH18" i="8"/>
  <c r="CQ18" i="8"/>
  <c r="CS18" i="8" s="1"/>
  <c r="BL18" i="8"/>
  <c r="Q18" i="8"/>
  <c r="L18" i="8"/>
  <c r="DP18" i="8"/>
  <c r="DR18" i="8" s="1"/>
  <c r="CK18" i="8"/>
  <c r="AP18" i="8"/>
  <c r="AK18" i="8"/>
  <c r="T18" i="8"/>
  <c r="V18" i="8" s="1"/>
  <c r="BO18" i="8"/>
  <c r="N18" i="8"/>
  <c r="BJ18" i="8"/>
  <c r="AS18" i="8"/>
  <c r="AU18" i="8" s="1"/>
  <c r="DJ18" i="8"/>
  <c r="W18" i="8"/>
  <c r="Y18" i="8" s="1"/>
  <c r="C19" i="8"/>
  <c r="DP129" i="8"/>
  <c r="DR129" i="8" s="1"/>
  <c r="CK129" i="8"/>
  <c r="AP129" i="8"/>
  <c r="AK129" i="8"/>
  <c r="T129" i="8"/>
  <c r="V129" i="8" s="1"/>
  <c r="CN129" i="8"/>
  <c r="CI129" i="8"/>
  <c r="BR129" i="8"/>
  <c r="BT129" i="8" s="1"/>
  <c r="AM129" i="8"/>
  <c r="DJ129" i="8"/>
  <c r="BL129" i="8"/>
  <c r="W129" i="8"/>
  <c r="Y129" i="8" s="1"/>
  <c r="N129" i="8"/>
  <c r="DH129" i="8"/>
  <c r="BJ129" i="8"/>
  <c r="L129" i="8"/>
  <c r="C130" i="8"/>
  <c r="AS129" i="8"/>
  <c r="AU129" i="8" s="1"/>
  <c r="Q129" i="8"/>
  <c r="CQ129" i="8"/>
  <c r="CS129" i="8" s="1"/>
  <c r="BO129" i="8"/>
  <c r="DM129" i="8"/>
  <c r="AB137" i="8"/>
  <c r="AV136" i="8"/>
  <c r="AX136" i="8" s="1"/>
  <c r="BZ89" i="8"/>
  <c r="CT89" i="8" s="1"/>
  <c r="CV89" i="8" s="1"/>
  <c r="CT88" i="8"/>
  <c r="CV88" i="8" s="1"/>
  <c r="BZ117" i="8"/>
  <c r="CT117" i="8" s="1"/>
  <c r="CV117" i="8" s="1"/>
  <c r="CT116" i="8"/>
  <c r="CV116" i="8" s="1"/>
  <c r="AB89" i="8"/>
  <c r="AV89" i="8" s="1"/>
  <c r="AX89" i="8" s="1"/>
  <c r="AV88" i="8"/>
  <c r="AX88" i="8" s="1"/>
  <c r="BZ32" i="8"/>
  <c r="CT31" i="8"/>
  <c r="CV31" i="8" s="1"/>
  <c r="CT67" i="8"/>
  <c r="CV67" i="8" s="1"/>
  <c r="BZ68" i="8"/>
  <c r="CT68" i="8" s="1"/>
  <c r="CV68" i="8" s="1"/>
  <c r="DP109" i="8"/>
  <c r="DR109" i="8" s="1"/>
  <c r="CK109" i="8"/>
  <c r="AP109" i="8"/>
  <c r="AK109" i="8"/>
  <c r="T109" i="8"/>
  <c r="V109" i="8" s="1"/>
  <c r="C110" i="8"/>
  <c r="DJ109" i="8"/>
  <c r="BO109" i="8"/>
  <c r="BJ109" i="8"/>
  <c r="AS109" i="8"/>
  <c r="AU109" i="8" s="1"/>
  <c r="W109" i="8"/>
  <c r="Y109" i="8" s="1"/>
  <c r="N109" i="8"/>
  <c r="CN109" i="8"/>
  <c r="CI109" i="8"/>
  <c r="BR109" i="8"/>
  <c r="BT109" i="8" s="1"/>
  <c r="AM109" i="8"/>
  <c r="DM109" i="8"/>
  <c r="BL109" i="8"/>
  <c r="DH109" i="8"/>
  <c r="CQ109" i="8"/>
  <c r="CS109" i="8" s="1"/>
  <c r="Q109" i="8"/>
  <c r="L109" i="8"/>
  <c r="AB60" i="8"/>
  <c r="AV59" i="8"/>
  <c r="AX59" i="8" s="1"/>
  <c r="DP10" i="8"/>
  <c r="DR10" i="8" s="1"/>
  <c r="CK10" i="8"/>
  <c r="AP10" i="8"/>
  <c r="AK10" i="8"/>
  <c r="T10" i="8"/>
  <c r="V10" i="8" s="1"/>
  <c r="C11" i="8"/>
  <c r="DJ10" i="8"/>
  <c r="BO10" i="8"/>
  <c r="AS10" i="8"/>
  <c r="AU10" i="8" s="1"/>
  <c r="BJ10" i="8"/>
  <c r="W10" i="8"/>
  <c r="Y10" i="8" s="1"/>
  <c r="N10" i="8"/>
  <c r="CN10" i="8"/>
  <c r="CI10" i="8"/>
  <c r="BR10" i="8"/>
  <c r="BT10" i="8" s="1"/>
  <c r="AM10" i="8"/>
  <c r="DH10" i="8"/>
  <c r="CQ10" i="8"/>
  <c r="CS10" i="8" s="1"/>
  <c r="Q10" i="8"/>
  <c r="DM10" i="8"/>
  <c r="BL10" i="8"/>
  <c r="L10" i="8"/>
  <c r="DM74" i="8"/>
  <c r="DH74" i="8"/>
  <c r="CQ74" i="8"/>
  <c r="CS74" i="8" s="1"/>
  <c r="BL74" i="8"/>
  <c r="Q74" i="8"/>
  <c r="L74" i="8"/>
  <c r="DP74" i="8"/>
  <c r="DR74" i="8" s="1"/>
  <c r="CK74" i="8"/>
  <c r="AP74" i="8"/>
  <c r="AK74" i="8"/>
  <c r="T74" i="8"/>
  <c r="V74" i="8" s="1"/>
  <c r="C75" i="8"/>
  <c r="DJ74" i="8"/>
  <c r="BO74" i="8"/>
  <c r="BJ74" i="8"/>
  <c r="AS74" i="8"/>
  <c r="AU74" i="8" s="1"/>
  <c r="W74" i="8"/>
  <c r="Y74" i="8" s="1"/>
  <c r="N74" i="8"/>
  <c r="CN74" i="8"/>
  <c r="CI74" i="8"/>
  <c r="BR74" i="8"/>
  <c r="BT74" i="8" s="1"/>
  <c r="AM74" i="8"/>
  <c r="M9" i="8"/>
  <c r="R9" i="8"/>
  <c r="S9" i="8" s="1"/>
  <c r="F9" i="8"/>
  <c r="E10" i="8" s="1"/>
  <c r="CP10" i="8"/>
  <c r="CH11" i="8"/>
  <c r="CL10" i="8"/>
  <c r="DS129" i="8"/>
  <c r="DU129" i="8" s="1"/>
  <c r="CY130" i="8"/>
  <c r="DS95" i="8"/>
  <c r="DU95" i="8" s="1"/>
  <c r="CY96" i="8"/>
  <c r="DS96" i="8" s="1"/>
  <c r="DU96" i="8" s="1"/>
  <c r="BA75" i="8"/>
  <c r="BU75" i="8" s="1"/>
  <c r="BW75" i="8" s="1"/>
  <c r="BU74" i="8"/>
  <c r="BW74" i="8" s="1"/>
  <c r="DP54" i="8"/>
  <c r="DR54" i="8" s="1"/>
  <c r="CK54" i="8"/>
  <c r="AP54" i="8"/>
  <c r="AK54" i="8"/>
  <c r="T54" i="8"/>
  <c r="V54" i="8" s="1"/>
  <c r="CN54" i="8"/>
  <c r="CI54" i="8"/>
  <c r="BR54" i="8"/>
  <c r="BT54" i="8" s="1"/>
  <c r="AM54" i="8"/>
  <c r="DM54" i="8"/>
  <c r="CQ54" i="8"/>
  <c r="CS54" i="8" s="1"/>
  <c r="BO54" i="8"/>
  <c r="AS54" i="8"/>
  <c r="AU54" i="8" s="1"/>
  <c r="Q54" i="8"/>
  <c r="DJ54" i="8"/>
  <c r="BL54" i="8"/>
  <c r="W54" i="8"/>
  <c r="Y54" i="8" s="1"/>
  <c r="N54" i="8"/>
  <c r="DH54" i="8"/>
  <c r="BJ54" i="8"/>
  <c r="L54" i="8"/>
  <c r="CT24" i="8"/>
  <c r="CV24" i="8" s="1"/>
  <c r="BZ25" i="8"/>
  <c r="CY124" i="8"/>
  <c r="DS124" i="8" s="1"/>
  <c r="DU124" i="8" s="1"/>
  <c r="DS123" i="8"/>
  <c r="DU123" i="8" s="1"/>
  <c r="BD9" i="8"/>
  <c r="BC10" i="8" s="1"/>
  <c r="BP9" i="8"/>
  <c r="BQ9" i="8" s="1"/>
  <c r="BK9" i="8"/>
  <c r="CN115" i="8"/>
  <c r="CI115" i="8"/>
  <c r="BR115" i="8"/>
  <c r="BT115" i="8" s="1"/>
  <c r="AM115" i="8"/>
  <c r="DM115" i="8"/>
  <c r="DH115" i="8"/>
  <c r="CQ115" i="8"/>
  <c r="CS115" i="8" s="1"/>
  <c r="BL115" i="8"/>
  <c r="Q115" i="8"/>
  <c r="L115" i="8"/>
  <c r="DP115" i="8"/>
  <c r="DR115" i="8" s="1"/>
  <c r="CK115" i="8"/>
  <c r="AP115" i="8"/>
  <c r="AK115" i="8"/>
  <c r="T115" i="8"/>
  <c r="V115" i="8" s="1"/>
  <c r="C116" i="8"/>
  <c r="BO115" i="8"/>
  <c r="N115" i="8"/>
  <c r="BJ115" i="8"/>
  <c r="AS115" i="8"/>
  <c r="AU115" i="8" s="1"/>
  <c r="W115" i="8"/>
  <c r="Y115" i="8" s="1"/>
  <c r="DJ115" i="8"/>
  <c r="BU109" i="8"/>
  <c r="BW109" i="8" s="1"/>
  <c r="BA110" i="8"/>
  <c r="BU110" i="8" s="1"/>
  <c r="BW110" i="8" s="1"/>
  <c r="BA26" i="8"/>
  <c r="BU26" i="8" s="1"/>
  <c r="BW26" i="8" s="1"/>
  <c r="BU25" i="8"/>
  <c r="BW25" i="8" s="1"/>
  <c r="CN80" i="8"/>
  <c r="CI80" i="8"/>
  <c r="BR80" i="8"/>
  <c r="BT80" i="8" s="1"/>
  <c r="AM80" i="8"/>
  <c r="DM80" i="8"/>
  <c r="DH80" i="8"/>
  <c r="CQ80" i="8"/>
  <c r="CS80" i="8" s="1"/>
  <c r="BL80" i="8"/>
  <c r="Q80" i="8"/>
  <c r="L80" i="8"/>
  <c r="C81" i="8"/>
  <c r="BO80" i="8"/>
  <c r="AK80" i="8"/>
  <c r="AS80" i="8"/>
  <c r="AU80" i="8" s="1"/>
  <c r="DJ80" i="8"/>
  <c r="BJ80" i="8"/>
  <c r="AP80" i="8"/>
  <c r="W80" i="8"/>
  <c r="Y80" i="8" s="1"/>
  <c r="N80" i="8"/>
  <c r="DP80" i="8"/>
  <c r="DR80" i="8" s="1"/>
  <c r="CK80" i="8"/>
  <c r="T80" i="8"/>
  <c r="V80" i="8" s="1"/>
  <c r="CN66" i="8"/>
  <c r="CI66" i="8"/>
  <c r="BR66" i="8"/>
  <c r="BT66" i="8" s="1"/>
  <c r="AM66" i="8"/>
  <c r="DM66" i="8"/>
  <c r="DH66" i="8"/>
  <c r="CQ66" i="8"/>
  <c r="CS66" i="8" s="1"/>
  <c r="BL66" i="8"/>
  <c r="Q66" i="8"/>
  <c r="L66" i="8"/>
  <c r="DP66" i="8"/>
  <c r="DR66" i="8" s="1"/>
  <c r="CK66" i="8"/>
  <c r="AP66" i="8"/>
  <c r="AK66" i="8"/>
  <c r="T66" i="8"/>
  <c r="V66" i="8" s="1"/>
  <c r="BO66" i="8"/>
  <c r="N66" i="8"/>
  <c r="BJ66" i="8"/>
  <c r="AS66" i="8"/>
  <c r="AU66" i="8" s="1"/>
  <c r="DJ66" i="8"/>
  <c r="W66" i="8"/>
  <c r="Y66" i="8" s="1"/>
  <c r="C67" i="8"/>
  <c r="O8" i="8"/>
  <c r="K9" i="8"/>
  <c r="DP25" i="8"/>
  <c r="DR25" i="8" s="1"/>
  <c r="CK25" i="8"/>
  <c r="AP25" i="8"/>
  <c r="AK25" i="8"/>
  <c r="T25" i="8"/>
  <c r="V25" i="8" s="1"/>
  <c r="C26" i="8"/>
  <c r="DJ25" i="8"/>
  <c r="BO25" i="8"/>
  <c r="BJ25" i="8"/>
  <c r="AS25" i="8"/>
  <c r="AU25" i="8" s="1"/>
  <c r="W25" i="8"/>
  <c r="Y25" i="8" s="1"/>
  <c r="N25" i="8"/>
  <c r="CN25" i="8"/>
  <c r="CI25" i="8"/>
  <c r="BR25" i="8"/>
  <c r="BT25" i="8" s="1"/>
  <c r="AM25" i="8"/>
  <c r="DM25" i="8"/>
  <c r="BL25" i="8"/>
  <c r="DH25" i="8"/>
  <c r="CQ25" i="8"/>
  <c r="CS25" i="8" s="1"/>
  <c r="L25" i="8"/>
  <c r="Q25" i="8"/>
  <c r="DS87" i="8"/>
  <c r="DU87" i="8" s="1"/>
  <c r="CY88" i="8"/>
  <c r="CT108" i="8"/>
  <c r="CV108" i="8" s="1"/>
  <c r="BZ109" i="8"/>
  <c r="BZ46" i="8"/>
  <c r="CT45" i="8"/>
  <c r="CV45" i="8" s="1"/>
  <c r="AV17" i="8"/>
  <c r="AX17" i="8" s="1"/>
  <c r="AB18" i="8"/>
  <c r="C33" i="8"/>
  <c r="DJ32" i="8"/>
  <c r="CN32" i="8"/>
  <c r="CI32" i="8"/>
  <c r="BL32" i="8"/>
  <c r="T32" i="8"/>
  <c r="V32" i="8" s="1"/>
  <c r="CQ32" i="8"/>
  <c r="CS32" i="8" s="1"/>
  <c r="AP32" i="8"/>
  <c r="AK32" i="8"/>
  <c r="W32" i="8"/>
  <c r="Y32" i="8" s="1"/>
  <c r="N32" i="8"/>
  <c r="DM32" i="8"/>
  <c r="DH32" i="8"/>
  <c r="CK32" i="8"/>
  <c r="BO32" i="8"/>
  <c r="BJ32" i="8"/>
  <c r="AS32" i="8"/>
  <c r="AU32" i="8" s="1"/>
  <c r="DP32" i="8"/>
  <c r="DR32" i="8" s="1"/>
  <c r="BR32" i="8"/>
  <c r="BT32" i="8" s="1"/>
  <c r="L32" i="8"/>
  <c r="AM32" i="8"/>
  <c r="Q32" i="8"/>
  <c r="CY61" i="8"/>
  <c r="DS61" i="8" s="1"/>
  <c r="DU61" i="8" s="1"/>
  <c r="DS60" i="8"/>
  <c r="DU60" i="8" s="1"/>
  <c r="DM94" i="8"/>
  <c r="DH94" i="8"/>
  <c r="CQ94" i="8"/>
  <c r="CS94" i="8" s="1"/>
  <c r="BL94" i="8"/>
  <c r="Q94" i="8"/>
  <c r="L94" i="8"/>
  <c r="DP94" i="8"/>
  <c r="DR94" i="8" s="1"/>
  <c r="CK94" i="8"/>
  <c r="AP94" i="8"/>
  <c r="AK94" i="8"/>
  <c r="T94" i="8"/>
  <c r="V94" i="8" s="1"/>
  <c r="C95" i="8"/>
  <c r="DJ94" i="8"/>
  <c r="BO94" i="8"/>
  <c r="BJ94" i="8"/>
  <c r="AS94" i="8"/>
  <c r="AU94" i="8" s="1"/>
  <c r="W94" i="8"/>
  <c r="Y94" i="8" s="1"/>
  <c r="N94" i="8"/>
  <c r="CI94" i="8"/>
  <c r="BR94" i="8"/>
  <c r="BT94" i="8" s="1"/>
  <c r="CN94" i="8"/>
  <c r="AM94" i="8"/>
  <c r="BM49" i="1"/>
  <c r="BM48" i="1"/>
  <c r="BM47" i="1"/>
  <c r="AN48" i="1"/>
  <c r="AN38" i="1"/>
  <c r="AN37" i="1"/>
  <c r="AN36" i="1"/>
  <c r="AN35" i="1"/>
  <c r="AN34" i="1"/>
  <c r="AN33" i="1"/>
  <c r="DG67" i="9" l="1"/>
  <c r="DK66" i="9"/>
  <c r="DN66" i="9"/>
  <c r="DO66" i="9" s="1"/>
  <c r="DB66" i="9"/>
  <c r="DA67" i="9" s="1"/>
  <c r="DI66" i="9"/>
  <c r="CO67" i="9"/>
  <c r="CP67" i="9" s="1"/>
  <c r="CJ67" i="9"/>
  <c r="CC67" i="9"/>
  <c r="CB68" i="9" s="1"/>
  <c r="CH68" i="9"/>
  <c r="CL67" i="9"/>
  <c r="BI68" i="9"/>
  <c r="BM68" i="9" s="1"/>
  <c r="BP66" i="9"/>
  <c r="BQ66" i="9" s="1"/>
  <c r="BD66" i="9"/>
  <c r="BC67" i="9" s="1"/>
  <c r="BK66" i="9"/>
  <c r="AJ67" i="9"/>
  <c r="AN66" i="9"/>
  <c r="AQ66" i="9"/>
  <c r="AR66" i="9" s="1"/>
  <c r="AE66" i="9"/>
  <c r="AD67" i="9" s="1"/>
  <c r="AL66" i="9"/>
  <c r="O65" i="9"/>
  <c r="K66" i="9"/>
  <c r="R59" i="9"/>
  <c r="S59" i="9" s="1"/>
  <c r="M59" i="9"/>
  <c r="E60" i="9"/>
  <c r="F60" i="9" s="1"/>
  <c r="HJ14" i="7"/>
  <c r="HK14" i="7" s="1"/>
  <c r="GX14" i="7"/>
  <c r="GW15" i="7" s="1"/>
  <c r="HE14" i="7"/>
  <c r="HG14" i="7"/>
  <c r="HC15" i="7"/>
  <c r="GD14" i="7"/>
  <c r="GH13" i="7"/>
  <c r="GK14" i="7"/>
  <c r="GL14" i="7" s="1"/>
  <c r="FY14" i="7"/>
  <c r="FX15" i="7" s="1"/>
  <c r="GF14" i="7"/>
  <c r="FE15" i="7"/>
  <c r="FI14" i="7"/>
  <c r="FL15" i="7"/>
  <c r="FM15" i="7" s="1"/>
  <c r="EZ15" i="7"/>
  <c r="EY16" i="7" s="1"/>
  <c r="FG15" i="7"/>
  <c r="EJ15" i="7"/>
  <c r="EF16" i="7"/>
  <c r="EM15" i="7"/>
  <c r="EN15" i="7" s="1"/>
  <c r="EA15" i="7"/>
  <c r="DZ16" i="7" s="1"/>
  <c r="EH15" i="7"/>
  <c r="DG15" i="7"/>
  <c r="DK14" i="7"/>
  <c r="DN15" i="7"/>
  <c r="DO15" i="7" s="1"/>
  <c r="DI15" i="7"/>
  <c r="DB15" i="7"/>
  <c r="DA16" i="7" s="1"/>
  <c r="BZ47" i="8"/>
  <c r="CT47" i="8" s="1"/>
  <c r="CV47" i="8" s="1"/>
  <c r="CT46" i="8"/>
  <c r="CV46" i="8" s="1"/>
  <c r="BZ26" i="8"/>
  <c r="CT25" i="8"/>
  <c r="CV25" i="8" s="1"/>
  <c r="C47" i="8"/>
  <c r="DJ46" i="8"/>
  <c r="BO46" i="8"/>
  <c r="BJ46" i="8"/>
  <c r="AS46" i="8"/>
  <c r="AU46" i="8" s="1"/>
  <c r="W46" i="8"/>
  <c r="Y46" i="8" s="1"/>
  <c r="N46" i="8"/>
  <c r="CK46" i="8"/>
  <c r="T46" i="8"/>
  <c r="V46" i="8" s="1"/>
  <c r="CN46" i="8"/>
  <c r="CI46" i="8"/>
  <c r="BR46" i="8"/>
  <c r="BT46" i="8" s="1"/>
  <c r="AM46" i="8"/>
  <c r="AP46" i="8"/>
  <c r="DM46" i="8"/>
  <c r="DH46" i="8"/>
  <c r="CQ46" i="8"/>
  <c r="CS46" i="8" s="1"/>
  <c r="BL46" i="8"/>
  <c r="Q46" i="8"/>
  <c r="L46" i="8"/>
  <c r="DP46" i="8"/>
  <c r="DR46" i="8" s="1"/>
  <c r="AK46" i="8"/>
  <c r="C295" i="8"/>
  <c r="BZ110" i="8"/>
  <c r="CT110" i="8" s="1"/>
  <c r="CV110" i="8" s="1"/>
  <c r="CT109" i="8"/>
  <c r="CV109" i="8" s="1"/>
  <c r="BZ33" i="8"/>
  <c r="CT33" i="8" s="1"/>
  <c r="CV33" i="8" s="1"/>
  <c r="CT32" i="8"/>
  <c r="CV32" i="8" s="1"/>
  <c r="AB138" i="8"/>
  <c r="AG152" i="8" s="1"/>
  <c r="L195" i="8" s="1"/>
  <c r="AV137" i="8"/>
  <c r="AX137" i="8" s="1"/>
  <c r="CN19" i="8"/>
  <c r="CI19" i="8"/>
  <c r="BR19" i="8"/>
  <c r="BT19" i="8" s="1"/>
  <c r="AM19" i="8"/>
  <c r="W19" i="8"/>
  <c r="Y19" i="8" s="1"/>
  <c r="N19" i="8"/>
  <c r="DM19" i="8"/>
  <c r="DH19" i="8"/>
  <c r="CQ19" i="8"/>
  <c r="CS19" i="8" s="1"/>
  <c r="BL19" i="8"/>
  <c r="DP19" i="8"/>
  <c r="DR19" i="8" s="1"/>
  <c r="CK19" i="8"/>
  <c r="AP19" i="8"/>
  <c r="AK19" i="8"/>
  <c r="Q19" i="8"/>
  <c r="L19" i="8"/>
  <c r="BO19" i="8"/>
  <c r="BJ19" i="8"/>
  <c r="AS19" i="8"/>
  <c r="AU19" i="8" s="1"/>
  <c r="T19" i="8"/>
  <c r="V19" i="8" s="1"/>
  <c r="DJ19" i="8"/>
  <c r="CT137" i="8"/>
  <c r="CV137" i="8" s="1"/>
  <c r="BZ138" i="8"/>
  <c r="CT138" i="8" s="1"/>
  <c r="CV138" i="8" s="1"/>
  <c r="CY68" i="8"/>
  <c r="DS68" i="8" s="1"/>
  <c r="DU68" i="8" s="1"/>
  <c r="DS67" i="8"/>
  <c r="DU67" i="8" s="1"/>
  <c r="CN40" i="8"/>
  <c r="CI40" i="8"/>
  <c r="BR40" i="8"/>
  <c r="BT40" i="8" s="1"/>
  <c r="AM40" i="8"/>
  <c r="DJ40" i="8"/>
  <c r="W40" i="8"/>
  <c r="Y40" i="8" s="1"/>
  <c r="DM40" i="8"/>
  <c r="DH40" i="8"/>
  <c r="CQ40" i="8"/>
  <c r="CS40" i="8" s="1"/>
  <c r="BL40" i="8"/>
  <c r="Q40" i="8"/>
  <c r="L40" i="8"/>
  <c r="BO40" i="8"/>
  <c r="DP40" i="8"/>
  <c r="DR40" i="8" s="1"/>
  <c r="CK40" i="8"/>
  <c r="AP40" i="8"/>
  <c r="AK40" i="8"/>
  <c r="T40" i="8"/>
  <c r="V40" i="8" s="1"/>
  <c r="BJ40" i="8"/>
  <c r="AS40" i="8"/>
  <c r="AU40" i="8" s="1"/>
  <c r="N40" i="8"/>
  <c r="DN10" i="8"/>
  <c r="DO10" i="8" s="1"/>
  <c r="DB10" i="8"/>
  <c r="DA11" i="8" s="1"/>
  <c r="DI10" i="8"/>
  <c r="DD147" i="8"/>
  <c r="G267" i="8" s="1"/>
  <c r="CM156" i="8"/>
  <c r="P252" i="8" s="1"/>
  <c r="C138" i="8"/>
  <c r="DJ137" i="8"/>
  <c r="BO137" i="8"/>
  <c r="BJ137" i="8"/>
  <c r="AS137" i="8"/>
  <c r="AU137" i="8" s="1"/>
  <c r="W137" i="8"/>
  <c r="Y137" i="8" s="1"/>
  <c r="N137" i="8"/>
  <c r="CN137" i="8"/>
  <c r="CI137" i="8"/>
  <c r="BR137" i="8"/>
  <c r="BT137" i="8" s="1"/>
  <c r="AM137" i="8"/>
  <c r="DM137" i="8"/>
  <c r="DH137" i="8"/>
  <c r="CQ137" i="8"/>
  <c r="CS137" i="8" s="1"/>
  <c r="BL137" i="8"/>
  <c r="Q137" i="8"/>
  <c r="L137" i="8"/>
  <c r="DP137" i="8"/>
  <c r="DR137" i="8" s="1"/>
  <c r="AP137" i="8"/>
  <c r="AK137" i="8"/>
  <c r="T137" i="8"/>
  <c r="V137" i="8" s="1"/>
  <c r="CK137" i="8"/>
  <c r="CN75" i="8"/>
  <c r="CI75" i="8"/>
  <c r="BR75" i="8"/>
  <c r="BT75" i="8" s="1"/>
  <c r="AM75" i="8"/>
  <c r="DM75" i="8"/>
  <c r="DH75" i="8"/>
  <c r="CQ75" i="8"/>
  <c r="CS75" i="8" s="1"/>
  <c r="BL75" i="8"/>
  <c r="Q75" i="8"/>
  <c r="L75" i="8"/>
  <c r="DP75" i="8"/>
  <c r="DR75" i="8" s="1"/>
  <c r="CK75" i="8"/>
  <c r="AP75" i="8"/>
  <c r="AK75" i="8"/>
  <c r="T75" i="8"/>
  <c r="V75" i="8" s="1"/>
  <c r="DJ75" i="8"/>
  <c r="W75" i="8"/>
  <c r="Y75" i="8" s="1"/>
  <c r="AS75" i="8"/>
  <c r="AU75" i="8" s="1"/>
  <c r="BJ75" i="8"/>
  <c r="BO75" i="8"/>
  <c r="N75" i="8"/>
  <c r="DM11" i="8"/>
  <c r="DH11" i="8"/>
  <c r="CQ11" i="8"/>
  <c r="CS11" i="8" s="1"/>
  <c r="BL11" i="8"/>
  <c r="Q11" i="8"/>
  <c r="L11" i="8"/>
  <c r="DP11" i="8"/>
  <c r="DR11" i="8" s="1"/>
  <c r="AK11" i="8"/>
  <c r="CK11" i="8"/>
  <c r="AP11" i="8"/>
  <c r="T11" i="8"/>
  <c r="V11" i="8" s="1"/>
  <c r="DJ11" i="8"/>
  <c r="BO11" i="8"/>
  <c r="BJ11" i="8"/>
  <c r="AS11" i="8"/>
  <c r="AU11" i="8" s="1"/>
  <c r="W11" i="8"/>
  <c r="Y11" i="8" s="1"/>
  <c r="N11" i="8"/>
  <c r="C12" i="8"/>
  <c r="CN11" i="8"/>
  <c r="AM11" i="8"/>
  <c r="CI11" i="8"/>
  <c r="BR11" i="8"/>
  <c r="BT11" i="8" s="1"/>
  <c r="DM110" i="8"/>
  <c r="DH110" i="8"/>
  <c r="CQ110" i="8"/>
  <c r="CS110" i="8" s="1"/>
  <c r="BL110" i="8"/>
  <c r="Q110" i="8"/>
  <c r="L110" i="8"/>
  <c r="DP110" i="8"/>
  <c r="DR110" i="8" s="1"/>
  <c r="CK110" i="8"/>
  <c r="AP110" i="8"/>
  <c r="AK110" i="8"/>
  <c r="T110" i="8"/>
  <c r="V110" i="8" s="1"/>
  <c r="DJ110" i="8"/>
  <c r="BO110" i="8"/>
  <c r="BJ110" i="8"/>
  <c r="AS110" i="8"/>
  <c r="AU110" i="8" s="1"/>
  <c r="W110" i="8"/>
  <c r="Y110" i="8" s="1"/>
  <c r="N110" i="8"/>
  <c r="CN110" i="8"/>
  <c r="AM110" i="8"/>
  <c r="BR110" i="8"/>
  <c r="BT110" i="8" s="1"/>
  <c r="CI110" i="8"/>
  <c r="DM130" i="8"/>
  <c r="DH130" i="8"/>
  <c r="CQ130" i="8"/>
  <c r="CS130" i="8" s="1"/>
  <c r="BL130" i="8"/>
  <c r="Q130" i="8"/>
  <c r="L130" i="8"/>
  <c r="C131" i="8"/>
  <c r="DJ130" i="8"/>
  <c r="BO130" i="8"/>
  <c r="BJ130" i="8"/>
  <c r="AS130" i="8"/>
  <c r="AU130" i="8" s="1"/>
  <c r="W130" i="8"/>
  <c r="Y130" i="8" s="1"/>
  <c r="N130" i="8"/>
  <c r="CK130" i="8"/>
  <c r="AM130" i="8"/>
  <c r="CI130" i="8"/>
  <c r="AK130" i="8"/>
  <c r="DP130" i="8"/>
  <c r="DR130" i="8" s="1"/>
  <c r="CN130" i="8"/>
  <c r="T130" i="8"/>
  <c r="V130" i="8" s="1"/>
  <c r="BR130" i="8"/>
  <c r="BT130" i="8" s="1"/>
  <c r="AP130" i="8"/>
  <c r="AV12" i="8"/>
  <c r="AX12" i="8" s="1"/>
  <c r="DL148" i="8"/>
  <c r="H275" i="8" s="1"/>
  <c r="DC147" i="8"/>
  <c r="CN95" i="8"/>
  <c r="CI95" i="8"/>
  <c r="BR95" i="8"/>
  <c r="BT95" i="8" s="1"/>
  <c r="AM95" i="8"/>
  <c r="DM95" i="8"/>
  <c r="DH95" i="8"/>
  <c r="CQ95" i="8"/>
  <c r="CS95" i="8" s="1"/>
  <c r="BL95" i="8"/>
  <c r="Q95" i="8"/>
  <c r="L95" i="8"/>
  <c r="DP95" i="8"/>
  <c r="DR95" i="8" s="1"/>
  <c r="CK95" i="8"/>
  <c r="AP95" i="8"/>
  <c r="AK95" i="8"/>
  <c r="T95" i="8"/>
  <c r="V95" i="8" s="1"/>
  <c r="C96" i="8"/>
  <c r="BO95" i="8"/>
  <c r="N95" i="8"/>
  <c r="BJ95" i="8"/>
  <c r="AS95" i="8"/>
  <c r="AU95" i="8" s="1"/>
  <c r="DJ95" i="8"/>
  <c r="W95" i="8"/>
  <c r="Y95" i="8" s="1"/>
  <c r="CQ33" i="8"/>
  <c r="CS33" i="8" s="1"/>
  <c r="T33" i="8"/>
  <c r="V33" i="8" s="1"/>
  <c r="DM33" i="8"/>
  <c r="DH33" i="8"/>
  <c r="CK33" i="8"/>
  <c r="BO33" i="8"/>
  <c r="BJ33" i="8"/>
  <c r="AP33" i="8"/>
  <c r="AK33" i="8"/>
  <c r="W33" i="8"/>
  <c r="Y33" i="8" s="1"/>
  <c r="N33" i="8"/>
  <c r="DP33" i="8"/>
  <c r="DR33" i="8" s="1"/>
  <c r="BR33" i="8"/>
  <c r="BT33" i="8" s="1"/>
  <c r="AS33" i="8"/>
  <c r="AU33" i="8" s="1"/>
  <c r="CI33" i="8"/>
  <c r="L33" i="8"/>
  <c r="DJ33" i="8"/>
  <c r="AM33" i="8"/>
  <c r="BL33" i="8"/>
  <c r="CN33" i="8"/>
  <c r="Q33" i="8"/>
  <c r="CD162" i="8"/>
  <c r="CF156" i="8"/>
  <c r="P245" i="8" s="1"/>
  <c r="DE152" i="8"/>
  <c r="L268" i="8" s="1"/>
  <c r="BP10" i="8"/>
  <c r="BQ10" i="8" s="1"/>
  <c r="BD10" i="8"/>
  <c r="BC11" i="8" s="1"/>
  <c r="BK10" i="8"/>
  <c r="CY117" i="8"/>
  <c r="DS117" i="8" s="1"/>
  <c r="DU117" i="8" s="1"/>
  <c r="DS116" i="8"/>
  <c r="DU116" i="8" s="1"/>
  <c r="AJ12" i="8"/>
  <c r="AN11" i="8"/>
  <c r="BA103" i="8"/>
  <c r="BU103" i="8" s="1"/>
  <c r="BW103" i="8" s="1"/>
  <c r="BU102" i="8"/>
  <c r="BW102" i="8" s="1"/>
  <c r="DM124" i="8"/>
  <c r="DH124" i="8"/>
  <c r="CQ124" i="8"/>
  <c r="CS124" i="8" s="1"/>
  <c r="BL124" i="8"/>
  <c r="Q124" i="8"/>
  <c r="L124" i="8"/>
  <c r="DP124" i="8"/>
  <c r="DR124" i="8" s="1"/>
  <c r="CK124" i="8"/>
  <c r="AP124" i="8"/>
  <c r="AK124" i="8"/>
  <c r="T124" i="8"/>
  <c r="V124" i="8" s="1"/>
  <c r="DJ124" i="8"/>
  <c r="BO124" i="8"/>
  <c r="BJ124" i="8"/>
  <c r="AS124" i="8"/>
  <c r="AU124" i="8" s="1"/>
  <c r="W124" i="8"/>
  <c r="Y124" i="8" s="1"/>
  <c r="N124" i="8"/>
  <c r="CN124" i="8"/>
  <c r="AM124" i="8"/>
  <c r="CI124" i="8"/>
  <c r="BR124" i="8"/>
  <c r="BT124" i="8" s="1"/>
  <c r="AQ11" i="8"/>
  <c r="AR11" i="8" s="1"/>
  <c r="AE11" i="8"/>
  <c r="AD12" i="8" s="1"/>
  <c r="AL11" i="8"/>
  <c r="CO11" i="8"/>
  <c r="CP11" i="8" s="1"/>
  <c r="CC11" i="8"/>
  <c r="CB12" i="8" s="1"/>
  <c r="CJ11" i="8"/>
  <c r="CF157" i="8"/>
  <c r="Q245" i="8" s="1"/>
  <c r="DG10" i="8"/>
  <c r="DK9" i="8"/>
  <c r="DM26" i="8"/>
  <c r="DH26" i="8"/>
  <c r="CQ26" i="8"/>
  <c r="CS26" i="8" s="1"/>
  <c r="BL26" i="8"/>
  <c r="Q26" i="8"/>
  <c r="L26" i="8"/>
  <c r="DP26" i="8"/>
  <c r="DR26" i="8" s="1"/>
  <c r="CK26" i="8"/>
  <c r="AP26" i="8"/>
  <c r="AK26" i="8"/>
  <c r="T26" i="8"/>
  <c r="V26" i="8" s="1"/>
  <c r="DJ26" i="8"/>
  <c r="BO26" i="8"/>
  <c r="BJ26" i="8"/>
  <c r="AS26" i="8"/>
  <c r="AU26" i="8" s="1"/>
  <c r="W26" i="8"/>
  <c r="Y26" i="8" s="1"/>
  <c r="N26" i="8"/>
  <c r="BR26" i="8"/>
  <c r="BT26" i="8" s="1"/>
  <c r="CI26" i="8"/>
  <c r="CN26" i="8"/>
  <c r="AM26" i="8"/>
  <c r="C82" i="8"/>
  <c r="DJ81" i="8"/>
  <c r="BO81" i="8"/>
  <c r="BJ81" i="8"/>
  <c r="AS81" i="8"/>
  <c r="AU81" i="8" s="1"/>
  <c r="W81" i="8"/>
  <c r="Y81" i="8" s="1"/>
  <c r="N81" i="8"/>
  <c r="CN81" i="8"/>
  <c r="CI81" i="8"/>
  <c r="BR81" i="8"/>
  <c r="BT81" i="8" s="1"/>
  <c r="AM81" i="8"/>
  <c r="DH81" i="8"/>
  <c r="AP81" i="8"/>
  <c r="L81" i="8"/>
  <c r="DP81" i="8"/>
  <c r="DR81" i="8" s="1"/>
  <c r="T81" i="8"/>
  <c r="V81" i="8" s="1"/>
  <c r="DM81" i="8"/>
  <c r="CK81" i="8"/>
  <c r="AK81" i="8"/>
  <c r="Q81" i="8"/>
  <c r="CQ81" i="8"/>
  <c r="CS81" i="8" s="1"/>
  <c r="BL81" i="8"/>
  <c r="CY131" i="8"/>
  <c r="DS131" i="8" s="1"/>
  <c r="DU131" i="8" s="1"/>
  <c r="DS130" i="8"/>
  <c r="DU130" i="8" s="1"/>
  <c r="AV74" i="8"/>
  <c r="AX74" i="8" s="1"/>
  <c r="AB75" i="8"/>
  <c r="AV75" i="8" s="1"/>
  <c r="AX75" i="8" s="1"/>
  <c r="BU117" i="8"/>
  <c r="BW117" i="8" s="1"/>
  <c r="AB110" i="8"/>
  <c r="AV110" i="8" s="1"/>
  <c r="AX110" i="8" s="1"/>
  <c r="AV109" i="8"/>
  <c r="AX109" i="8" s="1"/>
  <c r="BZ96" i="8"/>
  <c r="CT96" i="8" s="1"/>
  <c r="CV96" i="8" s="1"/>
  <c r="CT95" i="8"/>
  <c r="CV95" i="8" s="1"/>
  <c r="DE148" i="8"/>
  <c r="H268" i="8" s="1"/>
  <c r="P161" i="8"/>
  <c r="AB19" i="8"/>
  <c r="AG149" i="8" s="1"/>
  <c r="I195" i="8" s="1"/>
  <c r="AV18" i="8"/>
  <c r="AX18" i="8" s="1"/>
  <c r="CY89" i="8"/>
  <c r="DS89" i="8" s="1"/>
  <c r="DU89" i="8" s="1"/>
  <c r="DS88" i="8"/>
  <c r="DU88" i="8" s="1"/>
  <c r="K10" i="8"/>
  <c r="O9" i="8"/>
  <c r="C68" i="8"/>
  <c r="DJ67" i="8"/>
  <c r="BO67" i="8"/>
  <c r="BJ67" i="8"/>
  <c r="AS67" i="8"/>
  <c r="AU67" i="8" s="1"/>
  <c r="W67" i="8"/>
  <c r="Y67" i="8" s="1"/>
  <c r="N67" i="8"/>
  <c r="CN67" i="8"/>
  <c r="CI67" i="8"/>
  <c r="BR67" i="8"/>
  <c r="BT67" i="8" s="1"/>
  <c r="AM67" i="8"/>
  <c r="DM67" i="8"/>
  <c r="DH67" i="8"/>
  <c r="CQ67" i="8"/>
  <c r="CS67" i="8" s="1"/>
  <c r="BL67" i="8"/>
  <c r="Q67" i="8"/>
  <c r="L67" i="8"/>
  <c r="CK67" i="8"/>
  <c r="T67" i="8"/>
  <c r="V67" i="8" s="1"/>
  <c r="DP67" i="8"/>
  <c r="DR67" i="8" s="1"/>
  <c r="AP67" i="8"/>
  <c r="AK67" i="8"/>
  <c r="CD153" i="8"/>
  <c r="DL160" i="8"/>
  <c r="T275" i="8" s="1"/>
  <c r="C117" i="8"/>
  <c r="DJ116" i="8"/>
  <c r="BO116" i="8"/>
  <c r="BJ116" i="8"/>
  <c r="AS116" i="8"/>
  <c r="AU116" i="8" s="1"/>
  <c r="W116" i="8"/>
  <c r="Y116" i="8" s="1"/>
  <c r="N116" i="8"/>
  <c r="CN116" i="8"/>
  <c r="CI116" i="8"/>
  <c r="BR116" i="8"/>
  <c r="BT116" i="8" s="1"/>
  <c r="AM116" i="8"/>
  <c r="DM116" i="8"/>
  <c r="DH116" i="8"/>
  <c r="CQ116" i="8"/>
  <c r="CS116" i="8" s="1"/>
  <c r="BL116" i="8"/>
  <c r="Q116" i="8"/>
  <c r="L116" i="8"/>
  <c r="AK116" i="8"/>
  <c r="T116" i="8"/>
  <c r="V116" i="8" s="1"/>
  <c r="CK116" i="8"/>
  <c r="DP116" i="8"/>
  <c r="DR116" i="8" s="1"/>
  <c r="AP116" i="8"/>
  <c r="H156" i="8"/>
  <c r="P172" i="8" s="1"/>
  <c r="CL11" i="8"/>
  <c r="CH12" i="8"/>
  <c r="R10" i="8"/>
  <c r="S10" i="8" s="1"/>
  <c r="F10" i="8"/>
  <c r="E11" i="8" s="1"/>
  <c r="M10" i="8"/>
  <c r="AB61" i="8"/>
  <c r="AV61" i="8" s="1"/>
  <c r="AX61" i="8" s="1"/>
  <c r="AV60" i="8"/>
  <c r="AX60" i="8" s="1"/>
  <c r="AO157" i="8"/>
  <c r="BM10" i="8"/>
  <c r="BI11" i="8"/>
  <c r="AF162" i="8"/>
  <c r="AH151" i="8"/>
  <c r="K196" i="8" s="1"/>
  <c r="C89" i="8"/>
  <c r="DJ88" i="8"/>
  <c r="BO88" i="8"/>
  <c r="BJ88" i="8"/>
  <c r="AS88" i="8"/>
  <c r="AU88" i="8" s="1"/>
  <c r="W88" i="8"/>
  <c r="Y88" i="8" s="1"/>
  <c r="N88" i="8"/>
  <c r="CN88" i="8"/>
  <c r="CI88" i="8"/>
  <c r="BR88" i="8"/>
  <c r="BT88" i="8" s="1"/>
  <c r="AM88" i="8"/>
  <c r="DM88" i="8"/>
  <c r="DH88" i="8"/>
  <c r="CQ88" i="8"/>
  <c r="CS88" i="8" s="1"/>
  <c r="BL88" i="8"/>
  <c r="Q88" i="8"/>
  <c r="L88" i="8"/>
  <c r="AK88" i="8"/>
  <c r="T88" i="8"/>
  <c r="V88" i="8" s="1"/>
  <c r="CK88" i="8"/>
  <c r="DP88" i="8"/>
  <c r="DR88" i="8" s="1"/>
  <c r="AP88" i="8"/>
  <c r="CY82" i="8"/>
  <c r="DS82" i="8" s="1"/>
  <c r="DU82" i="8" s="1"/>
  <c r="DS81" i="8"/>
  <c r="DU81" i="8" s="1"/>
  <c r="DM61" i="8"/>
  <c r="DH61" i="8"/>
  <c r="CQ61" i="8"/>
  <c r="CS61" i="8" s="1"/>
  <c r="BL61" i="8"/>
  <c r="AP61" i="8"/>
  <c r="AK61" i="8"/>
  <c r="T61" i="8"/>
  <c r="V61" i="8" s="1"/>
  <c r="DP61" i="8"/>
  <c r="DR61" i="8" s="1"/>
  <c r="CK61" i="8"/>
  <c r="AS61" i="8"/>
  <c r="AU61" i="8" s="1"/>
  <c r="W61" i="8"/>
  <c r="Y61" i="8" s="1"/>
  <c r="N61" i="8"/>
  <c r="DJ61" i="8"/>
  <c r="BO61" i="8"/>
  <c r="BJ61" i="8"/>
  <c r="AM61" i="8"/>
  <c r="BR61" i="8"/>
  <c r="BT61" i="8" s="1"/>
  <c r="Q61" i="8"/>
  <c r="L61" i="8"/>
  <c r="CI61" i="8"/>
  <c r="CN61" i="8"/>
  <c r="DL158" i="8"/>
  <c r="R275" i="8" s="1"/>
  <c r="DC151" i="8"/>
  <c r="BU11" i="8"/>
  <c r="BW11" i="8" s="1"/>
  <c r="BA12" i="8"/>
  <c r="BF150" i="8"/>
  <c r="J220" i="8" s="1"/>
  <c r="BG152" i="8"/>
  <c r="L221" i="8" s="1"/>
  <c r="BG163" i="8"/>
  <c r="W221" i="8" s="1"/>
  <c r="BE158" i="8"/>
  <c r="BE159" i="8"/>
  <c r="BE146" i="8"/>
  <c r="BG158" i="8"/>
  <c r="R221" i="8" s="1"/>
  <c r="BE151" i="8"/>
  <c r="BE148" i="8"/>
  <c r="BE155" i="8"/>
  <c r="BN155" i="8"/>
  <c r="BF147" i="8"/>
  <c r="G220" i="8" s="1"/>
  <c r="BF145" i="8"/>
  <c r="E220" i="8" s="1"/>
  <c r="BG147" i="8"/>
  <c r="G221" i="8" s="1"/>
  <c r="BG161" i="8"/>
  <c r="U221" i="8" s="1"/>
  <c r="BG159" i="8"/>
  <c r="S221" i="8" s="1"/>
  <c r="BF159" i="8"/>
  <c r="S220" i="8" s="1"/>
  <c r="BG153" i="8"/>
  <c r="M221" i="8" s="1"/>
  <c r="BN149" i="8"/>
  <c r="BN152" i="8"/>
  <c r="BE156" i="8"/>
  <c r="BN154" i="8"/>
  <c r="BG145" i="8"/>
  <c r="E221" i="8" s="1"/>
  <c r="BN148" i="8"/>
  <c r="BE145" i="8"/>
  <c r="BG162" i="8"/>
  <c r="V221" i="8" s="1"/>
  <c r="BF158" i="8"/>
  <c r="R220" i="8" s="1"/>
  <c r="BN150" i="8"/>
  <c r="BF161" i="8"/>
  <c r="U220" i="8" s="1"/>
  <c r="BF163" i="8"/>
  <c r="W220" i="8" s="1"/>
  <c r="BF152" i="8"/>
  <c r="L220" i="8" s="1"/>
  <c r="BF157" i="8"/>
  <c r="Q220" i="8" s="1"/>
  <c r="BG146" i="8"/>
  <c r="F221" i="8" s="1"/>
  <c r="BE153" i="8"/>
  <c r="BN146" i="8"/>
  <c r="BG150" i="8"/>
  <c r="J221" i="8" s="1"/>
  <c r="BF156" i="8"/>
  <c r="P220" i="8" s="1"/>
  <c r="BE163" i="8"/>
  <c r="AB124" i="8"/>
  <c r="AV124" i="8" s="1"/>
  <c r="AX124" i="8" s="1"/>
  <c r="AV123" i="8"/>
  <c r="AX123" i="8" s="1"/>
  <c r="DK67" i="9" l="1"/>
  <c r="DG68" i="9"/>
  <c r="DB67" i="9"/>
  <c r="DA68" i="9" s="1"/>
  <c r="DI67" i="9"/>
  <c r="DN67" i="9"/>
  <c r="DO67" i="9" s="1"/>
  <c r="CO68" i="9"/>
  <c r="CP68" i="9" s="1"/>
  <c r="CC68" i="9"/>
  <c r="CB69" i="9" s="1"/>
  <c r="CJ68" i="9"/>
  <c r="CL68" i="9"/>
  <c r="CH69" i="9"/>
  <c r="BI69" i="9"/>
  <c r="BM69" i="9" s="1"/>
  <c r="BP67" i="9"/>
  <c r="BQ67" i="9" s="1"/>
  <c r="BD67" i="9"/>
  <c r="BC68" i="9" s="1"/>
  <c r="BK67" i="9"/>
  <c r="AN67" i="9"/>
  <c r="AJ68" i="9"/>
  <c r="AE67" i="9"/>
  <c r="AD68" i="9" s="1"/>
  <c r="AL67" i="9"/>
  <c r="AQ67" i="9"/>
  <c r="AR67" i="9" s="1"/>
  <c r="AJ153" i="9"/>
  <c r="K67" i="9"/>
  <c r="O66" i="9"/>
  <c r="R60" i="9"/>
  <c r="S60" i="9" s="1"/>
  <c r="M60" i="9"/>
  <c r="E61" i="9"/>
  <c r="F61" i="9" s="1"/>
  <c r="HJ15" i="7"/>
  <c r="HK15" i="7" s="1"/>
  <c r="HE15" i="7"/>
  <c r="GX15" i="7"/>
  <c r="GW16" i="7" s="1"/>
  <c r="HC16" i="7"/>
  <c r="HG15" i="7"/>
  <c r="GK15" i="7"/>
  <c r="GL15" i="7" s="1"/>
  <c r="FY15" i="7"/>
  <c r="FX16" i="7" s="1"/>
  <c r="GF15" i="7"/>
  <c r="GH14" i="7"/>
  <c r="GD15" i="7"/>
  <c r="FI15" i="7"/>
  <c r="FE16" i="7"/>
  <c r="FL16" i="7"/>
  <c r="FM16" i="7" s="1"/>
  <c r="FG16" i="7"/>
  <c r="EZ16" i="7"/>
  <c r="EY17" i="7" s="1"/>
  <c r="EJ16" i="7"/>
  <c r="EF17" i="7"/>
  <c r="EM16" i="7"/>
  <c r="EN16" i="7" s="1"/>
  <c r="EA16" i="7"/>
  <c r="DZ17" i="7" s="1"/>
  <c r="EH16" i="7"/>
  <c r="DN16" i="7"/>
  <c r="DO16" i="7" s="1"/>
  <c r="DI16" i="7"/>
  <c r="DB16" i="7"/>
  <c r="DA17" i="7" s="1"/>
  <c r="DK15" i="7"/>
  <c r="DG16" i="7"/>
  <c r="L228" i="8"/>
  <c r="Q203" i="8"/>
  <c r="DG145" i="8"/>
  <c r="E270" i="8" s="1"/>
  <c r="CH145" i="8"/>
  <c r="E247" i="8" s="1"/>
  <c r="CH13" i="8"/>
  <c r="CL12" i="8"/>
  <c r="M243" i="8"/>
  <c r="CG153" i="8"/>
  <c r="DP68" i="8"/>
  <c r="DR68" i="8" s="1"/>
  <c r="CK68" i="8"/>
  <c r="AP68" i="8"/>
  <c r="AK68" i="8"/>
  <c r="T68" i="8"/>
  <c r="V68" i="8" s="1"/>
  <c r="DJ68" i="8"/>
  <c r="BO68" i="8"/>
  <c r="BJ68" i="8"/>
  <c r="AS68" i="8"/>
  <c r="AU68" i="8" s="1"/>
  <c r="W68" i="8"/>
  <c r="Y68" i="8" s="1"/>
  <c r="N68" i="8"/>
  <c r="CN68" i="8"/>
  <c r="CI68" i="8"/>
  <c r="BR68" i="8"/>
  <c r="BT68" i="8" s="1"/>
  <c r="AM68" i="8"/>
  <c r="Q68" i="8"/>
  <c r="DH68" i="8"/>
  <c r="CQ68" i="8"/>
  <c r="CS68" i="8" s="1"/>
  <c r="L68" i="8"/>
  <c r="DM68" i="8"/>
  <c r="BL68" i="8"/>
  <c r="AH159" i="8"/>
  <c r="S196" i="8" s="1"/>
  <c r="AH162" i="8"/>
  <c r="V196" i="8" s="1"/>
  <c r="AH146" i="8"/>
  <c r="F196" i="8" s="1"/>
  <c r="H153" i="8"/>
  <c r="M172" i="8" s="1"/>
  <c r="G152" i="8"/>
  <c r="H146" i="8"/>
  <c r="F172" i="8" s="1"/>
  <c r="I155" i="8"/>
  <c r="O173" i="8" s="1"/>
  <c r="P150" i="8"/>
  <c r="AG150" i="8"/>
  <c r="J195" i="8" s="1"/>
  <c r="DE156" i="8"/>
  <c r="P268" i="8" s="1"/>
  <c r="DL149" i="8"/>
  <c r="I275" i="8" s="1"/>
  <c r="CF162" i="8"/>
  <c r="V245" i="8" s="1"/>
  <c r="DD156" i="8"/>
  <c r="P267" i="8" s="1"/>
  <c r="DE151" i="8"/>
  <c r="K268" i="8" s="1"/>
  <c r="DE154" i="8"/>
  <c r="N268" i="8" s="1"/>
  <c r="DL147" i="8"/>
  <c r="G275" i="8" s="1"/>
  <c r="BP148" i="8"/>
  <c r="H230" i="8" s="1"/>
  <c r="H228" i="8"/>
  <c r="I228" i="8"/>
  <c r="O219" i="8"/>
  <c r="R219" i="8"/>
  <c r="R222" i="8" s="1"/>
  <c r="BH158" i="8"/>
  <c r="BU12" i="8"/>
  <c r="BW12" i="8" s="1"/>
  <c r="BE149" i="8"/>
  <c r="BF149" i="8"/>
  <c r="I220" i="8" s="1"/>
  <c r="BE154" i="8"/>
  <c r="BG148" i="8"/>
  <c r="H221" i="8" s="1"/>
  <c r="BN156" i="8"/>
  <c r="BE150" i="8"/>
  <c r="BN157" i="8"/>
  <c r="BF154" i="8"/>
  <c r="N220" i="8" s="1"/>
  <c r="BG157" i="8"/>
  <c r="Q221" i="8" s="1"/>
  <c r="BF148" i="8"/>
  <c r="H220" i="8" s="1"/>
  <c r="BN151" i="8"/>
  <c r="BF162" i="8"/>
  <c r="V220" i="8" s="1"/>
  <c r="BE147" i="8"/>
  <c r="BN162" i="8"/>
  <c r="BE160" i="8"/>
  <c r="BF160" i="8"/>
  <c r="T220" i="8" s="1"/>
  <c r="BN153" i="8"/>
  <c r="BN158" i="8"/>
  <c r="BE157" i="8"/>
  <c r="BN145" i="8"/>
  <c r="BF155" i="8"/>
  <c r="O220" i="8" s="1"/>
  <c r="BG155" i="8"/>
  <c r="O221" i="8" s="1"/>
  <c r="BN160" i="8"/>
  <c r="BG160" i="8"/>
  <c r="T221" i="8" s="1"/>
  <c r="BN161" i="8"/>
  <c r="BN159" i="8"/>
  <c r="BN163" i="8"/>
  <c r="BG154" i="8"/>
  <c r="N221" i="8" s="1"/>
  <c r="BG156" i="8"/>
  <c r="P221" i="8" s="1"/>
  <c r="BG149" i="8"/>
  <c r="I221" i="8" s="1"/>
  <c r="CE158" i="8"/>
  <c r="R244" i="8" s="1"/>
  <c r="CM150" i="8"/>
  <c r="J252" i="8" s="1"/>
  <c r="AO151" i="8"/>
  <c r="AO145" i="8"/>
  <c r="BI12" i="8"/>
  <c r="BM11" i="8"/>
  <c r="H151" i="8"/>
  <c r="K172" i="8" s="1"/>
  <c r="DP117" i="8"/>
  <c r="DR117" i="8" s="1"/>
  <c r="CK117" i="8"/>
  <c r="AP117" i="8"/>
  <c r="AK117" i="8"/>
  <c r="T117" i="8"/>
  <c r="V117" i="8" s="1"/>
  <c r="DJ117" i="8"/>
  <c r="BO117" i="8"/>
  <c r="BJ117" i="8"/>
  <c r="AS117" i="8"/>
  <c r="AU117" i="8" s="1"/>
  <c r="W117" i="8"/>
  <c r="Y117" i="8" s="1"/>
  <c r="N117" i="8"/>
  <c r="CN117" i="8"/>
  <c r="CI117" i="8"/>
  <c r="BR117" i="8"/>
  <c r="BT117" i="8" s="1"/>
  <c r="AM117" i="8"/>
  <c r="DH117" i="8"/>
  <c r="CQ117" i="8"/>
  <c r="CS117" i="8" s="1"/>
  <c r="Q117" i="8"/>
  <c r="L117" i="8"/>
  <c r="DM117" i="8"/>
  <c r="BL117" i="8"/>
  <c r="DL157" i="8"/>
  <c r="Q275" i="8" s="1"/>
  <c r="DE158" i="8"/>
  <c r="R268" i="8" s="1"/>
  <c r="P148" i="8"/>
  <c r="CE154" i="8"/>
  <c r="N244" i="8" s="1"/>
  <c r="CD161" i="8"/>
  <c r="DE155" i="8"/>
  <c r="O268" i="8" s="1"/>
  <c r="DM82" i="8"/>
  <c r="DH82" i="8"/>
  <c r="CQ82" i="8"/>
  <c r="CS82" i="8" s="1"/>
  <c r="BL82" i="8"/>
  <c r="DP82" i="8"/>
  <c r="DR82" i="8" s="1"/>
  <c r="CK82" i="8"/>
  <c r="AP82" i="8"/>
  <c r="AK82" i="8"/>
  <c r="T82" i="8"/>
  <c r="V82" i="8" s="1"/>
  <c r="DJ82" i="8"/>
  <c r="BO82" i="8"/>
  <c r="BJ82" i="8"/>
  <c r="AS82" i="8"/>
  <c r="AU82" i="8" s="1"/>
  <c r="W82" i="8"/>
  <c r="Y82" i="8" s="1"/>
  <c r="N82" i="8"/>
  <c r="CN82" i="8"/>
  <c r="Q82" i="8"/>
  <c r="CI82" i="8"/>
  <c r="BR82" i="8"/>
  <c r="BT82" i="8" s="1"/>
  <c r="L82" i="8"/>
  <c r="AM82" i="8"/>
  <c r="DK10" i="8"/>
  <c r="DG11" i="8"/>
  <c r="CE146" i="8"/>
  <c r="F244" i="8" s="1"/>
  <c r="CM163" i="8"/>
  <c r="W252" i="8" s="1"/>
  <c r="DL155" i="8"/>
  <c r="O275" i="8" s="1"/>
  <c r="AF145" i="8"/>
  <c r="AH150" i="8"/>
  <c r="J196" i="8" s="1"/>
  <c r="AO159" i="8"/>
  <c r="G148" i="8"/>
  <c r="BK11" i="8"/>
  <c r="BD11" i="8"/>
  <c r="BC12" i="8" s="1"/>
  <c r="BP11" i="8"/>
  <c r="BQ11" i="8" s="1"/>
  <c r="CF154" i="8"/>
  <c r="N245" i="8" s="1"/>
  <c r="AF153" i="8"/>
  <c r="P162" i="8"/>
  <c r="DL154" i="8"/>
  <c r="N275" i="8" s="1"/>
  <c r="AG161" i="8"/>
  <c r="U195" i="8" s="1"/>
  <c r="H160" i="8"/>
  <c r="T172" i="8" s="1"/>
  <c r="I149" i="8"/>
  <c r="I173" i="8" s="1"/>
  <c r="P147" i="8"/>
  <c r="P153" i="8"/>
  <c r="I162" i="8"/>
  <c r="V173" i="8" s="1"/>
  <c r="I160" i="8"/>
  <c r="T173" i="8" s="1"/>
  <c r="G153" i="8"/>
  <c r="I150" i="8"/>
  <c r="J173" i="8" s="1"/>
  <c r="I148" i="8"/>
  <c r="H173" i="8" s="1"/>
  <c r="P156" i="8"/>
  <c r="H154" i="8"/>
  <c r="N172" i="8" s="1"/>
  <c r="H152" i="8"/>
  <c r="L172" i="8" s="1"/>
  <c r="G158" i="8"/>
  <c r="P145" i="8"/>
  <c r="DP12" i="8"/>
  <c r="DR12" i="8" s="1"/>
  <c r="CK12" i="8"/>
  <c r="AS12" i="8"/>
  <c r="AU12" i="8" s="1"/>
  <c r="DJ12" i="8"/>
  <c r="BO12" i="8"/>
  <c r="BJ12" i="8"/>
  <c r="AM12" i="8"/>
  <c r="L12" i="8"/>
  <c r="Q12" i="8"/>
  <c r="CN12" i="8"/>
  <c r="CI12" i="8"/>
  <c r="BR12" i="8"/>
  <c r="BT12" i="8" s="1"/>
  <c r="T12" i="8"/>
  <c r="V12" i="8" s="1"/>
  <c r="DM12" i="8"/>
  <c r="BL12" i="8"/>
  <c r="AP12" i="8"/>
  <c r="W12" i="8"/>
  <c r="Y12" i="8" s="1"/>
  <c r="CQ12" i="8"/>
  <c r="CS12" i="8" s="1"/>
  <c r="DH12" i="8"/>
  <c r="AK12" i="8"/>
  <c r="N12" i="8"/>
  <c r="I151" i="8"/>
  <c r="K173" i="8" s="1"/>
  <c r="G163" i="8"/>
  <c r="G154" i="8"/>
  <c r="G149" i="8"/>
  <c r="I159" i="8"/>
  <c r="S173" i="8" s="1"/>
  <c r="DP138" i="8"/>
  <c r="DR138" i="8" s="1"/>
  <c r="CK138" i="8"/>
  <c r="AP138" i="8"/>
  <c r="AK138" i="8"/>
  <c r="T138" i="8"/>
  <c r="V138" i="8" s="1"/>
  <c r="DJ138" i="8"/>
  <c r="BO138" i="8"/>
  <c r="BJ138" i="8"/>
  <c r="AS138" i="8"/>
  <c r="AU138" i="8" s="1"/>
  <c r="W138" i="8"/>
  <c r="Y138" i="8" s="1"/>
  <c r="N138" i="8"/>
  <c r="CN138" i="8"/>
  <c r="CI138" i="8"/>
  <c r="BR138" i="8"/>
  <c r="BT138" i="8" s="1"/>
  <c r="AM138" i="8"/>
  <c r="L138" i="8"/>
  <c r="DM138" i="8"/>
  <c r="BL138" i="8"/>
  <c r="DH138" i="8"/>
  <c r="CQ138" i="8"/>
  <c r="CS138" i="8" s="1"/>
  <c r="Q138" i="8"/>
  <c r="CE147" i="8"/>
  <c r="G244" i="8" s="1"/>
  <c r="CM161" i="8"/>
  <c r="U252" i="8" s="1"/>
  <c r="AO163" i="8"/>
  <c r="AH157" i="8"/>
  <c r="Q196" i="8" s="1"/>
  <c r="DE159" i="8"/>
  <c r="S268" i="8" s="1"/>
  <c r="CM153" i="8"/>
  <c r="M252" i="8" s="1"/>
  <c r="C296" i="8"/>
  <c r="CF151" i="8"/>
  <c r="K245" i="8" s="1"/>
  <c r="CD158" i="8"/>
  <c r="DC154" i="8"/>
  <c r="CF145" i="8"/>
  <c r="E245" i="8" s="1"/>
  <c r="DC146" i="8"/>
  <c r="DC149" i="8"/>
  <c r="CF159" i="8"/>
  <c r="S245" i="8" s="1"/>
  <c r="DD148" i="8"/>
  <c r="H267" i="8" s="1"/>
  <c r="DC158" i="8"/>
  <c r="CM148" i="8"/>
  <c r="H252" i="8" s="1"/>
  <c r="CE155" i="8"/>
  <c r="O244" i="8" s="1"/>
  <c r="DC145" i="8"/>
  <c r="DC159" i="8"/>
  <c r="DD160" i="8"/>
  <c r="T267" i="8" s="1"/>
  <c r="DL150" i="8"/>
  <c r="J275" i="8" s="1"/>
  <c r="CE156" i="8"/>
  <c r="P244" i="8" s="1"/>
  <c r="DL152" i="8"/>
  <c r="L275" i="8" s="1"/>
  <c r="DE160" i="8"/>
  <c r="T268" i="8" s="1"/>
  <c r="DD154" i="8"/>
  <c r="N267" i="8" s="1"/>
  <c r="DC161" i="8"/>
  <c r="CF160" i="8"/>
  <c r="T245" i="8" s="1"/>
  <c r="CD148" i="8"/>
  <c r="CE162" i="8"/>
  <c r="V244" i="8" s="1"/>
  <c r="M219" i="8"/>
  <c r="K219" i="8"/>
  <c r="BH151" i="8"/>
  <c r="K266" i="8"/>
  <c r="V194" i="8"/>
  <c r="AI162" i="8"/>
  <c r="AF155" i="8"/>
  <c r="I156" i="8"/>
  <c r="P173" i="8" s="1"/>
  <c r="P155" i="8"/>
  <c r="CN131" i="8"/>
  <c r="CI131" i="8"/>
  <c r="BR131" i="8"/>
  <c r="BT131" i="8" s="1"/>
  <c r="AM131" i="8"/>
  <c r="DP131" i="8"/>
  <c r="DR131" i="8" s="1"/>
  <c r="CK131" i="8"/>
  <c r="AP131" i="8"/>
  <c r="AK131" i="8"/>
  <c r="T131" i="8"/>
  <c r="V131" i="8" s="1"/>
  <c r="DJ131" i="8"/>
  <c r="BL131" i="8"/>
  <c r="W131" i="8"/>
  <c r="Y131" i="8" s="1"/>
  <c r="N131" i="8"/>
  <c r="DH131" i="8"/>
  <c r="BJ131" i="8"/>
  <c r="L131" i="8"/>
  <c r="AS131" i="8"/>
  <c r="AU131" i="8" s="1"/>
  <c r="Q131" i="8"/>
  <c r="CQ131" i="8"/>
  <c r="CS131" i="8" s="1"/>
  <c r="BO131" i="8"/>
  <c r="DM131" i="8"/>
  <c r="H148" i="8"/>
  <c r="H172" i="8" s="1"/>
  <c r="I147" i="8"/>
  <c r="G173" i="8" s="1"/>
  <c r="G146" i="8"/>
  <c r="P146" i="8"/>
  <c r="G155" i="8"/>
  <c r="AF159" i="8"/>
  <c r="DD163" i="8"/>
  <c r="W267" i="8" s="1"/>
  <c r="CF155" i="8"/>
  <c r="O245" i="8" s="1"/>
  <c r="CF146" i="8"/>
  <c r="F245" i="8" s="1"/>
  <c r="DE153" i="8"/>
  <c r="M268" i="8" s="1"/>
  <c r="DE147" i="8"/>
  <c r="G268" i="8" s="1"/>
  <c r="CM147" i="8"/>
  <c r="G252" i="8" s="1"/>
  <c r="DL159" i="8"/>
  <c r="S275" i="8" s="1"/>
  <c r="AH152" i="8"/>
  <c r="L196" i="8" s="1"/>
  <c r="H219" i="8"/>
  <c r="F219" i="8"/>
  <c r="DD149" i="8"/>
  <c r="I267" i="8" s="1"/>
  <c r="DC153" i="8"/>
  <c r="AF156" i="8"/>
  <c r="AG148" i="8"/>
  <c r="H195" i="8" s="1"/>
  <c r="AG154" i="8"/>
  <c r="N195" i="8" s="1"/>
  <c r="AH153" i="8"/>
  <c r="M196" i="8" s="1"/>
  <c r="F11" i="8"/>
  <c r="E12" i="8" s="1"/>
  <c r="R11" i="8"/>
  <c r="S11" i="8" s="1"/>
  <c r="M11" i="8"/>
  <c r="AH149" i="8"/>
  <c r="I196" i="8" s="1"/>
  <c r="H149" i="8"/>
  <c r="I172" i="8" s="1"/>
  <c r="CE148" i="8"/>
  <c r="H244" i="8" s="1"/>
  <c r="CE151" i="8"/>
  <c r="K244" i="8" s="1"/>
  <c r="DL161" i="8"/>
  <c r="U275" i="8" s="1"/>
  <c r="O10" i="8"/>
  <c r="K11" i="8"/>
  <c r="AG155" i="8"/>
  <c r="O195" i="8" s="1"/>
  <c r="BE162" i="8"/>
  <c r="AF154" i="8"/>
  <c r="CM162" i="8"/>
  <c r="V252" i="8" s="1"/>
  <c r="DD153" i="8"/>
  <c r="M267" i="8" s="1"/>
  <c r="AQ12" i="8"/>
  <c r="AR12" i="8" s="1"/>
  <c r="AE12" i="8"/>
  <c r="AL12" i="8"/>
  <c r="AF160" i="8"/>
  <c r="AH147" i="8"/>
  <c r="G196" i="8" s="1"/>
  <c r="AJ145" i="8"/>
  <c r="AJ13" i="8"/>
  <c r="AN12" i="8"/>
  <c r="AG160" i="8"/>
  <c r="T195" i="8" s="1"/>
  <c r="AF151" i="8"/>
  <c r="P163" i="8"/>
  <c r="CE157" i="8"/>
  <c r="Q244" i="8" s="1"/>
  <c r="CM149" i="8"/>
  <c r="I252" i="8" s="1"/>
  <c r="AH158" i="8"/>
  <c r="R196" i="8" s="1"/>
  <c r="DJ96" i="8"/>
  <c r="BO96" i="8"/>
  <c r="BJ96" i="8"/>
  <c r="AS96" i="8"/>
  <c r="AU96" i="8" s="1"/>
  <c r="W96" i="8"/>
  <c r="Y96" i="8" s="1"/>
  <c r="N96" i="8"/>
  <c r="CN96" i="8"/>
  <c r="CI96" i="8"/>
  <c r="BR96" i="8"/>
  <c r="BT96" i="8" s="1"/>
  <c r="AM96" i="8"/>
  <c r="DM96" i="8"/>
  <c r="DH96" i="8"/>
  <c r="CQ96" i="8"/>
  <c r="CS96" i="8" s="1"/>
  <c r="BL96" i="8"/>
  <c r="Q96" i="8"/>
  <c r="L96" i="8"/>
  <c r="AK96" i="8"/>
  <c r="T96" i="8"/>
  <c r="V96" i="8" s="1"/>
  <c r="CK96" i="8"/>
  <c r="DP96" i="8"/>
  <c r="DR96" i="8" s="1"/>
  <c r="AP96" i="8"/>
  <c r="AF157" i="8"/>
  <c r="CM146" i="8"/>
  <c r="F252" i="8" s="1"/>
  <c r="AO146" i="8"/>
  <c r="AH148" i="8"/>
  <c r="H196" i="8" s="1"/>
  <c r="I146" i="8"/>
  <c r="F173" i="8" s="1"/>
  <c r="P149" i="8"/>
  <c r="G150" i="8"/>
  <c r="I157" i="8"/>
  <c r="Q173" i="8" s="1"/>
  <c r="H158" i="8"/>
  <c r="R172" i="8" s="1"/>
  <c r="P159" i="8"/>
  <c r="I145" i="8"/>
  <c r="E173" i="8" s="1"/>
  <c r="I161" i="8"/>
  <c r="U173" i="8" s="1"/>
  <c r="H163" i="8"/>
  <c r="W172" i="8" s="1"/>
  <c r="H157" i="8"/>
  <c r="Q172" i="8" s="1"/>
  <c r="I154" i="8"/>
  <c r="N173" i="8" s="1"/>
  <c r="I152" i="8"/>
  <c r="L173" i="8" s="1"/>
  <c r="P160" i="8"/>
  <c r="G145" i="8"/>
  <c r="DE149" i="8"/>
  <c r="I268" i="8" s="1"/>
  <c r="DL145" i="8"/>
  <c r="E275" i="8" s="1"/>
  <c r="AG163" i="8"/>
  <c r="W195" i="8" s="1"/>
  <c r="AH163" i="8"/>
  <c r="W196" i="8" s="1"/>
  <c r="AO155" i="8"/>
  <c r="AH160" i="8"/>
  <c r="T196" i="8" s="1"/>
  <c r="AV138" i="8"/>
  <c r="AX138" i="8" s="1"/>
  <c r="AO152" i="8"/>
  <c r="AF163" i="8"/>
  <c r="DE146" i="8"/>
  <c r="F268" i="8" s="1"/>
  <c r="CD159" i="8"/>
  <c r="DD158" i="8"/>
  <c r="R267" i="8" s="1"/>
  <c r="CF150" i="8"/>
  <c r="J245" i="8" s="1"/>
  <c r="CM158" i="8"/>
  <c r="R252" i="8" s="1"/>
  <c r="CM145" i="8"/>
  <c r="E252" i="8" s="1"/>
  <c r="CE159" i="8"/>
  <c r="S244" i="8" s="1"/>
  <c r="DD162" i="8"/>
  <c r="V267" i="8" s="1"/>
  <c r="DE161" i="8"/>
  <c r="U268" i="8" s="1"/>
  <c r="CM154" i="8"/>
  <c r="N252" i="8" s="1"/>
  <c r="CE152" i="8"/>
  <c r="L244" i="8" s="1"/>
  <c r="CE161" i="8"/>
  <c r="U244" i="8" s="1"/>
  <c r="DL153" i="8"/>
  <c r="M275" i="8" s="1"/>
  <c r="CE160" i="8"/>
  <c r="T244" i="8" s="1"/>
  <c r="CE153" i="8"/>
  <c r="M244" i="8" s="1"/>
  <c r="DD155" i="8"/>
  <c r="O267" i="8" s="1"/>
  <c r="CF161" i="8"/>
  <c r="U245" i="8" s="1"/>
  <c r="DE163" i="8"/>
  <c r="W268" i="8" s="1"/>
  <c r="CM160" i="8"/>
  <c r="T252" i="8" s="1"/>
  <c r="CD151" i="8"/>
  <c r="DE150" i="8"/>
  <c r="J268" i="8" s="1"/>
  <c r="CF147" i="8"/>
  <c r="G245" i="8" s="1"/>
  <c r="CD157" i="8"/>
  <c r="E219" i="8"/>
  <c r="E222" i="8" s="1"/>
  <c r="BH145" i="8"/>
  <c r="S219" i="8"/>
  <c r="S222" i="8" s="1"/>
  <c r="BH159" i="8"/>
  <c r="U180" i="8"/>
  <c r="AO162" i="8"/>
  <c r="AF161" i="8"/>
  <c r="V243" i="8"/>
  <c r="G266" i="8"/>
  <c r="DF147" i="8"/>
  <c r="G269" i="8" s="1"/>
  <c r="AG146" i="8"/>
  <c r="F195" i="8" s="1"/>
  <c r="G151" i="8"/>
  <c r="H159" i="8"/>
  <c r="S172" i="8" s="1"/>
  <c r="H150" i="8"/>
  <c r="J172" i="8" s="1"/>
  <c r="H155" i="8"/>
  <c r="O172" i="8" s="1"/>
  <c r="P157" i="8"/>
  <c r="AG158" i="8"/>
  <c r="R195" i="8" s="1"/>
  <c r="DE145" i="8"/>
  <c r="E268" i="8" s="1"/>
  <c r="CE149" i="8"/>
  <c r="I244" i="8" s="1"/>
  <c r="CM157" i="8"/>
  <c r="Q252" i="8" s="1"/>
  <c r="DC160" i="8"/>
  <c r="DD152" i="8"/>
  <c r="L267" i="8" s="1"/>
  <c r="DC148" i="8"/>
  <c r="DD151" i="8"/>
  <c r="K267" i="8" s="1"/>
  <c r="H162" i="8"/>
  <c r="V172" i="8" s="1"/>
  <c r="F228" i="8"/>
  <c r="J228" i="8"/>
  <c r="N228" i="8"/>
  <c r="O228" i="8"/>
  <c r="W219" i="8"/>
  <c r="W222" i="8" s="1"/>
  <c r="BH163" i="8"/>
  <c r="P219" i="8"/>
  <c r="BE161" i="8"/>
  <c r="BN147" i="8"/>
  <c r="BF153" i="8"/>
  <c r="M220" i="8" s="1"/>
  <c r="BE152" i="8"/>
  <c r="BF151" i="8"/>
  <c r="K220" i="8" s="1"/>
  <c r="BG151" i="8"/>
  <c r="K221" i="8" s="1"/>
  <c r="BF146" i="8"/>
  <c r="F220" i="8" s="1"/>
  <c r="DC156" i="8"/>
  <c r="CD145" i="8"/>
  <c r="DP89" i="8"/>
  <c r="DR89" i="8" s="1"/>
  <c r="CK89" i="8"/>
  <c r="AP89" i="8"/>
  <c r="AK89" i="8"/>
  <c r="T89" i="8"/>
  <c r="V89" i="8" s="1"/>
  <c r="DJ89" i="8"/>
  <c r="BO89" i="8"/>
  <c r="BJ89" i="8"/>
  <c r="AS89" i="8"/>
  <c r="AU89" i="8" s="1"/>
  <c r="W89" i="8"/>
  <c r="Y89" i="8" s="1"/>
  <c r="N89" i="8"/>
  <c r="CN89" i="8"/>
  <c r="CI89" i="8"/>
  <c r="BR89" i="8"/>
  <c r="BT89" i="8" s="1"/>
  <c r="AM89" i="8"/>
  <c r="DH89" i="8"/>
  <c r="CQ89" i="8"/>
  <c r="CS89" i="8" s="1"/>
  <c r="Q89" i="8"/>
  <c r="L89" i="8"/>
  <c r="BL89" i="8"/>
  <c r="DM89" i="8"/>
  <c r="AG159" i="8"/>
  <c r="S195" i="8" s="1"/>
  <c r="AO161" i="8"/>
  <c r="I153" i="8"/>
  <c r="M173" i="8" s="1"/>
  <c r="DD157" i="8"/>
  <c r="Q267" i="8" s="1"/>
  <c r="AF148" i="8"/>
  <c r="AV19" i="8"/>
  <c r="AX19" i="8" s="1"/>
  <c r="AO147" i="8"/>
  <c r="AH155" i="8"/>
  <c r="O196" i="8" s="1"/>
  <c r="AF147" i="8"/>
  <c r="AH161" i="8"/>
  <c r="U196" i="8" s="1"/>
  <c r="AG156" i="8"/>
  <c r="P195" i="8" s="1"/>
  <c r="P293" i="8" s="1"/>
  <c r="AH154" i="8"/>
  <c r="N196" i="8" s="1"/>
  <c r="AO158" i="8"/>
  <c r="AG147" i="8"/>
  <c r="G195" i="8" s="1"/>
  <c r="AG162" i="8"/>
  <c r="V195" i="8" s="1"/>
  <c r="AH145" i="8"/>
  <c r="E196" i="8" s="1"/>
  <c r="AH156" i="8"/>
  <c r="P196" i="8" s="1"/>
  <c r="AO160" i="8"/>
  <c r="CF163" i="8"/>
  <c r="W245" i="8" s="1"/>
  <c r="AF149" i="8"/>
  <c r="CM159" i="8"/>
  <c r="S252" i="8" s="1"/>
  <c r="DD150" i="8"/>
  <c r="J267" i="8" s="1"/>
  <c r="CD146" i="8"/>
  <c r="CJ12" i="8"/>
  <c r="DI145" i="8" s="1"/>
  <c r="E272" i="8" s="1"/>
  <c r="CO12" i="8"/>
  <c r="CP12" i="8" s="1"/>
  <c r="CC12" i="8"/>
  <c r="AF152" i="8"/>
  <c r="AF146" i="8"/>
  <c r="AO154" i="8"/>
  <c r="P154" i="8"/>
  <c r="G161" i="8"/>
  <c r="CF152" i="8"/>
  <c r="L245" i="8" s="1"/>
  <c r="CD156" i="8"/>
  <c r="AG153" i="8"/>
  <c r="M195" i="8" s="1"/>
  <c r="CE163" i="8"/>
  <c r="W244" i="8" s="1"/>
  <c r="AG151" i="8"/>
  <c r="K195" i="8" s="1"/>
  <c r="CD160" i="8"/>
  <c r="AO153" i="8"/>
  <c r="AF150" i="8"/>
  <c r="AO150" i="8"/>
  <c r="P152" i="8"/>
  <c r="G156" i="8"/>
  <c r="G157" i="8"/>
  <c r="P151" i="8"/>
  <c r="H145" i="8"/>
  <c r="E172" i="8" s="1"/>
  <c r="G162" i="8"/>
  <c r="G159" i="8"/>
  <c r="H147" i="8"/>
  <c r="G172" i="8" s="1"/>
  <c r="P158" i="8"/>
  <c r="G147" i="8"/>
  <c r="G160" i="8"/>
  <c r="I163" i="8"/>
  <c r="W173" i="8" s="1"/>
  <c r="W294" i="8" s="1"/>
  <c r="H161" i="8"/>
  <c r="U172" i="8" s="1"/>
  <c r="U293" i="8" s="1"/>
  <c r="I158" i="8"/>
  <c r="R173" i="8" s="1"/>
  <c r="CD150" i="8"/>
  <c r="DI11" i="8"/>
  <c r="DN11" i="8"/>
  <c r="DO11" i="8" s="1"/>
  <c r="DB11" i="8"/>
  <c r="DA12" i="8" s="1"/>
  <c r="AG145" i="8"/>
  <c r="E195" i="8" s="1"/>
  <c r="AO156" i="8"/>
  <c r="AO149" i="8"/>
  <c r="AG157" i="8"/>
  <c r="Q195" i="8" s="1"/>
  <c r="AF158" i="8"/>
  <c r="AO148" i="8"/>
  <c r="CD155" i="8"/>
  <c r="DP47" i="8"/>
  <c r="DR47" i="8" s="1"/>
  <c r="CK47" i="8"/>
  <c r="AP47" i="8"/>
  <c r="AK47" i="8"/>
  <c r="T47" i="8"/>
  <c r="V47" i="8" s="1"/>
  <c r="DM47" i="8"/>
  <c r="DH47" i="8"/>
  <c r="CQ47" i="8"/>
  <c r="CS47" i="8" s="1"/>
  <c r="DJ47" i="8"/>
  <c r="BO47" i="8"/>
  <c r="BJ47" i="8"/>
  <c r="AS47" i="8"/>
  <c r="AU47" i="8" s="1"/>
  <c r="W47" i="8"/>
  <c r="Y47" i="8" s="1"/>
  <c r="N47" i="8"/>
  <c r="Q47" i="8"/>
  <c r="CN47" i="8"/>
  <c r="CI47" i="8"/>
  <c r="BR47" i="8"/>
  <c r="BT47" i="8" s="1"/>
  <c r="AM47" i="8"/>
  <c r="BL47" i="8"/>
  <c r="L47" i="8"/>
  <c r="CM151" i="8"/>
  <c r="K252" i="8" s="1"/>
  <c r="CD163" i="8"/>
  <c r="CE150" i="8"/>
  <c r="J244" i="8" s="1"/>
  <c r="DE157" i="8"/>
  <c r="Q268" i="8" s="1"/>
  <c r="DE162" i="8"/>
  <c r="V268" i="8" s="1"/>
  <c r="DL146" i="8"/>
  <c r="F275" i="8" s="1"/>
  <c r="CE145" i="8"/>
  <c r="E244" i="8" s="1"/>
  <c r="DD145" i="8"/>
  <c r="E267" i="8" s="1"/>
  <c r="DC162" i="8"/>
  <c r="DL156" i="8"/>
  <c r="P275" i="8" s="1"/>
  <c r="DD161" i="8"/>
  <c r="U267" i="8" s="1"/>
  <c r="CF149" i="8"/>
  <c r="I245" i="8" s="1"/>
  <c r="DL163" i="8"/>
  <c r="W275" i="8" s="1"/>
  <c r="CD147" i="8"/>
  <c r="CD152" i="8"/>
  <c r="DC163" i="8"/>
  <c r="CF158" i="8"/>
  <c r="R245" i="8" s="1"/>
  <c r="CD154" i="8"/>
  <c r="CF148" i="8"/>
  <c r="H245" i="8" s="1"/>
  <c r="DC155" i="8"/>
  <c r="CT26" i="8"/>
  <c r="CV26" i="8" s="1"/>
  <c r="DL162" i="8"/>
  <c r="V275" i="8" s="1"/>
  <c r="CM152" i="8"/>
  <c r="L252" i="8" s="1"/>
  <c r="DD146" i="8"/>
  <c r="F267" i="8" s="1"/>
  <c r="DC150" i="8"/>
  <c r="CM155" i="8"/>
  <c r="O252" i="8" s="1"/>
  <c r="DC152" i="8"/>
  <c r="CF153" i="8"/>
  <c r="M245" i="8" s="1"/>
  <c r="DC157" i="8"/>
  <c r="DL151" i="8"/>
  <c r="K275" i="8" s="1"/>
  <c r="CD149" i="8"/>
  <c r="DD159" i="8"/>
  <c r="S267" i="8" s="1"/>
  <c r="BC111" i="1"/>
  <c r="BC110" i="1"/>
  <c r="BC109" i="1"/>
  <c r="AD111" i="1"/>
  <c r="DG69" i="9" l="1"/>
  <c r="DK68" i="9"/>
  <c r="DB68" i="9"/>
  <c r="DA69" i="9" s="1"/>
  <c r="DN68" i="9"/>
  <c r="DO68" i="9" s="1"/>
  <c r="DI68" i="9"/>
  <c r="CO69" i="9"/>
  <c r="CP69" i="9" s="1"/>
  <c r="CJ69" i="9"/>
  <c r="CC69" i="9"/>
  <c r="CB70" i="9" s="1"/>
  <c r="CH70" i="9"/>
  <c r="CL69" i="9"/>
  <c r="BI70" i="9"/>
  <c r="BM70" i="9" s="1"/>
  <c r="BP68" i="9"/>
  <c r="BQ68" i="9" s="1"/>
  <c r="BK68" i="9"/>
  <c r="BD68" i="9"/>
  <c r="BC69" i="9" s="1"/>
  <c r="AE68" i="9"/>
  <c r="AD69" i="9" s="1"/>
  <c r="AQ68" i="9"/>
  <c r="AR68" i="9" s="1"/>
  <c r="AL68" i="9"/>
  <c r="AJ69" i="9"/>
  <c r="AN68" i="9"/>
  <c r="AR152" i="9"/>
  <c r="L206" i="9" s="1"/>
  <c r="DO152" i="9"/>
  <c r="L279" i="9" s="1"/>
  <c r="CP152" i="9"/>
  <c r="L255" i="9" s="1"/>
  <c r="R61" i="9"/>
  <c r="S61" i="9" s="1"/>
  <c r="E62" i="9"/>
  <c r="F62" i="9" s="1"/>
  <c r="M61" i="9"/>
  <c r="CH153" i="9"/>
  <c r="M247" i="9" s="1"/>
  <c r="DG153" i="9"/>
  <c r="M271" i="9" s="1"/>
  <c r="DK152" i="9"/>
  <c r="L275" i="9" s="1"/>
  <c r="CL152" i="9"/>
  <c r="L251" i="9" s="1"/>
  <c r="AE152" i="9"/>
  <c r="L193" i="9" s="1"/>
  <c r="M198" i="9"/>
  <c r="BI153" i="9"/>
  <c r="M223" i="9" s="1"/>
  <c r="BM153" i="9"/>
  <c r="M227" i="9" s="1"/>
  <c r="T294" i="8"/>
  <c r="I294" i="8"/>
  <c r="DB152" i="9"/>
  <c r="CC152" i="9"/>
  <c r="L242" i="9" s="1"/>
  <c r="O67" i="9"/>
  <c r="K68" i="9"/>
  <c r="HJ16" i="7"/>
  <c r="HK16" i="7" s="1"/>
  <c r="GX16" i="7"/>
  <c r="GW17" i="7" s="1"/>
  <c r="HE16" i="7"/>
  <c r="HG16" i="7"/>
  <c r="HC17" i="7"/>
  <c r="GK16" i="7"/>
  <c r="GL16" i="7" s="1"/>
  <c r="FY16" i="7"/>
  <c r="FX17" i="7" s="1"/>
  <c r="GF16" i="7"/>
  <c r="GH15" i="7"/>
  <c r="GD16" i="7"/>
  <c r="FI16" i="7"/>
  <c r="FE17" i="7"/>
  <c r="FL17" i="7"/>
  <c r="FM17" i="7" s="1"/>
  <c r="EZ17" i="7"/>
  <c r="EY18" i="7" s="1"/>
  <c r="FG17" i="7"/>
  <c r="EM17" i="7"/>
  <c r="EN17" i="7" s="1"/>
  <c r="EA17" i="7"/>
  <c r="DZ18" i="7" s="1"/>
  <c r="EH17" i="7"/>
  <c r="EF18" i="7"/>
  <c r="EJ17" i="7"/>
  <c r="DN17" i="7"/>
  <c r="DO17" i="7" s="1"/>
  <c r="DB17" i="7"/>
  <c r="DA18" i="7" s="1"/>
  <c r="DI17" i="7"/>
  <c r="DK16" i="7"/>
  <c r="DG17" i="7"/>
  <c r="O294" i="8"/>
  <c r="DO145" i="8"/>
  <c r="E278" i="8" s="1"/>
  <c r="CP145" i="8"/>
  <c r="E255" i="8" s="1"/>
  <c r="J266" i="8"/>
  <c r="DF150" i="8"/>
  <c r="J269" i="8" s="1"/>
  <c r="T171" i="8"/>
  <c r="J160" i="8"/>
  <c r="J194" i="8"/>
  <c r="J197" i="8" s="1"/>
  <c r="AI150" i="8"/>
  <c r="T203" i="8"/>
  <c r="V203" i="8"/>
  <c r="E171" i="8"/>
  <c r="J145" i="8"/>
  <c r="M145" i="8" s="1"/>
  <c r="E177" i="8" s="1"/>
  <c r="I180" i="8"/>
  <c r="F180" i="8"/>
  <c r="S266" i="8"/>
  <c r="DF159" i="8"/>
  <c r="S269" i="8" s="1"/>
  <c r="V228" i="8"/>
  <c r="J219" i="8"/>
  <c r="J222" i="8" s="1"/>
  <c r="BH150" i="8"/>
  <c r="AR145" i="8"/>
  <c r="E206" i="8" s="1"/>
  <c r="W266" i="8"/>
  <c r="DF163" i="8"/>
  <c r="W269" i="8" s="1"/>
  <c r="V266" i="8"/>
  <c r="DF162" i="8"/>
  <c r="V269" i="8" s="1"/>
  <c r="O243" i="8"/>
  <c r="O246" i="8" s="1"/>
  <c r="CG155" i="8"/>
  <c r="I203" i="8"/>
  <c r="R294" i="8"/>
  <c r="G171" i="8"/>
  <c r="J147" i="8"/>
  <c r="V171" i="8"/>
  <c r="J162" i="8"/>
  <c r="P171" i="8"/>
  <c r="J156" i="8"/>
  <c r="M203" i="8"/>
  <c r="U171" i="8"/>
  <c r="J161" i="8"/>
  <c r="L194" i="8"/>
  <c r="L197" i="8" s="1"/>
  <c r="AI152" i="8"/>
  <c r="F243" i="8"/>
  <c r="F246" i="8" s="1"/>
  <c r="CG146" i="8"/>
  <c r="R203" i="8"/>
  <c r="G203" i="8"/>
  <c r="E243" i="8"/>
  <c r="E246" i="8" s="1"/>
  <c r="CG145" i="8"/>
  <c r="G228" i="8"/>
  <c r="BH156" i="8"/>
  <c r="V293" i="8"/>
  <c r="Q180" i="8"/>
  <c r="K171" i="8"/>
  <c r="J151" i="8"/>
  <c r="CG162" i="8"/>
  <c r="Q243" i="8"/>
  <c r="Q246" i="8" s="1"/>
  <c r="CG157" i="8"/>
  <c r="AI163" i="8"/>
  <c r="W194" i="8"/>
  <c r="W197" i="8" s="1"/>
  <c r="T180" i="8"/>
  <c r="W293" i="8"/>
  <c r="R293" i="8"/>
  <c r="F294" i="8"/>
  <c r="W180" i="8"/>
  <c r="AN13" i="8"/>
  <c r="AJ14" i="8"/>
  <c r="I293" i="8"/>
  <c r="R12" i="8"/>
  <c r="S12" i="8" s="1"/>
  <c r="F12" i="8"/>
  <c r="M12" i="8"/>
  <c r="P194" i="8"/>
  <c r="P197" i="8" s="1"/>
  <c r="AI156" i="8"/>
  <c r="F222" i="8"/>
  <c r="F171" i="8"/>
  <c r="J146" i="8"/>
  <c r="O180" i="8"/>
  <c r="V197" i="8"/>
  <c r="K222" i="8"/>
  <c r="H243" i="8"/>
  <c r="H246" i="8" s="1"/>
  <c r="CG148" i="8"/>
  <c r="E266" i="8"/>
  <c r="DF145" i="8"/>
  <c r="E269" i="8" s="1"/>
  <c r="W203" i="8"/>
  <c r="W171" i="8"/>
  <c r="J163" i="8"/>
  <c r="R171" i="8"/>
  <c r="J158" i="8"/>
  <c r="H294" i="8"/>
  <c r="V294" i="8"/>
  <c r="T293" i="8"/>
  <c r="BP12" i="8"/>
  <c r="BQ12" i="8" s="1"/>
  <c r="BD12" i="8"/>
  <c r="BK12" i="8"/>
  <c r="S203" i="8"/>
  <c r="H180" i="8"/>
  <c r="BI145" i="8"/>
  <c r="E223" i="8" s="1"/>
  <c r="BI13" i="8"/>
  <c r="BM12" i="8"/>
  <c r="BM145" i="8" s="1"/>
  <c r="E227" i="8" s="1"/>
  <c r="E228" i="8"/>
  <c r="BP145" i="8"/>
  <c r="E230" i="8" s="1"/>
  <c r="M228" i="8"/>
  <c r="G219" i="8"/>
  <c r="G222" i="8" s="1"/>
  <c r="BH147" i="8"/>
  <c r="P228" i="8"/>
  <c r="I219" i="8"/>
  <c r="I222" i="8" s="1"/>
  <c r="BH149" i="8"/>
  <c r="BH155" i="8"/>
  <c r="F293" i="8"/>
  <c r="M246" i="8"/>
  <c r="O266" i="8"/>
  <c r="DF155" i="8"/>
  <c r="O269" i="8" s="1"/>
  <c r="J243" i="8"/>
  <c r="J246" i="8" s="1"/>
  <c r="CG150" i="8"/>
  <c r="Q171" i="8"/>
  <c r="J157" i="8"/>
  <c r="F194" i="8"/>
  <c r="F197" i="8" s="1"/>
  <c r="AI146" i="8"/>
  <c r="K243" i="8"/>
  <c r="K246" i="8" s="1"/>
  <c r="CG151" i="8"/>
  <c r="Q293" i="8"/>
  <c r="BH146" i="8"/>
  <c r="I266" i="8"/>
  <c r="DF149" i="8"/>
  <c r="I269" i="8" s="1"/>
  <c r="C297" i="8"/>
  <c r="C298" i="8" s="1"/>
  <c r="C299" i="8" s="1"/>
  <c r="C300" i="8" s="1"/>
  <c r="C301" i="8" s="1"/>
  <c r="R228" i="8"/>
  <c r="I243" i="8"/>
  <c r="I246" i="8" s="1"/>
  <c r="CG149" i="8"/>
  <c r="W243" i="8"/>
  <c r="W246" i="8" s="1"/>
  <c r="CG163" i="8"/>
  <c r="H203" i="8"/>
  <c r="P203" i="8"/>
  <c r="R180" i="8"/>
  <c r="E293" i="8"/>
  <c r="L180" i="8"/>
  <c r="T243" i="8"/>
  <c r="T246" i="8" s="1"/>
  <c r="CG160" i="8"/>
  <c r="P243" i="8"/>
  <c r="P246" i="8" s="1"/>
  <c r="CG156" i="8"/>
  <c r="N180" i="8"/>
  <c r="DB145" i="8"/>
  <c r="E265" i="8" s="1"/>
  <c r="CC145" i="8"/>
  <c r="E242" i="8" s="1"/>
  <c r="CB13" i="8"/>
  <c r="P266" i="8"/>
  <c r="DF156" i="8"/>
  <c r="P269" i="8" s="1"/>
  <c r="P222" i="8"/>
  <c r="T266" i="8"/>
  <c r="DF160" i="8"/>
  <c r="T269" i="8" s="1"/>
  <c r="O293" i="8"/>
  <c r="V246" i="8"/>
  <c r="S243" i="8"/>
  <c r="S246" i="8" s="1"/>
  <c r="CG159" i="8"/>
  <c r="L203" i="8"/>
  <c r="O203" i="8"/>
  <c r="L294" i="8"/>
  <c r="U294" i="8"/>
  <c r="Q294" i="8"/>
  <c r="K194" i="8"/>
  <c r="K197" i="8" s="1"/>
  <c r="AI151" i="8"/>
  <c r="E198" i="8"/>
  <c r="AN145" i="8"/>
  <c r="E202" i="8" s="1"/>
  <c r="AE145" i="8"/>
  <c r="E193" i="8" s="1"/>
  <c r="AD13" i="8"/>
  <c r="N194" i="8"/>
  <c r="N197" i="8" s="1"/>
  <c r="AI154" i="8"/>
  <c r="M266" i="8"/>
  <c r="DF153" i="8"/>
  <c r="M269" i="8" s="1"/>
  <c r="BH148" i="8"/>
  <c r="S194" i="8"/>
  <c r="S197" i="8" s="1"/>
  <c r="AI159" i="8"/>
  <c r="G294" i="8"/>
  <c r="P294" i="8"/>
  <c r="DF151" i="8"/>
  <c r="K269" i="8" s="1"/>
  <c r="BH153" i="8"/>
  <c r="F266" i="8"/>
  <c r="DF146" i="8"/>
  <c r="F269" i="8" s="1"/>
  <c r="N266" i="8"/>
  <c r="DF154" i="8"/>
  <c r="N269" i="8" s="1"/>
  <c r="S294" i="8"/>
  <c r="K294" i="8"/>
  <c r="L293" i="8"/>
  <c r="J294" i="8"/>
  <c r="M180" i="8"/>
  <c r="K293" i="8"/>
  <c r="E203" i="8"/>
  <c r="AQ145" i="8"/>
  <c r="E205" i="8" s="1"/>
  <c r="W228" i="8"/>
  <c r="T228" i="8"/>
  <c r="Q219" i="8"/>
  <c r="Q222" i="8" s="1"/>
  <c r="BH157" i="8"/>
  <c r="O222" i="8"/>
  <c r="J152" i="8"/>
  <c r="L171" i="8"/>
  <c r="DK145" i="8"/>
  <c r="E274" i="8" s="1"/>
  <c r="CL145" i="8"/>
  <c r="E251" i="8" s="1"/>
  <c r="Q266" i="8"/>
  <c r="DF157" i="8"/>
  <c r="Q269" i="8" s="1"/>
  <c r="DN12" i="8"/>
  <c r="DO12" i="8" s="1"/>
  <c r="DB12" i="8"/>
  <c r="DA13" i="8" s="1"/>
  <c r="DI12" i="8"/>
  <c r="S171" i="8"/>
  <c r="J159" i="8"/>
  <c r="I194" i="8"/>
  <c r="I197" i="8" s="1"/>
  <c r="AI149" i="8"/>
  <c r="U203" i="8"/>
  <c r="S293" i="8"/>
  <c r="S180" i="8"/>
  <c r="T194" i="8"/>
  <c r="T197" i="8" s="1"/>
  <c r="AI160" i="8"/>
  <c r="R266" i="8"/>
  <c r="DF158" i="8"/>
  <c r="R269" i="8" s="1"/>
  <c r="N171" i="8"/>
  <c r="J154" i="8"/>
  <c r="E180" i="8"/>
  <c r="R145" i="8"/>
  <c r="E182" i="8" s="1"/>
  <c r="P180" i="8"/>
  <c r="M194" i="8"/>
  <c r="M197" i="8" s="1"/>
  <c r="AI153" i="8"/>
  <c r="U228" i="8"/>
  <c r="L266" i="8"/>
  <c r="DF152" i="8"/>
  <c r="L269" i="8" s="1"/>
  <c r="L243" i="8"/>
  <c r="L246" i="8" s="1"/>
  <c r="CG152" i="8"/>
  <c r="N243" i="8"/>
  <c r="N246" i="8" s="1"/>
  <c r="CG154" i="8"/>
  <c r="G243" i="8"/>
  <c r="G246" i="8" s="1"/>
  <c r="CG147" i="8"/>
  <c r="R194" i="8"/>
  <c r="R197" i="8" s="1"/>
  <c r="AI158" i="8"/>
  <c r="G293" i="8"/>
  <c r="K180" i="8"/>
  <c r="J203" i="8"/>
  <c r="N203" i="8"/>
  <c r="G194" i="8"/>
  <c r="G197" i="8" s="1"/>
  <c r="AI147" i="8"/>
  <c r="H194" i="8"/>
  <c r="H197" i="8" s="1"/>
  <c r="AI148" i="8"/>
  <c r="M294" i="8"/>
  <c r="L219" i="8"/>
  <c r="L222" i="8" s="1"/>
  <c r="BH152" i="8"/>
  <c r="U219" i="8"/>
  <c r="U222" i="8" s="1"/>
  <c r="BH161" i="8"/>
  <c r="H266" i="8"/>
  <c r="DF148" i="8"/>
  <c r="H269" i="8" s="1"/>
  <c r="J293" i="8"/>
  <c r="U194" i="8"/>
  <c r="U197" i="8" s="1"/>
  <c r="AI161" i="8"/>
  <c r="N294" i="8"/>
  <c r="E294" i="8"/>
  <c r="J171" i="8"/>
  <c r="J150" i="8"/>
  <c r="F203" i="8"/>
  <c r="AQ146" i="8"/>
  <c r="F205" i="8" s="1"/>
  <c r="Q194" i="8"/>
  <c r="Q197" i="8" s="1"/>
  <c r="AI157" i="8"/>
  <c r="V219" i="8"/>
  <c r="V222" i="8" s="1"/>
  <c r="BH162" i="8"/>
  <c r="O11" i="8"/>
  <c r="K12" i="8"/>
  <c r="H222" i="8"/>
  <c r="O171" i="8"/>
  <c r="J155" i="8"/>
  <c r="H293" i="8"/>
  <c r="O194" i="8"/>
  <c r="O197" i="8" s="1"/>
  <c r="AI155" i="8"/>
  <c r="M222" i="8"/>
  <c r="U266" i="8"/>
  <c r="DF161" i="8"/>
  <c r="U269" i="8" s="1"/>
  <c r="R243" i="8"/>
  <c r="R246" i="8" s="1"/>
  <c r="CG158" i="8"/>
  <c r="I171" i="8"/>
  <c r="J149" i="8"/>
  <c r="N293" i="8"/>
  <c r="M171" i="8"/>
  <c r="J153" i="8"/>
  <c r="G180" i="8"/>
  <c r="V180" i="8"/>
  <c r="H171" i="8"/>
  <c r="J148" i="8"/>
  <c r="E194" i="8"/>
  <c r="E197" i="8" s="1"/>
  <c r="AI145" i="8"/>
  <c r="DG12" i="8"/>
  <c r="DK11" i="8"/>
  <c r="U243" i="8"/>
  <c r="U246" i="8" s="1"/>
  <c r="CG161" i="8"/>
  <c r="K203" i="8"/>
  <c r="S228" i="8"/>
  <c r="T219" i="8"/>
  <c r="T222" i="8" s="1"/>
  <c r="BH160" i="8"/>
  <c r="K228" i="8"/>
  <c r="Q228" i="8"/>
  <c r="N219" i="8"/>
  <c r="N222" i="8" s="1"/>
  <c r="BH154" i="8"/>
  <c r="J180" i="8"/>
  <c r="M293" i="8"/>
  <c r="CH14" i="8"/>
  <c r="BB33" i="7"/>
  <c r="D37" i="7"/>
  <c r="CO89" i="1"/>
  <c r="CP87" i="1"/>
  <c r="CP84" i="1"/>
  <c r="CP82" i="1"/>
  <c r="CP149" i="1"/>
  <c r="CO37" i="1"/>
  <c r="CP37" i="1" s="1"/>
  <c r="CP38" i="1" s="1"/>
  <c r="DK69" i="9" l="1"/>
  <c r="DG70" i="9"/>
  <c r="DB69" i="9"/>
  <c r="DA70" i="9" s="1"/>
  <c r="DI69" i="9"/>
  <c r="DN69" i="9"/>
  <c r="DO69" i="9" s="1"/>
  <c r="CO70" i="9"/>
  <c r="CP70" i="9" s="1"/>
  <c r="CC70" i="9"/>
  <c r="CB71" i="9" s="1"/>
  <c r="CJ70" i="9"/>
  <c r="CH71" i="9"/>
  <c r="CL70" i="9"/>
  <c r="BP69" i="9"/>
  <c r="BQ69" i="9" s="1"/>
  <c r="BD69" i="9"/>
  <c r="BC70" i="9" s="1"/>
  <c r="BK69" i="9"/>
  <c r="BI71" i="9"/>
  <c r="BM71" i="9" s="1"/>
  <c r="AE69" i="9"/>
  <c r="AD70" i="9" s="1"/>
  <c r="AL69" i="9"/>
  <c r="AQ69" i="9"/>
  <c r="AR69" i="9" s="1"/>
  <c r="AN69" i="9"/>
  <c r="AJ70" i="9"/>
  <c r="BQ152" i="9"/>
  <c r="L231" i="9" s="1"/>
  <c r="DA153" i="9"/>
  <c r="M265" i="9" s="1"/>
  <c r="CB153" i="9"/>
  <c r="M241" i="9" s="1"/>
  <c r="L266" i="9"/>
  <c r="K153" i="9"/>
  <c r="K69" i="9"/>
  <c r="O68" i="9"/>
  <c r="AD153" i="9"/>
  <c r="F152" i="9"/>
  <c r="L170" i="9" s="1"/>
  <c r="S152" i="9"/>
  <c r="L183" i="9" s="1"/>
  <c r="BD152" i="9"/>
  <c r="L218" i="9" s="1"/>
  <c r="HE17" i="7"/>
  <c r="HJ17" i="7"/>
  <c r="HK17" i="7" s="1"/>
  <c r="GX17" i="7"/>
  <c r="GW18" i="7" s="1"/>
  <c r="HG17" i="7"/>
  <c r="HC18" i="7"/>
  <c r="GK17" i="7"/>
  <c r="GL17" i="7" s="1"/>
  <c r="FY17" i="7"/>
  <c r="FX18" i="7" s="1"/>
  <c r="GF17" i="7"/>
  <c r="GD17" i="7"/>
  <c r="GH16" i="7"/>
  <c r="FI17" i="7"/>
  <c r="FE18" i="7"/>
  <c r="FL18" i="7"/>
  <c r="FM18" i="7" s="1"/>
  <c r="EZ18" i="7"/>
  <c r="EY19" i="7" s="1"/>
  <c r="FG18" i="7"/>
  <c r="EM18" i="7"/>
  <c r="EN18" i="7" s="1"/>
  <c r="EA18" i="7"/>
  <c r="DZ19" i="7" s="1"/>
  <c r="EH18" i="7"/>
  <c r="EF19" i="7"/>
  <c r="EJ18" i="7"/>
  <c r="DN18" i="7"/>
  <c r="DO18" i="7" s="1"/>
  <c r="DB18" i="7"/>
  <c r="DA19" i="7" s="1"/>
  <c r="DI18" i="7"/>
  <c r="DK17" i="7"/>
  <c r="DG18" i="7"/>
  <c r="BQ145" i="8"/>
  <c r="E231" i="8" s="1"/>
  <c r="S145" i="8"/>
  <c r="E183" i="8" s="1"/>
  <c r="BI14" i="8"/>
  <c r="F145" i="8"/>
  <c r="E170" i="8" s="1"/>
  <c r="E13" i="8"/>
  <c r="M174" i="8"/>
  <c r="M295" i="8" s="1"/>
  <c r="M292" i="8"/>
  <c r="J174" i="8"/>
  <c r="J295" i="8" s="1"/>
  <c r="J292" i="8"/>
  <c r="S174" i="8"/>
  <c r="S295" i="8" s="1"/>
  <c r="S292" i="8"/>
  <c r="L174" i="8"/>
  <c r="L295" i="8" s="1"/>
  <c r="L292" i="8"/>
  <c r="Q174" i="8"/>
  <c r="Q295" i="8" s="1"/>
  <c r="Q292" i="8"/>
  <c r="R174" i="8"/>
  <c r="R295" i="8" s="1"/>
  <c r="R292" i="8"/>
  <c r="N174" i="8"/>
  <c r="N295" i="8" s="1"/>
  <c r="N292" i="8"/>
  <c r="DA146" i="8"/>
  <c r="F264" i="8" s="1"/>
  <c r="CB146" i="8"/>
  <c r="F241" i="8" s="1"/>
  <c r="CO13" i="8"/>
  <c r="CC13" i="8"/>
  <c r="CB14" i="8" s="1"/>
  <c r="CJ13" i="8"/>
  <c r="O174" i="8"/>
  <c r="O295" i="8" s="1"/>
  <c r="O292" i="8"/>
  <c r="AQ13" i="8"/>
  <c r="AR13" i="8" s="1"/>
  <c r="AE13" i="8"/>
  <c r="AD14" i="8" s="1"/>
  <c r="AL13" i="8"/>
  <c r="K174" i="8"/>
  <c r="K295" i="8" s="1"/>
  <c r="K292" i="8"/>
  <c r="V174" i="8"/>
  <c r="V295" i="8" s="1"/>
  <c r="V292" i="8"/>
  <c r="CL14" i="8"/>
  <c r="CH15" i="8"/>
  <c r="I174" i="8"/>
  <c r="I295" i="8" s="1"/>
  <c r="I292" i="8"/>
  <c r="K145" i="8"/>
  <c r="O12" i="8"/>
  <c r="K13" i="8"/>
  <c r="U174" i="8"/>
  <c r="U295" i="8" s="1"/>
  <c r="U292" i="8"/>
  <c r="P174" i="8"/>
  <c r="P295" i="8" s="1"/>
  <c r="P292" i="8"/>
  <c r="G174" i="8"/>
  <c r="G295" i="8" s="1"/>
  <c r="G292" i="8"/>
  <c r="CL13" i="8"/>
  <c r="DK12" i="8"/>
  <c r="DG13" i="8"/>
  <c r="H174" i="8"/>
  <c r="H295" i="8" s="1"/>
  <c r="H292" i="8"/>
  <c r="DN13" i="8"/>
  <c r="DO13" i="8" s="1"/>
  <c r="DI13" i="8"/>
  <c r="DB13" i="8"/>
  <c r="DA14" i="8" s="1"/>
  <c r="U301" i="8"/>
  <c r="Q301" i="8"/>
  <c r="M301" i="8"/>
  <c r="I301" i="8"/>
  <c r="E301" i="8"/>
  <c r="C302" i="8"/>
  <c r="C303" i="8" s="1"/>
  <c r="T301" i="8"/>
  <c r="P301" i="8"/>
  <c r="L301" i="8"/>
  <c r="H301" i="8"/>
  <c r="R301" i="8"/>
  <c r="J301" i="8"/>
  <c r="W301" i="8"/>
  <c r="O301" i="8"/>
  <c r="G301" i="8"/>
  <c r="N301" i="8"/>
  <c r="K301" i="8"/>
  <c r="V301" i="8"/>
  <c r="S301" i="8"/>
  <c r="F301" i="8"/>
  <c r="BD145" i="8"/>
  <c r="E218" i="8" s="1"/>
  <c r="BC13" i="8"/>
  <c r="W174" i="8"/>
  <c r="W295" i="8" s="1"/>
  <c r="W292" i="8"/>
  <c r="F174" i="8"/>
  <c r="F295" i="8" s="1"/>
  <c r="F292" i="8"/>
  <c r="AJ15" i="8"/>
  <c r="AN14" i="8"/>
  <c r="E174" i="8"/>
  <c r="E295" i="8" s="1"/>
  <c r="E298" i="8" s="1"/>
  <c r="E326" i="8" s="1"/>
  <c r="E292" i="8"/>
  <c r="T174" i="8"/>
  <c r="T295" i="8" s="1"/>
  <c r="T292" i="8"/>
  <c r="BC148" i="7"/>
  <c r="DK70" i="9" l="1"/>
  <c r="DG71" i="9"/>
  <c r="DN70" i="9"/>
  <c r="DO70" i="9" s="1"/>
  <c r="DI70" i="9"/>
  <c r="DB70" i="9"/>
  <c r="DA71" i="9" s="1"/>
  <c r="CO71" i="9"/>
  <c r="CP71" i="9" s="1"/>
  <c r="CC71" i="9"/>
  <c r="CB72" i="9" s="1"/>
  <c r="CJ71" i="9"/>
  <c r="CL71" i="9"/>
  <c r="CH72" i="9"/>
  <c r="BP70" i="9"/>
  <c r="BQ70" i="9" s="1"/>
  <c r="BD70" i="9"/>
  <c r="BC71" i="9" s="1"/>
  <c r="BK70" i="9"/>
  <c r="BI72" i="9"/>
  <c r="BM72" i="9" s="1"/>
  <c r="AJ71" i="9"/>
  <c r="AN70" i="9"/>
  <c r="AQ70" i="9"/>
  <c r="AR70" i="9" s="1"/>
  <c r="AE70" i="9"/>
  <c r="AD71" i="9" s="1"/>
  <c r="AL70" i="9"/>
  <c r="L293" i="9"/>
  <c r="L327" i="9"/>
  <c r="O69" i="9"/>
  <c r="K70" i="9"/>
  <c r="BC153" i="9"/>
  <c r="M175" i="9"/>
  <c r="M298" i="9" s="1"/>
  <c r="E153" i="9"/>
  <c r="M153" i="9" s="1"/>
  <c r="R62" i="9"/>
  <c r="S62" i="9" s="1"/>
  <c r="E63" i="9"/>
  <c r="F63" i="9" s="1"/>
  <c r="M62" i="9"/>
  <c r="M192" i="9"/>
  <c r="AQ153" i="9"/>
  <c r="M205" i="9" s="1"/>
  <c r="AN153" i="9"/>
  <c r="M202" i="9" s="1"/>
  <c r="HJ18" i="7"/>
  <c r="HK18" i="7" s="1"/>
  <c r="GX18" i="7"/>
  <c r="GW19" i="7" s="1"/>
  <c r="HE18" i="7"/>
  <c r="HG18" i="7"/>
  <c r="HC19" i="7"/>
  <c r="GK18" i="7"/>
  <c r="GL18" i="7" s="1"/>
  <c r="FY18" i="7"/>
  <c r="FX19" i="7" s="1"/>
  <c r="GF18" i="7"/>
  <c r="GD18" i="7"/>
  <c r="GH17" i="7"/>
  <c r="FE19" i="7"/>
  <c r="FI18" i="7"/>
  <c r="FG19" i="7"/>
  <c r="FL19" i="7"/>
  <c r="FM19" i="7" s="1"/>
  <c r="EZ19" i="7"/>
  <c r="EY20" i="7" s="1"/>
  <c r="EJ19" i="7"/>
  <c r="EF20" i="7"/>
  <c r="EM19" i="7"/>
  <c r="EN19" i="7" s="1"/>
  <c r="EA19" i="7"/>
  <c r="DZ20" i="7" s="1"/>
  <c r="EH19" i="7"/>
  <c r="DN19" i="7"/>
  <c r="DO19" i="7" s="1"/>
  <c r="DI19" i="7"/>
  <c r="DB19" i="7"/>
  <c r="DA20" i="7" s="1"/>
  <c r="DG19" i="7"/>
  <c r="DK18" i="7"/>
  <c r="AN15" i="8"/>
  <c r="AJ16" i="8"/>
  <c r="BM14" i="8"/>
  <c r="BI15" i="8"/>
  <c r="BC146" i="8"/>
  <c r="BD13" i="8"/>
  <c r="BC14" i="8" s="1"/>
  <c r="BK13" i="8"/>
  <c r="BP13" i="8"/>
  <c r="BQ13" i="8" s="1"/>
  <c r="C304" i="8"/>
  <c r="C305" i="8" s="1"/>
  <c r="E146" i="8"/>
  <c r="R13" i="8"/>
  <c r="S13" i="8" s="1"/>
  <c r="M13" i="8"/>
  <c r="F13" i="8"/>
  <c r="E14" i="8" s="1"/>
  <c r="K14" i="8"/>
  <c r="O13" i="8"/>
  <c r="CP13" i="8"/>
  <c r="DG14" i="8"/>
  <c r="DK13" i="8"/>
  <c r="E175" i="8"/>
  <c r="E296" i="8" s="1"/>
  <c r="O145" i="8"/>
  <c r="E179" i="8" s="1"/>
  <c r="CH16" i="8"/>
  <c r="E291" i="8"/>
  <c r="AL14" i="8"/>
  <c r="AE14" i="8"/>
  <c r="AD15" i="8" s="1"/>
  <c r="AQ14" i="8"/>
  <c r="AR14" i="8" s="1"/>
  <c r="DN14" i="8"/>
  <c r="DO14" i="8" s="1"/>
  <c r="DB14" i="8"/>
  <c r="DA15" i="8" s="1"/>
  <c r="DI14" i="8"/>
  <c r="CO14" i="8"/>
  <c r="CC14" i="8"/>
  <c r="CB15" i="8" s="1"/>
  <c r="CL15" i="8" s="1"/>
  <c r="CJ14" i="8"/>
  <c r="BM13" i="8"/>
  <c r="D12" i="7"/>
  <c r="E145" i="7" s="1"/>
  <c r="AC19" i="7"/>
  <c r="AD146" i="7" s="1"/>
  <c r="E14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6" i="1"/>
  <c r="N6" i="1"/>
  <c r="E13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CL48" i="1"/>
  <c r="CL49" i="1"/>
  <c r="CL50" i="1"/>
  <c r="CL51" i="1"/>
  <c r="CL52" i="1"/>
  <c r="CL54" i="1"/>
  <c r="CL55" i="1"/>
  <c r="CL56" i="1"/>
  <c r="CL57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47" i="1"/>
  <c r="CL145" i="1"/>
  <c r="CL146" i="1"/>
  <c r="CL147" i="1"/>
  <c r="CL148" i="1"/>
  <c r="CL149" i="1"/>
  <c r="CL150" i="1"/>
  <c r="CL151" i="1"/>
  <c r="CL152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33" i="1"/>
  <c r="AN49" i="1"/>
  <c r="AN51" i="1"/>
  <c r="AN52" i="1"/>
  <c r="AN53" i="1"/>
  <c r="AN54" i="1"/>
  <c r="AN55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47" i="1"/>
  <c r="DG72" i="9" l="1"/>
  <c r="DK71" i="9"/>
  <c r="DB71" i="9"/>
  <c r="DA72" i="9" s="1"/>
  <c r="DI71" i="9"/>
  <c r="DN71" i="9"/>
  <c r="DO71" i="9" s="1"/>
  <c r="CO72" i="9"/>
  <c r="CP72" i="9" s="1"/>
  <c r="CJ72" i="9"/>
  <c r="CC72" i="9"/>
  <c r="CB73" i="9" s="1"/>
  <c r="CH73" i="9"/>
  <c r="CL72" i="9"/>
  <c r="BP71" i="9"/>
  <c r="BQ71" i="9" s="1"/>
  <c r="BD71" i="9"/>
  <c r="BC72" i="9" s="1"/>
  <c r="BK71" i="9"/>
  <c r="BI73" i="9"/>
  <c r="BM73" i="9" s="1"/>
  <c r="AN71" i="9"/>
  <c r="AJ72" i="9"/>
  <c r="AE71" i="9"/>
  <c r="AD72" i="9" s="1"/>
  <c r="AL71" i="9"/>
  <c r="AQ71" i="9"/>
  <c r="AR71" i="9" s="1"/>
  <c r="M334" i="9"/>
  <c r="M217" i="9"/>
  <c r="BP153" i="9"/>
  <c r="M230" i="9" s="1"/>
  <c r="M169" i="9"/>
  <c r="R153" i="9"/>
  <c r="M182" i="9" s="1"/>
  <c r="M177" i="9"/>
  <c r="R63" i="9"/>
  <c r="S63" i="9" s="1"/>
  <c r="M63" i="9"/>
  <c r="E64" i="9"/>
  <c r="F64" i="9" s="1"/>
  <c r="K71" i="9"/>
  <c r="O70" i="9"/>
  <c r="O153" i="9"/>
  <c r="M179" i="9" s="1"/>
  <c r="HJ19" i="7"/>
  <c r="HK19" i="7" s="1"/>
  <c r="HE19" i="7"/>
  <c r="GX19" i="7"/>
  <c r="GW20" i="7" s="1"/>
  <c r="HC20" i="7"/>
  <c r="HG19" i="7"/>
  <c r="GK19" i="7"/>
  <c r="GL19" i="7" s="1"/>
  <c r="FY19" i="7"/>
  <c r="FX20" i="7" s="1"/>
  <c r="GF19" i="7"/>
  <c r="GH18" i="7"/>
  <c r="GD19" i="7"/>
  <c r="FL20" i="7"/>
  <c r="FM20" i="7" s="1"/>
  <c r="FG20" i="7"/>
  <c r="EZ20" i="7"/>
  <c r="EY21" i="7" s="1"/>
  <c r="FI19" i="7"/>
  <c r="FE20" i="7"/>
  <c r="EJ20" i="7"/>
  <c r="EF21" i="7"/>
  <c r="EM20" i="7"/>
  <c r="EN20" i="7" s="1"/>
  <c r="EA20" i="7"/>
  <c r="DZ21" i="7" s="1"/>
  <c r="EH20" i="7"/>
  <c r="DN20" i="7"/>
  <c r="DO20" i="7" s="1"/>
  <c r="DB20" i="7"/>
  <c r="DA21" i="7" s="1"/>
  <c r="DI20" i="7"/>
  <c r="DK19" i="7"/>
  <c r="DG20" i="7"/>
  <c r="DN15" i="8"/>
  <c r="DO15" i="8" s="1"/>
  <c r="DI15" i="8"/>
  <c r="DB15" i="8"/>
  <c r="DA16" i="8" s="1"/>
  <c r="DK14" i="8"/>
  <c r="DG15" i="8"/>
  <c r="O14" i="8"/>
  <c r="K15" i="8"/>
  <c r="F169" i="8"/>
  <c r="F290" i="8" s="1"/>
  <c r="F298" i="8" s="1"/>
  <c r="F326" i="8" s="1"/>
  <c r="R146" i="8"/>
  <c r="F182" i="8" s="1"/>
  <c r="M146" i="8"/>
  <c r="F177" i="8" s="1"/>
  <c r="BM15" i="8"/>
  <c r="BI16" i="8"/>
  <c r="AN16" i="8"/>
  <c r="AJ17" i="8"/>
  <c r="CP14" i="8"/>
  <c r="R14" i="8"/>
  <c r="S14" i="8" s="1"/>
  <c r="F14" i="8"/>
  <c r="E15" i="8" s="1"/>
  <c r="M14" i="8"/>
  <c r="AQ15" i="8"/>
  <c r="AR15" i="8" s="1"/>
  <c r="AE15" i="8"/>
  <c r="AD16" i="8" s="1"/>
  <c r="AL15" i="8"/>
  <c r="CH17" i="8"/>
  <c r="F217" i="8"/>
  <c r="BP146" i="8"/>
  <c r="F230" i="8" s="1"/>
  <c r="CO15" i="8"/>
  <c r="CC15" i="8"/>
  <c r="CB16" i="8" s="1"/>
  <c r="CJ15" i="8"/>
  <c r="E300" i="8"/>
  <c r="E327" i="8" s="1"/>
  <c r="E332" i="8"/>
  <c r="E305" i="8"/>
  <c r="E329" i="8" s="1"/>
  <c r="C306" i="8"/>
  <c r="C307" i="8" s="1"/>
  <c r="BP14" i="8"/>
  <c r="BQ14" i="8" s="1"/>
  <c r="BD14" i="8"/>
  <c r="BC15" i="8" s="1"/>
  <c r="BK14" i="8"/>
  <c r="AZ92" i="7"/>
  <c r="AZ91" i="7"/>
  <c r="B135" i="7"/>
  <c r="AA91" i="7"/>
  <c r="AA92" i="7" s="1"/>
  <c r="DG73" i="9" l="1"/>
  <c r="DK72" i="9"/>
  <c r="DB72" i="9"/>
  <c r="DA73" i="9" s="1"/>
  <c r="DN72" i="9"/>
  <c r="DO72" i="9" s="1"/>
  <c r="DI72" i="9"/>
  <c r="CO73" i="9"/>
  <c r="CP73" i="9" s="1"/>
  <c r="CC73" i="9"/>
  <c r="CB74" i="9" s="1"/>
  <c r="CJ73" i="9"/>
  <c r="CL73" i="9"/>
  <c r="CH74" i="9"/>
  <c r="BI74" i="9"/>
  <c r="BM74" i="9" s="1"/>
  <c r="BP72" i="9"/>
  <c r="BQ72" i="9" s="1"/>
  <c r="BK72" i="9"/>
  <c r="BD72" i="9"/>
  <c r="BC73" i="9" s="1"/>
  <c r="AE72" i="9"/>
  <c r="AD73" i="9" s="1"/>
  <c r="AQ72" i="9"/>
  <c r="AR72" i="9" s="1"/>
  <c r="AL72" i="9"/>
  <c r="AN72" i="9"/>
  <c r="AJ73" i="9"/>
  <c r="R64" i="9"/>
  <c r="S64" i="9" s="1"/>
  <c r="E65" i="9"/>
  <c r="F65" i="9" s="1"/>
  <c r="M64" i="9"/>
  <c r="O71" i="9"/>
  <c r="K72" i="9"/>
  <c r="M292" i="9"/>
  <c r="M307" i="9" s="1"/>
  <c r="M317" i="9"/>
  <c r="M343" i="9" s="1"/>
  <c r="K11" i="5" s="1"/>
  <c r="HC21" i="7"/>
  <c r="HG20" i="7"/>
  <c r="HJ20" i="7"/>
  <c r="HK20" i="7" s="1"/>
  <c r="GX20" i="7"/>
  <c r="GW21" i="7" s="1"/>
  <c r="HE20" i="7"/>
  <c r="GK20" i="7"/>
  <c r="GL20" i="7" s="1"/>
  <c r="FY20" i="7"/>
  <c r="FX21" i="7" s="1"/>
  <c r="GF20" i="7"/>
  <c r="GD20" i="7"/>
  <c r="GH19" i="7"/>
  <c r="FL21" i="7"/>
  <c r="FM21" i="7" s="1"/>
  <c r="EZ21" i="7"/>
  <c r="EY22" i="7" s="1"/>
  <c r="FG21" i="7"/>
  <c r="FE21" i="7"/>
  <c r="FI20" i="7"/>
  <c r="EJ21" i="7"/>
  <c r="EF22" i="7"/>
  <c r="EM21" i="7"/>
  <c r="EN21" i="7" s="1"/>
  <c r="EA21" i="7"/>
  <c r="DZ22" i="7" s="1"/>
  <c r="EH21" i="7"/>
  <c r="DN21" i="7"/>
  <c r="DO21" i="7" s="1"/>
  <c r="DB21" i="7"/>
  <c r="DA22" i="7" s="1"/>
  <c r="DI21" i="7"/>
  <c r="DG21" i="7"/>
  <c r="DK20" i="7"/>
  <c r="F305" i="8"/>
  <c r="F329" i="8" s="1"/>
  <c r="CO16" i="8"/>
  <c r="CJ16" i="8"/>
  <c r="CC16" i="8"/>
  <c r="CB17" i="8" s="1"/>
  <c r="AQ16" i="8"/>
  <c r="AR16" i="8" s="1"/>
  <c r="AL16" i="8"/>
  <c r="AE16" i="8"/>
  <c r="AD17" i="8" s="1"/>
  <c r="DN16" i="8"/>
  <c r="DO16" i="8" s="1"/>
  <c r="DB16" i="8"/>
  <c r="DA17" i="8" s="1"/>
  <c r="DI16" i="8"/>
  <c r="DG16" i="8"/>
  <c r="DK15" i="8"/>
  <c r="R15" i="8"/>
  <c r="S15" i="8" s="1"/>
  <c r="M15" i="8"/>
  <c r="F15" i="8"/>
  <c r="E16" i="8" s="1"/>
  <c r="CL16" i="8"/>
  <c r="BM16" i="8"/>
  <c r="BI17" i="8"/>
  <c r="CL17" i="8"/>
  <c r="CH18" i="8"/>
  <c r="CP15" i="8"/>
  <c r="CP16" i="8" s="1"/>
  <c r="BP15" i="8"/>
  <c r="BQ15" i="8" s="1"/>
  <c r="BK15" i="8"/>
  <c r="BD15" i="8"/>
  <c r="BC16" i="8" s="1"/>
  <c r="U307" i="8"/>
  <c r="Q307" i="8"/>
  <c r="M307" i="8"/>
  <c r="I307" i="8"/>
  <c r="E307" i="8"/>
  <c r="C308" i="8"/>
  <c r="C309" i="8" s="1"/>
  <c r="C310" i="8" s="1"/>
  <c r="T307" i="8"/>
  <c r="P307" i="8"/>
  <c r="L307" i="8"/>
  <c r="H307" i="8"/>
  <c r="S307" i="8"/>
  <c r="K307" i="8"/>
  <c r="R307" i="8"/>
  <c r="J307" i="8"/>
  <c r="O307" i="8"/>
  <c r="N307" i="8"/>
  <c r="G307" i="8"/>
  <c r="F307" i="8"/>
  <c r="W307" i="8"/>
  <c r="V307" i="8"/>
  <c r="AN17" i="8"/>
  <c r="AJ18" i="8"/>
  <c r="K16" i="8"/>
  <c r="O15" i="8"/>
  <c r="E12" i="1"/>
  <c r="E11" i="1"/>
  <c r="E10" i="1"/>
  <c r="E9" i="1"/>
  <c r="E8" i="1"/>
  <c r="E7" i="1"/>
  <c r="DK73" i="9" l="1"/>
  <c r="DG74" i="9"/>
  <c r="DN73" i="9"/>
  <c r="DO73" i="9" s="1"/>
  <c r="DB73" i="9"/>
  <c r="DA74" i="9" s="1"/>
  <c r="DI73" i="9"/>
  <c r="CO74" i="9"/>
  <c r="CP74" i="9" s="1"/>
  <c r="CJ74" i="9"/>
  <c r="CC74" i="9"/>
  <c r="CB75" i="9" s="1"/>
  <c r="CH75" i="9"/>
  <c r="CL74" i="9"/>
  <c r="BI75" i="9"/>
  <c r="BM75" i="9" s="1"/>
  <c r="BD73" i="9"/>
  <c r="BC74" i="9" s="1"/>
  <c r="BK73" i="9"/>
  <c r="BP73" i="9"/>
  <c r="BQ73" i="9" s="1"/>
  <c r="AN73" i="9"/>
  <c r="AJ74" i="9"/>
  <c r="AQ73" i="9"/>
  <c r="AR73" i="9" s="1"/>
  <c r="AE73" i="9"/>
  <c r="AD74" i="9" s="1"/>
  <c r="AL73" i="9"/>
  <c r="O72" i="9"/>
  <c r="K73" i="9"/>
  <c r="R65" i="9"/>
  <c r="S65" i="9" s="1"/>
  <c r="M65" i="9"/>
  <c r="E66" i="9"/>
  <c r="F66" i="9" s="1"/>
  <c r="M300" i="9"/>
  <c r="M328" i="9" s="1"/>
  <c r="M331" i="9"/>
  <c r="M302" i="9"/>
  <c r="M329" i="9" s="1"/>
  <c r="HG21" i="7"/>
  <c r="HC22" i="7"/>
  <c r="HJ21" i="7"/>
  <c r="HK21" i="7" s="1"/>
  <c r="GX21" i="7"/>
  <c r="GW22" i="7" s="1"/>
  <c r="HE21" i="7"/>
  <c r="GK21" i="7"/>
  <c r="GL21" i="7" s="1"/>
  <c r="FY21" i="7"/>
  <c r="FX22" i="7" s="1"/>
  <c r="GF21" i="7"/>
  <c r="GH20" i="7"/>
  <c r="GD21" i="7"/>
  <c r="FL22" i="7"/>
  <c r="FM22" i="7" s="1"/>
  <c r="EZ22" i="7"/>
  <c r="EY23" i="7" s="1"/>
  <c r="FG22" i="7"/>
  <c r="FE22" i="7"/>
  <c r="FI21" i="7"/>
  <c r="EM22" i="7"/>
  <c r="EN22" i="7" s="1"/>
  <c r="EA22" i="7"/>
  <c r="DZ23" i="7" s="1"/>
  <c r="EH22" i="7"/>
  <c r="EF23" i="7"/>
  <c r="EJ22" i="7"/>
  <c r="DK21" i="7"/>
  <c r="DG22" i="7"/>
  <c r="DN22" i="7"/>
  <c r="DO22" i="7" s="1"/>
  <c r="DB22" i="7"/>
  <c r="DA23" i="7" s="1"/>
  <c r="DI22" i="7"/>
  <c r="AJ19" i="8"/>
  <c r="AN18" i="8"/>
  <c r="W330" i="8"/>
  <c r="W308" i="8"/>
  <c r="O330" i="8"/>
  <c r="O308" i="8"/>
  <c r="S330" i="8"/>
  <c r="S308" i="8"/>
  <c r="T330" i="8"/>
  <c r="T308" i="8"/>
  <c r="M330" i="8"/>
  <c r="M308" i="8"/>
  <c r="DN17" i="8"/>
  <c r="DO17" i="8" s="1"/>
  <c r="DI17" i="8"/>
  <c r="DB17" i="8"/>
  <c r="DA18" i="8" s="1"/>
  <c r="F330" i="8"/>
  <c r="F308" i="8"/>
  <c r="J330" i="8"/>
  <c r="J308" i="8"/>
  <c r="H330" i="8"/>
  <c r="H308" i="8"/>
  <c r="U310" i="8"/>
  <c r="Q310" i="8"/>
  <c r="M310" i="8"/>
  <c r="I310" i="8"/>
  <c r="E310" i="8"/>
  <c r="C311" i="8"/>
  <c r="T310" i="8"/>
  <c r="P310" i="8"/>
  <c r="L310" i="8"/>
  <c r="H310" i="8"/>
  <c r="V310" i="8"/>
  <c r="N310" i="8"/>
  <c r="F310" i="8"/>
  <c r="S310" i="8"/>
  <c r="K310" i="8"/>
  <c r="R310" i="8"/>
  <c r="J310" i="8"/>
  <c r="W310" i="8"/>
  <c r="O310" i="8"/>
  <c r="G310" i="8"/>
  <c r="Q330" i="8"/>
  <c r="Q308" i="8"/>
  <c r="BI18" i="8"/>
  <c r="R16" i="8"/>
  <c r="S16" i="8" s="1"/>
  <c r="F16" i="8"/>
  <c r="E17" i="8" s="1"/>
  <c r="M16" i="8"/>
  <c r="CO17" i="8"/>
  <c r="CC17" i="8"/>
  <c r="CB18" i="8" s="1"/>
  <c r="CJ17" i="8"/>
  <c r="G330" i="8"/>
  <c r="G308" i="8"/>
  <c r="R330" i="8"/>
  <c r="R308" i="8"/>
  <c r="L330" i="8"/>
  <c r="L308" i="8"/>
  <c r="E330" i="8"/>
  <c r="E308" i="8"/>
  <c r="U330" i="8"/>
  <c r="U308" i="8"/>
  <c r="CP17" i="8"/>
  <c r="DK16" i="8"/>
  <c r="DG17" i="8"/>
  <c r="O16" i="8"/>
  <c r="K17" i="8"/>
  <c r="V330" i="8"/>
  <c r="V308" i="8"/>
  <c r="N330" i="8"/>
  <c r="N308" i="8"/>
  <c r="K308" i="8"/>
  <c r="K330" i="8"/>
  <c r="P330" i="8"/>
  <c r="P308" i="8"/>
  <c r="I330" i="8"/>
  <c r="I308" i="8"/>
  <c r="BP16" i="8"/>
  <c r="BQ16" i="8" s="1"/>
  <c r="BD16" i="8"/>
  <c r="BC17" i="8" s="1"/>
  <c r="BK16" i="8"/>
  <c r="CH19" i="8"/>
  <c r="AQ17" i="8"/>
  <c r="AR17" i="8" s="1"/>
  <c r="AE17" i="8"/>
  <c r="AD18" i="8" s="1"/>
  <c r="AL17" i="8"/>
  <c r="B19" i="5"/>
  <c r="D318" i="1"/>
  <c r="D317" i="1"/>
  <c r="B20" i="5"/>
  <c r="DG75" i="9" l="1"/>
  <c r="DK74" i="9"/>
  <c r="DN74" i="9"/>
  <c r="DO74" i="9" s="1"/>
  <c r="DI74" i="9"/>
  <c r="DB74" i="9"/>
  <c r="DA75" i="9" s="1"/>
  <c r="CO75" i="9"/>
  <c r="CP75" i="9" s="1"/>
  <c r="CC75" i="9"/>
  <c r="CB76" i="9" s="1"/>
  <c r="CJ75" i="9"/>
  <c r="CL75" i="9"/>
  <c r="CH76" i="9"/>
  <c r="BI76" i="9"/>
  <c r="BM76" i="9" s="1"/>
  <c r="BP74" i="9"/>
  <c r="BQ74" i="9" s="1"/>
  <c r="BD74" i="9"/>
  <c r="BC75" i="9" s="1"/>
  <c r="BK74" i="9"/>
  <c r="AJ75" i="9"/>
  <c r="AJ154" i="9" s="1"/>
  <c r="AN74" i="9"/>
  <c r="AQ74" i="9"/>
  <c r="AR74" i="9" s="1"/>
  <c r="AE74" i="9"/>
  <c r="AD75" i="9" s="1"/>
  <c r="AL74" i="9"/>
  <c r="R66" i="9"/>
  <c r="S66" i="9" s="1"/>
  <c r="E67" i="9"/>
  <c r="F67" i="9" s="1"/>
  <c r="M66" i="9"/>
  <c r="K74" i="9"/>
  <c r="O73" i="9"/>
  <c r="HJ22" i="7"/>
  <c r="HK22" i="7" s="1"/>
  <c r="GX22" i="7"/>
  <c r="GW23" i="7" s="1"/>
  <c r="HE22" i="7"/>
  <c r="HC23" i="7"/>
  <c r="HG22" i="7"/>
  <c r="GK22" i="7"/>
  <c r="GL22" i="7" s="1"/>
  <c r="FY22" i="7"/>
  <c r="FX23" i="7" s="1"/>
  <c r="GF22" i="7"/>
  <c r="GD22" i="7"/>
  <c r="GH21" i="7"/>
  <c r="FG23" i="7"/>
  <c r="FL23" i="7"/>
  <c r="FM23" i="7" s="1"/>
  <c r="EZ23" i="7"/>
  <c r="EY24" i="7" s="1"/>
  <c r="FE23" i="7"/>
  <c r="FI22" i="7"/>
  <c r="EM23" i="7"/>
  <c r="EN23" i="7" s="1"/>
  <c r="EA23" i="7"/>
  <c r="DZ24" i="7" s="1"/>
  <c r="EH23" i="7"/>
  <c r="EJ23" i="7"/>
  <c r="EF24" i="7"/>
  <c r="DG23" i="7"/>
  <c r="DK22" i="7"/>
  <c r="DN23" i="7"/>
  <c r="DO23" i="7" s="1"/>
  <c r="DI23" i="7"/>
  <c r="DB23" i="7"/>
  <c r="DA24" i="7" s="1"/>
  <c r="BQ17" i="8"/>
  <c r="C315" i="8"/>
  <c r="C316" i="8"/>
  <c r="C317" i="8" s="1"/>
  <c r="C318" i="8" s="1"/>
  <c r="C319" i="8" s="1"/>
  <c r="C320" i="8" s="1"/>
  <c r="C321" i="8" s="1"/>
  <c r="C325" i="8" s="1"/>
  <c r="Q331" i="8"/>
  <c r="Q311" i="8"/>
  <c r="DN18" i="8"/>
  <c r="DO18" i="8" s="1"/>
  <c r="DB18" i="8"/>
  <c r="DA19" i="8" s="1"/>
  <c r="DI18" i="8"/>
  <c r="AJ146" i="8"/>
  <c r="AJ20" i="8"/>
  <c r="AN19" i="8"/>
  <c r="O331" i="8"/>
  <c r="O311" i="8"/>
  <c r="V331" i="8"/>
  <c r="V311" i="8"/>
  <c r="T331" i="8"/>
  <c r="T311" i="8"/>
  <c r="AQ18" i="8"/>
  <c r="AR18" i="8" s="1"/>
  <c r="AL18" i="8"/>
  <c r="AE18" i="8"/>
  <c r="AD19" i="8" s="1"/>
  <c r="F17" i="8"/>
  <c r="E18" i="8" s="1"/>
  <c r="M17" i="8"/>
  <c r="R17" i="8"/>
  <c r="W331" i="8"/>
  <c r="W311" i="8"/>
  <c r="H331" i="8"/>
  <c r="H311" i="8"/>
  <c r="BP17" i="8"/>
  <c r="BK17" i="8"/>
  <c r="BD17" i="8"/>
  <c r="BC18" i="8" s="1"/>
  <c r="O17" i="8"/>
  <c r="K18" i="8"/>
  <c r="CP18" i="8"/>
  <c r="CC18" i="8"/>
  <c r="CB19" i="8" s="1"/>
  <c r="CO18" i="8"/>
  <c r="CJ18" i="8"/>
  <c r="J331" i="8"/>
  <c r="J311" i="8"/>
  <c r="F331" i="8"/>
  <c r="F311" i="8"/>
  <c r="L331" i="8"/>
  <c r="L311" i="8"/>
  <c r="E331" i="8"/>
  <c r="E311" i="8"/>
  <c r="U331" i="8"/>
  <c r="U311" i="8"/>
  <c r="CH146" i="8"/>
  <c r="F247" i="8" s="1"/>
  <c r="DG146" i="8"/>
  <c r="F270" i="8" s="1"/>
  <c r="CH20" i="8"/>
  <c r="CL19" i="8"/>
  <c r="DK17" i="8"/>
  <c r="DG18" i="8"/>
  <c r="BI19" i="8"/>
  <c r="BM18" i="8"/>
  <c r="K331" i="8"/>
  <c r="K311" i="8"/>
  <c r="M331" i="8"/>
  <c r="M311" i="8"/>
  <c r="S17" i="8"/>
  <c r="S331" i="8"/>
  <c r="S311" i="8"/>
  <c r="CL18" i="8"/>
  <c r="BM17" i="8"/>
  <c r="G331" i="8"/>
  <c r="G311" i="8"/>
  <c r="R331" i="8"/>
  <c r="R311" i="8"/>
  <c r="N331" i="8"/>
  <c r="N311" i="8"/>
  <c r="P331" i="8"/>
  <c r="P311" i="8"/>
  <c r="I331" i="8"/>
  <c r="I311" i="8"/>
  <c r="AQ60" i="1"/>
  <c r="AR60" i="1" s="1"/>
  <c r="DK75" i="9" l="1"/>
  <c r="DG76" i="9"/>
  <c r="DB75" i="9"/>
  <c r="DA76" i="9" s="1"/>
  <c r="DI75" i="9"/>
  <c r="DN75" i="9"/>
  <c r="DO75" i="9" s="1"/>
  <c r="CO76" i="9"/>
  <c r="CP76" i="9" s="1"/>
  <c r="CJ76" i="9"/>
  <c r="CC76" i="9"/>
  <c r="CB77" i="9" s="1"/>
  <c r="CH77" i="9"/>
  <c r="CL76" i="9"/>
  <c r="BI77" i="9"/>
  <c r="BM77" i="9" s="1"/>
  <c r="BP75" i="9"/>
  <c r="BQ75" i="9" s="1"/>
  <c r="BD75" i="9"/>
  <c r="BC76" i="9" s="1"/>
  <c r="BK75" i="9"/>
  <c r="AN75" i="9"/>
  <c r="AJ76" i="9"/>
  <c r="AE75" i="9"/>
  <c r="AD76" i="9" s="1"/>
  <c r="AL75" i="9"/>
  <c r="AQ75" i="9"/>
  <c r="AR75" i="9" s="1"/>
  <c r="N198" i="9"/>
  <c r="R67" i="9"/>
  <c r="S67" i="9" s="1"/>
  <c r="M67" i="9"/>
  <c r="E68" i="9"/>
  <c r="F68" i="9" s="1"/>
  <c r="BI154" i="9"/>
  <c r="N223" i="9" s="1"/>
  <c r="BM154" i="9"/>
  <c r="N227" i="9" s="1"/>
  <c r="DG154" i="9"/>
  <c r="N271" i="9" s="1"/>
  <c r="CH154" i="9"/>
  <c r="N247" i="9" s="1"/>
  <c r="O74" i="9"/>
  <c r="K75" i="9"/>
  <c r="HG23" i="7"/>
  <c r="HC24" i="7"/>
  <c r="HJ23" i="7"/>
  <c r="HK23" i="7" s="1"/>
  <c r="GX23" i="7"/>
  <c r="GW24" i="7" s="1"/>
  <c r="HE23" i="7"/>
  <c r="GF23" i="7"/>
  <c r="GK23" i="7"/>
  <c r="GL23" i="7" s="1"/>
  <c r="FY23" i="7"/>
  <c r="FX24" i="7" s="1"/>
  <c r="GH22" i="7"/>
  <c r="GD23" i="7"/>
  <c r="FG24" i="7"/>
  <c r="FL24" i="7"/>
  <c r="FM24" i="7" s="1"/>
  <c r="EZ24" i="7"/>
  <c r="EY25" i="7" s="1"/>
  <c r="FI23" i="7"/>
  <c r="FE24" i="7"/>
  <c r="EM24" i="7"/>
  <c r="EN24" i="7" s="1"/>
  <c r="EA24" i="7"/>
  <c r="DZ25" i="7" s="1"/>
  <c r="EH24" i="7"/>
  <c r="EJ24" i="7"/>
  <c r="EF25" i="7"/>
  <c r="DI24" i="7"/>
  <c r="DN24" i="7"/>
  <c r="DO24" i="7" s="1"/>
  <c r="DB24" i="7"/>
  <c r="DA25" i="7" s="1"/>
  <c r="DK23" i="7"/>
  <c r="DG24" i="7"/>
  <c r="CL146" i="8"/>
  <c r="F251" i="8" s="1"/>
  <c r="DK146" i="8"/>
  <c r="F274" i="8" s="1"/>
  <c r="CC19" i="8"/>
  <c r="CO19" i="8"/>
  <c r="CJ19" i="8"/>
  <c r="F315" i="8"/>
  <c r="E315" i="8"/>
  <c r="CH21" i="8"/>
  <c r="DG19" i="8"/>
  <c r="DK18" i="8"/>
  <c r="BP18" i="8"/>
  <c r="BQ18" i="8" s="1"/>
  <c r="BD18" i="8"/>
  <c r="BC19" i="8" s="1"/>
  <c r="BM19" i="8" s="1"/>
  <c r="BM146" i="8" s="1"/>
  <c r="F227" i="8" s="1"/>
  <c r="BK18" i="8"/>
  <c r="AJ21" i="8"/>
  <c r="AN20" i="8"/>
  <c r="BI146" i="8"/>
  <c r="F223" i="8" s="1"/>
  <c r="BI20" i="8"/>
  <c r="CP19" i="8"/>
  <c r="R18" i="8"/>
  <c r="S18" i="8" s="1"/>
  <c r="E19" i="8"/>
  <c r="F19" i="8" s="1"/>
  <c r="M18" i="8"/>
  <c r="F198" i="8"/>
  <c r="AN146" i="8"/>
  <c r="F202" i="8" s="1"/>
  <c r="O18" i="8"/>
  <c r="K19" i="8"/>
  <c r="AQ19" i="8"/>
  <c r="AR19" i="8" s="1"/>
  <c r="AL19" i="8"/>
  <c r="AE19" i="8"/>
  <c r="DN19" i="8"/>
  <c r="DO19" i="8" s="1"/>
  <c r="DB19" i="8"/>
  <c r="DA20" i="8" s="1"/>
  <c r="DI19" i="8"/>
  <c r="E325" i="8"/>
  <c r="C326" i="8"/>
  <c r="C327" i="8" s="1"/>
  <c r="C328" i="8" s="1"/>
  <c r="C329" i="8" s="1"/>
  <c r="C330" i="8" s="1"/>
  <c r="C331" i="8" s="1"/>
  <c r="R6" i="1"/>
  <c r="AM145" i="7"/>
  <c r="DG77" i="9" l="1"/>
  <c r="DK76" i="9"/>
  <c r="DN76" i="9"/>
  <c r="DO76" i="9" s="1"/>
  <c r="DI76" i="9"/>
  <c r="DB76" i="9"/>
  <c r="DA77" i="9" s="1"/>
  <c r="CO77" i="9"/>
  <c r="CP77" i="9" s="1"/>
  <c r="CC77" i="9"/>
  <c r="CB78" i="9" s="1"/>
  <c r="CJ77" i="9"/>
  <c r="CL77" i="9"/>
  <c r="CH78" i="9"/>
  <c r="BI78" i="9"/>
  <c r="BM78" i="9" s="1"/>
  <c r="BP76" i="9"/>
  <c r="BQ76" i="9" s="1"/>
  <c r="BD76" i="9"/>
  <c r="BC77" i="9" s="1"/>
  <c r="BK76" i="9"/>
  <c r="AQ76" i="9"/>
  <c r="AR76" i="9" s="1"/>
  <c r="AE76" i="9"/>
  <c r="AD77" i="9" s="1"/>
  <c r="AL76" i="9"/>
  <c r="AJ77" i="9"/>
  <c r="AN76" i="9"/>
  <c r="CP153" i="9"/>
  <c r="M255" i="9" s="1"/>
  <c r="DO153" i="9"/>
  <c r="M279" i="9" s="1"/>
  <c r="AR153" i="9"/>
  <c r="M206" i="9" s="1"/>
  <c r="R68" i="9"/>
  <c r="S68" i="9" s="1"/>
  <c r="E69" i="9"/>
  <c r="F69" i="9" s="1"/>
  <c r="M68" i="9"/>
  <c r="AE153" i="9"/>
  <c r="M193" i="9" s="1"/>
  <c r="K154" i="9"/>
  <c r="K76" i="9"/>
  <c r="O75" i="9"/>
  <c r="CL153" i="9"/>
  <c r="M251" i="9" s="1"/>
  <c r="DK153" i="9"/>
  <c r="M275" i="9" s="1"/>
  <c r="CC153" i="9"/>
  <c r="M242" i="9" s="1"/>
  <c r="DB153" i="9"/>
  <c r="HJ24" i="7"/>
  <c r="HK24" i="7" s="1"/>
  <c r="HE24" i="7"/>
  <c r="GX24" i="7"/>
  <c r="GW25" i="7" s="1"/>
  <c r="HC25" i="7"/>
  <c r="HG24" i="7"/>
  <c r="GK24" i="7"/>
  <c r="GL24" i="7" s="1"/>
  <c r="FY24" i="7"/>
  <c r="FX25" i="7" s="1"/>
  <c r="GF24" i="7"/>
  <c r="GH23" i="7"/>
  <c r="GD24" i="7"/>
  <c r="FL25" i="7"/>
  <c r="FM25" i="7" s="1"/>
  <c r="EZ25" i="7"/>
  <c r="EY26" i="7" s="1"/>
  <c r="FG25" i="7"/>
  <c r="FI24" i="7"/>
  <c r="FE25" i="7"/>
  <c r="EJ25" i="7"/>
  <c r="EF26" i="7"/>
  <c r="EM25" i="7"/>
  <c r="EN25" i="7" s="1"/>
  <c r="EA25" i="7"/>
  <c r="DZ26" i="7" s="1"/>
  <c r="EH25" i="7"/>
  <c r="DN25" i="7"/>
  <c r="DO25" i="7" s="1"/>
  <c r="DB25" i="7"/>
  <c r="DA26" i="7" s="1"/>
  <c r="DI25" i="7"/>
  <c r="DK24" i="7"/>
  <c r="DG25" i="7"/>
  <c r="AR146" i="8"/>
  <c r="F206" i="8" s="1"/>
  <c r="K146" i="8"/>
  <c r="K20" i="8"/>
  <c r="O19" i="8"/>
  <c r="BI21" i="8"/>
  <c r="AN21" i="8"/>
  <c r="AJ22" i="8"/>
  <c r="CP146" i="8"/>
  <c r="F255" i="8" s="1"/>
  <c r="DO146" i="8"/>
  <c r="F278" i="8" s="1"/>
  <c r="CH22" i="8"/>
  <c r="AE146" i="8"/>
  <c r="F193" i="8" s="1"/>
  <c r="AD20" i="8"/>
  <c r="R19" i="8"/>
  <c r="S19" i="8" s="1"/>
  <c r="M19" i="8"/>
  <c r="DG20" i="8"/>
  <c r="DK19" i="8"/>
  <c r="DB20" i="8"/>
  <c r="DA21" i="8" s="1"/>
  <c r="DI20" i="8"/>
  <c r="DN20" i="8"/>
  <c r="DO20" i="8" s="1"/>
  <c r="BP19" i="8"/>
  <c r="BQ19" i="8" s="1"/>
  <c r="BD19" i="8"/>
  <c r="BK19" i="8"/>
  <c r="DB146" i="8"/>
  <c r="F265" i="8" s="1"/>
  <c r="CC146" i="8"/>
  <c r="F242" i="8" s="1"/>
  <c r="CB20" i="8"/>
  <c r="CO40" i="1"/>
  <c r="CO38" i="1"/>
  <c r="CB150" i="1"/>
  <c r="AD150" i="1"/>
  <c r="AD149" i="1"/>
  <c r="AD148" i="1"/>
  <c r="AD32" i="1"/>
  <c r="AD31" i="1"/>
  <c r="AE30" i="1"/>
  <c r="AD30" i="1"/>
  <c r="BC32" i="1"/>
  <c r="BC31" i="1"/>
  <c r="BC30" i="1"/>
  <c r="N27" i="1"/>
  <c r="M27" i="1"/>
  <c r="K27" i="1"/>
  <c r="J30" i="1"/>
  <c r="J31" i="1"/>
  <c r="J32" i="1"/>
  <c r="J33" i="1"/>
  <c r="AI31" i="1"/>
  <c r="DK77" i="9" l="1"/>
  <c r="DG78" i="9"/>
  <c r="DN77" i="9"/>
  <c r="DO77" i="9" s="1"/>
  <c r="DB77" i="9"/>
  <c r="DA78" i="9" s="1"/>
  <c r="DI77" i="9"/>
  <c r="CO78" i="9"/>
  <c r="CP78" i="9" s="1"/>
  <c r="CJ78" i="9"/>
  <c r="CC78" i="9"/>
  <c r="CB79" i="9" s="1"/>
  <c r="CH79" i="9"/>
  <c r="CL78" i="9"/>
  <c r="BI79" i="9"/>
  <c r="BM79" i="9" s="1"/>
  <c r="BD77" i="9"/>
  <c r="BC78" i="9" s="1"/>
  <c r="BK77" i="9"/>
  <c r="BP77" i="9"/>
  <c r="BQ77" i="9" s="1"/>
  <c r="AQ77" i="9"/>
  <c r="AR77" i="9" s="1"/>
  <c r="AE77" i="9"/>
  <c r="AD78" i="9" s="1"/>
  <c r="AL77" i="9"/>
  <c r="AN77" i="9"/>
  <c r="AJ78" i="9"/>
  <c r="BQ153" i="9"/>
  <c r="M231" i="9" s="1"/>
  <c r="S153" i="9"/>
  <c r="M183" i="9" s="1"/>
  <c r="AD154" i="9"/>
  <c r="BD153" i="9"/>
  <c r="M218" i="9" s="1"/>
  <c r="CB154" i="9"/>
  <c r="N241" i="9" s="1"/>
  <c r="DA154" i="9"/>
  <c r="N265" i="9" s="1"/>
  <c r="O76" i="9"/>
  <c r="K77" i="9"/>
  <c r="M266" i="9"/>
  <c r="N175" i="9"/>
  <c r="N298" i="9" s="1"/>
  <c r="F153" i="9"/>
  <c r="M170" i="9" s="1"/>
  <c r="HG25" i="7"/>
  <c r="HC26" i="7"/>
  <c r="HJ25" i="7"/>
  <c r="HK25" i="7" s="1"/>
  <c r="GX25" i="7"/>
  <c r="GW26" i="7" s="1"/>
  <c r="HE25" i="7"/>
  <c r="GK25" i="7"/>
  <c r="GL25" i="7" s="1"/>
  <c r="GF25" i="7"/>
  <c r="FY25" i="7"/>
  <c r="FX26" i="7" s="1"/>
  <c r="GD25" i="7"/>
  <c r="GH24" i="7"/>
  <c r="FL26" i="7"/>
  <c r="FM26" i="7" s="1"/>
  <c r="EZ26" i="7"/>
  <c r="EY27" i="7" s="1"/>
  <c r="FG26" i="7"/>
  <c r="FI25" i="7"/>
  <c r="FE26" i="7"/>
  <c r="EF27" i="7"/>
  <c r="EJ26" i="7"/>
  <c r="EM26" i="7"/>
  <c r="EN26" i="7" s="1"/>
  <c r="EA26" i="7"/>
  <c r="DZ27" i="7" s="1"/>
  <c r="EH26" i="7"/>
  <c r="DN26" i="7"/>
  <c r="DO26" i="7" s="1"/>
  <c r="DB26" i="7"/>
  <c r="DA27" i="7" s="1"/>
  <c r="DI26" i="7"/>
  <c r="DK25" i="7"/>
  <c r="DG26" i="7"/>
  <c r="BQ146" i="8"/>
  <c r="F231" i="8" s="1"/>
  <c r="S146" i="8"/>
  <c r="F183" i="8" s="1"/>
  <c r="DG21" i="8"/>
  <c r="DK20" i="8"/>
  <c r="AD147" i="8"/>
  <c r="AQ20" i="8"/>
  <c r="AR20" i="8" s="1"/>
  <c r="AE20" i="8"/>
  <c r="AD21" i="8" s="1"/>
  <c r="AL20" i="8"/>
  <c r="K21" i="8"/>
  <c r="O20" i="8"/>
  <c r="CH23" i="8"/>
  <c r="F146" i="8"/>
  <c r="F170" i="8" s="1"/>
  <c r="E20" i="8"/>
  <c r="F175" i="8"/>
  <c r="F296" i="8" s="1"/>
  <c r="O146" i="8"/>
  <c r="F179" i="8" s="1"/>
  <c r="AN22" i="8"/>
  <c r="AJ23" i="8"/>
  <c r="DA147" i="8"/>
  <c r="G264" i="8" s="1"/>
  <c r="CB147" i="8"/>
  <c r="G241" i="8" s="1"/>
  <c r="CO20" i="8"/>
  <c r="CC20" i="8"/>
  <c r="CB21" i="8" s="1"/>
  <c r="CJ20" i="8"/>
  <c r="CL20" i="8"/>
  <c r="BD146" i="8"/>
  <c r="F218" i="8" s="1"/>
  <c r="BC20" i="8"/>
  <c r="DN21" i="8"/>
  <c r="DO21" i="8" s="1"/>
  <c r="DB21" i="8"/>
  <c r="DA22" i="8" s="1"/>
  <c r="DI21" i="8"/>
  <c r="BI22" i="8"/>
  <c r="A29" i="5"/>
  <c r="E396" i="7"/>
  <c r="E412" i="7" s="1"/>
  <c r="O393" i="7"/>
  <c r="E393" i="7"/>
  <c r="L391" i="7"/>
  <c r="DG79" i="9" l="1"/>
  <c r="DK78" i="9"/>
  <c r="DN78" i="9"/>
  <c r="DO78" i="9" s="1"/>
  <c r="DI78" i="9"/>
  <c r="DB78" i="9"/>
  <c r="DA79" i="9" s="1"/>
  <c r="CO79" i="9"/>
  <c r="CP79" i="9" s="1"/>
  <c r="CC79" i="9"/>
  <c r="CB80" i="9" s="1"/>
  <c r="CJ79" i="9"/>
  <c r="CL79" i="9"/>
  <c r="CH80" i="9"/>
  <c r="BP78" i="9"/>
  <c r="BQ78" i="9" s="1"/>
  <c r="BD78" i="9"/>
  <c r="BC79" i="9" s="1"/>
  <c r="BK78" i="9"/>
  <c r="BI80" i="9"/>
  <c r="BM80" i="9" s="1"/>
  <c r="AQ78" i="9"/>
  <c r="AR78" i="9" s="1"/>
  <c r="AE78" i="9"/>
  <c r="AD79" i="9" s="1"/>
  <c r="AL78" i="9"/>
  <c r="AJ79" i="9"/>
  <c r="AN78" i="9"/>
  <c r="E154" i="9"/>
  <c r="M154" i="9" s="1"/>
  <c r="R69" i="9"/>
  <c r="S69" i="9" s="1"/>
  <c r="M69" i="9"/>
  <c r="E70" i="9"/>
  <c r="F70" i="9" s="1"/>
  <c r="M293" i="9"/>
  <c r="M327" i="9"/>
  <c r="N334" i="9"/>
  <c r="K78" i="9"/>
  <c r="O77" i="9"/>
  <c r="BC154" i="9"/>
  <c r="N192" i="9"/>
  <c r="AQ154" i="9"/>
  <c r="N205" i="9" s="1"/>
  <c r="AN154" i="9"/>
  <c r="N202" i="9" s="1"/>
  <c r="HC27" i="7"/>
  <c r="HG26" i="7"/>
  <c r="HJ26" i="7"/>
  <c r="HK26" i="7" s="1"/>
  <c r="HE26" i="7"/>
  <c r="GX26" i="7"/>
  <c r="GW27" i="7" s="1"/>
  <c r="GK26" i="7"/>
  <c r="GL26" i="7" s="1"/>
  <c r="FY26" i="7"/>
  <c r="FX27" i="7" s="1"/>
  <c r="GF26" i="7"/>
  <c r="GD26" i="7"/>
  <c r="GH25" i="7"/>
  <c r="FL27" i="7"/>
  <c r="FM27" i="7" s="1"/>
  <c r="EZ27" i="7"/>
  <c r="EY28" i="7" s="1"/>
  <c r="FG27" i="7"/>
  <c r="FE27" i="7"/>
  <c r="FI26" i="7"/>
  <c r="EM27" i="7"/>
  <c r="EN27" i="7" s="1"/>
  <c r="EA27" i="7"/>
  <c r="DZ28" i="7" s="1"/>
  <c r="EH27" i="7"/>
  <c r="EF28" i="7"/>
  <c r="EJ27" i="7"/>
  <c r="DN27" i="7"/>
  <c r="DO27" i="7" s="1"/>
  <c r="DB27" i="7"/>
  <c r="DA28" i="7" s="1"/>
  <c r="DI27" i="7"/>
  <c r="DG27" i="7"/>
  <c r="DK26" i="7"/>
  <c r="F291" i="8"/>
  <c r="F325" i="8"/>
  <c r="G192" i="8"/>
  <c r="AQ147" i="8"/>
  <c r="G205" i="8" s="1"/>
  <c r="DI22" i="8"/>
  <c r="DB22" i="8"/>
  <c r="DA23" i="8" s="1"/>
  <c r="DN22" i="8"/>
  <c r="DO22" i="8" s="1"/>
  <c r="CH24" i="8"/>
  <c r="F332" i="8"/>
  <c r="F300" i="8"/>
  <c r="F327" i="8" s="1"/>
  <c r="AL21" i="8"/>
  <c r="AE21" i="8"/>
  <c r="AD22" i="8" s="1"/>
  <c r="AQ21" i="8"/>
  <c r="AR21" i="8" s="1"/>
  <c r="DK21" i="8"/>
  <c r="DG22" i="8"/>
  <c r="CP20" i="8"/>
  <c r="O21" i="8"/>
  <c r="K22" i="8"/>
  <c r="BI23" i="8"/>
  <c r="BC147" i="8"/>
  <c r="BP20" i="8"/>
  <c r="BQ20" i="8" s="1"/>
  <c r="BK20" i="8"/>
  <c r="BD20" i="8"/>
  <c r="BC21" i="8" s="1"/>
  <c r="BM20" i="8"/>
  <c r="CO21" i="8"/>
  <c r="CJ21" i="8"/>
  <c r="CC21" i="8"/>
  <c r="CB22" i="8" s="1"/>
  <c r="CL21" i="8"/>
  <c r="AJ24" i="8"/>
  <c r="AN23" i="8"/>
  <c r="E147" i="8"/>
  <c r="M20" i="8"/>
  <c r="F20" i="8"/>
  <c r="E21" i="8" s="1"/>
  <c r="R20" i="8"/>
  <c r="S20" i="8" s="1"/>
  <c r="C242" i="7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DS163" i="7"/>
  <c r="DP163" i="7"/>
  <c r="DM163" i="7"/>
  <c r="W277" i="7" s="1"/>
  <c r="DJ163" i="7"/>
  <c r="W274" i="7" s="1"/>
  <c r="DH163" i="7"/>
  <c r="W272" i="7" s="1"/>
  <c r="DS162" i="7"/>
  <c r="V283" i="7" s="1"/>
  <c r="V285" i="7" s="1"/>
  <c r="DP162" i="7"/>
  <c r="DM162" i="7"/>
  <c r="V277" i="7" s="1"/>
  <c r="DJ162" i="7"/>
  <c r="V274" i="7" s="1"/>
  <c r="DH162" i="7"/>
  <c r="V272" i="7" s="1"/>
  <c r="DS161" i="7"/>
  <c r="U283" i="7" s="1"/>
  <c r="U285" i="7" s="1"/>
  <c r="DP161" i="7"/>
  <c r="DM161" i="7"/>
  <c r="U277" i="7" s="1"/>
  <c r="DJ161" i="7"/>
  <c r="U274" i="7" s="1"/>
  <c r="DH161" i="7"/>
  <c r="U272" i="7" s="1"/>
  <c r="DS160" i="7"/>
  <c r="T283" i="7" s="1"/>
  <c r="T285" i="7" s="1"/>
  <c r="DP160" i="7"/>
  <c r="DM160" i="7"/>
  <c r="T277" i="7" s="1"/>
  <c r="DJ160" i="7"/>
  <c r="T274" i="7" s="1"/>
  <c r="DH160" i="7"/>
  <c r="T272" i="7" s="1"/>
  <c r="DS159" i="7"/>
  <c r="S283" i="7" s="1"/>
  <c r="S285" i="7" s="1"/>
  <c r="DP159" i="7"/>
  <c r="DM159" i="7"/>
  <c r="S277" i="7" s="1"/>
  <c r="DJ159" i="7"/>
  <c r="S274" i="7" s="1"/>
  <c r="DH159" i="7"/>
  <c r="S272" i="7" s="1"/>
  <c r="DS158" i="7"/>
  <c r="R283" i="7" s="1"/>
  <c r="R285" i="7" s="1"/>
  <c r="DP158" i="7"/>
  <c r="DM158" i="7"/>
  <c r="R277" i="7" s="1"/>
  <c r="DJ158" i="7"/>
  <c r="R274" i="7" s="1"/>
  <c r="DH158" i="7"/>
  <c r="R272" i="7" s="1"/>
  <c r="DS157" i="7"/>
  <c r="Q283" i="7" s="1"/>
  <c r="Q285" i="7" s="1"/>
  <c r="DP157" i="7"/>
  <c r="DM157" i="7"/>
  <c r="Q277" i="7" s="1"/>
  <c r="DJ157" i="7"/>
  <c r="Q274" i="7" s="1"/>
  <c r="DH157" i="7"/>
  <c r="Q272" i="7" s="1"/>
  <c r="DS156" i="7"/>
  <c r="P283" i="7" s="1"/>
  <c r="P285" i="7" s="1"/>
  <c r="DP156" i="7"/>
  <c r="DM156" i="7"/>
  <c r="P277" i="7" s="1"/>
  <c r="DS155" i="7"/>
  <c r="O283" i="7" s="1"/>
  <c r="DP155" i="7"/>
  <c r="DM155" i="7"/>
  <c r="O277" i="7" s="1"/>
  <c r="DJ155" i="7"/>
  <c r="O274" i="7" s="1"/>
  <c r="DH155" i="7"/>
  <c r="O272" i="7" s="1"/>
  <c r="DS154" i="7"/>
  <c r="N283" i="7" s="1"/>
  <c r="DP154" i="7"/>
  <c r="DM154" i="7"/>
  <c r="N277" i="7" s="1"/>
  <c r="DJ154" i="7"/>
  <c r="N274" i="7" s="1"/>
  <c r="DH154" i="7"/>
  <c r="N272" i="7" s="1"/>
  <c r="DS153" i="7"/>
  <c r="M283" i="7" s="1"/>
  <c r="DP153" i="7"/>
  <c r="DM153" i="7"/>
  <c r="M277" i="7" s="1"/>
  <c r="DJ153" i="7"/>
  <c r="M274" i="7" s="1"/>
  <c r="DH153" i="7"/>
  <c r="M272" i="7" s="1"/>
  <c r="DS152" i="7"/>
  <c r="L283" i="7" s="1"/>
  <c r="DP152" i="7"/>
  <c r="DM152" i="7"/>
  <c r="L277" i="7" s="1"/>
  <c r="DJ152" i="7"/>
  <c r="L274" i="7" s="1"/>
  <c r="DH152" i="7"/>
  <c r="L272" i="7" s="1"/>
  <c r="DS151" i="7"/>
  <c r="K283" i="7" s="1"/>
  <c r="DP151" i="7"/>
  <c r="DM151" i="7"/>
  <c r="K277" i="7" s="1"/>
  <c r="DJ151" i="7"/>
  <c r="K274" i="7" s="1"/>
  <c r="DH151" i="7"/>
  <c r="K272" i="7" s="1"/>
  <c r="DS150" i="7"/>
  <c r="J283" i="7" s="1"/>
  <c r="DP150" i="7"/>
  <c r="DM150" i="7"/>
  <c r="J277" i="7" s="1"/>
  <c r="DJ150" i="7"/>
  <c r="J274" i="7" s="1"/>
  <c r="DH150" i="7"/>
  <c r="J272" i="7" s="1"/>
  <c r="DS149" i="7"/>
  <c r="I283" i="7" s="1"/>
  <c r="DP149" i="7"/>
  <c r="DM149" i="7"/>
  <c r="I277" i="7" s="1"/>
  <c r="DJ149" i="7"/>
  <c r="I274" i="7" s="1"/>
  <c r="DH149" i="7"/>
  <c r="I272" i="7" s="1"/>
  <c r="DS148" i="7"/>
  <c r="H283" i="7" s="1"/>
  <c r="DP148" i="7"/>
  <c r="DM148" i="7"/>
  <c r="H277" i="7" s="1"/>
  <c r="DJ148" i="7"/>
  <c r="H274" i="7" s="1"/>
  <c r="DH148" i="7"/>
  <c r="H272" i="7" s="1"/>
  <c r="DS147" i="7"/>
  <c r="G283" i="7" s="1"/>
  <c r="DP147" i="7"/>
  <c r="DM147" i="7"/>
  <c r="G277" i="7" s="1"/>
  <c r="DJ147" i="7"/>
  <c r="G274" i="7" s="1"/>
  <c r="DH147" i="7"/>
  <c r="G272" i="7" s="1"/>
  <c r="DS146" i="7"/>
  <c r="F283" i="7" s="1"/>
  <c r="DP146" i="7"/>
  <c r="DM146" i="7"/>
  <c r="F277" i="7" s="1"/>
  <c r="DJ146" i="7"/>
  <c r="F274" i="7" s="1"/>
  <c r="DH146" i="7"/>
  <c r="F272" i="7" s="1"/>
  <c r="CZ146" i="7"/>
  <c r="CZ147" i="7" s="1"/>
  <c r="CZ148" i="7" s="1"/>
  <c r="CZ149" i="7" s="1"/>
  <c r="CZ150" i="7" s="1"/>
  <c r="CZ151" i="7" s="1"/>
  <c r="CZ152" i="7" s="1"/>
  <c r="CZ153" i="7" s="1"/>
  <c r="CZ154" i="7" s="1"/>
  <c r="CZ155" i="7" s="1"/>
  <c r="CZ156" i="7" s="1"/>
  <c r="CZ157" i="7" s="1"/>
  <c r="CZ158" i="7" s="1"/>
  <c r="CZ159" i="7" s="1"/>
  <c r="CZ160" i="7" s="1"/>
  <c r="CZ161" i="7" s="1"/>
  <c r="CZ162" i="7" s="1"/>
  <c r="CZ163" i="7" s="1"/>
  <c r="DS145" i="7"/>
  <c r="E283" i="7" s="1"/>
  <c r="DP145" i="7"/>
  <c r="DM145" i="7"/>
  <c r="E277" i="7" s="1"/>
  <c r="DJ145" i="7"/>
  <c r="E274" i="7" s="1"/>
  <c r="DH145" i="7"/>
  <c r="E272" i="7" s="1"/>
  <c r="BC6" i="7"/>
  <c r="DG80" i="9" l="1"/>
  <c r="DK79" i="9"/>
  <c r="DB79" i="9"/>
  <c r="DA80" i="9" s="1"/>
  <c r="DI79" i="9"/>
  <c r="DN79" i="9"/>
  <c r="DO79" i="9" s="1"/>
  <c r="CC80" i="9"/>
  <c r="CB81" i="9" s="1"/>
  <c r="CJ80" i="9"/>
  <c r="CO80" i="9"/>
  <c r="CP80" i="9" s="1"/>
  <c r="CL80" i="9"/>
  <c r="CH81" i="9"/>
  <c r="BP79" i="9"/>
  <c r="BQ79" i="9" s="1"/>
  <c r="BD79" i="9"/>
  <c r="BC80" i="9" s="1"/>
  <c r="BK79" i="9"/>
  <c r="BI81" i="9"/>
  <c r="BM81" i="9" s="1"/>
  <c r="AE79" i="9"/>
  <c r="AD80" i="9" s="1"/>
  <c r="AL79" i="9"/>
  <c r="AQ79" i="9"/>
  <c r="AR79" i="9" s="1"/>
  <c r="AN79" i="9"/>
  <c r="AJ80" i="9"/>
  <c r="J373" i="7"/>
  <c r="J280" i="7"/>
  <c r="N373" i="7"/>
  <c r="N280" i="7"/>
  <c r="P373" i="7"/>
  <c r="P375" i="7" s="1"/>
  <c r="P280" i="7"/>
  <c r="T280" i="7"/>
  <c r="T282" i="7" s="1"/>
  <c r="T373" i="7"/>
  <c r="T375" i="7" s="1"/>
  <c r="DU163" i="7"/>
  <c r="W283" i="7"/>
  <c r="W285" i="7" s="1"/>
  <c r="R70" i="9"/>
  <c r="S70" i="9" s="1"/>
  <c r="E71" i="9"/>
  <c r="F71" i="9" s="1"/>
  <c r="M70" i="9"/>
  <c r="F373" i="7"/>
  <c r="F280" i="7"/>
  <c r="O373" i="7"/>
  <c r="O375" i="7" s="1"/>
  <c r="O280" i="7"/>
  <c r="Q373" i="7"/>
  <c r="Q375" i="7" s="1"/>
  <c r="Q280" i="7"/>
  <c r="Q282" i="7" s="1"/>
  <c r="U373" i="7"/>
  <c r="U375" i="7" s="1"/>
  <c r="U280" i="7"/>
  <c r="U282" i="7" s="1"/>
  <c r="N217" i="9"/>
  <c r="BP154" i="9"/>
  <c r="N230" i="9" s="1"/>
  <c r="G373" i="7"/>
  <c r="G280" i="7"/>
  <c r="K373" i="7"/>
  <c r="K280" i="7"/>
  <c r="E373" i="7"/>
  <c r="E280" i="7"/>
  <c r="H373" i="7"/>
  <c r="H280" i="7"/>
  <c r="L373" i="7"/>
  <c r="L280" i="7"/>
  <c r="R373" i="7"/>
  <c r="R375" i="7" s="1"/>
  <c r="R280" i="7"/>
  <c r="R282" i="7" s="1"/>
  <c r="V373" i="7"/>
  <c r="V375" i="7" s="1"/>
  <c r="V280" i="7"/>
  <c r="V282" i="7" s="1"/>
  <c r="O78" i="9"/>
  <c r="K79" i="9"/>
  <c r="I373" i="7"/>
  <c r="I280" i="7"/>
  <c r="M373" i="7"/>
  <c r="M280" i="7"/>
  <c r="S373" i="7"/>
  <c r="S375" i="7" s="1"/>
  <c r="S280" i="7"/>
  <c r="S282" i="7" s="1"/>
  <c r="DR163" i="7"/>
  <c r="W373" i="7"/>
  <c r="W375" i="7" s="1"/>
  <c r="W280" i="7"/>
  <c r="W282" i="7" s="1"/>
  <c r="N169" i="9"/>
  <c r="R154" i="9"/>
  <c r="N182" i="9" s="1"/>
  <c r="N177" i="9"/>
  <c r="O154" i="9"/>
  <c r="N179" i="9" s="1"/>
  <c r="HJ27" i="7"/>
  <c r="HK27" i="7" s="1"/>
  <c r="GX27" i="7"/>
  <c r="GW28" i="7" s="1"/>
  <c r="HE27" i="7"/>
  <c r="HG27" i="7"/>
  <c r="HC28" i="7"/>
  <c r="GK27" i="7"/>
  <c r="GL27" i="7" s="1"/>
  <c r="GF27" i="7"/>
  <c r="FY27" i="7"/>
  <c r="FX28" i="7" s="1"/>
  <c r="GH26" i="7"/>
  <c r="GD27" i="7"/>
  <c r="FL28" i="7"/>
  <c r="FM28" i="7" s="1"/>
  <c r="EZ28" i="7"/>
  <c r="EY29" i="7" s="1"/>
  <c r="FG28" i="7"/>
  <c r="FI27" i="7"/>
  <c r="FE28" i="7"/>
  <c r="EF29" i="7"/>
  <c r="EJ28" i="7"/>
  <c r="EM28" i="7"/>
  <c r="EN28" i="7" s="1"/>
  <c r="EA28" i="7"/>
  <c r="DZ29" i="7" s="1"/>
  <c r="EH28" i="7"/>
  <c r="DI28" i="7"/>
  <c r="DN28" i="7"/>
  <c r="DO28" i="7" s="1"/>
  <c r="DB28" i="7"/>
  <c r="DA29" i="7" s="1"/>
  <c r="DG28" i="7"/>
  <c r="DK27" i="7"/>
  <c r="R21" i="8"/>
  <c r="S21" i="8" s="1"/>
  <c r="F21" i="8"/>
  <c r="E22" i="8" s="1"/>
  <c r="M21" i="8"/>
  <c r="G217" i="8"/>
  <c r="BP147" i="8"/>
  <c r="G230" i="8" s="1"/>
  <c r="BI24" i="8"/>
  <c r="DN23" i="8"/>
  <c r="DO23" i="8" s="1"/>
  <c r="DB23" i="8"/>
  <c r="DA24" i="8" s="1"/>
  <c r="DI23" i="8"/>
  <c r="G169" i="8"/>
  <c r="R147" i="8"/>
  <c r="G182" i="8" s="1"/>
  <c r="M147" i="8"/>
  <c r="G177" i="8" s="1"/>
  <c r="CO22" i="8"/>
  <c r="CC22" i="8"/>
  <c r="CB23" i="8" s="1"/>
  <c r="CJ22" i="8"/>
  <c r="CL22" i="8"/>
  <c r="BP21" i="8"/>
  <c r="BQ21" i="8" s="1"/>
  <c r="BD21" i="8"/>
  <c r="BC22" i="8" s="1"/>
  <c r="BK21" i="8"/>
  <c r="BM21" i="8"/>
  <c r="O22" i="8"/>
  <c r="K23" i="8"/>
  <c r="AQ22" i="8"/>
  <c r="AR22" i="8" s="1"/>
  <c r="AE22" i="8"/>
  <c r="AD23" i="8" s="1"/>
  <c r="AL22" i="8"/>
  <c r="CH25" i="8"/>
  <c r="AN24" i="8"/>
  <c r="AJ25" i="8"/>
  <c r="CP21" i="8"/>
  <c r="DK22" i="8"/>
  <c r="DG23" i="8"/>
  <c r="E6" i="7"/>
  <c r="R6" i="7" s="1"/>
  <c r="DK80" i="9" l="1"/>
  <c r="DG81" i="9"/>
  <c r="DB80" i="9"/>
  <c r="DA81" i="9" s="1"/>
  <c r="DN80" i="9"/>
  <c r="DO80" i="9" s="1"/>
  <c r="DI80" i="9"/>
  <c r="CL81" i="9"/>
  <c r="CH82" i="9"/>
  <c r="CO81" i="9"/>
  <c r="CP81" i="9" s="1"/>
  <c r="CC81" i="9"/>
  <c r="CB82" i="9" s="1"/>
  <c r="CJ81" i="9"/>
  <c r="BP80" i="9"/>
  <c r="BQ80" i="9" s="1"/>
  <c r="BD80" i="9"/>
  <c r="BC81" i="9" s="1"/>
  <c r="BK80" i="9"/>
  <c r="BI82" i="9"/>
  <c r="BM82" i="9" s="1"/>
  <c r="AN80" i="9"/>
  <c r="AJ81" i="9"/>
  <c r="AE80" i="9"/>
  <c r="AD81" i="9" s="1"/>
  <c r="AL80" i="9"/>
  <c r="AQ80" i="9"/>
  <c r="AR80" i="9" s="1"/>
  <c r="N292" i="9"/>
  <c r="N307" i="9" s="1"/>
  <c r="N317" i="9"/>
  <c r="N343" i="9" s="1"/>
  <c r="L11" i="5" s="1"/>
  <c r="R71" i="9"/>
  <c r="S71" i="9" s="1"/>
  <c r="M71" i="9"/>
  <c r="E72" i="9"/>
  <c r="F72" i="9" s="1"/>
  <c r="O79" i="9"/>
  <c r="K80" i="9"/>
  <c r="HJ28" i="7"/>
  <c r="HK28" i="7" s="1"/>
  <c r="HE28" i="7"/>
  <c r="GX28" i="7"/>
  <c r="GW29" i="7" s="1"/>
  <c r="HC29" i="7"/>
  <c r="HG28" i="7"/>
  <c r="GK28" i="7"/>
  <c r="GL28" i="7" s="1"/>
  <c r="FY28" i="7"/>
  <c r="FX29" i="7" s="1"/>
  <c r="GF28" i="7"/>
  <c r="GH27" i="7"/>
  <c r="GD28" i="7"/>
  <c r="FL29" i="7"/>
  <c r="FM29" i="7" s="1"/>
  <c r="EZ29" i="7"/>
  <c r="EY30" i="7" s="1"/>
  <c r="FG29" i="7"/>
  <c r="FE29" i="7"/>
  <c r="FI28" i="7"/>
  <c r="EJ29" i="7"/>
  <c r="EF30" i="7"/>
  <c r="EM29" i="7"/>
  <c r="EN29" i="7" s="1"/>
  <c r="EA29" i="7"/>
  <c r="DZ30" i="7" s="1"/>
  <c r="EH29" i="7"/>
  <c r="DN29" i="7"/>
  <c r="DO29" i="7" s="1"/>
  <c r="DB29" i="7"/>
  <c r="DA30" i="7" s="1"/>
  <c r="DI29" i="7"/>
  <c r="DK28" i="7"/>
  <c r="DG29" i="7"/>
  <c r="AN25" i="8"/>
  <c r="AJ26" i="8"/>
  <c r="AQ23" i="8"/>
  <c r="AR23" i="8" s="1"/>
  <c r="AL23" i="8"/>
  <c r="AE23" i="8"/>
  <c r="AD24" i="8" s="1"/>
  <c r="BI25" i="8"/>
  <c r="CH26" i="8"/>
  <c r="DK23" i="8"/>
  <c r="DG24" i="8"/>
  <c r="CP22" i="8"/>
  <c r="CP23" i="8" s="1"/>
  <c r="O23" i="8"/>
  <c r="K24" i="8"/>
  <c r="BP22" i="8"/>
  <c r="BQ22" i="8" s="1"/>
  <c r="BK22" i="8"/>
  <c r="BD22" i="8"/>
  <c r="BC23" i="8" s="1"/>
  <c r="BM22" i="8"/>
  <c r="CO23" i="8"/>
  <c r="CC23" i="8"/>
  <c r="CB24" i="8" s="1"/>
  <c r="CJ23" i="8"/>
  <c r="CL23" i="8"/>
  <c r="G290" i="8"/>
  <c r="G315" i="8"/>
  <c r="DN24" i="8"/>
  <c r="DO24" i="8" s="1"/>
  <c r="DI24" i="8"/>
  <c r="DB24" i="8"/>
  <c r="DA25" i="8" s="1"/>
  <c r="F22" i="8"/>
  <c r="E23" i="8" s="1"/>
  <c r="R22" i="8"/>
  <c r="S22" i="8" s="1"/>
  <c r="M22" i="8"/>
  <c r="D436" i="7"/>
  <c r="D435" i="7"/>
  <c r="W403" i="7"/>
  <c r="V403" i="7"/>
  <c r="V415" i="7" s="1"/>
  <c r="U403" i="7"/>
  <c r="U415" i="7" s="1"/>
  <c r="T403" i="7"/>
  <c r="T415" i="7" s="1"/>
  <c r="S403" i="7"/>
  <c r="S415" i="7" s="1"/>
  <c r="R403" i="7"/>
  <c r="R415" i="7" s="1"/>
  <c r="Q403" i="7"/>
  <c r="P403" i="7"/>
  <c r="P415" i="7" s="1"/>
  <c r="O403" i="7"/>
  <c r="N403" i="7"/>
  <c r="N415" i="7" s="1"/>
  <c r="M403" i="7"/>
  <c r="M415" i="7" s="1"/>
  <c r="L403" i="7"/>
  <c r="L415" i="7" s="1"/>
  <c r="K403" i="7"/>
  <c r="J403" i="7"/>
  <c r="J415" i="7" s="1"/>
  <c r="I403" i="7"/>
  <c r="H403" i="7"/>
  <c r="H415" i="7" s="1"/>
  <c r="G403" i="7"/>
  <c r="F403" i="7"/>
  <c r="F415" i="7" s="1"/>
  <c r="E403" i="7"/>
  <c r="E415" i="7" s="1"/>
  <c r="W400" i="7"/>
  <c r="W414" i="7" s="1"/>
  <c r="V400" i="7"/>
  <c r="V414" i="7" s="1"/>
  <c r="U400" i="7"/>
  <c r="U414" i="7" s="1"/>
  <c r="T400" i="7"/>
  <c r="T414" i="7" s="1"/>
  <c r="S400" i="7"/>
  <c r="R400" i="7"/>
  <c r="R414" i="7" s="1"/>
  <c r="Q400" i="7"/>
  <c r="Q414" i="7" s="1"/>
  <c r="P400" i="7"/>
  <c r="P414" i="7" s="1"/>
  <c r="O400" i="7"/>
  <c r="N400" i="7"/>
  <c r="N414" i="7" s="1"/>
  <c r="M400" i="7"/>
  <c r="L400" i="7"/>
  <c r="L414" i="7" s="1"/>
  <c r="K400" i="7"/>
  <c r="K414" i="7" s="1"/>
  <c r="J400" i="7"/>
  <c r="J414" i="7" s="1"/>
  <c r="I400" i="7"/>
  <c r="I414" i="7" s="1"/>
  <c r="H400" i="7"/>
  <c r="G400" i="7"/>
  <c r="F400" i="7"/>
  <c r="F414" i="7" s="1"/>
  <c r="E400" i="7"/>
  <c r="E414" i="7" s="1"/>
  <c r="W398" i="7"/>
  <c r="W413" i="7" s="1"/>
  <c r="V398" i="7"/>
  <c r="V413" i="7" s="1"/>
  <c r="U398" i="7"/>
  <c r="U413" i="7" s="1"/>
  <c r="T398" i="7"/>
  <c r="T413" i="7" s="1"/>
  <c r="S398" i="7"/>
  <c r="S413" i="7" s="1"/>
  <c r="R398" i="7"/>
  <c r="R413" i="7" s="1"/>
  <c r="Q398" i="7"/>
  <c r="Q413" i="7" s="1"/>
  <c r="P398" i="7"/>
  <c r="P413" i="7" s="1"/>
  <c r="O413" i="7"/>
  <c r="N398" i="7"/>
  <c r="N413" i="7" s="1"/>
  <c r="M398" i="7"/>
  <c r="M413" i="7" s="1"/>
  <c r="L398" i="7"/>
  <c r="L413" i="7" s="1"/>
  <c r="K398" i="7"/>
  <c r="K413" i="7" s="1"/>
  <c r="J398" i="7"/>
  <c r="J413" i="7" s="1"/>
  <c r="I398" i="7"/>
  <c r="I413" i="7" s="1"/>
  <c r="H398" i="7"/>
  <c r="H413" i="7" s="1"/>
  <c r="G398" i="7"/>
  <c r="G413" i="7" s="1"/>
  <c r="F398" i="7"/>
  <c r="F413" i="7" s="1"/>
  <c r="E398" i="7"/>
  <c r="E413" i="7" s="1"/>
  <c r="W396" i="7"/>
  <c r="W412" i="7" s="1"/>
  <c r="V396" i="7"/>
  <c r="V412" i="7" s="1"/>
  <c r="U396" i="7"/>
  <c r="U412" i="7" s="1"/>
  <c r="T396" i="7"/>
  <c r="T412" i="7" s="1"/>
  <c r="S396" i="7"/>
  <c r="S412" i="7" s="1"/>
  <c r="R396" i="7"/>
  <c r="R412" i="7" s="1"/>
  <c r="Q396" i="7"/>
  <c r="Q412" i="7" s="1"/>
  <c r="P396" i="7"/>
  <c r="P412" i="7" s="1"/>
  <c r="O412" i="7"/>
  <c r="N396" i="7"/>
  <c r="N412" i="7" s="1"/>
  <c r="M396" i="7"/>
  <c r="M412" i="7" s="1"/>
  <c r="L396" i="7"/>
  <c r="L412" i="7" s="1"/>
  <c r="K396" i="7"/>
  <c r="K412" i="7" s="1"/>
  <c r="J396" i="7"/>
  <c r="J412" i="7" s="1"/>
  <c r="I396" i="7"/>
  <c r="I412" i="7" s="1"/>
  <c r="H396" i="7"/>
  <c r="H412" i="7" s="1"/>
  <c r="G396" i="7"/>
  <c r="G412" i="7" s="1"/>
  <c r="F396" i="7"/>
  <c r="F412" i="7" s="1"/>
  <c r="W393" i="7"/>
  <c r="W411" i="7" s="1"/>
  <c r="V393" i="7"/>
  <c r="V411" i="7" s="1"/>
  <c r="U393" i="7"/>
  <c r="U411" i="7" s="1"/>
  <c r="T393" i="7"/>
  <c r="T411" i="7" s="1"/>
  <c r="S393" i="7"/>
  <c r="S411" i="7" s="1"/>
  <c r="R393" i="7"/>
  <c r="R411" i="7" s="1"/>
  <c r="Q393" i="7"/>
  <c r="Q411" i="7" s="1"/>
  <c r="P393" i="7"/>
  <c r="P411" i="7" s="1"/>
  <c r="O411" i="7"/>
  <c r="N393" i="7"/>
  <c r="N411" i="7" s="1"/>
  <c r="M393" i="7"/>
  <c r="M411" i="7" s="1"/>
  <c r="L393" i="7"/>
  <c r="L411" i="7" s="1"/>
  <c r="K393" i="7"/>
  <c r="K411" i="7" s="1"/>
  <c r="J393" i="7"/>
  <c r="J411" i="7" s="1"/>
  <c r="I393" i="7"/>
  <c r="I411" i="7" s="1"/>
  <c r="H393" i="7"/>
  <c r="H411" i="7" s="1"/>
  <c r="G393" i="7"/>
  <c r="G411" i="7" s="1"/>
  <c r="F393" i="7"/>
  <c r="F411" i="7" s="1"/>
  <c r="E411" i="7"/>
  <c r="W391" i="7"/>
  <c r="W410" i="7" s="1"/>
  <c r="V391" i="7"/>
  <c r="V410" i="7" s="1"/>
  <c r="U391" i="7"/>
  <c r="U410" i="7" s="1"/>
  <c r="T391" i="7"/>
  <c r="T410" i="7" s="1"/>
  <c r="S391" i="7"/>
  <c r="S410" i="7" s="1"/>
  <c r="R391" i="7"/>
  <c r="R410" i="7" s="1"/>
  <c r="Q391" i="7"/>
  <c r="Q410" i="7" s="1"/>
  <c r="P391" i="7"/>
  <c r="P410" i="7" s="1"/>
  <c r="O391" i="7"/>
  <c r="O410" i="7" s="1"/>
  <c r="N391" i="7"/>
  <c r="N410" i="7" s="1"/>
  <c r="M391" i="7"/>
  <c r="M410" i="7" s="1"/>
  <c r="L410" i="7"/>
  <c r="K391" i="7"/>
  <c r="K410" i="7" s="1"/>
  <c r="J391" i="7"/>
  <c r="J410" i="7" s="1"/>
  <c r="I391" i="7"/>
  <c r="I410" i="7" s="1"/>
  <c r="H391" i="7"/>
  <c r="H410" i="7" s="1"/>
  <c r="G391" i="7"/>
  <c r="G410" i="7" s="1"/>
  <c r="F391" i="7"/>
  <c r="F410" i="7" s="1"/>
  <c r="E410" i="7"/>
  <c r="C384" i="7"/>
  <c r="C359" i="7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218" i="7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193" i="7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170" i="7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T163" i="7"/>
  <c r="CQ163" i="7"/>
  <c r="CN163" i="7"/>
  <c r="CK163" i="7"/>
  <c r="CI163" i="7"/>
  <c r="BU163" i="7"/>
  <c r="W235" i="7" s="1"/>
  <c r="BR163" i="7"/>
  <c r="W232" i="7" s="1"/>
  <c r="BO163" i="7"/>
  <c r="W229" i="7" s="1"/>
  <c r="BL163" i="7"/>
  <c r="W226" i="7" s="1"/>
  <c r="BJ163" i="7"/>
  <c r="W224" i="7" s="1"/>
  <c r="AV163" i="7"/>
  <c r="W210" i="7" s="1"/>
  <c r="AS163" i="7"/>
  <c r="W207" i="7" s="1"/>
  <c r="AP163" i="7"/>
  <c r="W204" i="7" s="1"/>
  <c r="AM163" i="7"/>
  <c r="W201" i="7" s="1"/>
  <c r="AK163" i="7"/>
  <c r="W199" i="7" s="1"/>
  <c r="W163" i="7"/>
  <c r="T163" i="7"/>
  <c r="Q163" i="7"/>
  <c r="W181" i="7" s="1"/>
  <c r="N163" i="7"/>
  <c r="W178" i="7" s="1"/>
  <c r="L163" i="7"/>
  <c r="W176" i="7" s="1"/>
  <c r="CT162" i="7"/>
  <c r="CQ162" i="7"/>
  <c r="CN162" i="7"/>
  <c r="CK162" i="7"/>
  <c r="CI162" i="7"/>
  <c r="BU162" i="7"/>
  <c r="V235" i="7" s="1"/>
  <c r="BR162" i="7"/>
  <c r="V232" i="7" s="1"/>
  <c r="BO162" i="7"/>
  <c r="V229" i="7" s="1"/>
  <c r="BL162" i="7"/>
  <c r="V226" i="7" s="1"/>
  <c r="BJ162" i="7"/>
  <c r="V224" i="7" s="1"/>
  <c r="AV162" i="7"/>
  <c r="V210" i="7" s="1"/>
  <c r="AS162" i="7"/>
  <c r="V207" i="7" s="1"/>
  <c r="AP162" i="7"/>
  <c r="V204" i="7" s="1"/>
  <c r="AM162" i="7"/>
  <c r="V201" i="7" s="1"/>
  <c r="AK162" i="7"/>
  <c r="V199" i="7" s="1"/>
  <c r="W162" i="7"/>
  <c r="T162" i="7"/>
  <c r="Q162" i="7"/>
  <c r="V181" i="7" s="1"/>
  <c r="N162" i="7"/>
  <c r="V178" i="7" s="1"/>
  <c r="L162" i="7"/>
  <c r="V176" i="7" s="1"/>
  <c r="CT161" i="7"/>
  <c r="CQ161" i="7"/>
  <c r="CN161" i="7"/>
  <c r="CK161" i="7"/>
  <c r="CI161" i="7"/>
  <c r="BU161" i="7"/>
  <c r="U235" i="7" s="1"/>
  <c r="BR161" i="7"/>
  <c r="U232" i="7" s="1"/>
  <c r="BO161" i="7"/>
  <c r="U229" i="7" s="1"/>
  <c r="BL161" i="7"/>
  <c r="U226" i="7" s="1"/>
  <c r="BJ161" i="7"/>
  <c r="U224" i="7" s="1"/>
  <c r="AV161" i="7"/>
  <c r="U210" i="7" s="1"/>
  <c r="AS161" i="7"/>
  <c r="U207" i="7" s="1"/>
  <c r="AP161" i="7"/>
  <c r="U204" i="7" s="1"/>
  <c r="AM161" i="7"/>
  <c r="U201" i="7" s="1"/>
  <c r="AK161" i="7"/>
  <c r="U199" i="7" s="1"/>
  <c r="W161" i="7"/>
  <c r="T161" i="7"/>
  <c r="Q161" i="7"/>
  <c r="U181" i="7" s="1"/>
  <c r="N161" i="7"/>
  <c r="U178" i="7" s="1"/>
  <c r="L161" i="7"/>
  <c r="U176" i="7" s="1"/>
  <c r="CT160" i="7"/>
  <c r="CQ160" i="7"/>
  <c r="CN160" i="7"/>
  <c r="CK160" i="7"/>
  <c r="CI160" i="7"/>
  <c r="BU160" i="7"/>
  <c r="T235" i="7" s="1"/>
  <c r="BR160" i="7"/>
  <c r="T232" i="7" s="1"/>
  <c r="BO160" i="7"/>
  <c r="T229" i="7" s="1"/>
  <c r="BL160" i="7"/>
  <c r="T226" i="7" s="1"/>
  <c r="BJ160" i="7"/>
  <c r="T224" i="7" s="1"/>
  <c r="AV160" i="7"/>
  <c r="T210" i="7" s="1"/>
  <c r="AS160" i="7"/>
  <c r="T207" i="7" s="1"/>
  <c r="AP160" i="7"/>
  <c r="T204" i="7" s="1"/>
  <c r="AM160" i="7"/>
  <c r="T201" i="7" s="1"/>
  <c r="AK160" i="7"/>
  <c r="T199" i="7" s="1"/>
  <c r="W160" i="7"/>
  <c r="T160" i="7"/>
  <c r="Q160" i="7"/>
  <c r="T181" i="7" s="1"/>
  <c r="N160" i="7"/>
  <c r="T178" i="7" s="1"/>
  <c r="L160" i="7"/>
  <c r="T176" i="7" s="1"/>
  <c r="CT159" i="7"/>
  <c r="CQ159" i="7"/>
  <c r="CN159" i="7"/>
  <c r="CK159" i="7"/>
  <c r="CI159" i="7"/>
  <c r="BU159" i="7"/>
  <c r="S235" i="7" s="1"/>
  <c r="BR159" i="7"/>
  <c r="S232" i="7" s="1"/>
  <c r="BO159" i="7"/>
  <c r="S229" i="7" s="1"/>
  <c r="BL159" i="7"/>
  <c r="S226" i="7" s="1"/>
  <c r="BJ159" i="7"/>
  <c r="S224" i="7" s="1"/>
  <c r="AV159" i="7"/>
  <c r="S210" i="7" s="1"/>
  <c r="AS159" i="7"/>
  <c r="S207" i="7" s="1"/>
  <c r="AP159" i="7"/>
  <c r="S204" i="7" s="1"/>
  <c r="AM159" i="7"/>
  <c r="S201" i="7" s="1"/>
  <c r="AK159" i="7"/>
  <c r="S199" i="7" s="1"/>
  <c r="W159" i="7"/>
  <c r="T159" i="7"/>
  <c r="Q159" i="7"/>
  <c r="S181" i="7" s="1"/>
  <c r="N159" i="7"/>
  <c r="S178" i="7" s="1"/>
  <c r="L159" i="7"/>
  <c r="S176" i="7" s="1"/>
  <c r="CT158" i="7"/>
  <c r="CQ158" i="7"/>
  <c r="CN158" i="7"/>
  <c r="CK158" i="7"/>
  <c r="CI158" i="7"/>
  <c r="BU158" i="7"/>
  <c r="R235" i="7" s="1"/>
  <c r="BR158" i="7"/>
  <c r="R232" i="7" s="1"/>
  <c r="BO158" i="7"/>
  <c r="R229" i="7" s="1"/>
  <c r="BL158" i="7"/>
  <c r="R226" i="7" s="1"/>
  <c r="BJ158" i="7"/>
  <c r="R224" i="7" s="1"/>
  <c r="AV158" i="7"/>
  <c r="R210" i="7" s="1"/>
  <c r="AS158" i="7"/>
  <c r="R207" i="7" s="1"/>
  <c r="AP158" i="7"/>
  <c r="R204" i="7" s="1"/>
  <c r="AM158" i="7"/>
  <c r="R201" i="7" s="1"/>
  <c r="AK158" i="7"/>
  <c r="R199" i="7" s="1"/>
  <c r="W158" i="7"/>
  <c r="T158" i="7"/>
  <c r="Q158" i="7"/>
  <c r="R181" i="7" s="1"/>
  <c r="N158" i="7"/>
  <c r="R178" i="7" s="1"/>
  <c r="L158" i="7"/>
  <c r="R176" i="7" s="1"/>
  <c r="CT157" i="7"/>
  <c r="CQ157" i="7"/>
  <c r="CN157" i="7"/>
  <c r="CK157" i="7"/>
  <c r="CI157" i="7"/>
  <c r="BU157" i="7"/>
  <c r="Q235" i="7" s="1"/>
  <c r="BR157" i="7"/>
  <c r="Q232" i="7" s="1"/>
  <c r="BO157" i="7"/>
  <c r="Q229" i="7" s="1"/>
  <c r="BL157" i="7"/>
  <c r="Q226" i="7" s="1"/>
  <c r="BJ157" i="7"/>
  <c r="Q224" i="7" s="1"/>
  <c r="AV157" i="7"/>
  <c r="Q210" i="7" s="1"/>
  <c r="AS157" i="7"/>
  <c r="Q207" i="7" s="1"/>
  <c r="AP157" i="7"/>
  <c r="Q204" i="7" s="1"/>
  <c r="AM157" i="7"/>
  <c r="Q201" i="7" s="1"/>
  <c r="AK157" i="7"/>
  <c r="Q199" i="7" s="1"/>
  <c r="W157" i="7"/>
  <c r="T157" i="7"/>
  <c r="Q157" i="7"/>
  <c r="Q181" i="7" s="1"/>
  <c r="N157" i="7"/>
  <c r="Q178" i="7" s="1"/>
  <c r="L157" i="7"/>
  <c r="Q176" i="7" s="1"/>
  <c r="CT156" i="7"/>
  <c r="CQ156" i="7"/>
  <c r="BU156" i="7"/>
  <c r="P235" i="7" s="1"/>
  <c r="BR156" i="7"/>
  <c r="P232" i="7" s="1"/>
  <c r="BO156" i="7"/>
  <c r="P229" i="7" s="1"/>
  <c r="BL156" i="7"/>
  <c r="P226" i="7" s="1"/>
  <c r="BJ156" i="7"/>
  <c r="P224" i="7" s="1"/>
  <c r="AV156" i="7"/>
  <c r="P210" i="7" s="1"/>
  <c r="AS156" i="7"/>
  <c r="P207" i="7" s="1"/>
  <c r="AP156" i="7"/>
  <c r="P204" i="7" s="1"/>
  <c r="AM156" i="7"/>
  <c r="P201" i="7" s="1"/>
  <c r="AK156" i="7"/>
  <c r="P199" i="7" s="1"/>
  <c r="W156" i="7"/>
  <c r="T156" i="7"/>
  <c r="Q156" i="7"/>
  <c r="P181" i="7" s="1"/>
  <c r="N156" i="7"/>
  <c r="P178" i="7" s="1"/>
  <c r="L156" i="7"/>
  <c r="P176" i="7" s="1"/>
  <c r="CT155" i="7"/>
  <c r="CQ155" i="7"/>
  <c r="CN155" i="7"/>
  <c r="CK155" i="7"/>
  <c r="CI155" i="7"/>
  <c r="BU155" i="7"/>
  <c r="O235" i="7" s="1"/>
  <c r="BR155" i="7"/>
  <c r="O232" i="7" s="1"/>
  <c r="BO155" i="7"/>
  <c r="O229" i="7" s="1"/>
  <c r="BL155" i="7"/>
  <c r="O226" i="7" s="1"/>
  <c r="BJ155" i="7"/>
  <c r="O224" i="7" s="1"/>
  <c r="AV155" i="7"/>
  <c r="O210" i="7" s="1"/>
  <c r="AS155" i="7"/>
  <c r="O207" i="7" s="1"/>
  <c r="AP155" i="7"/>
  <c r="O204" i="7" s="1"/>
  <c r="AM155" i="7"/>
  <c r="O201" i="7" s="1"/>
  <c r="AK155" i="7"/>
  <c r="O199" i="7" s="1"/>
  <c r="W155" i="7"/>
  <c r="O187" i="7" s="1"/>
  <c r="T155" i="7"/>
  <c r="O184" i="7" s="1"/>
  <c r="Q155" i="7"/>
  <c r="O181" i="7" s="1"/>
  <c r="N155" i="7"/>
  <c r="O178" i="7" s="1"/>
  <c r="L155" i="7"/>
  <c r="O176" i="7" s="1"/>
  <c r="CT154" i="7"/>
  <c r="CQ154" i="7"/>
  <c r="CN154" i="7"/>
  <c r="CK154" i="7"/>
  <c r="CI154" i="7"/>
  <c r="BU154" i="7"/>
  <c r="N235" i="7" s="1"/>
  <c r="BR154" i="7"/>
  <c r="N232" i="7" s="1"/>
  <c r="BO154" i="7"/>
  <c r="N229" i="7" s="1"/>
  <c r="BL154" i="7"/>
  <c r="N226" i="7" s="1"/>
  <c r="BJ154" i="7"/>
  <c r="N224" i="7" s="1"/>
  <c r="AV154" i="7"/>
  <c r="N210" i="7" s="1"/>
  <c r="AS154" i="7"/>
  <c r="N207" i="7" s="1"/>
  <c r="AP154" i="7"/>
  <c r="N204" i="7" s="1"/>
  <c r="AM154" i="7"/>
  <c r="N201" i="7" s="1"/>
  <c r="AK154" i="7"/>
  <c r="N199" i="7" s="1"/>
  <c r="W154" i="7"/>
  <c r="T154" i="7"/>
  <c r="Q154" i="7"/>
  <c r="N181" i="7" s="1"/>
  <c r="N154" i="7"/>
  <c r="N178" i="7" s="1"/>
  <c r="L154" i="7"/>
  <c r="N176" i="7" s="1"/>
  <c r="CT153" i="7"/>
  <c r="CQ153" i="7"/>
  <c r="CN153" i="7"/>
  <c r="CK153" i="7"/>
  <c r="CI153" i="7"/>
  <c r="BU153" i="7"/>
  <c r="M235" i="7" s="1"/>
  <c r="BR153" i="7"/>
  <c r="M232" i="7" s="1"/>
  <c r="BO153" i="7"/>
  <c r="M229" i="7" s="1"/>
  <c r="BL153" i="7"/>
  <c r="M226" i="7" s="1"/>
  <c r="BJ153" i="7"/>
  <c r="M224" i="7" s="1"/>
  <c r="AV153" i="7"/>
  <c r="M210" i="7" s="1"/>
  <c r="AS153" i="7"/>
  <c r="M207" i="7" s="1"/>
  <c r="AP153" i="7"/>
  <c r="M204" i="7" s="1"/>
  <c r="AM153" i="7"/>
  <c r="M201" i="7" s="1"/>
  <c r="AK153" i="7"/>
  <c r="M199" i="7" s="1"/>
  <c r="W153" i="7"/>
  <c r="T153" i="7"/>
  <c r="Q153" i="7"/>
  <c r="M181" i="7" s="1"/>
  <c r="N153" i="7"/>
  <c r="M178" i="7" s="1"/>
  <c r="L153" i="7"/>
  <c r="M176" i="7" s="1"/>
  <c r="CT152" i="7"/>
  <c r="CQ152" i="7"/>
  <c r="CN152" i="7"/>
  <c r="CK152" i="7"/>
  <c r="CI152" i="7"/>
  <c r="BU152" i="7"/>
  <c r="L235" i="7" s="1"/>
  <c r="BR152" i="7"/>
  <c r="L232" i="7" s="1"/>
  <c r="BO152" i="7"/>
  <c r="L229" i="7" s="1"/>
  <c r="BL152" i="7"/>
  <c r="L226" i="7" s="1"/>
  <c r="BJ152" i="7"/>
  <c r="L224" i="7" s="1"/>
  <c r="AV152" i="7"/>
  <c r="L210" i="7" s="1"/>
  <c r="AS152" i="7"/>
  <c r="L207" i="7" s="1"/>
  <c r="AP152" i="7"/>
  <c r="L204" i="7" s="1"/>
  <c r="AM152" i="7"/>
  <c r="L201" i="7" s="1"/>
  <c r="AK152" i="7"/>
  <c r="L199" i="7" s="1"/>
  <c r="W152" i="7"/>
  <c r="T152" i="7"/>
  <c r="Q152" i="7"/>
  <c r="L181" i="7" s="1"/>
  <c r="N152" i="7"/>
  <c r="L178" i="7" s="1"/>
  <c r="L152" i="7"/>
  <c r="L176" i="7" s="1"/>
  <c r="CT151" i="7"/>
  <c r="CQ151" i="7"/>
  <c r="CN151" i="7"/>
  <c r="CK151" i="7"/>
  <c r="CI151" i="7"/>
  <c r="BU151" i="7"/>
  <c r="K235" i="7" s="1"/>
  <c r="BR151" i="7"/>
  <c r="K232" i="7" s="1"/>
  <c r="BO151" i="7"/>
  <c r="K229" i="7" s="1"/>
  <c r="BL151" i="7"/>
  <c r="K226" i="7" s="1"/>
  <c r="BJ151" i="7"/>
  <c r="K224" i="7" s="1"/>
  <c r="AV151" i="7"/>
  <c r="K210" i="7" s="1"/>
  <c r="AS151" i="7"/>
  <c r="K207" i="7" s="1"/>
  <c r="AP151" i="7"/>
  <c r="K204" i="7" s="1"/>
  <c r="AM151" i="7"/>
  <c r="K201" i="7" s="1"/>
  <c r="AK151" i="7"/>
  <c r="K199" i="7" s="1"/>
  <c r="W151" i="7"/>
  <c r="T151" i="7"/>
  <c r="Q151" i="7"/>
  <c r="K181" i="7" s="1"/>
  <c r="N151" i="7"/>
  <c r="K178" i="7" s="1"/>
  <c r="L151" i="7"/>
  <c r="K176" i="7" s="1"/>
  <c r="CT150" i="7"/>
  <c r="CQ150" i="7"/>
  <c r="CN150" i="7"/>
  <c r="CK150" i="7"/>
  <c r="CI150" i="7"/>
  <c r="BU150" i="7"/>
  <c r="J235" i="7" s="1"/>
  <c r="BR150" i="7"/>
  <c r="J232" i="7" s="1"/>
  <c r="BO150" i="7"/>
  <c r="J229" i="7" s="1"/>
  <c r="BL150" i="7"/>
  <c r="J226" i="7" s="1"/>
  <c r="BJ150" i="7"/>
  <c r="J224" i="7" s="1"/>
  <c r="AV150" i="7"/>
  <c r="J210" i="7" s="1"/>
  <c r="AS150" i="7"/>
  <c r="J207" i="7" s="1"/>
  <c r="AP150" i="7"/>
  <c r="J204" i="7" s="1"/>
  <c r="AM150" i="7"/>
  <c r="J201" i="7" s="1"/>
  <c r="AK150" i="7"/>
  <c r="J199" i="7" s="1"/>
  <c r="W150" i="7"/>
  <c r="T150" i="7"/>
  <c r="Q150" i="7"/>
  <c r="J181" i="7" s="1"/>
  <c r="N150" i="7"/>
  <c r="J178" i="7" s="1"/>
  <c r="L150" i="7"/>
  <c r="J176" i="7" s="1"/>
  <c r="CT149" i="7"/>
  <c r="CQ149" i="7"/>
  <c r="CN149" i="7"/>
  <c r="CK149" i="7"/>
  <c r="CI149" i="7"/>
  <c r="BU149" i="7"/>
  <c r="I235" i="7" s="1"/>
  <c r="BR149" i="7"/>
  <c r="I232" i="7" s="1"/>
  <c r="BO149" i="7"/>
  <c r="I229" i="7" s="1"/>
  <c r="BL149" i="7"/>
  <c r="I226" i="7" s="1"/>
  <c r="BJ149" i="7"/>
  <c r="I224" i="7" s="1"/>
  <c r="AV149" i="7"/>
  <c r="I210" i="7" s="1"/>
  <c r="AS149" i="7"/>
  <c r="I207" i="7" s="1"/>
  <c r="AP149" i="7"/>
  <c r="I204" i="7" s="1"/>
  <c r="AM149" i="7"/>
  <c r="I201" i="7" s="1"/>
  <c r="AK149" i="7"/>
  <c r="I199" i="7" s="1"/>
  <c r="W149" i="7"/>
  <c r="T149" i="7"/>
  <c r="Q149" i="7"/>
  <c r="I181" i="7" s="1"/>
  <c r="N149" i="7"/>
  <c r="I178" i="7" s="1"/>
  <c r="L149" i="7"/>
  <c r="I176" i="7" s="1"/>
  <c r="CT148" i="7"/>
  <c r="CQ148" i="7"/>
  <c r="CN148" i="7"/>
  <c r="CK148" i="7"/>
  <c r="CI148" i="7"/>
  <c r="BU148" i="7"/>
  <c r="H235" i="7" s="1"/>
  <c r="BR148" i="7"/>
  <c r="H232" i="7" s="1"/>
  <c r="BO148" i="7"/>
  <c r="H229" i="7" s="1"/>
  <c r="BL148" i="7"/>
  <c r="H226" i="7" s="1"/>
  <c r="BJ148" i="7"/>
  <c r="H224" i="7" s="1"/>
  <c r="AV148" i="7"/>
  <c r="H210" i="7" s="1"/>
  <c r="AS148" i="7"/>
  <c r="H207" i="7" s="1"/>
  <c r="AP148" i="7"/>
  <c r="H204" i="7" s="1"/>
  <c r="AM148" i="7"/>
  <c r="H201" i="7" s="1"/>
  <c r="AK148" i="7"/>
  <c r="H199" i="7" s="1"/>
  <c r="W148" i="7"/>
  <c r="T148" i="7"/>
  <c r="Q148" i="7"/>
  <c r="H181" i="7" s="1"/>
  <c r="N148" i="7"/>
  <c r="H178" i="7" s="1"/>
  <c r="L148" i="7"/>
  <c r="H176" i="7" s="1"/>
  <c r="CT147" i="7"/>
  <c r="CQ147" i="7"/>
  <c r="CN147" i="7"/>
  <c r="CK147" i="7"/>
  <c r="CI147" i="7"/>
  <c r="BU147" i="7"/>
  <c r="G235" i="7" s="1"/>
  <c r="BR147" i="7"/>
  <c r="G232" i="7" s="1"/>
  <c r="BO147" i="7"/>
  <c r="G229" i="7" s="1"/>
  <c r="BL147" i="7"/>
  <c r="G226" i="7" s="1"/>
  <c r="BJ147" i="7"/>
  <c r="G224" i="7" s="1"/>
  <c r="AV147" i="7"/>
  <c r="G210" i="7" s="1"/>
  <c r="AS147" i="7"/>
  <c r="G207" i="7" s="1"/>
  <c r="AP147" i="7"/>
  <c r="G204" i="7" s="1"/>
  <c r="AM147" i="7"/>
  <c r="G201" i="7" s="1"/>
  <c r="AK147" i="7"/>
  <c r="G199" i="7" s="1"/>
  <c r="W147" i="7"/>
  <c r="T147" i="7"/>
  <c r="Q147" i="7"/>
  <c r="G181" i="7" s="1"/>
  <c r="N147" i="7"/>
  <c r="G178" i="7" s="1"/>
  <c r="L147" i="7"/>
  <c r="G176" i="7" s="1"/>
  <c r="CT146" i="7"/>
  <c r="CQ146" i="7"/>
  <c r="CN146" i="7"/>
  <c r="CK146" i="7"/>
  <c r="CI146" i="7"/>
  <c r="CA146" i="7"/>
  <c r="CA147" i="7" s="1"/>
  <c r="CA148" i="7" s="1"/>
  <c r="CA149" i="7" s="1"/>
  <c r="CA150" i="7" s="1"/>
  <c r="CA151" i="7" s="1"/>
  <c r="CA152" i="7" s="1"/>
  <c r="CA153" i="7" s="1"/>
  <c r="CA154" i="7" s="1"/>
  <c r="CA155" i="7" s="1"/>
  <c r="CA156" i="7" s="1"/>
  <c r="CA157" i="7" s="1"/>
  <c r="CA158" i="7" s="1"/>
  <c r="CA159" i="7" s="1"/>
  <c r="CA160" i="7" s="1"/>
  <c r="CA161" i="7" s="1"/>
  <c r="CA162" i="7" s="1"/>
  <c r="CA163" i="7" s="1"/>
  <c r="BU146" i="7"/>
  <c r="F235" i="7" s="1"/>
  <c r="BR146" i="7"/>
  <c r="F232" i="7" s="1"/>
  <c r="BO146" i="7"/>
  <c r="F229" i="7" s="1"/>
  <c r="BL146" i="7"/>
  <c r="F226" i="7" s="1"/>
  <c r="BJ146" i="7"/>
  <c r="F224" i="7" s="1"/>
  <c r="BB146" i="7"/>
  <c r="BB147" i="7" s="1"/>
  <c r="BB148" i="7" s="1"/>
  <c r="BB149" i="7" s="1"/>
  <c r="BB150" i="7" s="1"/>
  <c r="BB151" i="7" s="1"/>
  <c r="BB152" i="7" s="1"/>
  <c r="BB153" i="7" s="1"/>
  <c r="BB154" i="7" s="1"/>
  <c r="BB155" i="7" s="1"/>
  <c r="BB156" i="7" s="1"/>
  <c r="BB157" i="7" s="1"/>
  <c r="BB158" i="7" s="1"/>
  <c r="BB159" i="7" s="1"/>
  <c r="BB160" i="7" s="1"/>
  <c r="BB161" i="7" s="1"/>
  <c r="BB162" i="7" s="1"/>
  <c r="BB163" i="7" s="1"/>
  <c r="AV146" i="7"/>
  <c r="F210" i="7" s="1"/>
  <c r="AS146" i="7"/>
  <c r="F207" i="7" s="1"/>
  <c r="AP146" i="7"/>
  <c r="F204" i="7" s="1"/>
  <c r="AM146" i="7"/>
  <c r="F201" i="7" s="1"/>
  <c r="AK146" i="7"/>
  <c r="F199" i="7" s="1"/>
  <c r="AC146" i="7"/>
  <c r="AC147" i="7" s="1"/>
  <c r="AC148" i="7" s="1"/>
  <c r="AC149" i="7" s="1"/>
  <c r="AC150" i="7" s="1"/>
  <c r="AC151" i="7" s="1"/>
  <c r="AC152" i="7" s="1"/>
  <c r="AC153" i="7" s="1"/>
  <c r="AC154" i="7" s="1"/>
  <c r="AC155" i="7" s="1"/>
  <c r="AC156" i="7" s="1"/>
  <c r="AC157" i="7" s="1"/>
  <c r="AC158" i="7" s="1"/>
  <c r="AC159" i="7" s="1"/>
  <c r="AC160" i="7" s="1"/>
  <c r="AC161" i="7" s="1"/>
  <c r="AC162" i="7" s="1"/>
  <c r="AC163" i="7" s="1"/>
  <c r="W146" i="7"/>
  <c r="T146" i="7"/>
  <c r="Q146" i="7"/>
  <c r="F181" i="7" s="1"/>
  <c r="N146" i="7"/>
  <c r="F178" i="7" s="1"/>
  <c r="L146" i="7"/>
  <c r="F176" i="7" s="1"/>
  <c r="D146" i="7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CT145" i="7"/>
  <c r="CQ145" i="7"/>
  <c r="CN145" i="7"/>
  <c r="CK145" i="7"/>
  <c r="CI145" i="7"/>
  <c r="BU145" i="7"/>
  <c r="E235" i="7" s="1"/>
  <c r="BR145" i="7"/>
  <c r="E232" i="7" s="1"/>
  <c r="BO145" i="7"/>
  <c r="E229" i="7" s="1"/>
  <c r="BL145" i="7"/>
  <c r="E226" i="7" s="1"/>
  <c r="BJ145" i="7"/>
  <c r="E224" i="7" s="1"/>
  <c r="AV145" i="7"/>
  <c r="E210" i="7" s="1"/>
  <c r="AS145" i="7"/>
  <c r="E207" i="7" s="1"/>
  <c r="AP145" i="7"/>
  <c r="E204" i="7" s="1"/>
  <c r="E201" i="7"/>
  <c r="AK145" i="7"/>
  <c r="E199" i="7" s="1"/>
  <c r="W145" i="7"/>
  <c r="T145" i="7"/>
  <c r="E184" i="7" s="1"/>
  <c r="Q145" i="7"/>
  <c r="E181" i="7" s="1"/>
  <c r="N145" i="7"/>
  <c r="E178" i="7" s="1"/>
  <c r="L145" i="7"/>
  <c r="E176" i="7" s="1"/>
  <c r="CG138" i="7"/>
  <c r="BH138" i="7"/>
  <c r="AI138" i="7"/>
  <c r="J138" i="7"/>
  <c r="CG137" i="7"/>
  <c r="BH137" i="7"/>
  <c r="AI137" i="7"/>
  <c r="J137" i="7"/>
  <c r="CG136" i="7"/>
  <c r="BH136" i="7"/>
  <c r="AI136" i="7"/>
  <c r="J136" i="7"/>
  <c r="CG135" i="7"/>
  <c r="BH135" i="7"/>
  <c r="AI135" i="7"/>
  <c r="J135" i="7"/>
  <c r="CG134" i="7"/>
  <c r="BH134" i="7"/>
  <c r="AI134" i="7"/>
  <c r="J134" i="7"/>
  <c r="CU133" i="7"/>
  <c r="CU134" i="7" s="1"/>
  <c r="CU135" i="7" s="1"/>
  <c r="CU136" i="7" s="1"/>
  <c r="CU137" i="7" s="1"/>
  <c r="CU138" i="7" s="1"/>
  <c r="CR133" i="7"/>
  <c r="CR134" i="7" s="1"/>
  <c r="CR135" i="7" s="1"/>
  <c r="CR136" i="7" s="1"/>
  <c r="CR137" i="7" s="1"/>
  <c r="CR138" i="7" s="1"/>
  <c r="CG133" i="7"/>
  <c r="BZ133" i="7"/>
  <c r="BZ134" i="7" s="1"/>
  <c r="CT134" i="7" s="1"/>
  <c r="BY133" i="7"/>
  <c r="BY135" i="7" s="1"/>
  <c r="BY136" i="7" s="1"/>
  <c r="BY137" i="7" s="1"/>
  <c r="BY138" i="7" s="1"/>
  <c r="BV133" i="7"/>
  <c r="BV134" i="7" s="1"/>
  <c r="BV135" i="7" s="1"/>
  <c r="BV136" i="7" s="1"/>
  <c r="BV137" i="7" s="1"/>
  <c r="BV138" i="7" s="1"/>
  <c r="BV163" i="7" s="1"/>
  <c r="W236" i="7" s="1"/>
  <c r="BS133" i="7"/>
  <c r="BS134" i="7" s="1"/>
  <c r="BS135" i="7" s="1"/>
  <c r="BS136" i="7" s="1"/>
  <c r="BS137" i="7" s="1"/>
  <c r="BS138" i="7" s="1"/>
  <c r="BS163" i="7" s="1"/>
  <c r="W233" i="7" s="1"/>
  <c r="BH133" i="7"/>
  <c r="BA133" i="7"/>
  <c r="BA134" i="7" s="1"/>
  <c r="AZ133" i="7"/>
  <c r="AZ135" i="7" s="1"/>
  <c r="AZ136" i="7" s="1"/>
  <c r="AZ137" i="7" s="1"/>
  <c r="AZ138" i="7" s="1"/>
  <c r="AW133" i="7"/>
  <c r="AW134" i="7" s="1"/>
  <c r="AW135" i="7" s="1"/>
  <c r="AW136" i="7" s="1"/>
  <c r="AW137" i="7" s="1"/>
  <c r="AW138" i="7" s="1"/>
  <c r="AW163" i="7" s="1"/>
  <c r="W211" i="7" s="1"/>
  <c r="AT133" i="7"/>
  <c r="AT134" i="7" s="1"/>
  <c r="AT135" i="7" s="1"/>
  <c r="AT136" i="7" s="1"/>
  <c r="AT137" i="7" s="1"/>
  <c r="AT138" i="7" s="1"/>
  <c r="AT163" i="7" s="1"/>
  <c r="W208" i="7" s="1"/>
  <c r="AI133" i="7"/>
  <c r="AB133" i="7"/>
  <c r="AA133" i="7"/>
  <c r="AA135" i="7" s="1"/>
  <c r="AA136" i="7" s="1"/>
  <c r="AA137" i="7" s="1"/>
  <c r="AA138" i="7" s="1"/>
  <c r="X133" i="7"/>
  <c r="X134" i="7" s="1"/>
  <c r="X135" i="7" s="1"/>
  <c r="X136" i="7" s="1"/>
  <c r="X137" i="7" s="1"/>
  <c r="X138" i="7" s="1"/>
  <c r="U133" i="7"/>
  <c r="U134" i="7" s="1"/>
  <c r="U135" i="7" s="1"/>
  <c r="U136" i="7" s="1"/>
  <c r="U137" i="7" s="1"/>
  <c r="U138" i="7" s="1"/>
  <c r="J133" i="7"/>
  <c r="C133" i="7"/>
  <c r="B133" i="7"/>
  <c r="B136" i="7" s="1"/>
  <c r="B137" i="7" s="1"/>
  <c r="B138" i="7" s="1"/>
  <c r="CT132" i="7"/>
  <c r="CV132" i="7" s="1"/>
  <c r="CQ132" i="7"/>
  <c r="CS132" i="7" s="1"/>
  <c r="CN132" i="7"/>
  <c r="CK132" i="7"/>
  <c r="CI132" i="7"/>
  <c r="CG132" i="7"/>
  <c r="BU132" i="7"/>
  <c r="BW132" i="7" s="1"/>
  <c r="BR132" i="7"/>
  <c r="BT132" i="7" s="1"/>
  <c r="BO132" i="7"/>
  <c r="BL132" i="7"/>
  <c r="BJ132" i="7"/>
  <c r="BH132" i="7"/>
  <c r="AV132" i="7"/>
  <c r="AX132" i="7" s="1"/>
  <c r="AS132" i="7"/>
  <c r="AU132" i="7" s="1"/>
  <c r="AP132" i="7"/>
  <c r="AM132" i="7"/>
  <c r="AK132" i="7"/>
  <c r="AI132" i="7"/>
  <c r="W132" i="7"/>
  <c r="Y132" i="7" s="1"/>
  <c r="T132" i="7"/>
  <c r="V132" i="7" s="1"/>
  <c r="Q132" i="7"/>
  <c r="N132" i="7"/>
  <c r="L132" i="7"/>
  <c r="J132" i="7"/>
  <c r="CG131" i="7"/>
  <c r="BH131" i="7"/>
  <c r="AI131" i="7"/>
  <c r="J131" i="7"/>
  <c r="CG130" i="7"/>
  <c r="BH130" i="7"/>
  <c r="AI130" i="7"/>
  <c r="J130" i="7"/>
  <c r="CG129" i="7"/>
  <c r="BH129" i="7"/>
  <c r="AI129" i="7"/>
  <c r="J129" i="7"/>
  <c r="CG128" i="7"/>
  <c r="BH128" i="7"/>
  <c r="AI128" i="7"/>
  <c r="J128" i="7"/>
  <c r="CG127" i="7"/>
  <c r="BH127" i="7"/>
  <c r="AI127" i="7"/>
  <c r="J127" i="7"/>
  <c r="CU126" i="7"/>
  <c r="CU127" i="7" s="1"/>
  <c r="CU128" i="7" s="1"/>
  <c r="CU129" i="7" s="1"/>
  <c r="CU130" i="7" s="1"/>
  <c r="CU131" i="7" s="1"/>
  <c r="CR126" i="7"/>
  <c r="CR127" i="7" s="1"/>
  <c r="CR128" i="7" s="1"/>
  <c r="CR129" i="7" s="1"/>
  <c r="CR130" i="7" s="1"/>
  <c r="CR131" i="7" s="1"/>
  <c r="CQ126" i="7"/>
  <c r="CG126" i="7"/>
  <c r="BZ126" i="7"/>
  <c r="CT126" i="7" s="1"/>
  <c r="CV126" i="7" s="1"/>
  <c r="BY126" i="7"/>
  <c r="BY127" i="7" s="1"/>
  <c r="BY128" i="7" s="1"/>
  <c r="BY129" i="7" s="1"/>
  <c r="BY130" i="7" s="1"/>
  <c r="BY131" i="7" s="1"/>
  <c r="BV126" i="7"/>
  <c r="BV127" i="7" s="1"/>
  <c r="BV128" i="7" s="1"/>
  <c r="BV129" i="7" s="1"/>
  <c r="BV130" i="7" s="1"/>
  <c r="BV131" i="7" s="1"/>
  <c r="BV162" i="7" s="1"/>
  <c r="V236" i="7" s="1"/>
  <c r="BS126" i="7"/>
  <c r="BS127" i="7" s="1"/>
  <c r="BS128" i="7" s="1"/>
  <c r="BS129" i="7" s="1"/>
  <c r="BS130" i="7" s="1"/>
  <c r="BS131" i="7" s="1"/>
  <c r="BS162" i="7" s="1"/>
  <c r="V233" i="7" s="1"/>
  <c r="BH126" i="7"/>
  <c r="BA126" i="7"/>
  <c r="BA127" i="7" s="1"/>
  <c r="BA128" i="7" s="1"/>
  <c r="AZ126" i="7"/>
  <c r="AZ127" i="7" s="1"/>
  <c r="AZ128" i="7" s="1"/>
  <c r="AZ129" i="7" s="1"/>
  <c r="AZ130" i="7" s="1"/>
  <c r="AZ131" i="7" s="1"/>
  <c r="AW126" i="7"/>
  <c r="AW127" i="7" s="1"/>
  <c r="AW128" i="7" s="1"/>
  <c r="AW129" i="7" s="1"/>
  <c r="AW130" i="7" s="1"/>
  <c r="AW131" i="7" s="1"/>
  <c r="AW162" i="7" s="1"/>
  <c r="V211" i="7" s="1"/>
  <c r="AT126" i="7"/>
  <c r="AT127" i="7" s="1"/>
  <c r="AT128" i="7" s="1"/>
  <c r="AT129" i="7" s="1"/>
  <c r="AT130" i="7" s="1"/>
  <c r="AT131" i="7" s="1"/>
  <c r="AT162" i="7" s="1"/>
  <c r="V208" i="7" s="1"/>
  <c r="AI126" i="7"/>
  <c r="AB126" i="7"/>
  <c r="AA126" i="7"/>
  <c r="AA127" i="7" s="1"/>
  <c r="AA128" i="7" s="1"/>
  <c r="AA129" i="7" s="1"/>
  <c r="AA130" i="7" s="1"/>
  <c r="AA131" i="7" s="1"/>
  <c r="X126" i="7"/>
  <c r="X127" i="7" s="1"/>
  <c r="U126" i="7"/>
  <c r="U127" i="7" s="1"/>
  <c r="U128" i="7" s="1"/>
  <c r="U129" i="7" s="1"/>
  <c r="U130" i="7" s="1"/>
  <c r="U131" i="7" s="1"/>
  <c r="T126" i="7"/>
  <c r="J126" i="7"/>
  <c r="C126" i="7"/>
  <c r="B126" i="7"/>
  <c r="B127" i="7" s="1"/>
  <c r="B128" i="7" s="1"/>
  <c r="B129" i="7" s="1"/>
  <c r="B130" i="7" s="1"/>
  <c r="B131" i="7" s="1"/>
  <c r="CT125" i="7"/>
  <c r="CV125" i="7" s="1"/>
  <c r="CQ125" i="7"/>
  <c r="CS125" i="7" s="1"/>
  <c r="CN125" i="7"/>
  <c r="CK125" i="7"/>
  <c r="CI125" i="7"/>
  <c r="CG125" i="7"/>
  <c r="BU125" i="7"/>
  <c r="BW125" i="7" s="1"/>
  <c r="BR125" i="7"/>
  <c r="BT125" i="7" s="1"/>
  <c r="BO125" i="7"/>
  <c r="BL125" i="7"/>
  <c r="BJ125" i="7"/>
  <c r="BH125" i="7"/>
  <c r="AV125" i="7"/>
  <c r="AX125" i="7" s="1"/>
  <c r="AS125" i="7"/>
  <c r="AU125" i="7" s="1"/>
  <c r="AP125" i="7"/>
  <c r="AM125" i="7"/>
  <c r="AK125" i="7"/>
  <c r="AI125" i="7"/>
  <c r="W125" i="7"/>
  <c r="Y125" i="7" s="1"/>
  <c r="T125" i="7"/>
  <c r="V125" i="7" s="1"/>
  <c r="Q125" i="7"/>
  <c r="N125" i="7"/>
  <c r="L125" i="7"/>
  <c r="J125" i="7"/>
  <c r="CG124" i="7"/>
  <c r="BH124" i="7"/>
  <c r="AI124" i="7"/>
  <c r="AA124" i="7"/>
  <c r="J124" i="7"/>
  <c r="B124" i="7"/>
  <c r="CG123" i="7"/>
  <c r="BH123" i="7"/>
  <c r="AI123" i="7"/>
  <c r="J123" i="7"/>
  <c r="CG122" i="7"/>
  <c r="BH122" i="7"/>
  <c r="AI122" i="7"/>
  <c r="J122" i="7"/>
  <c r="CG121" i="7"/>
  <c r="BH121" i="7"/>
  <c r="AI121" i="7"/>
  <c r="J121" i="7"/>
  <c r="CG120" i="7"/>
  <c r="BH120" i="7"/>
  <c r="AI120" i="7"/>
  <c r="J120" i="7"/>
  <c r="CU119" i="7"/>
  <c r="CU120" i="7" s="1"/>
  <c r="CU121" i="7" s="1"/>
  <c r="CU122" i="7" s="1"/>
  <c r="CU123" i="7" s="1"/>
  <c r="CU124" i="7" s="1"/>
  <c r="CR119" i="7"/>
  <c r="CR120" i="7" s="1"/>
  <c r="CR121" i="7" s="1"/>
  <c r="CR122" i="7" s="1"/>
  <c r="CR123" i="7" s="1"/>
  <c r="CR124" i="7" s="1"/>
  <c r="CG119" i="7"/>
  <c r="BZ119" i="7"/>
  <c r="BZ120" i="7" s="1"/>
  <c r="BY119" i="7"/>
  <c r="BY120" i="7" s="1"/>
  <c r="BY121" i="7" s="1"/>
  <c r="BY122" i="7" s="1"/>
  <c r="BY123" i="7" s="1"/>
  <c r="BY124" i="7" s="1"/>
  <c r="BV119" i="7"/>
  <c r="BV120" i="7" s="1"/>
  <c r="BV121" i="7" s="1"/>
  <c r="BV122" i="7" s="1"/>
  <c r="BV123" i="7" s="1"/>
  <c r="BV124" i="7" s="1"/>
  <c r="BV161" i="7" s="1"/>
  <c r="U236" i="7" s="1"/>
  <c r="BS119" i="7"/>
  <c r="BS120" i="7" s="1"/>
  <c r="BS121" i="7" s="1"/>
  <c r="BS122" i="7" s="1"/>
  <c r="BS123" i="7" s="1"/>
  <c r="BS124" i="7" s="1"/>
  <c r="BS161" i="7" s="1"/>
  <c r="U233" i="7" s="1"/>
  <c r="BH119" i="7"/>
  <c r="BA119" i="7"/>
  <c r="AZ119" i="7"/>
  <c r="AZ120" i="7" s="1"/>
  <c r="AZ121" i="7" s="1"/>
  <c r="AZ122" i="7" s="1"/>
  <c r="AZ123" i="7" s="1"/>
  <c r="AZ124" i="7" s="1"/>
  <c r="AW119" i="7"/>
  <c r="AW120" i="7" s="1"/>
  <c r="AW121" i="7" s="1"/>
  <c r="AW122" i="7" s="1"/>
  <c r="AW123" i="7" s="1"/>
  <c r="AW124" i="7" s="1"/>
  <c r="AW161" i="7" s="1"/>
  <c r="U211" i="7" s="1"/>
  <c r="AT119" i="7"/>
  <c r="AT120" i="7" s="1"/>
  <c r="AT121" i="7" s="1"/>
  <c r="AT122" i="7" s="1"/>
  <c r="AT123" i="7" s="1"/>
  <c r="AT124" i="7" s="1"/>
  <c r="AT161" i="7" s="1"/>
  <c r="U208" i="7" s="1"/>
  <c r="AI119" i="7"/>
  <c r="AB119" i="7"/>
  <c r="AB120" i="7" s="1"/>
  <c r="AA119" i="7"/>
  <c r="AA120" i="7" s="1"/>
  <c r="AA121" i="7" s="1"/>
  <c r="AA122" i="7" s="1"/>
  <c r="X119" i="7"/>
  <c r="X120" i="7" s="1"/>
  <c r="X121" i="7" s="1"/>
  <c r="X122" i="7" s="1"/>
  <c r="X123" i="7" s="1"/>
  <c r="X124" i="7" s="1"/>
  <c r="X161" i="7" s="1"/>
  <c r="U188" i="7" s="1"/>
  <c r="U119" i="7"/>
  <c r="U120" i="7" s="1"/>
  <c r="U121" i="7" s="1"/>
  <c r="U122" i="7" s="1"/>
  <c r="U123" i="7" s="1"/>
  <c r="U124" i="7" s="1"/>
  <c r="U161" i="7" s="1"/>
  <c r="U185" i="7" s="1"/>
  <c r="J119" i="7"/>
  <c r="C119" i="7"/>
  <c r="B119" i="7"/>
  <c r="B120" i="7" s="1"/>
  <c r="B121" i="7" s="1"/>
  <c r="B122" i="7" s="1"/>
  <c r="CT118" i="7"/>
  <c r="CV118" i="7" s="1"/>
  <c r="CQ118" i="7"/>
  <c r="CS118" i="7" s="1"/>
  <c r="CN118" i="7"/>
  <c r="CK118" i="7"/>
  <c r="CI118" i="7"/>
  <c r="CG118" i="7"/>
  <c r="BU118" i="7"/>
  <c r="BW118" i="7" s="1"/>
  <c r="BR118" i="7"/>
  <c r="BT118" i="7" s="1"/>
  <c r="BO118" i="7"/>
  <c r="BL118" i="7"/>
  <c r="BJ118" i="7"/>
  <c r="BH118" i="7"/>
  <c r="AV118" i="7"/>
  <c r="AX118" i="7" s="1"/>
  <c r="AS118" i="7"/>
  <c r="AU118" i="7" s="1"/>
  <c r="AP118" i="7"/>
  <c r="AM118" i="7"/>
  <c r="AK118" i="7"/>
  <c r="AI118" i="7"/>
  <c r="W118" i="7"/>
  <c r="Y118" i="7" s="1"/>
  <c r="T118" i="7"/>
  <c r="V118" i="7" s="1"/>
  <c r="Q118" i="7"/>
  <c r="N118" i="7"/>
  <c r="L118" i="7"/>
  <c r="J118" i="7"/>
  <c r="CG117" i="7"/>
  <c r="BH117" i="7"/>
  <c r="AI117" i="7"/>
  <c r="J117" i="7"/>
  <c r="CG116" i="7"/>
  <c r="BH116" i="7"/>
  <c r="AI116" i="7"/>
  <c r="J116" i="7"/>
  <c r="CG115" i="7"/>
  <c r="BH115" i="7"/>
  <c r="AI115" i="7"/>
  <c r="J115" i="7"/>
  <c r="CG114" i="7"/>
  <c r="BH114" i="7"/>
  <c r="AI114" i="7"/>
  <c r="J114" i="7"/>
  <c r="CG113" i="7"/>
  <c r="BH113" i="7"/>
  <c r="AI113" i="7"/>
  <c r="J113" i="7"/>
  <c r="CU112" i="7"/>
  <c r="CU113" i="7" s="1"/>
  <c r="CU114" i="7" s="1"/>
  <c r="CU115" i="7" s="1"/>
  <c r="CU116" i="7" s="1"/>
  <c r="CU117" i="7" s="1"/>
  <c r="CR112" i="7"/>
  <c r="CR113" i="7" s="1"/>
  <c r="CR114" i="7" s="1"/>
  <c r="CR115" i="7" s="1"/>
  <c r="CR116" i="7" s="1"/>
  <c r="CR117" i="7" s="1"/>
  <c r="CG112" i="7"/>
  <c r="BZ112" i="7"/>
  <c r="BZ113" i="7" s="1"/>
  <c r="BY112" i="7"/>
  <c r="BY113" i="7" s="1"/>
  <c r="BY114" i="7" s="1"/>
  <c r="BY115" i="7" s="1"/>
  <c r="BY116" i="7" s="1"/>
  <c r="BY117" i="7" s="1"/>
  <c r="BV112" i="7"/>
  <c r="BV113" i="7" s="1"/>
  <c r="BV114" i="7" s="1"/>
  <c r="BV115" i="7" s="1"/>
  <c r="BV116" i="7" s="1"/>
  <c r="BV117" i="7" s="1"/>
  <c r="BV160" i="7" s="1"/>
  <c r="T236" i="7" s="1"/>
  <c r="BS112" i="7"/>
  <c r="BS113" i="7" s="1"/>
  <c r="BS114" i="7" s="1"/>
  <c r="BS115" i="7" s="1"/>
  <c r="BS116" i="7" s="1"/>
  <c r="BS117" i="7" s="1"/>
  <c r="BS160" i="7" s="1"/>
  <c r="T233" i="7" s="1"/>
  <c r="BH112" i="7"/>
  <c r="BA112" i="7"/>
  <c r="AZ112" i="7"/>
  <c r="AZ113" i="7" s="1"/>
  <c r="AZ114" i="7" s="1"/>
  <c r="AZ115" i="7" s="1"/>
  <c r="AZ116" i="7" s="1"/>
  <c r="AZ117" i="7" s="1"/>
  <c r="AW112" i="7"/>
  <c r="AW113" i="7" s="1"/>
  <c r="AW114" i="7" s="1"/>
  <c r="AW115" i="7" s="1"/>
  <c r="AW116" i="7" s="1"/>
  <c r="AW117" i="7" s="1"/>
  <c r="AW160" i="7" s="1"/>
  <c r="T211" i="7" s="1"/>
  <c r="AT112" i="7"/>
  <c r="AT113" i="7" s="1"/>
  <c r="AT114" i="7" s="1"/>
  <c r="AT115" i="7" s="1"/>
  <c r="AT116" i="7" s="1"/>
  <c r="AT117" i="7" s="1"/>
  <c r="AT160" i="7" s="1"/>
  <c r="T208" i="7" s="1"/>
  <c r="AI112" i="7"/>
  <c r="AB112" i="7"/>
  <c r="AB113" i="7" s="1"/>
  <c r="AB114" i="7" s="1"/>
  <c r="AA112" i="7"/>
  <c r="AA113" i="7" s="1"/>
  <c r="AA114" i="7" s="1"/>
  <c r="AA115" i="7" s="1"/>
  <c r="AA116" i="7" s="1"/>
  <c r="AA117" i="7" s="1"/>
  <c r="X112" i="7"/>
  <c r="X113" i="7" s="1"/>
  <c r="X114" i="7" s="1"/>
  <c r="X115" i="7" s="1"/>
  <c r="X116" i="7" s="1"/>
  <c r="X117" i="7" s="1"/>
  <c r="X160" i="7" s="1"/>
  <c r="T188" i="7" s="1"/>
  <c r="U112" i="7"/>
  <c r="U113" i="7" s="1"/>
  <c r="U114" i="7" s="1"/>
  <c r="U115" i="7" s="1"/>
  <c r="U116" i="7" s="1"/>
  <c r="U117" i="7" s="1"/>
  <c r="U160" i="7" s="1"/>
  <c r="T185" i="7" s="1"/>
  <c r="J112" i="7"/>
  <c r="C112" i="7"/>
  <c r="B112" i="7"/>
  <c r="B113" i="7" s="1"/>
  <c r="B114" i="7" s="1"/>
  <c r="B115" i="7" s="1"/>
  <c r="B116" i="7" s="1"/>
  <c r="B117" i="7" s="1"/>
  <c r="CT111" i="7"/>
  <c r="CV111" i="7" s="1"/>
  <c r="CQ111" i="7"/>
  <c r="CS111" i="7" s="1"/>
  <c r="CN111" i="7"/>
  <c r="CK111" i="7"/>
  <c r="CI111" i="7"/>
  <c r="CG111" i="7"/>
  <c r="BU111" i="7"/>
  <c r="BW111" i="7" s="1"/>
  <c r="BR111" i="7"/>
  <c r="BT111" i="7" s="1"/>
  <c r="BO111" i="7"/>
  <c r="BL111" i="7"/>
  <c r="BJ111" i="7"/>
  <c r="BH111" i="7"/>
  <c r="AV111" i="7"/>
  <c r="AX111" i="7" s="1"/>
  <c r="AS111" i="7"/>
  <c r="AU111" i="7" s="1"/>
  <c r="AP111" i="7"/>
  <c r="AM111" i="7"/>
  <c r="AK111" i="7"/>
  <c r="AI111" i="7"/>
  <c r="W111" i="7"/>
  <c r="Y111" i="7" s="1"/>
  <c r="T111" i="7"/>
  <c r="V111" i="7" s="1"/>
  <c r="Q111" i="7"/>
  <c r="N111" i="7"/>
  <c r="L111" i="7"/>
  <c r="J111" i="7"/>
  <c r="CG110" i="7"/>
  <c r="BH110" i="7"/>
  <c r="AI110" i="7"/>
  <c r="J110" i="7"/>
  <c r="CG109" i="7"/>
  <c r="BH109" i="7"/>
  <c r="AI109" i="7"/>
  <c r="J109" i="7"/>
  <c r="CG108" i="7"/>
  <c r="BH108" i="7"/>
  <c r="AI108" i="7"/>
  <c r="J108" i="7"/>
  <c r="CG107" i="7"/>
  <c r="BH107" i="7"/>
  <c r="AI107" i="7"/>
  <c r="J107" i="7"/>
  <c r="CG106" i="7"/>
  <c r="BH106" i="7"/>
  <c r="AI106" i="7"/>
  <c r="J106" i="7"/>
  <c r="CU105" i="7"/>
  <c r="CU106" i="7" s="1"/>
  <c r="CU107" i="7" s="1"/>
  <c r="CU108" i="7" s="1"/>
  <c r="CU109" i="7" s="1"/>
  <c r="CU110" i="7" s="1"/>
  <c r="CR105" i="7"/>
  <c r="CR106" i="7" s="1"/>
  <c r="CR107" i="7" s="1"/>
  <c r="CR108" i="7" s="1"/>
  <c r="CR109" i="7" s="1"/>
  <c r="CR110" i="7" s="1"/>
  <c r="CG105" i="7"/>
  <c r="BZ105" i="7"/>
  <c r="BZ106" i="7" s="1"/>
  <c r="BY105" i="7"/>
  <c r="BY106" i="7" s="1"/>
  <c r="BY107" i="7" s="1"/>
  <c r="BY108" i="7" s="1"/>
  <c r="BY109" i="7" s="1"/>
  <c r="BY110" i="7" s="1"/>
  <c r="BV105" i="7"/>
  <c r="BV106" i="7" s="1"/>
  <c r="BV107" i="7" s="1"/>
  <c r="BV108" i="7" s="1"/>
  <c r="BV109" i="7" s="1"/>
  <c r="BV110" i="7" s="1"/>
  <c r="BV159" i="7" s="1"/>
  <c r="S236" i="7" s="1"/>
  <c r="BS105" i="7"/>
  <c r="BS106" i="7" s="1"/>
  <c r="BS107" i="7" s="1"/>
  <c r="BS108" i="7" s="1"/>
  <c r="BS109" i="7" s="1"/>
  <c r="BS110" i="7" s="1"/>
  <c r="BS159" i="7" s="1"/>
  <c r="S233" i="7" s="1"/>
  <c r="BH105" i="7"/>
  <c r="BA105" i="7"/>
  <c r="AZ105" i="7"/>
  <c r="AZ106" i="7" s="1"/>
  <c r="AZ107" i="7" s="1"/>
  <c r="AZ108" i="7" s="1"/>
  <c r="AZ109" i="7" s="1"/>
  <c r="AZ110" i="7" s="1"/>
  <c r="AW105" i="7"/>
  <c r="AW106" i="7" s="1"/>
  <c r="AW107" i="7" s="1"/>
  <c r="AW108" i="7" s="1"/>
  <c r="AW109" i="7" s="1"/>
  <c r="AW110" i="7" s="1"/>
  <c r="AW159" i="7" s="1"/>
  <c r="S211" i="7" s="1"/>
  <c r="AT105" i="7"/>
  <c r="AT106" i="7" s="1"/>
  <c r="AT107" i="7" s="1"/>
  <c r="AT108" i="7" s="1"/>
  <c r="AT109" i="7" s="1"/>
  <c r="AT110" i="7" s="1"/>
  <c r="AT159" i="7" s="1"/>
  <c r="S208" i="7" s="1"/>
  <c r="AI105" i="7"/>
  <c r="AB105" i="7"/>
  <c r="AB106" i="7" s="1"/>
  <c r="AA105" i="7"/>
  <c r="AA106" i="7" s="1"/>
  <c r="AA107" i="7" s="1"/>
  <c r="AA108" i="7" s="1"/>
  <c r="AA109" i="7" s="1"/>
  <c r="AA110" i="7" s="1"/>
  <c r="X105" i="7"/>
  <c r="X106" i="7" s="1"/>
  <c r="X107" i="7" s="1"/>
  <c r="X108" i="7" s="1"/>
  <c r="X109" i="7" s="1"/>
  <c r="X110" i="7" s="1"/>
  <c r="X159" i="7" s="1"/>
  <c r="U105" i="7"/>
  <c r="U106" i="7" s="1"/>
  <c r="U107" i="7" s="1"/>
  <c r="U108" i="7" s="1"/>
  <c r="U109" i="7" s="1"/>
  <c r="U110" i="7" s="1"/>
  <c r="U159" i="7" s="1"/>
  <c r="S185" i="7" s="1"/>
  <c r="J105" i="7"/>
  <c r="C105" i="7"/>
  <c r="B105" i="7"/>
  <c r="B106" i="7" s="1"/>
  <c r="B107" i="7" s="1"/>
  <c r="B108" i="7" s="1"/>
  <c r="B109" i="7" s="1"/>
  <c r="B110" i="7" s="1"/>
  <c r="CT104" i="7"/>
  <c r="CV104" i="7" s="1"/>
  <c r="CQ104" i="7"/>
  <c r="CS104" i="7" s="1"/>
  <c r="CN104" i="7"/>
  <c r="CK104" i="7"/>
  <c r="CI104" i="7"/>
  <c r="CG104" i="7"/>
  <c r="BU104" i="7"/>
  <c r="BW104" i="7" s="1"/>
  <c r="BR104" i="7"/>
  <c r="BT104" i="7" s="1"/>
  <c r="BO104" i="7"/>
  <c r="BL104" i="7"/>
  <c r="BJ104" i="7"/>
  <c r="BH104" i="7"/>
  <c r="AV104" i="7"/>
  <c r="AX104" i="7" s="1"/>
  <c r="AS104" i="7"/>
  <c r="AU104" i="7" s="1"/>
  <c r="AP104" i="7"/>
  <c r="AM104" i="7"/>
  <c r="AK104" i="7"/>
  <c r="AI104" i="7"/>
  <c r="W104" i="7"/>
  <c r="Y104" i="7" s="1"/>
  <c r="T104" i="7"/>
  <c r="V104" i="7" s="1"/>
  <c r="Q104" i="7"/>
  <c r="N104" i="7"/>
  <c r="L104" i="7"/>
  <c r="J104" i="7"/>
  <c r="CG103" i="7"/>
  <c r="BH103" i="7"/>
  <c r="AI103" i="7"/>
  <c r="J103" i="7"/>
  <c r="CG102" i="7"/>
  <c r="BH102" i="7"/>
  <c r="AI102" i="7"/>
  <c r="J102" i="7"/>
  <c r="CG101" i="7"/>
  <c r="BH101" i="7"/>
  <c r="AI101" i="7"/>
  <c r="J101" i="7"/>
  <c r="CG100" i="7"/>
  <c r="BH100" i="7"/>
  <c r="AI100" i="7"/>
  <c r="J100" i="7"/>
  <c r="CG99" i="7"/>
  <c r="BH99" i="7"/>
  <c r="AI99" i="7"/>
  <c r="J99" i="7"/>
  <c r="CU98" i="7"/>
  <c r="CU99" i="7" s="1"/>
  <c r="CU100" i="7" s="1"/>
  <c r="CU101" i="7" s="1"/>
  <c r="CU102" i="7" s="1"/>
  <c r="CU103" i="7" s="1"/>
  <c r="CR98" i="7"/>
  <c r="CR99" i="7" s="1"/>
  <c r="CR100" i="7" s="1"/>
  <c r="CR101" i="7" s="1"/>
  <c r="CR102" i="7" s="1"/>
  <c r="CR103" i="7" s="1"/>
  <c r="CG98" i="7"/>
  <c r="BZ98" i="7"/>
  <c r="BZ99" i="7" s="1"/>
  <c r="BY98" i="7"/>
  <c r="BY99" i="7" s="1"/>
  <c r="BY100" i="7" s="1"/>
  <c r="BY101" i="7" s="1"/>
  <c r="BY102" i="7" s="1"/>
  <c r="BY103" i="7" s="1"/>
  <c r="BV98" i="7"/>
  <c r="BV99" i="7" s="1"/>
  <c r="BV100" i="7" s="1"/>
  <c r="BV101" i="7" s="1"/>
  <c r="BV102" i="7" s="1"/>
  <c r="BV103" i="7" s="1"/>
  <c r="BV158" i="7" s="1"/>
  <c r="R236" i="7" s="1"/>
  <c r="BS98" i="7"/>
  <c r="BS99" i="7" s="1"/>
  <c r="BS100" i="7" s="1"/>
  <c r="BS101" i="7" s="1"/>
  <c r="BS102" i="7" s="1"/>
  <c r="BS103" i="7" s="1"/>
  <c r="BS158" i="7" s="1"/>
  <c r="R233" i="7" s="1"/>
  <c r="BH98" i="7"/>
  <c r="BA98" i="7"/>
  <c r="BU98" i="7" s="1"/>
  <c r="AZ98" i="7"/>
  <c r="AZ99" i="7" s="1"/>
  <c r="AZ100" i="7" s="1"/>
  <c r="AZ101" i="7" s="1"/>
  <c r="AZ102" i="7" s="1"/>
  <c r="AZ103" i="7" s="1"/>
  <c r="AW98" i="7"/>
  <c r="AW99" i="7" s="1"/>
  <c r="AW100" i="7" s="1"/>
  <c r="AW101" i="7" s="1"/>
  <c r="AW102" i="7" s="1"/>
  <c r="AW103" i="7" s="1"/>
  <c r="AW158" i="7" s="1"/>
  <c r="R211" i="7" s="1"/>
  <c r="AT98" i="7"/>
  <c r="AT99" i="7" s="1"/>
  <c r="AT100" i="7" s="1"/>
  <c r="AT101" i="7" s="1"/>
  <c r="AT102" i="7" s="1"/>
  <c r="AT103" i="7" s="1"/>
  <c r="AT158" i="7" s="1"/>
  <c r="R208" i="7" s="1"/>
  <c r="AI98" i="7"/>
  <c r="AB98" i="7"/>
  <c r="AV98" i="7" s="1"/>
  <c r="AA98" i="7"/>
  <c r="AA99" i="7" s="1"/>
  <c r="AA100" i="7" s="1"/>
  <c r="AA101" i="7" s="1"/>
  <c r="AA102" i="7" s="1"/>
  <c r="AA103" i="7" s="1"/>
  <c r="X98" i="7"/>
  <c r="X99" i="7" s="1"/>
  <c r="X100" i="7" s="1"/>
  <c r="X101" i="7" s="1"/>
  <c r="X102" i="7" s="1"/>
  <c r="X103" i="7" s="1"/>
  <c r="X158" i="7" s="1"/>
  <c r="R188" i="7" s="1"/>
  <c r="U98" i="7"/>
  <c r="U99" i="7" s="1"/>
  <c r="U100" i="7" s="1"/>
  <c r="U101" i="7" s="1"/>
  <c r="U102" i="7" s="1"/>
  <c r="U103" i="7" s="1"/>
  <c r="U158" i="7" s="1"/>
  <c r="R185" i="7" s="1"/>
  <c r="J98" i="7"/>
  <c r="C98" i="7"/>
  <c r="B98" i="7"/>
  <c r="B99" i="7" s="1"/>
  <c r="B100" i="7" s="1"/>
  <c r="B101" i="7" s="1"/>
  <c r="B102" i="7" s="1"/>
  <c r="B103" i="7" s="1"/>
  <c r="CT97" i="7"/>
  <c r="CV97" i="7" s="1"/>
  <c r="CQ97" i="7"/>
  <c r="CS97" i="7" s="1"/>
  <c r="CN97" i="7"/>
  <c r="CK97" i="7"/>
  <c r="CI97" i="7"/>
  <c r="CG97" i="7"/>
  <c r="BU97" i="7"/>
  <c r="BW97" i="7" s="1"/>
  <c r="BR97" i="7"/>
  <c r="BT97" i="7" s="1"/>
  <c r="BO97" i="7"/>
  <c r="BL97" i="7"/>
  <c r="BJ97" i="7"/>
  <c r="BH97" i="7"/>
  <c r="AV97" i="7"/>
  <c r="AX97" i="7" s="1"/>
  <c r="AS97" i="7"/>
  <c r="AU97" i="7" s="1"/>
  <c r="AP97" i="7"/>
  <c r="AM97" i="7"/>
  <c r="AK97" i="7"/>
  <c r="AI97" i="7"/>
  <c r="W97" i="7"/>
  <c r="Y97" i="7" s="1"/>
  <c r="T97" i="7"/>
  <c r="V97" i="7" s="1"/>
  <c r="Q97" i="7"/>
  <c r="N97" i="7"/>
  <c r="L97" i="7"/>
  <c r="J97" i="7"/>
  <c r="CG96" i="7"/>
  <c r="BH96" i="7"/>
  <c r="AI96" i="7"/>
  <c r="J96" i="7"/>
  <c r="CG95" i="7"/>
  <c r="BH95" i="7"/>
  <c r="AI95" i="7"/>
  <c r="J95" i="7"/>
  <c r="CG94" i="7"/>
  <c r="BH94" i="7"/>
  <c r="AI94" i="7"/>
  <c r="J94" i="7"/>
  <c r="CG93" i="7"/>
  <c r="BH93" i="7"/>
  <c r="AZ93" i="7"/>
  <c r="AZ94" i="7" s="1"/>
  <c r="AZ95" i="7" s="1"/>
  <c r="AZ96" i="7" s="1"/>
  <c r="AI93" i="7"/>
  <c r="AA93" i="7"/>
  <c r="AA94" i="7" s="1"/>
  <c r="AA95" i="7" s="1"/>
  <c r="AA96" i="7" s="1"/>
  <c r="J93" i="7"/>
  <c r="B93" i="7"/>
  <c r="B94" i="7" s="1"/>
  <c r="B95" i="7" s="1"/>
  <c r="B96" i="7" s="1"/>
  <c r="CG92" i="7"/>
  <c r="BY92" i="7"/>
  <c r="BY93" i="7" s="1"/>
  <c r="BY94" i="7" s="1"/>
  <c r="BY95" i="7" s="1"/>
  <c r="BY96" i="7" s="1"/>
  <c r="BH92" i="7"/>
  <c r="AI92" i="7"/>
  <c r="J92" i="7"/>
  <c r="CU91" i="7"/>
  <c r="CU92" i="7" s="1"/>
  <c r="CU93" i="7" s="1"/>
  <c r="CU94" i="7" s="1"/>
  <c r="CU95" i="7" s="1"/>
  <c r="CU96" i="7" s="1"/>
  <c r="CU157" i="7" s="1"/>
  <c r="CR91" i="7"/>
  <c r="CR92" i="7" s="1"/>
  <c r="CR93" i="7" s="1"/>
  <c r="CR94" i="7" s="1"/>
  <c r="CR95" i="7" s="1"/>
  <c r="CR96" i="7" s="1"/>
  <c r="CR157" i="7" s="1"/>
  <c r="Q257" i="7" s="1"/>
  <c r="CG91" i="7"/>
  <c r="BZ91" i="7"/>
  <c r="BV91" i="7"/>
  <c r="BV92" i="7" s="1"/>
  <c r="BV93" i="7" s="1"/>
  <c r="BV94" i="7" s="1"/>
  <c r="BV95" i="7" s="1"/>
  <c r="BV96" i="7" s="1"/>
  <c r="BV157" i="7" s="1"/>
  <c r="Q236" i="7" s="1"/>
  <c r="BS91" i="7"/>
  <c r="BS92" i="7" s="1"/>
  <c r="BS93" i="7" s="1"/>
  <c r="BS94" i="7" s="1"/>
  <c r="BS95" i="7" s="1"/>
  <c r="BS96" i="7" s="1"/>
  <c r="BS157" i="7" s="1"/>
  <c r="Q233" i="7" s="1"/>
  <c r="BH91" i="7"/>
  <c r="BA91" i="7"/>
  <c r="AW91" i="7"/>
  <c r="AW92" i="7" s="1"/>
  <c r="AW93" i="7" s="1"/>
  <c r="AW94" i="7" s="1"/>
  <c r="AW95" i="7" s="1"/>
  <c r="AW96" i="7" s="1"/>
  <c r="AW157" i="7" s="1"/>
  <c r="Q211" i="7" s="1"/>
  <c r="AT91" i="7"/>
  <c r="AT92" i="7" s="1"/>
  <c r="AT93" i="7" s="1"/>
  <c r="AT94" i="7" s="1"/>
  <c r="AT95" i="7" s="1"/>
  <c r="AT96" i="7" s="1"/>
  <c r="AT157" i="7" s="1"/>
  <c r="Q208" i="7" s="1"/>
  <c r="AI91" i="7"/>
  <c r="AB91" i="7"/>
  <c r="X91" i="7"/>
  <c r="X92" i="7" s="1"/>
  <c r="X93" i="7" s="1"/>
  <c r="X94" i="7" s="1"/>
  <c r="X95" i="7" s="1"/>
  <c r="X96" i="7" s="1"/>
  <c r="X157" i="7" s="1"/>
  <c r="Q188" i="7" s="1"/>
  <c r="U91" i="7"/>
  <c r="U92" i="7" s="1"/>
  <c r="U93" i="7" s="1"/>
  <c r="U94" i="7" s="1"/>
  <c r="U95" i="7" s="1"/>
  <c r="U96" i="7" s="1"/>
  <c r="U157" i="7" s="1"/>
  <c r="Q185" i="7" s="1"/>
  <c r="J91" i="7"/>
  <c r="C91" i="7"/>
  <c r="CT90" i="7"/>
  <c r="CV90" i="7" s="1"/>
  <c r="CQ90" i="7"/>
  <c r="CS90" i="7" s="1"/>
  <c r="CN90" i="7"/>
  <c r="CK90" i="7"/>
  <c r="CI90" i="7"/>
  <c r="CG90" i="7"/>
  <c r="BU90" i="7"/>
  <c r="BW90" i="7" s="1"/>
  <c r="BR90" i="7"/>
  <c r="BT90" i="7" s="1"/>
  <c r="BO90" i="7"/>
  <c r="BL90" i="7"/>
  <c r="AV90" i="7"/>
  <c r="AX90" i="7" s="1"/>
  <c r="AS90" i="7"/>
  <c r="AU90" i="7" s="1"/>
  <c r="AP90" i="7"/>
  <c r="AM90" i="7"/>
  <c r="AK90" i="7"/>
  <c r="AI90" i="7"/>
  <c r="W90" i="7"/>
  <c r="Y90" i="7" s="1"/>
  <c r="T90" i="7"/>
  <c r="V90" i="7" s="1"/>
  <c r="Q90" i="7"/>
  <c r="N90" i="7"/>
  <c r="L90" i="7"/>
  <c r="J90" i="7"/>
  <c r="CG89" i="7"/>
  <c r="BH89" i="7"/>
  <c r="AI89" i="7"/>
  <c r="J89" i="7"/>
  <c r="CG88" i="7"/>
  <c r="BH88" i="7"/>
  <c r="AI88" i="7"/>
  <c r="J88" i="7"/>
  <c r="CG87" i="7"/>
  <c r="BH87" i="7"/>
  <c r="AI87" i="7"/>
  <c r="J87" i="7"/>
  <c r="CG86" i="7"/>
  <c r="BH86" i="7"/>
  <c r="AI86" i="7"/>
  <c r="J86" i="7"/>
  <c r="CG85" i="7"/>
  <c r="BH85" i="7"/>
  <c r="AI85" i="7"/>
  <c r="J85" i="7"/>
  <c r="CU84" i="7"/>
  <c r="CU85" i="7" s="1"/>
  <c r="CU86" i="7" s="1"/>
  <c r="CU87" i="7" s="1"/>
  <c r="CU88" i="7" s="1"/>
  <c r="CU89" i="7" s="1"/>
  <c r="CR84" i="7"/>
  <c r="CR85" i="7" s="1"/>
  <c r="CR86" i="7" s="1"/>
  <c r="CR87" i="7" s="1"/>
  <c r="CR88" i="7" s="1"/>
  <c r="CR89" i="7" s="1"/>
  <c r="CG84" i="7"/>
  <c r="BZ84" i="7"/>
  <c r="BZ85" i="7" s="1"/>
  <c r="BY84" i="7"/>
  <c r="BY85" i="7" s="1"/>
  <c r="BY86" i="7" s="1"/>
  <c r="BY87" i="7" s="1"/>
  <c r="BY88" i="7" s="1"/>
  <c r="BY89" i="7" s="1"/>
  <c r="BV84" i="7"/>
  <c r="BV85" i="7" s="1"/>
  <c r="BV86" i="7" s="1"/>
  <c r="BV87" i="7" s="1"/>
  <c r="BV88" i="7" s="1"/>
  <c r="BV89" i="7" s="1"/>
  <c r="BV156" i="7" s="1"/>
  <c r="P236" i="7" s="1"/>
  <c r="BS84" i="7"/>
  <c r="BS85" i="7" s="1"/>
  <c r="BS86" i="7" s="1"/>
  <c r="BS87" i="7" s="1"/>
  <c r="BS88" i="7" s="1"/>
  <c r="BS89" i="7" s="1"/>
  <c r="BS156" i="7" s="1"/>
  <c r="P233" i="7" s="1"/>
  <c r="BH84" i="7"/>
  <c r="BA84" i="7"/>
  <c r="BU84" i="7" s="1"/>
  <c r="AZ84" i="7"/>
  <c r="AZ85" i="7" s="1"/>
  <c r="AZ86" i="7" s="1"/>
  <c r="AZ87" i="7" s="1"/>
  <c r="AZ88" i="7" s="1"/>
  <c r="AZ89" i="7" s="1"/>
  <c r="AW84" i="7"/>
  <c r="AW85" i="7" s="1"/>
  <c r="AW86" i="7" s="1"/>
  <c r="AW87" i="7" s="1"/>
  <c r="AW88" i="7" s="1"/>
  <c r="AW89" i="7" s="1"/>
  <c r="AW156" i="7" s="1"/>
  <c r="P211" i="7" s="1"/>
  <c r="AT84" i="7"/>
  <c r="AT85" i="7" s="1"/>
  <c r="AT86" i="7" s="1"/>
  <c r="AT87" i="7" s="1"/>
  <c r="AT88" i="7" s="1"/>
  <c r="AT89" i="7" s="1"/>
  <c r="AT156" i="7" s="1"/>
  <c r="P208" i="7" s="1"/>
  <c r="AI84" i="7"/>
  <c r="AB84" i="7"/>
  <c r="AA84" i="7"/>
  <c r="AA85" i="7" s="1"/>
  <c r="AA86" i="7" s="1"/>
  <c r="AA87" i="7" s="1"/>
  <c r="AA88" i="7" s="1"/>
  <c r="AA89" i="7" s="1"/>
  <c r="X84" i="7"/>
  <c r="X85" i="7" s="1"/>
  <c r="X86" i="7" s="1"/>
  <c r="X87" i="7" s="1"/>
  <c r="X88" i="7" s="1"/>
  <c r="X89" i="7" s="1"/>
  <c r="X156" i="7" s="1"/>
  <c r="P188" i="7" s="1"/>
  <c r="U84" i="7"/>
  <c r="U85" i="7" s="1"/>
  <c r="U86" i="7" s="1"/>
  <c r="U87" i="7" s="1"/>
  <c r="U88" i="7" s="1"/>
  <c r="U89" i="7" s="1"/>
  <c r="U156" i="7" s="1"/>
  <c r="J84" i="7"/>
  <c r="C84" i="7"/>
  <c r="B84" i="7"/>
  <c r="B85" i="7" s="1"/>
  <c r="B86" i="7" s="1"/>
  <c r="B87" i="7" s="1"/>
  <c r="B88" i="7" s="1"/>
  <c r="B89" i="7" s="1"/>
  <c r="CT83" i="7"/>
  <c r="CV83" i="7" s="1"/>
  <c r="CQ83" i="7"/>
  <c r="CS83" i="7" s="1"/>
  <c r="CN83" i="7"/>
  <c r="CK83" i="7"/>
  <c r="CI83" i="7"/>
  <c r="CG83" i="7"/>
  <c r="BU83" i="7"/>
  <c r="BW83" i="7" s="1"/>
  <c r="BR83" i="7"/>
  <c r="BT83" i="7" s="1"/>
  <c r="BO83" i="7"/>
  <c r="BL83" i="7"/>
  <c r="BJ83" i="7"/>
  <c r="BH83" i="7"/>
  <c r="AV83" i="7"/>
  <c r="AX83" i="7" s="1"/>
  <c r="AS83" i="7"/>
  <c r="AU83" i="7" s="1"/>
  <c r="AP83" i="7"/>
  <c r="AM83" i="7"/>
  <c r="AK83" i="7"/>
  <c r="AI83" i="7"/>
  <c r="W83" i="7"/>
  <c r="Y83" i="7" s="1"/>
  <c r="T83" i="7"/>
  <c r="V83" i="7" s="1"/>
  <c r="Q83" i="7"/>
  <c r="N83" i="7"/>
  <c r="L83" i="7"/>
  <c r="J83" i="7"/>
  <c r="CG82" i="7"/>
  <c r="BH82" i="7"/>
  <c r="AI82" i="7"/>
  <c r="J82" i="7"/>
  <c r="CG81" i="7"/>
  <c r="BH81" i="7"/>
  <c r="AI81" i="7"/>
  <c r="J81" i="7"/>
  <c r="CG80" i="7"/>
  <c r="BH80" i="7"/>
  <c r="AI80" i="7"/>
  <c r="J80" i="7"/>
  <c r="CG79" i="7"/>
  <c r="BH79" i="7"/>
  <c r="AI79" i="7"/>
  <c r="J79" i="7"/>
  <c r="CG78" i="7"/>
  <c r="BH78" i="7"/>
  <c r="AI78" i="7"/>
  <c r="J78" i="7"/>
  <c r="CU77" i="7"/>
  <c r="CU78" i="7" s="1"/>
  <c r="CU79" i="7" s="1"/>
  <c r="CU80" i="7" s="1"/>
  <c r="CU81" i="7" s="1"/>
  <c r="CU82" i="7" s="1"/>
  <c r="ES155" i="7" s="1"/>
  <c r="CR77" i="7"/>
  <c r="CR78" i="7" s="1"/>
  <c r="CR79" i="7" s="1"/>
  <c r="CR80" i="7" s="1"/>
  <c r="CR81" i="7" s="1"/>
  <c r="CR82" i="7" s="1"/>
  <c r="EP155" i="7" s="1"/>
  <c r="CG77" i="7"/>
  <c r="BZ77" i="7"/>
  <c r="BY77" i="7"/>
  <c r="BY78" i="7" s="1"/>
  <c r="BY79" i="7" s="1"/>
  <c r="BY80" i="7" s="1"/>
  <c r="BY81" i="7" s="1"/>
  <c r="BY82" i="7" s="1"/>
  <c r="BV77" i="7"/>
  <c r="BV78" i="7" s="1"/>
  <c r="BV79" i="7" s="1"/>
  <c r="BV80" i="7" s="1"/>
  <c r="BV81" i="7" s="1"/>
  <c r="BV82" i="7" s="1"/>
  <c r="BV155" i="7" s="1"/>
  <c r="O236" i="7" s="1"/>
  <c r="BS77" i="7"/>
  <c r="BS78" i="7" s="1"/>
  <c r="BS79" i="7" s="1"/>
  <c r="BS80" i="7" s="1"/>
  <c r="BS81" i="7" s="1"/>
  <c r="BS82" i="7" s="1"/>
  <c r="BS155" i="7" s="1"/>
  <c r="O233" i="7" s="1"/>
  <c r="BH77" i="7"/>
  <c r="BA77" i="7"/>
  <c r="BA78" i="7" s="1"/>
  <c r="AZ77" i="7"/>
  <c r="AZ78" i="7" s="1"/>
  <c r="AZ79" i="7" s="1"/>
  <c r="AZ80" i="7" s="1"/>
  <c r="AZ81" i="7" s="1"/>
  <c r="AZ82" i="7" s="1"/>
  <c r="AW77" i="7"/>
  <c r="AW78" i="7" s="1"/>
  <c r="AW79" i="7" s="1"/>
  <c r="AW80" i="7" s="1"/>
  <c r="AW81" i="7" s="1"/>
  <c r="AW82" i="7" s="1"/>
  <c r="AW155" i="7" s="1"/>
  <c r="O211" i="7" s="1"/>
  <c r="AT77" i="7"/>
  <c r="AT78" i="7" s="1"/>
  <c r="AT79" i="7" s="1"/>
  <c r="AT80" i="7" s="1"/>
  <c r="AT81" i="7" s="1"/>
  <c r="AT82" i="7" s="1"/>
  <c r="AT155" i="7" s="1"/>
  <c r="O208" i="7" s="1"/>
  <c r="AI77" i="7"/>
  <c r="AB77" i="7"/>
  <c r="AV77" i="7" s="1"/>
  <c r="AA77" i="7"/>
  <c r="AA78" i="7" s="1"/>
  <c r="AA79" i="7" s="1"/>
  <c r="AA80" i="7" s="1"/>
  <c r="AA81" i="7" s="1"/>
  <c r="AA82" i="7" s="1"/>
  <c r="X77" i="7"/>
  <c r="X78" i="7" s="1"/>
  <c r="X79" i="7" s="1"/>
  <c r="X80" i="7" s="1"/>
  <c r="X81" i="7" s="1"/>
  <c r="X82" i="7" s="1"/>
  <c r="X155" i="7" s="1"/>
  <c r="O188" i="7" s="1"/>
  <c r="U77" i="7"/>
  <c r="U78" i="7" s="1"/>
  <c r="U79" i="7" s="1"/>
  <c r="U80" i="7" s="1"/>
  <c r="U81" i="7" s="1"/>
  <c r="U82" i="7" s="1"/>
  <c r="U155" i="7" s="1"/>
  <c r="O185" i="7" s="1"/>
  <c r="J77" i="7"/>
  <c r="C77" i="7"/>
  <c r="B77" i="7"/>
  <c r="B78" i="7" s="1"/>
  <c r="B79" i="7" s="1"/>
  <c r="B80" i="7" s="1"/>
  <c r="B81" i="7" s="1"/>
  <c r="B82" i="7" s="1"/>
  <c r="CT76" i="7"/>
  <c r="CV76" i="7" s="1"/>
  <c r="CQ76" i="7"/>
  <c r="CS76" i="7" s="1"/>
  <c r="CN76" i="7"/>
  <c r="CK76" i="7"/>
  <c r="CI76" i="7"/>
  <c r="CG76" i="7"/>
  <c r="BU76" i="7"/>
  <c r="BW76" i="7" s="1"/>
  <c r="BR76" i="7"/>
  <c r="BT76" i="7" s="1"/>
  <c r="BO76" i="7"/>
  <c r="BL76" i="7"/>
  <c r="BJ76" i="7"/>
  <c r="BH76" i="7"/>
  <c r="AV76" i="7"/>
  <c r="AX76" i="7" s="1"/>
  <c r="AS76" i="7"/>
  <c r="AU76" i="7" s="1"/>
  <c r="AP76" i="7"/>
  <c r="AM76" i="7"/>
  <c r="AK76" i="7"/>
  <c r="AI76" i="7"/>
  <c r="W76" i="7"/>
  <c r="Y76" i="7" s="1"/>
  <c r="T76" i="7"/>
  <c r="V76" i="7" s="1"/>
  <c r="Q76" i="7"/>
  <c r="N76" i="7"/>
  <c r="L76" i="7"/>
  <c r="J76" i="7"/>
  <c r="CG75" i="7"/>
  <c r="BH75" i="7"/>
  <c r="AI75" i="7"/>
  <c r="J75" i="7"/>
  <c r="CG74" i="7"/>
  <c r="BH74" i="7"/>
  <c r="AI74" i="7"/>
  <c r="J74" i="7"/>
  <c r="CG73" i="7"/>
  <c r="BH73" i="7"/>
  <c r="AI73" i="7"/>
  <c r="J73" i="7"/>
  <c r="CG72" i="7"/>
  <c r="BH72" i="7"/>
  <c r="AI72" i="7"/>
  <c r="J72" i="7"/>
  <c r="CG71" i="7"/>
  <c r="BH71" i="7"/>
  <c r="AI71" i="7"/>
  <c r="J71" i="7"/>
  <c r="CU70" i="7"/>
  <c r="CU71" i="7" s="1"/>
  <c r="CU72" i="7" s="1"/>
  <c r="CU73" i="7" s="1"/>
  <c r="CU74" i="7" s="1"/>
  <c r="CU75" i="7" s="1"/>
  <c r="CR70" i="7"/>
  <c r="CR71" i="7" s="1"/>
  <c r="CR72" i="7" s="1"/>
  <c r="CR73" i="7" s="1"/>
  <c r="CR74" i="7" s="1"/>
  <c r="CR75" i="7" s="1"/>
  <c r="CG70" i="7"/>
  <c r="BZ70" i="7"/>
  <c r="BZ71" i="7" s="1"/>
  <c r="BY70" i="7"/>
  <c r="BY71" i="7" s="1"/>
  <c r="BY72" i="7" s="1"/>
  <c r="BY74" i="7" s="1"/>
  <c r="BY75" i="7" s="1"/>
  <c r="BV70" i="7"/>
  <c r="BV71" i="7" s="1"/>
  <c r="BV72" i="7" s="1"/>
  <c r="BV73" i="7" s="1"/>
  <c r="BV74" i="7" s="1"/>
  <c r="BV75" i="7" s="1"/>
  <c r="BV154" i="7" s="1"/>
  <c r="N236" i="7" s="1"/>
  <c r="BS70" i="7"/>
  <c r="BS71" i="7" s="1"/>
  <c r="BS72" i="7" s="1"/>
  <c r="BS73" i="7" s="1"/>
  <c r="BS74" i="7" s="1"/>
  <c r="BS75" i="7" s="1"/>
  <c r="BS154" i="7" s="1"/>
  <c r="N233" i="7" s="1"/>
  <c r="BH70" i="7"/>
  <c r="BA70" i="7"/>
  <c r="BU70" i="7" s="1"/>
  <c r="AZ70" i="7"/>
  <c r="AZ71" i="7" s="1"/>
  <c r="AZ72" i="7" s="1"/>
  <c r="AZ74" i="7" s="1"/>
  <c r="AZ75" i="7" s="1"/>
  <c r="AW70" i="7"/>
  <c r="AW71" i="7" s="1"/>
  <c r="AW72" i="7" s="1"/>
  <c r="AW73" i="7" s="1"/>
  <c r="AW74" i="7" s="1"/>
  <c r="AW75" i="7" s="1"/>
  <c r="AW154" i="7" s="1"/>
  <c r="N211" i="7" s="1"/>
  <c r="AT70" i="7"/>
  <c r="AT71" i="7" s="1"/>
  <c r="AT72" i="7" s="1"/>
  <c r="AT73" i="7" s="1"/>
  <c r="AT74" i="7" s="1"/>
  <c r="AT75" i="7" s="1"/>
  <c r="AT154" i="7" s="1"/>
  <c r="N208" i="7" s="1"/>
  <c r="AI70" i="7"/>
  <c r="AB70" i="7"/>
  <c r="AA70" i="7"/>
  <c r="AA71" i="7" s="1"/>
  <c r="AA72" i="7" s="1"/>
  <c r="AA74" i="7" s="1"/>
  <c r="AA75" i="7" s="1"/>
  <c r="X70" i="7"/>
  <c r="X71" i="7" s="1"/>
  <c r="X72" i="7" s="1"/>
  <c r="X73" i="7" s="1"/>
  <c r="X74" i="7" s="1"/>
  <c r="X75" i="7" s="1"/>
  <c r="X154" i="7" s="1"/>
  <c r="N188" i="7" s="1"/>
  <c r="U70" i="7"/>
  <c r="U71" i="7" s="1"/>
  <c r="U72" i="7" s="1"/>
  <c r="U73" i="7" s="1"/>
  <c r="U74" i="7" s="1"/>
  <c r="U75" i="7" s="1"/>
  <c r="U154" i="7" s="1"/>
  <c r="J70" i="7"/>
  <c r="C70" i="7"/>
  <c r="B70" i="7"/>
  <c r="B71" i="7" s="1"/>
  <c r="B72" i="7" s="1"/>
  <c r="B74" i="7" s="1"/>
  <c r="B75" i="7" s="1"/>
  <c r="CT69" i="7"/>
  <c r="CV69" i="7" s="1"/>
  <c r="CQ69" i="7"/>
  <c r="CS69" i="7" s="1"/>
  <c r="CN69" i="7"/>
  <c r="CK69" i="7"/>
  <c r="CI69" i="7"/>
  <c r="CG69" i="7"/>
  <c r="BU69" i="7"/>
  <c r="BW69" i="7" s="1"/>
  <c r="BR69" i="7"/>
  <c r="BT69" i="7" s="1"/>
  <c r="BO69" i="7"/>
  <c r="BL69" i="7"/>
  <c r="BJ69" i="7"/>
  <c r="BH69" i="7"/>
  <c r="AV69" i="7"/>
  <c r="AX69" i="7" s="1"/>
  <c r="AS69" i="7"/>
  <c r="AU69" i="7" s="1"/>
  <c r="AP69" i="7"/>
  <c r="AM69" i="7"/>
  <c r="AK69" i="7"/>
  <c r="AI69" i="7"/>
  <c r="W69" i="7"/>
  <c r="Y69" i="7" s="1"/>
  <c r="T69" i="7"/>
  <c r="V69" i="7" s="1"/>
  <c r="Q69" i="7"/>
  <c r="N69" i="7"/>
  <c r="L69" i="7"/>
  <c r="J69" i="7"/>
  <c r="CG68" i="7"/>
  <c r="BH68" i="7"/>
  <c r="AI68" i="7"/>
  <c r="J68" i="7"/>
  <c r="CG67" i="7"/>
  <c r="BH67" i="7"/>
  <c r="AI67" i="7"/>
  <c r="J67" i="7"/>
  <c r="CG66" i="7"/>
  <c r="BH66" i="7"/>
  <c r="AI66" i="7"/>
  <c r="J66" i="7"/>
  <c r="CG65" i="7"/>
  <c r="BH65" i="7"/>
  <c r="AI65" i="7"/>
  <c r="J65" i="7"/>
  <c r="CG64" i="7"/>
  <c r="BH64" i="7"/>
  <c r="AI64" i="7"/>
  <c r="J64" i="7"/>
  <c r="CU63" i="7"/>
  <c r="CU64" i="7" s="1"/>
  <c r="CU65" i="7" s="1"/>
  <c r="CU66" i="7" s="1"/>
  <c r="CU67" i="7" s="1"/>
  <c r="CU68" i="7" s="1"/>
  <c r="CR63" i="7"/>
  <c r="CR64" i="7" s="1"/>
  <c r="CR65" i="7" s="1"/>
  <c r="CR66" i="7" s="1"/>
  <c r="CR67" i="7" s="1"/>
  <c r="CR68" i="7" s="1"/>
  <c r="CG63" i="7"/>
  <c r="BZ63" i="7"/>
  <c r="BY63" i="7"/>
  <c r="BY64" i="7" s="1"/>
  <c r="BY65" i="7" s="1"/>
  <c r="BY66" i="7" s="1"/>
  <c r="BY67" i="7" s="1"/>
  <c r="BY68" i="7" s="1"/>
  <c r="BV63" i="7"/>
  <c r="BV64" i="7" s="1"/>
  <c r="BV65" i="7" s="1"/>
  <c r="BV66" i="7" s="1"/>
  <c r="BV67" i="7" s="1"/>
  <c r="BV68" i="7" s="1"/>
  <c r="BV153" i="7" s="1"/>
  <c r="M236" i="7" s="1"/>
  <c r="BS63" i="7"/>
  <c r="BS64" i="7" s="1"/>
  <c r="BS65" i="7" s="1"/>
  <c r="BS66" i="7" s="1"/>
  <c r="BS67" i="7" s="1"/>
  <c r="BS68" i="7" s="1"/>
  <c r="BS153" i="7" s="1"/>
  <c r="BH63" i="7"/>
  <c r="BA63" i="7"/>
  <c r="BA64" i="7" s="1"/>
  <c r="AZ63" i="7"/>
  <c r="AZ64" i="7" s="1"/>
  <c r="AZ65" i="7" s="1"/>
  <c r="AZ66" i="7" s="1"/>
  <c r="AZ67" i="7" s="1"/>
  <c r="AZ68" i="7" s="1"/>
  <c r="AW63" i="7"/>
  <c r="AW64" i="7" s="1"/>
  <c r="AW65" i="7" s="1"/>
  <c r="AW66" i="7" s="1"/>
  <c r="AW67" i="7" s="1"/>
  <c r="AW68" i="7" s="1"/>
  <c r="AW153" i="7" s="1"/>
  <c r="M211" i="7" s="1"/>
  <c r="AT63" i="7"/>
  <c r="AT64" i="7" s="1"/>
  <c r="AT65" i="7" s="1"/>
  <c r="AT66" i="7" s="1"/>
  <c r="AT67" i="7" s="1"/>
  <c r="AT68" i="7" s="1"/>
  <c r="AT153" i="7" s="1"/>
  <c r="M208" i="7" s="1"/>
  <c r="AI63" i="7"/>
  <c r="AB63" i="7"/>
  <c r="AV63" i="7" s="1"/>
  <c r="AA63" i="7"/>
  <c r="AA64" i="7" s="1"/>
  <c r="AA65" i="7" s="1"/>
  <c r="AA66" i="7" s="1"/>
  <c r="AA67" i="7" s="1"/>
  <c r="AA68" i="7" s="1"/>
  <c r="X63" i="7"/>
  <c r="X64" i="7" s="1"/>
  <c r="X65" i="7" s="1"/>
  <c r="X66" i="7" s="1"/>
  <c r="X67" i="7" s="1"/>
  <c r="X68" i="7" s="1"/>
  <c r="X153" i="7" s="1"/>
  <c r="M188" i="7" s="1"/>
  <c r="U63" i="7"/>
  <c r="U64" i="7" s="1"/>
  <c r="U65" i="7" s="1"/>
  <c r="U66" i="7" s="1"/>
  <c r="U67" i="7" s="1"/>
  <c r="U68" i="7" s="1"/>
  <c r="U153" i="7" s="1"/>
  <c r="J63" i="7"/>
  <c r="C63" i="7"/>
  <c r="B63" i="7"/>
  <c r="B64" i="7" s="1"/>
  <c r="B65" i="7" s="1"/>
  <c r="B66" i="7" s="1"/>
  <c r="B67" i="7" s="1"/>
  <c r="B68" i="7" s="1"/>
  <c r="CT62" i="7"/>
  <c r="CV62" i="7" s="1"/>
  <c r="CQ62" i="7"/>
  <c r="CS62" i="7" s="1"/>
  <c r="CN62" i="7"/>
  <c r="CK62" i="7"/>
  <c r="CI62" i="7"/>
  <c r="CG62" i="7"/>
  <c r="BU62" i="7"/>
  <c r="BW62" i="7" s="1"/>
  <c r="BR62" i="7"/>
  <c r="BT62" i="7" s="1"/>
  <c r="BO62" i="7"/>
  <c r="BL62" i="7"/>
  <c r="BJ62" i="7"/>
  <c r="BH62" i="7"/>
  <c r="AV62" i="7"/>
  <c r="AX62" i="7" s="1"/>
  <c r="AS62" i="7"/>
  <c r="AU62" i="7" s="1"/>
  <c r="AP62" i="7"/>
  <c r="AM62" i="7"/>
  <c r="AK62" i="7"/>
  <c r="AI62" i="7"/>
  <c r="W62" i="7"/>
  <c r="Y62" i="7" s="1"/>
  <c r="T62" i="7"/>
  <c r="V62" i="7" s="1"/>
  <c r="Q62" i="7"/>
  <c r="N62" i="7"/>
  <c r="L62" i="7"/>
  <c r="J62" i="7"/>
  <c r="CG61" i="7"/>
  <c r="BY61" i="7"/>
  <c r="BH61" i="7"/>
  <c r="AI61" i="7"/>
  <c r="J61" i="7"/>
  <c r="CG60" i="7"/>
  <c r="BH60" i="7"/>
  <c r="AI60" i="7"/>
  <c r="J60" i="7"/>
  <c r="CG59" i="7"/>
  <c r="BH59" i="7"/>
  <c r="AI59" i="7"/>
  <c r="J59" i="7"/>
  <c r="CG58" i="7"/>
  <c r="BH58" i="7"/>
  <c r="AI58" i="7"/>
  <c r="J58" i="7"/>
  <c r="CG57" i="7"/>
  <c r="BH57" i="7"/>
  <c r="AI57" i="7"/>
  <c r="J57" i="7"/>
  <c r="CU56" i="7"/>
  <c r="CU57" i="7" s="1"/>
  <c r="CU58" i="7" s="1"/>
  <c r="CU59" i="7" s="1"/>
  <c r="CU60" i="7" s="1"/>
  <c r="CU61" i="7" s="1"/>
  <c r="CR56" i="7"/>
  <c r="CR57" i="7" s="1"/>
  <c r="CR58" i="7" s="1"/>
  <c r="CR59" i="7" s="1"/>
  <c r="CR60" i="7" s="1"/>
  <c r="CR61" i="7" s="1"/>
  <c r="CG56" i="7"/>
  <c r="BZ56" i="7"/>
  <c r="BY56" i="7"/>
  <c r="BY57" i="7" s="1"/>
  <c r="BY58" i="7" s="1"/>
  <c r="BY59" i="7" s="1"/>
  <c r="BV56" i="7"/>
  <c r="BV57" i="7" s="1"/>
  <c r="BV58" i="7" s="1"/>
  <c r="BV59" i="7" s="1"/>
  <c r="BV60" i="7" s="1"/>
  <c r="BV61" i="7" s="1"/>
  <c r="BV152" i="7" s="1"/>
  <c r="L236" i="7" s="1"/>
  <c r="BS56" i="7"/>
  <c r="BS57" i="7" s="1"/>
  <c r="BS58" i="7" s="1"/>
  <c r="BS59" i="7" s="1"/>
  <c r="BS60" i="7" s="1"/>
  <c r="BS61" i="7" s="1"/>
  <c r="BS152" i="7" s="1"/>
  <c r="BH56" i="7"/>
  <c r="BA56" i="7"/>
  <c r="BU56" i="7" s="1"/>
  <c r="AZ56" i="7"/>
  <c r="AZ57" i="7" s="1"/>
  <c r="AZ58" i="7" s="1"/>
  <c r="AZ59" i="7" s="1"/>
  <c r="AW56" i="7"/>
  <c r="AW57" i="7" s="1"/>
  <c r="AW58" i="7" s="1"/>
  <c r="AW59" i="7" s="1"/>
  <c r="AW60" i="7" s="1"/>
  <c r="AW61" i="7" s="1"/>
  <c r="AW152" i="7" s="1"/>
  <c r="L211" i="7" s="1"/>
  <c r="AT56" i="7"/>
  <c r="AT57" i="7" s="1"/>
  <c r="AT58" i="7" s="1"/>
  <c r="AT59" i="7" s="1"/>
  <c r="AT60" i="7" s="1"/>
  <c r="AT61" i="7" s="1"/>
  <c r="AT152" i="7" s="1"/>
  <c r="L208" i="7" s="1"/>
  <c r="AI56" i="7"/>
  <c r="AB56" i="7"/>
  <c r="AV56" i="7" s="1"/>
  <c r="AA56" i="7"/>
  <c r="AA57" i="7" s="1"/>
  <c r="AA58" i="7" s="1"/>
  <c r="AA59" i="7" s="1"/>
  <c r="AA60" i="7" s="1"/>
  <c r="AA61" i="7" s="1"/>
  <c r="X56" i="7"/>
  <c r="X57" i="7" s="1"/>
  <c r="X58" i="7" s="1"/>
  <c r="X59" i="7" s="1"/>
  <c r="X60" i="7" s="1"/>
  <c r="X61" i="7" s="1"/>
  <c r="X152" i="7" s="1"/>
  <c r="L188" i="7" s="1"/>
  <c r="U56" i="7"/>
  <c r="U57" i="7" s="1"/>
  <c r="U58" i="7" s="1"/>
  <c r="U59" i="7" s="1"/>
  <c r="U60" i="7" s="1"/>
  <c r="U61" i="7" s="1"/>
  <c r="U152" i="7" s="1"/>
  <c r="J56" i="7"/>
  <c r="C56" i="7"/>
  <c r="B56" i="7"/>
  <c r="B57" i="7" s="1"/>
  <c r="B58" i="7" s="1"/>
  <c r="B59" i="7" s="1"/>
  <c r="CT55" i="7"/>
  <c r="CV55" i="7" s="1"/>
  <c r="CQ55" i="7"/>
  <c r="CS55" i="7" s="1"/>
  <c r="CN55" i="7"/>
  <c r="CK55" i="7"/>
  <c r="CI55" i="7"/>
  <c r="CG55" i="7"/>
  <c r="BU55" i="7"/>
  <c r="BW55" i="7" s="1"/>
  <c r="BR55" i="7"/>
  <c r="BT55" i="7" s="1"/>
  <c r="BO55" i="7"/>
  <c r="BL55" i="7"/>
  <c r="BJ55" i="7"/>
  <c r="BH55" i="7"/>
  <c r="AV55" i="7"/>
  <c r="AX55" i="7" s="1"/>
  <c r="AS55" i="7"/>
  <c r="AU55" i="7" s="1"/>
  <c r="AP55" i="7"/>
  <c r="AM55" i="7"/>
  <c r="AK55" i="7"/>
  <c r="AI55" i="7"/>
  <c r="W55" i="7"/>
  <c r="Y55" i="7" s="1"/>
  <c r="T55" i="7"/>
  <c r="V55" i="7" s="1"/>
  <c r="Q55" i="7"/>
  <c r="N55" i="7"/>
  <c r="L55" i="7"/>
  <c r="J55" i="7"/>
  <c r="CG54" i="7"/>
  <c r="BH54" i="7"/>
  <c r="AI54" i="7"/>
  <c r="J54" i="7"/>
  <c r="CG53" i="7"/>
  <c r="BH53" i="7"/>
  <c r="AI53" i="7"/>
  <c r="J53" i="7"/>
  <c r="CG52" i="7"/>
  <c r="BH52" i="7"/>
  <c r="AI52" i="7"/>
  <c r="J52" i="7"/>
  <c r="CG51" i="7"/>
  <c r="BH51" i="7"/>
  <c r="AI51" i="7"/>
  <c r="J51" i="7"/>
  <c r="CG50" i="7"/>
  <c r="BH50" i="7"/>
  <c r="AI50" i="7"/>
  <c r="J50" i="7"/>
  <c r="CU49" i="7"/>
  <c r="CU50" i="7" s="1"/>
  <c r="CU51" i="7" s="1"/>
  <c r="CU52" i="7" s="1"/>
  <c r="CU53" i="7" s="1"/>
  <c r="CU54" i="7" s="1"/>
  <c r="CR49" i="7"/>
  <c r="CR50" i="7" s="1"/>
  <c r="CR51" i="7" s="1"/>
  <c r="CR52" i="7" s="1"/>
  <c r="CR53" i="7" s="1"/>
  <c r="CR54" i="7" s="1"/>
  <c r="CG49" i="7"/>
  <c r="BZ49" i="7"/>
  <c r="CT49" i="7" s="1"/>
  <c r="BY49" i="7"/>
  <c r="BY50" i="7" s="1"/>
  <c r="BY51" i="7" s="1"/>
  <c r="BY52" i="7" s="1"/>
  <c r="BY53" i="7" s="1"/>
  <c r="BY54" i="7" s="1"/>
  <c r="BV49" i="7"/>
  <c r="BV50" i="7" s="1"/>
  <c r="BV51" i="7" s="1"/>
  <c r="BV52" i="7" s="1"/>
  <c r="BV53" i="7" s="1"/>
  <c r="BV54" i="7" s="1"/>
  <c r="BV151" i="7" s="1"/>
  <c r="K236" i="7" s="1"/>
  <c r="BS49" i="7"/>
  <c r="BS50" i="7" s="1"/>
  <c r="BS51" i="7" s="1"/>
  <c r="BS52" i="7" s="1"/>
  <c r="BS53" i="7" s="1"/>
  <c r="BS54" i="7" s="1"/>
  <c r="BS151" i="7" s="1"/>
  <c r="K233" i="7" s="1"/>
  <c r="BH49" i="7"/>
  <c r="BA49" i="7"/>
  <c r="BU49" i="7" s="1"/>
  <c r="AZ49" i="7"/>
  <c r="AZ50" i="7" s="1"/>
  <c r="AZ51" i="7" s="1"/>
  <c r="AZ52" i="7" s="1"/>
  <c r="AZ53" i="7" s="1"/>
  <c r="AZ54" i="7" s="1"/>
  <c r="AW49" i="7"/>
  <c r="AW50" i="7" s="1"/>
  <c r="AW51" i="7" s="1"/>
  <c r="AW52" i="7" s="1"/>
  <c r="AW53" i="7" s="1"/>
  <c r="AW54" i="7" s="1"/>
  <c r="AW151" i="7" s="1"/>
  <c r="K211" i="7" s="1"/>
  <c r="AT49" i="7"/>
  <c r="AT50" i="7" s="1"/>
  <c r="AT51" i="7" s="1"/>
  <c r="AT52" i="7" s="1"/>
  <c r="AT53" i="7" s="1"/>
  <c r="AT54" i="7" s="1"/>
  <c r="AT151" i="7" s="1"/>
  <c r="K208" i="7" s="1"/>
  <c r="AI49" i="7"/>
  <c r="AB49" i="7"/>
  <c r="AA49" i="7"/>
  <c r="AA50" i="7" s="1"/>
  <c r="AA51" i="7" s="1"/>
  <c r="AA52" i="7" s="1"/>
  <c r="AA53" i="7" s="1"/>
  <c r="AA54" i="7" s="1"/>
  <c r="X49" i="7"/>
  <c r="X50" i="7" s="1"/>
  <c r="X51" i="7" s="1"/>
  <c r="X52" i="7" s="1"/>
  <c r="X53" i="7" s="1"/>
  <c r="X54" i="7" s="1"/>
  <c r="X151" i="7" s="1"/>
  <c r="K188" i="7" s="1"/>
  <c r="U49" i="7"/>
  <c r="U50" i="7" s="1"/>
  <c r="U51" i="7" s="1"/>
  <c r="U52" i="7" s="1"/>
  <c r="U53" i="7" s="1"/>
  <c r="U54" i="7" s="1"/>
  <c r="U151" i="7" s="1"/>
  <c r="J49" i="7"/>
  <c r="C49" i="7"/>
  <c r="B49" i="7"/>
  <c r="B50" i="7" s="1"/>
  <c r="B51" i="7" s="1"/>
  <c r="B52" i="7" s="1"/>
  <c r="B53" i="7" s="1"/>
  <c r="B54" i="7" s="1"/>
  <c r="CT48" i="7"/>
  <c r="CV48" i="7" s="1"/>
  <c r="CQ48" i="7"/>
  <c r="CS48" i="7" s="1"/>
  <c r="CN48" i="7"/>
  <c r="CK48" i="7"/>
  <c r="CI48" i="7"/>
  <c r="CG48" i="7"/>
  <c r="BU48" i="7"/>
  <c r="BW48" i="7" s="1"/>
  <c r="BR48" i="7"/>
  <c r="BT48" i="7" s="1"/>
  <c r="BO48" i="7"/>
  <c r="BL48" i="7"/>
  <c r="BJ48" i="7"/>
  <c r="BH48" i="7"/>
  <c r="AV48" i="7"/>
  <c r="AX48" i="7" s="1"/>
  <c r="AS48" i="7"/>
  <c r="AU48" i="7" s="1"/>
  <c r="AP48" i="7"/>
  <c r="AM48" i="7"/>
  <c r="AK48" i="7"/>
  <c r="AI48" i="7"/>
  <c r="W48" i="7"/>
  <c r="Y48" i="7" s="1"/>
  <c r="T48" i="7"/>
  <c r="V48" i="7" s="1"/>
  <c r="Q48" i="7"/>
  <c r="N48" i="7"/>
  <c r="L48" i="7"/>
  <c r="J48" i="7"/>
  <c r="CG47" i="7"/>
  <c r="BH47" i="7"/>
  <c r="AI47" i="7"/>
  <c r="J47" i="7"/>
  <c r="CG46" i="7"/>
  <c r="BH46" i="7"/>
  <c r="AI46" i="7"/>
  <c r="J46" i="7"/>
  <c r="CG45" i="7"/>
  <c r="BH45" i="7"/>
  <c r="AI45" i="7"/>
  <c r="J45" i="7"/>
  <c r="CG44" i="7"/>
  <c r="BH44" i="7"/>
  <c r="AI44" i="7"/>
  <c r="J44" i="7"/>
  <c r="CG43" i="7"/>
  <c r="BH43" i="7"/>
  <c r="AI43" i="7"/>
  <c r="J43" i="7"/>
  <c r="CU42" i="7"/>
  <c r="CU43" i="7" s="1"/>
  <c r="CU44" i="7" s="1"/>
  <c r="CU45" i="7" s="1"/>
  <c r="CU46" i="7" s="1"/>
  <c r="CU47" i="7" s="1"/>
  <c r="CR42" i="7"/>
  <c r="CR43" i="7" s="1"/>
  <c r="CR44" i="7" s="1"/>
  <c r="CR45" i="7" s="1"/>
  <c r="CR46" i="7" s="1"/>
  <c r="CR47" i="7" s="1"/>
  <c r="CG42" i="7"/>
  <c r="BZ42" i="7"/>
  <c r="BZ43" i="7" s="1"/>
  <c r="BY42" i="7"/>
  <c r="BY43" i="7" s="1"/>
  <c r="BY44" i="7" s="1"/>
  <c r="BY45" i="7" s="1"/>
  <c r="BY46" i="7" s="1"/>
  <c r="BY47" i="7" s="1"/>
  <c r="BV42" i="7"/>
  <c r="BV43" i="7" s="1"/>
  <c r="BV44" i="7" s="1"/>
  <c r="BV45" i="7" s="1"/>
  <c r="BV46" i="7" s="1"/>
  <c r="BV47" i="7" s="1"/>
  <c r="BV150" i="7" s="1"/>
  <c r="BS42" i="7"/>
  <c r="BS43" i="7" s="1"/>
  <c r="BS44" i="7" s="1"/>
  <c r="BS45" i="7" s="1"/>
  <c r="BS46" i="7" s="1"/>
  <c r="BS47" i="7" s="1"/>
  <c r="BS150" i="7" s="1"/>
  <c r="J233" i="7" s="1"/>
  <c r="BH42" i="7"/>
  <c r="BA42" i="7"/>
  <c r="BU42" i="7" s="1"/>
  <c r="AZ42" i="7"/>
  <c r="AZ44" i="7" s="1"/>
  <c r="AZ45" i="7" s="1"/>
  <c r="AZ46" i="7" s="1"/>
  <c r="AZ47" i="7" s="1"/>
  <c r="AW42" i="7"/>
  <c r="AW43" i="7" s="1"/>
  <c r="AW44" i="7" s="1"/>
  <c r="AW45" i="7" s="1"/>
  <c r="AW46" i="7" s="1"/>
  <c r="AW47" i="7" s="1"/>
  <c r="AW150" i="7" s="1"/>
  <c r="J211" i="7" s="1"/>
  <c r="AT42" i="7"/>
  <c r="AT43" i="7" s="1"/>
  <c r="AT44" i="7" s="1"/>
  <c r="AT45" i="7" s="1"/>
  <c r="AT46" i="7" s="1"/>
  <c r="AT47" i="7" s="1"/>
  <c r="AT150" i="7" s="1"/>
  <c r="J208" i="7" s="1"/>
  <c r="AI42" i="7"/>
  <c r="AB42" i="7"/>
  <c r="AB43" i="7" s="1"/>
  <c r="AB44" i="7" s="1"/>
  <c r="AB45" i="7" s="1"/>
  <c r="AB46" i="7" s="1"/>
  <c r="AB47" i="7" s="1"/>
  <c r="AV47" i="7" s="1"/>
  <c r="AA42" i="7"/>
  <c r="AA44" i="7" s="1"/>
  <c r="AA45" i="7" s="1"/>
  <c r="AA46" i="7" s="1"/>
  <c r="AA47" i="7" s="1"/>
  <c r="X42" i="7"/>
  <c r="X43" i="7" s="1"/>
  <c r="X44" i="7" s="1"/>
  <c r="X45" i="7" s="1"/>
  <c r="X46" i="7" s="1"/>
  <c r="X47" i="7" s="1"/>
  <c r="X150" i="7" s="1"/>
  <c r="U42" i="7"/>
  <c r="U43" i="7" s="1"/>
  <c r="U44" i="7" s="1"/>
  <c r="U45" i="7" s="1"/>
  <c r="U46" i="7" s="1"/>
  <c r="U47" i="7" s="1"/>
  <c r="U150" i="7" s="1"/>
  <c r="J42" i="7"/>
  <c r="C42" i="7"/>
  <c r="B42" i="7"/>
  <c r="B44" i="7" s="1"/>
  <c r="B45" i="7" s="1"/>
  <c r="B46" i="7" s="1"/>
  <c r="B47" i="7" s="1"/>
  <c r="CT41" i="7"/>
  <c r="CV41" i="7" s="1"/>
  <c r="CQ41" i="7"/>
  <c r="CS41" i="7" s="1"/>
  <c r="CN41" i="7"/>
  <c r="CK41" i="7"/>
  <c r="CI41" i="7"/>
  <c r="CG41" i="7"/>
  <c r="BU41" i="7"/>
  <c r="BW41" i="7" s="1"/>
  <c r="BR41" i="7"/>
  <c r="BT41" i="7" s="1"/>
  <c r="BO41" i="7"/>
  <c r="BL41" i="7"/>
  <c r="BJ41" i="7"/>
  <c r="BH41" i="7"/>
  <c r="AV41" i="7"/>
  <c r="AX41" i="7" s="1"/>
  <c r="AS41" i="7"/>
  <c r="AU41" i="7" s="1"/>
  <c r="AP41" i="7"/>
  <c r="AM41" i="7"/>
  <c r="AK41" i="7"/>
  <c r="AI41" i="7"/>
  <c r="W41" i="7"/>
  <c r="Y41" i="7" s="1"/>
  <c r="T41" i="7"/>
  <c r="V41" i="7" s="1"/>
  <c r="Q41" i="7"/>
  <c r="N41" i="7"/>
  <c r="L41" i="7"/>
  <c r="J41" i="7"/>
  <c r="CG40" i="7"/>
  <c r="BH40" i="7"/>
  <c r="AI40" i="7"/>
  <c r="J40" i="7"/>
  <c r="CG39" i="7"/>
  <c r="BH39" i="7"/>
  <c r="AI39" i="7"/>
  <c r="J39" i="7"/>
  <c r="CG38" i="7"/>
  <c r="BY38" i="7"/>
  <c r="BY39" i="7" s="1"/>
  <c r="BY40" i="7" s="1"/>
  <c r="BH38" i="7"/>
  <c r="AI38" i="7"/>
  <c r="J38" i="7"/>
  <c r="CG37" i="7"/>
  <c r="BH37" i="7"/>
  <c r="AI37" i="7"/>
  <c r="J37" i="7"/>
  <c r="CG36" i="7"/>
  <c r="BH36" i="7"/>
  <c r="AI36" i="7"/>
  <c r="J36" i="7"/>
  <c r="CU35" i="7"/>
  <c r="CU36" i="7" s="1"/>
  <c r="CU37" i="7" s="1"/>
  <c r="CU38" i="7" s="1"/>
  <c r="CU39" i="7" s="1"/>
  <c r="CU40" i="7" s="1"/>
  <c r="CR35" i="7"/>
  <c r="CR36" i="7" s="1"/>
  <c r="CR37" i="7" s="1"/>
  <c r="CR38" i="7" s="1"/>
  <c r="CR39" i="7" s="1"/>
  <c r="CR40" i="7" s="1"/>
  <c r="CG35" i="7"/>
  <c r="BZ35" i="7"/>
  <c r="BZ36" i="7" s="1"/>
  <c r="BV35" i="7"/>
  <c r="BV36" i="7" s="1"/>
  <c r="BV37" i="7" s="1"/>
  <c r="BV38" i="7" s="1"/>
  <c r="BV39" i="7" s="1"/>
  <c r="BV40" i="7" s="1"/>
  <c r="BV149" i="7" s="1"/>
  <c r="I236" i="7" s="1"/>
  <c r="BS35" i="7"/>
  <c r="BS36" i="7" s="1"/>
  <c r="BS37" i="7" s="1"/>
  <c r="BS38" i="7" s="1"/>
  <c r="BS39" i="7" s="1"/>
  <c r="BS40" i="7" s="1"/>
  <c r="BS149" i="7" s="1"/>
  <c r="BH35" i="7"/>
  <c r="BA35" i="7"/>
  <c r="AZ35" i="7"/>
  <c r="AZ36" i="7" s="1"/>
  <c r="AZ37" i="7" s="1"/>
  <c r="AZ38" i="7" s="1"/>
  <c r="AZ39" i="7" s="1"/>
  <c r="AZ40" i="7" s="1"/>
  <c r="AW35" i="7"/>
  <c r="AW36" i="7" s="1"/>
  <c r="AW37" i="7" s="1"/>
  <c r="AW38" i="7" s="1"/>
  <c r="AW39" i="7" s="1"/>
  <c r="AW40" i="7" s="1"/>
  <c r="AW149" i="7" s="1"/>
  <c r="I211" i="7" s="1"/>
  <c r="AT35" i="7"/>
  <c r="AT36" i="7" s="1"/>
  <c r="AT37" i="7" s="1"/>
  <c r="AT38" i="7" s="1"/>
  <c r="AT39" i="7" s="1"/>
  <c r="AT40" i="7" s="1"/>
  <c r="AT149" i="7" s="1"/>
  <c r="I208" i="7" s="1"/>
  <c r="AI35" i="7"/>
  <c r="AB35" i="7"/>
  <c r="AV35" i="7" s="1"/>
  <c r="AA35" i="7"/>
  <c r="AA36" i="7" s="1"/>
  <c r="AA37" i="7" s="1"/>
  <c r="AA38" i="7" s="1"/>
  <c r="AA39" i="7" s="1"/>
  <c r="AA40" i="7" s="1"/>
  <c r="X35" i="7"/>
  <c r="X36" i="7" s="1"/>
  <c r="X37" i="7" s="1"/>
  <c r="X38" i="7" s="1"/>
  <c r="X39" i="7" s="1"/>
  <c r="X40" i="7" s="1"/>
  <c r="X149" i="7" s="1"/>
  <c r="I188" i="7" s="1"/>
  <c r="U35" i="7"/>
  <c r="U36" i="7" s="1"/>
  <c r="U37" i="7" s="1"/>
  <c r="U38" i="7" s="1"/>
  <c r="U39" i="7" s="1"/>
  <c r="U40" i="7" s="1"/>
  <c r="U149" i="7" s="1"/>
  <c r="I185" i="7" s="1"/>
  <c r="J35" i="7"/>
  <c r="C35" i="7"/>
  <c r="B35" i="7"/>
  <c r="B36" i="7" s="1"/>
  <c r="B37" i="7" s="1"/>
  <c r="B38" i="7" s="1"/>
  <c r="B39" i="7" s="1"/>
  <c r="B40" i="7" s="1"/>
  <c r="CT34" i="7"/>
  <c r="CV34" i="7" s="1"/>
  <c r="CQ34" i="7"/>
  <c r="CS34" i="7" s="1"/>
  <c r="CN34" i="7"/>
  <c r="CK34" i="7"/>
  <c r="CI34" i="7"/>
  <c r="CG34" i="7"/>
  <c r="BU34" i="7"/>
  <c r="BW34" i="7" s="1"/>
  <c r="BR34" i="7"/>
  <c r="BT34" i="7" s="1"/>
  <c r="BO34" i="7"/>
  <c r="BL34" i="7"/>
  <c r="BJ34" i="7"/>
  <c r="BH34" i="7"/>
  <c r="AV34" i="7"/>
  <c r="AX34" i="7" s="1"/>
  <c r="AS34" i="7"/>
  <c r="AU34" i="7" s="1"/>
  <c r="AP34" i="7"/>
  <c r="AM34" i="7"/>
  <c r="AK34" i="7"/>
  <c r="AI34" i="7"/>
  <c r="W34" i="7"/>
  <c r="Y34" i="7" s="1"/>
  <c r="T34" i="7"/>
  <c r="V34" i="7" s="1"/>
  <c r="Q34" i="7"/>
  <c r="N34" i="7"/>
  <c r="L34" i="7"/>
  <c r="J34" i="7"/>
  <c r="CG33" i="7"/>
  <c r="BH33" i="7"/>
  <c r="AI33" i="7"/>
  <c r="J33" i="7"/>
  <c r="CG32" i="7"/>
  <c r="BH32" i="7"/>
  <c r="AI32" i="7"/>
  <c r="J32" i="7"/>
  <c r="CG31" i="7"/>
  <c r="BH31" i="7"/>
  <c r="AI31" i="7"/>
  <c r="J31" i="7"/>
  <c r="CG30" i="7"/>
  <c r="BH30" i="7"/>
  <c r="AI30" i="7"/>
  <c r="J30" i="7"/>
  <c r="CG29" i="7"/>
  <c r="BH29" i="7"/>
  <c r="AI29" i="7"/>
  <c r="J29" i="7"/>
  <c r="CU28" i="7"/>
  <c r="CU29" i="7" s="1"/>
  <c r="CU30" i="7" s="1"/>
  <c r="CU31" i="7" s="1"/>
  <c r="CU32" i="7" s="1"/>
  <c r="CU33" i="7" s="1"/>
  <c r="CR28" i="7"/>
  <c r="CR29" i="7" s="1"/>
  <c r="CR30" i="7" s="1"/>
  <c r="CR31" i="7" s="1"/>
  <c r="CR32" i="7" s="1"/>
  <c r="CR33" i="7" s="1"/>
  <c r="CG28" i="7"/>
  <c r="BZ28" i="7"/>
  <c r="CT28" i="7" s="1"/>
  <c r="BY28" i="7"/>
  <c r="BY29" i="7" s="1"/>
  <c r="BY30" i="7" s="1"/>
  <c r="BY31" i="7" s="1"/>
  <c r="BV28" i="7"/>
  <c r="BV29" i="7" s="1"/>
  <c r="BV30" i="7" s="1"/>
  <c r="BV31" i="7" s="1"/>
  <c r="BV32" i="7" s="1"/>
  <c r="BV33" i="7" s="1"/>
  <c r="BV148" i="7" s="1"/>
  <c r="H236" i="7" s="1"/>
  <c r="BS28" i="7"/>
  <c r="BS29" i="7" s="1"/>
  <c r="BS30" i="7" s="1"/>
  <c r="BS31" i="7" s="1"/>
  <c r="BS32" i="7" s="1"/>
  <c r="BS33" i="7" s="1"/>
  <c r="BS148" i="7" s="1"/>
  <c r="H233" i="7" s="1"/>
  <c r="BH28" i="7"/>
  <c r="BA28" i="7"/>
  <c r="BA29" i="7" s="1"/>
  <c r="AW28" i="7"/>
  <c r="AW29" i="7" s="1"/>
  <c r="AW30" i="7" s="1"/>
  <c r="AW31" i="7" s="1"/>
  <c r="AW32" i="7" s="1"/>
  <c r="AW33" i="7" s="1"/>
  <c r="AW148" i="7" s="1"/>
  <c r="H211" i="7" s="1"/>
  <c r="AT28" i="7"/>
  <c r="AT29" i="7" s="1"/>
  <c r="AT30" i="7" s="1"/>
  <c r="AT31" i="7" s="1"/>
  <c r="AT32" i="7" s="1"/>
  <c r="AT33" i="7" s="1"/>
  <c r="AT148" i="7" s="1"/>
  <c r="H208" i="7" s="1"/>
  <c r="AI28" i="7"/>
  <c r="AB28" i="7"/>
  <c r="AB29" i="7" s="1"/>
  <c r="X28" i="7"/>
  <c r="X29" i="7" s="1"/>
  <c r="X30" i="7" s="1"/>
  <c r="X31" i="7" s="1"/>
  <c r="X32" i="7" s="1"/>
  <c r="X33" i="7" s="1"/>
  <c r="X148" i="7" s="1"/>
  <c r="U28" i="7"/>
  <c r="U29" i="7" s="1"/>
  <c r="U30" i="7" s="1"/>
  <c r="U31" i="7" s="1"/>
  <c r="U32" i="7" s="1"/>
  <c r="U33" i="7" s="1"/>
  <c r="U148" i="7" s="1"/>
  <c r="J28" i="7"/>
  <c r="C28" i="7"/>
  <c r="CT27" i="7"/>
  <c r="CV27" i="7" s="1"/>
  <c r="CQ27" i="7"/>
  <c r="CS27" i="7" s="1"/>
  <c r="CN27" i="7"/>
  <c r="CK27" i="7"/>
  <c r="CI27" i="7"/>
  <c r="CG27" i="7"/>
  <c r="BU27" i="7"/>
  <c r="BW27" i="7" s="1"/>
  <c r="BR27" i="7"/>
  <c r="BT27" i="7" s="1"/>
  <c r="BO27" i="7"/>
  <c r="BL27" i="7"/>
  <c r="BJ27" i="7"/>
  <c r="BH27" i="7"/>
  <c r="AV27" i="7"/>
  <c r="AX27" i="7" s="1"/>
  <c r="AS27" i="7"/>
  <c r="AU27" i="7" s="1"/>
  <c r="AP27" i="7"/>
  <c r="AM27" i="7"/>
  <c r="AK27" i="7"/>
  <c r="AI27" i="7"/>
  <c r="W27" i="7"/>
  <c r="Y27" i="7" s="1"/>
  <c r="T27" i="7"/>
  <c r="V27" i="7" s="1"/>
  <c r="Q27" i="7"/>
  <c r="N27" i="7"/>
  <c r="L27" i="7"/>
  <c r="J27" i="7"/>
  <c r="CG26" i="7"/>
  <c r="BH26" i="7"/>
  <c r="AI26" i="7"/>
  <c r="J26" i="7"/>
  <c r="CG25" i="7"/>
  <c r="BH25" i="7"/>
  <c r="AI25" i="7"/>
  <c r="J25" i="7"/>
  <c r="CG24" i="7"/>
  <c r="BH24" i="7"/>
  <c r="AI24" i="7"/>
  <c r="J24" i="7"/>
  <c r="CG23" i="7"/>
  <c r="BH23" i="7"/>
  <c r="AI23" i="7"/>
  <c r="J23" i="7"/>
  <c r="CG22" i="7"/>
  <c r="BH22" i="7"/>
  <c r="AI22" i="7"/>
  <c r="J22" i="7"/>
  <c r="CU21" i="7"/>
  <c r="CU22" i="7" s="1"/>
  <c r="CU23" i="7" s="1"/>
  <c r="CU24" i="7" s="1"/>
  <c r="CU25" i="7" s="1"/>
  <c r="CU26" i="7" s="1"/>
  <c r="CR21" i="7"/>
  <c r="CR22" i="7" s="1"/>
  <c r="CR23" i="7" s="1"/>
  <c r="CR24" i="7" s="1"/>
  <c r="CR25" i="7" s="1"/>
  <c r="CR26" i="7" s="1"/>
  <c r="CG21" i="7"/>
  <c r="BZ21" i="7"/>
  <c r="BZ22" i="7" s="1"/>
  <c r="BY21" i="7"/>
  <c r="BY22" i="7" s="1"/>
  <c r="BY23" i="7" s="1"/>
  <c r="BY24" i="7" s="1"/>
  <c r="BY25" i="7" s="1"/>
  <c r="BY26" i="7" s="1"/>
  <c r="BV21" i="7"/>
  <c r="BV22" i="7" s="1"/>
  <c r="BV23" i="7" s="1"/>
  <c r="BV24" i="7" s="1"/>
  <c r="BV25" i="7" s="1"/>
  <c r="BV26" i="7" s="1"/>
  <c r="BV147" i="7" s="1"/>
  <c r="G236" i="7" s="1"/>
  <c r="BS21" i="7"/>
  <c r="BS22" i="7" s="1"/>
  <c r="BS23" i="7" s="1"/>
  <c r="BS24" i="7" s="1"/>
  <c r="BS25" i="7" s="1"/>
  <c r="BS26" i="7" s="1"/>
  <c r="BS147" i="7" s="1"/>
  <c r="BH21" i="7"/>
  <c r="BA21" i="7"/>
  <c r="BA22" i="7" s="1"/>
  <c r="AZ21" i="7"/>
  <c r="AZ22" i="7" s="1"/>
  <c r="AZ23" i="7" s="1"/>
  <c r="AZ24" i="7" s="1"/>
  <c r="AZ25" i="7" s="1"/>
  <c r="AZ26" i="7" s="1"/>
  <c r="AZ27" i="7" s="1"/>
  <c r="AZ28" i="7" s="1"/>
  <c r="AZ29" i="7" s="1"/>
  <c r="AZ30" i="7" s="1"/>
  <c r="AZ31" i="7" s="1"/>
  <c r="AZ32" i="7" s="1"/>
  <c r="AZ33" i="7" s="1"/>
  <c r="AW21" i="7"/>
  <c r="AW22" i="7" s="1"/>
  <c r="AW23" i="7" s="1"/>
  <c r="AW24" i="7" s="1"/>
  <c r="AW25" i="7" s="1"/>
  <c r="AW26" i="7" s="1"/>
  <c r="AW147" i="7" s="1"/>
  <c r="G211" i="7" s="1"/>
  <c r="AT21" i="7"/>
  <c r="AT22" i="7" s="1"/>
  <c r="AT23" i="7" s="1"/>
  <c r="AT24" i="7" s="1"/>
  <c r="AT25" i="7" s="1"/>
  <c r="AT26" i="7" s="1"/>
  <c r="AT147" i="7" s="1"/>
  <c r="G208" i="7" s="1"/>
  <c r="AI21" i="7"/>
  <c r="AB21" i="7"/>
  <c r="AB22" i="7" s="1"/>
  <c r="AA21" i="7"/>
  <c r="AA22" i="7" s="1"/>
  <c r="AA23" i="7" s="1"/>
  <c r="AA24" i="7" s="1"/>
  <c r="AA25" i="7" s="1"/>
  <c r="AA26" i="7" s="1"/>
  <c r="AA27" i="7" s="1"/>
  <c r="AA28" i="7" s="1"/>
  <c r="AA29" i="7" s="1"/>
  <c r="AA30" i="7" s="1"/>
  <c r="AA31" i="7" s="1"/>
  <c r="X21" i="7"/>
  <c r="X22" i="7" s="1"/>
  <c r="X23" i="7" s="1"/>
  <c r="X24" i="7" s="1"/>
  <c r="X25" i="7" s="1"/>
  <c r="X26" i="7" s="1"/>
  <c r="X147" i="7" s="1"/>
  <c r="G188" i="7" s="1"/>
  <c r="U21" i="7"/>
  <c r="U22" i="7" s="1"/>
  <c r="U23" i="7" s="1"/>
  <c r="U24" i="7" s="1"/>
  <c r="U25" i="7" s="1"/>
  <c r="U26" i="7" s="1"/>
  <c r="U147" i="7" s="1"/>
  <c r="G185" i="7" s="1"/>
  <c r="J21" i="7"/>
  <c r="C21" i="7"/>
  <c r="B21" i="7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CT20" i="7"/>
  <c r="CV20" i="7" s="1"/>
  <c r="CQ20" i="7"/>
  <c r="CS20" i="7" s="1"/>
  <c r="CN20" i="7"/>
  <c r="CK20" i="7"/>
  <c r="CI20" i="7"/>
  <c r="CG20" i="7"/>
  <c r="BU20" i="7"/>
  <c r="BW20" i="7" s="1"/>
  <c r="BR20" i="7"/>
  <c r="BT20" i="7" s="1"/>
  <c r="BO20" i="7"/>
  <c r="BL20" i="7"/>
  <c r="BJ20" i="7"/>
  <c r="BH20" i="7"/>
  <c r="AV20" i="7"/>
  <c r="AX20" i="7" s="1"/>
  <c r="AS20" i="7"/>
  <c r="AU20" i="7" s="1"/>
  <c r="AP20" i="7"/>
  <c r="AM20" i="7"/>
  <c r="AK20" i="7"/>
  <c r="AI20" i="7"/>
  <c r="W20" i="7"/>
  <c r="Y20" i="7" s="1"/>
  <c r="T20" i="7"/>
  <c r="V20" i="7" s="1"/>
  <c r="Q20" i="7"/>
  <c r="N20" i="7"/>
  <c r="L20" i="7"/>
  <c r="J20" i="7"/>
  <c r="CG19" i="7"/>
  <c r="BH19" i="7"/>
  <c r="AI19" i="7"/>
  <c r="J19" i="7"/>
  <c r="CG18" i="7"/>
  <c r="BH18" i="7"/>
  <c r="AI18" i="7"/>
  <c r="J18" i="7"/>
  <c r="CG17" i="7"/>
  <c r="BH17" i="7"/>
  <c r="AI17" i="7"/>
  <c r="J17" i="7"/>
  <c r="CG16" i="7"/>
  <c r="BH16" i="7"/>
  <c r="AI16" i="7"/>
  <c r="J16" i="7"/>
  <c r="CG15" i="7"/>
  <c r="BH15" i="7"/>
  <c r="AI15" i="7"/>
  <c r="J15" i="7"/>
  <c r="CU14" i="7"/>
  <c r="CU15" i="7" s="1"/>
  <c r="CU16" i="7" s="1"/>
  <c r="CU17" i="7" s="1"/>
  <c r="CU18" i="7" s="1"/>
  <c r="CU19" i="7" s="1"/>
  <c r="CR14" i="7"/>
  <c r="CR15" i="7" s="1"/>
  <c r="CR16" i="7" s="1"/>
  <c r="CR17" i="7" s="1"/>
  <c r="CR18" i="7" s="1"/>
  <c r="CR19" i="7" s="1"/>
  <c r="CG14" i="7"/>
  <c r="BZ14" i="7"/>
  <c r="BZ15" i="7" s="1"/>
  <c r="BY14" i="7"/>
  <c r="BY15" i="7" s="1"/>
  <c r="BY16" i="7" s="1"/>
  <c r="BY17" i="7" s="1"/>
  <c r="BY18" i="7" s="1"/>
  <c r="BY19" i="7" s="1"/>
  <c r="BV14" i="7"/>
  <c r="BV15" i="7" s="1"/>
  <c r="BV16" i="7" s="1"/>
  <c r="BV17" i="7" s="1"/>
  <c r="BV18" i="7" s="1"/>
  <c r="BV19" i="7" s="1"/>
  <c r="BV146" i="7" s="1"/>
  <c r="F236" i="7" s="1"/>
  <c r="BS14" i="7"/>
  <c r="BS15" i="7" s="1"/>
  <c r="BS16" i="7" s="1"/>
  <c r="BS17" i="7" s="1"/>
  <c r="BS18" i="7" s="1"/>
  <c r="BS19" i="7" s="1"/>
  <c r="BS146" i="7" s="1"/>
  <c r="F233" i="7" s="1"/>
  <c r="BH14" i="7"/>
  <c r="BA14" i="7"/>
  <c r="BA15" i="7" s="1"/>
  <c r="AZ14" i="7"/>
  <c r="AZ15" i="7" s="1"/>
  <c r="AZ16" i="7" s="1"/>
  <c r="AZ17" i="7" s="1"/>
  <c r="AZ18" i="7" s="1"/>
  <c r="AZ19" i="7" s="1"/>
  <c r="AW14" i="7"/>
  <c r="AW15" i="7" s="1"/>
  <c r="AW16" i="7" s="1"/>
  <c r="AW17" i="7" s="1"/>
  <c r="AW18" i="7" s="1"/>
  <c r="AW19" i="7" s="1"/>
  <c r="AW146" i="7" s="1"/>
  <c r="F211" i="7" s="1"/>
  <c r="AT14" i="7"/>
  <c r="AT15" i="7" s="1"/>
  <c r="AT16" i="7" s="1"/>
  <c r="AT17" i="7" s="1"/>
  <c r="AT18" i="7" s="1"/>
  <c r="AT19" i="7" s="1"/>
  <c r="AT146" i="7" s="1"/>
  <c r="F208" i="7" s="1"/>
  <c r="AI14" i="7"/>
  <c r="AB14" i="7"/>
  <c r="AB15" i="7" s="1"/>
  <c r="AA14" i="7"/>
  <c r="AA15" i="7" s="1"/>
  <c r="AA16" i="7" s="1"/>
  <c r="AA17" i="7" s="1"/>
  <c r="AA18" i="7" s="1"/>
  <c r="AA19" i="7" s="1"/>
  <c r="X14" i="7"/>
  <c r="X15" i="7" s="1"/>
  <c r="X16" i="7" s="1"/>
  <c r="X17" i="7" s="1"/>
  <c r="X18" i="7" s="1"/>
  <c r="X19" i="7" s="1"/>
  <c r="X146" i="7" s="1"/>
  <c r="U14" i="7"/>
  <c r="U15" i="7" s="1"/>
  <c r="U16" i="7" s="1"/>
  <c r="U17" i="7" s="1"/>
  <c r="U18" i="7" s="1"/>
  <c r="U19" i="7" s="1"/>
  <c r="U146" i="7" s="1"/>
  <c r="J14" i="7"/>
  <c r="C14" i="7"/>
  <c r="B14" i="7"/>
  <c r="B15" i="7" s="1"/>
  <c r="B16" i="7" s="1"/>
  <c r="B17" i="7" s="1"/>
  <c r="B18" i="7" s="1"/>
  <c r="B19" i="7" s="1"/>
  <c r="CT13" i="7"/>
  <c r="CV13" i="7" s="1"/>
  <c r="CQ13" i="7"/>
  <c r="CS13" i="7" s="1"/>
  <c r="CN13" i="7"/>
  <c r="CK13" i="7"/>
  <c r="CI13" i="7"/>
  <c r="CG13" i="7"/>
  <c r="BU13" i="7"/>
  <c r="BW13" i="7" s="1"/>
  <c r="BR13" i="7"/>
  <c r="BT13" i="7" s="1"/>
  <c r="BO13" i="7"/>
  <c r="BL13" i="7"/>
  <c r="BJ13" i="7"/>
  <c r="BH13" i="7"/>
  <c r="AV13" i="7"/>
  <c r="AX13" i="7" s="1"/>
  <c r="AS13" i="7"/>
  <c r="AU13" i="7" s="1"/>
  <c r="AP13" i="7"/>
  <c r="AM13" i="7"/>
  <c r="AK13" i="7"/>
  <c r="AI13" i="7"/>
  <c r="W13" i="7"/>
  <c r="Y13" i="7" s="1"/>
  <c r="T13" i="7"/>
  <c r="V13" i="7" s="1"/>
  <c r="Q13" i="7"/>
  <c r="N13" i="7"/>
  <c r="L13" i="7"/>
  <c r="J13" i="7"/>
  <c r="CG12" i="7"/>
  <c r="BH12" i="7"/>
  <c r="AI12" i="7"/>
  <c r="J12" i="7"/>
  <c r="CG11" i="7"/>
  <c r="BH11" i="7"/>
  <c r="AI11" i="7"/>
  <c r="J11" i="7"/>
  <c r="CG10" i="7"/>
  <c r="BH10" i="7"/>
  <c r="AI10" i="7"/>
  <c r="J10" i="7"/>
  <c r="CG9" i="7"/>
  <c r="BH9" i="7"/>
  <c r="AI9" i="7"/>
  <c r="J9" i="7"/>
  <c r="CG8" i="7"/>
  <c r="BH8" i="7"/>
  <c r="AI8" i="7"/>
  <c r="J8" i="7"/>
  <c r="CU7" i="7"/>
  <c r="CU8" i="7" s="1"/>
  <c r="CU9" i="7" s="1"/>
  <c r="CU10" i="7" s="1"/>
  <c r="CU11" i="7" s="1"/>
  <c r="CU12" i="7" s="1"/>
  <c r="CR7" i="7"/>
  <c r="CR8" i="7" s="1"/>
  <c r="CR9" i="7" s="1"/>
  <c r="CR10" i="7" s="1"/>
  <c r="CR11" i="7" s="1"/>
  <c r="CR12" i="7" s="1"/>
  <c r="CG7" i="7"/>
  <c r="BZ7" i="7"/>
  <c r="BZ8" i="7" s="1"/>
  <c r="BY7" i="7"/>
  <c r="BY8" i="7" s="1"/>
  <c r="BY9" i="7" s="1"/>
  <c r="BY10" i="7" s="1"/>
  <c r="BY11" i="7" s="1"/>
  <c r="BY12" i="7" s="1"/>
  <c r="BV7" i="7"/>
  <c r="BV8" i="7" s="1"/>
  <c r="BV9" i="7" s="1"/>
  <c r="BV10" i="7" s="1"/>
  <c r="BV11" i="7" s="1"/>
  <c r="BV12" i="7" s="1"/>
  <c r="BV145" i="7" s="1"/>
  <c r="E236" i="7" s="1"/>
  <c r="BS7" i="7"/>
  <c r="BS8" i="7" s="1"/>
  <c r="BS9" i="7" s="1"/>
  <c r="BS10" i="7" s="1"/>
  <c r="BS11" i="7" s="1"/>
  <c r="BS12" i="7" s="1"/>
  <c r="BS145" i="7" s="1"/>
  <c r="E233" i="7" s="1"/>
  <c r="BH7" i="7"/>
  <c r="BA7" i="7"/>
  <c r="BU7" i="7" s="1"/>
  <c r="AZ7" i="7"/>
  <c r="AZ8" i="7" s="1"/>
  <c r="AZ9" i="7" s="1"/>
  <c r="AZ10" i="7" s="1"/>
  <c r="AZ11" i="7" s="1"/>
  <c r="AW7" i="7"/>
  <c r="AW8" i="7" s="1"/>
  <c r="AW9" i="7" s="1"/>
  <c r="AW10" i="7" s="1"/>
  <c r="AW11" i="7" s="1"/>
  <c r="AW12" i="7" s="1"/>
  <c r="AW145" i="7" s="1"/>
  <c r="E211" i="7" s="1"/>
  <c r="AT7" i="7"/>
  <c r="AT8" i="7" s="1"/>
  <c r="AT9" i="7" s="1"/>
  <c r="AT10" i="7" s="1"/>
  <c r="AT11" i="7" s="1"/>
  <c r="AT12" i="7" s="1"/>
  <c r="AT145" i="7" s="1"/>
  <c r="E208" i="7" s="1"/>
  <c r="AI7" i="7"/>
  <c r="AB7" i="7"/>
  <c r="AA7" i="7"/>
  <c r="AA8" i="7" s="1"/>
  <c r="AA9" i="7" s="1"/>
  <c r="AA10" i="7" s="1"/>
  <c r="AA11" i="7" s="1"/>
  <c r="X7" i="7"/>
  <c r="X8" i="7" s="1"/>
  <c r="X9" i="7" s="1"/>
  <c r="X10" i="7" s="1"/>
  <c r="X11" i="7" s="1"/>
  <c r="X12" i="7" s="1"/>
  <c r="X145" i="7" s="1"/>
  <c r="U7" i="7"/>
  <c r="U8" i="7" s="1"/>
  <c r="U9" i="7" s="1"/>
  <c r="U10" i="7" s="1"/>
  <c r="U11" i="7" s="1"/>
  <c r="U12" i="7" s="1"/>
  <c r="U145" i="7" s="1"/>
  <c r="E185" i="7" s="1"/>
  <c r="J7" i="7"/>
  <c r="C7" i="7"/>
  <c r="B7" i="7"/>
  <c r="B8" i="7" s="1"/>
  <c r="B9" i="7" s="1"/>
  <c r="B10" i="7" s="1"/>
  <c r="B11" i="7" s="1"/>
  <c r="CT6" i="7"/>
  <c r="CV6" i="7" s="1"/>
  <c r="CQ6" i="7"/>
  <c r="CS6" i="7" s="1"/>
  <c r="CN6" i="7"/>
  <c r="CK6" i="7"/>
  <c r="CI6" i="7"/>
  <c r="CG6" i="7"/>
  <c r="CH6" i="7" s="1"/>
  <c r="CB6" i="7"/>
  <c r="BU6" i="7"/>
  <c r="BW6" i="7" s="1"/>
  <c r="BR6" i="7"/>
  <c r="BT6" i="7" s="1"/>
  <c r="BO6" i="7"/>
  <c r="BL6" i="7"/>
  <c r="BJ6" i="7"/>
  <c r="BH6" i="7"/>
  <c r="BI6" i="7" s="1"/>
  <c r="BC145" i="7"/>
  <c r="AV6" i="7"/>
  <c r="AX6" i="7" s="1"/>
  <c r="AS6" i="7"/>
  <c r="AU6" i="7" s="1"/>
  <c r="AP6" i="7"/>
  <c r="AM6" i="7"/>
  <c r="AK6" i="7"/>
  <c r="AI6" i="7"/>
  <c r="AD6" i="7"/>
  <c r="AQ6" i="7" s="1"/>
  <c r="AR6" i="7" s="1"/>
  <c r="W6" i="7"/>
  <c r="Y6" i="7" s="1"/>
  <c r="T6" i="7"/>
  <c r="V6" i="7" s="1"/>
  <c r="Q6" i="7"/>
  <c r="N6" i="7"/>
  <c r="L6" i="7"/>
  <c r="J6" i="7"/>
  <c r="AV145" i="1"/>
  <c r="AP145" i="1"/>
  <c r="AK145" i="1"/>
  <c r="DG82" i="9" l="1"/>
  <c r="DK81" i="9"/>
  <c r="DN81" i="9"/>
  <c r="DO81" i="9" s="1"/>
  <c r="DB81" i="9"/>
  <c r="DA82" i="9" s="1"/>
  <c r="DI81" i="9"/>
  <c r="CH83" i="9"/>
  <c r="CL82" i="9"/>
  <c r="CO82" i="9"/>
  <c r="CP82" i="9" s="1"/>
  <c r="CJ82" i="9"/>
  <c r="CC82" i="9"/>
  <c r="CB83" i="9" s="1"/>
  <c r="BD81" i="9"/>
  <c r="BC82" i="9" s="1"/>
  <c r="BK81" i="9"/>
  <c r="BP81" i="9"/>
  <c r="BQ81" i="9" s="1"/>
  <c r="BI83" i="9"/>
  <c r="BM83" i="9" s="1"/>
  <c r="AQ81" i="9"/>
  <c r="AR81" i="9" s="1"/>
  <c r="AE81" i="9"/>
  <c r="AD82" i="9" s="1"/>
  <c r="AL81" i="9"/>
  <c r="AN81" i="9"/>
  <c r="AJ82" i="9"/>
  <c r="AJ155" i="9" s="1"/>
  <c r="R72" i="9"/>
  <c r="S72" i="9" s="1"/>
  <c r="E73" i="9"/>
  <c r="F73" i="9" s="1"/>
  <c r="M72" i="9"/>
  <c r="N300" i="9"/>
  <c r="N328" i="9" s="1"/>
  <c r="N331" i="9"/>
  <c r="N302" i="9"/>
  <c r="N329" i="9" s="1"/>
  <c r="K81" i="9"/>
  <c r="O80" i="9"/>
  <c r="EQ155" i="7"/>
  <c r="O305" i="7"/>
  <c r="O306" i="7" s="1"/>
  <c r="ET155" i="7"/>
  <c r="O308" i="7"/>
  <c r="O309" i="7" s="1"/>
  <c r="Q401" i="7"/>
  <c r="P404" i="7"/>
  <c r="O401" i="7"/>
  <c r="Q28" i="7"/>
  <c r="HI28" i="7"/>
  <c r="GE28" i="7"/>
  <c r="FF28" i="7"/>
  <c r="EI28" i="7"/>
  <c r="DM28" i="7"/>
  <c r="GG28" i="7"/>
  <c r="HF28" i="7"/>
  <c r="GM28" i="7"/>
  <c r="GO28" i="7" s="1"/>
  <c r="FN28" i="7"/>
  <c r="FP28" i="7" s="1"/>
  <c r="EG28" i="7"/>
  <c r="DJ28" i="7"/>
  <c r="HL28" i="7"/>
  <c r="HN28" i="7" s="1"/>
  <c r="EL28" i="7"/>
  <c r="DP28" i="7"/>
  <c r="DR28" i="7" s="1"/>
  <c r="HD28" i="7"/>
  <c r="GJ28" i="7"/>
  <c r="FK28" i="7"/>
  <c r="EO28" i="7"/>
  <c r="EQ28" i="7" s="1"/>
  <c r="DH28" i="7"/>
  <c r="FH28" i="7"/>
  <c r="HI91" i="7"/>
  <c r="GE91" i="7"/>
  <c r="FF91" i="7"/>
  <c r="EL91" i="7"/>
  <c r="DP91" i="7"/>
  <c r="DR91" i="7" s="1"/>
  <c r="GG91" i="7"/>
  <c r="HF91" i="7"/>
  <c r="GM91" i="7"/>
  <c r="GO91" i="7" s="1"/>
  <c r="FN91" i="7"/>
  <c r="FP91" i="7" s="1"/>
  <c r="EI91" i="7"/>
  <c r="DM91" i="7"/>
  <c r="HL91" i="7"/>
  <c r="HN91" i="7" s="1"/>
  <c r="FH91" i="7"/>
  <c r="EO91" i="7"/>
  <c r="EQ91" i="7" s="1"/>
  <c r="HD91" i="7"/>
  <c r="GJ91" i="7"/>
  <c r="FK91" i="7"/>
  <c r="EG91" i="7"/>
  <c r="DJ91" i="7"/>
  <c r="DH91" i="7"/>
  <c r="AM105" i="7"/>
  <c r="HI105" i="7"/>
  <c r="GG105" i="7"/>
  <c r="FN105" i="7"/>
  <c r="FP105" i="7" s="1"/>
  <c r="EG105" i="7"/>
  <c r="DM105" i="7"/>
  <c r="GJ105" i="7"/>
  <c r="HF105" i="7"/>
  <c r="GE105" i="7"/>
  <c r="FK105" i="7"/>
  <c r="EO105" i="7"/>
  <c r="EQ105" i="7" s="1"/>
  <c r="DJ105" i="7"/>
  <c r="HL105" i="7"/>
  <c r="HN105" i="7" s="1"/>
  <c r="FF105" i="7"/>
  <c r="EI105" i="7"/>
  <c r="DP105" i="7"/>
  <c r="DR105" i="7" s="1"/>
  <c r="HD105" i="7"/>
  <c r="GM105" i="7"/>
  <c r="GO105" i="7" s="1"/>
  <c r="FH105" i="7"/>
  <c r="EL105" i="7"/>
  <c r="DH105" i="7"/>
  <c r="C113" i="7"/>
  <c r="HL112" i="7"/>
  <c r="HN112" i="7" s="1"/>
  <c r="GG112" i="7"/>
  <c r="FH112" i="7"/>
  <c r="EO112" i="7"/>
  <c r="EQ112" i="7" s="1"/>
  <c r="DM112" i="7"/>
  <c r="HI112" i="7"/>
  <c r="GE112" i="7"/>
  <c r="FF112" i="7"/>
  <c r="EL112" i="7"/>
  <c r="DJ112" i="7"/>
  <c r="HD112" i="7"/>
  <c r="EG112" i="7"/>
  <c r="DP112" i="7"/>
  <c r="DR112" i="7" s="1"/>
  <c r="HF112" i="7"/>
  <c r="GM112" i="7"/>
  <c r="GO112" i="7" s="1"/>
  <c r="FN112" i="7"/>
  <c r="FP112" i="7" s="1"/>
  <c r="EI112" i="7"/>
  <c r="DH112" i="7"/>
  <c r="GJ112" i="7"/>
  <c r="FK112" i="7"/>
  <c r="HI119" i="7"/>
  <c r="GE119" i="7"/>
  <c r="FN119" i="7"/>
  <c r="FP119" i="7" s="1"/>
  <c r="EG119" i="7"/>
  <c r="DM119" i="7"/>
  <c r="HL119" i="7"/>
  <c r="HN119" i="7" s="1"/>
  <c r="HF119" i="7"/>
  <c r="GM119" i="7"/>
  <c r="GO119" i="7" s="1"/>
  <c r="FK119" i="7"/>
  <c r="EO119" i="7"/>
  <c r="EQ119" i="7" s="1"/>
  <c r="DJ119" i="7"/>
  <c r="DP119" i="7"/>
  <c r="DR119" i="7" s="1"/>
  <c r="HD119" i="7"/>
  <c r="GJ119" i="7"/>
  <c r="FH119" i="7"/>
  <c r="EL119" i="7"/>
  <c r="DH119" i="7"/>
  <c r="GG119" i="7"/>
  <c r="FF119" i="7"/>
  <c r="EI119" i="7"/>
  <c r="HD133" i="7"/>
  <c r="GJ133" i="7"/>
  <c r="FK133" i="7"/>
  <c r="EO133" i="7"/>
  <c r="EQ133" i="7" s="1"/>
  <c r="DJ133" i="7"/>
  <c r="HL133" i="7"/>
  <c r="HN133" i="7" s="1"/>
  <c r="GG133" i="7"/>
  <c r="FH133" i="7"/>
  <c r="EL133" i="7"/>
  <c r="DH133" i="7"/>
  <c r="GM133" i="7"/>
  <c r="GO133" i="7" s="1"/>
  <c r="FN133" i="7"/>
  <c r="FP133" i="7" s="1"/>
  <c r="EG133" i="7"/>
  <c r="DM133" i="7"/>
  <c r="HI133" i="7"/>
  <c r="GE133" i="7"/>
  <c r="FF133" i="7"/>
  <c r="EI133" i="7"/>
  <c r="DP133" i="7"/>
  <c r="DR133" i="7" s="1"/>
  <c r="HF133" i="7"/>
  <c r="O253" i="7"/>
  <c r="U259" i="7"/>
  <c r="W259" i="7"/>
  <c r="HD7" i="7"/>
  <c r="GJ7" i="7"/>
  <c r="FK7" i="7"/>
  <c r="EI7" i="7"/>
  <c r="DH7" i="7"/>
  <c r="DP7" i="7"/>
  <c r="DR7" i="7" s="1"/>
  <c r="HF7" i="7"/>
  <c r="DJ7" i="7"/>
  <c r="HL7" i="7"/>
  <c r="HN7" i="7" s="1"/>
  <c r="GG7" i="7"/>
  <c r="FH7" i="7"/>
  <c r="EG7" i="7"/>
  <c r="HI7" i="7"/>
  <c r="GE7" i="7"/>
  <c r="FF7" i="7"/>
  <c r="EO7" i="7"/>
  <c r="EQ7" i="7" s="1"/>
  <c r="DM7" i="7"/>
  <c r="GM7" i="7"/>
  <c r="GO7" i="7" s="1"/>
  <c r="FN7" i="7"/>
  <c r="FP7" i="7" s="1"/>
  <c r="EL7" i="7"/>
  <c r="BL98" i="7"/>
  <c r="HD98" i="7"/>
  <c r="GM98" i="7"/>
  <c r="GO98" i="7" s="1"/>
  <c r="FF98" i="7"/>
  <c r="EI98" i="7"/>
  <c r="DP98" i="7"/>
  <c r="DR98" i="7" s="1"/>
  <c r="GE98" i="7"/>
  <c r="HL98" i="7"/>
  <c r="HN98" i="7" s="1"/>
  <c r="GJ98" i="7"/>
  <c r="FN98" i="7"/>
  <c r="FP98" i="7" s="1"/>
  <c r="EG98" i="7"/>
  <c r="DM98" i="7"/>
  <c r="HF98" i="7"/>
  <c r="FH98" i="7"/>
  <c r="HI98" i="7"/>
  <c r="GG98" i="7"/>
  <c r="FK98" i="7"/>
  <c r="EO98" i="7"/>
  <c r="EQ98" i="7" s="1"/>
  <c r="DJ98" i="7"/>
  <c r="EL98" i="7"/>
  <c r="DH98" i="7"/>
  <c r="AM35" i="7"/>
  <c r="HF35" i="7"/>
  <c r="GJ35" i="7"/>
  <c r="FH35" i="7"/>
  <c r="EL35" i="7"/>
  <c r="DP35" i="7"/>
  <c r="DR35" i="7" s="1"/>
  <c r="DM35" i="7"/>
  <c r="GM35" i="7"/>
  <c r="GO35" i="7" s="1"/>
  <c r="HD35" i="7"/>
  <c r="GG35" i="7"/>
  <c r="FF35" i="7"/>
  <c r="EI35" i="7"/>
  <c r="HI35" i="7"/>
  <c r="HL35" i="7"/>
  <c r="HN35" i="7" s="1"/>
  <c r="GE35" i="7"/>
  <c r="FN35" i="7"/>
  <c r="FP35" i="7" s="1"/>
  <c r="EG35" i="7"/>
  <c r="DJ35" i="7"/>
  <c r="FK35" i="7"/>
  <c r="EO35" i="7"/>
  <c r="EQ35" i="7" s="1"/>
  <c r="DH35" i="7"/>
  <c r="HI42" i="7"/>
  <c r="GE42" i="7"/>
  <c r="FF42" i="7"/>
  <c r="EI42" i="7"/>
  <c r="DM42" i="7"/>
  <c r="HL42" i="7"/>
  <c r="HN42" i="7" s="1"/>
  <c r="HF42" i="7"/>
  <c r="GM42" i="7"/>
  <c r="GO42" i="7" s="1"/>
  <c r="FN42" i="7"/>
  <c r="FP42" i="7" s="1"/>
  <c r="EG42" i="7"/>
  <c r="DJ42" i="7"/>
  <c r="GG42" i="7"/>
  <c r="FH42" i="7"/>
  <c r="HD42" i="7"/>
  <c r="GJ42" i="7"/>
  <c r="FK42" i="7"/>
  <c r="EO42" i="7"/>
  <c r="EQ42" i="7" s="1"/>
  <c r="DH42" i="7"/>
  <c r="EL42" i="7"/>
  <c r="DP42" i="7"/>
  <c r="DR42" i="7" s="1"/>
  <c r="BJ49" i="7"/>
  <c r="HI49" i="7"/>
  <c r="GE49" i="7"/>
  <c r="FF49" i="7"/>
  <c r="EG49" i="7"/>
  <c r="DP49" i="7"/>
  <c r="DR49" i="7" s="1"/>
  <c r="GG49" i="7"/>
  <c r="EI49" i="7"/>
  <c r="HF49" i="7"/>
  <c r="GM49" i="7"/>
  <c r="GO49" i="7" s="1"/>
  <c r="FN49" i="7"/>
  <c r="FP49" i="7" s="1"/>
  <c r="EO49" i="7"/>
  <c r="EQ49" i="7" s="1"/>
  <c r="DM49" i="7"/>
  <c r="FH49" i="7"/>
  <c r="HD49" i="7"/>
  <c r="GJ49" i="7"/>
  <c r="FK49" i="7"/>
  <c r="EL49" i="7"/>
  <c r="DJ49" i="7"/>
  <c r="HL49" i="7"/>
  <c r="HN49" i="7" s="1"/>
  <c r="DH49" i="7"/>
  <c r="AX98" i="7"/>
  <c r="E256" i="7"/>
  <c r="G256" i="7"/>
  <c r="I256" i="7"/>
  <c r="J256" i="7"/>
  <c r="K256" i="7"/>
  <c r="L256" i="7"/>
  <c r="M256" i="7"/>
  <c r="N256" i="7"/>
  <c r="O256" i="7"/>
  <c r="O250" i="7"/>
  <c r="R259" i="7"/>
  <c r="FX145" i="7"/>
  <c r="E335" i="7" s="1"/>
  <c r="EY145" i="7"/>
  <c r="E312" i="7" s="1"/>
  <c r="GW145" i="7"/>
  <c r="E358" i="7" s="1"/>
  <c r="DZ145" i="7"/>
  <c r="E289" i="7" s="1"/>
  <c r="HI14" i="7"/>
  <c r="GG14" i="7"/>
  <c r="FH14" i="7"/>
  <c r="EI14" i="7"/>
  <c r="DP14" i="7"/>
  <c r="DR14" i="7" s="1"/>
  <c r="DM14" i="7"/>
  <c r="FK14" i="7"/>
  <c r="EL14" i="7"/>
  <c r="HF14" i="7"/>
  <c r="GE14" i="7"/>
  <c r="FF14" i="7"/>
  <c r="EG14" i="7"/>
  <c r="HL14" i="7"/>
  <c r="HN14" i="7" s="1"/>
  <c r="GJ14" i="7"/>
  <c r="HD14" i="7"/>
  <c r="GM14" i="7"/>
  <c r="GO14" i="7" s="1"/>
  <c r="FN14" i="7"/>
  <c r="FP14" i="7" s="1"/>
  <c r="EO14" i="7"/>
  <c r="EQ14" i="7" s="1"/>
  <c r="DJ14" i="7"/>
  <c r="DH14" i="7"/>
  <c r="HL21" i="7"/>
  <c r="HN21" i="7" s="1"/>
  <c r="GG21" i="7"/>
  <c r="FF21" i="7"/>
  <c r="EG21" i="7"/>
  <c r="DM21" i="7"/>
  <c r="DJ21" i="7"/>
  <c r="HD21" i="7"/>
  <c r="DP21" i="7"/>
  <c r="DR21" i="7" s="1"/>
  <c r="HI21" i="7"/>
  <c r="GE21" i="7"/>
  <c r="FN21" i="7"/>
  <c r="FP21" i="7" s="1"/>
  <c r="EO21" i="7"/>
  <c r="EQ21" i="7" s="1"/>
  <c r="GJ21" i="7"/>
  <c r="HF21" i="7"/>
  <c r="GM21" i="7"/>
  <c r="GO21" i="7" s="1"/>
  <c r="FK21" i="7"/>
  <c r="EL21" i="7"/>
  <c r="DH21" i="7"/>
  <c r="FH21" i="7"/>
  <c r="EI21" i="7"/>
  <c r="HF63" i="7"/>
  <c r="GG63" i="7"/>
  <c r="FH63" i="7"/>
  <c r="EO63" i="7"/>
  <c r="EQ63" i="7" s="1"/>
  <c r="DJ63" i="7"/>
  <c r="HD63" i="7"/>
  <c r="GE63" i="7"/>
  <c r="FF63" i="7"/>
  <c r="EL63" i="7"/>
  <c r="DH63" i="7"/>
  <c r="GJ63" i="7"/>
  <c r="EG63" i="7"/>
  <c r="HL63" i="7"/>
  <c r="HN63" i="7" s="1"/>
  <c r="GM63" i="7"/>
  <c r="GO63" i="7" s="1"/>
  <c r="FN63" i="7"/>
  <c r="FP63" i="7" s="1"/>
  <c r="EI63" i="7"/>
  <c r="DP63" i="7"/>
  <c r="DR63" i="7" s="1"/>
  <c r="HI63" i="7"/>
  <c r="FK63" i="7"/>
  <c r="DM63" i="7"/>
  <c r="HL70" i="7"/>
  <c r="HN70" i="7" s="1"/>
  <c r="GJ70" i="7"/>
  <c r="FF70" i="7"/>
  <c r="EL70" i="7"/>
  <c r="DJ70" i="7"/>
  <c r="GM70" i="7"/>
  <c r="GO70" i="7" s="1"/>
  <c r="EO70" i="7"/>
  <c r="EQ70" i="7" s="1"/>
  <c r="HI70" i="7"/>
  <c r="GG70" i="7"/>
  <c r="FN70" i="7"/>
  <c r="FP70" i="7" s="1"/>
  <c r="EI70" i="7"/>
  <c r="DH70" i="7"/>
  <c r="HD70" i="7"/>
  <c r="HF70" i="7"/>
  <c r="GE70" i="7"/>
  <c r="FK70" i="7"/>
  <c r="EG70" i="7"/>
  <c r="DP70" i="7"/>
  <c r="DR70" i="7" s="1"/>
  <c r="FH70" i="7"/>
  <c r="DM70" i="7"/>
  <c r="Q77" i="7"/>
  <c r="HI77" i="7"/>
  <c r="GE77" i="7"/>
  <c r="FK77" i="7"/>
  <c r="EL77" i="7"/>
  <c r="DP77" i="7"/>
  <c r="DR77" i="7" s="1"/>
  <c r="HL77" i="7"/>
  <c r="HN77" i="7" s="1"/>
  <c r="GG77" i="7"/>
  <c r="DH77" i="7"/>
  <c r="HF77" i="7"/>
  <c r="GM77" i="7"/>
  <c r="GO77" i="7" s="1"/>
  <c r="FH77" i="7"/>
  <c r="EI77" i="7"/>
  <c r="DM77" i="7"/>
  <c r="FN77" i="7"/>
  <c r="FP77" i="7" s="1"/>
  <c r="HD77" i="7"/>
  <c r="GJ77" i="7"/>
  <c r="FF77" i="7"/>
  <c r="EG77" i="7"/>
  <c r="DJ77" i="7"/>
  <c r="EO77" i="7"/>
  <c r="EQ77" i="7" s="1"/>
  <c r="CK84" i="7"/>
  <c r="HL84" i="7"/>
  <c r="HN84" i="7" s="1"/>
  <c r="GM84" i="7"/>
  <c r="GO84" i="7" s="1"/>
  <c r="FK84" i="7"/>
  <c r="EI84" i="7"/>
  <c r="DJ84" i="7"/>
  <c r="HD84" i="7"/>
  <c r="GE84" i="7"/>
  <c r="DM84" i="7"/>
  <c r="HI84" i="7"/>
  <c r="GJ84" i="7"/>
  <c r="FH84" i="7"/>
  <c r="EG84" i="7"/>
  <c r="DH84" i="7"/>
  <c r="EL84" i="7"/>
  <c r="HF84" i="7"/>
  <c r="GG84" i="7"/>
  <c r="FF84" i="7"/>
  <c r="EO84" i="7"/>
  <c r="EQ84" i="7" s="1"/>
  <c r="DP84" i="7"/>
  <c r="DR84" i="7" s="1"/>
  <c r="FN84" i="7"/>
  <c r="FP84" i="7" s="1"/>
  <c r="W126" i="7"/>
  <c r="Y126" i="7" s="1"/>
  <c r="HD126" i="7"/>
  <c r="GJ126" i="7"/>
  <c r="FN126" i="7"/>
  <c r="FP126" i="7" s="1"/>
  <c r="EO126" i="7"/>
  <c r="EQ126" i="7" s="1"/>
  <c r="DJ126" i="7"/>
  <c r="HF126" i="7"/>
  <c r="GM126" i="7"/>
  <c r="GO126" i="7" s="1"/>
  <c r="DM126" i="7"/>
  <c r="HL126" i="7"/>
  <c r="HN126" i="7" s="1"/>
  <c r="GG126" i="7"/>
  <c r="FK126" i="7"/>
  <c r="EL126" i="7"/>
  <c r="DH126" i="7"/>
  <c r="HI126" i="7"/>
  <c r="GE126" i="7"/>
  <c r="FH126" i="7"/>
  <c r="EI126" i="7"/>
  <c r="DP126" i="7"/>
  <c r="DR126" i="7" s="1"/>
  <c r="FF126" i="7"/>
  <c r="EG126" i="7"/>
  <c r="O248" i="7"/>
  <c r="O259" i="7"/>
  <c r="P256" i="7"/>
  <c r="Q256" i="7"/>
  <c r="Q258" i="7" s="1"/>
  <c r="W256" i="7"/>
  <c r="HM145" i="7"/>
  <c r="GN145" i="7"/>
  <c r="FO145" i="7"/>
  <c r="EP145" i="7"/>
  <c r="C57" i="7"/>
  <c r="HF56" i="7"/>
  <c r="GJ56" i="7"/>
  <c r="HD56" i="7"/>
  <c r="GG56" i="7"/>
  <c r="HL56" i="7"/>
  <c r="HN56" i="7" s="1"/>
  <c r="HI56" i="7"/>
  <c r="GM56" i="7"/>
  <c r="GO56" i="7" s="1"/>
  <c r="FN56" i="7"/>
  <c r="FP56" i="7" s="1"/>
  <c r="EG56" i="7"/>
  <c r="GE56" i="7"/>
  <c r="FK56" i="7"/>
  <c r="EO56" i="7"/>
  <c r="EQ56" i="7" s="1"/>
  <c r="DH56" i="7"/>
  <c r="DM56" i="7"/>
  <c r="DJ56" i="7"/>
  <c r="FH56" i="7"/>
  <c r="EL56" i="7"/>
  <c r="DP56" i="7"/>
  <c r="DR56" i="7" s="1"/>
  <c r="FF56" i="7"/>
  <c r="EI56" i="7"/>
  <c r="HP145" i="7"/>
  <c r="GQ145" i="7"/>
  <c r="FR145" i="7"/>
  <c r="ES145" i="7"/>
  <c r="HP146" i="7"/>
  <c r="FR146" i="7"/>
  <c r="GQ146" i="7"/>
  <c r="ES146" i="7"/>
  <c r="HP147" i="7"/>
  <c r="GQ147" i="7"/>
  <c r="FR147" i="7"/>
  <c r="ES147" i="7"/>
  <c r="HM148" i="7"/>
  <c r="GN148" i="7"/>
  <c r="FO148" i="7"/>
  <c r="EP148" i="7"/>
  <c r="HP149" i="7"/>
  <c r="GQ149" i="7"/>
  <c r="FR149" i="7"/>
  <c r="ES149" i="7"/>
  <c r="HM150" i="7"/>
  <c r="GN150" i="7"/>
  <c r="FO150" i="7"/>
  <c r="EP150" i="7"/>
  <c r="HM151" i="7"/>
  <c r="GN151" i="7"/>
  <c r="FO151" i="7"/>
  <c r="EP151" i="7"/>
  <c r="HM152" i="7"/>
  <c r="GN152" i="7"/>
  <c r="FO152" i="7"/>
  <c r="EP152" i="7"/>
  <c r="HM147" i="7"/>
  <c r="GN147" i="7"/>
  <c r="FO147" i="7"/>
  <c r="EP147" i="7"/>
  <c r="HP148" i="7"/>
  <c r="GQ148" i="7"/>
  <c r="FR148" i="7"/>
  <c r="ES148" i="7"/>
  <c r="HP150" i="7"/>
  <c r="GQ150" i="7"/>
  <c r="FR150" i="7"/>
  <c r="ES150" i="7"/>
  <c r="HP151" i="7"/>
  <c r="GQ151" i="7"/>
  <c r="FR151" i="7"/>
  <c r="ES151" i="7"/>
  <c r="HP152" i="7"/>
  <c r="GQ152" i="7"/>
  <c r="FR152" i="7"/>
  <c r="ES152" i="7"/>
  <c r="HM153" i="7"/>
  <c r="GN153" i="7"/>
  <c r="FO153" i="7"/>
  <c r="EP153" i="7"/>
  <c r="HM154" i="7"/>
  <c r="GN154" i="7"/>
  <c r="FO154" i="7"/>
  <c r="EP154" i="7"/>
  <c r="HM146" i="7"/>
  <c r="GN146" i="7"/>
  <c r="FO146" i="7"/>
  <c r="EP146" i="7"/>
  <c r="FO149" i="7"/>
  <c r="GN149" i="7"/>
  <c r="HM149" i="7"/>
  <c r="EP149" i="7"/>
  <c r="HP153" i="7"/>
  <c r="GQ153" i="7"/>
  <c r="FR153" i="7"/>
  <c r="ES153" i="7"/>
  <c r="HP154" i="7"/>
  <c r="GQ154" i="7"/>
  <c r="FR154" i="7"/>
  <c r="ES154" i="7"/>
  <c r="HL113" i="7"/>
  <c r="HN113" i="7" s="1"/>
  <c r="HI113" i="7"/>
  <c r="GM113" i="7"/>
  <c r="GO113" i="7" s="1"/>
  <c r="HF113" i="7"/>
  <c r="GJ113" i="7"/>
  <c r="HD113" i="7"/>
  <c r="GG113" i="7"/>
  <c r="FH113" i="7"/>
  <c r="EG113" i="7"/>
  <c r="DM113" i="7"/>
  <c r="GE113" i="7"/>
  <c r="FF113" i="7"/>
  <c r="EO113" i="7"/>
  <c r="EQ113" i="7" s="1"/>
  <c r="DJ113" i="7"/>
  <c r="FN113" i="7"/>
  <c r="FP113" i="7" s="1"/>
  <c r="FK113" i="7"/>
  <c r="DP113" i="7"/>
  <c r="DR113" i="7" s="1"/>
  <c r="EL113" i="7"/>
  <c r="DH113" i="7"/>
  <c r="EI113" i="7"/>
  <c r="HJ29" i="7"/>
  <c r="HK29" i="7" s="1"/>
  <c r="GX29" i="7"/>
  <c r="GW30" i="7" s="1"/>
  <c r="HE29" i="7"/>
  <c r="HG29" i="7"/>
  <c r="HC30" i="7"/>
  <c r="GK29" i="7"/>
  <c r="GL29" i="7" s="1"/>
  <c r="GF29" i="7"/>
  <c r="FY29" i="7"/>
  <c r="FX30" i="7" s="1"/>
  <c r="GD29" i="7"/>
  <c r="GH28" i="7"/>
  <c r="FL30" i="7"/>
  <c r="FM30" i="7" s="1"/>
  <c r="EZ30" i="7"/>
  <c r="EY31" i="7" s="1"/>
  <c r="FG30" i="7"/>
  <c r="FE30" i="7"/>
  <c r="FI29" i="7"/>
  <c r="EJ30" i="7"/>
  <c r="EF31" i="7"/>
  <c r="EM30" i="7"/>
  <c r="EN30" i="7" s="1"/>
  <c r="EA30" i="7"/>
  <c r="DZ31" i="7" s="1"/>
  <c r="EH30" i="7"/>
  <c r="DN30" i="7"/>
  <c r="DO30" i="7" s="1"/>
  <c r="DB30" i="7"/>
  <c r="DA31" i="7" s="1"/>
  <c r="DI30" i="7"/>
  <c r="DK29" i="7"/>
  <c r="DG30" i="7"/>
  <c r="O237" i="7"/>
  <c r="BQ23" i="8"/>
  <c r="BP23" i="8"/>
  <c r="BD23" i="8"/>
  <c r="BC24" i="8" s="1"/>
  <c r="BK23" i="8"/>
  <c r="BM23" i="8"/>
  <c r="R23" i="8"/>
  <c r="S23" i="8" s="1"/>
  <c r="F23" i="8"/>
  <c r="E24" i="8" s="1"/>
  <c r="M23" i="8"/>
  <c r="CO24" i="8"/>
  <c r="CC24" i="8"/>
  <c r="CB25" i="8" s="1"/>
  <c r="CJ24" i="8"/>
  <c r="CL24" i="8"/>
  <c r="CP24" i="8"/>
  <c r="DN25" i="8"/>
  <c r="DO25" i="8" s="1"/>
  <c r="DB25" i="8"/>
  <c r="DA26" i="8" s="1"/>
  <c r="DI25" i="8"/>
  <c r="G298" i="8"/>
  <c r="G326" i="8" s="1"/>
  <c r="G305" i="8"/>
  <c r="G329" i="8" s="1"/>
  <c r="DG25" i="8"/>
  <c r="DK24" i="8"/>
  <c r="DG147" i="8"/>
  <c r="G270" i="8" s="1"/>
  <c r="CH147" i="8"/>
  <c r="G247" i="8" s="1"/>
  <c r="CH27" i="8"/>
  <c r="AQ24" i="8"/>
  <c r="AR24" i="8" s="1"/>
  <c r="AE24" i="8"/>
  <c r="AD25" i="8" s="1"/>
  <c r="AL24" i="8"/>
  <c r="AJ147" i="8"/>
  <c r="AN26" i="8"/>
  <c r="AJ27" i="8"/>
  <c r="K25" i="8"/>
  <c r="O24" i="8"/>
  <c r="BI26" i="8"/>
  <c r="BW49" i="7"/>
  <c r="K6" i="7"/>
  <c r="M6" i="7"/>
  <c r="CV49" i="7"/>
  <c r="BW98" i="7"/>
  <c r="V126" i="7"/>
  <c r="CS126" i="7"/>
  <c r="AV7" i="7"/>
  <c r="AX7" i="7" s="1"/>
  <c r="BI7" i="7"/>
  <c r="BI8" i="7" s="1"/>
  <c r="AX35" i="7"/>
  <c r="E217" i="7"/>
  <c r="BW150" i="7"/>
  <c r="J236" i="7"/>
  <c r="J237" i="7" s="1"/>
  <c r="E248" i="7"/>
  <c r="F248" i="7"/>
  <c r="H259" i="7"/>
  <c r="J248" i="7"/>
  <c r="K259" i="7"/>
  <c r="L259" i="7"/>
  <c r="N248" i="7"/>
  <c r="P259" i="7"/>
  <c r="S259" i="7"/>
  <c r="T259" i="7"/>
  <c r="V248" i="7"/>
  <c r="E250" i="7"/>
  <c r="F250" i="7"/>
  <c r="G250" i="7"/>
  <c r="H250" i="7"/>
  <c r="I250" i="7"/>
  <c r="J250" i="7"/>
  <c r="K250" i="7"/>
  <c r="L250" i="7"/>
  <c r="M250" i="7"/>
  <c r="N250" i="7"/>
  <c r="Q250" i="7"/>
  <c r="R250" i="7"/>
  <c r="S250" i="7"/>
  <c r="T250" i="7"/>
  <c r="U250" i="7"/>
  <c r="V250" i="7"/>
  <c r="W250" i="7"/>
  <c r="BT153" i="7"/>
  <c r="M234" i="7" s="1"/>
  <c r="M233" i="7"/>
  <c r="G259" i="7"/>
  <c r="H248" i="7"/>
  <c r="I259" i="7"/>
  <c r="K248" i="7"/>
  <c r="M259" i="7"/>
  <c r="Q259" i="7"/>
  <c r="S248" i="7"/>
  <c r="T248" i="7"/>
  <c r="U248" i="7"/>
  <c r="V259" i="7"/>
  <c r="W248" i="7"/>
  <c r="BT147" i="7"/>
  <c r="G234" i="7" s="1"/>
  <c r="G233" i="7"/>
  <c r="E253" i="7"/>
  <c r="F237" i="7"/>
  <c r="F253" i="7"/>
  <c r="G253" i="7"/>
  <c r="H253" i="7"/>
  <c r="I253" i="7"/>
  <c r="J253" i="7"/>
  <c r="K253" i="7"/>
  <c r="L253" i="7"/>
  <c r="M253" i="7"/>
  <c r="N253" i="7"/>
  <c r="Q253" i="7"/>
  <c r="R253" i="7"/>
  <c r="S253" i="7"/>
  <c r="T253" i="7"/>
  <c r="U253" i="7"/>
  <c r="V253" i="7"/>
  <c r="W253" i="7"/>
  <c r="E259" i="7"/>
  <c r="F259" i="7"/>
  <c r="G248" i="7"/>
  <c r="I248" i="7"/>
  <c r="J259" i="7"/>
  <c r="L248" i="7"/>
  <c r="M248" i="7"/>
  <c r="N259" i="7"/>
  <c r="Q248" i="7"/>
  <c r="R248" i="7"/>
  <c r="BT149" i="7"/>
  <c r="I234" i="7" s="1"/>
  <c r="I233" i="7"/>
  <c r="BT152" i="7"/>
  <c r="L234" i="7" s="1"/>
  <c r="L233" i="7"/>
  <c r="E237" i="7"/>
  <c r="F256" i="7"/>
  <c r="G237" i="7"/>
  <c r="H237" i="7"/>
  <c r="H256" i="7"/>
  <c r="I237" i="7"/>
  <c r="K237" i="7"/>
  <c r="L237" i="7"/>
  <c r="M237" i="7"/>
  <c r="N237" i="7"/>
  <c r="P237" i="7"/>
  <c r="Q237" i="7"/>
  <c r="R237" i="7"/>
  <c r="R256" i="7"/>
  <c r="S237" i="7"/>
  <c r="S256" i="7"/>
  <c r="T237" i="7"/>
  <c r="T256" i="7"/>
  <c r="U237" i="7"/>
  <c r="U256" i="7"/>
  <c r="V237" i="7"/>
  <c r="V256" i="7"/>
  <c r="W237" i="7"/>
  <c r="BW56" i="7"/>
  <c r="AX63" i="7"/>
  <c r="L28" i="7"/>
  <c r="BZ50" i="7"/>
  <c r="BW7" i="7"/>
  <c r="CK35" i="7"/>
  <c r="T112" i="7"/>
  <c r="V112" i="7" s="1"/>
  <c r="BW147" i="7"/>
  <c r="CV134" i="7"/>
  <c r="BO21" i="7"/>
  <c r="BO84" i="7"/>
  <c r="BO14" i="7"/>
  <c r="AV112" i="7"/>
  <c r="AX112" i="7" s="1"/>
  <c r="CT7" i="7"/>
  <c r="CV7" i="7" s="1"/>
  <c r="BU14" i="7"/>
  <c r="BW14" i="7" s="1"/>
  <c r="BU21" i="7"/>
  <c r="BW21" i="7" s="1"/>
  <c r="BU28" i="7"/>
  <c r="BW28" i="7" s="1"/>
  <c r="N49" i="7"/>
  <c r="L56" i="7"/>
  <c r="AX56" i="7"/>
  <c r="CK56" i="7"/>
  <c r="AB64" i="7"/>
  <c r="AB65" i="7" s="1"/>
  <c r="AB66" i="7" s="1"/>
  <c r="BT154" i="7"/>
  <c r="N234" i="7" s="1"/>
  <c r="W84" i="7"/>
  <c r="Y84" i="7" s="1"/>
  <c r="C85" i="7"/>
  <c r="BO98" i="7"/>
  <c r="AK98" i="7"/>
  <c r="AV119" i="7"/>
  <c r="AX119" i="7" s="1"/>
  <c r="CN126" i="7"/>
  <c r="BL126" i="7"/>
  <c r="C43" i="7"/>
  <c r="CN43" i="7" s="1"/>
  <c r="AB78" i="7"/>
  <c r="CB145" i="7"/>
  <c r="E241" i="7" s="1"/>
  <c r="DA145" i="7"/>
  <c r="E265" i="7" s="1"/>
  <c r="C29" i="7"/>
  <c r="AK29" i="7" s="1"/>
  <c r="BL28" i="7"/>
  <c r="CN28" i="7"/>
  <c r="CN35" i="7"/>
  <c r="BT151" i="7"/>
  <c r="K234" i="7" s="1"/>
  <c r="C78" i="7"/>
  <c r="N84" i="7"/>
  <c r="AP84" i="7"/>
  <c r="BA85" i="7"/>
  <c r="BA86" i="7" s="1"/>
  <c r="BU86" i="7" s="1"/>
  <c r="BW86" i="7" s="1"/>
  <c r="BA99" i="7"/>
  <c r="BO112" i="7"/>
  <c r="AP112" i="7"/>
  <c r="CK112" i="7"/>
  <c r="C64" i="7"/>
  <c r="CN84" i="7"/>
  <c r="F6" i="7"/>
  <c r="E7" i="7" s="1"/>
  <c r="CL6" i="7"/>
  <c r="CT14" i="7"/>
  <c r="CV14" i="7" s="1"/>
  <c r="CT21" i="7"/>
  <c r="CV21" i="7" s="1"/>
  <c r="BR28" i="7"/>
  <c r="BT28" i="7" s="1"/>
  <c r="BO35" i="7"/>
  <c r="C36" i="7"/>
  <c r="CN49" i="7"/>
  <c r="AS49" i="7"/>
  <c r="AU49" i="7" s="1"/>
  <c r="BA57" i="7"/>
  <c r="BU57" i="7" s="1"/>
  <c r="BW57" i="7" s="1"/>
  <c r="AP63" i="7"/>
  <c r="BW70" i="7"/>
  <c r="BL77" i="7"/>
  <c r="T84" i="7"/>
  <c r="V84" i="7" s="1"/>
  <c r="L98" i="7"/>
  <c r="CI105" i="7"/>
  <c r="N126" i="7"/>
  <c r="AP126" i="7"/>
  <c r="BU126" i="7"/>
  <c r="BW126" i="7" s="1"/>
  <c r="CN133" i="7"/>
  <c r="CN57" i="7"/>
  <c r="CU154" i="7"/>
  <c r="DT154" i="7"/>
  <c r="CR147" i="7"/>
  <c r="DQ147" i="7"/>
  <c r="CU149" i="7"/>
  <c r="DT149" i="7"/>
  <c r="CU152" i="7"/>
  <c r="DT152" i="7"/>
  <c r="CR148" i="7"/>
  <c r="DQ148" i="7"/>
  <c r="CR151" i="7"/>
  <c r="DQ151" i="7"/>
  <c r="CU153" i="7"/>
  <c r="DT153" i="7"/>
  <c r="CR155" i="7"/>
  <c r="DQ155" i="7"/>
  <c r="CU156" i="7"/>
  <c r="DU156" i="7"/>
  <c r="DR157" i="7"/>
  <c r="CU158" i="7"/>
  <c r="DU158" i="7"/>
  <c r="BW159" i="7"/>
  <c r="CR160" i="7"/>
  <c r="DR160" i="7"/>
  <c r="CU161" i="7"/>
  <c r="DU161" i="7"/>
  <c r="CU162" i="7"/>
  <c r="DU162" i="7"/>
  <c r="CR162" i="7"/>
  <c r="DR162" i="7"/>
  <c r="C437" i="7"/>
  <c r="CR145" i="7"/>
  <c r="CS145" i="7" s="1"/>
  <c r="DQ145" i="7"/>
  <c r="CR146" i="7"/>
  <c r="DQ146" i="7"/>
  <c r="CU150" i="7"/>
  <c r="DT150" i="7"/>
  <c r="CR153" i="7"/>
  <c r="DQ153" i="7"/>
  <c r="CR161" i="7"/>
  <c r="DR161" i="7"/>
  <c r="CU145" i="7"/>
  <c r="DT145" i="7"/>
  <c r="CU148" i="7"/>
  <c r="DT148" i="7"/>
  <c r="CU155" i="7"/>
  <c r="DT155" i="7"/>
  <c r="AS78" i="7"/>
  <c r="AU78" i="7" s="1"/>
  <c r="DU157" i="7"/>
  <c r="BW158" i="7"/>
  <c r="CR159" i="7"/>
  <c r="DR159" i="7"/>
  <c r="CU160" i="7"/>
  <c r="DU160" i="7"/>
  <c r="CR154" i="7"/>
  <c r="DQ154" i="7"/>
  <c r="CR158" i="7"/>
  <c r="DR158" i="7"/>
  <c r="CU163" i="7"/>
  <c r="CU146" i="7"/>
  <c r="DT146" i="7"/>
  <c r="CU147" i="7"/>
  <c r="DT147" i="7"/>
  <c r="BW149" i="7"/>
  <c r="CR149" i="7"/>
  <c r="DQ149" i="7"/>
  <c r="CR150" i="7"/>
  <c r="DQ150" i="7"/>
  <c r="CU151" i="7"/>
  <c r="DT151" i="7"/>
  <c r="BO56" i="7"/>
  <c r="AK56" i="7"/>
  <c r="CR152" i="7"/>
  <c r="DQ152" i="7"/>
  <c r="CR156" i="7"/>
  <c r="P257" i="7" s="1"/>
  <c r="DQ156" i="7"/>
  <c r="CU159" i="7"/>
  <c r="DU159" i="7"/>
  <c r="CI113" i="7"/>
  <c r="AV113" i="7"/>
  <c r="AX113" i="7" s="1"/>
  <c r="CN113" i="7"/>
  <c r="CR163" i="7"/>
  <c r="BZ37" i="7"/>
  <c r="CT37" i="7" s="1"/>
  <c r="CV37" i="7" s="1"/>
  <c r="CT36" i="7"/>
  <c r="CV36" i="7" s="1"/>
  <c r="BR42" i="7"/>
  <c r="BT42" i="7" s="1"/>
  <c r="CQ42" i="7"/>
  <c r="CS42" i="7" s="1"/>
  <c r="CN70" i="7"/>
  <c r="BO70" i="7"/>
  <c r="AP70" i="7"/>
  <c r="T70" i="7"/>
  <c r="V70" i="7" s="1"/>
  <c r="W70" i="7"/>
  <c r="Y70" i="7" s="1"/>
  <c r="CT84" i="7"/>
  <c r="CV84" i="7" s="1"/>
  <c r="BK6" i="7"/>
  <c r="BW145" i="7"/>
  <c r="AV28" i="7"/>
  <c r="AX28" i="7" s="1"/>
  <c r="CI28" i="7"/>
  <c r="W35" i="7"/>
  <c r="Y35" i="7" s="1"/>
  <c r="BJ35" i="7"/>
  <c r="BW42" i="7"/>
  <c r="BT150" i="7"/>
  <c r="J234" i="7" s="1"/>
  <c r="AM43" i="7"/>
  <c r="Q56" i="7"/>
  <c r="AP56" i="7"/>
  <c r="BL56" i="7"/>
  <c r="CQ56" i="7"/>
  <c r="CS56" i="7" s="1"/>
  <c r="AB57" i="7"/>
  <c r="AV57" i="7" s="1"/>
  <c r="AX57" i="7" s="1"/>
  <c r="AS70" i="7"/>
  <c r="AU70" i="7" s="1"/>
  <c r="AX77" i="7"/>
  <c r="BT157" i="7"/>
  <c r="Q234" i="7" s="1"/>
  <c r="AB134" i="7"/>
  <c r="AV134" i="7" s="1"/>
  <c r="AX134" i="7" s="1"/>
  <c r="AV133" i="7"/>
  <c r="AX133" i="7" s="1"/>
  <c r="CT70" i="7"/>
  <c r="CV70" i="7" s="1"/>
  <c r="AX47" i="7"/>
  <c r="AV42" i="7"/>
  <c r="AX42" i="7" s="1"/>
  <c r="CI42" i="7"/>
  <c r="N70" i="7"/>
  <c r="CK70" i="7"/>
  <c r="C71" i="7"/>
  <c r="BU77" i="7"/>
  <c r="BW77" i="7" s="1"/>
  <c r="BU112" i="7"/>
  <c r="BW112" i="7" s="1"/>
  <c r="BA113" i="7"/>
  <c r="BU113" i="7" s="1"/>
  <c r="BW113" i="7" s="1"/>
  <c r="Q42" i="7"/>
  <c r="AM42" i="7"/>
  <c r="BO57" i="7"/>
  <c r="AK70" i="7"/>
  <c r="CT35" i="7"/>
  <c r="CV35" i="7" s="1"/>
  <c r="L42" i="7"/>
  <c r="W42" i="7"/>
  <c r="Y42" i="7" s="1"/>
  <c r="CI43" i="7"/>
  <c r="T56" i="7"/>
  <c r="V56" i="7" s="1"/>
  <c r="N57" i="7"/>
  <c r="AL6" i="7"/>
  <c r="AM28" i="7"/>
  <c r="CV28" i="7"/>
  <c r="CQ28" i="7"/>
  <c r="CS28" i="7" s="1"/>
  <c r="N35" i="7"/>
  <c r="AS35" i="7"/>
  <c r="AU35" i="7" s="1"/>
  <c r="BR35" i="7"/>
  <c r="BT35" i="7" s="1"/>
  <c r="AB36" i="7"/>
  <c r="AV36" i="7" s="1"/>
  <c r="AX36" i="7" s="1"/>
  <c r="N42" i="7"/>
  <c r="BL42" i="7"/>
  <c r="CN42" i="7"/>
  <c r="W49" i="7"/>
  <c r="Y49" i="7" s="1"/>
  <c r="BO49" i="7"/>
  <c r="W57" i="7"/>
  <c r="Y57" i="7" s="1"/>
  <c r="AS57" i="7"/>
  <c r="AU57" i="7" s="1"/>
  <c r="BJ57" i="7"/>
  <c r="BJ70" i="7"/>
  <c r="BA71" i="7"/>
  <c r="BT155" i="7"/>
  <c r="O234" i="7" s="1"/>
  <c r="BU91" i="7"/>
  <c r="BW91" i="7" s="1"/>
  <c r="BA92" i="7"/>
  <c r="BU92" i="7" s="1"/>
  <c r="BW92" i="7" s="1"/>
  <c r="AV105" i="7"/>
  <c r="AX105" i="7" s="1"/>
  <c r="BZ107" i="7"/>
  <c r="CT107" i="7" s="1"/>
  <c r="CV107" i="7" s="1"/>
  <c r="CT106" i="7"/>
  <c r="CV106" i="7" s="1"/>
  <c r="CT105" i="7"/>
  <c r="CV105" i="7" s="1"/>
  <c r="BZ121" i="7"/>
  <c r="CT120" i="7"/>
  <c r="CV120" i="7" s="1"/>
  <c r="CT133" i="7"/>
  <c r="CV133" i="7" s="1"/>
  <c r="CI64" i="7"/>
  <c r="L77" i="7"/>
  <c r="CQ77" i="7"/>
  <c r="CS77" i="7" s="1"/>
  <c r="AS84" i="7"/>
  <c r="AU84" i="7" s="1"/>
  <c r="BW84" i="7"/>
  <c r="Q98" i="7"/>
  <c r="AP98" i="7"/>
  <c r="CT98" i="7"/>
  <c r="CV98" i="7" s="1"/>
  <c r="AK112" i="7"/>
  <c r="CT112" i="7"/>
  <c r="CV112" i="7" s="1"/>
  <c r="CT119" i="7"/>
  <c r="CV119" i="7" s="1"/>
  <c r="L126" i="7"/>
  <c r="AS126" i="7"/>
  <c r="AU126" i="7" s="1"/>
  <c r="BO126" i="7"/>
  <c r="CK126" i="7"/>
  <c r="BZ127" i="7"/>
  <c r="CT127" i="7" s="1"/>
  <c r="CV127" i="7" s="1"/>
  <c r="T98" i="7"/>
  <c r="V98" i="7" s="1"/>
  <c r="CI63" i="7"/>
  <c r="W64" i="7"/>
  <c r="Y64" i="7" s="1"/>
  <c r="AK84" i="7"/>
  <c r="BJ84" i="7"/>
  <c r="CK98" i="7"/>
  <c r="C99" i="7"/>
  <c r="Q126" i="7"/>
  <c r="AK126" i="7"/>
  <c r="BJ126" i="7"/>
  <c r="C127" i="7"/>
  <c r="CN127" i="7" s="1"/>
  <c r="BU127" i="7"/>
  <c r="BW127" i="7" s="1"/>
  <c r="S6" i="7"/>
  <c r="K7" i="7"/>
  <c r="O7" i="7" s="1"/>
  <c r="AX146" i="7"/>
  <c r="F212" i="7" s="1"/>
  <c r="AX148" i="7"/>
  <c r="H212" i="7" s="1"/>
  <c r="L185" i="7"/>
  <c r="V152" i="7"/>
  <c r="L186" i="7" s="1"/>
  <c r="BA23" i="7"/>
  <c r="BU22" i="7"/>
  <c r="BW22" i="7" s="1"/>
  <c r="E188" i="7"/>
  <c r="E404" i="7" s="1"/>
  <c r="Y145" i="7"/>
  <c r="E189" i="7" s="1"/>
  <c r="F188" i="7"/>
  <c r="Y146" i="7"/>
  <c r="F189" i="7" s="1"/>
  <c r="AX145" i="7"/>
  <c r="E212" i="7" s="1"/>
  <c r="BZ9" i="7"/>
  <c r="CT8" i="7"/>
  <c r="CV8" i="7" s="1"/>
  <c r="CT15" i="7"/>
  <c r="CV15" i="7" s="1"/>
  <c r="BZ16" i="7"/>
  <c r="CT22" i="7"/>
  <c r="CV22" i="7" s="1"/>
  <c r="BZ23" i="7"/>
  <c r="H185" i="7"/>
  <c r="V148" i="7"/>
  <c r="H186" i="7" s="1"/>
  <c r="BU29" i="7"/>
  <c r="BW29" i="7" s="1"/>
  <c r="BA30" i="7"/>
  <c r="K185" i="7"/>
  <c r="V151" i="7"/>
  <c r="K186" i="7" s="1"/>
  <c r="AX154" i="7"/>
  <c r="N212" i="7" s="1"/>
  <c r="BA16" i="7"/>
  <c r="BU15" i="7"/>
  <c r="BW15" i="7" s="1"/>
  <c r="F185" i="7"/>
  <c r="V146" i="7"/>
  <c r="F186" i="7" s="1"/>
  <c r="AB30" i="7"/>
  <c r="AV29" i="7"/>
  <c r="AX29" i="7" s="1"/>
  <c r="AU145" i="7"/>
  <c r="E209" i="7" s="1"/>
  <c r="AV15" i="7"/>
  <c r="AX15" i="7" s="1"/>
  <c r="AB16" i="7"/>
  <c r="AU146" i="7"/>
  <c r="F209" i="7" s="1"/>
  <c r="AB23" i="7"/>
  <c r="AV22" i="7"/>
  <c r="AX22" i="7" s="1"/>
  <c r="H188" i="7"/>
  <c r="Y148" i="7"/>
  <c r="H189" i="7" s="1"/>
  <c r="AU148" i="7"/>
  <c r="H209" i="7" s="1"/>
  <c r="AX151" i="7"/>
  <c r="K212" i="7" s="1"/>
  <c r="AX152" i="7"/>
  <c r="L212" i="7" s="1"/>
  <c r="BM6" i="7"/>
  <c r="T7" i="7"/>
  <c r="V7" i="7" s="1"/>
  <c r="AK7" i="7"/>
  <c r="T14" i="7"/>
  <c r="V14" i="7" s="1"/>
  <c r="C15" i="7"/>
  <c r="C22" i="7"/>
  <c r="BA43" i="7"/>
  <c r="L7" i="7"/>
  <c r="L14" i="7"/>
  <c r="Q14" i="7"/>
  <c r="BL14" i="7"/>
  <c r="CQ14" i="7"/>
  <c r="CS14" i="7" s="1"/>
  <c r="L21" i="7"/>
  <c r="Q21" i="7"/>
  <c r="BL21" i="7"/>
  <c r="CQ21" i="7"/>
  <c r="CS21" i="7" s="1"/>
  <c r="BA36" i="7"/>
  <c r="BU35" i="7"/>
  <c r="BW35" i="7" s="1"/>
  <c r="CK36" i="7"/>
  <c r="J188" i="7"/>
  <c r="Y150" i="7"/>
  <c r="J189" i="7" s="1"/>
  <c r="BZ44" i="7"/>
  <c r="CT43" i="7"/>
  <c r="CV43" i="7" s="1"/>
  <c r="AV44" i="7"/>
  <c r="AX44" i="7" s="1"/>
  <c r="AV46" i="7"/>
  <c r="AX46" i="7" s="1"/>
  <c r="AV70" i="7"/>
  <c r="AX70" i="7" s="1"/>
  <c r="AB71" i="7"/>
  <c r="AV78" i="7"/>
  <c r="AX78" i="7" s="1"/>
  <c r="AB79" i="7"/>
  <c r="AX155" i="7"/>
  <c r="O212" i="7" s="1"/>
  <c r="P185" i="7"/>
  <c r="P401" i="7" s="1"/>
  <c r="V156" i="7"/>
  <c r="P186" i="7" s="1"/>
  <c r="AX157" i="7"/>
  <c r="Q212" i="7" s="1"/>
  <c r="AU160" i="7"/>
  <c r="T209" i="7" s="1"/>
  <c r="CK7" i="7"/>
  <c r="C8" i="7"/>
  <c r="AK14" i="7"/>
  <c r="CK14" i="7"/>
  <c r="T21" i="7"/>
  <c r="V21" i="7" s="1"/>
  <c r="AK21" i="7"/>
  <c r="BZ29" i="7"/>
  <c r="N185" i="7"/>
  <c r="V154" i="7"/>
  <c r="N186" i="7" s="1"/>
  <c r="V155" i="7"/>
  <c r="O186" i="7" s="1"/>
  <c r="AX156" i="7"/>
  <c r="P212" i="7" s="1"/>
  <c r="CK91" i="7"/>
  <c r="BO91" i="7"/>
  <c r="BJ91" i="7"/>
  <c r="AM91" i="7"/>
  <c r="Q91" i="7"/>
  <c r="L91" i="7"/>
  <c r="C92" i="7"/>
  <c r="BR91" i="7"/>
  <c r="BT91" i="7" s="1"/>
  <c r="T91" i="7"/>
  <c r="V91" i="7" s="1"/>
  <c r="CN91" i="7"/>
  <c r="CI91" i="7"/>
  <c r="BL91" i="7"/>
  <c r="AP91" i="7"/>
  <c r="AK91" i="7"/>
  <c r="W91" i="7"/>
  <c r="Y91" i="7" s="1"/>
  <c r="N91" i="7"/>
  <c r="CQ91" i="7"/>
  <c r="CS91" i="7" s="1"/>
  <c r="AS91" i="7"/>
  <c r="AU91" i="7" s="1"/>
  <c r="AJ6" i="7"/>
  <c r="CC6" i="7"/>
  <c r="CB7" i="7" s="1"/>
  <c r="CJ7" i="7" s="1"/>
  <c r="CJ6" i="7"/>
  <c r="CO6" i="7"/>
  <c r="Q7" i="7"/>
  <c r="CH7" i="7"/>
  <c r="BD6" i="7"/>
  <c r="BC7" i="7" s="1"/>
  <c r="BP6" i="7"/>
  <c r="AM7" i="7"/>
  <c r="BR7" i="7"/>
  <c r="BT7" i="7" s="1"/>
  <c r="CI7" i="7"/>
  <c r="CN7" i="7"/>
  <c r="BA8" i="7"/>
  <c r="AM14" i="7"/>
  <c r="AV14" i="7"/>
  <c r="AX14" i="7" s="1"/>
  <c r="BR14" i="7"/>
  <c r="BT14" i="7" s="1"/>
  <c r="CI14" i="7"/>
  <c r="CN14" i="7"/>
  <c r="AM21" i="7"/>
  <c r="AV21" i="7"/>
  <c r="AX21" i="7" s="1"/>
  <c r="BR21" i="7"/>
  <c r="BT21" i="7" s="1"/>
  <c r="CI21" i="7"/>
  <c r="CN21" i="7"/>
  <c r="N28" i="7"/>
  <c r="W28" i="7"/>
  <c r="Y28" i="7" s="1"/>
  <c r="AS28" i="7"/>
  <c r="AU28" i="7" s="1"/>
  <c r="BJ28" i="7"/>
  <c r="BO28" i="7"/>
  <c r="J185" i="7"/>
  <c r="V150" i="7"/>
  <c r="J186" i="7" s="1"/>
  <c r="CT56" i="7"/>
  <c r="CV56" i="7" s="1"/>
  <c r="BZ57" i="7"/>
  <c r="L64" i="7"/>
  <c r="AK64" i="7"/>
  <c r="T64" i="7"/>
  <c r="V64" i="7" s="1"/>
  <c r="AX153" i="7"/>
  <c r="M212" i="7" s="1"/>
  <c r="X128" i="7"/>
  <c r="X129" i="7" s="1"/>
  <c r="X130" i="7" s="1"/>
  <c r="X131" i="7" s="1"/>
  <c r="AP7" i="7"/>
  <c r="AP14" i="7"/>
  <c r="AP21" i="7"/>
  <c r="CK21" i="7"/>
  <c r="BR36" i="7"/>
  <c r="BT36" i="7" s="1"/>
  <c r="BL36" i="7"/>
  <c r="M185" i="7"/>
  <c r="V153" i="7"/>
  <c r="M186" i="7" s="1"/>
  <c r="BL7" i="7"/>
  <c r="CQ7" i="7"/>
  <c r="CS7" i="7" s="1"/>
  <c r="AE6" i="7"/>
  <c r="AD7" i="7" s="1"/>
  <c r="N7" i="7"/>
  <c r="W7" i="7"/>
  <c r="Y7" i="7" s="1"/>
  <c r="AS7" i="7"/>
  <c r="AU7" i="7" s="1"/>
  <c r="BJ7" i="7"/>
  <c r="BO7" i="7"/>
  <c r="AB8" i="7"/>
  <c r="N14" i="7"/>
  <c r="W14" i="7"/>
  <c r="Y14" i="7" s="1"/>
  <c r="AS14" i="7"/>
  <c r="AU14" i="7" s="1"/>
  <c r="BJ14" i="7"/>
  <c r="N21" i="7"/>
  <c r="W21" i="7"/>
  <c r="Y21" i="7" s="1"/>
  <c r="AS21" i="7"/>
  <c r="AU21" i="7" s="1"/>
  <c r="BJ21" i="7"/>
  <c r="T28" i="7"/>
  <c r="V28" i="7" s="1"/>
  <c r="AK28" i="7"/>
  <c r="AP28" i="7"/>
  <c r="CK28" i="7"/>
  <c r="BJ36" i="7"/>
  <c r="AV43" i="7"/>
  <c r="AX43" i="7" s="1"/>
  <c r="AV45" i="7"/>
  <c r="AX45" i="7" s="1"/>
  <c r="AV49" i="7"/>
  <c r="AX49" i="7" s="1"/>
  <c r="AB50" i="7"/>
  <c r="CT50" i="7"/>
  <c r="CV50" i="7" s="1"/>
  <c r="BZ51" i="7"/>
  <c r="BU64" i="7"/>
  <c r="BW64" i="7" s="1"/>
  <c r="BA65" i="7"/>
  <c r="BZ64" i="7"/>
  <c r="CT63" i="7"/>
  <c r="CV63" i="7" s="1"/>
  <c r="CQ119" i="7"/>
  <c r="CS119" i="7" s="1"/>
  <c r="BL119" i="7"/>
  <c r="Q119" i="7"/>
  <c r="L119" i="7"/>
  <c r="C120" i="7"/>
  <c r="CK119" i="7"/>
  <c r="AP119" i="7"/>
  <c r="AK119" i="7"/>
  <c r="T119" i="7"/>
  <c r="V119" i="7" s="1"/>
  <c r="BO119" i="7"/>
  <c r="BJ119" i="7"/>
  <c r="AS119" i="7"/>
  <c r="AU119" i="7" s="1"/>
  <c r="W119" i="7"/>
  <c r="Y119" i="7" s="1"/>
  <c r="N119" i="7"/>
  <c r="CI119" i="7"/>
  <c r="AM119" i="7"/>
  <c r="BR119" i="7"/>
  <c r="BT119" i="7" s="1"/>
  <c r="CN119" i="7"/>
  <c r="AX162" i="7"/>
  <c r="V212" i="7" s="1"/>
  <c r="T35" i="7"/>
  <c r="V35" i="7" s="1"/>
  <c r="AK35" i="7"/>
  <c r="AP35" i="7"/>
  <c r="CQ35" i="7"/>
  <c r="CS35" i="7" s="1"/>
  <c r="AS42" i="7"/>
  <c r="AU42" i="7" s="1"/>
  <c r="BJ42" i="7"/>
  <c r="BO42" i="7"/>
  <c r="T49" i="7"/>
  <c r="V49" i="7" s="1"/>
  <c r="AK49" i="7"/>
  <c r="AP49" i="7"/>
  <c r="CK49" i="7"/>
  <c r="C50" i="7"/>
  <c r="BA50" i="7"/>
  <c r="AM56" i="7"/>
  <c r="BR56" i="7"/>
  <c r="BT56" i="7" s="1"/>
  <c r="CI56" i="7"/>
  <c r="CN56" i="7"/>
  <c r="T57" i="7"/>
  <c r="V57" i="7" s="1"/>
  <c r="AK57" i="7"/>
  <c r="AP57" i="7"/>
  <c r="CK57" i="7"/>
  <c r="C58" i="7"/>
  <c r="Q63" i="7"/>
  <c r="AK63" i="7"/>
  <c r="BU63" i="7"/>
  <c r="BW63" i="7" s="1"/>
  <c r="CK63" i="7"/>
  <c r="CQ63" i="7"/>
  <c r="CS63" i="7" s="1"/>
  <c r="BJ78" i="7"/>
  <c r="CT85" i="7"/>
  <c r="CV85" i="7" s="1"/>
  <c r="BZ86" i="7"/>
  <c r="AX158" i="7"/>
  <c r="R212" i="7" s="1"/>
  <c r="BU119" i="7"/>
  <c r="BW119" i="7" s="1"/>
  <c r="BA120" i="7"/>
  <c r="U163" i="7"/>
  <c r="W185" i="7" s="1"/>
  <c r="U162" i="7"/>
  <c r="V185" i="7" s="1"/>
  <c r="AU153" i="7"/>
  <c r="M209" i="7" s="1"/>
  <c r="L35" i="7"/>
  <c r="Q35" i="7"/>
  <c r="BL35" i="7"/>
  <c r="CI35" i="7"/>
  <c r="T42" i="7"/>
  <c r="V42" i="7" s="1"/>
  <c r="AK42" i="7"/>
  <c r="AP42" i="7"/>
  <c r="CK42" i="7"/>
  <c r="CT42" i="7"/>
  <c r="CV42" i="7" s="1"/>
  <c r="L49" i="7"/>
  <c r="Q49" i="7"/>
  <c r="BL49" i="7"/>
  <c r="CQ49" i="7"/>
  <c r="CS49" i="7" s="1"/>
  <c r="N56" i="7"/>
  <c r="W56" i="7"/>
  <c r="Y56" i="7" s="1"/>
  <c r="AS56" i="7"/>
  <c r="AU56" i="7" s="1"/>
  <c r="BJ56" i="7"/>
  <c r="L57" i="7"/>
  <c r="Q57" i="7"/>
  <c r="BL57" i="7"/>
  <c r="CQ57" i="7"/>
  <c r="CS57" i="7" s="1"/>
  <c r="L63" i="7"/>
  <c r="BL63" i="7"/>
  <c r="BR63" i="7"/>
  <c r="BT63" i="7" s="1"/>
  <c r="W78" i="7"/>
  <c r="Y78" i="7" s="1"/>
  <c r="AV84" i="7"/>
  <c r="AX84" i="7" s="1"/>
  <c r="AB85" i="7"/>
  <c r="S188" i="7"/>
  <c r="Y159" i="7"/>
  <c r="S189" i="7" s="1"/>
  <c r="AV114" i="7"/>
  <c r="AX114" i="7" s="1"/>
  <c r="AB115" i="7"/>
  <c r="AU161" i="7"/>
  <c r="U209" i="7" s="1"/>
  <c r="V149" i="7"/>
  <c r="I186" i="7" s="1"/>
  <c r="AM49" i="7"/>
  <c r="BR49" i="7"/>
  <c r="BT49" i="7" s="1"/>
  <c r="CI49" i="7"/>
  <c r="AM57" i="7"/>
  <c r="BR57" i="7"/>
  <c r="BT57" i="7" s="1"/>
  <c r="CI57" i="7"/>
  <c r="BO63" i="7"/>
  <c r="BJ63" i="7"/>
  <c r="AS63" i="7"/>
  <c r="AU63" i="7" s="1"/>
  <c r="W63" i="7"/>
  <c r="Y63" i="7" s="1"/>
  <c r="N63" i="7"/>
  <c r="T63" i="7"/>
  <c r="V63" i="7" s="1"/>
  <c r="AM63" i="7"/>
  <c r="CN63" i="7"/>
  <c r="CT71" i="7"/>
  <c r="CV71" i="7" s="1"/>
  <c r="BZ72" i="7"/>
  <c r="CN78" i="7"/>
  <c r="CI78" i="7"/>
  <c r="BR78" i="7"/>
  <c r="BT78" i="7" s="1"/>
  <c r="AM78" i="7"/>
  <c r="CQ78" i="7"/>
  <c r="CS78" i="7" s="1"/>
  <c r="BL78" i="7"/>
  <c r="Q78" i="7"/>
  <c r="L78" i="7"/>
  <c r="C79" i="7"/>
  <c r="CK78" i="7"/>
  <c r="AP78" i="7"/>
  <c r="AK78" i="7"/>
  <c r="T78" i="7"/>
  <c r="V78" i="7" s="1"/>
  <c r="BU78" i="7"/>
  <c r="BW78" i="7" s="1"/>
  <c r="BA79" i="7"/>
  <c r="CT77" i="7"/>
  <c r="CV77" i="7" s="1"/>
  <c r="BZ78" i="7"/>
  <c r="N78" i="7"/>
  <c r="AV91" i="7"/>
  <c r="AX91" i="7" s="1"/>
  <c r="AB92" i="7"/>
  <c r="BZ92" i="7"/>
  <c r="CT91" i="7"/>
  <c r="CV91" i="7" s="1"/>
  <c r="AU159" i="7"/>
  <c r="S209" i="7" s="1"/>
  <c r="AV120" i="7"/>
  <c r="AX120" i="7" s="1"/>
  <c r="AB121" i="7"/>
  <c r="AX161" i="7"/>
  <c r="U212" i="7" s="1"/>
  <c r="BT156" i="7"/>
  <c r="P234" i="7" s="1"/>
  <c r="AM71" i="7"/>
  <c r="BR71" i="7"/>
  <c r="BT71" i="7" s="1"/>
  <c r="CI71" i="7"/>
  <c r="CN71" i="7"/>
  <c r="AM77" i="7"/>
  <c r="BR77" i="7"/>
  <c r="BT77" i="7" s="1"/>
  <c r="CI77" i="7"/>
  <c r="CN77" i="7"/>
  <c r="AM85" i="7"/>
  <c r="BR85" i="7"/>
  <c r="BT85" i="7" s="1"/>
  <c r="CI85" i="7"/>
  <c r="CN85" i="7"/>
  <c r="AX160" i="7"/>
  <c r="T212" i="7" s="1"/>
  <c r="AU162" i="7"/>
  <c r="V209" i="7" s="1"/>
  <c r="BO133" i="7"/>
  <c r="BJ133" i="7"/>
  <c r="AS133" i="7"/>
  <c r="AU133" i="7" s="1"/>
  <c r="W133" i="7"/>
  <c r="Y133" i="7" s="1"/>
  <c r="N133" i="7"/>
  <c r="C134" i="7"/>
  <c r="BR133" i="7"/>
  <c r="BT133" i="7" s="1"/>
  <c r="BL133" i="7"/>
  <c r="L133" i="7"/>
  <c r="CQ133" i="7"/>
  <c r="CS133" i="7" s="1"/>
  <c r="CK133" i="7"/>
  <c r="AK133" i="7"/>
  <c r="Q133" i="7"/>
  <c r="CI133" i="7"/>
  <c r="AP133" i="7"/>
  <c r="T133" i="7"/>
  <c r="V133" i="7" s="1"/>
  <c r="AM133" i="7"/>
  <c r="AU149" i="7"/>
  <c r="I209" i="7" s="1"/>
  <c r="V158" i="7"/>
  <c r="R186" i="7" s="1"/>
  <c r="L70" i="7"/>
  <c r="Q70" i="7"/>
  <c r="BL70" i="7"/>
  <c r="CQ70" i="7"/>
  <c r="CS70" i="7" s="1"/>
  <c r="N71" i="7"/>
  <c r="W71" i="7"/>
  <c r="Y71" i="7" s="1"/>
  <c r="AS71" i="7"/>
  <c r="AU71" i="7" s="1"/>
  <c r="BJ71" i="7"/>
  <c r="BO71" i="7"/>
  <c r="N77" i="7"/>
  <c r="W77" i="7"/>
  <c r="Y77" i="7" s="1"/>
  <c r="AS77" i="7"/>
  <c r="AU77" i="7" s="1"/>
  <c r="BJ77" i="7"/>
  <c r="BO77" i="7"/>
  <c r="L84" i="7"/>
  <c r="Q84" i="7"/>
  <c r="BL84" i="7"/>
  <c r="CQ84" i="7"/>
  <c r="CS84" i="7" s="1"/>
  <c r="N85" i="7"/>
  <c r="W85" i="7"/>
  <c r="Y85" i="7" s="1"/>
  <c r="AS85" i="7"/>
  <c r="AU85" i="7" s="1"/>
  <c r="BJ85" i="7"/>
  <c r="BO85" i="7"/>
  <c r="CT99" i="7"/>
  <c r="CV99" i="7" s="1"/>
  <c r="BZ100" i="7"/>
  <c r="CQ105" i="7"/>
  <c r="CS105" i="7" s="1"/>
  <c r="BL105" i="7"/>
  <c r="Q105" i="7"/>
  <c r="L105" i="7"/>
  <c r="C106" i="7"/>
  <c r="CK105" i="7"/>
  <c r="AP105" i="7"/>
  <c r="AK105" i="7"/>
  <c r="T105" i="7"/>
  <c r="V105" i="7" s="1"/>
  <c r="BO105" i="7"/>
  <c r="BJ105" i="7"/>
  <c r="AS105" i="7"/>
  <c r="AU105" i="7" s="1"/>
  <c r="W105" i="7"/>
  <c r="Y105" i="7" s="1"/>
  <c r="N105" i="7"/>
  <c r="AV106" i="7"/>
  <c r="AX106" i="7" s="1"/>
  <c r="AB107" i="7"/>
  <c r="BU105" i="7"/>
  <c r="BW105" i="7" s="1"/>
  <c r="BA106" i="7"/>
  <c r="BR105" i="7"/>
  <c r="BT105" i="7" s="1"/>
  <c r="BZ108" i="7"/>
  <c r="CN105" i="7"/>
  <c r="CQ113" i="7"/>
  <c r="CS113" i="7" s="1"/>
  <c r="BL113" i="7"/>
  <c r="Q113" i="7"/>
  <c r="L113" i="7"/>
  <c r="C114" i="7"/>
  <c r="CK113" i="7"/>
  <c r="AP113" i="7"/>
  <c r="AK113" i="7"/>
  <c r="T113" i="7"/>
  <c r="V113" i="7" s="1"/>
  <c r="BO113" i="7"/>
  <c r="BJ113" i="7"/>
  <c r="AS113" i="7"/>
  <c r="AU113" i="7" s="1"/>
  <c r="W113" i="7"/>
  <c r="Y113" i="7" s="1"/>
  <c r="N113" i="7"/>
  <c r="AM113" i="7"/>
  <c r="BR113" i="7"/>
  <c r="BT113" i="7" s="1"/>
  <c r="AV126" i="7"/>
  <c r="AX126" i="7" s="1"/>
  <c r="AB127" i="7"/>
  <c r="AU163" i="7"/>
  <c r="W209" i="7" s="1"/>
  <c r="AX163" i="7"/>
  <c r="W212" i="7" s="1"/>
  <c r="AU157" i="7"/>
  <c r="Q209" i="7" s="1"/>
  <c r="AM70" i="7"/>
  <c r="BR70" i="7"/>
  <c r="BT70" i="7" s="1"/>
  <c r="CI70" i="7"/>
  <c r="T71" i="7"/>
  <c r="V71" i="7" s="1"/>
  <c r="AK71" i="7"/>
  <c r="AP71" i="7"/>
  <c r="CK71" i="7"/>
  <c r="T77" i="7"/>
  <c r="V77" i="7" s="1"/>
  <c r="AK77" i="7"/>
  <c r="AP77" i="7"/>
  <c r="CK77" i="7"/>
  <c r="AM84" i="7"/>
  <c r="BR84" i="7"/>
  <c r="BT84" i="7" s="1"/>
  <c r="CI84" i="7"/>
  <c r="T85" i="7"/>
  <c r="V85" i="7" s="1"/>
  <c r="AK85" i="7"/>
  <c r="AP85" i="7"/>
  <c r="CK85" i="7"/>
  <c r="BU99" i="7"/>
  <c r="BW99" i="7" s="1"/>
  <c r="BA100" i="7"/>
  <c r="CT113" i="7"/>
  <c r="CV113" i="7" s="1"/>
  <c r="BZ114" i="7"/>
  <c r="BU128" i="7"/>
  <c r="BW128" i="7" s="1"/>
  <c r="BA129" i="7"/>
  <c r="BW154" i="7"/>
  <c r="CQ98" i="7"/>
  <c r="CS98" i="7" s="1"/>
  <c r="AB99" i="7"/>
  <c r="L112" i="7"/>
  <c r="Q112" i="7"/>
  <c r="BL112" i="7"/>
  <c r="CQ112" i="7"/>
  <c r="CS112" i="7" s="1"/>
  <c r="BT145" i="7"/>
  <c r="E234" i="7" s="1"/>
  <c r="V147" i="7"/>
  <c r="G186" i="7" s="1"/>
  <c r="AU147" i="7"/>
  <c r="G209" i="7" s="1"/>
  <c r="AX149" i="7"/>
  <c r="I212" i="7" s="1"/>
  <c r="AU150" i="7"/>
  <c r="J209" i="7" s="1"/>
  <c r="BW151" i="7"/>
  <c r="AU154" i="7"/>
  <c r="N209" i="7" s="1"/>
  <c r="BW155" i="7"/>
  <c r="V157" i="7"/>
  <c r="Q186" i="7" s="1"/>
  <c r="AM98" i="7"/>
  <c r="BR98" i="7"/>
  <c r="BT98" i="7" s="1"/>
  <c r="CI98" i="7"/>
  <c r="CN98" i="7"/>
  <c r="AM112" i="7"/>
  <c r="BR112" i="7"/>
  <c r="BT112" i="7" s="1"/>
  <c r="CI112" i="7"/>
  <c r="CN112" i="7"/>
  <c r="BU134" i="7"/>
  <c r="BW134" i="7" s="1"/>
  <c r="BA135" i="7"/>
  <c r="BU133" i="7"/>
  <c r="BW133" i="7" s="1"/>
  <c r="BT146" i="7"/>
  <c r="F234" i="7" s="1"/>
  <c r="AX147" i="7"/>
  <c r="G212" i="7" s="1"/>
  <c r="BT148" i="7"/>
  <c r="H234" i="7" s="1"/>
  <c r="AX150" i="7"/>
  <c r="J212" i="7" s="1"/>
  <c r="AU151" i="7"/>
  <c r="K209" i="7" s="1"/>
  <c r="BW152" i="7"/>
  <c r="AU155" i="7"/>
  <c r="O209" i="7" s="1"/>
  <c r="N98" i="7"/>
  <c r="W98" i="7"/>
  <c r="Y98" i="7" s="1"/>
  <c r="AS98" i="7"/>
  <c r="AU98" i="7" s="1"/>
  <c r="BJ98" i="7"/>
  <c r="N112" i="7"/>
  <c r="W112" i="7"/>
  <c r="Y112" i="7" s="1"/>
  <c r="AS112" i="7"/>
  <c r="AU112" i="7" s="1"/>
  <c r="BJ112" i="7"/>
  <c r="AM126" i="7"/>
  <c r="BR126" i="7"/>
  <c r="BT126" i="7" s="1"/>
  <c r="CI126" i="7"/>
  <c r="BZ135" i="7"/>
  <c r="BW146" i="7"/>
  <c r="BW148" i="7"/>
  <c r="AU152" i="7"/>
  <c r="L209" i="7" s="1"/>
  <c r="BW153" i="7"/>
  <c r="AU156" i="7"/>
  <c r="P209" i="7" s="1"/>
  <c r="BT159" i="7"/>
  <c r="S234" i="7" s="1"/>
  <c r="V145" i="7"/>
  <c r="E186" i="7" s="1"/>
  <c r="Y147" i="7"/>
  <c r="G189" i="7" s="1"/>
  <c r="Y149" i="7"/>
  <c r="I189" i="7" s="1"/>
  <c r="BW157" i="7"/>
  <c r="Y158" i="7"/>
  <c r="R189" i="7" s="1"/>
  <c r="BW156" i="7"/>
  <c r="Y157" i="7"/>
  <c r="Q189" i="7" s="1"/>
  <c r="V159" i="7"/>
  <c r="S186" i="7" s="1"/>
  <c r="Y151" i="7"/>
  <c r="K189" i="7" s="1"/>
  <c r="Y152" i="7"/>
  <c r="L189" i="7" s="1"/>
  <c r="Y153" i="7"/>
  <c r="M189" i="7" s="1"/>
  <c r="Y154" i="7"/>
  <c r="N189" i="7" s="1"/>
  <c r="Y155" i="7"/>
  <c r="O189" i="7" s="1"/>
  <c r="Y156" i="7"/>
  <c r="P189" i="7" s="1"/>
  <c r="AU158" i="7"/>
  <c r="R209" i="7" s="1"/>
  <c r="V160" i="7"/>
  <c r="T186" i="7" s="1"/>
  <c r="BT160" i="7"/>
  <c r="T234" i="7" s="1"/>
  <c r="BT161" i="7"/>
  <c r="U234" i="7" s="1"/>
  <c r="BT162" i="7"/>
  <c r="V234" i="7" s="1"/>
  <c r="BT163" i="7"/>
  <c r="W234" i="7" s="1"/>
  <c r="AX159" i="7"/>
  <c r="S212" i="7" s="1"/>
  <c r="BW160" i="7"/>
  <c r="V161" i="7"/>
  <c r="U186" i="7" s="1"/>
  <c r="BW161" i="7"/>
  <c r="BW162" i="7"/>
  <c r="BW163" i="7"/>
  <c r="BT158" i="7"/>
  <c r="R234" i="7" s="1"/>
  <c r="T187" i="7"/>
  <c r="Y160" i="7"/>
  <c r="T189" i="7" s="1"/>
  <c r="Y161" i="7"/>
  <c r="U189" i="7" s="1"/>
  <c r="G415" i="7"/>
  <c r="K415" i="7"/>
  <c r="O415" i="7"/>
  <c r="W415" i="7"/>
  <c r="G414" i="7"/>
  <c r="O414" i="7"/>
  <c r="S414" i="7"/>
  <c r="M414" i="7"/>
  <c r="I415" i="7"/>
  <c r="Q415" i="7"/>
  <c r="H414" i="7"/>
  <c r="C385" i="7"/>
  <c r="E286" i="1"/>
  <c r="E279" i="1"/>
  <c r="E276" i="1"/>
  <c r="E274" i="1"/>
  <c r="AS148" i="1"/>
  <c r="H207" i="1" s="1"/>
  <c r="AS145" i="1"/>
  <c r="AM145" i="1"/>
  <c r="E210" i="1"/>
  <c r="E207" i="1"/>
  <c r="E204" i="1"/>
  <c r="E201" i="1"/>
  <c r="E199" i="1"/>
  <c r="F193" i="1"/>
  <c r="G193" i="1"/>
  <c r="E193" i="1"/>
  <c r="F192" i="1"/>
  <c r="G192" i="1"/>
  <c r="H192" i="1"/>
  <c r="E192" i="1"/>
  <c r="C193" i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DK82" i="9" l="1"/>
  <c r="DG83" i="9"/>
  <c r="DN82" i="9"/>
  <c r="DO82" i="9" s="1"/>
  <c r="DI82" i="9"/>
  <c r="DB82" i="9"/>
  <c r="DA83" i="9" s="1"/>
  <c r="CO83" i="9"/>
  <c r="CP83" i="9" s="1"/>
  <c r="CC83" i="9"/>
  <c r="CB84" i="9" s="1"/>
  <c r="CJ83" i="9"/>
  <c r="CH84" i="9"/>
  <c r="CL83" i="9"/>
  <c r="BP82" i="9"/>
  <c r="BQ82" i="9" s="1"/>
  <c r="BD82" i="9"/>
  <c r="BC83" i="9" s="1"/>
  <c r="BK82" i="9"/>
  <c r="BI84" i="9"/>
  <c r="BM84" i="9" s="1"/>
  <c r="AQ82" i="9"/>
  <c r="AR82" i="9" s="1"/>
  <c r="AE82" i="9"/>
  <c r="AD83" i="9" s="1"/>
  <c r="AL82" i="9"/>
  <c r="AN82" i="9"/>
  <c r="AJ83" i="9"/>
  <c r="O81" i="9"/>
  <c r="K82" i="9"/>
  <c r="BI155" i="9"/>
  <c r="O223" i="9" s="1"/>
  <c r="BM155" i="9"/>
  <c r="O227" i="9" s="1"/>
  <c r="O198" i="9"/>
  <c r="CH155" i="9"/>
  <c r="O247" i="9" s="1"/>
  <c r="DG155" i="9"/>
  <c r="O271" i="9" s="1"/>
  <c r="R73" i="9"/>
  <c r="S73" i="9" s="1"/>
  <c r="E74" i="9"/>
  <c r="F74" i="9" s="1"/>
  <c r="M73" i="9"/>
  <c r="DR150" i="7"/>
  <c r="J281" i="7"/>
  <c r="J282" i="7" s="1"/>
  <c r="FS153" i="7"/>
  <c r="M331" i="7"/>
  <c r="M332" i="7" s="1"/>
  <c r="FP154" i="7"/>
  <c r="N328" i="7"/>
  <c r="N329" i="7" s="1"/>
  <c r="FS151" i="7"/>
  <c r="K331" i="7"/>
  <c r="K332" i="7" s="1"/>
  <c r="FP147" i="7"/>
  <c r="G328" i="7"/>
  <c r="G329" i="7" s="1"/>
  <c r="FP151" i="7"/>
  <c r="K328" i="7"/>
  <c r="K329" i="7" s="1"/>
  <c r="FS149" i="7"/>
  <c r="I331" i="7"/>
  <c r="I332" i="7" s="1"/>
  <c r="GR146" i="7"/>
  <c r="F354" i="7"/>
  <c r="F355" i="7" s="1"/>
  <c r="EQ145" i="7"/>
  <c r="E305" i="7"/>
  <c r="E306" i="7" s="1"/>
  <c r="DU147" i="7"/>
  <c r="G284" i="7"/>
  <c r="G285" i="7" s="1"/>
  <c r="DU155" i="7"/>
  <c r="O284" i="7"/>
  <c r="O285" i="7" s="1"/>
  <c r="DU145" i="7"/>
  <c r="E284" i="7"/>
  <c r="E285" i="7" s="1"/>
  <c r="DR153" i="7"/>
  <c r="M281" i="7"/>
  <c r="M282" i="7" s="1"/>
  <c r="DR146" i="7"/>
  <c r="F281" i="7"/>
  <c r="F282" i="7" s="1"/>
  <c r="GR154" i="7"/>
  <c r="N354" i="7"/>
  <c r="N355" i="7" s="1"/>
  <c r="GR153" i="7"/>
  <c r="M354" i="7"/>
  <c r="M355" i="7" s="1"/>
  <c r="GO149" i="7"/>
  <c r="I351" i="7"/>
  <c r="I352" i="7" s="1"/>
  <c r="GO146" i="7"/>
  <c r="F351" i="7"/>
  <c r="F352" i="7" s="1"/>
  <c r="GO154" i="7"/>
  <c r="N351" i="7"/>
  <c r="N352" i="7" s="1"/>
  <c r="GO153" i="7"/>
  <c r="M351" i="7"/>
  <c r="M352" i="7" s="1"/>
  <c r="GR152" i="7"/>
  <c r="L354" i="7"/>
  <c r="L355" i="7" s="1"/>
  <c r="GR151" i="7"/>
  <c r="K354" i="7"/>
  <c r="K355" i="7" s="1"/>
  <c r="GR150" i="7"/>
  <c r="J354" i="7"/>
  <c r="J355" i="7" s="1"/>
  <c r="GR148" i="7"/>
  <c r="H354" i="7"/>
  <c r="H355" i="7" s="1"/>
  <c r="GO147" i="7"/>
  <c r="G351" i="7"/>
  <c r="G352" i="7" s="1"/>
  <c r="GO152" i="7"/>
  <c r="L351" i="7"/>
  <c r="L352" i="7" s="1"/>
  <c r="GO151" i="7"/>
  <c r="K351" i="7"/>
  <c r="K352" i="7" s="1"/>
  <c r="GO150" i="7"/>
  <c r="J351" i="7"/>
  <c r="J352" i="7" s="1"/>
  <c r="GR149" i="7"/>
  <c r="I354" i="7"/>
  <c r="I355" i="7" s="1"/>
  <c r="GO148" i="7"/>
  <c r="H351" i="7"/>
  <c r="H352" i="7" s="1"/>
  <c r="GR147" i="7"/>
  <c r="G354" i="7"/>
  <c r="G355" i="7" s="1"/>
  <c r="FS146" i="7"/>
  <c r="F331" i="7"/>
  <c r="F332" i="7" s="1"/>
  <c r="GR145" i="7"/>
  <c r="E354" i="7"/>
  <c r="E355" i="7" s="1"/>
  <c r="FP145" i="7"/>
  <c r="E328" i="7"/>
  <c r="E329" i="7" s="1"/>
  <c r="DR155" i="7"/>
  <c r="O281" i="7"/>
  <c r="O282" i="7" s="1"/>
  <c r="DU152" i="7"/>
  <c r="L284" i="7"/>
  <c r="L285" i="7" s="1"/>
  <c r="HN149" i="7"/>
  <c r="I374" i="7"/>
  <c r="I375" i="7" s="1"/>
  <c r="FP153" i="7"/>
  <c r="M328" i="7"/>
  <c r="M329" i="7" s="1"/>
  <c r="FS150" i="7"/>
  <c r="J331" i="7"/>
  <c r="J332" i="7" s="1"/>
  <c r="FP150" i="7"/>
  <c r="J328" i="7"/>
  <c r="J329" i="7" s="1"/>
  <c r="FS147" i="7"/>
  <c r="G331" i="7"/>
  <c r="G332" i="7" s="1"/>
  <c r="DR152" i="7"/>
  <c r="L281" i="7"/>
  <c r="L282" i="7" s="1"/>
  <c r="DU151" i="7"/>
  <c r="K284" i="7"/>
  <c r="K285" i="7" s="1"/>
  <c r="DR149" i="7"/>
  <c r="I281" i="7"/>
  <c r="I282" i="7" s="1"/>
  <c r="DU153" i="7"/>
  <c r="M284" i="7"/>
  <c r="M285" i="7" s="1"/>
  <c r="DR148" i="7"/>
  <c r="H281" i="7"/>
  <c r="H282" i="7" s="1"/>
  <c r="DU149" i="7"/>
  <c r="I284" i="7"/>
  <c r="I285" i="7" s="1"/>
  <c r="DU154" i="7"/>
  <c r="N284" i="7"/>
  <c r="N285" i="7" s="1"/>
  <c r="HQ154" i="7"/>
  <c r="N377" i="7"/>
  <c r="N378" i="7" s="1"/>
  <c r="HQ153" i="7"/>
  <c r="M377" i="7"/>
  <c r="M378" i="7" s="1"/>
  <c r="FP149" i="7"/>
  <c r="I328" i="7"/>
  <c r="I329" i="7" s="1"/>
  <c r="HN146" i="7"/>
  <c r="F374" i="7"/>
  <c r="F375" i="7" s="1"/>
  <c r="HN154" i="7"/>
  <c r="N374" i="7"/>
  <c r="N375" i="7" s="1"/>
  <c r="HN153" i="7"/>
  <c r="M374" i="7"/>
  <c r="M375" i="7" s="1"/>
  <c r="HQ152" i="7"/>
  <c r="L377" i="7"/>
  <c r="L378" i="7" s="1"/>
  <c r="HQ151" i="7"/>
  <c r="K377" i="7"/>
  <c r="K378" i="7" s="1"/>
  <c r="HQ150" i="7"/>
  <c r="J377" i="7"/>
  <c r="J378" i="7" s="1"/>
  <c r="HQ148" i="7"/>
  <c r="H377" i="7"/>
  <c r="H378" i="7" s="1"/>
  <c r="HN147" i="7"/>
  <c r="G374" i="7"/>
  <c r="G375" i="7" s="1"/>
  <c r="HN152" i="7"/>
  <c r="L374" i="7"/>
  <c r="L375" i="7" s="1"/>
  <c r="HN151" i="7"/>
  <c r="K374" i="7"/>
  <c r="K375" i="7" s="1"/>
  <c r="HN150" i="7"/>
  <c r="J374" i="7"/>
  <c r="J375" i="7" s="1"/>
  <c r="HQ149" i="7"/>
  <c r="I377" i="7"/>
  <c r="I378" i="7" s="1"/>
  <c r="HN148" i="7"/>
  <c r="H374" i="7"/>
  <c r="H375" i="7" s="1"/>
  <c r="HQ147" i="7"/>
  <c r="G377" i="7"/>
  <c r="G378" i="7" s="1"/>
  <c r="HQ146" i="7"/>
  <c r="F377" i="7"/>
  <c r="F378" i="7" s="1"/>
  <c r="HQ145" i="7"/>
  <c r="E377" i="7"/>
  <c r="E378" i="7" s="1"/>
  <c r="GO145" i="7"/>
  <c r="E351" i="7"/>
  <c r="E352" i="7" s="1"/>
  <c r="P258" i="7"/>
  <c r="DR156" i="7"/>
  <c r="P281" i="7"/>
  <c r="P282" i="7" s="1"/>
  <c r="DR154" i="7"/>
  <c r="N281" i="7"/>
  <c r="N282" i="7" s="1"/>
  <c r="DR151" i="7"/>
  <c r="K281" i="7"/>
  <c r="K282" i="7" s="1"/>
  <c r="DR147" i="7"/>
  <c r="G281" i="7"/>
  <c r="G282" i="7" s="1"/>
  <c r="FS154" i="7"/>
  <c r="N331" i="7"/>
  <c r="N332" i="7" s="1"/>
  <c r="FP146" i="7"/>
  <c r="F328" i="7"/>
  <c r="F329" i="7" s="1"/>
  <c r="FS152" i="7"/>
  <c r="L331" i="7"/>
  <c r="L332" i="7" s="1"/>
  <c r="FS148" i="7"/>
  <c r="H331" i="7"/>
  <c r="H332" i="7" s="1"/>
  <c r="FP152" i="7"/>
  <c r="L328" i="7"/>
  <c r="L329" i="7" s="1"/>
  <c r="FP148" i="7"/>
  <c r="H328" i="7"/>
  <c r="H329" i="7" s="1"/>
  <c r="FS145" i="7"/>
  <c r="E331" i="7"/>
  <c r="E332" i="7" s="1"/>
  <c r="DU146" i="7"/>
  <c r="F284" i="7"/>
  <c r="F285" i="7" s="1"/>
  <c r="DU148" i="7"/>
  <c r="H284" i="7"/>
  <c r="H285" i="7" s="1"/>
  <c r="DU150" i="7"/>
  <c r="J284" i="7"/>
  <c r="J285" i="7" s="1"/>
  <c r="DR145" i="7"/>
  <c r="E281" i="7"/>
  <c r="E282" i="7" s="1"/>
  <c r="ET154" i="7"/>
  <c r="N308" i="7"/>
  <c r="N309" i="7" s="1"/>
  <c r="ET153" i="7"/>
  <c r="M308" i="7"/>
  <c r="M309" i="7" s="1"/>
  <c r="EQ149" i="7"/>
  <c r="I305" i="7"/>
  <c r="I306" i="7" s="1"/>
  <c r="EQ146" i="7"/>
  <c r="F305" i="7"/>
  <c r="F306" i="7" s="1"/>
  <c r="EQ154" i="7"/>
  <c r="N305" i="7"/>
  <c r="N306" i="7" s="1"/>
  <c r="EQ153" i="7"/>
  <c r="M305" i="7"/>
  <c r="M306" i="7" s="1"/>
  <c r="ET152" i="7"/>
  <c r="L308" i="7"/>
  <c r="L309" i="7" s="1"/>
  <c r="ET151" i="7"/>
  <c r="K308" i="7"/>
  <c r="K309" i="7" s="1"/>
  <c r="ET150" i="7"/>
  <c r="J308" i="7"/>
  <c r="J309" i="7" s="1"/>
  <c r="ET148" i="7"/>
  <c r="H308" i="7"/>
  <c r="H309" i="7" s="1"/>
  <c r="EQ147" i="7"/>
  <c r="G305" i="7"/>
  <c r="G306" i="7" s="1"/>
  <c r="EQ152" i="7"/>
  <c r="L305" i="7"/>
  <c r="L306" i="7" s="1"/>
  <c r="EQ151" i="7"/>
  <c r="K305" i="7"/>
  <c r="K306" i="7" s="1"/>
  <c r="EQ150" i="7"/>
  <c r="J305" i="7"/>
  <c r="J306" i="7" s="1"/>
  <c r="ET149" i="7"/>
  <c r="I308" i="7"/>
  <c r="I309" i="7" s="1"/>
  <c r="EQ148" i="7"/>
  <c r="H305" i="7"/>
  <c r="H306" i="7" s="1"/>
  <c r="ET147" i="7"/>
  <c r="G308" i="7"/>
  <c r="G309" i="7" s="1"/>
  <c r="ET146" i="7"/>
  <c r="F308" i="7"/>
  <c r="F309" i="7" s="1"/>
  <c r="ET145" i="7"/>
  <c r="E308" i="7"/>
  <c r="E309" i="7" s="1"/>
  <c r="HN145" i="7"/>
  <c r="E374" i="7"/>
  <c r="E375" i="7" s="1"/>
  <c r="J260" i="7"/>
  <c r="J261" i="7" s="1"/>
  <c r="R260" i="7"/>
  <c r="R404" i="7" s="1"/>
  <c r="J257" i="7"/>
  <c r="J258" i="7" s="1"/>
  <c r="O257" i="7"/>
  <c r="O258" i="7" s="1"/>
  <c r="L260" i="7"/>
  <c r="L261" i="7" s="1"/>
  <c r="G257" i="7"/>
  <c r="G258" i="7" s="1"/>
  <c r="AV64" i="7"/>
  <c r="AX64" i="7" s="1"/>
  <c r="O260" i="7"/>
  <c r="O261" i="7" s="1"/>
  <c r="E260" i="7"/>
  <c r="E261" i="7" s="1"/>
  <c r="E257" i="7"/>
  <c r="E258" i="7" s="1"/>
  <c r="I257" i="7"/>
  <c r="I258" i="7" s="1"/>
  <c r="R257" i="7"/>
  <c r="R401" i="7" s="1"/>
  <c r="U260" i="7"/>
  <c r="U404" i="7" s="1"/>
  <c r="P260" i="7"/>
  <c r="P261" i="7" s="1"/>
  <c r="CK43" i="7"/>
  <c r="AP29" i="7"/>
  <c r="BL43" i="7"/>
  <c r="BR29" i="7"/>
  <c r="BT29" i="7" s="1"/>
  <c r="N43" i="7"/>
  <c r="CQ29" i="7"/>
  <c r="CS29" i="7" s="1"/>
  <c r="BO43" i="7"/>
  <c r="BJ29" i="7"/>
  <c r="W43" i="7"/>
  <c r="Y43" i="7" s="1"/>
  <c r="T43" i="7"/>
  <c r="V43" i="7" s="1"/>
  <c r="C44" i="7"/>
  <c r="CQ43" i="7"/>
  <c r="CS43" i="7" s="1"/>
  <c r="L29" i="7"/>
  <c r="CI29" i="7"/>
  <c r="N29" i="7"/>
  <c r="BO29" i="7"/>
  <c r="CK29" i="7"/>
  <c r="BA87" i="7"/>
  <c r="BA88" i="7" s="1"/>
  <c r="AS43" i="7"/>
  <c r="AU43" i="7" s="1"/>
  <c r="AK43" i="7"/>
  <c r="L43" i="7"/>
  <c r="BL29" i="7"/>
  <c r="CN29" i="7"/>
  <c r="W29" i="7"/>
  <c r="Y29" i="7" s="1"/>
  <c r="T29" i="7"/>
  <c r="V29" i="7" s="1"/>
  <c r="C30" i="7"/>
  <c r="HD30" i="7" s="1"/>
  <c r="BR43" i="7"/>
  <c r="BT43" i="7" s="1"/>
  <c r="BJ43" i="7"/>
  <c r="AP43" i="7"/>
  <c r="Q43" i="7"/>
  <c r="AM29" i="7"/>
  <c r="Q29" i="7"/>
  <c r="AS29" i="7"/>
  <c r="AU29" i="7" s="1"/>
  <c r="BU85" i="7"/>
  <c r="BW85" i="7" s="1"/>
  <c r="AV66" i="7"/>
  <c r="AX66" i="7" s="1"/>
  <c r="AB67" i="7"/>
  <c r="AB68" i="7" s="1"/>
  <c r="AV68" i="7" s="1"/>
  <c r="AX68" i="7" s="1"/>
  <c r="Q99" i="7"/>
  <c r="HL99" i="7"/>
  <c r="HN99" i="7" s="1"/>
  <c r="HI99" i="7"/>
  <c r="HD99" i="7"/>
  <c r="GG99" i="7"/>
  <c r="GE99" i="7"/>
  <c r="GM99" i="7"/>
  <c r="GO99" i="7" s="1"/>
  <c r="FF99" i="7"/>
  <c r="EL99" i="7"/>
  <c r="DM99" i="7"/>
  <c r="HF99" i="7"/>
  <c r="GJ99" i="7"/>
  <c r="FN99" i="7"/>
  <c r="FP99" i="7" s="1"/>
  <c r="EI99" i="7"/>
  <c r="DJ99" i="7"/>
  <c r="FK99" i="7"/>
  <c r="EO99" i="7"/>
  <c r="EQ99" i="7" s="1"/>
  <c r="DH99" i="7"/>
  <c r="DP99" i="7"/>
  <c r="DR99" i="7" s="1"/>
  <c r="FH99" i="7"/>
  <c r="EG99" i="7"/>
  <c r="CV155" i="7"/>
  <c r="HL114" i="7"/>
  <c r="HN114" i="7" s="1"/>
  <c r="HI114" i="7"/>
  <c r="HF114" i="7"/>
  <c r="GM114" i="7"/>
  <c r="GO114" i="7" s="1"/>
  <c r="HD114" i="7"/>
  <c r="GJ114" i="7"/>
  <c r="GG114" i="7"/>
  <c r="FN114" i="7"/>
  <c r="FP114" i="7" s="1"/>
  <c r="EL114" i="7"/>
  <c r="DJ114" i="7"/>
  <c r="GE114" i="7"/>
  <c r="FK114" i="7"/>
  <c r="EI114" i="7"/>
  <c r="DH114" i="7"/>
  <c r="FH114" i="7"/>
  <c r="FF114" i="7"/>
  <c r="EO114" i="7"/>
  <c r="EQ114" i="7" s="1"/>
  <c r="DP114" i="7"/>
  <c r="DR114" i="7" s="1"/>
  <c r="EG114" i="7"/>
  <c r="DM114" i="7"/>
  <c r="HI134" i="7"/>
  <c r="HF134" i="7"/>
  <c r="HD134" i="7"/>
  <c r="GM134" i="7"/>
  <c r="GO134" i="7" s="1"/>
  <c r="HL134" i="7"/>
  <c r="HN134" i="7" s="1"/>
  <c r="GJ134" i="7"/>
  <c r="GG134" i="7"/>
  <c r="FF134" i="7"/>
  <c r="EO134" i="7"/>
  <c r="EQ134" i="7" s="1"/>
  <c r="DH134" i="7"/>
  <c r="GE134" i="7"/>
  <c r="FN134" i="7"/>
  <c r="FP134" i="7" s="1"/>
  <c r="EL134" i="7"/>
  <c r="DP134" i="7"/>
  <c r="DR134" i="7" s="1"/>
  <c r="FK134" i="7"/>
  <c r="EI134" i="7"/>
  <c r="DM134" i="7"/>
  <c r="FH134" i="7"/>
  <c r="EG134" i="7"/>
  <c r="DJ134" i="7"/>
  <c r="HF50" i="7"/>
  <c r="GJ50" i="7"/>
  <c r="HD50" i="7"/>
  <c r="GG50" i="7"/>
  <c r="HL50" i="7"/>
  <c r="HN50" i="7" s="1"/>
  <c r="HI50" i="7"/>
  <c r="FN50" i="7"/>
  <c r="FP50" i="7" s="1"/>
  <c r="EI50" i="7"/>
  <c r="GM50" i="7"/>
  <c r="GO50" i="7" s="1"/>
  <c r="FK50" i="7"/>
  <c r="EG50" i="7"/>
  <c r="GE50" i="7"/>
  <c r="EL50" i="7"/>
  <c r="DP50" i="7"/>
  <c r="DR50" i="7" s="1"/>
  <c r="DM50" i="7"/>
  <c r="FH50" i="7"/>
  <c r="DJ50" i="7"/>
  <c r="FF50" i="7"/>
  <c r="EO50" i="7"/>
  <c r="EQ50" i="7" s="1"/>
  <c r="DH50" i="7"/>
  <c r="T36" i="7"/>
  <c r="V36" i="7" s="1"/>
  <c r="HD36" i="7"/>
  <c r="HL36" i="7"/>
  <c r="HN36" i="7" s="1"/>
  <c r="HI36" i="7"/>
  <c r="GJ36" i="7"/>
  <c r="FF36" i="7"/>
  <c r="EG36" i="7"/>
  <c r="GG36" i="7"/>
  <c r="FN36" i="7"/>
  <c r="FP36" i="7" s="1"/>
  <c r="EO36" i="7"/>
  <c r="EQ36" i="7" s="1"/>
  <c r="HF36" i="7"/>
  <c r="GE36" i="7"/>
  <c r="FH36" i="7"/>
  <c r="EL36" i="7"/>
  <c r="DH36" i="7"/>
  <c r="FK36" i="7"/>
  <c r="DJ36" i="7"/>
  <c r="EI36" i="7"/>
  <c r="DP36" i="7"/>
  <c r="DR36" i="7" s="1"/>
  <c r="DM36" i="7"/>
  <c r="GM36" i="7"/>
  <c r="GO36" i="7" s="1"/>
  <c r="C86" i="7"/>
  <c r="BJ86" i="7" s="1"/>
  <c r="HL85" i="7"/>
  <c r="HN85" i="7" s="1"/>
  <c r="HI85" i="7"/>
  <c r="HF85" i="7"/>
  <c r="GE85" i="7"/>
  <c r="HD85" i="7"/>
  <c r="GM85" i="7"/>
  <c r="GO85" i="7" s="1"/>
  <c r="GJ85" i="7"/>
  <c r="FN85" i="7"/>
  <c r="FP85" i="7" s="1"/>
  <c r="EG85" i="7"/>
  <c r="DP85" i="7"/>
  <c r="DR85" i="7" s="1"/>
  <c r="FK85" i="7"/>
  <c r="EO85" i="7"/>
  <c r="EQ85" i="7" s="1"/>
  <c r="DM85" i="7"/>
  <c r="FH85" i="7"/>
  <c r="FF85" i="7"/>
  <c r="EL85" i="7"/>
  <c r="EI85" i="7"/>
  <c r="DJ85" i="7"/>
  <c r="GG85" i="7"/>
  <c r="DH85" i="7"/>
  <c r="CI99" i="7"/>
  <c r="HL106" i="7"/>
  <c r="HN106" i="7" s="1"/>
  <c r="HI106" i="7"/>
  <c r="GJ106" i="7"/>
  <c r="GG106" i="7"/>
  <c r="HF106" i="7"/>
  <c r="GE106" i="7"/>
  <c r="FH106" i="7"/>
  <c r="EG106" i="7"/>
  <c r="DJ106" i="7"/>
  <c r="FF106" i="7"/>
  <c r="EO106" i="7"/>
  <c r="EQ106" i="7" s="1"/>
  <c r="DH106" i="7"/>
  <c r="FN106" i="7"/>
  <c r="FP106" i="7" s="1"/>
  <c r="FK106" i="7"/>
  <c r="DP106" i="7"/>
  <c r="DR106" i="7" s="1"/>
  <c r="EL106" i="7"/>
  <c r="DM106" i="7"/>
  <c r="HD106" i="7"/>
  <c r="GM106" i="7"/>
  <c r="GO106" i="7" s="1"/>
  <c r="EI106" i="7"/>
  <c r="HF79" i="7"/>
  <c r="HD79" i="7"/>
  <c r="GG79" i="7"/>
  <c r="HL79" i="7"/>
  <c r="HN79" i="7" s="1"/>
  <c r="GE79" i="7"/>
  <c r="HI79" i="7"/>
  <c r="FH79" i="7"/>
  <c r="EG79" i="7"/>
  <c r="GM79" i="7"/>
  <c r="GO79" i="7" s="1"/>
  <c r="FF79" i="7"/>
  <c r="EO79" i="7"/>
  <c r="EQ79" i="7" s="1"/>
  <c r="GJ79" i="7"/>
  <c r="FN79" i="7"/>
  <c r="FP79" i="7" s="1"/>
  <c r="EL79" i="7"/>
  <c r="DP79" i="7"/>
  <c r="DR79" i="7" s="1"/>
  <c r="FK79" i="7"/>
  <c r="EI79" i="7"/>
  <c r="DM79" i="7"/>
  <c r="DJ79" i="7"/>
  <c r="DH79" i="7"/>
  <c r="HF44" i="7"/>
  <c r="GJ44" i="7"/>
  <c r="HD44" i="7"/>
  <c r="GG44" i="7"/>
  <c r="HL44" i="7"/>
  <c r="HN44" i="7" s="1"/>
  <c r="FN44" i="7"/>
  <c r="FP44" i="7" s="1"/>
  <c r="EG44" i="7"/>
  <c r="HI44" i="7"/>
  <c r="GM44" i="7"/>
  <c r="GO44" i="7" s="1"/>
  <c r="FK44" i="7"/>
  <c r="EO44" i="7"/>
  <c r="EQ44" i="7" s="1"/>
  <c r="GE44" i="7"/>
  <c r="FH44" i="7"/>
  <c r="EL44" i="7"/>
  <c r="DP44" i="7"/>
  <c r="DR44" i="7" s="1"/>
  <c r="DH44" i="7"/>
  <c r="FF44" i="7"/>
  <c r="EI44" i="7"/>
  <c r="DM44" i="7"/>
  <c r="DJ44" i="7"/>
  <c r="HI92" i="7"/>
  <c r="HF92" i="7"/>
  <c r="GJ92" i="7"/>
  <c r="HL92" i="7"/>
  <c r="HN92" i="7" s="1"/>
  <c r="GG92" i="7"/>
  <c r="HD92" i="7"/>
  <c r="GE92" i="7"/>
  <c r="FF92" i="7"/>
  <c r="EL92" i="7"/>
  <c r="DP92" i="7"/>
  <c r="DR92" i="7" s="1"/>
  <c r="GM92" i="7"/>
  <c r="GO92" i="7" s="1"/>
  <c r="FN92" i="7"/>
  <c r="FP92" i="7" s="1"/>
  <c r="EI92" i="7"/>
  <c r="DM92" i="7"/>
  <c r="FK92" i="7"/>
  <c r="EG92" i="7"/>
  <c r="DH92" i="7"/>
  <c r="FH92" i="7"/>
  <c r="EO92" i="7"/>
  <c r="EQ92" i="7" s="1"/>
  <c r="DJ92" i="7"/>
  <c r="HF8" i="7"/>
  <c r="HD8" i="7"/>
  <c r="HL8" i="7"/>
  <c r="HN8" i="7" s="1"/>
  <c r="GM8" i="7"/>
  <c r="GO8" i="7" s="1"/>
  <c r="FF8" i="7"/>
  <c r="EL8" i="7"/>
  <c r="GJ8" i="7"/>
  <c r="FN8" i="7"/>
  <c r="FP8" i="7" s="1"/>
  <c r="EI8" i="7"/>
  <c r="GG8" i="7"/>
  <c r="FH8" i="7"/>
  <c r="EO8" i="7"/>
  <c r="EQ8" i="7" s="1"/>
  <c r="DJ8" i="7"/>
  <c r="FK8" i="7"/>
  <c r="DM8" i="7"/>
  <c r="HI8" i="7"/>
  <c r="GE8" i="7"/>
  <c r="EG8" i="7"/>
  <c r="DH8" i="7"/>
  <c r="DP8" i="7"/>
  <c r="DR8" i="7" s="1"/>
  <c r="HF22" i="7"/>
  <c r="HD22" i="7"/>
  <c r="HL22" i="7"/>
  <c r="HN22" i="7" s="1"/>
  <c r="GJ22" i="7"/>
  <c r="FN22" i="7"/>
  <c r="FP22" i="7" s="1"/>
  <c r="EG22" i="7"/>
  <c r="GG22" i="7"/>
  <c r="FK22" i="7"/>
  <c r="EO22" i="7"/>
  <c r="EQ22" i="7" s="1"/>
  <c r="GE22" i="7"/>
  <c r="GM22" i="7"/>
  <c r="GO22" i="7" s="1"/>
  <c r="FF22" i="7"/>
  <c r="EL22" i="7"/>
  <c r="DH22" i="7"/>
  <c r="DM22" i="7"/>
  <c r="FH22" i="7"/>
  <c r="DJ22" i="7"/>
  <c r="HI22" i="7"/>
  <c r="EI22" i="7"/>
  <c r="DP22" i="7"/>
  <c r="DR22" i="7" s="1"/>
  <c r="HF71" i="7"/>
  <c r="HD71" i="7"/>
  <c r="GM71" i="7"/>
  <c r="GO71" i="7" s="1"/>
  <c r="GJ71" i="7"/>
  <c r="HL71" i="7"/>
  <c r="HN71" i="7" s="1"/>
  <c r="GE71" i="7"/>
  <c r="FK71" i="7"/>
  <c r="EO71" i="7"/>
  <c r="EQ71" i="7" s="1"/>
  <c r="HI71" i="7"/>
  <c r="FH71" i="7"/>
  <c r="EL71" i="7"/>
  <c r="FF71" i="7"/>
  <c r="EG71" i="7"/>
  <c r="DP71" i="7"/>
  <c r="DR71" i="7" s="1"/>
  <c r="DJ71" i="7"/>
  <c r="FN71" i="7"/>
  <c r="FP71" i="7" s="1"/>
  <c r="DM71" i="7"/>
  <c r="GG71" i="7"/>
  <c r="EI71" i="7"/>
  <c r="DH71" i="7"/>
  <c r="AV65" i="7"/>
  <c r="AX65" i="7" s="1"/>
  <c r="AM64" i="7"/>
  <c r="HI64" i="7"/>
  <c r="HF64" i="7"/>
  <c r="HL64" i="7"/>
  <c r="HN64" i="7" s="1"/>
  <c r="GG64" i="7"/>
  <c r="HD64" i="7"/>
  <c r="GE64" i="7"/>
  <c r="FK64" i="7"/>
  <c r="EG64" i="7"/>
  <c r="FH64" i="7"/>
  <c r="EO64" i="7"/>
  <c r="EQ64" i="7" s="1"/>
  <c r="GM64" i="7"/>
  <c r="GO64" i="7" s="1"/>
  <c r="FF64" i="7"/>
  <c r="FN64" i="7"/>
  <c r="FP64" i="7" s="1"/>
  <c r="EL64" i="7"/>
  <c r="DM64" i="7"/>
  <c r="EI64" i="7"/>
  <c r="DJ64" i="7"/>
  <c r="GJ64" i="7"/>
  <c r="DH64" i="7"/>
  <c r="DP64" i="7"/>
  <c r="DR64" i="7" s="1"/>
  <c r="BO78" i="7"/>
  <c r="HL78" i="7"/>
  <c r="HN78" i="7" s="1"/>
  <c r="HI78" i="7"/>
  <c r="GJ78" i="7"/>
  <c r="HF78" i="7"/>
  <c r="GG78" i="7"/>
  <c r="HD78" i="7"/>
  <c r="GM78" i="7"/>
  <c r="GO78" i="7" s="1"/>
  <c r="FK78" i="7"/>
  <c r="EL78" i="7"/>
  <c r="GE78" i="7"/>
  <c r="FH78" i="7"/>
  <c r="EI78" i="7"/>
  <c r="FF78" i="7"/>
  <c r="EO78" i="7"/>
  <c r="EQ78" i="7" s="1"/>
  <c r="DJ78" i="7"/>
  <c r="DM78" i="7"/>
  <c r="FN78" i="7"/>
  <c r="FP78" i="7" s="1"/>
  <c r="EG78" i="7"/>
  <c r="DH78" i="7"/>
  <c r="DP78" i="7"/>
  <c r="DR78" i="7" s="1"/>
  <c r="HI58" i="7"/>
  <c r="HF58" i="7"/>
  <c r="HD58" i="7"/>
  <c r="GJ58" i="7"/>
  <c r="GG58" i="7"/>
  <c r="HL58" i="7"/>
  <c r="HN58" i="7" s="1"/>
  <c r="FH58" i="7"/>
  <c r="EI58" i="7"/>
  <c r="FF58" i="7"/>
  <c r="EG58" i="7"/>
  <c r="GM58" i="7"/>
  <c r="GO58" i="7" s="1"/>
  <c r="FK58" i="7"/>
  <c r="DH58" i="7"/>
  <c r="FN58" i="7"/>
  <c r="FP58" i="7" s="1"/>
  <c r="DP58" i="7"/>
  <c r="DR58" i="7" s="1"/>
  <c r="GE58" i="7"/>
  <c r="EO58" i="7"/>
  <c r="EQ58" i="7" s="1"/>
  <c r="DM58" i="7"/>
  <c r="EL58" i="7"/>
  <c r="DJ58" i="7"/>
  <c r="HL120" i="7"/>
  <c r="HN120" i="7" s="1"/>
  <c r="HI120" i="7"/>
  <c r="HF120" i="7"/>
  <c r="HD120" i="7"/>
  <c r="GM120" i="7"/>
  <c r="GO120" i="7" s="1"/>
  <c r="GJ120" i="7"/>
  <c r="GG120" i="7"/>
  <c r="FH120" i="7"/>
  <c r="EO120" i="7"/>
  <c r="EQ120" i="7" s="1"/>
  <c r="DP120" i="7"/>
  <c r="DR120" i="7" s="1"/>
  <c r="FF120" i="7"/>
  <c r="EL120" i="7"/>
  <c r="DM120" i="7"/>
  <c r="GE120" i="7"/>
  <c r="FN120" i="7"/>
  <c r="FP120" i="7" s="1"/>
  <c r="EG120" i="7"/>
  <c r="DJ120" i="7"/>
  <c r="FK120" i="7"/>
  <c r="DH120" i="7"/>
  <c r="EI120" i="7"/>
  <c r="HI15" i="7"/>
  <c r="HF15" i="7"/>
  <c r="HD15" i="7"/>
  <c r="GE15" i="7"/>
  <c r="FK15" i="7"/>
  <c r="EI15" i="7"/>
  <c r="GM15" i="7"/>
  <c r="GO15" i="7" s="1"/>
  <c r="FH15" i="7"/>
  <c r="EG15" i="7"/>
  <c r="GJ15" i="7"/>
  <c r="FN15" i="7"/>
  <c r="FP15" i="7" s="1"/>
  <c r="DP15" i="7"/>
  <c r="DR15" i="7" s="1"/>
  <c r="EL15" i="7"/>
  <c r="DH15" i="7"/>
  <c r="HL15" i="7"/>
  <c r="HN15" i="7" s="1"/>
  <c r="FF15" i="7"/>
  <c r="DM15" i="7"/>
  <c r="GG15" i="7"/>
  <c r="EO15" i="7"/>
  <c r="EQ15" i="7" s="1"/>
  <c r="DJ15" i="7"/>
  <c r="HF127" i="7"/>
  <c r="HD127" i="7"/>
  <c r="HL127" i="7"/>
  <c r="HN127" i="7" s="1"/>
  <c r="GG127" i="7"/>
  <c r="GE127" i="7"/>
  <c r="HI127" i="7"/>
  <c r="GM127" i="7"/>
  <c r="GO127" i="7" s="1"/>
  <c r="GJ127" i="7"/>
  <c r="FN127" i="7"/>
  <c r="FP127" i="7" s="1"/>
  <c r="EI127" i="7"/>
  <c r="DJ127" i="7"/>
  <c r="FK127" i="7"/>
  <c r="EG127" i="7"/>
  <c r="DH127" i="7"/>
  <c r="FH127" i="7"/>
  <c r="EO127" i="7"/>
  <c r="EQ127" i="7" s="1"/>
  <c r="DM127" i="7"/>
  <c r="FF127" i="7"/>
  <c r="DP127" i="7"/>
  <c r="DR127" i="7" s="1"/>
  <c r="EL127" i="7"/>
  <c r="HI29" i="7"/>
  <c r="HF29" i="7"/>
  <c r="HD29" i="7"/>
  <c r="HL29" i="7"/>
  <c r="HN29" i="7" s="1"/>
  <c r="GM29" i="7"/>
  <c r="GO29" i="7" s="1"/>
  <c r="FN29" i="7"/>
  <c r="FP29" i="7" s="1"/>
  <c r="EI29" i="7"/>
  <c r="GJ29" i="7"/>
  <c r="FK29" i="7"/>
  <c r="EG29" i="7"/>
  <c r="GG29" i="7"/>
  <c r="GE29" i="7"/>
  <c r="FF29" i="7"/>
  <c r="EO29" i="7"/>
  <c r="EQ29" i="7" s="1"/>
  <c r="DH29" i="7"/>
  <c r="FH29" i="7"/>
  <c r="DJ29" i="7"/>
  <c r="EL29" i="7"/>
  <c r="DP29" i="7"/>
  <c r="DR29" i="7" s="1"/>
  <c r="DM29" i="7"/>
  <c r="HL43" i="7"/>
  <c r="HN43" i="7" s="1"/>
  <c r="GE43" i="7"/>
  <c r="HI43" i="7"/>
  <c r="GM43" i="7"/>
  <c r="GO43" i="7" s="1"/>
  <c r="HF43" i="7"/>
  <c r="HD43" i="7"/>
  <c r="GJ43" i="7"/>
  <c r="FN43" i="7"/>
  <c r="FP43" i="7" s="1"/>
  <c r="EL43" i="7"/>
  <c r="GG43" i="7"/>
  <c r="FK43" i="7"/>
  <c r="EI43" i="7"/>
  <c r="EO43" i="7"/>
  <c r="EQ43" i="7" s="1"/>
  <c r="DM43" i="7"/>
  <c r="DP43" i="7"/>
  <c r="DR43" i="7" s="1"/>
  <c r="FH43" i="7"/>
  <c r="EG43" i="7"/>
  <c r="DJ43" i="7"/>
  <c r="FF43" i="7"/>
  <c r="DH43" i="7"/>
  <c r="HD57" i="7"/>
  <c r="HL57" i="7"/>
  <c r="HN57" i="7" s="1"/>
  <c r="HF57" i="7"/>
  <c r="GE57" i="7"/>
  <c r="GM57" i="7"/>
  <c r="GO57" i="7" s="1"/>
  <c r="FN57" i="7"/>
  <c r="FP57" i="7" s="1"/>
  <c r="EO57" i="7"/>
  <c r="EQ57" i="7" s="1"/>
  <c r="FK57" i="7"/>
  <c r="EL57" i="7"/>
  <c r="GJ57" i="7"/>
  <c r="FF57" i="7"/>
  <c r="DJ57" i="7"/>
  <c r="FH57" i="7"/>
  <c r="EG57" i="7"/>
  <c r="DM57" i="7"/>
  <c r="GG57" i="7"/>
  <c r="DH57" i="7"/>
  <c r="DP57" i="7"/>
  <c r="DR57" i="7" s="1"/>
  <c r="HI57" i="7"/>
  <c r="EI57" i="7"/>
  <c r="HE30" i="7"/>
  <c r="HJ30" i="7"/>
  <c r="HK30" i="7" s="1"/>
  <c r="GX30" i="7"/>
  <c r="GW31" i="7" s="1"/>
  <c r="HC31" i="7"/>
  <c r="HG30" i="7"/>
  <c r="GK30" i="7"/>
  <c r="GL30" i="7" s="1"/>
  <c r="FY30" i="7"/>
  <c r="FX31" i="7" s="1"/>
  <c r="GF30" i="7"/>
  <c r="GD30" i="7"/>
  <c r="GH29" i="7"/>
  <c r="FL31" i="7"/>
  <c r="FM31" i="7" s="1"/>
  <c r="EZ31" i="7"/>
  <c r="EY32" i="7" s="1"/>
  <c r="FG31" i="7"/>
  <c r="FE31" i="7"/>
  <c r="FI30" i="7"/>
  <c r="EF32" i="7"/>
  <c r="EJ31" i="7"/>
  <c r="EM31" i="7"/>
  <c r="EN31" i="7" s="1"/>
  <c r="EA31" i="7"/>
  <c r="DZ32" i="7" s="1"/>
  <c r="EH31" i="7"/>
  <c r="DN31" i="7"/>
  <c r="DO31" i="7" s="1"/>
  <c r="DI31" i="7"/>
  <c r="DB31" i="7"/>
  <c r="DA32" i="7" s="1"/>
  <c r="DG31" i="7"/>
  <c r="DK30" i="7"/>
  <c r="CV152" i="7"/>
  <c r="CS156" i="7"/>
  <c r="G198" i="8"/>
  <c r="AN147" i="8"/>
  <c r="G202" i="8" s="1"/>
  <c r="O25" i="8"/>
  <c r="K26" i="8"/>
  <c r="CH28" i="8"/>
  <c r="DK25" i="8"/>
  <c r="DG26" i="8"/>
  <c r="DN26" i="8"/>
  <c r="DO26" i="8" s="1"/>
  <c r="DB26" i="8"/>
  <c r="DA27" i="8" s="1"/>
  <c r="DI26" i="8"/>
  <c r="CS150" i="7"/>
  <c r="BI147" i="8"/>
  <c r="G223" i="8" s="1"/>
  <c r="BI27" i="8"/>
  <c r="AJ28" i="8"/>
  <c r="AN27" i="8"/>
  <c r="AQ25" i="8"/>
  <c r="AR25" i="8" s="1"/>
  <c r="AL25" i="8"/>
  <c r="AE25" i="8"/>
  <c r="AD26" i="8" s="1"/>
  <c r="R24" i="8"/>
  <c r="S24" i="8" s="1"/>
  <c r="M24" i="8"/>
  <c r="F24" i="8"/>
  <c r="E25" i="8" s="1"/>
  <c r="BK24" i="8"/>
  <c r="BD24" i="8"/>
  <c r="BC25" i="8" s="1"/>
  <c r="BP24" i="8"/>
  <c r="BQ24" i="8" s="1"/>
  <c r="BM24" i="8"/>
  <c r="CO25" i="8"/>
  <c r="CP25" i="8" s="1"/>
  <c r="CJ25" i="8"/>
  <c r="CC25" i="8"/>
  <c r="CB26" i="8" s="1"/>
  <c r="CL25" i="8"/>
  <c r="CV150" i="7"/>
  <c r="N99" i="7"/>
  <c r="CS158" i="7"/>
  <c r="CV156" i="7"/>
  <c r="F7" i="7"/>
  <c r="E8" i="7" s="1"/>
  <c r="M8" i="7" s="1"/>
  <c r="R7" i="7"/>
  <c r="S7" i="7" s="1"/>
  <c r="CV158" i="7"/>
  <c r="BO99" i="7"/>
  <c r="R187" i="7"/>
  <c r="N187" i="7"/>
  <c r="S187" i="7"/>
  <c r="J187" i="7"/>
  <c r="F187" i="7"/>
  <c r="Q187" i="7"/>
  <c r="M187" i="7"/>
  <c r="I187" i="7"/>
  <c r="E187" i="7"/>
  <c r="CV161" i="7"/>
  <c r="P187" i="7"/>
  <c r="L187" i="7"/>
  <c r="H187" i="7"/>
  <c r="U187" i="7"/>
  <c r="K187" i="7"/>
  <c r="G187" i="7"/>
  <c r="CV151" i="7"/>
  <c r="K260" i="7"/>
  <c r="K261" i="7" s="1"/>
  <c r="CK99" i="7"/>
  <c r="AB58" i="7"/>
  <c r="AV58" i="7" s="1"/>
  <c r="AX58" i="7" s="1"/>
  <c r="CV146" i="7"/>
  <c r="F260" i="7"/>
  <c r="F261" i="7" s="1"/>
  <c r="CS159" i="7"/>
  <c r="S257" i="7"/>
  <c r="S401" i="7" s="1"/>
  <c r="S402" i="7" s="1"/>
  <c r="CS153" i="7"/>
  <c r="M257" i="7"/>
  <c r="M258" i="7" s="1"/>
  <c r="CS146" i="7"/>
  <c r="F257" i="7"/>
  <c r="F258" i="7" s="1"/>
  <c r="CS157" i="7"/>
  <c r="CS155" i="7"/>
  <c r="CS151" i="7"/>
  <c r="K257" i="7"/>
  <c r="K258" i="7" s="1"/>
  <c r="CV159" i="7"/>
  <c r="S260" i="7"/>
  <c r="S261" i="7" s="1"/>
  <c r="CS152" i="7"/>
  <c r="L257" i="7"/>
  <c r="L258" i="7" s="1"/>
  <c r="CV157" i="7"/>
  <c r="Q260" i="7"/>
  <c r="Q404" i="7" s="1"/>
  <c r="Q405" i="7" s="1"/>
  <c r="CV162" i="7"/>
  <c r="V260" i="7"/>
  <c r="V261" i="7" s="1"/>
  <c r="CS160" i="7"/>
  <c r="T257" i="7"/>
  <c r="T401" i="7" s="1"/>
  <c r="CS148" i="7"/>
  <c r="H257" i="7"/>
  <c r="H258" i="7" s="1"/>
  <c r="CV149" i="7"/>
  <c r="I260" i="7"/>
  <c r="I261" i="7" s="1"/>
  <c r="CV154" i="7"/>
  <c r="N260" i="7"/>
  <c r="N261" i="7" s="1"/>
  <c r="BL99" i="7"/>
  <c r="BZ38" i="7"/>
  <c r="BZ39" i="7" s="1"/>
  <c r="CS162" i="7"/>
  <c r="V257" i="7"/>
  <c r="V401" i="7" s="1"/>
  <c r="CS163" i="7"/>
  <c r="W257" i="7"/>
  <c r="W258" i="7" s="1"/>
  <c r="G260" i="7"/>
  <c r="G261" i="7" s="1"/>
  <c r="W260" i="7"/>
  <c r="W261" i="7" s="1"/>
  <c r="N257" i="7"/>
  <c r="N258" i="7" s="1"/>
  <c r="CV160" i="7"/>
  <c r="T260" i="7"/>
  <c r="T404" i="7" s="1"/>
  <c r="CV148" i="7"/>
  <c r="H260" i="7"/>
  <c r="H261" i="7" s="1"/>
  <c r="CS161" i="7"/>
  <c r="U257" i="7"/>
  <c r="U401" i="7" s="1"/>
  <c r="CV153" i="7"/>
  <c r="M260" i="7"/>
  <c r="M261" i="7" s="1"/>
  <c r="BA58" i="7"/>
  <c r="BA59" i="7" s="1"/>
  <c r="CV147" i="7"/>
  <c r="AB37" i="7"/>
  <c r="AB38" i="7" s="1"/>
  <c r="BR99" i="7"/>
  <c r="BT99" i="7" s="1"/>
  <c r="W99" i="7"/>
  <c r="Y99" i="7" s="1"/>
  <c r="T99" i="7"/>
  <c r="V99" i="7" s="1"/>
  <c r="C100" i="7"/>
  <c r="AP100" i="7" s="1"/>
  <c r="CQ99" i="7"/>
  <c r="CS99" i="7" s="1"/>
  <c r="AP64" i="7"/>
  <c r="BR64" i="7"/>
  <c r="BT64" i="7" s="1"/>
  <c r="Q64" i="7"/>
  <c r="BZ128" i="7"/>
  <c r="CT128" i="7" s="1"/>
  <c r="CV128" i="7" s="1"/>
  <c r="AS99" i="7"/>
  <c r="AU99" i="7" s="1"/>
  <c r="AK99" i="7"/>
  <c r="L99" i="7"/>
  <c r="BO64" i="7"/>
  <c r="BJ64" i="7"/>
  <c r="CN64" i="7"/>
  <c r="BL64" i="7"/>
  <c r="BJ99" i="7"/>
  <c r="AP99" i="7"/>
  <c r="N64" i="7"/>
  <c r="CK64" i="7"/>
  <c r="C65" i="7"/>
  <c r="CN65" i="7" s="1"/>
  <c r="CQ64" i="7"/>
  <c r="CS64" i="7" s="1"/>
  <c r="AS64" i="7"/>
  <c r="AU64" i="7" s="1"/>
  <c r="BL85" i="7"/>
  <c r="L85" i="7"/>
  <c r="BA93" i="7"/>
  <c r="BA94" i="7" s="1"/>
  <c r="AP36" i="7"/>
  <c r="CI36" i="7"/>
  <c r="BO36" i="7"/>
  <c r="CQ85" i="7"/>
  <c r="CS85" i="7" s="1"/>
  <c r="W36" i="7"/>
  <c r="Y36" i="7" s="1"/>
  <c r="L36" i="7"/>
  <c r="CN36" i="7"/>
  <c r="CQ36" i="7"/>
  <c r="CS36" i="7" s="1"/>
  <c r="AK36" i="7"/>
  <c r="C37" i="7"/>
  <c r="BJ37" i="7" s="1"/>
  <c r="N36" i="7"/>
  <c r="Q36" i="7"/>
  <c r="AM36" i="7"/>
  <c r="AS36" i="7"/>
  <c r="AU36" i="7" s="1"/>
  <c r="Q85" i="7"/>
  <c r="CV163" i="7"/>
  <c r="V162" i="7"/>
  <c r="CS147" i="7"/>
  <c r="CS149" i="7"/>
  <c r="CV145" i="7"/>
  <c r="CS154" i="7"/>
  <c r="CK127" i="7"/>
  <c r="C128" i="7"/>
  <c r="CQ127" i="7"/>
  <c r="CS127" i="7" s="1"/>
  <c r="Q127" i="7"/>
  <c r="BO127" i="7"/>
  <c r="N127" i="7"/>
  <c r="BL127" i="7"/>
  <c r="W127" i="7"/>
  <c r="Y127" i="7" s="1"/>
  <c r="L127" i="7"/>
  <c r="AS127" i="7"/>
  <c r="AU127" i="7" s="1"/>
  <c r="BJ127" i="7"/>
  <c r="AP127" i="7"/>
  <c r="CI127" i="7"/>
  <c r="AB135" i="7"/>
  <c r="AB136" i="7" s="1"/>
  <c r="AM99" i="7"/>
  <c r="CN99" i="7"/>
  <c r="AK127" i="7"/>
  <c r="BR127" i="7"/>
  <c r="BT127" i="7" s="1"/>
  <c r="BA114" i="7"/>
  <c r="BA115" i="7" s="1"/>
  <c r="CT121" i="7"/>
  <c r="CV121" i="7" s="1"/>
  <c r="BZ122" i="7"/>
  <c r="BA72" i="7"/>
  <c r="BU71" i="7"/>
  <c r="BW71" i="7" s="1"/>
  <c r="T127" i="7"/>
  <c r="V127" i="7" s="1"/>
  <c r="AM127" i="7"/>
  <c r="C72" i="7"/>
  <c r="CQ71" i="7"/>
  <c r="CS71" i="7" s="1"/>
  <c r="Q71" i="7"/>
  <c r="L71" i="7"/>
  <c r="BL71" i="7"/>
  <c r="V163" i="7"/>
  <c r="BA136" i="7"/>
  <c r="BU135" i="7"/>
  <c r="BW135" i="7" s="1"/>
  <c r="BO120" i="7"/>
  <c r="BJ120" i="7"/>
  <c r="AS120" i="7"/>
  <c r="AU120" i="7" s="1"/>
  <c r="W120" i="7"/>
  <c r="Y120" i="7" s="1"/>
  <c r="N120" i="7"/>
  <c r="CN120" i="7"/>
  <c r="CI120" i="7"/>
  <c r="BR120" i="7"/>
  <c r="BT120" i="7" s="1"/>
  <c r="AM120" i="7"/>
  <c r="CQ120" i="7"/>
  <c r="CS120" i="7" s="1"/>
  <c r="BL120" i="7"/>
  <c r="Q120" i="7"/>
  <c r="L120" i="7"/>
  <c r="T120" i="7"/>
  <c r="V120" i="7" s="1"/>
  <c r="C121" i="7"/>
  <c r="CK120" i="7"/>
  <c r="AP120" i="7"/>
  <c r="AK120" i="7"/>
  <c r="AV50" i="7"/>
  <c r="AX50" i="7" s="1"/>
  <c r="AB51" i="7"/>
  <c r="BD7" i="7"/>
  <c r="BC8" i="7" s="1"/>
  <c r="BM8" i="7" s="1"/>
  <c r="BK7" i="7"/>
  <c r="BP7" i="7"/>
  <c r="BO22" i="7"/>
  <c r="BJ22" i="7"/>
  <c r="AS22" i="7"/>
  <c r="AU22" i="7" s="1"/>
  <c r="W22" i="7"/>
  <c r="Y22" i="7" s="1"/>
  <c r="AK22" i="7"/>
  <c r="T22" i="7"/>
  <c r="V22" i="7" s="1"/>
  <c r="CN22" i="7"/>
  <c r="CI22" i="7"/>
  <c r="BR22" i="7"/>
  <c r="BT22" i="7" s="1"/>
  <c r="AM22" i="7"/>
  <c r="C23" i="7"/>
  <c r="AP22" i="7"/>
  <c r="CQ22" i="7"/>
  <c r="CS22" i="7" s="1"/>
  <c r="BL22" i="7"/>
  <c r="Q22" i="7"/>
  <c r="L22" i="7"/>
  <c r="CK22" i="7"/>
  <c r="AB17" i="7"/>
  <c r="AV16" i="7"/>
  <c r="AX16" i="7" s="1"/>
  <c r="BU106" i="7"/>
  <c r="BW106" i="7" s="1"/>
  <c r="BA107" i="7"/>
  <c r="BZ101" i="7"/>
  <c r="CT100" i="7"/>
  <c r="CV100" i="7" s="1"/>
  <c r="CN134" i="7"/>
  <c r="CI134" i="7"/>
  <c r="BR134" i="7"/>
  <c r="BT134" i="7" s="1"/>
  <c r="AM134" i="7"/>
  <c r="CQ134" i="7"/>
  <c r="CS134" i="7" s="1"/>
  <c r="BL134" i="7"/>
  <c r="Q134" i="7"/>
  <c r="L134" i="7"/>
  <c r="C135" i="7"/>
  <c r="CK134" i="7"/>
  <c r="AP134" i="7"/>
  <c r="AK134" i="7"/>
  <c r="T134" i="7"/>
  <c r="V134" i="7" s="1"/>
  <c r="W134" i="7"/>
  <c r="Y134" i="7" s="1"/>
  <c r="N134" i="7"/>
  <c r="BO134" i="7"/>
  <c r="AS134" i="7"/>
  <c r="AU134" i="7" s="1"/>
  <c r="BJ134" i="7"/>
  <c r="CT72" i="7"/>
  <c r="CV72" i="7" s="1"/>
  <c r="BZ73" i="7"/>
  <c r="AB116" i="7"/>
  <c r="AV115" i="7"/>
  <c r="AX115" i="7" s="1"/>
  <c r="AV85" i="7"/>
  <c r="AX85" i="7" s="1"/>
  <c r="AB86" i="7"/>
  <c r="CT86" i="7"/>
  <c r="CV86" i="7" s="1"/>
  <c r="BZ87" i="7"/>
  <c r="C59" i="7"/>
  <c r="CK58" i="7"/>
  <c r="AP58" i="7"/>
  <c r="AK58" i="7"/>
  <c r="T58" i="7"/>
  <c r="V58" i="7" s="1"/>
  <c r="BO58" i="7"/>
  <c r="BJ58" i="7"/>
  <c r="AS58" i="7"/>
  <c r="AU58" i="7" s="1"/>
  <c r="W58" i="7"/>
  <c r="Y58" i="7" s="1"/>
  <c r="N58" i="7"/>
  <c r="CN58" i="7"/>
  <c r="CI58" i="7"/>
  <c r="BR58" i="7"/>
  <c r="BT58" i="7" s="1"/>
  <c r="AM58" i="7"/>
  <c r="CQ58" i="7"/>
  <c r="CS58" i="7" s="1"/>
  <c r="L58" i="7"/>
  <c r="BL58" i="7"/>
  <c r="Q58" i="7"/>
  <c r="BZ65" i="7"/>
  <c r="CT64" i="7"/>
  <c r="CV64" i="7" s="1"/>
  <c r="X162" i="7"/>
  <c r="X163" i="7"/>
  <c r="CL7" i="7"/>
  <c r="CH8" i="7"/>
  <c r="CO7" i="7"/>
  <c r="CC7" i="7"/>
  <c r="CB8" i="7" s="1"/>
  <c r="BZ45" i="7"/>
  <c r="CT44" i="7"/>
  <c r="CV44" i="7" s="1"/>
  <c r="BU43" i="7"/>
  <c r="BW43" i="7" s="1"/>
  <c r="BA44" i="7"/>
  <c r="BO15" i="7"/>
  <c r="BJ15" i="7"/>
  <c r="AS15" i="7"/>
  <c r="AU15" i="7" s="1"/>
  <c r="W15" i="7"/>
  <c r="Y15" i="7" s="1"/>
  <c r="N15" i="7"/>
  <c r="C16" i="7"/>
  <c r="CK15" i="7"/>
  <c r="AP15" i="7"/>
  <c r="CN15" i="7"/>
  <c r="CI15" i="7"/>
  <c r="BR15" i="7"/>
  <c r="BT15" i="7" s="1"/>
  <c r="AM15" i="7"/>
  <c r="AK15" i="7"/>
  <c r="T15" i="7"/>
  <c r="V15" i="7" s="1"/>
  <c r="CQ15" i="7"/>
  <c r="CS15" i="7" s="1"/>
  <c r="BL15" i="7"/>
  <c r="Q15" i="7"/>
  <c r="L15" i="7"/>
  <c r="AB24" i="7"/>
  <c r="AV23" i="7"/>
  <c r="AX23" i="7" s="1"/>
  <c r="BZ17" i="7"/>
  <c r="CT16" i="7"/>
  <c r="CV16" i="7" s="1"/>
  <c r="AB100" i="7"/>
  <c r="AV99" i="7"/>
  <c r="AX99" i="7" s="1"/>
  <c r="BA80" i="7"/>
  <c r="BU79" i="7"/>
  <c r="BW79" i="7" s="1"/>
  <c r="CT51" i="7"/>
  <c r="CV51" i="7" s="1"/>
  <c r="BZ52" i="7"/>
  <c r="CQ44" i="7"/>
  <c r="CS44" i="7" s="1"/>
  <c r="BL44" i="7"/>
  <c r="Q44" i="7"/>
  <c r="L44" i="7"/>
  <c r="C45" i="7"/>
  <c r="CK44" i="7"/>
  <c r="AP44" i="7"/>
  <c r="AK44" i="7"/>
  <c r="T44" i="7"/>
  <c r="V44" i="7" s="1"/>
  <c r="BO44" i="7"/>
  <c r="BJ44" i="7"/>
  <c r="AS44" i="7"/>
  <c r="AU44" i="7" s="1"/>
  <c r="W44" i="7"/>
  <c r="Y44" i="7" s="1"/>
  <c r="N44" i="7"/>
  <c r="CN44" i="7"/>
  <c r="AM44" i="7"/>
  <c r="CI44" i="7"/>
  <c r="BR44" i="7"/>
  <c r="BT44" i="7" s="1"/>
  <c r="CQ30" i="7"/>
  <c r="CS30" i="7" s="1"/>
  <c r="BO30" i="7"/>
  <c r="C386" i="7"/>
  <c r="BZ115" i="7"/>
  <c r="CT114" i="7"/>
  <c r="CV114" i="7" s="1"/>
  <c r="BO114" i="7"/>
  <c r="BJ114" i="7"/>
  <c r="AS114" i="7"/>
  <c r="AU114" i="7" s="1"/>
  <c r="W114" i="7"/>
  <c r="Y114" i="7" s="1"/>
  <c r="N114" i="7"/>
  <c r="CN114" i="7"/>
  <c r="CI114" i="7"/>
  <c r="BR114" i="7"/>
  <c r="BT114" i="7" s="1"/>
  <c r="AM114" i="7"/>
  <c r="CQ114" i="7"/>
  <c r="CS114" i="7" s="1"/>
  <c r="BL114" i="7"/>
  <c r="Q114" i="7"/>
  <c r="L114" i="7"/>
  <c r="CK114" i="7"/>
  <c r="C115" i="7"/>
  <c r="AP114" i="7"/>
  <c r="T114" i="7"/>
  <c r="V114" i="7" s="1"/>
  <c r="AK114" i="7"/>
  <c r="BZ109" i="7"/>
  <c r="CT108" i="7"/>
  <c r="CV108" i="7" s="1"/>
  <c r="BO106" i="7"/>
  <c r="BJ106" i="7"/>
  <c r="AS106" i="7"/>
  <c r="AU106" i="7" s="1"/>
  <c r="W106" i="7"/>
  <c r="Y106" i="7" s="1"/>
  <c r="N106" i="7"/>
  <c r="CN106" i="7"/>
  <c r="CI106" i="7"/>
  <c r="BR106" i="7"/>
  <c r="BT106" i="7" s="1"/>
  <c r="AM106" i="7"/>
  <c r="CQ106" i="7"/>
  <c r="CS106" i="7" s="1"/>
  <c r="BL106" i="7"/>
  <c r="Q106" i="7"/>
  <c r="L106" i="7"/>
  <c r="CK106" i="7"/>
  <c r="C107" i="7"/>
  <c r="AP106" i="7"/>
  <c r="T106" i="7"/>
  <c r="V106" i="7" s="1"/>
  <c r="AK106" i="7"/>
  <c r="AB122" i="7"/>
  <c r="AV121" i="7"/>
  <c r="AX121" i="7" s="1"/>
  <c r="CT92" i="7"/>
  <c r="CV92" i="7" s="1"/>
  <c r="BZ93" i="7"/>
  <c r="CT78" i="7"/>
  <c r="CV78" i="7" s="1"/>
  <c r="BZ79" i="7"/>
  <c r="C80" i="7"/>
  <c r="CK79" i="7"/>
  <c r="AP79" i="7"/>
  <c r="AK79" i="7"/>
  <c r="T79" i="7"/>
  <c r="V79" i="7" s="1"/>
  <c r="BO79" i="7"/>
  <c r="BJ79" i="7"/>
  <c r="AS79" i="7"/>
  <c r="AU79" i="7" s="1"/>
  <c r="W79" i="7"/>
  <c r="Y79" i="7" s="1"/>
  <c r="N79" i="7"/>
  <c r="CN79" i="7"/>
  <c r="CI79" i="7"/>
  <c r="BR79" i="7"/>
  <c r="BT79" i="7" s="1"/>
  <c r="AM79" i="7"/>
  <c r="Q79" i="7"/>
  <c r="BL79" i="7"/>
  <c r="CQ79" i="7"/>
  <c r="CS79" i="7" s="1"/>
  <c r="L79" i="7"/>
  <c r="BA51" i="7"/>
  <c r="BU50" i="7"/>
  <c r="BW50" i="7" s="1"/>
  <c r="BA66" i="7"/>
  <c r="BU65" i="7"/>
  <c r="BW65" i="7" s="1"/>
  <c r="AQ7" i="7"/>
  <c r="AE7" i="7"/>
  <c r="AD8" i="7" s="1"/>
  <c r="AL7" i="7"/>
  <c r="CT57" i="7"/>
  <c r="CV57" i="7" s="1"/>
  <c r="BZ58" i="7"/>
  <c r="BU8" i="7"/>
  <c r="BW8" i="7" s="1"/>
  <c r="BA9" i="7"/>
  <c r="AJ7" i="7"/>
  <c r="AN6" i="7"/>
  <c r="BZ30" i="7"/>
  <c r="CT29" i="7"/>
  <c r="CV29" i="7" s="1"/>
  <c r="AV71" i="7"/>
  <c r="AX71" i="7" s="1"/>
  <c r="AB72" i="7"/>
  <c r="CT23" i="7"/>
  <c r="CV23" i="7" s="1"/>
  <c r="BZ24" i="7"/>
  <c r="CT9" i="7"/>
  <c r="CV9" i="7" s="1"/>
  <c r="BZ10" i="7"/>
  <c r="BM7" i="7"/>
  <c r="BU93" i="7"/>
  <c r="BW93" i="7" s="1"/>
  <c r="AB9" i="7"/>
  <c r="AV8" i="7"/>
  <c r="AX8" i="7" s="1"/>
  <c r="CQ92" i="7"/>
  <c r="CS92" i="7" s="1"/>
  <c r="BL92" i="7"/>
  <c r="AP92" i="7"/>
  <c r="AK92" i="7"/>
  <c r="W92" i="7"/>
  <c r="Y92" i="7" s="1"/>
  <c r="N92" i="7"/>
  <c r="C93" i="7"/>
  <c r="CK92" i="7"/>
  <c r="AS92" i="7"/>
  <c r="AU92" i="7" s="1"/>
  <c r="BO92" i="7"/>
  <c r="BJ92" i="7"/>
  <c r="AM92" i="7"/>
  <c r="Q92" i="7"/>
  <c r="L92" i="7"/>
  <c r="BR92" i="7"/>
  <c r="BT92" i="7" s="1"/>
  <c r="T92" i="7"/>
  <c r="V92" i="7" s="1"/>
  <c r="CN92" i="7"/>
  <c r="CI92" i="7"/>
  <c r="AV79" i="7"/>
  <c r="AX79" i="7" s="1"/>
  <c r="AB80" i="7"/>
  <c r="CT135" i="7"/>
  <c r="CV135" i="7" s="1"/>
  <c r="BZ136" i="7"/>
  <c r="BA130" i="7"/>
  <c r="BU129" i="7"/>
  <c r="BW129" i="7" s="1"/>
  <c r="BU100" i="7"/>
  <c r="BW100" i="7" s="1"/>
  <c r="BA101" i="7"/>
  <c r="AV127" i="7"/>
  <c r="AX127" i="7" s="1"/>
  <c r="AB128" i="7"/>
  <c r="AB108" i="7"/>
  <c r="AV107" i="7"/>
  <c r="AX107" i="7" s="1"/>
  <c r="AB93" i="7"/>
  <c r="AV92" i="7"/>
  <c r="AX92" i="7" s="1"/>
  <c r="BU120" i="7"/>
  <c r="BW120" i="7" s="1"/>
  <c r="BA121" i="7"/>
  <c r="C51" i="7"/>
  <c r="CK50" i="7"/>
  <c r="AP50" i="7"/>
  <c r="AK50" i="7"/>
  <c r="T50" i="7"/>
  <c r="V50" i="7" s="1"/>
  <c r="BO50" i="7"/>
  <c r="BJ50" i="7"/>
  <c r="AS50" i="7"/>
  <c r="AU50" i="7" s="1"/>
  <c r="W50" i="7"/>
  <c r="Y50" i="7" s="1"/>
  <c r="N50" i="7"/>
  <c r="CN50" i="7"/>
  <c r="CI50" i="7"/>
  <c r="BR50" i="7"/>
  <c r="BT50" i="7" s="1"/>
  <c r="AM50" i="7"/>
  <c r="CQ50" i="7"/>
  <c r="CS50" i="7" s="1"/>
  <c r="BL50" i="7"/>
  <c r="Q50" i="7"/>
  <c r="L50" i="7"/>
  <c r="AK37" i="7"/>
  <c r="BJ65" i="7"/>
  <c r="BQ6" i="7"/>
  <c r="CP6" i="7"/>
  <c r="CP7" i="7" s="1"/>
  <c r="BO8" i="7"/>
  <c r="BJ8" i="7"/>
  <c r="AS8" i="7"/>
  <c r="AU8" i="7" s="1"/>
  <c r="W8" i="7"/>
  <c r="Y8" i="7" s="1"/>
  <c r="N8" i="7"/>
  <c r="AK8" i="7"/>
  <c r="CN8" i="7"/>
  <c r="CI8" i="7"/>
  <c r="BR8" i="7"/>
  <c r="BT8" i="7" s="1"/>
  <c r="AM8" i="7"/>
  <c r="BL8" i="7"/>
  <c r="Q8" i="7"/>
  <c r="CK8" i="7"/>
  <c r="T8" i="7"/>
  <c r="V8" i="7" s="1"/>
  <c r="CQ8" i="7"/>
  <c r="CS8" i="7" s="1"/>
  <c r="L8" i="7"/>
  <c r="C9" i="7"/>
  <c r="AP8" i="7"/>
  <c r="BA37" i="7"/>
  <c r="BU36" i="7"/>
  <c r="BW36" i="7" s="1"/>
  <c r="AB31" i="7"/>
  <c r="AV30" i="7"/>
  <c r="AX30" i="7" s="1"/>
  <c r="BA17" i="7"/>
  <c r="BU16" i="7"/>
  <c r="BW16" i="7" s="1"/>
  <c r="BU30" i="7"/>
  <c r="BW30" i="7" s="1"/>
  <c r="BA31" i="7"/>
  <c r="BI9" i="7"/>
  <c r="BA24" i="7"/>
  <c r="BU23" i="7"/>
  <c r="BW23" i="7" s="1"/>
  <c r="K8" i="7"/>
  <c r="O8" i="7" s="1"/>
  <c r="AV163" i="1"/>
  <c r="W210" i="1" s="1"/>
  <c r="AS163" i="1"/>
  <c r="W207" i="1" s="1"/>
  <c r="AP163" i="1"/>
  <c r="W204" i="1" s="1"/>
  <c r="AM163" i="1"/>
  <c r="W201" i="1" s="1"/>
  <c r="AK163" i="1"/>
  <c r="W199" i="1" s="1"/>
  <c r="AV162" i="1"/>
  <c r="V210" i="1" s="1"/>
  <c r="AS162" i="1"/>
  <c r="V207" i="1" s="1"/>
  <c r="AP162" i="1"/>
  <c r="V204" i="1" s="1"/>
  <c r="AM162" i="1"/>
  <c r="V201" i="1" s="1"/>
  <c r="AK162" i="1"/>
  <c r="V199" i="1" s="1"/>
  <c r="AV161" i="1"/>
  <c r="U210" i="1" s="1"/>
  <c r="AS161" i="1"/>
  <c r="U207" i="1" s="1"/>
  <c r="AP161" i="1"/>
  <c r="U204" i="1" s="1"/>
  <c r="AM161" i="1"/>
  <c r="U201" i="1" s="1"/>
  <c r="AK161" i="1"/>
  <c r="U199" i="1" s="1"/>
  <c r="AV160" i="1"/>
  <c r="T210" i="1" s="1"/>
  <c r="AS160" i="1"/>
  <c r="T207" i="1" s="1"/>
  <c r="AP160" i="1"/>
  <c r="T204" i="1" s="1"/>
  <c r="AM160" i="1"/>
  <c r="T201" i="1" s="1"/>
  <c r="AK160" i="1"/>
  <c r="T199" i="1" s="1"/>
  <c r="AV159" i="1"/>
  <c r="S210" i="1" s="1"/>
  <c r="AS159" i="1"/>
  <c r="S207" i="1" s="1"/>
  <c r="AP159" i="1"/>
  <c r="S204" i="1" s="1"/>
  <c r="AM159" i="1"/>
  <c r="S201" i="1" s="1"/>
  <c r="AK159" i="1"/>
  <c r="S199" i="1" s="1"/>
  <c r="AV158" i="1"/>
  <c r="R210" i="1" s="1"/>
  <c r="AS158" i="1"/>
  <c r="R207" i="1" s="1"/>
  <c r="AP158" i="1"/>
  <c r="R204" i="1" s="1"/>
  <c r="AM158" i="1"/>
  <c r="R201" i="1" s="1"/>
  <c r="AK158" i="1"/>
  <c r="R199" i="1" s="1"/>
  <c r="AV157" i="1"/>
  <c r="Q210" i="1" s="1"/>
  <c r="AS157" i="1"/>
  <c r="Q207" i="1" s="1"/>
  <c r="AP157" i="1"/>
  <c r="Q204" i="1" s="1"/>
  <c r="AM157" i="1"/>
  <c r="Q201" i="1" s="1"/>
  <c r="AK157" i="1"/>
  <c r="Q199" i="1" s="1"/>
  <c r="AV156" i="1"/>
  <c r="P210" i="1" s="1"/>
  <c r="AS156" i="1"/>
  <c r="P207" i="1" s="1"/>
  <c r="AP156" i="1"/>
  <c r="P204" i="1" s="1"/>
  <c r="AM156" i="1"/>
  <c r="P201" i="1" s="1"/>
  <c r="AK156" i="1"/>
  <c r="P199" i="1" s="1"/>
  <c r="AV155" i="1"/>
  <c r="O210" i="1" s="1"/>
  <c r="AS155" i="1"/>
  <c r="O207" i="1" s="1"/>
  <c r="AP155" i="1"/>
  <c r="O204" i="1" s="1"/>
  <c r="AM155" i="1"/>
  <c r="O201" i="1" s="1"/>
  <c r="AK155" i="1"/>
  <c r="O199" i="1" s="1"/>
  <c r="AV154" i="1"/>
  <c r="N210" i="1" s="1"/>
  <c r="AS154" i="1"/>
  <c r="N207" i="1" s="1"/>
  <c r="AP154" i="1"/>
  <c r="N204" i="1" s="1"/>
  <c r="AM154" i="1"/>
  <c r="N201" i="1" s="1"/>
  <c r="AK154" i="1"/>
  <c r="N199" i="1" s="1"/>
  <c r="AV153" i="1"/>
  <c r="M210" i="1" s="1"/>
  <c r="AS153" i="1"/>
  <c r="M207" i="1" s="1"/>
  <c r="AP153" i="1"/>
  <c r="M204" i="1" s="1"/>
  <c r="AM153" i="1"/>
  <c r="M201" i="1" s="1"/>
  <c r="AK153" i="1"/>
  <c r="M199" i="1" s="1"/>
  <c r="AV152" i="1"/>
  <c r="L210" i="1" s="1"/>
  <c r="AS152" i="1"/>
  <c r="L207" i="1" s="1"/>
  <c r="AP152" i="1"/>
  <c r="L204" i="1" s="1"/>
  <c r="AM152" i="1"/>
  <c r="L201" i="1" s="1"/>
  <c r="AK152" i="1"/>
  <c r="L199" i="1" s="1"/>
  <c r="AV151" i="1"/>
  <c r="K210" i="1" s="1"/>
  <c r="AS151" i="1"/>
  <c r="K207" i="1" s="1"/>
  <c r="AP151" i="1"/>
  <c r="K204" i="1" s="1"/>
  <c r="AM151" i="1"/>
  <c r="K201" i="1" s="1"/>
  <c r="AK151" i="1"/>
  <c r="K199" i="1" s="1"/>
  <c r="AV150" i="1"/>
  <c r="AS150" i="1"/>
  <c r="J207" i="1" s="1"/>
  <c r="AP150" i="1"/>
  <c r="J204" i="1" s="1"/>
  <c r="AM150" i="1"/>
  <c r="J201" i="1" s="1"/>
  <c r="AK150" i="1"/>
  <c r="J199" i="1" s="1"/>
  <c r="AV149" i="1"/>
  <c r="I210" i="1" s="1"/>
  <c r="AS149" i="1"/>
  <c r="I207" i="1" s="1"/>
  <c r="AP149" i="1"/>
  <c r="I204" i="1" s="1"/>
  <c r="AM149" i="1"/>
  <c r="I201" i="1" s="1"/>
  <c r="AK149" i="1"/>
  <c r="I199" i="1" s="1"/>
  <c r="AV148" i="1"/>
  <c r="H210" i="1" s="1"/>
  <c r="AP148" i="1"/>
  <c r="H204" i="1" s="1"/>
  <c r="AM148" i="1"/>
  <c r="H201" i="1" s="1"/>
  <c r="AK148" i="1"/>
  <c r="H199" i="1" s="1"/>
  <c r="AV147" i="1"/>
  <c r="G210" i="1" s="1"/>
  <c r="AS147" i="1"/>
  <c r="G207" i="1" s="1"/>
  <c r="AP147" i="1"/>
  <c r="G204" i="1" s="1"/>
  <c r="AM147" i="1"/>
  <c r="G201" i="1" s="1"/>
  <c r="AK147" i="1"/>
  <c r="G199" i="1" s="1"/>
  <c r="AV146" i="1"/>
  <c r="F210" i="1" s="1"/>
  <c r="AS146" i="1"/>
  <c r="F207" i="1" s="1"/>
  <c r="AP146" i="1"/>
  <c r="F204" i="1" s="1"/>
  <c r="AM146" i="1"/>
  <c r="F201" i="1" s="1"/>
  <c r="AK146" i="1"/>
  <c r="F199" i="1" s="1"/>
  <c r="AC146" i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I138" i="1"/>
  <c r="AI137" i="1"/>
  <c r="AI136" i="1"/>
  <c r="AI135" i="1"/>
  <c r="AI134" i="1"/>
  <c r="AW133" i="1"/>
  <c r="AW134" i="1" s="1"/>
  <c r="AW135" i="1" s="1"/>
  <c r="AW136" i="1" s="1"/>
  <c r="AW137" i="1" s="1"/>
  <c r="AW138" i="1" s="1"/>
  <c r="AW163" i="1" s="1"/>
  <c r="W211" i="1" s="1"/>
  <c r="AT133" i="1"/>
  <c r="AT134" i="1" s="1"/>
  <c r="AT135" i="1" s="1"/>
  <c r="AI133" i="1"/>
  <c r="AB133" i="1"/>
  <c r="AB134" i="1" s="1"/>
  <c r="AA133" i="1"/>
  <c r="AA134" i="1" s="1"/>
  <c r="AA135" i="1" s="1"/>
  <c r="AA136" i="1" s="1"/>
  <c r="AA137" i="1" s="1"/>
  <c r="AA138" i="1" s="1"/>
  <c r="AV132" i="1"/>
  <c r="AX132" i="1" s="1"/>
  <c r="AS132" i="1"/>
  <c r="AU132" i="1" s="1"/>
  <c r="AP132" i="1"/>
  <c r="AM132" i="1"/>
  <c r="AK132" i="1"/>
  <c r="AI132" i="1"/>
  <c r="AI131" i="1"/>
  <c r="AI130" i="1"/>
  <c r="AI129" i="1"/>
  <c r="AI128" i="1"/>
  <c r="AI127" i="1"/>
  <c r="AW126" i="1"/>
  <c r="AW127" i="1" s="1"/>
  <c r="AW128" i="1" s="1"/>
  <c r="AW129" i="1" s="1"/>
  <c r="AW130" i="1" s="1"/>
  <c r="AW131" i="1" s="1"/>
  <c r="AW162" i="1" s="1"/>
  <c r="V211" i="1" s="1"/>
  <c r="AT126" i="1"/>
  <c r="AT127" i="1" s="1"/>
  <c r="AI126" i="1"/>
  <c r="AB126" i="1"/>
  <c r="AA126" i="1"/>
  <c r="AA127" i="1" s="1"/>
  <c r="AA128" i="1" s="1"/>
  <c r="AA129" i="1" s="1"/>
  <c r="AA130" i="1" s="1"/>
  <c r="AA131" i="1" s="1"/>
  <c r="AV125" i="1"/>
  <c r="AX125" i="1" s="1"/>
  <c r="AS125" i="1"/>
  <c r="AU125" i="1" s="1"/>
  <c r="AP125" i="1"/>
  <c r="AM125" i="1"/>
  <c r="AK125" i="1"/>
  <c r="AI125" i="1"/>
  <c r="AI124" i="1"/>
  <c r="AA124" i="1"/>
  <c r="AI123" i="1"/>
  <c r="AI122" i="1"/>
  <c r="AI121" i="1"/>
  <c r="AW120" i="1"/>
  <c r="AW121" i="1" s="1"/>
  <c r="AW122" i="1" s="1"/>
  <c r="AW123" i="1" s="1"/>
  <c r="AW124" i="1" s="1"/>
  <c r="AW161" i="1" s="1"/>
  <c r="U211" i="1" s="1"/>
  <c r="AI120" i="1"/>
  <c r="AW119" i="1"/>
  <c r="AT119" i="1"/>
  <c r="AT120" i="1" s="1"/>
  <c r="AT121" i="1" s="1"/>
  <c r="AT122" i="1" s="1"/>
  <c r="AI119" i="1"/>
  <c r="AB119" i="1"/>
  <c r="AV119" i="1" s="1"/>
  <c r="AA119" i="1"/>
  <c r="AA120" i="1" s="1"/>
  <c r="AA121" i="1" s="1"/>
  <c r="AA122" i="1" s="1"/>
  <c r="AV118" i="1"/>
  <c r="AX118" i="1" s="1"/>
  <c r="AS118" i="1"/>
  <c r="AU118" i="1" s="1"/>
  <c r="AP118" i="1"/>
  <c r="AM118" i="1"/>
  <c r="AK118" i="1"/>
  <c r="AI118" i="1"/>
  <c r="AI117" i="1"/>
  <c r="AI116" i="1"/>
  <c r="AI115" i="1"/>
  <c r="AI114" i="1"/>
  <c r="AI113" i="1"/>
  <c r="AW112" i="1"/>
  <c r="AW113" i="1" s="1"/>
  <c r="AW114" i="1" s="1"/>
  <c r="AW115" i="1" s="1"/>
  <c r="AW116" i="1" s="1"/>
  <c r="AW117" i="1" s="1"/>
  <c r="AW160" i="1" s="1"/>
  <c r="T211" i="1" s="1"/>
  <c r="AT112" i="1"/>
  <c r="AT113" i="1" s="1"/>
  <c r="AT114" i="1" s="1"/>
  <c r="AI112" i="1"/>
  <c r="AB112" i="1"/>
  <c r="AA112" i="1"/>
  <c r="AA113" i="1" s="1"/>
  <c r="AA114" i="1" s="1"/>
  <c r="AA115" i="1" s="1"/>
  <c r="AA116" i="1" s="1"/>
  <c r="AA117" i="1" s="1"/>
  <c r="AV111" i="1"/>
  <c r="AX111" i="1" s="1"/>
  <c r="AS111" i="1"/>
  <c r="AU111" i="1" s="1"/>
  <c r="AP111" i="1"/>
  <c r="AM111" i="1"/>
  <c r="AK111" i="1"/>
  <c r="AI111" i="1"/>
  <c r="AI110" i="1"/>
  <c r="AI109" i="1"/>
  <c r="AI108" i="1"/>
  <c r="AI107" i="1"/>
  <c r="AI106" i="1"/>
  <c r="AW105" i="1"/>
  <c r="AW106" i="1" s="1"/>
  <c r="AW107" i="1" s="1"/>
  <c r="AW108" i="1" s="1"/>
  <c r="AW109" i="1" s="1"/>
  <c r="AW110" i="1" s="1"/>
  <c r="AW159" i="1" s="1"/>
  <c r="S211" i="1" s="1"/>
  <c r="AT105" i="1"/>
  <c r="AT106" i="1" s="1"/>
  <c r="AI105" i="1"/>
  <c r="AB105" i="1"/>
  <c r="AA105" i="1"/>
  <c r="AA106" i="1" s="1"/>
  <c r="AA107" i="1" s="1"/>
  <c r="AA108" i="1" s="1"/>
  <c r="AA109" i="1" s="1"/>
  <c r="AA110" i="1" s="1"/>
  <c r="AV104" i="1"/>
  <c r="AX104" i="1" s="1"/>
  <c r="AS104" i="1"/>
  <c r="AU104" i="1" s="1"/>
  <c r="AP104" i="1"/>
  <c r="AM104" i="1"/>
  <c r="AK104" i="1"/>
  <c r="AI104" i="1"/>
  <c r="AI103" i="1"/>
  <c r="AI102" i="1"/>
  <c r="AI101" i="1"/>
  <c r="AI100" i="1"/>
  <c r="AI99" i="1"/>
  <c r="AW98" i="1"/>
  <c r="AW99" i="1" s="1"/>
  <c r="AW100" i="1" s="1"/>
  <c r="AW101" i="1" s="1"/>
  <c r="AW102" i="1" s="1"/>
  <c r="AW103" i="1" s="1"/>
  <c r="AW158" i="1" s="1"/>
  <c r="R211" i="1" s="1"/>
  <c r="AT98" i="1"/>
  <c r="AT99" i="1" s="1"/>
  <c r="AT100" i="1" s="1"/>
  <c r="AT101" i="1" s="1"/>
  <c r="AT102" i="1" s="1"/>
  <c r="AI98" i="1"/>
  <c r="AB98" i="1"/>
  <c r="AB99" i="1" s="1"/>
  <c r="AV99" i="1" s="1"/>
  <c r="AA98" i="1"/>
  <c r="AA99" i="1" s="1"/>
  <c r="AA100" i="1" s="1"/>
  <c r="AA101" i="1" s="1"/>
  <c r="AA102" i="1" s="1"/>
  <c r="AA103" i="1" s="1"/>
  <c r="AV97" i="1"/>
  <c r="AX97" i="1" s="1"/>
  <c r="AS97" i="1"/>
  <c r="AU97" i="1" s="1"/>
  <c r="AP97" i="1"/>
  <c r="AM97" i="1"/>
  <c r="AK97" i="1"/>
  <c r="AI97" i="1"/>
  <c r="AI96" i="1"/>
  <c r="AI95" i="1"/>
  <c r="AI94" i="1"/>
  <c r="AI93" i="1"/>
  <c r="AA93" i="1"/>
  <c r="AA94" i="1" s="1"/>
  <c r="AA95" i="1" s="1"/>
  <c r="AA96" i="1" s="1"/>
  <c r="AI92" i="1"/>
  <c r="AW91" i="1"/>
  <c r="AW92" i="1" s="1"/>
  <c r="AW93" i="1" s="1"/>
  <c r="AW94" i="1" s="1"/>
  <c r="AW95" i="1" s="1"/>
  <c r="AW96" i="1" s="1"/>
  <c r="AW157" i="1" s="1"/>
  <c r="Q211" i="1" s="1"/>
  <c r="AT91" i="1"/>
  <c r="AT92" i="1" s="1"/>
  <c r="AT93" i="1" s="1"/>
  <c r="AT94" i="1" s="1"/>
  <c r="AT95" i="1" s="1"/>
  <c r="AT96" i="1" s="1"/>
  <c r="AT157" i="1" s="1"/>
  <c r="Q208" i="1" s="1"/>
  <c r="AI91" i="1"/>
  <c r="AB91" i="1"/>
  <c r="AB92" i="1" s="1"/>
  <c r="AV90" i="1"/>
  <c r="AX90" i="1" s="1"/>
  <c r="AS90" i="1"/>
  <c r="AU90" i="1" s="1"/>
  <c r="AP90" i="1"/>
  <c r="AM90" i="1"/>
  <c r="AK90" i="1"/>
  <c r="AI90" i="1"/>
  <c r="AI89" i="1"/>
  <c r="AI88" i="1"/>
  <c r="AI87" i="1"/>
  <c r="AI86" i="1"/>
  <c r="AI85" i="1"/>
  <c r="AW84" i="1"/>
  <c r="AW85" i="1" s="1"/>
  <c r="AW86" i="1" s="1"/>
  <c r="AW87" i="1" s="1"/>
  <c r="AW88" i="1" s="1"/>
  <c r="AW89" i="1" s="1"/>
  <c r="AW156" i="1" s="1"/>
  <c r="P211" i="1" s="1"/>
  <c r="AT84" i="1"/>
  <c r="AT85" i="1" s="1"/>
  <c r="AT86" i="1" s="1"/>
  <c r="AI84" i="1"/>
  <c r="AB84" i="1"/>
  <c r="AV84" i="1" s="1"/>
  <c r="AA84" i="1"/>
  <c r="AA85" i="1" s="1"/>
  <c r="AA86" i="1" s="1"/>
  <c r="AA87" i="1" s="1"/>
  <c r="AA88" i="1" s="1"/>
  <c r="AA89" i="1" s="1"/>
  <c r="AV83" i="1"/>
  <c r="AX83" i="1" s="1"/>
  <c r="AS83" i="1"/>
  <c r="AU83" i="1" s="1"/>
  <c r="AP83" i="1"/>
  <c r="AM83" i="1"/>
  <c r="AK83" i="1"/>
  <c r="AI83" i="1"/>
  <c r="AI82" i="1"/>
  <c r="AI81" i="1"/>
  <c r="AI80" i="1"/>
  <c r="AI79" i="1"/>
  <c r="AI78" i="1"/>
  <c r="AW77" i="1"/>
  <c r="AW78" i="1" s="1"/>
  <c r="AW79" i="1" s="1"/>
  <c r="AW80" i="1" s="1"/>
  <c r="AW81" i="1" s="1"/>
  <c r="AW82" i="1" s="1"/>
  <c r="AW155" i="1" s="1"/>
  <c r="O211" i="1" s="1"/>
  <c r="AT77" i="1"/>
  <c r="AT78" i="1" s="1"/>
  <c r="AT79" i="1" s="1"/>
  <c r="AT80" i="1" s="1"/>
  <c r="AI77" i="1"/>
  <c r="AB77" i="1"/>
  <c r="AV77" i="1" s="1"/>
  <c r="AA77" i="1"/>
  <c r="AA78" i="1" s="1"/>
  <c r="AA79" i="1" s="1"/>
  <c r="AA80" i="1" s="1"/>
  <c r="AA81" i="1" s="1"/>
  <c r="AA82" i="1" s="1"/>
  <c r="AV76" i="1"/>
  <c r="AX76" i="1" s="1"/>
  <c r="AS76" i="1"/>
  <c r="AU76" i="1" s="1"/>
  <c r="AP76" i="1"/>
  <c r="AM76" i="1"/>
  <c r="AK76" i="1"/>
  <c r="AI76" i="1"/>
  <c r="AI75" i="1"/>
  <c r="AI74" i="1"/>
  <c r="AI73" i="1"/>
  <c r="AI72" i="1"/>
  <c r="AI71" i="1"/>
  <c r="AW70" i="1"/>
  <c r="AW71" i="1" s="1"/>
  <c r="AW72" i="1" s="1"/>
  <c r="AW73" i="1" s="1"/>
  <c r="AW74" i="1" s="1"/>
  <c r="AW75" i="1" s="1"/>
  <c r="AW154" i="1" s="1"/>
  <c r="N211" i="1" s="1"/>
  <c r="AT70" i="1"/>
  <c r="AT71" i="1" s="1"/>
  <c r="AT72" i="1" s="1"/>
  <c r="AI70" i="1"/>
  <c r="AB70" i="1"/>
  <c r="AA70" i="1"/>
  <c r="AA71" i="1" s="1"/>
  <c r="AA72" i="1" s="1"/>
  <c r="AA73" i="1" s="1"/>
  <c r="AA74" i="1" s="1"/>
  <c r="AA75" i="1" s="1"/>
  <c r="AV69" i="1"/>
  <c r="AX69" i="1" s="1"/>
  <c r="AS69" i="1"/>
  <c r="AU69" i="1" s="1"/>
  <c r="AP69" i="1"/>
  <c r="AM69" i="1"/>
  <c r="AK69" i="1"/>
  <c r="AI69" i="1"/>
  <c r="AI68" i="1"/>
  <c r="AI67" i="1"/>
  <c r="AI66" i="1"/>
  <c r="AI65" i="1"/>
  <c r="AI64" i="1"/>
  <c r="AW63" i="1"/>
  <c r="AW64" i="1" s="1"/>
  <c r="AW65" i="1" s="1"/>
  <c r="AW66" i="1" s="1"/>
  <c r="AW67" i="1" s="1"/>
  <c r="AW68" i="1" s="1"/>
  <c r="AW153" i="1" s="1"/>
  <c r="M211" i="1" s="1"/>
  <c r="AT63" i="1"/>
  <c r="AT64" i="1" s="1"/>
  <c r="AI63" i="1"/>
  <c r="AB63" i="1"/>
  <c r="AA63" i="1"/>
  <c r="AA64" i="1" s="1"/>
  <c r="AA65" i="1" s="1"/>
  <c r="AA66" i="1" s="1"/>
  <c r="AA67" i="1" s="1"/>
  <c r="AA68" i="1" s="1"/>
  <c r="AV62" i="1"/>
  <c r="AX62" i="1" s="1"/>
  <c r="AS62" i="1"/>
  <c r="AU62" i="1" s="1"/>
  <c r="AP62" i="1"/>
  <c r="AM62" i="1"/>
  <c r="AK62" i="1"/>
  <c r="AI62" i="1"/>
  <c r="AI61" i="1"/>
  <c r="AI60" i="1"/>
  <c r="AI59" i="1"/>
  <c r="AI58" i="1"/>
  <c r="AI57" i="1"/>
  <c r="AW56" i="1"/>
  <c r="AW57" i="1" s="1"/>
  <c r="AW58" i="1" s="1"/>
  <c r="AW59" i="1" s="1"/>
  <c r="AW60" i="1" s="1"/>
  <c r="AW61" i="1" s="1"/>
  <c r="AW152" i="1" s="1"/>
  <c r="L211" i="1" s="1"/>
  <c r="AT56" i="1"/>
  <c r="AT57" i="1" s="1"/>
  <c r="AT58" i="1" s="1"/>
  <c r="AI56" i="1"/>
  <c r="AB56" i="1"/>
  <c r="AV56" i="1" s="1"/>
  <c r="AA56" i="1"/>
  <c r="AA57" i="1" s="1"/>
  <c r="AA58" i="1" s="1"/>
  <c r="AA59" i="1" s="1"/>
  <c r="AV55" i="1"/>
  <c r="AX55" i="1" s="1"/>
  <c r="AS55" i="1"/>
  <c r="AU55" i="1" s="1"/>
  <c r="AP55" i="1"/>
  <c r="AM55" i="1"/>
  <c r="AK55" i="1"/>
  <c r="AI55" i="1"/>
  <c r="AI54" i="1"/>
  <c r="AI53" i="1"/>
  <c r="AI52" i="1"/>
  <c r="AI51" i="1"/>
  <c r="AI50" i="1"/>
  <c r="AW49" i="1"/>
  <c r="AW50" i="1" s="1"/>
  <c r="AW51" i="1" s="1"/>
  <c r="AW52" i="1" s="1"/>
  <c r="AW53" i="1" s="1"/>
  <c r="AW54" i="1" s="1"/>
  <c r="AW151" i="1" s="1"/>
  <c r="K211" i="1" s="1"/>
  <c r="AT49" i="1"/>
  <c r="AT50" i="1" s="1"/>
  <c r="AT51" i="1" s="1"/>
  <c r="AT52" i="1" s="1"/>
  <c r="AI49" i="1"/>
  <c r="AB49" i="1"/>
  <c r="AV49" i="1" s="1"/>
  <c r="AA49" i="1"/>
  <c r="AA50" i="1" s="1"/>
  <c r="AA51" i="1" s="1"/>
  <c r="AA52" i="1" s="1"/>
  <c r="AA53" i="1" s="1"/>
  <c r="AA54" i="1" s="1"/>
  <c r="AV48" i="1"/>
  <c r="AX48" i="1" s="1"/>
  <c r="AS48" i="1"/>
  <c r="AU48" i="1" s="1"/>
  <c r="AP48" i="1"/>
  <c r="AM48" i="1"/>
  <c r="AK48" i="1"/>
  <c r="AI48" i="1"/>
  <c r="AI47" i="1"/>
  <c r="AI46" i="1"/>
  <c r="AI45" i="1"/>
  <c r="AI44" i="1"/>
  <c r="AI43" i="1"/>
  <c r="AW42" i="1"/>
  <c r="AW43" i="1" s="1"/>
  <c r="AW44" i="1" s="1"/>
  <c r="AW45" i="1" s="1"/>
  <c r="AW46" i="1" s="1"/>
  <c r="AW47" i="1" s="1"/>
  <c r="AW150" i="1" s="1"/>
  <c r="J211" i="1" s="1"/>
  <c r="AT42" i="1"/>
  <c r="AT43" i="1" s="1"/>
  <c r="AT44" i="1" s="1"/>
  <c r="AI42" i="1"/>
  <c r="AB42" i="1"/>
  <c r="AB43" i="1" s="1"/>
  <c r="AA42" i="1"/>
  <c r="AA43" i="1" s="1"/>
  <c r="AA44" i="1" s="1"/>
  <c r="AA45" i="1" s="1"/>
  <c r="AA46" i="1" s="1"/>
  <c r="AA47" i="1" s="1"/>
  <c r="AV41" i="1"/>
  <c r="AX41" i="1" s="1"/>
  <c r="AS41" i="1"/>
  <c r="AU41" i="1" s="1"/>
  <c r="AP41" i="1"/>
  <c r="AM41" i="1"/>
  <c r="AK41" i="1"/>
  <c r="AI41" i="1"/>
  <c r="AI40" i="1"/>
  <c r="AI39" i="1"/>
  <c r="AI38" i="1"/>
  <c r="AI37" i="1"/>
  <c r="AI36" i="1"/>
  <c r="AW35" i="1"/>
  <c r="AW36" i="1" s="1"/>
  <c r="AW37" i="1" s="1"/>
  <c r="AW38" i="1" s="1"/>
  <c r="AW39" i="1" s="1"/>
  <c r="AW40" i="1" s="1"/>
  <c r="AW149" i="1" s="1"/>
  <c r="I211" i="1" s="1"/>
  <c r="AT35" i="1"/>
  <c r="AT36" i="1" s="1"/>
  <c r="AI35" i="1"/>
  <c r="AB35" i="1"/>
  <c r="AB36" i="1" s="1"/>
  <c r="AA35" i="1"/>
  <c r="AA36" i="1" s="1"/>
  <c r="AA37" i="1" s="1"/>
  <c r="AA38" i="1" s="1"/>
  <c r="AA39" i="1" s="1"/>
  <c r="AA40" i="1" s="1"/>
  <c r="AV34" i="1"/>
  <c r="AX34" i="1" s="1"/>
  <c r="AS34" i="1"/>
  <c r="AU34" i="1" s="1"/>
  <c r="AP34" i="1"/>
  <c r="AM34" i="1"/>
  <c r="AK34" i="1"/>
  <c r="AI34" i="1"/>
  <c r="AI33" i="1"/>
  <c r="AI32" i="1"/>
  <c r="AI30" i="1"/>
  <c r="AI29" i="1"/>
  <c r="AW28" i="1"/>
  <c r="AW29" i="1" s="1"/>
  <c r="AW30" i="1" s="1"/>
  <c r="AW31" i="1" s="1"/>
  <c r="AW32" i="1" s="1"/>
  <c r="AW33" i="1" s="1"/>
  <c r="AW148" i="1" s="1"/>
  <c r="H211" i="1" s="1"/>
  <c r="AT28" i="1"/>
  <c r="AT29" i="1" s="1"/>
  <c r="AT30" i="1" s="1"/>
  <c r="AI28" i="1"/>
  <c r="AB28" i="1"/>
  <c r="AB29" i="1" s="1"/>
  <c r="AV27" i="1"/>
  <c r="AX27" i="1" s="1"/>
  <c r="AS27" i="1"/>
  <c r="AU27" i="1" s="1"/>
  <c r="AP27" i="1"/>
  <c r="AM27" i="1"/>
  <c r="AK27" i="1"/>
  <c r="AI27" i="1"/>
  <c r="AI26" i="1"/>
  <c r="AI25" i="1"/>
  <c r="AI24" i="1"/>
  <c r="AI23" i="1"/>
  <c r="AI22" i="1"/>
  <c r="AW21" i="1"/>
  <c r="AW22" i="1" s="1"/>
  <c r="AW23" i="1" s="1"/>
  <c r="AW24" i="1" s="1"/>
  <c r="AW25" i="1" s="1"/>
  <c r="AW26" i="1" s="1"/>
  <c r="AW147" i="1" s="1"/>
  <c r="G211" i="1" s="1"/>
  <c r="AT21" i="1"/>
  <c r="AT22" i="1" s="1"/>
  <c r="AI21" i="1"/>
  <c r="AB21" i="1"/>
  <c r="AB22" i="1" s="1"/>
  <c r="AA21" i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V20" i="1"/>
  <c r="AX20" i="1" s="1"/>
  <c r="AS20" i="1"/>
  <c r="AU20" i="1" s="1"/>
  <c r="AP20" i="1"/>
  <c r="AM20" i="1"/>
  <c r="AK20" i="1"/>
  <c r="AI20" i="1"/>
  <c r="AI19" i="1"/>
  <c r="AI18" i="1"/>
  <c r="AW17" i="1"/>
  <c r="AW18" i="1" s="1"/>
  <c r="AW19" i="1" s="1"/>
  <c r="AW146" i="1" s="1"/>
  <c r="F211" i="1" s="1"/>
  <c r="AT17" i="1"/>
  <c r="AT18" i="1" s="1"/>
  <c r="AI17" i="1"/>
  <c r="AI16" i="1"/>
  <c r="AI15" i="1"/>
  <c r="AW14" i="1"/>
  <c r="AW15" i="1" s="1"/>
  <c r="AT14" i="1"/>
  <c r="AT15" i="1" s="1"/>
  <c r="AI14" i="1"/>
  <c r="AB14" i="1"/>
  <c r="AA14" i="1"/>
  <c r="AA15" i="1" s="1"/>
  <c r="AA16" i="1" s="1"/>
  <c r="AA17" i="1" s="1"/>
  <c r="AA18" i="1" s="1"/>
  <c r="AA19" i="1" s="1"/>
  <c r="AV13" i="1"/>
  <c r="AX13" i="1" s="1"/>
  <c r="AS13" i="1"/>
  <c r="AU13" i="1" s="1"/>
  <c r="AP13" i="1"/>
  <c r="AM13" i="1"/>
  <c r="AK13" i="1"/>
  <c r="AI13" i="1"/>
  <c r="AI12" i="1"/>
  <c r="AI11" i="1"/>
  <c r="AI10" i="1"/>
  <c r="AI9" i="1"/>
  <c r="AI8" i="1"/>
  <c r="AW7" i="1"/>
  <c r="AW8" i="1" s="1"/>
  <c r="AW9" i="1" s="1"/>
  <c r="AW10" i="1" s="1"/>
  <c r="AW11" i="1" s="1"/>
  <c r="AW12" i="1" s="1"/>
  <c r="AW145" i="1" s="1"/>
  <c r="E211" i="1" s="1"/>
  <c r="AT7" i="1"/>
  <c r="AT8" i="1" s="1"/>
  <c r="AT9" i="1" s="1"/>
  <c r="AI7" i="1"/>
  <c r="AB7" i="1"/>
  <c r="AA7" i="1"/>
  <c r="AA8" i="1" s="1"/>
  <c r="AA9" i="1" s="1"/>
  <c r="AA10" i="1" s="1"/>
  <c r="AA11" i="1" s="1"/>
  <c r="AA12" i="1" s="1"/>
  <c r="AV6" i="1"/>
  <c r="AX6" i="1" s="1"/>
  <c r="AS6" i="1"/>
  <c r="AU6" i="1" s="1"/>
  <c r="AP6" i="1"/>
  <c r="AM6" i="1"/>
  <c r="AK6" i="1"/>
  <c r="AI6" i="1"/>
  <c r="AJ6" i="1" s="1"/>
  <c r="AD6" i="1"/>
  <c r="AQ6" i="1" s="1"/>
  <c r="DK83" i="9" l="1"/>
  <c r="DG84" i="9"/>
  <c r="DN83" i="9"/>
  <c r="DO83" i="9" s="1"/>
  <c r="DB83" i="9"/>
  <c r="DA84" i="9" s="1"/>
  <c r="DI83" i="9"/>
  <c r="CO84" i="9"/>
  <c r="CP84" i="9" s="1"/>
  <c r="CC84" i="9"/>
  <c r="CB85" i="9" s="1"/>
  <c r="CJ84" i="9"/>
  <c r="CL84" i="9"/>
  <c r="CH85" i="9"/>
  <c r="BK83" i="9"/>
  <c r="BP83" i="9"/>
  <c r="BQ83" i="9" s="1"/>
  <c r="BD83" i="9"/>
  <c r="BC84" i="9" s="1"/>
  <c r="BI85" i="9"/>
  <c r="BM85" i="9" s="1"/>
  <c r="AQ83" i="9"/>
  <c r="AR83" i="9" s="1"/>
  <c r="AE83" i="9"/>
  <c r="AD84" i="9" s="1"/>
  <c r="AL83" i="9"/>
  <c r="AN83" i="9"/>
  <c r="AJ84" i="9"/>
  <c r="R74" i="9"/>
  <c r="S74" i="9" s="1"/>
  <c r="M74" i="9"/>
  <c r="E75" i="9"/>
  <c r="F75" i="9" s="1"/>
  <c r="K155" i="9"/>
  <c r="K83" i="9"/>
  <c r="O82" i="9"/>
  <c r="V258" i="7"/>
  <c r="U258" i="7"/>
  <c r="Q261" i="7"/>
  <c r="S404" i="7"/>
  <c r="W401" i="7"/>
  <c r="R261" i="7"/>
  <c r="R258" i="7"/>
  <c r="T261" i="7"/>
  <c r="U261" i="7"/>
  <c r="T258" i="7"/>
  <c r="S258" i="7"/>
  <c r="T86" i="7"/>
  <c r="V86" i="7" s="1"/>
  <c r="AV67" i="7"/>
  <c r="AX67" i="7" s="1"/>
  <c r="AS86" i="7"/>
  <c r="AU86" i="7" s="1"/>
  <c r="BL86" i="7"/>
  <c r="BR86" i="7"/>
  <c r="BT86" i="7" s="1"/>
  <c r="AB59" i="7"/>
  <c r="AV59" i="7" s="1"/>
  <c r="AX59" i="7" s="1"/>
  <c r="W30" i="7"/>
  <c r="Y30" i="7" s="1"/>
  <c r="L30" i="7"/>
  <c r="BR30" i="7"/>
  <c r="BT30" i="7" s="1"/>
  <c r="DJ30" i="7"/>
  <c r="DH30" i="7"/>
  <c r="AV135" i="7"/>
  <c r="AX135" i="7" s="1"/>
  <c r="GE30" i="7"/>
  <c r="EG30" i="7"/>
  <c r="GG30" i="7"/>
  <c r="BL65" i="7"/>
  <c r="Q30" i="7"/>
  <c r="T30" i="7"/>
  <c r="V30" i="7" s="1"/>
  <c r="CN30" i="7"/>
  <c r="BZ129" i="7"/>
  <c r="DP30" i="7"/>
  <c r="DR30" i="7" s="1"/>
  <c r="GM30" i="7"/>
  <c r="GO30" i="7" s="1"/>
  <c r="HF30" i="7"/>
  <c r="HI30" i="7"/>
  <c r="L65" i="7"/>
  <c r="BU87" i="7"/>
  <c r="BW87" i="7" s="1"/>
  <c r="BU114" i="7"/>
  <c r="BW114" i="7" s="1"/>
  <c r="CI30" i="7"/>
  <c r="BJ30" i="7"/>
  <c r="AK30" i="7"/>
  <c r="C31" i="7"/>
  <c r="EI30" i="7"/>
  <c r="DM30" i="7"/>
  <c r="EL30" i="7"/>
  <c r="EO30" i="7"/>
  <c r="EQ30" i="7" s="1"/>
  <c r="HL30" i="7"/>
  <c r="HN30" i="7" s="1"/>
  <c r="AS30" i="7"/>
  <c r="AU30" i="7" s="1"/>
  <c r="FF30" i="7"/>
  <c r="AM30" i="7"/>
  <c r="N30" i="7"/>
  <c r="CK30" i="7"/>
  <c r="AP30" i="7"/>
  <c r="BL30" i="7"/>
  <c r="GJ30" i="7"/>
  <c r="FH30" i="7"/>
  <c r="FK30" i="7"/>
  <c r="FN30" i="7"/>
  <c r="FP30" i="7" s="1"/>
  <c r="L37" i="7"/>
  <c r="BR37" i="7"/>
  <c r="BT37" i="7" s="1"/>
  <c r="BQ7" i="7"/>
  <c r="BR100" i="7"/>
  <c r="BT100" i="7" s="1"/>
  <c r="L86" i="7"/>
  <c r="CQ86" i="7"/>
  <c r="CS86" i="7" s="1"/>
  <c r="BO86" i="7"/>
  <c r="AP86" i="7"/>
  <c r="BU58" i="7"/>
  <c r="BW58" i="7" s="1"/>
  <c r="AK86" i="7"/>
  <c r="C87" i="7"/>
  <c r="HL87" i="7" s="1"/>
  <c r="HN87" i="7" s="1"/>
  <c r="W86" i="7"/>
  <c r="Y86" i="7" s="1"/>
  <c r="Q86" i="7"/>
  <c r="AM86" i="7"/>
  <c r="CT38" i="7"/>
  <c r="CV38" i="7" s="1"/>
  <c r="CN86" i="7"/>
  <c r="N86" i="7"/>
  <c r="CK86" i="7"/>
  <c r="HL31" i="7"/>
  <c r="HN31" i="7" s="1"/>
  <c r="HI31" i="7"/>
  <c r="HF31" i="7"/>
  <c r="GE31" i="7"/>
  <c r="FK31" i="7"/>
  <c r="EL31" i="7"/>
  <c r="GM31" i="7"/>
  <c r="GO31" i="7" s="1"/>
  <c r="FH31" i="7"/>
  <c r="EI31" i="7"/>
  <c r="GJ31" i="7"/>
  <c r="FF31" i="7"/>
  <c r="DM31" i="7"/>
  <c r="EO31" i="7"/>
  <c r="EQ31" i="7" s="1"/>
  <c r="DH31" i="7"/>
  <c r="FN31" i="7"/>
  <c r="FP31" i="7" s="1"/>
  <c r="EG31" i="7"/>
  <c r="DP31" i="7"/>
  <c r="DR31" i="7" s="1"/>
  <c r="HD31" i="7"/>
  <c r="DJ31" i="7"/>
  <c r="GG31" i="7"/>
  <c r="HF100" i="7"/>
  <c r="HD100" i="7"/>
  <c r="HI100" i="7"/>
  <c r="GJ100" i="7"/>
  <c r="GG100" i="7"/>
  <c r="GE100" i="7"/>
  <c r="FK100" i="7"/>
  <c r="EG100" i="7"/>
  <c r="DH100" i="7"/>
  <c r="FH100" i="7"/>
  <c r="EO100" i="7"/>
  <c r="EQ100" i="7" s="1"/>
  <c r="DP100" i="7"/>
  <c r="DR100" i="7" s="1"/>
  <c r="HL100" i="7"/>
  <c r="HN100" i="7" s="1"/>
  <c r="GM100" i="7"/>
  <c r="GO100" i="7" s="1"/>
  <c r="FF100" i="7"/>
  <c r="EL100" i="7"/>
  <c r="DJ100" i="7"/>
  <c r="DM100" i="7"/>
  <c r="EI100" i="7"/>
  <c r="FN100" i="7"/>
  <c r="FP100" i="7" s="1"/>
  <c r="C101" i="7"/>
  <c r="CQ101" i="7" s="1"/>
  <c r="CS101" i="7" s="1"/>
  <c r="CI100" i="7"/>
  <c r="HF107" i="7"/>
  <c r="HD107" i="7"/>
  <c r="GJ107" i="7"/>
  <c r="GG107" i="7"/>
  <c r="HL107" i="7"/>
  <c r="HN107" i="7" s="1"/>
  <c r="GE107" i="7"/>
  <c r="HI107" i="7"/>
  <c r="FK107" i="7"/>
  <c r="EL107" i="7"/>
  <c r="DH107" i="7"/>
  <c r="FH107" i="7"/>
  <c r="EI107" i="7"/>
  <c r="DP107" i="7"/>
  <c r="DR107" i="7" s="1"/>
  <c r="FF107" i="7"/>
  <c r="FN107" i="7"/>
  <c r="FP107" i="7" s="1"/>
  <c r="EG107" i="7"/>
  <c r="DJ107" i="7"/>
  <c r="EO107" i="7"/>
  <c r="EQ107" i="7" s="1"/>
  <c r="DM107" i="7"/>
  <c r="GM107" i="7"/>
  <c r="GO107" i="7" s="1"/>
  <c r="HF115" i="7"/>
  <c r="HD115" i="7"/>
  <c r="HL115" i="7"/>
  <c r="HN115" i="7" s="1"/>
  <c r="GG115" i="7"/>
  <c r="HI115" i="7"/>
  <c r="GE115" i="7"/>
  <c r="GM115" i="7"/>
  <c r="GO115" i="7" s="1"/>
  <c r="FH115" i="7"/>
  <c r="EG115" i="7"/>
  <c r="DP115" i="7"/>
  <c r="DR115" i="7" s="1"/>
  <c r="FF115" i="7"/>
  <c r="EO115" i="7"/>
  <c r="EQ115" i="7" s="1"/>
  <c r="DM115" i="7"/>
  <c r="GJ115" i="7"/>
  <c r="FN115" i="7"/>
  <c r="FP115" i="7" s="1"/>
  <c r="EI115" i="7"/>
  <c r="EL115" i="7"/>
  <c r="FK115" i="7"/>
  <c r="DJ115" i="7"/>
  <c r="DH115" i="7"/>
  <c r="HL135" i="7"/>
  <c r="HN135" i="7" s="1"/>
  <c r="HI135" i="7"/>
  <c r="HF135" i="7"/>
  <c r="GE135" i="7"/>
  <c r="GM135" i="7"/>
  <c r="GO135" i="7" s="1"/>
  <c r="HD135" i="7"/>
  <c r="GJ135" i="7"/>
  <c r="FH135" i="7"/>
  <c r="EG135" i="7"/>
  <c r="DH135" i="7"/>
  <c r="GG135" i="7"/>
  <c r="FF135" i="7"/>
  <c r="EO135" i="7"/>
  <c r="EQ135" i="7" s="1"/>
  <c r="DP135" i="7"/>
  <c r="DR135" i="7" s="1"/>
  <c r="FN135" i="7"/>
  <c r="FP135" i="7" s="1"/>
  <c r="EI135" i="7"/>
  <c r="DM135" i="7"/>
  <c r="EL135" i="7"/>
  <c r="DJ135" i="7"/>
  <c r="FK135" i="7"/>
  <c r="HF72" i="7"/>
  <c r="HD72" i="7"/>
  <c r="GG72" i="7"/>
  <c r="HL72" i="7"/>
  <c r="HN72" i="7" s="1"/>
  <c r="GE72" i="7"/>
  <c r="HI72" i="7"/>
  <c r="GJ72" i="7"/>
  <c r="FF72" i="7"/>
  <c r="EI72" i="7"/>
  <c r="FN72" i="7"/>
  <c r="FP72" i="7" s="1"/>
  <c r="EG72" i="7"/>
  <c r="FK72" i="7"/>
  <c r="EL72" i="7"/>
  <c r="DJ72" i="7"/>
  <c r="DP72" i="7"/>
  <c r="DR72" i="7" s="1"/>
  <c r="EO72" i="7"/>
  <c r="EQ72" i="7" s="1"/>
  <c r="GM72" i="7"/>
  <c r="GO72" i="7" s="1"/>
  <c r="DH72" i="7"/>
  <c r="FH72" i="7"/>
  <c r="DM72" i="7"/>
  <c r="HI37" i="7"/>
  <c r="HF37" i="7"/>
  <c r="HD37" i="7"/>
  <c r="GM37" i="7"/>
  <c r="GO37" i="7" s="1"/>
  <c r="FN37" i="7"/>
  <c r="FP37" i="7" s="1"/>
  <c r="EG37" i="7"/>
  <c r="GJ37" i="7"/>
  <c r="FK37" i="7"/>
  <c r="EO37" i="7"/>
  <c r="EQ37" i="7" s="1"/>
  <c r="GG37" i="7"/>
  <c r="GE37" i="7"/>
  <c r="FH37" i="7"/>
  <c r="DP37" i="7"/>
  <c r="DR37" i="7" s="1"/>
  <c r="EI37" i="7"/>
  <c r="FF37" i="7"/>
  <c r="DM37" i="7"/>
  <c r="EL37" i="7"/>
  <c r="DJ37" i="7"/>
  <c r="HL37" i="7"/>
  <c r="HN37" i="7" s="1"/>
  <c r="DH37" i="7"/>
  <c r="Q100" i="7"/>
  <c r="W100" i="7"/>
  <c r="Y100" i="7" s="1"/>
  <c r="HD16" i="7"/>
  <c r="HL16" i="7"/>
  <c r="HN16" i="7" s="1"/>
  <c r="HI16" i="7"/>
  <c r="HF16" i="7"/>
  <c r="GM16" i="7"/>
  <c r="GO16" i="7" s="1"/>
  <c r="FF16" i="7"/>
  <c r="EO16" i="7"/>
  <c r="EQ16" i="7" s="1"/>
  <c r="GJ16" i="7"/>
  <c r="FN16" i="7"/>
  <c r="FP16" i="7" s="1"/>
  <c r="EL16" i="7"/>
  <c r="GG16" i="7"/>
  <c r="GE16" i="7"/>
  <c r="FK16" i="7"/>
  <c r="DJ16" i="7"/>
  <c r="EI16" i="7"/>
  <c r="DM16" i="7"/>
  <c r="FH16" i="7"/>
  <c r="DH16" i="7"/>
  <c r="DP16" i="7"/>
  <c r="DR16" i="7" s="1"/>
  <c r="EG16" i="7"/>
  <c r="HL128" i="7"/>
  <c r="HN128" i="7" s="1"/>
  <c r="HI128" i="7"/>
  <c r="HF128" i="7"/>
  <c r="HD128" i="7"/>
  <c r="GE128" i="7"/>
  <c r="GM128" i="7"/>
  <c r="GO128" i="7" s="1"/>
  <c r="GJ128" i="7"/>
  <c r="FH128" i="7"/>
  <c r="EG128" i="7"/>
  <c r="DH128" i="7"/>
  <c r="FF128" i="7"/>
  <c r="EO128" i="7"/>
  <c r="EQ128" i="7" s="1"/>
  <c r="DP128" i="7"/>
  <c r="DR128" i="7" s="1"/>
  <c r="GG128" i="7"/>
  <c r="FN128" i="7"/>
  <c r="FP128" i="7" s="1"/>
  <c r="FK128" i="7"/>
  <c r="DM128" i="7"/>
  <c r="EL128" i="7"/>
  <c r="DJ128" i="7"/>
  <c r="EI128" i="7"/>
  <c r="HD65" i="7"/>
  <c r="HL65" i="7"/>
  <c r="HN65" i="7" s="1"/>
  <c r="HI65" i="7"/>
  <c r="GM65" i="7"/>
  <c r="GO65" i="7" s="1"/>
  <c r="HF65" i="7"/>
  <c r="GJ65" i="7"/>
  <c r="FN65" i="7"/>
  <c r="FP65" i="7" s="1"/>
  <c r="EL65" i="7"/>
  <c r="FK65" i="7"/>
  <c r="EI65" i="7"/>
  <c r="GG65" i="7"/>
  <c r="FH65" i="7"/>
  <c r="GE65" i="7"/>
  <c r="DJ65" i="7"/>
  <c r="EG65" i="7"/>
  <c r="DP65" i="7"/>
  <c r="DR65" i="7" s="1"/>
  <c r="DM65" i="7"/>
  <c r="FF65" i="7"/>
  <c r="EO65" i="7"/>
  <c r="EQ65" i="7" s="1"/>
  <c r="DH65" i="7"/>
  <c r="HF86" i="7"/>
  <c r="HD86" i="7"/>
  <c r="HL86" i="7"/>
  <c r="HN86" i="7" s="1"/>
  <c r="GM86" i="7"/>
  <c r="GO86" i="7" s="1"/>
  <c r="HI86" i="7"/>
  <c r="GJ86" i="7"/>
  <c r="GG86" i="7"/>
  <c r="FF86" i="7"/>
  <c r="EL86" i="7"/>
  <c r="DH86" i="7"/>
  <c r="GE86" i="7"/>
  <c r="FN86" i="7"/>
  <c r="FP86" i="7" s="1"/>
  <c r="EI86" i="7"/>
  <c r="DP86" i="7"/>
  <c r="DR86" i="7" s="1"/>
  <c r="FK86" i="7"/>
  <c r="EO86" i="7"/>
  <c r="EQ86" i="7" s="1"/>
  <c r="FH86" i="7"/>
  <c r="CI86" i="7"/>
  <c r="DM86" i="7"/>
  <c r="DJ86" i="7"/>
  <c r="EG86" i="7"/>
  <c r="HL9" i="7"/>
  <c r="HN9" i="7" s="1"/>
  <c r="HI9" i="7"/>
  <c r="HF9" i="7"/>
  <c r="HD9" i="7"/>
  <c r="GG9" i="7"/>
  <c r="FK9" i="7"/>
  <c r="EI9" i="7"/>
  <c r="GE9" i="7"/>
  <c r="FH9" i="7"/>
  <c r="EG9" i="7"/>
  <c r="GM9" i="7"/>
  <c r="GO9" i="7" s="1"/>
  <c r="FN9" i="7"/>
  <c r="FP9" i="7" s="1"/>
  <c r="DP9" i="7"/>
  <c r="DR9" i="7" s="1"/>
  <c r="DH9" i="7"/>
  <c r="FF9" i="7"/>
  <c r="EO9" i="7"/>
  <c r="EQ9" i="7" s="1"/>
  <c r="DM9" i="7"/>
  <c r="DJ9" i="7"/>
  <c r="GJ9" i="7"/>
  <c r="EL9" i="7"/>
  <c r="HL51" i="7"/>
  <c r="HN51" i="7" s="1"/>
  <c r="GE51" i="7"/>
  <c r="HI51" i="7"/>
  <c r="GM51" i="7"/>
  <c r="GO51" i="7" s="1"/>
  <c r="HF51" i="7"/>
  <c r="FF51" i="7"/>
  <c r="EO51" i="7"/>
  <c r="EQ51" i="7" s="1"/>
  <c r="HD51" i="7"/>
  <c r="GJ51" i="7"/>
  <c r="FN51" i="7"/>
  <c r="FP51" i="7" s="1"/>
  <c r="EL51" i="7"/>
  <c r="GG51" i="7"/>
  <c r="EG51" i="7"/>
  <c r="DM51" i="7"/>
  <c r="DP51" i="7"/>
  <c r="DR51" i="7" s="1"/>
  <c r="FK51" i="7"/>
  <c r="DJ51" i="7"/>
  <c r="FH51" i="7"/>
  <c r="DH51" i="7"/>
  <c r="EI51" i="7"/>
  <c r="BL100" i="7"/>
  <c r="AS100" i="7"/>
  <c r="AU100" i="7" s="1"/>
  <c r="HD93" i="7"/>
  <c r="HL93" i="7"/>
  <c r="HN93" i="7" s="1"/>
  <c r="GE93" i="7"/>
  <c r="HI93" i="7"/>
  <c r="GM93" i="7"/>
  <c r="GO93" i="7" s="1"/>
  <c r="HF93" i="7"/>
  <c r="GJ93" i="7"/>
  <c r="FH93" i="7"/>
  <c r="EO93" i="7"/>
  <c r="EQ93" i="7" s="1"/>
  <c r="DH93" i="7"/>
  <c r="FF93" i="7"/>
  <c r="EL93" i="7"/>
  <c r="DP93" i="7"/>
  <c r="DR93" i="7" s="1"/>
  <c r="GG93" i="7"/>
  <c r="FN93" i="7"/>
  <c r="FP93" i="7" s="1"/>
  <c r="FK93" i="7"/>
  <c r="EI93" i="7"/>
  <c r="DM93" i="7"/>
  <c r="EG93" i="7"/>
  <c r="DJ93" i="7"/>
  <c r="HD80" i="7"/>
  <c r="HL80" i="7"/>
  <c r="HN80" i="7" s="1"/>
  <c r="GE80" i="7"/>
  <c r="GM80" i="7"/>
  <c r="GO80" i="7" s="1"/>
  <c r="HI80" i="7"/>
  <c r="FF80" i="7"/>
  <c r="EO80" i="7"/>
  <c r="EQ80" i="7" s="1"/>
  <c r="FN80" i="7"/>
  <c r="FP80" i="7" s="1"/>
  <c r="EL80" i="7"/>
  <c r="GJ80" i="7"/>
  <c r="FK80" i="7"/>
  <c r="DJ80" i="7"/>
  <c r="EG80" i="7"/>
  <c r="HF80" i="7"/>
  <c r="FH80" i="7"/>
  <c r="EI80" i="7"/>
  <c r="DH80" i="7"/>
  <c r="GG80" i="7"/>
  <c r="DP80" i="7"/>
  <c r="DR80" i="7" s="1"/>
  <c r="DM80" i="7"/>
  <c r="AV37" i="7"/>
  <c r="AX37" i="7" s="1"/>
  <c r="HL45" i="7"/>
  <c r="HN45" i="7" s="1"/>
  <c r="GG45" i="7"/>
  <c r="HI45" i="7"/>
  <c r="GE45" i="7"/>
  <c r="HF45" i="7"/>
  <c r="FF45" i="7"/>
  <c r="EL45" i="7"/>
  <c r="FN45" i="7"/>
  <c r="FP45" i="7" s="1"/>
  <c r="EI45" i="7"/>
  <c r="GM45" i="7"/>
  <c r="GO45" i="7" s="1"/>
  <c r="FH45" i="7"/>
  <c r="DH45" i="7"/>
  <c r="EG45" i="7"/>
  <c r="FK45" i="7"/>
  <c r="DJ45" i="7"/>
  <c r="GJ45" i="7"/>
  <c r="EO45" i="7"/>
  <c r="EQ45" i="7" s="1"/>
  <c r="DP45" i="7"/>
  <c r="DR45" i="7" s="1"/>
  <c r="DM45" i="7"/>
  <c r="HD45" i="7"/>
  <c r="HD59" i="7"/>
  <c r="HL59" i="7"/>
  <c r="HN59" i="7" s="1"/>
  <c r="HF59" i="7"/>
  <c r="GE59" i="7"/>
  <c r="GM59" i="7"/>
  <c r="GO59" i="7" s="1"/>
  <c r="FF59" i="7"/>
  <c r="EG59" i="7"/>
  <c r="FN59" i="7"/>
  <c r="FP59" i="7" s="1"/>
  <c r="EO59" i="7"/>
  <c r="EQ59" i="7" s="1"/>
  <c r="HI59" i="7"/>
  <c r="GJ59" i="7"/>
  <c r="GG59" i="7"/>
  <c r="FK59" i="7"/>
  <c r="EI59" i="7"/>
  <c r="DP59" i="7"/>
  <c r="DR59" i="7" s="1"/>
  <c r="DJ59" i="7"/>
  <c r="EL59" i="7"/>
  <c r="FH59" i="7"/>
  <c r="DM59" i="7"/>
  <c r="DH59" i="7"/>
  <c r="HD23" i="7"/>
  <c r="HL23" i="7"/>
  <c r="HN23" i="7" s="1"/>
  <c r="HI23" i="7"/>
  <c r="GE23" i="7"/>
  <c r="FF23" i="7"/>
  <c r="EL23" i="7"/>
  <c r="HF23" i="7"/>
  <c r="GM23" i="7"/>
  <c r="GO23" i="7" s="1"/>
  <c r="FN23" i="7"/>
  <c r="FP23" i="7" s="1"/>
  <c r="EI23" i="7"/>
  <c r="GJ23" i="7"/>
  <c r="EO23" i="7"/>
  <c r="EQ23" i="7" s="1"/>
  <c r="DJ23" i="7"/>
  <c r="DM23" i="7"/>
  <c r="GG23" i="7"/>
  <c r="EG23" i="7"/>
  <c r="DH23" i="7"/>
  <c r="FK23" i="7"/>
  <c r="DP23" i="7"/>
  <c r="DR23" i="7" s="1"/>
  <c r="FH23" i="7"/>
  <c r="HF121" i="7"/>
  <c r="HD121" i="7"/>
  <c r="HL121" i="7"/>
  <c r="HN121" i="7" s="1"/>
  <c r="GG121" i="7"/>
  <c r="HI121" i="7"/>
  <c r="GE121" i="7"/>
  <c r="GM121" i="7"/>
  <c r="GO121" i="7" s="1"/>
  <c r="FH121" i="7"/>
  <c r="EL121" i="7"/>
  <c r="DH121" i="7"/>
  <c r="FF121" i="7"/>
  <c r="EI121" i="7"/>
  <c r="DP121" i="7"/>
  <c r="DR121" i="7" s="1"/>
  <c r="FN121" i="7"/>
  <c r="FP121" i="7" s="1"/>
  <c r="EO121" i="7"/>
  <c r="EQ121" i="7" s="1"/>
  <c r="DJ121" i="7"/>
  <c r="GJ121" i="7"/>
  <c r="DM121" i="7"/>
  <c r="FK121" i="7"/>
  <c r="EG121" i="7"/>
  <c r="HD87" i="7"/>
  <c r="HJ31" i="7"/>
  <c r="HK31" i="7" s="1"/>
  <c r="GX31" i="7"/>
  <c r="GW32" i="7" s="1"/>
  <c r="HE31" i="7"/>
  <c r="HC32" i="7"/>
  <c r="HG31" i="7"/>
  <c r="GK31" i="7"/>
  <c r="GL31" i="7" s="1"/>
  <c r="FY31" i="7"/>
  <c r="FX32" i="7" s="1"/>
  <c r="GF31" i="7"/>
  <c r="GD31" i="7"/>
  <c r="GH30" i="7"/>
  <c r="FL32" i="7"/>
  <c r="FM32" i="7" s="1"/>
  <c r="EZ32" i="7"/>
  <c r="EY33" i="7" s="1"/>
  <c r="FG32" i="7"/>
  <c r="FI31" i="7"/>
  <c r="FE32" i="7"/>
  <c r="EA32" i="7"/>
  <c r="DZ33" i="7" s="1"/>
  <c r="EH32" i="7"/>
  <c r="EM32" i="7"/>
  <c r="EN32" i="7" s="1"/>
  <c r="EJ32" i="7"/>
  <c r="EF33" i="7"/>
  <c r="DN32" i="7"/>
  <c r="DO32" i="7" s="1"/>
  <c r="DB32" i="7"/>
  <c r="DA33" i="7" s="1"/>
  <c r="DI32" i="7"/>
  <c r="DK31" i="7"/>
  <c r="DG32" i="7"/>
  <c r="BQ25" i="8"/>
  <c r="BP25" i="8"/>
  <c r="BD25" i="8"/>
  <c r="BC26" i="8" s="1"/>
  <c r="BK25" i="8"/>
  <c r="BM25" i="8"/>
  <c r="DN27" i="8"/>
  <c r="DO27" i="8" s="1"/>
  <c r="DB27" i="8"/>
  <c r="DA28" i="8" s="1"/>
  <c r="DI27" i="8"/>
  <c r="CH29" i="8"/>
  <c r="AQ26" i="8"/>
  <c r="AR26" i="8" s="1"/>
  <c r="AE26" i="8"/>
  <c r="AL26" i="8"/>
  <c r="AN28" i="8"/>
  <c r="AJ29" i="8"/>
  <c r="CO26" i="8"/>
  <c r="CP26" i="8" s="1"/>
  <c r="CC26" i="8"/>
  <c r="CJ26" i="8"/>
  <c r="CL26" i="8"/>
  <c r="R25" i="8"/>
  <c r="S25" i="8" s="1"/>
  <c r="F25" i="8"/>
  <c r="E26" i="8" s="1"/>
  <c r="M25" i="8"/>
  <c r="BI28" i="8"/>
  <c r="BM27" i="8"/>
  <c r="DG27" i="8"/>
  <c r="DK26" i="8"/>
  <c r="K147" i="8"/>
  <c r="O26" i="8"/>
  <c r="K27" i="8"/>
  <c r="V186" i="7"/>
  <c r="V187" i="7"/>
  <c r="W186" i="7"/>
  <c r="W187" i="7"/>
  <c r="AR6" i="1"/>
  <c r="AB8" i="1"/>
  <c r="AX49" i="1"/>
  <c r="AX119" i="1"/>
  <c r="R8" i="7"/>
  <c r="S8" i="7" s="1"/>
  <c r="AK65" i="7"/>
  <c r="AM65" i="7"/>
  <c r="BO65" i="7"/>
  <c r="AP37" i="7"/>
  <c r="N65" i="7"/>
  <c r="BR65" i="7"/>
  <c r="BT65" i="7" s="1"/>
  <c r="Q65" i="7"/>
  <c r="T65" i="7"/>
  <c r="V65" i="7" s="1"/>
  <c r="W65" i="7"/>
  <c r="Y65" i="7" s="1"/>
  <c r="CK65" i="7"/>
  <c r="CQ37" i="7"/>
  <c r="CS37" i="7" s="1"/>
  <c r="BL37" i="7"/>
  <c r="CN37" i="7"/>
  <c r="W37" i="7"/>
  <c r="Y37" i="7" s="1"/>
  <c r="CK37" i="7"/>
  <c r="T100" i="7"/>
  <c r="V100" i="7" s="1"/>
  <c r="CK100" i="7"/>
  <c r="CQ100" i="7"/>
  <c r="CS100" i="7" s="1"/>
  <c r="CN100" i="7"/>
  <c r="BJ100" i="7"/>
  <c r="CI37" i="7"/>
  <c r="N37" i="7"/>
  <c r="BO37" i="7"/>
  <c r="CQ65" i="7"/>
  <c r="CS65" i="7" s="1"/>
  <c r="CI65" i="7"/>
  <c r="AP65" i="7"/>
  <c r="AS65" i="7"/>
  <c r="AU65" i="7" s="1"/>
  <c r="C66" i="7"/>
  <c r="AK66" i="7" s="1"/>
  <c r="Q37" i="7"/>
  <c r="T37" i="7"/>
  <c r="V37" i="7" s="1"/>
  <c r="AM37" i="7"/>
  <c r="AS37" i="7"/>
  <c r="AU37" i="7" s="1"/>
  <c r="C38" i="7"/>
  <c r="Q38" i="7" s="1"/>
  <c r="AK100" i="7"/>
  <c r="L100" i="7"/>
  <c r="AM100" i="7"/>
  <c r="N100" i="7"/>
  <c r="BO100" i="7"/>
  <c r="F8" i="7"/>
  <c r="E9" i="7" s="1"/>
  <c r="F9" i="7" s="1"/>
  <c r="E10" i="7" s="1"/>
  <c r="AS72" i="7"/>
  <c r="AU72" i="7" s="1"/>
  <c r="BJ72" i="7"/>
  <c r="N72" i="7"/>
  <c r="BO72" i="7"/>
  <c r="CI72" i="7"/>
  <c r="BL72" i="7"/>
  <c r="CK72" i="7"/>
  <c r="W72" i="7"/>
  <c r="Y72" i="7" s="1"/>
  <c r="C73" i="7"/>
  <c r="BR72" i="7"/>
  <c r="BT72" i="7" s="1"/>
  <c r="Q72" i="7"/>
  <c r="AP72" i="7"/>
  <c r="CN72" i="7"/>
  <c r="T72" i="7"/>
  <c r="V72" i="7" s="1"/>
  <c r="AM72" i="7"/>
  <c r="L72" i="7"/>
  <c r="AK72" i="7"/>
  <c r="CQ72" i="7"/>
  <c r="CS72" i="7" s="1"/>
  <c r="BA73" i="7"/>
  <c r="BU72" i="7"/>
  <c r="BW72" i="7" s="1"/>
  <c r="BZ123" i="7"/>
  <c r="CT122" i="7"/>
  <c r="CV122" i="7" s="1"/>
  <c r="BO128" i="7"/>
  <c r="AM128" i="7"/>
  <c r="L128" i="7"/>
  <c r="AK128" i="7"/>
  <c r="BJ128" i="7"/>
  <c r="CN128" i="7"/>
  <c r="CQ128" i="7"/>
  <c r="CS128" i="7" s="1"/>
  <c r="C129" i="7"/>
  <c r="T128" i="7"/>
  <c r="V128" i="7" s="1"/>
  <c r="BR128" i="7"/>
  <c r="BT128" i="7" s="1"/>
  <c r="CI128" i="7"/>
  <c r="BL128" i="7"/>
  <c r="CK128" i="7"/>
  <c r="W128" i="7"/>
  <c r="Y128" i="7" s="1"/>
  <c r="N128" i="7"/>
  <c r="Q128" i="7"/>
  <c r="AP128" i="7"/>
  <c r="AS128" i="7"/>
  <c r="AU128" i="7" s="1"/>
  <c r="AV128" i="7"/>
  <c r="AX128" i="7" s="1"/>
  <c r="AB129" i="7"/>
  <c r="BZ94" i="7"/>
  <c r="CT93" i="7"/>
  <c r="CV93" i="7" s="1"/>
  <c r="C136" i="7"/>
  <c r="CK135" i="7"/>
  <c r="AP135" i="7"/>
  <c r="AK135" i="7"/>
  <c r="T135" i="7"/>
  <c r="V135" i="7" s="1"/>
  <c r="BO135" i="7"/>
  <c r="BJ135" i="7"/>
  <c r="AS135" i="7"/>
  <c r="AU135" i="7" s="1"/>
  <c r="W135" i="7"/>
  <c r="Y135" i="7" s="1"/>
  <c r="N135" i="7"/>
  <c r="CN135" i="7"/>
  <c r="CI135" i="7"/>
  <c r="BR135" i="7"/>
  <c r="BT135" i="7" s="1"/>
  <c r="AM135" i="7"/>
  <c r="CQ135" i="7"/>
  <c r="CS135" i="7" s="1"/>
  <c r="L135" i="7"/>
  <c r="Q135" i="7"/>
  <c r="BL135" i="7"/>
  <c r="BI10" i="7"/>
  <c r="BA18" i="7"/>
  <c r="BU17" i="7"/>
  <c r="BW17" i="7" s="1"/>
  <c r="BA38" i="7"/>
  <c r="BU37" i="7"/>
  <c r="BW37" i="7" s="1"/>
  <c r="BO9" i="7"/>
  <c r="BJ9" i="7"/>
  <c r="AS9" i="7"/>
  <c r="AU9" i="7" s="1"/>
  <c r="W9" i="7"/>
  <c r="Y9" i="7" s="1"/>
  <c r="N9" i="7"/>
  <c r="CN9" i="7"/>
  <c r="CI9" i="7"/>
  <c r="BR9" i="7"/>
  <c r="BT9" i="7" s="1"/>
  <c r="AM9" i="7"/>
  <c r="Q9" i="7"/>
  <c r="AP9" i="7"/>
  <c r="CQ9" i="7"/>
  <c r="CS9" i="7" s="1"/>
  <c r="BL9" i="7"/>
  <c r="L9" i="7"/>
  <c r="C10" i="7"/>
  <c r="CK9" i="7"/>
  <c r="AK9" i="7"/>
  <c r="T9" i="7"/>
  <c r="V9" i="7" s="1"/>
  <c r="CK38" i="7"/>
  <c r="CN51" i="7"/>
  <c r="CI51" i="7"/>
  <c r="BR51" i="7"/>
  <c r="BT51" i="7" s="1"/>
  <c r="AM51" i="7"/>
  <c r="CQ51" i="7"/>
  <c r="CS51" i="7" s="1"/>
  <c r="BL51" i="7"/>
  <c r="Q51" i="7"/>
  <c r="L51" i="7"/>
  <c r="C52" i="7"/>
  <c r="CK51" i="7"/>
  <c r="AP51" i="7"/>
  <c r="AK51" i="7"/>
  <c r="T51" i="7"/>
  <c r="V51" i="7" s="1"/>
  <c r="BO51" i="7"/>
  <c r="BJ51" i="7"/>
  <c r="AS51" i="7"/>
  <c r="AU51" i="7" s="1"/>
  <c r="N51" i="7"/>
  <c r="W51" i="7"/>
  <c r="Y51" i="7" s="1"/>
  <c r="AV93" i="7"/>
  <c r="AX93" i="7" s="1"/>
  <c r="AB94" i="7"/>
  <c r="BU130" i="7"/>
  <c r="BW130" i="7" s="1"/>
  <c r="BA131" i="7"/>
  <c r="BU131" i="7" s="1"/>
  <c r="BW131" i="7" s="1"/>
  <c r="AB10" i="7"/>
  <c r="AV9" i="7"/>
  <c r="AX9" i="7" s="1"/>
  <c r="BA95" i="7"/>
  <c r="BU94" i="7"/>
  <c r="BW94" i="7" s="1"/>
  <c r="CT24" i="7"/>
  <c r="CV24" i="7" s="1"/>
  <c r="BZ25" i="7"/>
  <c r="AJ8" i="7"/>
  <c r="AN7" i="7"/>
  <c r="BU66" i="7"/>
  <c r="BW66" i="7" s="1"/>
  <c r="BA67" i="7"/>
  <c r="CN80" i="7"/>
  <c r="CI80" i="7"/>
  <c r="BR80" i="7"/>
  <c r="BT80" i="7" s="1"/>
  <c r="AM80" i="7"/>
  <c r="CQ80" i="7"/>
  <c r="CS80" i="7" s="1"/>
  <c r="BL80" i="7"/>
  <c r="Q80" i="7"/>
  <c r="L80" i="7"/>
  <c r="C81" i="7"/>
  <c r="CK80" i="7"/>
  <c r="AP80" i="7"/>
  <c r="AK80" i="7"/>
  <c r="T80" i="7"/>
  <c r="V80" i="7" s="1"/>
  <c r="W80" i="7"/>
  <c r="Y80" i="7" s="1"/>
  <c r="BO80" i="7"/>
  <c r="AS80" i="7"/>
  <c r="AU80" i="7" s="1"/>
  <c r="N80" i="7"/>
  <c r="BJ80" i="7"/>
  <c r="CT115" i="7"/>
  <c r="CV115" i="7" s="1"/>
  <c r="BZ116" i="7"/>
  <c r="C387" i="7"/>
  <c r="CQ31" i="7"/>
  <c r="CS31" i="7" s="1"/>
  <c r="BL31" i="7"/>
  <c r="Q31" i="7"/>
  <c r="L31" i="7"/>
  <c r="CK31" i="7"/>
  <c r="AP31" i="7"/>
  <c r="AK31" i="7"/>
  <c r="T31" i="7"/>
  <c r="V31" i="7" s="1"/>
  <c r="C32" i="7"/>
  <c r="AS31" i="7"/>
  <c r="AU31" i="7" s="1"/>
  <c r="W31" i="7"/>
  <c r="Y31" i="7" s="1"/>
  <c r="N31" i="7"/>
  <c r="CN31" i="7"/>
  <c r="BJ31" i="7"/>
  <c r="CI31" i="7"/>
  <c r="BO31" i="7"/>
  <c r="AM31" i="7"/>
  <c r="BR31" i="7"/>
  <c r="BT31" i="7" s="1"/>
  <c r="AB39" i="7"/>
  <c r="AV38" i="7"/>
  <c r="AX38" i="7" s="1"/>
  <c r="BU80" i="7"/>
  <c r="BW80" i="7" s="1"/>
  <c r="BA81" i="7"/>
  <c r="AV100" i="7"/>
  <c r="AX100" i="7" s="1"/>
  <c r="AB101" i="7"/>
  <c r="CT17" i="7"/>
  <c r="CV17" i="7" s="1"/>
  <c r="BZ18" i="7"/>
  <c r="AB25" i="7"/>
  <c r="AV24" i="7"/>
  <c r="AX24" i="7" s="1"/>
  <c r="BZ46" i="7"/>
  <c r="CT45" i="7"/>
  <c r="CV45" i="7" s="1"/>
  <c r="CT87" i="7"/>
  <c r="CV87" i="7" s="1"/>
  <c r="BZ88" i="7"/>
  <c r="AV86" i="7"/>
  <c r="AX86" i="7" s="1"/>
  <c r="AB87" i="7"/>
  <c r="CT73" i="7"/>
  <c r="CV73" i="7" s="1"/>
  <c r="BZ74" i="7"/>
  <c r="BO23" i="7"/>
  <c r="BJ23" i="7"/>
  <c r="AS23" i="7"/>
  <c r="AU23" i="7" s="1"/>
  <c r="W23" i="7"/>
  <c r="Y23" i="7" s="1"/>
  <c r="N23" i="7"/>
  <c r="C24" i="7"/>
  <c r="AP23" i="7"/>
  <c r="CN23" i="7"/>
  <c r="CI23" i="7"/>
  <c r="BR23" i="7"/>
  <c r="BT23" i="7" s="1"/>
  <c r="AM23" i="7"/>
  <c r="T23" i="7"/>
  <c r="V23" i="7" s="1"/>
  <c r="CQ23" i="7"/>
  <c r="CS23" i="7" s="1"/>
  <c r="BL23" i="7"/>
  <c r="Q23" i="7"/>
  <c r="L23" i="7"/>
  <c r="CK23" i="7"/>
  <c r="AK23" i="7"/>
  <c r="BU136" i="7"/>
  <c r="BW136" i="7" s="1"/>
  <c r="BA137" i="7"/>
  <c r="CT58" i="7"/>
  <c r="CV58" i="7" s="1"/>
  <c r="BZ59" i="7"/>
  <c r="BO16" i="7"/>
  <c r="BJ16" i="7"/>
  <c r="N16" i="7"/>
  <c r="C17" i="7"/>
  <c r="CK16" i="7"/>
  <c r="AM16" i="7"/>
  <c r="CN16" i="7"/>
  <c r="CI16" i="7"/>
  <c r="BR16" i="7"/>
  <c r="BT16" i="7" s="1"/>
  <c r="AP16" i="7"/>
  <c r="AK16" i="7"/>
  <c r="W16" i="7"/>
  <c r="Y16" i="7" s="1"/>
  <c r="CQ16" i="7"/>
  <c r="CS16" i="7" s="1"/>
  <c r="BL16" i="7"/>
  <c r="AS16" i="7"/>
  <c r="AU16" i="7" s="1"/>
  <c r="Q16" i="7"/>
  <c r="L16" i="7"/>
  <c r="T16" i="7"/>
  <c r="V16" i="7" s="1"/>
  <c r="CL8" i="7"/>
  <c r="CH9" i="7"/>
  <c r="CN59" i="7"/>
  <c r="CI59" i="7"/>
  <c r="BR59" i="7"/>
  <c r="BT59" i="7" s="1"/>
  <c r="AM59" i="7"/>
  <c r="CQ59" i="7"/>
  <c r="CS59" i="7" s="1"/>
  <c r="BL59" i="7"/>
  <c r="Q59" i="7"/>
  <c r="L59" i="7"/>
  <c r="CK59" i="7"/>
  <c r="AP59" i="7"/>
  <c r="AK59" i="7"/>
  <c r="T59" i="7"/>
  <c r="V59" i="7" s="1"/>
  <c r="C60" i="7"/>
  <c r="BO59" i="7"/>
  <c r="BJ59" i="7"/>
  <c r="AS59" i="7"/>
  <c r="AU59" i="7" s="1"/>
  <c r="N59" i="7"/>
  <c r="W59" i="7"/>
  <c r="Y59" i="7" s="1"/>
  <c r="AX150" i="1"/>
  <c r="J210" i="1"/>
  <c r="K9" i="7"/>
  <c r="O9" i="7" s="1"/>
  <c r="BU31" i="7"/>
  <c r="BW31" i="7" s="1"/>
  <c r="BA32" i="7"/>
  <c r="BU121" i="7"/>
  <c r="BW121" i="7" s="1"/>
  <c r="BA122" i="7"/>
  <c r="BU101" i="7"/>
  <c r="BW101" i="7" s="1"/>
  <c r="BA102" i="7"/>
  <c r="CT136" i="7"/>
  <c r="CV136" i="7" s="1"/>
  <c r="BZ137" i="7"/>
  <c r="AV80" i="7"/>
  <c r="AX80" i="7" s="1"/>
  <c r="AB81" i="7"/>
  <c r="BU9" i="7"/>
  <c r="BW9" i="7" s="1"/>
  <c r="BA10" i="7"/>
  <c r="CT79" i="7"/>
  <c r="CV79" i="7" s="1"/>
  <c r="BZ80" i="7"/>
  <c r="BU115" i="7"/>
  <c r="BW115" i="7" s="1"/>
  <c r="BA116" i="7"/>
  <c r="AV136" i="7"/>
  <c r="AX136" i="7" s="1"/>
  <c r="AB137" i="7"/>
  <c r="CQ45" i="7"/>
  <c r="CS45" i="7" s="1"/>
  <c r="BL45" i="7"/>
  <c r="Q45" i="7"/>
  <c r="L45" i="7"/>
  <c r="C46" i="7"/>
  <c r="CK45" i="7"/>
  <c r="AP45" i="7"/>
  <c r="AK45" i="7"/>
  <c r="T45" i="7"/>
  <c r="V45" i="7" s="1"/>
  <c r="BO45" i="7"/>
  <c r="BJ45" i="7"/>
  <c r="AS45" i="7"/>
  <c r="AU45" i="7" s="1"/>
  <c r="W45" i="7"/>
  <c r="Y45" i="7" s="1"/>
  <c r="N45" i="7"/>
  <c r="CI45" i="7"/>
  <c r="BR45" i="7"/>
  <c r="BT45" i="7" s="1"/>
  <c r="CN45" i="7"/>
  <c r="AM45" i="7"/>
  <c r="BU44" i="7"/>
  <c r="BW44" i="7" s="1"/>
  <c r="BA45" i="7"/>
  <c r="CO8" i="7"/>
  <c r="CC8" i="7"/>
  <c r="CB9" i="7" s="1"/>
  <c r="CJ8" i="7"/>
  <c r="CT65" i="7"/>
  <c r="CV65" i="7" s="1"/>
  <c r="BZ66" i="7"/>
  <c r="CT101" i="7"/>
  <c r="CV101" i="7" s="1"/>
  <c r="BZ102" i="7"/>
  <c r="AB18" i="7"/>
  <c r="AV17" i="7"/>
  <c r="AX17" i="7" s="1"/>
  <c r="AV51" i="7"/>
  <c r="AX51" i="7" s="1"/>
  <c r="AB52" i="7"/>
  <c r="AV72" i="7"/>
  <c r="AX72" i="7" s="1"/>
  <c r="AB73" i="7"/>
  <c r="AR7" i="7"/>
  <c r="BZ40" i="7"/>
  <c r="CT40" i="7" s="1"/>
  <c r="CV40" i="7" s="1"/>
  <c r="CT39" i="7"/>
  <c r="CV39" i="7" s="1"/>
  <c r="CT52" i="7"/>
  <c r="CV52" i="7" s="1"/>
  <c r="BZ53" i="7"/>
  <c r="V188" i="7"/>
  <c r="V404" i="7" s="1"/>
  <c r="Y162" i="7"/>
  <c r="V189" i="7" s="1"/>
  <c r="AV116" i="7"/>
  <c r="AX116" i="7" s="1"/>
  <c r="AB117" i="7"/>
  <c r="AV117" i="7" s="1"/>
  <c r="AX117" i="7" s="1"/>
  <c r="BA25" i="7"/>
  <c r="BU24" i="7"/>
  <c r="BW24" i="7" s="1"/>
  <c r="AB32" i="7"/>
  <c r="AV31" i="7"/>
  <c r="AX31" i="7" s="1"/>
  <c r="AV108" i="7"/>
  <c r="AX108" i="7" s="1"/>
  <c r="AB109" i="7"/>
  <c r="C94" i="7"/>
  <c r="BO93" i="7"/>
  <c r="BJ93" i="7"/>
  <c r="AS93" i="7"/>
  <c r="AU93" i="7" s="1"/>
  <c r="W93" i="7"/>
  <c r="Y93" i="7" s="1"/>
  <c r="N93" i="7"/>
  <c r="CN93" i="7"/>
  <c r="CI93" i="7"/>
  <c r="BR93" i="7"/>
  <c r="BT93" i="7" s="1"/>
  <c r="AM93" i="7"/>
  <c r="CQ93" i="7"/>
  <c r="CS93" i="7" s="1"/>
  <c r="BL93" i="7"/>
  <c r="Q93" i="7"/>
  <c r="L93" i="7"/>
  <c r="AP93" i="7"/>
  <c r="CK93" i="7"/>
  <c r="AK93" i="7"/>
  <c r="T93" i="7"/>
  <c r="V93" i="7" s="1"/>
  <c r="BA60" i="7"/>
  <c r="BU59" i="7"/>
  <c r="BW59" i="7" s="1"/>
  <c r="BU88" i="7"/>
  <c r="BW88" i="7" s="1"/>
  <c r="BA89" i="7"/>
  <c r="BU89" i="7" s="1"/>
  <c r="BW89" i="7" s="1"/>
  <c r="CT10" i="7"/>
  <c r="CV10" i="7" s="1"/>
  <c r="BZ11" i="7"/>
  <c r="BZ31" i="7"/>
  <c r="CT30" i="7"/>
  <c r="CV30" i="7" s="1"/>
  <c r="AL8" i="7"/>
  <c r="AE8" i="7"/>
  <c r="AD9" i="7" s="1"/>
  <c r="AQ8" i="7"/>
  <c r="BU51" i="7"/>
  <c r="BW51" i="7" s="1"/>
  <c r="BA52" i="7"/>
  <c r="AB123" i="7"/>
  <c r="AV122" i="7"/>
  <c r="AX122" i="7" s="1"/>
  <c r="CQ107" i="7"/>
  <c r="CS107" i="7" s="1"/>
  <c r="BL107" i="7"/>
  <c r="Q107" i="7"/>
  <c r="L107" i="7"/>
  <c r="C108" i="7"/>
  <c r="CK107" i="7"/>
  <c r="AP107" i="7"/>
  <c r="AK107" i="7"/>
  <c r="T107" i="7"/>
  <c r="V107" i="7" s="1"/>
  <c r="BO107" i="7"/>
  <c r="BJ107" i="7"/>
  <c r="AS107" i="7"/>
  <c r="AU107" i="7" s="1"/>
  <c r="W107" i="7"/>
  <c r="Y107" i="7" s="1"/>
  <c r="N107" i="7"/>
  <c r="CN107" i="7"/>
  <c r="AM107" i="7"/>
  <c r="BR107" i="7"/>
  <c r="BT107" i="7" s="1"/>
  <c r="CI107" i="7"/>
  <c r="CT109" i="7"/>
  <c r="CV109" i="7" s="1"/>
  <c r="BZ110" i="7"/>
  <c r="CT110" i="7" s="1"/>
  <c r="CV110" i="7" s="1"/>
  <c r="CQ115" i="7"/>
  <c r="CS115" i="7" s="1"/>
  <c r="BL115" i="7"/>
  <c r="Q115" i="7"/>
  <c r="L115" i="7"/>
  <c r="C116" i="7"/>
  <c r="CK115" i="7"/>
  <c r="AP115" i="7"/>
  <c r="AK115" i="7"/>
  <c r="T115" i="7"/>
  <c r="V115" i="7" s="1"/>
  <c r="BO115" i="7"/>
  <c r="BJ115" i="7"/>
  <c r="AS115" i="7"/>
  <c r="AU115" i="7" s="1"/>
  <c r="W115" i="7"/>
  <c r="Y115" i="7" s="1"/>
  <c r="N115" i="7"/>
  <c r="CN115" i="7"/>
  <c r="AM115" i="7"/>
  <c r="BR115" i="7"/>
  <c r="BT115" i="7" s="1"/>
  <c r="CI115" i="7"/>
  <c r="W188" i="7"/>
  <c r="W404" i="7" s="1"/>
  <c r="Y163" i="7"/>
  <c r="W189" i="7" s="1"/>
  <c r="BU107" i="7"/>
  <c r="BW107" i="7" s="1"/>
  <c r="BA108" i="7"/>
  <c r="CT129" i="7"/>
  <c r="CV129" i="7" s="1"/>
  <c r="BZ130" i="7"/>
  <c r="BP8" i="7"/>
  <c r="BK8" i="7"/>
  <c r="BD8" i="7"/>
  <c r="BC9" i="7" s="1"/>
  <c r="CQ121" i="7"/>
  <c r="CS121" i="7" s="1"/>
  <c r="BL121" i="7"/>
  <c r="Q121" i="7"/>
  <c r="L121" i="7"/>
  <c r="C122" i="7"/>
  <c r="CK121" i="7"/>
  <c r="AP121" i="7"/>
  <c r="AK121" i="7"/>
  <c r="T121" i="7"/>
  <c r="V121" i="7" s="1"/>
  <c r="BO121" i="7"/>
  <c r="BJ121" i="7"/>
  <c r="AS121" i="7"/>
  <c r="AU121" i="7" s="1"/>
  <c r="W121" i="7"/>
  <c r="Y121" i="7" s="1"/>
  <c r="N121" i="7"/>
  <c r="CI121" i="7"/>
  <c r="BR121" i="7"/>
  <c r="BT121" i="7" s="1"/>
  <c r="CN121" i="7"/>
  <c r="AM121" i="7"/>
  <c r="AX77" i="1"/>
  <c r="AX84" i="1"/>
  <c r="AX56" i="1"/>
  <c r="AB50" i="1"/>
  <c r="AB51" i="1" s="1"/>
  <c r="AB52" i="1" s="1"/>
  <c r="AX99" i="1"/>
  <c r="AB57" i="1"/>
  <c r="AV57" i="1" s="1"/>
  <c r="AX57" i="1" s="1"/>
  <c r="AB78" i="1"/>
  <c r="AB79" i="1" s="1"/>
  <c r="AV79" i="1" s="1"/>
  <c r="AX79" i="1" s="1"/>
  <c r="AB127" i="1"/>
  <c r="AV126" i="1"/>
  <c r="AX126" i="1" s="1"/>
  <c r="AV98" i="1"/>
  <c r="AX98" i="1" s="1"/>
  <c r="AV112" i="1"/>
  <c r="AX112" i="1" s="1"/>
  <c r="AB113" i="1"/>
  <c r="AB114" i="1" s="1"/>
  <c r="AV91" i="1"/>
  <c r="AX91" i="1" s="1"/>
  <c r="AB120" i="1"/>
  <c r="AV120" i="1" s="1"/>
  <c r="AX120" i="1" s="1"/>
  <c r="AB9" i="1"/>
  <c r="AV8" i="1"/>
  <c r="AX8" i="1" s="1"/>
  <c r="AT10" i="1"/>
  <c r="AT11" i="1" s="1"/>
  <c r="AN6" i="1"/>
  <c r="AJ7" i="1"/>
  <c r="AB30" i="1"/>
  <c r="AV29" i="1"/>
  <c r="AX29" i="1" s="1"/>
  <c r="AT37" i="1"/>
  <c r="AT65" i="1"/>
  <c r="AE6" i="1"/>
  <c r="AD7" i="1" s="1"/>
  <c r="AL6" i="1"/>
  <c r="AT23" i="1"/>
  <c r="AT24" i="1" s="1"/>
  <c r="AT25" i="1" s="1"/>
  <c r="AT31" i="1"/>
  <c r="AT59" i="1"/>
  <c r="AB37" i="1"/>
  <c r="AV36" i="1"/>
  <c r="AX36" i="1" s="1"/>
  <c r="AB44" i="1"/>
  <c r="AV43" i="1"/>
  <c r="AX43" i="1" s="1"/>
  <c r="AT53" i="1"/>
  <c r="AV51" i="1"/>
  <c r="AX51" i="1" s="1"/>
  <c r="AB15" i="1"/>
  <c r="AV14" i="1"/>
  <c r="AX14" i="1" s="1"/>
  <c r="AV7" i="1"/>
  <c r="AX7" i="1" s="1"/>
  <c r="AT19" i="1"/>
  <c r="AT146" i="1" s="1"/>
  <c r="F208" i="1" s="1"/>
  <c r="AB23" i="1"/>
  <c r="AV22" i="1"/>
  <c r="AX22" i="1" s="1"/>
  <c r="AT45" i="1"/>
  <c r="AV21" i="1"/>
  <c r="AX21" i="1" s="1"/>
  <c r="AT81" i="1"/>
  <c r="AT82" i="1" s="1"/>
  <c r="AT155" i="1" s="1"/>
  <c r="O208" i="1" s="1"/>
  <c r="AB93" i="1"/>
  <c r="AV92" i="1"/>
  <c r="AX92" i="1" s="1"/>
  <c r="AV35" i="1"/>
  <c r="AX35" i="1" s="1"/>
  <c r="AB71" i="1"/>
  <c r="AV70" i="1"/>
  <c r="AX70" i="1" s="1"/>
  <c r="AT73" i="1"/>
  <c r="AT103" i="1"/>
  <c r="AT158" i="1" s="1"/>
  <c r="R208" i="1" s="1"/>
  <c r="AV28" i="1"/>
  <c r="AX28" i="1" s="1"/>
  <c r="AV42" i="1"/>
  <c r="AX42" i="1" s="1"/>
  <c r="AB64" i="1"/>
  <c r="AV63" i="1"/>
  <c r="AX63" i="1" s="1"/>
  <c r="AT87" i="1"/>
  <c r="AB100" i="1"/>
  <c r="AV113" i="1"/>
  <c r="AX113" i="1" s="1"/>
  <c r="AB85" i="1"/>
  <c r="AT107" i="1"/>
  <c r="AT115" i="1"/>
  <c r="AT123" i="1"/>
  <c r="AT124" i="1" s="1"/>
  <c r="AT161" i="1" s="1"/>
  <c r="U208" i="1" s="1"/>
  <c r="AT136" i="1"/>
  <c r="AT137" i="1" s="1"/>
  <c r="AT138" i="1" s="1"/>
  <c r="AT163" i="1" s="1"/>
  <c r="W208" i="1" s="1"/>
  <c r="AB106" i="1"/>
  <c r="AV105" i="1"/>
  <c r="AX105" i="1" s="1"/>
  <c r="AB135" i="1"/>
  <c r="AV134" i="1"/>
  <c r="AX134" i="1" s="1"/>
  <c r="AT128" i="1"/>
  <c r="AT129" i="1" s="1"/>
  <c r="AT130" i="1" s="1"/>
  <c r="AV133" i="1"/>
  <c r="AX133" i="1" s="1"/>
  <c r="DG85" i="9" l="1"/>
  <c r="DK84" i="9"/>
  <c r="DN84" i="9"/>
  <c r="DO84" i="9" s="1"/>
  <c r="DB84" i="9"/>
  <c r="DA85" i="9" s="1"/>
  <c r="DI84" i="9"/>
  <c r="CO85" i="9"/>
  <c r="CP85" i="9" s="1"/>
  <c r="CJ85" i="9"/>
  <c r="CC85" i="9"/>
  <c r="CB86" i="9" s="1"/>
  <c r="CH86" i="9"/>
  <c r="CL85" i="9"/>
  <c r="BD84" i="9"/>
  <c r="BC85" i="9" s="1"/>
  <c r="BK84" i="9"/>
  <c r="BP84" i="9"/>
  <c r="BQ84" i="9" s="1"/>
  <c r="BI86" i="9"/>
  <c r="BM86" i="9" s="1"/>
  <c r="AQ84" i="9"/>
  <c r="AR84" i="9" s="1"/>
  <c r="AE84" i="9"/>
  <c r="AD85" i="9" s="1"/>
  <c r="AL84" i="9"/>
  <c r="AJ85" i="9"/>
  <c r="AN84" i="9"/>
  <c r="DO154" i="9"/>
  <c r="N279" i="9" s="1"/>
  <c r="CP154" i="9"/>
  <c r="N255" i="9" s="1"/>
  <c r="AR154" i="9"/>
  <c r="N206" i="9" s="1"/>
  <c r="O83" i="9"/>
  <c r="K84" i="9"/>
  <c r="O175" i="9"/>
  <c r="O298" i="9" s="1"/>
  <c r="DK154" i="9"/>
  <c r="N275" i="9" s="1"/>
  <c r="CL154" i="9"/>
  <c r="N251" i="9" s="1"/>
  <c r="R75" i="9"/>
  <c r="S75" i="9" s="1"/>
  <c r="E76" i="9"/>
  <c r="F76" i="9" s="1"/>
  <c r="M75" i="9"/>
  <c r="AE154" i="9"/>
  <c r="N193" i="9" s="1"/>
  <c r="DB154" i="9"/>
  <c r="CC154" i="9"/>
  <c r="N242" i="9" s="1"/>
  <c r="AB60" i="7"/>
  <c r="BQ8" i="7"/>
  <c r="BJ101" i="7"/>
  <c r="Q101" i="7"/>
  <c r="DH87" i="7"/>
  <c r="AM101" i="7"/>
  <c r="AK101" i="7"/>
  <c r="CK87" i="7"/>
  <c r="DJ87" i="7"/>
  <c r="CN101" i="7"/>
  <c r="AP101" i="7"/>
  <c r="AS87" i="7"/>
  <c r="AU87" i="7" s="1"/>
  <c r="T87" i="7"/>
  <c r="V87" i="7" s="1"/>
  <c r="EI87" i="7"/>
  <c r="AS101" i="7"/>
  <c r="AU101" i="7" s="1"/>
  <c r="L101" i="7"/>
  <c r="CI87" i="7"/>
  <c r="W87" i="7"/>
  <c r="Y87" i="7" s="1"/>
  <c r="GG87" i="7"/>
  <c r="FN87" i="7"/>
  <c r="FP87" i="7" s="1"/>
  <c r="HF87" i="7"/>
  <c r="DP87" i="7"/>
  <c r="DR87" i="7" s="1"/>
  <c r="DM87" i="7"/>
  <c r="BJ87" i="7"/>
  <c r="Q87" i="7"/>
  <c r="CN87" i="7"/>
  <c r="AP87" i="7"/>
  <c r="CI101" i="7"/>
  <c r="N101" i="7"/>
  <c r="BO101" i="7"/>
  <c r="CK101" i="7"/>
  <c r="BL101" i="7"/>
  <c r="BL87" i="7"/>
  <c r="N87" i="7"/>
  <c r="BR87" i="7"/>
  <c r="BT87" i="7" s="1"/>
  <c r="BO87" i="7"/>
  <c r="EO87" i="7"/>
  <c r="EQ87" i="7" s="1"/>
  <c r="EL87" i="7"/>
  <c r="EG87" i="7"/>
  <c r="FH87" i="7"/>
  <c r="HI87" i="7"/>
  <c r="BR101" i="7"/>
  <c r="BT101" i="7" s="1"/>
  <c r="W101" i="7"/>
  <c r="Y101" i="7" s="1"/>
  <c r="T101" i="7"/>
  <c r="V101" i="7" s="1"/>
  <c r="C102" i="7"/>
  <c r="HI102" i="7" s="1"/>
  <c r="AK87" i="7"/>
  <c r="L87" i="7"/>
  <c r="C88" i="7"/>
  <c r="GG88" i="7" s="1"/>
  <c r="CQ87" i="7"/>
  <c r="CS87" i="7" s="1"/>
  <c r="AM87" i="7"/>
  <c r="GM87" i="7"/>
  <c r="GO87" i="7" s="1"/>
  <c r="FK87" i="7"/>
  <c r="FF87" i="7"/>
  <c r="GE87" i="7"/>
  <c r="GJ87" i="7"/>
  <c r="HL81" i="7"/>
  <c r="HN81" i="7" s="1"/>
  <c r="HI81" i="7"/>
  <c r="HD81" i="7"/>
  <c r="GM81" i="7"/>
  <c r="GO81" i="7" s="1"/>
  <c r="GJ81" i="7"/>
  <c r="GG81" i="7"/>
  <c r="GE81" i="7"/>
  <c r="FK81" i="7"/>
  <c r="EL81" i="7"/>
  <c r="HF81" i="7"/>
  <c r="FH81" i="7"/>
  <c r="EI81" i="7"/>
  <c r="DP81" i="7"/>
  <c r="DR81" i="7" s="1"/>
  <c r="FF81" i="7"/>
  <c r="DH81" i="7"/>
  <c r="FN81" i="7"/>
  <c r="FP81" i="7" s="1"/>
  <c r="EG81" i="7"/>
  <c r="DJ81" i="7"/>
  <c r="EO81" i="7"/>
  <c r="EQ81" i="7" s="1"/>
  <c r="DM81" i="7"/>
  <c r="HI52" i="7"/>
  <c r="GJ52" i="7"/>
  <c r="HF52" i="7"/>
  <c r="GG52" i="7"/>
  <c r="HD52" i="7"/>
  <c r="FN52" i="7"/>
  <c r="FP52" i="7" s="1"/>
  <c r="EI52" i="7"/>
  <c r="FK52" i="7"/>
  <c r="EG52" i="7"/>
  <c r="GM52" i="7"/>
  <c r="GO52" i="7" s="1"/>
  <c r="EL52" i="7"/>
  <c r="DH52" i="7"/>
  <c r="FF52" i="7"/>
  <c r="DP52" i="7"/>
  <c r="DR52" i="7" s="1"/>
  <c r="FH52" i="7"/>
  <c r="DM52" i="7"/>
  <c r="HL52" i="7"/>
  <c r="HN52" i="7" s="1"/>
  <c r="GE52" i="7"/>
  <c r="EO52" i="7"/>
  <c r="EQ52" i="7" s="1"/>
  <c r="DJ52" i="7"/>
  <c r="HL88" i="7"/>
  <c r="HN88" i="7" s="1"/>
  <c r="DJ88" i="7"/>
  <c r="DM88" i="7"/>
  <c r="HL101" i="7"/>
  <c r="HN101" i="7" s="1"/>
  <c r="HI101" i="7"/>
  <c r="HF101" i="7"/>
  <c r="GE101" i="7"/>
  <c r="HD101" i="7"/>
  <c r="GM101" i="7"/>
  <c r="GO101" i="7" s="1"/>
  <c r="GJ101" i="7"/>
  <c r="FF101" i="7"/>
  <c r="EO101" i="7"/>
  <c r="EQ101" i="7" s="1"/>
  <c r="DP101" i="7"/>
  <c r="DR101" i="7" s="1"/>
  <c r="FN101" i="7"/>
  <c r="FP101" i="7" s="1"/>
  <c r="EL101" i="7"/>
  <c r="DM101" i="7"/>
  <c r="FK101" i="7"/>
  <c r="DJ101" i="7"/>
  <c r="FH101" i="7"/>
  <c r="EI101" i="7"/>
  <c r="DH101" i="7"/>
  <c r="GG101" i="7"/>
  <c r="EG101" i="7"/>
  <c r="HI32" i="7"/>
  <c r="HF32" i="7"/>
  <c r="HD32" i="7"/>
  <c r="GM32" i="7"/>
  <c r="GO32" i="7" s="1"/>
  <c r="FH32" i="7"/>
  <c r="EI32" i="7"/>
  <c r="HL32" i="7"/>
  <c r="HN32" i="7" s="1"/>
  <c r="GJ32" i="7"/>
  <c r="FF32" i="7"/>
  <c r="EG32" i="7"/>
  <c r="GG32" i="7"/>
  <c r="FN32" i="7"/>
  <c r="FP32" i="7" s="1"/>
  <c r="EL32" i="7"/>
  <c r="DJ32" i="7"/>
  <c r="DP32" i="7"/>
  <c r="DR32" i="7" s="1"/>
  <c r="GE32" i="7"/>
  <c r="FK32" i="7"/>
  <c r="DH32" i="7"/>
  <c r="EO32" i="7"/>
  <c r="EQ32" i="7" s="1"/>
  <c r="DM32" i="7"/>
  <c r="HI136" i="7"/>
  <c r="HF136" i="7"/>
  <c r="HD136" i="7"/>
  <c r="HL136" i="7"/>
  <c r="HN136" i="7" s="1"/>
  <c r="GM136" i="7"/>
  <c r="GO136" i="7" s="1"/>
  <c r="GJ136" i="7"/>
  <c r="GG136" i="7"/>
  <c r="FF136" i="7"/>
  <c r="EO136" i="7"/>
  <c r="EQ136" i="7" s="1"/>
  <c r="DP136" i="7"/>
  <c r="DR136" i="7" s="1"/>
  <c r="FN136" i="7"/>
  <c r="FP136" i="7" s="1"/>
  <c r="EL136" i="7"/>
  <c r="DM136" i="7"/>
  <c r="FK136" i="7"/>
  <c r="GE136" i="7"/>
  <c r="FH136" i="7"/>
  <c r="EI136" i="7"/>
  <c r="DH136" i="7"/>
  <c r="DJ136" i="7"/>
  <c r="EG136" i="7"/>
  <c r="HL60" i="7"/>
  <c r="HN60" i="7" s="1"/>
  <c r="HI60" i="7"/>
  <c r="HF60" i="7"/>
  <c r="GJ60" i="7"/>
  <c r="HD60" i="7"/>
  <c r="GG60" i="7"/>
  <c r="GE60" i="7"/>
  <c r="FK60" i="7"/>
  <c r="EL60" i="7"/>
  <c r="FH60" i="7"/>
  <c r="EI60" i="7"/>
  <c r="EO60" i="7"/>
  <c r="EQ60" i="7" s="1"/>
  <c r="DJ60" i="7"/>
  <c r="FN60" i="7"/>
  <c r="FP60" i="7" s="1"/>
  <c r="EG60" i="7"/>
  <c r="DH60" i="7"/>
  <c r="FF60" i="7"/>
  <c r="GM60" i="7"/>
  <c r="GO60" i="7" s="1"/>
  <c r="DP60" i="7"/>
  <c r="DR60" i="7" s="1"/>
  <c r="DM60" i="7"/>
  <c r="HL73" i="7"/>
  <c r="HN73" i="7" s="1"/>
  <c r="HI73" i="7"/>
  <c r="GE73" i="7"/>
  <c r="GM73" i="7"/>
  <c r="GO73" i="7" s="1"/>
  <c r="HF73" i="7"/>
  <c r="HD73" i="7"/>
  <c r="GJ73" i="7"/>
  <c r="FN73" i="7"/>
  <c r="FP73" i="7" s="1"/>
  <c r="EG73" i="7"/>
  <c r="GG73" i="7"/>
  <c r="FK73" i="7"/>
  <c r="EO73" i="7"/>
  <c r="EQ73" i="7" s="1"/>
  <c r="FH73" i="7"/>
  <c r="FF73" i="7"/>
  <c r="EL73" i="7"/>
  <c r="DH73" i="7"/>
  <c r="DJ73" i="7"/>
  <c r="EI73" i="7"/>
  <c r="DP73" i="7"/>
  <c r="DR73" i="7" s="1"/>
  <c r="DM73" i="7"/>
  <c r="HI66" i="7"/>
  <c r="HF66" i="7"/>
  <c r="GG66" i="7"/>
  <c r="HL66" i="7"/>
  <c r="HN66" i="7" s="1"/>
  <c r="GE66" i="7"/>
  <c r="HD66" i="7"/>
  <c r="FH66" i="7"/>
  <c r="EI66" i="7"/>
  <c r="FF66" i="7"/>
  <c r="EG66" i="7"/>
  <c r="GM66" i="7"/>
  <c r="GO66" i="7" s="1"/>
  <c r="FN66" i="7"/>
  <c r="FP66" i="7" s="1"/>
  <c r="DH66" i="7"/>
  <c r="EO66" i="7"/>
  <c r="EQ66" i="7" s="1"/>
  <c r="DM66" i="7"/>
  <c r="DP66" i="7"/>
  <c r="DR66" i="7" s="1"/>
  <c r="GJ66" i="7"/>
  <c r="FK66" i="7"/>
  <c r="EL66" i="7"/>
  <c r="DJ66" i="7"/>
  <c r="HL116" i="7"/>
  <c r="HN116" i="7" s="1"/>
  <c r="HI116" i="7"/>
  <c r="GE116" i="7"/>
  <c r="HF116" i="7"/>
  <c r="GM116" i="7"/>
  <c r="GO116" i="7" s="1"/>
  <c r="HD116" i="7"/>
  <c r="GJ116" i="7"/>
  <c r="GG116" i="7"/>
  <c r="FN116" i="7"/>
  <c r="FP116" i="7" s="1"/>
  <c r="EO116" i="7"/>
  <c r="EQ116" i="7" s="1"/>
  <c r="DM116" i="7"/>
  <c r="FK116" i="7"/>
  <c r="EL116" i="7"/>
  <c r="DJ116" i="7"/>
  <c r="FH116" i="7"/>
  <c r="FF116" i="7"/>
  <c r="DH116" i="7"/>
  <c r="DP116" i="7"/>
  <c r="DR116" i="7" s="1"/>
  <c r="EI116" i="7"/>
  <c r="EG116" i="7"/>
  <c r="HD108" i="7"/>
  <c r="HL108" i="7"/>
  <c r="HN108" i="7" s="1"/>
  <c r="HF108" i="7"/>
  <c r="GE108" i="7"/>
  <c r="GM108" i="7"/>
  <c r="GO108" i="7" s="1"/>
  <c r="GJ108" i="7"/>
  <c r="GG108" i="7"/>
  <c r="FH108" i="7"/>
  <c r="EO108" i="7"/>
  <c r="EQ108" i="7" s="1"/>
  <c r="DP108" i="7"/>
  <c r="DR108" i="7" s="1"/>
  <c r="FF108" i="7"/>
  <c r="EL108" i="7"/>
  <c r="DM108" i="7"/>
  <c r="HI108" i="7"/>
  <c r="FN108" i="7"/>
  <c r="FP108" i="7" s="1"/>
  <c r="EI108" i="7"/>
  <c r="EG108" i="7"/>
  <c r="FK108" i="7"/>
  <c r="DJ108" i="7"/>
  <c r="DH108" i="7"/>
  <c r="HD122" i="7"/>
  <c r="HL122" i="7"/>
  <c r="HN122" i="7" s="1"/>
  <c r="HI122" i="7"/>
  <c r="GE122" i="7"/>
  <c r="GM122" i="7"/>
  <c r="GO122" i="7" s="1"/>
  <c r="GJ122" i="7"/>
  <c r="FN122" i="7"/>
  <c r="FP122" i="7" s="1"/>
  <c r="EG122" i="7"/>
  <c r="DM122" i="7"/>
  <c r="GG122" i="7"/>
  <c r="FK122" i="7"/>
  <c r="EO122" i="7"/>
  <c r="EQ122" i="7" s="1"/>
  <c r="DJ122" i="7"/>
  <c r="HF122" i="7"/>
  <c r="FH122" i="7"/>
  <c r="EL122" i="7"/>
  <c r="DP122" i="7"/>
  <c r="DR122" i="7" s="1"/>
  <c r="EI122" i="7"/>
  <c r="DH122" i="7"/>
  <c r="FF122" i="7"/>
  <c r="HI94" i="7"/>
  <c r="HF94" i="7"/>
  <c r="GM94" i="7"/>
  <c r="GO94" i="7" s="1"/>
  <c r="GJ94" i="7"/>
  <c r="HL94" i="7"/>
  <c r="HN94" i="7" s="1"/>
  <c r="GG94" i="7"/>
  <c r="GE94" i="7"/>
  <c r="FF94" i="7"/>
  <c r="EL94" i="7"/>
  <c r="DP94" i="7"/>
  <c r="DR94" i="7" s="1"/>
  <c r="FN94" i="7"/>
  <c r="FP94" i="7" s="1"/>
  <c r="EI94" i="7"/>
  <c r="DM94" i="7"/>
  <c r="FK94" i="7"/>
  <c r="EO94" i="7"/>
  <c r="EQ94" i="7" s="1"/>
  <c r="DJ94" i="7"/>
  <c r="HD94" i="7"/>
  <c r="FH94" i="7"/>
  <c r="EG94" i="7"/>
  <c r="DH94" i="7"/>
  <c r="HI46" i="7"/>
  <c r="GE46" i="7"/>
  <c r="HF46" i="7"/>
  <c r="GM46" i="7"/>
  <c r="GO46" i="7" s="1"/>
  <c r="HD46" i="7"/>
  <c r="GG46" i="7"/>
  <c r="FK46" i="7"/>
  <c r="EI46" i="7"/>
  <c r="HL46" i="7"/>
  <c r="HN46" i="7" s="1"/>
  <c r="FH46" i="7"/>
  <c r="EG46" i="7"/>
  <c r="FN46" i="7"/>
  <c r="FP46" i="7" s="1"/>
  <c r="DP46" i="7"/>
  <c r="DR46" i="7" s="1"/>
  <c r="DH46" i="7"/>
  <c r="FF46" i="7"/>
  <c r="DM46" i="7"/>
  <c r="DJ46" i="7"/>
  <c r="EO46" i="7"/>
  <c r="EQ46" i="7" s="1"/>
  <c r="GJ46" i="7"/>
  <c r="EL46" i="7"/>
  <c r="L66" i="7"/>
  <c r="HL17" i="7"/>
  <c r="HN17" i="7" s="1"/>
  <c r="HI17" i="7"/>
  <c r="HF17" i="7"/>
  <c r="GJ17" i="7"/>
  <c r="FN17" i="7"/>
  <c r="FP17" i="7" s="1"/>
  <c r="EL17" i="7"/>
  <c r="GG17" i="7"/>
  <c r="FK17" i="7"/>
  <c r="EI17" i="7"/>
  <c r="HD17" i="7"/>
  <c r="GE17" i="7"/>
  <c r="EG17" i="7"/>
  <c r="DH17" i="7"/>
  <c r="FF17" i="7"/>
  <c r="DM17" i="7"/>
  <c r="DJ17" i="7"/>
  <c r="FH17" i="7"/>
  <c r="DP17" i="7"/>
  <c r="DR17" i="7" s="1"/>
  <c r="GM17" i="7"/>
  <c r="GO17" i="7" s="1"/>
  <c r="EO17" i="7"/>
  <c r="EQ17" i="7" s="1"/>
  <c r="HL24" i="7"/>
  <c r="HN24" i="7" s="1"/>
  <c r="HI24" i="7"/>
  <c r="HF24" i="7"/>
  <c r="GM24" i="7"/>
  <c r="GO24" i="7" s="1"/>
  <c r="FK24" i="7"/>
  <c r="EI24" i="7"/>
  <c r="GJ24" i="7"/>
  <c r="FH24" i="7"/>
  <c r="EG24" i="7"/>
  <c r="GG24" i="7"/>
  <c r="FF24" i="7"/>
  <c r="DP24" i="7"/>
  <c r="DR24" i="7" s="1"/>
  <c r="EL24" i="7"/>
  <c r="FN24" i="7"/>
  <c r="FP24" i="7" s="1"/>
  <c r="DH24" i="7"/>
  <c r="EO24" i="7"/>
  <c r="EQ24" i="7" s="1"/>
  <c r="DM24" i="7"/>
  <c r="DJ24" i="7"/>
  <c r="HD24" i="7"/>
  <c r="GE24" i="7"/>
  <c r="HI10" i="7"/>
  <c r="HF10" i="7"/>
  <c r="HD10" i="7"/>
  <c r="GE10" i="7"/>
  <c r="FH10" i="7"/>
  <c r="EG10" i="7"/>
  <c r="GM10" i="7"/>
  <c r="GO10" i="7" s="1"/>
  <c r="FF10" i="7"/>
  <c r="EO10" i="7"/>
  <c r="EQ10" i="7" s="1"/>
  <c r="HL10" i="7"/>
  <c r="HN10" i="7" s="1"/>
  <c r="GJ10" i="7"/>
  <c r="GG10" i="7"/>
  <c r="DM10" i="7"/>
  <c r="EI10" i="7"/>
  <c r="DP10" i="7"/>
  <c r="DR10" i="7" s="1"/>
  <c r="FN10" i="7"/>
  <c r="FP10" i="7" s="1"/>
  <c r="DJ10" i="7"/>
  <c r="FK10" i="7"/>
  <c r="EL10" i="7"/>
  <c r="DH10" i="7"/>
  <c r="HI129" i="7"/>
  <c r="HF129" i="7"/>
  <c r="HD129" i="7"/>
  <c r="GM129" i="7"/>
  <c r="GO129" i="7" s="1"/>
  <c r="GJ129" i="7"/>
  <c r="HL129" i="7"/>
  <c r="HN129" i="7" s="1"/>
  <c r="GG129" i="7"/>
  <c r="GE129" i="7"/>
  <c r="FF129" i="7"/>
  <c r="EO129" i="7"/>
  <c r="EQ129" i="7" s="1"/>
  <c r="DP129" i="7"/>
  <c r="DR129" i="7" s="1"/>
  <c r="FN129" i="7"/>
  <c r="FP129" i="7" s="1"/>
  <c r="EL129" i="7"/>
  <c r="DM129" i="7"/>
  <c r="FK129" i="7"/>
  <c r="DJ129" i="7"/>
  <c r="DH129" i="7"/>
  <c r="FH129" i="7"/>
  <c r="EI129" i="7"/>
  <c r="EG129" i="7"/>
  <c r="HD38" i="7"/>
  <c r="HL38" i="7"/>
  <c r="HN38" i="7" s="1"/>
  <c r="HI38" i="7"/>
  <c r="HF38" i="7"/>
  <c r="GE38" i="7"/>
  <c r="FF38" i="7"/>
  <c r="EL38" i="7"/>
  <c r="GM38" i="7"/>
  <c r="GO38" i="7" s="1"/>
  <c r="FN38" i="7"/>
  <c r="FP38" i="7" s="1"/>
  <c r="EI38" i="7"/>
  <c r="GJ38" i="7"/>
  <c r="GG38" i="7"/>
  <c r="FH38" i="7"/>
  <c r="DJ38" i="7"/>
  <c r="DH38" i="7"/>
  <c r="EO38" i="7"/>
  <c r="EQ38" i="7" s="1"/>
  <c r="DP38" i="7"/>
  <c r="DR38" i="7" s="1"/>
  <c r="FK38" i="7"/>
  <c r="EG38" i="7"/>
  <c r="DM38" i="7"/>
  <c r="HJ32" i="7"/>
  <c r="HK32" i="7" s="1"/>
  <c r="GX32" i="7"/>
  <c r="GW33" i="7" s="1"/>
  <c r="HE32" i="7"/>
  <c r="HG32" i="7"/>
  <c r="HC33" i="7"/>
  <c r="FY32" i="7"/>
  <c r="FX33" i="7" s="1"/>
  <c r="GK32" i="7"/>
  <c r="GL32" i="7" s="1"/>
  <c r="GF32" i="7"/>
  <c r="GD32" i="7"/>
  <c r="GH31" i="7"/>
  <c r="FG33" i="7"/>
  <c r="FL33" i="7"/>
  <c r="FM33" i="7" s="1"/>
  <c r="EZ33" i="7"/>
  <c r="EY34" i="7" s="1"/>
  <c r="FE33" i="7"/>
  <c r="FI32" i="7"/>
  <c r="EF34" i="7"/>
  <c r="EJ33" i="7"/>
  <c r="EM33" i="7"/>
  <c r="EN33" i="7" s="1"/>
  <c r="EA33" i="7"/>
  <c r="DZ34" i="7" s="1"/>
  <c r="EH33" i="7"/>
  <c r="DN33" i="7"/>
  <c r="DO33" i="7" s="1"/>
  <c r="DI33" i="7"/>
  <c r="DB33" i="7"/>
  <c r="DA34" i="7" s="1"/>
  <c r="DG33" i="7"/>
  <c r="DK32" i="7"/>
  <c r="DO147" i="8"/>
  <c r="G278" i="8" s="1"/>
  <c r="CP147" i="8"/>
  <c r="G255" i="8" s="1"/>
  <c r="AR147" i="8"/>
  <c r="G206" i="8" s="1"/>
  <c r="G175" i="8"/>
  <c r="G296" i="8" s="1"/>
  <c r="O147" i="8"/>
  <c r="G179" i="8" s="1"/>
  <c r="BM28" i="8"/>
  <c r="BI29" i="8"/>
  <c r="DK147" i="8"/>
  <c r="G274" i="8" s="1"/>
  <c r="CL147" i="8"/>
  <c r="G251" i="8" s="1"/>
  <c r="AN29" i="8"/>
  <c r="AJ30" i="8"/>
  <c r="DN28" i="8"/>
  <c r="DO28" i="8" s="1"/>
  <c r="DB28" i="8"/>
  <c r="DA29" i="8" s="1"/>
  <c r="DI28" i="8"/>
  <c r="BP26" i="8"/>
  <c r="BK26" i="8"/>
  <c r="BD26" i="8"/>
  <c r="BM26" i="8"/>
  <c r="BM147" i="8" s="1"/>
  <c r="G227" i="8" s="1"/>
  <c r="AE147" i="8"/>
  <c r="G193" i="8" s="1"/>
  <c r="AD27" i="8"/>
  <c r="BQ26" i="8"/>
  <c r="K28" i="8"/>
  <c r="O27" i="8"/>
  <c r="DG28" i="8"/>
  <c r="DK27" i="8"/>
  <c r="F26" i="8"/>
  <c r="M26" i="8"/>
  <c r="R26" i="8"/>
  <c r="S26" i="8" s="1"/>
  <c r="CC147" i="8"/>
  <c r="G242" i="8" s="1"/>
  <c r="DB147" i="8"/>
  <c r="G265" i="8" s="1"/>
  <c r="CB27" i="8"/>
  <c r="CH30" i="8"/>
  <c r="CI38" i="7"/>
  <c r="N38" i="7"/>
  <c r="BO38" i="7"/>
  <c r="CQ88" i="7"/>
  <c r="CS88" i="7" s="1"/>
  <c r="BO66" i="7"/>
  <c r="Q66" i="7"/>
  <c r="CK88" i="7"/>
  <c r="CK66" i="7"/>
  <c r="AM66" i="7"/>
  <c r="W88" i="7"/>
  <c r="Y88" i="7" s="1"/>
  <c r="W66" i="7"/>
  <c r="Y66" i="7" s="1"/>
  <c r="BR66" i="7"/>
  <c r="BT66" i="7" s="1"/>
  <c r="R9" i="7"/>
  <c r="S9" i="7" s="1"/>
  <c r="CN38" i="7"/>
  <c r="T38" i="7"/>
  <c r="V38" i="7" s="1"/>
  <c r="W38" i="7"/>
  <c r="Y38" i="7" s="1"/>
  <c r="AM88" i="7"/>
  <c r="C67" i="7"/>
  <c r="AK67" i="7" s="1"/>
  <c r="N66" i="7"/>
  <c r="AP66" i="7"/>
  <c r="BL66" i="7"/>
  <c r="CI66" i="7"/>
  <c r="AM38" i="7"/>
  <c r="L38" i="7"/>
  <c r="AS38" i="7"/>
  <c r="AU38" i="7" s="1"/>
  <c r="AK38" i="7"/>
  <c r="CQ38" i="7"/>
  <c r="CS38" i="7" s="1"/>
  <c r="C39" i="7"/>
  <c r="CQ39" i="7" s="1"/>
  <c r="CS39" i="7" s="1"/>
  <c r="AS88" i="7"/>
  <c r="AU88" i="7" s="1"/>
  <c r="AS66" i="7"/>
  <c r="AU66" i="7" s="1"/>
  <c r="T66" i="7"/>
  <c r="V66" i="7" s="1"/>
  <c r="BJ66" i="7"/>
  <c r="CQ66" i="7"/>
  <c r="CS66" i="7" s="1"/>
  <c r="CN66" i="7"/>
  <c r="BR38" i="7"/>
  <c r="BT38" i="7" s="1"/>
  <c r="BL38" i="7"/>
  <c r="BJ38" i="7"/>
  <c r="AP38" i="7"/>
  <c r="M9" i="7"/>
  <c r="BA74" i="7"/>
  <c r="BU73" i="7"/>
  <c r="BW73" i="7" s="1"/>
  <c r="CK129" i="7"/>
  <c r="BO129" i="7"/>
  <c r="N129" i="7"/>
  <c r="AM129" i="7"/>
  <c r="CQ129" i="7"/>
  <c r="CS129" i="7" s="1"/>
  <c r="AP129" i="7"/>
  <c r="BJ129" i="7"/>
  <c r="CN129" i="7"/>
  <c r="Q129" i="7"/>
  <c r="AK129" i="7"/>
  <c r="AS129" i="7"/>
  <c r="AU129" i="7" s="1"/>
  <c r="CI129" i="7"/>
  <c r="BL129" i="7"/>
  <c r="C130" i="7"/>
  <c r="T129" i="7"/>
  <c r="V129" i="7" s="1"/>
  <c r="W129" i="7"/>
  <c r="Y129" i="7" s="1"/>
  <c r="BR129" i="7"/>
  <c r="BT129" i="7" s="1"/>
  <c r="L129" i="7"/>
  <c r="CT123" i="7"/>
  <c r="CV123" i="7" s="1"/>
  <c r="BZ124" i="7"/>
  <c r="CT124" i="7" s="1"/>
  <c r="CV124" i="7" s="1"/>
  <c r="AK73" i="7"/>
  <c r="AS73" i="7"/>
  <c r="AU73" i="7" s="1"/>
  <c r="CI73" i="7"/>
  <c r="CQ73" i="7"/>
  <c r="CS73" i="7" s="1"/>
  <c r="C74" i="7"/>
  <c r="T73" i="7"/>
  <c r="V73" i="7" s="1"/>
  <c r="W73" i="7"/>
  <c r="Y73" i="7" s="1"/>
  <c r="BR73" i="7"/>
  <c r="BT73" i="7" s="1"/>
  <c r="L73" i="7"/>
  <c r="CK73" i="7"/>
  <c r="BO73" i="7"/>
  <c r="N73" i="7"/>
  <c r="AM73" i="7"/>
  <c r="Q73" i="7"/>
  <c r="AP73" i="7"/>
  <c r="BJ73" i="7"/>
  <c r="CN73" i="7"/>
  <c r="BL73" i="7"/>
  <c r="BK9" i="7"/>
  <c r="BP9" i="7"/>
  <c r="BQ9" i="7" s="1"/>
  <c r="BD9" i="7"/>
  <c r="BC10" i="7" s="1"/>
  <c r="BM10" i="7" s="1"/>
  <c r="BA53" i="7"/>
  <c r="BU52" i="7"/>
  <c r="BW52" i="7" s="1"/>
  <c r="AB110" i="7"/>
  <c r="AV110" i="7" s="1"/>
  <c r="AX110" i="7" s="1"/>
  <c r="AV109" i="7"/>
  <c r="AX109" i="7" s="1"/>
  <c r="AV73" i="7"/>
  <c r="AX73" i="7" s="1"/>
  <c r="AB74" i="7"/>
  <c r="AV60" i="7"/>
  <c r="AX60" i="7" s="1"/>
  <c r="AB61" i="7"/>
  <c r="AV61" i="7" s="1"/>
  <c r="AX61" i="7" s="1"/>
  <c r="BU108" i="7"/>
  <c r="BW108" i="7" s="1"/>
  <c r="BA109" i="7"/>
  <c r="BO116" i="7"/>
  <c r="BJ116" i="7"/>
  <c r="AS116" i="7"/>
  <c r="AU116" i="7" s="1"/>
  <c r="W116" i="7"/>
  <c r="Y116" i="7" s="1"/>
  <c r="N116" i="7"/>
  <c r="CN116" i="7"/>
  <c r="CI116" i="7"/>
  <c r="BR116" i="7"/>
  <c r="BT116" i="7" s="1"/>
  <c r="AM116" i="7"/>
  <c r="CQ116" i="7"/>
  <c r="CS116" i="7" s="1"/>
  <c r="BL116" i="7"/>
  <c r="Q116" i="7"/>
  <c r="L116" i="7"/>
  <c r="C117" i="7"/>
  <c r="AP116" i="7"/>
  <c r="AK116" i="7"/>
  <c r="T116" i="7"/>
  <c r="V116" i="7" s="1"/>
  <c r="CK116" i="7"/>
  <c r="BO108" i="7"/>
  <c r="BJ108" i="7"/>
  <c r="AS108" i="7"/>
  <c r="AU108" i="7" s="1"/>
  <c r="W108" i="7"/>
  <c r="Y108" i="7" s="1"/>
  <c r="N108" i="7"/>
  <c r="CN108" i="7"/>
  <c r="CI108" i="7"/>
  <c r="BR108" i="7"/>
  <c r="BT108" i="7" s="1"/>
  <c r="AM108" i="7"/>
  <c r="CQ108" i="7"/>
  <c r="CS108" i="7" s="1"/>
  <c r="BL108" i="7"/>
  <c r="Q108" i="7"/>
  <c r="L108" i="7"/>
  <c r="C109" i="7"/>
  <c r="AP108" i="7"/>
  <c r="AK108" i="7"/>
  <c r="T108" i="7"/>
  <c r="V108" i="7" s="1"/>
  <c r="CK108" i="7"/>
  <c r="CT11" i="7"/>
  <c r="CV11" i="7" s="1"/>
  <c r="BZ12" i="7"/>
  <c r="BA26" i="7"/>
  <c r="BU26" i="7" s="1"/>
  <c r="BW26" i="7" s="1"/>
  <c r="BU25" i="7"/>
  <c r="BW25" i="7" s="1"/>
  <c r="AB19" i="7"/>
  <c r="AV19" i="7" s="1"/>
  <c r="AX19" i="7" s="1"/>
  <c r="AV18" i="7"/>
  <c r="AX18" i="7" s="1"/>
  <c r="BU45" i="7"/>
  <c r="BW45" i="7" s="1"/>
  <c r="BA46" i="7"/>
  <c r="CQ46" i="7"/>
  <c r="CS46" i="7" s="1"/>
  <c r="BL46" i="7"/>
  <c r="Q46" i="7"/>
  <c r="L46" i="7"/>
  <c r="C47" i="7"/>
  <c r="CK46" i="7"/>
  <c r="AP46" i="7"/>
  <c r="AK46" i="7"/>
  <c r="T46" i="7"/>
  <c r="V46" i="7" s="1"/>
  <c r="BO46" i="7"/>
  <c r="BJ46" i="7"/>
  <c r="AS46" i="7"/>
  <c r="AU46" i="7" s="1"/>
  <c r="W46" i="7"/>
  <c r="Y46" i="7" s="1"/>
  <c r="N46" i="7"/>
  <c r="CN46" i="7"/>
  <c r="AM46" i="7"/>
  <c r="CI46" i="7"/>
  <c r="BR46" i="7"/>
  <c r="BT46" i="7" s="1"/>
  <c r="CT137" i="7"/>
  <c r="CV137" i="7" s="1"/>
  <c r="BZ138" i="7"/>
  <c r="CT138" i="7" s="1"/>
  <c r="CV138" i="7" s="1"/>
  <c r="BA123" i="7"/>
  <c r="BU122" i="7"/>
  <c r="BW122" i="7" s="1"/>
  <c r="CK60" i="7"/>
  <c r="BO60" i="7"/>
  <c r="BJ60" i="7"/>
  <c r="AM60" i="7"/>
  <c r="Q60" i="7"/>
  <c r="L60" i="7"/>
  <c r="C61" i="7"/>
  <c r="BR60" i="7"/>
  <c r="BT60" i="7" s="1"/>
  <c r="T60" i="7"/>
  <c r="V60" i="7" s="1"/>
  <c r="CN60" i="7"/>
  <c r="CI60" i="7"/>
  <c r="BL60" i="7"/>
  <c r="AP60" i="7"/>
  <c r="AK60" i="7"/>
  <c r="W60" i="7"/>
  <c r="Y60" i="7" s="1"/>
  <c r="N60" i="7"/>
  <c r="CQ60" i="7"/>
  <c r="CS60" i="7" s="1"/>
  <c r="AS60" i="7"/>
  <c r="AU60" i="7" s="1"/>
  <c r="R10" i="7"/>
  <c r="F10" i="7"/>
  <c r="E11" i="7" s="1"/>
  <c r="M10" i="7"/>
  <c r="BO24" i="7"/>
  <c r="BJ24" i="7"/>
  <c r="AS24" i="7"/>
  <c r="AU24" i="7" s="1"/>
  <c r="W24" i="7"/>
  <c r="Y24" i="7" s="1"/>
  <c r="N24" i="7"/>
  <c r="C25" i="7"/>
  <c r="CK24" i="7"/>
  <c r="AP24" i="7"/>
  <c r="CN24" i="7"/>
  <c r="CI24" i="7"/>
  <c r="BR24" i="7"/>
  <c r="BT24" i="7" s="1"/>
  <c r="AM24" i="7"/>
  <c r="AK24" i="7"/>
  <c r="T24" i="7"/>
  <c r="V24" i="7" s="1"/>
  <c r="CQ24" i="7"/>
  <c r="CS24" i="7" s="1"/>
  <c r="BL24" i="7"/>
  <c r="Q24" i="7"/>
  <c r="L24" i="7"/>
  <c r="AV87" i="7"/>
  <c r="AX87" i="7" s="1"/>
  <c r="AB88" i="7"/>
  <c r="AB40" i="7"/>
  <c r="AV40" i="7" s="1"/>
  <c r="AX40" i="7" s="1"/>
  <c r="AV39" i="7"/>
  <c r="AX39" i="7" s="1"/>
  <c r="AB11" i="7"/>
  <c r="AV10" i="7"/>
  <c r="AX10" i="7" s="1"/>
  <c r="BA19" i="7"/>
  <c r="BU19" i="7" s="1"/>
  <c r="BW19" i="7" s="1"/>
  <c r="BU18" i="7"/>
  <c r="BW18" i="7" s="1"/>
  <c r="CN136" i="7"/>
  <c r="CI136" i="7"/>
  <c r="BR136" i="7"/>
  <c r="BT136" i="7" s="1"/>
  <c r="AM136" i="7"/>
  <c r="CQ136" i="7"/>
  <c r="CS136" i="7" s="1"/>
  <c r="BL136" i="7"/>
  <c r="Q136" i="7"/>
  <c r="L136" i="7"/>
  <c r="C137" i="7"/>
  <c r="CK136" i="7"/>
  <c r="AP136" i="7"/>
  <c r="AK136" i="7"/>
  <c r="T136" i="7"/>
  <c r="V136" i="7" s="1"/>
  <c r="BO136" i="7"/>
  <c r="BJ136" i="7"/>
  <c r="AS136" i="7"/>
  <c r="AU136" i="7" s="1"/>
  <c r="N136" i="7"/>
  <c r="W136" i="7"/>
  <c r="Y136" i="7" s="1"/>
  <c r="BZ103" i="7"/>
  <c r="CT103" i="7" s="1"/>
  <c r="CV103" i="7" s="1"/>
  <c r="CT102" i="7"/>
  <c r="CV102" i="7" s="1"/>
  <c r="BA138" i="7"/>
  <c r="BU138" i="7" s="1"/>
  <c r="BW138" i="7" s="1"/>
  <c r="BU137" i="7"/>
  <c r="BW137" i="7" s="1"/>
  <c r="BZ117" i="7"/>
  <c r="CT117" i="7" s="1"/>
  <c r="CV117" i="7" s="1"/>
  <c r="CT116" i="7"/>
  <c r="CV116" i="7" s="1"/>
  <c r="AQ9" i="7"/>
  <c r="AL9" i="7"/>
  <c r="AE9" i="7"/>
  <c r="AD10" i="7" s="1"/>
  <c r="AD145" i="7" s="1"/>
  <c r="BZ32" i="7"/>
  <c r="CT31" i="7"/>
  <c r="CV31" i="7" s="1"/>
  <c r="BU60" i="7"/>
  <c r="BW60" i="7" s="1"/>
  <c r="BA61" i="7"/>
  <c r="BU61" i="7" s="1"/>
  <c r="BW61" i="7" s="1"/>
  <c r="CT53" i="7"/>
  <c r="CV53" i="7" s="1"/>
  <c r="BZ54" i="7"/>
  <c r="CT54" i="7" s="1"/>
  <c r="CV54" i="7" s="1"/>
  <c r="CT66" i="7"/>
  <c r="CV66" i="7" s="1"/>
  <c r="BZ67" i="7"/>
  <c r="AV137" i="7"/>
  <c r="AX137" i="7" s="1"/>
  <c r="AB138" i="7"/>
  <c r="CT80" i="7"/>
  <c r="CV80" i="7" s="1"/>
  <c r="BZ81" i="7"/>
  <c r="BA11" i="7"/>
  <c r="BU10" i="7"/>
  <c r="BW10" i="7" s="1"/>
  <c r="CH10" i="7"/>
  <c r="CL9" i="7"/>
  <c r="BO17" i="7"/>
  <c r="BJ17" i="7"/>
  <c r="AS17" i="7"/>
  <c r="AU17" i="7" s="1"/>
  <c r="W17" i="7"/>
  <c r="Y17" i="7" s="1"/>
  <c r="N17" i="7"/>
  <c r="C18" i="7"/>
  <c r="AP17" i="7"/>
  <c r="T17" i="7"/>
  <c r="V17" i="7" s="1"/>
  <c r="CN17" i="7"/>
  <c r="CI17" i="7"/>
  <c r="BR17" i="7"/>
  <c r="BT17" i="7" s="1"/>
  <c r="AM17" i="7"/>
  <c r="CK17" i="7"/>
  <c r="AK17" i="7"/>
  <c r="CQ17" i="7"/>
  <c r="CS17" i="7" s="1"/>
  <c r="BL17" i="7"/>
  <c r="Q17" i="7"/>
  <c r="L17" i="7"/>
  <c r="CT59" i="7"/>
  <c r="CV59" i="7" s="1"/>
  <c r="BZ60" i="7"/>
  <c r="BZ47" i="7"/>
  <c r="CT47" i="7" s="1"/>
  <c r="CV47" i="7" s="1"/>
  <c r="CT46" i="7"/>
  <c r="CV46" i="7" s="1"/>
  <c r="AB102" i="7"/>
  <c r="AV101" i="7"/>
  <c r="AX101" i="7" s="1"/>
  <c r="BA68" i="7"/>
  <c r="BU68" i="7" s="1"/>
  <c r="BW68" i="7" s="1"/>
  <c r="BU67" i="7"/>
  <c r="BW67" i="7" s="1"/>
  <c r="CP8" i="7"/>
  <c r="BM9" i="7"/>
  <c r="BU116" i="7"/>
  <c r="BW116" i="7" s="1"/>
  <c r="BA117" i="7"/>
  <c r="BU117" i="7" s="1"/>
  <c r="BW117" i="7" s="1"/>
  <c r="BA33" i="7"/>
  <c r="BU33" i="7" s="1"/>
  <c r="BW33" i="7" s="1"/>
  <c r="BU32" i="7"/>
  <c r="BW32" i="7" s="1"/>
  <c r="CT18" i="7"/>
  <c r="CV18" i="7" s="1"/>
  <c r="BZ19" i="7"/>
  <c r="CT19" i="7" s="1"/>
  <c r="CV19" i="7" s="1"/>
  <c r="BA82" i="7"/>
  <c r="BU82" i="7" s="1"/>
  <c r="BW82" i="7" s="1"/>
  <c r="BU81" i="7"/>
  <c r="BW81" i="7" s="1"/>
  <c r="AJ9" i="7"/>
  <c r="AN8" i="7"/>
  <c r="CT25" i="7"/>
  <c r="CV25" i="7" s="1"/>
  <c r="BZ26" i="7"/>
  <c r="CT26" i="7" s="1"/>
  <c r="CV26" i="7" s="1"/>
  <c r="AV94" i="7"/>
  <c r="AX94" i="7" s="1"/>
  <c r="AB95" i="7"/>
  <c r="AV129" i="7"/>
  <c r="AX129" i="7" s="1"/>
  <c r="AB130" i="7"/>
  <c r="CK122" i="7"/>
  <c r="AS122" i="7"/>
  <c r="AU122" i="7" s="1"/>
  <c r="W122" i="7"/>
  <c r="Y122" i="7" s="1"/>
  <c r="N122" i="7"/>
  <c r="C123" i="7"/>
  <c r="BO122" i="7"/>
  <c r="BJ122" i="7"/>
  <c r="AM122" i="7"/>
  <c r="CN122" i="7"/>
  <c r="CI122" i="7"/>
  <c r="BR122" i="7"/>
  <c r="BT122" i="7" s="1"/>
  <c r="Q122" i="7"/>
  <c r="L122" i="7"/>
  <c r="BL122" i="7"/>
  <c r="AP122" i="7"/>
  <c r="CQ122" i="7"/>
  <c r="CS122" i="7" s="1"/>
  <c r="AK122" i="7"/>
  <c r="T122" i="7"/>
  <c r="V122" i="7" s="1"/>
  <c r="CT130" i="7"/>
  <c r="CV130" i="7" s="1"/>
  <c r="BZ131" i="7"/>
  <c r="CT131" i="7" s="1"/>
  <c r="CV131" i="7" s="1"/>
  <c r="AV123" i="7"/>
  <c r="AX123" i="7" s="1"/>
  <c r="AB124" i="7"/>
  <c r="AV124" i="7" s="1"/>
  <c r="AX124" i="7" s="1"/>
  <c r="BO94" i="7"/>
  <c r="BJ94" i="7"/>
  <c r="AS94" i="7"/>
  <c r="AU94" i="7" s="1"/>
  <c r="CN94" i="7"/>
  <c r="CI94" i="7"/>
  <c r="BR94" i="7"/>
  <c r="BT94" i="7" s="1"/>
  <c r="AM94" i="7"/>
  <c r="C95" i="7"/>
  <c r="AP94" i="7"/>
  <c r="N94" i="7"/>
  <c r="W94" i="7"/>
  <c r="Y94" i="7" s="1"/>
  <c r="L94" i="7"/>
  <c r="CK94" i="7"/>
  <c r="AK94" i="7"/>
  <c r="Q94" i="7"/>
  <c r="CQ94" i="7"/>
  <c r="CS94" i="7" s="1"/>
  <c r="BL94" i="7"/>
  <c r="T94" i="7"/>
  <c r="V94" i="7" s="1"/>
  <c r="AS102" i="7"/>
  <c r="AU102" i="7" s="1"/>
  <c r="BL102" i="7"/>
  <c r="AB33" i="7"/>
  <c r="AV33" i="7" s="1"/>
  <c r="AX33" i="7" s="1"/>
  <c r="AV32" i="7"/>
  <c r="AX32" i="7" s="1"/>
  <c r="AR8" i="7"/>
  <c r="AV52" i="7"/>
  <c r="AX52" i="7" s="1"/>
  <c r="AB53" i="7"/>
  <c r="CO9" i="7"/>
  <c r="CC9" i="7"/>
  <c r="CB10" i="7" s="1"/>
  <c r="CJ9" i="7"/>
  <c r="AV81" i="7"/>
  <c r="AX81" i="7" s="1"/>
  <c r="AB82" i="7"/>
  <c r="AV82" i="7" s="1"/>
  <c r="AX82" i="7" s="1"/>
  <c r="BU102" i="7"/>
  <c r="BW102" i="7" s="1"/>
  <c r="BA103" i="7"/>
  <c r="BU103" i="7" s="1"/>
  <c r="BW103" i="7" s="1"/>
  <c r="C68" i="7"/>
  <c r="W67" i="7"/>
  <c r="Y67" i="7" s="1"/>
  <c r="CI67" i="7"/>
  <c r="K10" i="7"/>
  <c r="O10" i="7" s="1"/>
  <c r="CT74" i="7"/>
  <c r="CV74" i="7" s="1"/>
  <c r="BZ75" i="7"/>
  <c r="CT75" i="7" s="1"/>
  <c r="CV75" i="7" s="1"/>
  <c r="CT88" i="7"/>
  <c r="CV88" i="7" s="1"/>
  <c r="BZ89" i="7"/>
  <c r="CT89" i="7" s="1"/>
  <c r="CV89" i="7" s="1"/>
  <c r="AB26" i="7"/>
  <c r="AV26" i="7" s="1"/>
  <c r="AX26" i="7" s="1"/>
  <c r="AV25" i="7"/>
  <c r="AX25" i="7" s="1"/>
  <c r="CQ32" i="7"/>
  <c r="CS32" i="7" s="1"/>
  <c r="AS32" i="7"/>
  <c r="AU32" i="7" s="1"/>
  <c r="CK32" i="7"/>
  <c r="BO32" i="7"/>
  <c r="BJ32" i="7"/>
  <c r="AM32" i="7"/>
  <c r="Q32" i="7"/>
  <c r="L32" i="7"/>
  <c r="AK32" i="7"/>
  <c r="CN32" i="7"/>
  <c r="BR32" i="7"/>
  <c r="BT32" i="7" s="1"/>
  <c r="CI32" i="7"/>
  <c r="W32" i="7"/>
  <c r="Y32" i="7" s="1"/>
  <c r="N32" i="7"/>
  <c r="C33" i="7"/>
  <c r="BL32" i="7"/>
  <c r="AP32" i="7"/>
  <c r="T32" i="7"/>
  <c r="V32" i="7" s="1"/>
  <c r="C388" i="7"/>
  <c r="C82" i="7"/>
  <c r="CK81" i="7"/>
  <c r="AP81" i="7"/>
  <c r="AK81" i="7"/>
  <c r="T81" i="7"/>
  <c r="V81" i="7" s="1"/>
  <c r="BO81" i="7"/>
  <c r="BJ81" i="7"/>
  <c r="AS81" i="7"/>
  <c r="AU81" i="7" s="1"/>
  <c r="W81" i="7"/>
  <c r="Y81" i="7" s="1"/>
  <c r="N81" i="7"/>
  <c r="CN81" i="7"/>
  <c r="CI81" i="7"/>
  <c r="BR81" i="7"/>
  <c r="BT81" i="7" s="1"/>
  <c r="AM81" i="7"/>
  <c r="CQ81" i="7"/>
  <c r="CS81" i="7" s="1"/>
  <c r="L81" i="7"/>
  <c r="Q81" i="7"/>
  <c r="BL81" i="7"/>
  <c r="BU95" i="7"/>
  <c r="BW95" i="7" s="1"/>
  <c r="BA96" i="7"/>
  <c r="BU96" i="7" s="1"/>
  <c r="BW96" i="7" s="1"/>
  <c r="C53" i="7"/>
  <c r="CK52" i="7"/>
  <c r="AP52" i="7"/>
  <c r="AK52" i="7"/>
  <c r="T52" i="7"/>
  <c r="V52" i="7" s="1"/>
  <c r="BO52" i="7"/>
  <c r="BJ52" i="7"/>
  <c r="AS52" i="7"/>
  <c r="AU52" i="7" s="1"/>
  <c r="W52" i="7"/>
  <c r="Y52" i="7" s="1"/>
  <c r="N52" i="7"/>
  <c r="CN52" i="7"/>
  <c r="CI52" i="7"/>
  <c r="BR52" i="7"/>
  <c r="BT52" i="7" s="1"/>
  <c r="AM52" i="7"/>
  <c r="Q52" i="7"/>
  <c r="BL52" i="7"/>
  <c r="CQ52" i="7"/>
  <c r="CS52" i="7" s="1"/>
  <c r="L52" i="7"/>
  <c r="BO10" i="7"/>
  <c r="BJ10" i="7"/>
  <c r="AS10" i="7"/>
  <c r="AU10" i="7" s="1"/>
  <c r="W10" i="7"/>
  <c r="Y10" i="7" s="1"/>
  <c r="N10" i="7"/>
  <c r="CN10" i="7"/>
  <c r="CI10" i="7"/>
  <c r="BR10" i="7"/>
  <c r="BT10" i="7" s="1"/>
  <c r="AM10" i="7"/>
  <c r="AK10" i="7"/>
  <c r="T10" i="7"/>
  <c r="V10" i="7" s="1"/>
  <c r="CQ10" i="7"/>
  <c r="CS10" i="7" s="1"/>
  <c r="BL10" i="7"/>
  <c r="Q10" i="7"/>
  <c r="L10" i="7"/>
  <c r="C11" i="7"/>
  <c r="CK10" i="7"/>
  <c r="AP10" i="7"/>
  <c r="BU38" i="7"/>
  <c r="BW38" i="7" s="1"/>
  <c r="BA39" i="7"/>
  <c r="BI11" i="7"/>
  <c r="BZ95" i="7"/>
  <c r="CT94" i="7"/>
  <c r="CV94" i="7" s="1"/>
  <c r="AV50" i="1"/>
  <c r="AX50" i="1" s="1"/>
  <c r="AB58" i="1"/>
  <c r="AB80" i="1"/>
  <c r="AV80" i="1" s="1"/>
  <c r="AX80" i="1" s="1"/>
  <c r="AV78" i="1"/>
  <c r="AX78" i="1" s="1"/>
  <c r="AB121" i="1"/>
  <c r="AV121" i="1" s="1"/>
  <c r="AX121" i="1" s="1"/>
  <c r="AV127" i="1"/>
  <c r="AX127" i="1" s="1"/>
  <c r="AB128" i="1"/>
  <c r="AB115" i="1"/>
  <c r="AV114" i="1"/>
  <c r="AX114" i="1" s="1"/>
  <c r="AB65" i="1"/>
  <c r="AV64" i="1"/>
  <c r="AX64" i="1" s="1"/>
  <c r="AQ7" i="1"/>
  <c r="AL7" i="1"/>
  <c r="AE7" i="1"/>
  <c r="AD8" i="1" s="1"/>
  <c r="AT38" i="1"/>
  <c r="AB31" i="1"/>
  <c r="AV30" i="1"/>
  <c r="AX30" i="1" s="1"/>
  <c r="AT108" i="1"/>
  <c r="AB86" i="1"/>
  <c r="AV85" i="1"/>
  <c r="AX85" i="1" s="1"/>
  <c r="AB72" i="1"/>
  <c r="AV71" i="1"/>
  <c r="AX71" i="1" s="1"/>
  <c r="AB81" i="1"/>
  <c r="AB24" i="1"/>
  <c r="AV23" i="1"/>
  <c r="AX23" i="1" s="1"/>
  <c r="AB16" i="1"/>
  <c r="AV15" i="1"/>
  <c r="AX15" i="1" s="1"/>
  <c r="AT88" i="1"/>
  <c r="AT46" i="1"/>
  <c r="AT54" i="1"/>
  <c r="AT151" i="1" s="1"/>
  <c r="K208" i="1" s="1"/>
  <c r="AB38" i="1"/>
  <c r="AV37" i="1"/>
  <c r="AX37" i="1" s="1"/>
  <c r="AB136" i="1"/>
  <c r="AV135" i="1"/>
  <c r="AX135" i="1" s="1"/>
  <c r="AB101" i="1"/>
  <c r="AV100" i="1"/>
  <c r="AX100" i="1" s="1"/>
  <c r="AB45" i="1"/>
  <c r="AV44" i="1"/>
  <c r="AX44" i="1" s="1"/>
  <c r="AT32" i="1"/>
  <c r="AT66" i="1"/>
  <c r="AJ8" i="1"/>
  <c r="AN7" i="1"/>
  <c r="AT131" i="1"/>
  <c r="AT162" i="1" s="1"/>
  <c r="V208" i="1" s="1"/>
  <c r="AB107" i="1"/>
  <c r="AV106" i="1"/>
  <c r="AX106" i="1" s="1"/>
  <c r="AT116" i="1"/>
  <c r="AB59" i="1"/>
  <c r="AV58" i="1"/>
  <c r="AX58" i="1" s="1"/>
  <c r="AT74" i="1"/>
  <c r="AV93" i="1"/>
  <c r="AX93" i="1" s="1"/>
  <c r="AB94" i="1"/>
  <c r="AB53" i="1"/>
  <c r="AV52" i="1"/>
  <c r="AX52" i="1" s="1"/>
  <c r="AT60" i="1"/>
  <c r="AT26" i="1"/>
  <c r="AT147" i="1" s="1"/>
  <c r="G208" i="1" s="1"/>
  <c r="AT12" i="1"/>
  <c r="AT145" i="1" s="1"/>
  <c r="AB10" i="1"/>
  <c r="AV9" i="1"/>
  <c r="AX9" i="1" s="1"/>
  <c r="DK85" i="9" l="1"/>
  <c r="DG86" i="9"/>
  <c r="DN85" i="9"/>
  <c r="DO85" i="9" s="1"/>
  <c r="DI85" i="9"/>
  <c r="DB85" i="9"/>
  <c r="DA86" i="9" s="1"/>
  <c r="CO86" i="9"/>
  <c r="CP86" i="9" s="1"/>
  <c r="CC86" i="9"/>
  <c r="CB87" i="9" s="1"/>
  <c r="CJ86" i="9"/>
  <c r="CL86" i="9"/>
  <c r="CH87" i="9"/>
  <c r="BI87" i="9"/>
  <c r="BM87" i="9" s="1"/>
  <c r="BP85" i="9"/>
  <c r="BQ85" i="9" s="1"/>
  <c r="BD85" i="9"/>
  <c r="BC86" i="9" s="1"/>
  <c r="BK85" i="9"/>
  <c r="AR85" i="9"/>
  <c r="AQ85" i="9"/>
  <c r="AE85" i="9"/>
  <c r="AD86" i="9" s="1"/>
  <c r="AL85" i="9"/>
  <c r="AJ86" i="9"/>
  <c r="AN85" i="9"/>
  <c r="BQ154" i="9"/>
  <c r="N231" i="9" s="1"/>
  <c r="S154" i="9"/>
  <c r="N183" i="9" s="1"/>
  <c r="AD155" i="9"/>
  <c r="O334" i="9"/>
  <c r="K85" i="9"/>
  <c r="O84" i="9"/>
  <c r="DA155" i="9"/>
  <c r="O265" i="9" s="1"/>
  <c r="CB155" i="9"/>
  <c r="O241" i="9" s="1"/>
  <c r="N266" i="9"/>
  <c r="BD154" i="9"/>
  <c r="N218" i="9" s="1"/>
  <c r="F154" i="9"/>
  <c r="N170" i="9" s="1"/>
  <c r="BR88" i="7"/>
  <c r="BT88" i="7" s="1"/>
  <c r="L88" i="7"/>
  <c r="BO88" i="7"/>
  <c r="T88" i="7"/>
  <c r="V88" i="7" s="1"/>
  <c r="DH88" i="7"/>
  <c r="GM88" i="7"/>
  <c r="GO88" i="7" s="1"/>
  <c r="Q88" i="7"/>
  <c r="AK88" i="7"/>
  <c r="CN88" i="7"/>
  <c r="EO88" i="7"/>
  <c r="EQ88" i="7" s="1"/>
  <c r="HF88" i="7"/>
  <c r="AP88" i="7"/>
  <c r="N88" i="7"/>
  <c r="C89" i="7"/>
  <c r="CI88" i="7"/>
  <c r="EI88" i="7"/>
  <c r="HD88" i="7"/>
  <c r="HI88" i="7"/>
  <c r="EG102" i="7"/>
  <c r="FK102" i="7"/>
  <c r="HL102" i="7"/>
  <c r="HN102" i="7" s="1"/>
  <c r="AM39" i="7"/>
  <c r="BR67" i="7"/>
  <c r="BT67" i="7" s="1"/>
  <c r="BJ67" i="7"/>
  <c r="T102" i="7"/>
  <c r="V102" i="7" s="1"/>
  <c r="AM102" i="7"/>
  <c r="BO102" i="7"/>
  <c r="CN89" i="7"/>
  <c r="AP89" i="7"/>
  <c r="DP102" i="7"/>
  <c r="DR102" i="7" s="1"/>
  <c r="DM102" i="7"/>
  <c r="HF102" i="7"/>
  <c r="BL67" i="7"/>
  <c r="T67" i="7"/>
  <c r="V67" i="7" s="1"/>
  <c r="L89" i="7"/>
  <c r="W89" i="7"/>
  <c r="Y89" i="7" s="1"/>
  <c r="EO102" i="7"/>
  <c r="EQ102" i="7" s="1"/>
  <c r="FN102" i="7"/>
  <c r="FP102" i="7" s="1"/>
  <c r="DP88" i="7"/>
  <c r="DR88" i="7" s="1"/>
  <c r="EL88" i="7"/>
  <c r="FK88" i="7"/>
  <c r="EG88" i="7"/>
  <c r="GE88" i="7"/>
  <c r="AP102" i="7"/>
  <c r="CI102" i="7"/>
  <c r="CQ67" i="7"/>
  <c r="CS67" i="7" s="1"/>
  <c r="AP67" i="7"/>
  <c r="L102" i="7"/>
  <c r="N102" i="7"/>
  <c r="BL89" i="7"/>
  <c r="BJ89" i="7"/>
  <c r="DJ102" i="7"/>
  <c r="HD102" i="7"/>
  <c r="FF88" i="7"/>
  <c r="FH88" i="7"/>
  <c r="GJ88" i="7"/>
  <c r="FN88" i="7"/>
  <c r="FP88" i="7" s="1"/>
  <c r="AK39" i="7"/>
  <c r="Q67" i="7"/>
  <c r="L67" i="7"/>
  <c r="N67" i="7"/>
  <c r="BO67" i="7"/>
  <c r="CK67" i="7"/>
  <c r="AK102" i="7"/>
  <c r="Q102" i="7"/>
  <c r="BR102" i="7"/>
  <c r="BT102" i="7" s="1"/>
  <c r="W102" i="7"/>
  <c r="Y102" i="7" s="1"/>
  <c r="Q89" i="7"/>
  <c r="AM89" i="7"/>
  <c r="N89" i="7"/>
  <c r="BO89" i="7"/>
  <c r="CK89" i="7"/>
  <c r="AS39" i="7"/>
  <c r="AU39" i="7" s="1"/>
  <c r="DH102" i="7"/>
  <c r="FH102" i="7"/>
  <c r="GE102" i="7"/>
  <c r="GG102" i="7"/>
  <c r="GM102" i="7"/>
  <c r="GO102" i="7" s="1"/>
  <c r="AM67" i="7"/>
  <c r="CN67" i="7"/>
  <c r="AS67" i="7"/>
  <c r="AU67" i="7" s="1"/>
  <c r="CK102" i="7"/>
  <c r="C103" i="7"/>
  <c r="GE103" i="7" s="1"/>
  <c r="CQ102" i="7"/>
  <c r="CS102" i="7" s="1"/>
  <c r="CN102" i="7"/>
  <c r="BJ102" i="7"/>
  <c r="CQ89" i="7"/>
  <c r="CS89" i="7" s="1"/>
  <c r="CI89" i="7"/>
  <c r="AS89" i="7"/>
  <c r="AU89" i="7" s="1"/>
  <c r="CI39" i="7"/>
  <c r="FF102" i="7"/>
  <c r="EI102" i="7"/>
  <c r="EL102" i="7"/>
  <c r="GJ102" i="7"/>
  <c r="BL88" i="7"/>
  <c r="BJ88" i="7"/>
  <c r="GG103" i="7"/>
  <c r="FK103" i="7"/>
  <c r="EG103" i="7"/>
  <c r="FF103" i="7"/>
  <c r="DP103" i="7"/>
  <c r="DR103" i="7" s="1"/>
  <c r="HI123" i="7"/>
  <c r="HF123" i="7"/>
  <c r="HD123" i="7"/>
  <c r="GJ123" i="7"/>
  <c r="HL123" i="7"/>
  <c r="HN123" i="7" s="1"/>
  <c r="GG123" i="7"/>
  <c r="GE123" i="7"/>
  <c r="FH123" i="7"/>
  <c r="EO123" i="7"/>
  <c r="EQ123" i="7" s="1"/>
  <c r="DH123" i="7"/>
  <c r="FF123" i="7"/>
  <c r="EL123" i="7"/>
  <c r="DP123" i="7"/>
  <c r="DR123" i="7" s="1"/>
  <c r="FN123" i="7"/>
  <c r="FP123" i="7" s="1"/>
  <c r="GM123" i="7"/>
  <c r="GO123" i="7" s="1"/>
  <c r="DM123" i="7"/>
  <c r="EI123" i="7"/>
  <c r="DJ123" i="7"/>
  <c r="EG123" i="7"/>
  <c r="FK123" i="7"/>
  <c r="HF137" i="7"/>
  <c r="HD137" i="7"/>
  <c r="HL137" i="7"/>
  <c r="HN137" i="7" s="1"/>
  <c r="GJ137" i="7"/>
  <c r="GG137" i="7"/>
  <c r="HI137" i="7"/>
  <c r="GE137" i="7"/>
  <c r="FN137" i="7"/>
  <c r="FP137" i="7" s="1"/>
  <c r="EL137" i="7"/>
  <c r="DM137" i="7"/>
  <c r="GM137" i="7"/>
  <c r="GO137" i="7" s="1"/>
  <c r="FK137" i="7"/>
  <c r="EI137" i="7"/>
  <c r="DJ137" i="7"/>
  <c r="FH137" i="7"/>
  <c r="DP137" i="7"/>
  <c r="DR137" i="7" s="1"/>
  <c r="EG137" i="7"/>
  <c r="EO137" i="7"/>
  <c r="EQ137" i="7" s="1"/>
  <c r="DH137" i="7"/>
  <c r="FF137" i="7"/>
  <c r="HD130" i="7"/>
  <c r="HL130" i="7"/>
  <c r="HN130" i="7" s="1"/>
  <c r="HI130" i="7"/>
  <c r="HF130" i="7"/>
  <c r="GG130" i="7"/>
  <c r="GE130" i="7"/>
  <c r="GM130" i="7"/>
  <c r="GO130" i="7" s="1"/>
  <c r="FK130" i="7"/>
  <c r="EI130" i="7"/>
  <c r="DM130" i="7"/>
  <c r="GJ130" i="7"/>
  <c r="FH130" i="7"/>
  <c r="EG130" i="7"/>
  <c r="DJ130" i="7"/>
  <c r="FF130" i="7"/>
  <c r="FN130" i="7"/>
  <c r="FP130" i="7" s="1"/>
  <c r="EL130" i="7"/>
  <c r="EO130" i="7"/>
  <c r="EQ130" i="7" s="1"/>
  <c r="DP130" i="7"/>
  <c r="DR130" i="7" s="1"/>
  <c r="DH130" i="7"/>
  <c r="HD67" i="7"/>
  <c r="HL67" i="7"/>
  <c r="HN67" i="7" s="1"/>
  <c r="GM67" i="7"/>
  <c r="GO67" i="7" s="1"/>
  <c r="HI67" i="7"/>
  <c r="GJ67" i="7"/>
  <c r="HF67" i="7"/>
  <c r="GE67" i="7"/>
  <c r="FF67" i="7"/>
  <c r="EG67" i="7"/>
  <c r="FN67" i="7"/>
  <c r="FP67" i="7" s="1"/>
  <c r="EO67" i="7"/>
  <c r="EQ67" i="7" s="1"/>
  <c r="FK67" i="7"/>
  <c r="GG67" i="7"/>
  <c r="FH67" i="7"/>
  <c r="EI67" i="7"/>
  <c r="DM67" i="7"/>
  <c r="DJ67" i="7"/>
  <c r="DH67" i="7"/>
  <c r="EL67" i="7"/>
  <c r="DP67" i="7"/>
  <c r="DR67" i="7" s="1"/>
  <c r="S10" i="7"/>
  <c r="HI89" i="7"/>
  <c r="HF89" i="7"/>
  <c r="HD89" i="7"/>
  <c r="GE89" i="7"/>
  <c r="GM89" i="7"/>
  <c r="GO89" i="7" s="1"/>
  <c r="GJ89" i="7"/>
  <c r="FK89" i="7"/>
  <c r="EO89" i="7"/>
  <c r="EQ89" i="7" s="1"/>
  <c r="DH89" i="7"/>
  <c r="FH89" i="7"/>
  <c r="EL89" i="7"/>
  <c r="DP89" i="7"/>
  <c r="DR89" i="7" s="1"/>
  <c r="FF89" i="7"/>
  <c r="GG89" i="7"/>
  <c r="FN89" i="7"/>
  <c r="FP89" i="7" s="1"/>
  <c r="DM89" i="7"/>
  <c r="HL89" i="7"/>
  <c r="HN89" i="7" s="1"/>
  <c r="EI89" i="7"/>
  <c r="DJ89" i="7"/>
  <c r="EG89" i="7"/>
  <c r="HF33" i="7"/>
  <c r="HD33" i="7"/>
  <c r="HL33" i="7"/>
  <c r="HN33" i="7" s="1"/>
  <c r="GJ33" i="7"/>
  <c r="FF33" i="7"/>
  <c r="EG33" i="7"/>
  <c r="GG33" i="7"/>
  <c r="FN33" i="7"/>
  <c r="FP33" i="7" s="1"/>
  <c r="EO33" i="7"/>
  <c r="EQ33" i="7" s="1"/>
  <c r="GE33" i="7"/>
  <c r="EL33" i="7"/>
  <c r="DH33" i="7"/>
  <c r="DM33" i="7"/>
  <c r="GM33" i="7"/>
  <c r="GO33" i="7" s="1"/>
  <c r="FK33" i="7"/>
  <c r="EI33" i="7"/>
  <c r="DP33" i="7"/>
  <c r="DR33" i="7" s="1"/>
  <c r="HI33" i="7"/>
  <c r="FH33" i="7"/>
  <c r="DJ33" i="7"/>
  <c r="HL109" i="7"/>
  <c r="HN109" i="7" s="1"/>
  <c r="HI109" i="7"/>
  <c r="HF109" i="7"/>
  <c r="GJ109" i="7"/>
  <c r="HD109" i="7"/>
  <c r="GG109" i="7"/>
  <c r="GE109" i="7"/>
  <c r="FF109" i="7"/>
  <c r="EL109" i="7"/>
  <c r="DJ109" i="7"/>
  <c r="GM109" i="7"/>
  <c r="GO109" i="7" s="1"/>
  <c r="FN109" i="7"/>
  <c r="FP109" i="7" s="1"/>
  <c r="EI109" i="7"/>
  <c r="DH109" i="7"/>
  <c r="FK109" i="7"/>
  <c r="FH109" i="7"/>
  <c r="DM109" i="7"/>
  <c r="EO109" i="7"/>
  <c r="EQ109" i="7" s="1"/>
  <c r="DP109" i="7"/>
  <c r="DR109" i="7" s="1"/>
  <c r="EG109" i="7"/>
  <c r="HF11" i="7"/>
  <c r="HD11" i="7"/>
  <c r="HL11" i="7"/>
  <c r="HN11" i="7" s="1"/>
  <c r="HI11" i="7"/>
  <c r="GM11" i="7"/>
  <c r="GO11" i="7" s="1"/>
  <c r="FF11" i="7"/>
  <c r="EO11" i="7"/>
  <c r="EQ11" i="7" s="1"/>
  <c r="GJ11" i="7"/>
  <c r="FN11" i="7"/>
  <c r="FP11" i="7" s="1"/>
  <c r="EL11" i="7"/>
  <c r="GG11" i="7"/>
  <c r="EG11" i="7"/>
  <c r="DJ11" i="7"/>
  <c r="FK11" i="7"/>
  <c r="EI11" i="7"/>
  <c r="DM11" i="7"/>
  <c r="DH11" i="7"/>
  <c r="GE11" i="7"/>
  <c r="DP11" i="7"/>
  <c r="DR11" i="7" s="1"/>
  <c r="FH11" i="7"/>
  <c r="HL117" i="7"/>
  <c r="HN117" i="7" s="1"/>
  <c r="HI117" i="7"/>
  <c r="HF117" i="7"/>
  <c r="GM117" i="7"/>
  <c r="GO117" i="7" s="1"/>
  <c r="GJ117" i="7"/>
  <c r="GG117" i="7"/>
  <c r="HD117" i="7"/>
  <c r="FK117" i="7"/>
  <c r="EL117" i="7"/>
  <c r="DJ117" i="7"/>
  <c r="FH117" i="7"/>
  <c r="EI117" i="7"/>
  <c r="DH117" i="7"/>
  <c r="GE117" i="7"/>
  <c r="FF117" i="7"/>
  <c r="EG117" i="7"/>
  <c r="DP117" i="7"/>
  <c r="DR117" i="7" s="1"/>
  <c r="DM117" i="7"/>
  <c r="FN117" i="7"/>
  <c r="FP117" i="7" s="1"/>
  <c r="EO117" i="7"/>
  <c r="EQ117" i="7" s="1"/>
  <c r="HF74" i="7"/>
  <c r="HD74" i="7"/>
  <c r="GJ74" i="7"/>
  <c r="GG74" i="7"/>
  <c r="HL74" i="7"/>
  <c r="HN74" i="7" s="1"/>
  <c r="GM74" i="7"/>
  <c r="GO74" i="7" s="1"/>
  <c r="FH74" i="7"/>
  <c r="EL74" i="7"/>
  <c r="HI74" i="7"/>
  <c r="GE74" i="7"/>
  <c r="FF74" i="7"/>
  <c r="EI74" i="7"/>
  <c r="FN74" i="7"/>
  <c r="FP74" i="7" s="1"/>
  <c r="EO74" i="7"/>
  <c r="EQ74" i="7" s="1"/>
  <c r="DM74" i="7"/>
  <c r="DH74" i="7"/>
  <c r="FK74" i="7"/>
  <c r="EG74" i="7"/>
  <c r="DJ74" i="7"/>
  <c r="DP74" i="7"/>
  <c r="DR74" i="7" s="1"/>
  <c r="HF95" i="7"/>
  <c r="HD95" i="7"/>
  <c r="HI95" i="7"/>
  <c r="GJ95" i="7"/>
  <c r="GG95" i="7"/>
  <c r="GE95" i="7"/>
  <c r="FN95" i="7"/>
  <c r="FP95" i="7" s="1"/>
  <c r="EI95" i="7"/>
  <c r="DM95" i="7"/>
  <c r="HL95" i="7"/>
  <c r="HN95" i="7" s="1"/>
  <c r="FK95" i="7"/>
  <c r="EG95" i="7"/>
  <c r="DJ95" i="7"/>
  <c r="GM95" i="7"/>
  <c r="GO95" i="7" s="1"/>
  <c r="FH95" i="7"/>
  <c r="EL95" i="7"/>
  <c r="DH95" i="7"/>
  <c r="EO95" i="7"/>
  <c r="EQ95" i="7" s="1"/>
  <c r="DP95" i="7"/>
  <c r="DR95" i="7" s="1"/>
  <c r="FF95" i="7"/>
  <c r="HI18" i="7"/>
  <c r="HF18" i="7"/>
  <c r="HD18" i="7"/>
  <c r="HL18" i="7"/>
  <c r="HN18" i="7" s="1"/>
  <c r="GG18" i="7"/>
  <c r="FK18" i="7"/>
  <c r="EI18" i="7"/>
  <c r="GE18" i="7"/>
  <c r="FH18" i="7"/>
  <c r="EG18" i="7"/>
  <c r="GM18" i="7"/>
  <c r="GO18" i="7" s="1"/>
  <c r="GJ18" i="7"/>
  <c r="EO18" i="7"/>
  <c r="EQ18" i="7" s="1"/>
  <c r="DP18" i="7"/>
  <c r="DR18" i="7" s="1"/>
  <c r="DJ18" i="7"/>
  <c r="DH18" i="7"/>
  <c r="EL18" i="7"/>
  <c r="DM18" i="7"/>
  <c r="FN18" i="7"/>
  <c r="FP18" i="7" s="1"/>
  <c r="FF18" i="7"/>
  <c r="HD53" i="7"/>
  <c r="GG53" i="7"/>
  <c r="HL53" i="7"/>
  <c r="HN53" i="7" s="1"/>
  <c r="GE53" i="7"/>
  <c r="HI53" i="7"/>
  <c r="HF53" i="7"/>
  <c r="GJ53" i="7"/>
  <c r="FK53" i="7"/>
  <c r="EG53" i="7"/>
  <c r="FH53" i="7"/>
  <c r="EO53" i="7"/>
  <c r="EQ53" i="7" s="1"/>
  <c r="GM53" i="7"/>
  <c r="GO53" i="7" s="1"/>
  <c r="FF53" i="7"/>
  <c r="EL53" i="7"/>
  <c r="DP53" i="7"/>
  <c r="DR53" i="7" s="1"/>
  <c r="DJ53" i="7"/>
  <c r="DH53" i="7"/>
  <c r="EI53" i="7"/>
  <c r="DM53" i="7"/>
  <c r="FN53" i="7"/>
  <c r="FP53" i="7" s="1"/>
  <c r="HI82" i="7"/>
  <c r="HF82" i="7"/>
  <c r="HL82" i="7"/>
  <c r="HN82" i="7" s="1"/>
  <c r="GG82" i="7"/>
  <c r="HD82" i="7"/>
  <c r="GE82" i="7"/>
  <c r="GM82" i="7"/>
  <c r="GO82" i="7" s="1"/>
  <c r="FH82" i="7"/>
  <c r="EI82" i="7"/>
  <c r="DM82" i="7"/>
  <c r="GJ82" i="7"/>
  <c r="FF82" i="7"/>
  <c r="EG82" i="7"/>
  <c r="DJ82" i="7"/>
  <c r="FN82" i="7"/>
  <c r="FP82" i="7" s="1"/>
  <c r="EL82" i="7"/>
  <c r="DH82" i="7"/>
  <c r="EO82" i="7"/>
  <c r="EQ82" i="7" s="1"/>
  <c r="DP82" i="7"/>
  <c r="DR82" i="7" s="1"/>
  <c r="FK82" i="7"/>
  <c r="HL68" i="7"/>
  <c r="HN68" i="7" s="1"/>
  <c r="HI68" i="7"/>
  <c r="GJ68" i="7"/>
  <c r="GG68" i="7"/>
  <c r="HF68" i="7"/>
  <c r="HD68" i="7"/>
  <c r="GM68" i="7"/>
  <c r="GO68" i="7" s="1"/>
  <c r="FN68" i="7"/>
  <c r="FP68" i="7" s="1"/>
  <c r="EL68" i="7"/>
  <c r="GE68" i="7"/>
  <c r="FK68" i="7"/>
  <c r="EI68" i="7"/>
  <c r="FH68" i="7"/>
  <c r="EO68" i="7"/>
  <c r="EQ68" i="7" s="1"/>
  <c r="DJ68" i="7"/>
  <c r="DP68" i="7"/>
  <c r="DR68" i="7" s="1"/>
  <c r="EG68" i="7"/>
  <c r="DH68" i="7"/>
  <c r="FF68" i="7"/>
  <c r="DM68" i="7"/>
  <c r="HI25" i="7"/>
  <c r="HF25" i="7"/>
  <c r="HD25" i="7"/>
  <c r="GJ25" i="7"/>
  <c r="FH25" i="7"/>
  <c r="EG25" i="7"/>
  <c r="HL25" i="7"/>
  <c r="HN25" i="7" s="1"/>
  <c r="GG25" i="7"/>
  <c r="FF25" i="7"/>
  <c r="EO25" i="7"/>
  <c r="EQ25" i="7" s="1"/>
  <c r="GE25" i="7"/>
  <c r="FN25" i="7"/>
  <c r="FP25" i="7" s="1"/>
  <c r="DM25" i="7"/>
  <c r="EL25" i="7"/>
  <c r="DP25" i="7"/>
  <c r="DR25" i="7" s="1"/>
  <c r="GM25" i="7"/>
  <c r="GO25" i="7" s="1"/>
  <c r="FK25" i="7"/>
  <c r="DJ25" i="7"/>
  <c r="DH25" i="7"/>
  <c r="EI25" i="7"/>
  <c r="HF61" i="7"/>
  <c r="HD61" i="7"/>
  <c r="HL61" i="7"/>
  <c r="HN61" i="7" s="1"/>
  <c r="GE61" i="7"/>
  <c r="HI61" i="7"/>
  <c r="GM61" i="7"/>
  <c r="GO61" i="7" s="1"/>
  <c r="GG61" i="7"/>
  <c r="FF61" i="7"/>
  <c r="EG61" i="7"/>
  <c r="FN61" i="7"/>
  <c r="FP61" i="7" s="1"/>
  <c r="EO61" i="7"/>
  <c r="EQ61" i="7" s="1"/>
  <c r="FK61" i="7"/>
  <c r="EL61" i="7"/>
  <c r="DP61" i="7"/>
  <c r="DR61" i="7" s="1"/>
  <c r="EI61" i="7"/>
  <c r="DM61" i="7"/>
  <c r="FH61" i="7"/>
  <c r="DJ61" i="7"/>
  <c r="GJ61" i="7"/>
  <c r="DH61" i="7"/>
  <c r="HF47" i="7"/>
  <c r="GM47" i="7"/>
  <c r="GO47" i="7" s="1"/>
  <c r="HD47" i="7"/>
  <c r="GJ47" i="7"/>
  <c r="HL47" i="7"/>
  <c r="HN47" i="7" s="1"/>
  <c r="GG47" i="7"/>
  <c r="FH47" i="7"/>
  <c r="EG47" i="7"/>
  <c r="GE47" i="7"/>
  <c r="FF47" i="7"/>
  <c r="EO47" i="7"/>
  <c r="EQ47" i="7" s="1"/>
  <c r="HI47" i="7"/>
  <c r="EI47" i="7"/>
  <c r="DM47" i="7"/>
  <c r="FK47" i="7"/>
  <c r="EL47" i="7"/>
  <c r="DP47" i="7"/>
  <c r="DR47" i="7" s="1"/>
  <c r="FN47" i="7"/>
  <c r="FP47" i="7" s="1"/>
  <c r="DJ47" i="7"/>
  <c r="DH47" i="7"/>
  <c r="HL39" i="7"/>
  <c r="HN39" i="7" s="1"/>
  <c r="HI39" i="7"/>
  <c r="HF39" i="7"/>
  <c r="GM39" i="7"/>
  <c r="GO39" i="7" s="1"/>
  <c r="FK39" i="7"/>
  <c r="EG39" i="7"/>
  <c r="GJ39" i="7"/>
  <c r="FH39" i="7"/>
  <c r="EO39" i="7"/>
  <c r="EQ39" i="7" s="1"/>
  <c r="HD39" i="7"/>
  <c r="GG39" i="7"/>
  <c r="FN39" i="7"/>
  <c r="FP39" i="7" s="1"/>
  <c r="DP39" i="7"/>
  <c r="DR39" i="7" s="1"/>
  <c r="EI39" i="7"/>
  <c r="DH39" i="7"/>
  <c r="FF39" i="7"/>
  <c r="DM39" i="7"/>
  <c r="DJ39" i="7"/>
  <c r="GE39" i="7"/>
  <c r="EL39" i="7"/>
  <c r="HJ33" i="7"/>
  <c r="HK33" i="7" s="1"/>
  <c r="GX33" i="7"/>
  <c r="GW34" i="7" s="1"/>
  <c r="HE33" i="7"/>
  <c r="HC34" i="7"/>
  <c r="HG33" i="7"/>
  <c r="GK33" i="7"/>
  <c r="GL33" i="7" s="1"/>
  <c r="GF33" i="7"/>
  <c r="FY33" i="7"/>
  <c r="FX34" i="7" s="1"/>
  <c r="GH32" i="7"/>
  <c r="GD33" i="7"/>
  <c r="FL34" i="7"/>
  <c r="FM34" i="7" s="1"/>
  <c r="EZ34" i="7"/>
  <c r="EY35" i="7" s="1"/>
  <c r="FG34" i="7"/>
  <c r="FI33" i="7"/>
  <c r="FE34" i="7"/>
  <c r="EM34" i="7"/>
  <c r="EN34" i="7" s="1"/>
  <c r="EA34" i="7"/>
  <c r="DZ35" i="7" s="1"/>
  <c r="EH34" i="7"/>
  <c r="EF35" i="7"/>
  <c r="EJ34" i="7"/>
  <c r="DN34" i="7"/>
  <c r="DO34" i="7" s="1"/>
  <c r="DB34" i="7"/>
  <c r="DA35" i="7" s="1"/>
  <c r="DI34" i="7"/>
  <c r="DK33" i="7"/>
  <c r="DG34" i="7"/>
  <c r="S147" i="8"/>
  <c r="G183" i="8" s="1"/>
  <c r="DK28" i="8"/>
  <c r="DG29" i="8"/>
  <c r="AD148" i="8"/>
  <c r="AQ27" i="8"/>
  <c r="AR27" i="8" s="1"/>
  <c r="AL27" i="8"/>
  <c r="AE27" i="8"/>
  <c r="AD28" i="8" s="1"/>
  <c r="DA148" i="8"/>
  <c r="H264" i="8" s="1"/>
  <c r="CB148" i="8"/>
  <c r="H241" i="8" s="1"/>
  <c r="CO27" i="8"/>
  <c r="CC27" i="8"/>
  <c r="CB28" i="8" s="1"/>
  <c r="CJ27" i="8"/>
  <c r="CL27" i="8"/>
  <c r="AJ31" i="8"/>
  <c r="AN30" i="8"/>
  <c r="BI30" i="8"/>
  <c r="BM29" i="8"/>
  <c r="G332" i="8"/>
  <c r="G300" i="8"/>
  <c r="G327" i="8" s="1"/>
  <c r="F147" i="8"/>
  <c r="G170" i="8" s="1"/>
  <c r="E27" i="8"/>
  <c r="O28" i="8"/>
  <c r="K29" i="8"/>
  <c r="CH31" i="8"/>
  <c r="BQ147" i="8"/>
  <c r="G231" i="8" s="1"/>
  <c r="BD147" i="8"/>
  <c r="G218" i="8" s="1"/>
  <c r="BC27" i="8"/>
  <c r="DI29" i="8"/>
  <c r="DN29" i="8"/>
  <c r="DO29" i="8" s="1"/>
  <c r="DB29" i="8"/>
  <c r="DA30" i="8" s="1"/>
  <c r="AV138" i="7"/>
  <c r="AX138" i="7" s="1"/>
  <c r="E192" i="7"/>
  <c r="E208" i="1"/>
  <c r="AU145" i="1"/>
  <c r="CN39" i="7"/>
  <c r="BR39" i="7"/>
  <c r="BT39" i="7" s="1"/>
  <c r="BJ39" i="7"/>
  <c r="AP39" i="7"/>
  <c r="Q39" i="7"/>
  <c r="N39" i="7"/>
  <c r="BO39" i="7"/>
  <c r="CK39" i="7"/>
  <c r="AR9" i="7"/>
  <c r="L39" i="7"/>
  <c r="BL39" i="7"/>
  <c r="W39" i="7"/>
  <c r="Y39" i="7" s="1"/>
  <c r="T39" i="7"/>
  <c r="V39" i="7" s="1"/>
  <c r="C40" i="7"/>
  <c r="Q40" i="7" s="1"/>
  <c r="AK130" i="7"/>
  <c r="CN130" i="7"/>
  <c r="CQ130" i="7"/>
  <c r="CS130" i="7" s="1"/>
  <c r="C131" i="7"/>
  <c r="T130" i="7"/>
  <c r="V130" i="7" s="1"/>
  <c r="N130" i="7"/>
  <c r="CI130" i="7"/>
  <c r="BL130" i="7"/>
  <c r="CK130" i="7"/>
  <c r="W130" i="7"/>
  <c r="Y130" i="7" s="1"/>
  <c r="BJ130" i="7"/>
  <c r="L130" i="7"/>
  <c r="BR130" i="7"/>
  <c r="BT130" i="7" s="1"/>
  <c r="Q130" i="7"/>
  <c r="AP130" i="7"/>
  <c r="BO130" i="7"/>
  <c r="AM130" i="7"/>
  <c r="AS130" i="7"/>
  <c r="AU130" i="7" s="1"/>
  <c r="BR74" i="7"/>
  <c r="BT74" i="7" s="1"/>
  <c r="AP74" i="7"/>
  <c r="AM74" i="7"/>
  <c r="L74" i="7"/>
  <c r="AK74" i="7"/>
  <c r="AS74" i="7"/>
  <c r="AU74" i="7" s="1"/>
  <c r="CN74" i="7"/>
  <c r="CQ74" i="7"/>
  <c r="CS74" i="7" s="1"/>
  <c r="C75" i="7"/>
  <c r="T74" i="7"/>
  <c r="V74" i="7" s="1"/>
  <c r="N74" i="7"/>
  <c r="Q74" i="7"/>
  <c r="BJ74" i="7"/>
  <c r="CI74" i="7"/>
  <c r="BL74" i="7"/>
  <c r="CK74" i="7"/>
  <c r="BO74" i="7"/>
  <c r="W74" i="7"/>
  <c r="Y74" i="7" s="1"/>
  <c r="BU74" i="7"/>
  <c r="BW74" i="7" s="1"/>
  <c r="BA75" i="7"/>
  <c r="BU75" i="7" s="1"/>
  <c r="BW75" i="7" s="1"/>
  <c r="C124" i="7"/>
  <c r="CK123" i="7"/>
  <c r="AP123" i="7"/>
  <c r="AK123" i="7"/>
  <c r="W123" i="7"/>
  <c r="Y123" i="7" s="1"/>
  <c r="N123" i="7"/>
  <c r="BO123" i="7"/>
  <c r="BJ123" i="7"/>
  <c r="AS123" i="7"/>
  <c r="AU123" i="7" s="1"/>
  <c r="CN123" i="7"/>
  <c r="CI123" i="7"/>
  <c r="BR123" i="7"/>
  <c r="BT123" i="7" s="1"/>
  <c r="AM123" i="7"/>
  <c r="Q123" i="7"/>
  <c r="L123" i="7"/>
  <c r="CQ123" i="7"/>
  <c r="CS123" i="7" s="1"/>
  <c r="T123" i="7"/>
  <c r="V123" i="7" s="1"/>
  <c r="BL123" i="7"/>
  <c r="AJ10" i="7"/>
  <c r="AN10" i="7" s="1"/>
  <c r="AN9" i="7"/>
  <c r="BZ61" i="7"/>
  <c r="CT61" i="7" s="1"/>
  <c r="CV61" i="7" s="1"/>
  <c r="CT60" i="7"/>
  <c r="CV60" i="7" s="1"/>
  <c r="BA12" i="7"/>
  <c r="BU11" i="7"/>
  <c r="BW11" i="7" s="1"/>
  <c r="BA47" i="7"/>
  <c r="BU47" i="7" s="1"/>
  <c r="BW47" i="7" s="1"/>
  <c r="BU46" i="7"/>
  <c r="BW46" i="7" s="1"/>
  <c r="BK10" i="7"/>
  <c r="BP10" i="7"/>
  <c r="BQ10" i="7" s="1"/>
  <c r="BD10" i="7"/>
  <c r="BI12" i="7"/>
  <c r="CN68" i="7"/>
  <c r="CI68" i="7"/>
  <c r="BR68" i="7"/>
  <c r="BT68" i="7" s="1"/>
  <c r="AM68" i="7"/>
  <c r="CQ68" i="7"/>
  <c r="CS68" i="7" s="1"/>
  <c r="BL68" i="7"/>
  <c r="Q68" i="7"/>
  <c r="L68" i="7"/>
  <c r="AS68" i="7"/>
  <c r="AU68" i="7" s="1"/>
  <c r="BJ68" i="7"/>
  <c r="AP68" i="7"/>
  <c r="W68" i="7"/>
  <c r="Y68" i="7" s="1"/>
  <c r="CK68" i="7"/>
  <c r="T68" i="7"/>
  <c r="V68" i="7" s="1"/>
  <c r="N68" i="7"/>
  <c r="BO68" i="7"/>
  <c r="AK68" i="7"/>
  <c r="AV130" i="7"/>
  <c r="AX130" i="7" s="1"/>
  <c r="AB131" i="7"/>
  <c r="AV131" i="7" s="1"/>
  <c r="AX131" i="7" s="1"/>
  <c r="CH11" i="7"/>
  <c r="CL10" i="7"/>
  <c r="CT81" i="7"/>
  <c r="CV81" i="7" s="1"/>
  <c r="BZ82" i="7"/>
  <c r="CT82" i="7" s="1"/>
  <c r="CV82" i="7" s="1"/>
  <c r="AV88" i="7"/>
  <c r="AX88" i="7" s="1"/>
  <c r="AB89" i="7"/>
  <c r="AV89" i="7" s="1"/>
  <c r="AX89" i="7" s="1"/>
  <c r="CQ109" i="7"/>
  <c r="CS109" i="7" s="1"/>
  <c r="BL109" i="7"/>
  <c r="Q109" i="7"/>
  <c r="L109" i="7"/>
  <c r="C110" i="7"/>
  <c r="CK109" i="7"/>
  <c r="AP109" i="7"/>
  <c r="AK109" i="7"/>
  <c r="T109" i="7"/>
  <c r="V109" i="7" s="1"/>
  <c r="BO109" i="7"/>
  <c r="BJ109" i="7"/>
  <c r="AS109" i="7"/>
  <c r="AU109" i="7" s="1"/>
  <c r="W109" i="7"/>
  <c r="Y109" i="7" s="1"/>
  <c r="N109" i="7"/>
  <c r="CN109" i="7"/>
  <c r="AM109" i="7"/>
  <c r="CI109" i="7"/>
  <c r="BR109" i="7"/>
  <c r="BT109" i="7" s="1"/>
  <c r="BU109" i="7"/>
  <c r="BW109" i="7" s="1"/>
  <c r="BA110" i="7"/>
  <c r="BU110" i="7" s="1"/>
  <c r="BW110" i="7" s="1"/>
  <c r="AV74" i="7"/>
  <c r="AX74" i="7" s="1"/>
  <c r="AB75" i="7"/>
  <c r="AV75" i="7" s="1"/>
  <c r="AX75" i="7" s="1"/>
  <c r="BA40" i="7"/>
  <c r="BU40" i="7" s="1"/>
  <c r="BW40" i="7" s="1"/>
  <c r="BU39" i="7"/>
  <c r="BW39" i="7" s="1"/>
  <c r="BO11" i="7"/>
  <c r="BJ11" i="7"/>
  <c r="AS11" i="7"/>
  <c r="AU11" i="7" s="1"/>
  <c r="W11" i="7"/>
  <c r="Y11" i="7" s="1"/>
  <c r="N11" i="7"/>
  <c r="CN11" i="7"/>
  <c r="CI11" i="7"/>
  <c r="BR11" i="7"/>
  <c r="BT11" i="7" s="1"/>
  <c r="AM11" i="7"/>
  <c r="C12" i="7"/>
  <c r="CK11" i="7"/>
  <c r="AK11" i="7"/>
  <c r="T11" i="7"/>
  <c r="V11" i="7" s="1"/>
  <c r="CQ11" i="7"/>
  <c r="CS11" i="7" s="1"/>
  <c r="BL11" i="7"/>
  <c r="Q11" i="7"/>
  <c r="L11" i="7"/>
  <c r="AP11" i="7"/>
  <c r="AV53" i="7"/>
  <c r="AX53" i="7" s="1"/>
  <c r="AB54" i="7"/>
  <c r="AV54" i="7" s="1"/>
  <c r="AX54" i="7" s="1"/>
  <c r="BL103" i="7"/>
  <c r="L103" i="7"/>
  <c r="AP103" i="7"/>
  <c r="T103" i="7"/>
  <c r="V103" i="7" s="1"/>
  <c r="BJ103" i="7"/>
  <c r="W103" i="7"/>
  <c r="Y103" i="7" s="1"/>
  <c r="CN103" i="7"/>
  <c r="CI103" i="7"/>
  <c r="CQ95" i="7"/>
  <c r="CS95" i="7" s="1"/>
  <c r="BL95" i="7"/>
  <c r="Q95" i="7"/>
  <c r="L95" i="7"/>
  <c r="C96" i="7"/>
  <c r="CK95" i="7"/>
  <c r="AP95" i="7"/>
  <c r="AK95" i="7"/>
  <c r="T95" i="7"/>
  <c r="V95" i="7" s="1"/>
  <c r="BO95" i="7"/>
  <c r="BJ95" i="7"/>
  <c r="CN95" i="7"/>
  <c r="AM95" i="7"/>
  <c r="CI95" i="7"/>
  <c r="BR95" i="7"/>
  <c r="BT95" i="7" s="1"/>
  <c r="AS95" i="7"/>
  <c r="AU95" i="7" s="1"/>
  <c r="W95" i="7"/>
  <c r="Y95" i="7" s="1"/>
  <c r="N95" i="7"/>
  <c r="BO18" i="7"/>
  <c r="BJ18" i="7"/>
  <c r="AS18" i="7"/>
  <c r="AU18" i="7" s="1"/>
  <c r="W18" i="7"/>
  <c r="Y18" i="7" s="1"/>
  <c r="N18" i="7"/>
  <c r="T18" i="7"/>
  <c r="V18" i="7" s="1"/>
  <c r="CN18" i="7"/>
  <c r="CI18" i="7"/>
  <c r="BR18" i="7"/>
  <c r="BT18" i="7" s="1"/>
  <c r="AM18" i="7"/>
  <c r="CK18" i="7"/>
  <c r="AK18" i="7"/>
  <c r="CQ18" i="7"/>
  <c r="CS18" i="7" s="1"/>
  <c r="BL18" i="7"/>
  <c r="Q18" i="7"/>
  <c r="L18" i="7"/>
  <c r="C19" i="7"/>
  <c r="AP18" i="7"/>
  <c r="CT67" i="7"/>
  <c r="CV67" i="7" s="1"/>
  <c r="BZ68" i="7"/>
  <c r="CT68" i="7" s="1"/>
  <c r="CV68" i="7" s="1"/>
  <c r="BZ33" i="7"/>
  <c r="CT32" i="7"/>
  <c r="CV32" i="7" s="1"/>
  <c r="AB12" i="7"/>
  <c r="AV11" i="7"/>
  <c r="AX11" i="7" s="1"/>
  <c r="R11" i="7"/>
  <c r="F11" i="7"/>
  <c r="M11" i="7"/>
  <c r="CT95" i="7"/>
  <c r="CV95" i="7" s="1"/>
  <c r="BZ96" i="7"/>
  <c r="CT96" i="7" s="1"/>
  <c r="CV96" i="7" s="1"/>
  <c r="CN53" i="7"/>
  <c r="CI53" i="7"/>
  <c r="BR53" i="7"/>
  <c r="BT53" i="7" s="1"/>
  <c r="AM53" i="7"/>
  <c r="CQ53" i="7"/>
  <c r="CS53" i="7" s="1"/>
  <c r="BL53" i="7"/>
  <c r="Q53" i="7"/>
  <c r="L53" i="7"/>
  <c r="C54" i="7"/>
  <c r="CK53" i="7"/>
  <c r="AP53" i="7"/>
  <c r="AK53" i="7"/>
  <c r="T53" i="7"/>
  <c r="V53" i="7" s="1"/>
  <c r="W53" i="7"/>
  <c r="Y53" i="7" s="1"/>
  <c r="BJ53" i="7"/>
  <c r="N53" i="7"/>
  <c r="AS53" i="7"/>
  <c r="AU53" i="7" s="1"/>
  <c r="BO53" i="7"/>
  <c r="CN82" i="7"/>
  <c r="CI82" i="7"/>
  <c r="BR82" i="7"/>
  <c r="BT82" i="7" s="1"/>
  <c r="AM82" i="7"/>
  <c r="CQ82" i="7"/>
  <c r="CS82" i="7" s="1"/>
  <c r="BL82" i="7"/>
  <c r="Q82" i="7"/>
  <c r="L82" i="7"/>
  <c r="CK82" i="7"/>
  <c r="AP82" i="7"/>
  <c r="AK82" i="7"/>
  <c r="T82" i="7"/>
  <c r="V82" i="7" s="1"/>
  <c r="BO82" i="7"/>
  <c r="BJ82" i="7"/>
  <c r="AS82" i="7"/>
  <c r="AU82" i="7" s="1"/>
  <c r="N82" i="7"/>
  <c r="W82" i="7"/>
  <c r="Y82" i="7" s="1"/>
  <c r="C389" i="7"/>
  <c r="CQ33" i="7"/>
  <c r="CS33" i="7" s="1"/>
  <c r="AS33" i="7"/>
  <c r="AU33" i="7" s="1"/>
  <c r="CK33" i="7"/>
  <c r="BO33" i="7"/>
  <c r="BJ33" i="7"/>
  <c r="AM33" i="7"/>
  <c r="Q33" i="7"/>
  <c r="L33" i="7"/>
  <c r="BL33" i="7"/>
  <c r="AP33" i="7"/>
  <c r="T33" i="7"/>
  <c r="V33" i="7" s="1"/>
  <c r="CI33" i="7"/>
  <c r="W33" i="7"/>
  <c r="Y33" i="7" s="1"/>
  <c r="CN33" i="7"/>
  <c r="BR33" i="7"/>
  <c r="BT33" i="7" s="1"/>
  <c r="N33" i="7"/>
  <c r="AK33" i="7"/>
  <c r="K11" i="7"/>
  <c r="O11" i="7" s="1"/>
  <c r="CO10" i="7"/>
  <c r="CC10" i="7"/>
  <c r="CB11" i="7" s="1"/>
  <c r="CJ10" i="7"/>
  <c r="AB96" i="7"/>
  <c r="AV96" i="7" s="1"/>
  <c r="AX96" i="7" s="1"/>
  <c r="AV95" i="7"/>
  <c r="AX95" i="7" s="1"/>
  <c r="CP9" i="7"/>
  <c r="AV102" i="7"/>
  <c r="AX102" i="7" s="1"/>
  <c r="AB103" i="7"/>
  <c r="AV103" i="7" s="1"/>
  <c r="AX103" i="7" s="1"/>
  <c r="AQ10" i="7"/>
  <c r="AL10" i="7"/>
  <c r="AE10" i="7"/>
  <c r="AD11" i="7" s="1"/>
  <c r="AQ11" i="7" s="1"/>
  <c r="C138" i="7"/>
  <c r="CK137" i="7"/>
  <c r="AP137" i="7"/>
  <c r="AK137" i="7"/>
  <c r="T137" i="7"/>
  <c r="V137" i="7" s="1"/>
  <c r="BO137" i="7"/>
  <c r="BJ137" i="7"/>
  <c r="AS137" i="7"/>
  <c r="AU137" i="7" s="1"/>
  <c r="W137" i="7"/>
  <c r="Y137" i="7" s="1"/>
  <c r="N137" i="7"/>
  <c r="CN137" i="7"/>
  <c r="CI137" i="7"/>
  <c r="BR137" i="7"/>
  <c r="BT137" i="7" s="1"/>
  <c r="AM137" i="7"/>
  <c r="Q137" i="7"/>
  <c r="BL137" i="7"/>
  <c r="CQ137" i="7"/>
  <c r="CS137" i="7" s="1"/>
  <c r="L137" i="7"/>
  <c r="BO25" i="7"/>
  <c r="BJ25" i="7"/>
  <c r="AS25" i="7"/>
  <c r="AU25" i="7" s="1"/>
  <c r="W25" i="7"/>
  <c r="Y25" i="7" s="1"/>
  <c r="N25" i="7"/>
  <c r="CK25" i="7"/>
  <c r="AP25" i="7"/>
  <c r="CN25" i="7"/>
  <c r="CI25" i="7"/>
  <c r="BR25" i="7"/>
  <c r="BT25" i="7" s="1"/>
  <c r="AM25" i="7"/>
  <c r="C26" i="7"/>
  <c r="AK25" i="7"/>
  <c r="CQ25" i="7"/>
  <c r="CS25" i="7" s="1"/>
  <c r="BL25" i="7"/>
  <c r="Q25" i="7"/>
  <c r="L25" i="7"/>
  <c r="T25" i="7"/>
  <c r="V25" i="7" s="1"/>
  <c r="BO61" i="7"/>
  <c r="BJ61" i="7"/>
  <c r="CI61" i="7"/>
  <c r="AP61" i="7"/>
  <c r="AK61" i="7"/>
  <c r="W61" i="7"/>
  <c r="Y61" i="7" s="1"/>
  <c r="N61" i="7"/>
  <c r="CN61" i="7"/>
  <c r="BR61" i="7"/>
  <c r="BT61" i="7" s="1"/>
  <c r="BL61" i="7"/>
  <c r="AS61" i="7"/>
  <c r="AU61" i="7" s="1"/>
  <c r="AM61" i="7"/>
  <c r="Q61" i="7"/>
  <c r="L61" i="7"/>
  <c r="CK61" i="7"/>
  <c r="CQ61" i="7"/>
  <c r="CS61" i="7" s="1"/>
  <c r="T61" i="7"/>
  <c r="V61" i="7" s="1"/>
  <c r="BA124" i="7"/>
  <c r="BU123" i="7"/>
  <c r="BW123" i="7" s="1"/>
  <c r="CN47" i="7"/>
  <c r="CI47" i="7"/>
  <c r="BR47" i="7"/>
  <c r="BT47" i="7" s="1"/>
  <c r="AM47" i="7"/>
  <c r="Q47" i="7"/>
  <c r="L47" i="7"/>
  <c r="CQ47" i="7"/>
  <c r="CS47" i="7" s="1"/>
  <c r="BL47" i="7"/>
  <c r="T47" i="7"/>
  <c r="V47" i="7" s="1"/>
  <c r="CK47" i="7"/>
  <c r="AP47" i="7"/>
  <c r="AK47" i="7"/>
  <c r="W47" i="7"/>
  <c r="Y47" i="7" s="1"/>
  <c r="N47" i="7"/>
  <c r="BJ47" i="7"/>
  <c r="AS47" i="7"/>
  <c r="AU47" i="7" s="1"/>
  <c r="BO47" i="7"/>
  <c r="CT12" i="7"/>
  <c r="CV12" i="7" s="1"/>
  <c r="CQ117" i="7"/>
  <c r="CS117" i="7" s="1"/>
  <c r="BL117" i="7"/>
  <c r="Q117" i="7"/>
  <c r="L117" i="7"/>
  <c r="CK117" i="7"/>
  <c r="AP117" i="7"/>
  <c r="AK117" i="7"/>
  <c r="T117" i="7"/>
  <c r="V117" i="7" s="1"/>
  <c r="BO117" i="7"/>
  <c r="BJ117" i="7"/>
  <c r="AS117" i="7"/>
  <c r="AU117" i="7" s="1"/>
  <c r="W117" i="7"/>
  <c r="Y117" i="7" s="1"/>
  <c r="N117" i="7"/>
  <c r="CN117" i="7"/>
  <c r="AM117" i="7"/>
  <c r="CI117" i="7"/>
  <c r="BR117" i="7"/>
  <c r="BT117" i="7" s="1"/>
  <c r="BU53" i="7"/>
  <c r="BW53" i="7" s="1"/>
  <c r="BA54" i="7"/>
  <c r="BU54" i="7" s="1"/>
  <c r="BW54" i="7" s="1"/>
  <c r="AB122" i="1"/>
  <c r="AV122" i="1" s="1"/>
  <c r="AX122" i="1" s="1"/>
  <c r="AR7" i="1"/>
  <c r="AB129" i="1"/>
  <c r="AV128" i="1"/>
  <c r="AX128" i="1" s="1"/>
  <c r="AB11" i="1"/>
  <c r="AV10" i="1"/>
  <c r="AX10" i="1" s="1"/>
  <c r="AT75" i="1"/>
  <c r="AT154" i="1" s="1"/>
  <c r="N208" i="1" s="1"/>
  <c r="AQ8" i="1"/>
  <c r="AR8" i="1" s="1"/>
  <c r="AE8" i="1"/>
  <c r="AD9" i="1" s="1"/>
  <c r="AL8" i="1"/>
  <c r="AB66" i="1"/>
  <c r="AV65" i="1"/>
  <c r="AX65" i="1" s="1"/>
  <c r="AB102" i="1"/>
  <c r="AV101" i="1"/>
  <c r="AX101" i="1" s="1"/>
  <c r="AB39" i="1"/>
  <c r="AV38" i="1"/>
  <c r="AX38" i="1" s="1"/>
  <c r="AV16" i="1"/>
  <c r="AX16" i="1" s="1"/>
  <c r="AB17" i="1"/>
  <c r="AB82" i="1"/>
  <c r="AV82" i="1" s="1"/>
  <c r="AX82" i="1" s="1"/>
  <c r="AV81" i="1"/>
  <c r="AX81" i="1" s="1"/>
  <c r="AB87" i="1"/>
  <c r="AV86" i="1"/>
  <c r="AX86" i="1" s="1"/>
  <c r="AB54" i="1"/>
  <c r="AV54" i="1" s="1"/>
  <c r="AX54" i="1" s="1"/>
  <c r="AV53" i="1"/>
  <c r="AX53" i="1" s="1"/>
  <c r="AT117" i="1"/>
  <c r="AT160" i="1" s="1"/>
  <c r="T208" i="1" s="1"/>
  <c r="AT67" i="1"/>
  <c r="AT61" i="1"/>
  <c r="AT152" i="1" s="1"/>
  <c r="L208" i="1" s="1"/>
  <c r="AV94" i="1"/>
  <c r="AX94" i="1" s="1"/>
  <c r="AB95" i="1"/>
  <c r="AB46" i="1"/>
  <c r="AV45" i="1"/>
  <c r="AX45" i="1" s="1"/>
  <c r="AB137" i="1"/>
  <c r="AV136" i="1"/>
  <c r="AX136" i="1" s="1"/>
  <c r="AT89" i="1"/>
  <c r="AT156" i="1" s="1"/>
  <c r="P208" i="1" s="1"/>
  <c r="AB25" i="1"/>
  <c r="AV24" i="1"/>
  <c r="AX24" i="1" s="1"/>
  <c r="AB73" i="1"/>
  <c r="AV72" i="1"/>
  <c r="AX72" i="1" s="1"/>
  <c r="AT109" i="1"/>
  <c r="AV31" i="1"/>
  <c r="AX31" i="1" s="1"/>
  <c r="AB32" i="1"/>
  <c r="AB60" i="1"/>
  <c r="AV59" i="1"/>
  <c r="AX59" i="1" s="1"/>
  <c r="AB108" i="1"/>
  <c r="AV107" i="1"/>
  <c r="AX107" i="1" s="1"/>
  <c r="AN8" i="1"/>
  <c r="AJ9" i="1"/>
  <c r="AT33" i="1"/>
  <c r="AT148" i="1" s="1"/>
  <c r="H208" i="1" s="1"/>
  <c r="AT47" i="1"/>
  <c r="AT150" i="1" s="1"/>
  <c r="J208" i="1" s="1"/>
  <c r="AT39" i="1"/>
  <c r="AB116" i="1"/>
  <c r="AV115" i="1"/>
  <c r="AX115" i="1" s="1"/>
  <c r="CN149" i="1"/>
  <c r="CA146" i="1"/>
  <c r="C242" i="1"/>
  <c r="C243" i="1" s="1"/>
  <c r="C218" i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170" i="1"/>
  <c r="C171" i="1" s="1"/>
  <c r="W254" i="1"/>
  <c r="C267" i="1"/>
  <c r="DK86" i="9" l="1"/>
  <c r="DG87" i="9"/>
  <c r="DB86" i="9"/>
  <c r="DA87" i="9" s="1"/>
  <c r="DI86" i="9"/>
  <c r="DN86" i="9"/>
  <c r="DO86" i="9" s="1"/>
  <c r="CC87" i="9"/>
  <c r="CB88" i="9" s="1"/>
  <c r="CJ87" i="9"/>
  <c r="CO87" i="9"/>
  <c r="CP87" i="9" s="1"/>
  <c r="CL87" i="9"/>
  <c r="CH88" i="9"/>
  <c r="BI88" i="9"/>
  <c r="BM88" i="9" s="1"/>
  <c r="BP86" i="9"/>
  <c r="BQ86" i="9" s="1"/>
  <c r="BD86" i="9"/>
  <c r="BC87" i="9" s="1"/>
  <c r="BK86" i="9"/>
  <c r="AQ86" i="9"/>
  <c r="AR86" i="9" s="1"/>
  <c r="AL86" i="9"/>
  <c r="AE86" i="9"/>
  <c r="AD87" i="9" s="1"/>
  <c r="AN86" i="9"/>
  <c r="AJ87" i="9"/>
  <c r="E155" i="9"/>
  <c r="M155" i="9" s="1"/>
  <c r="R76" i="9"/>
  <c r="S76" i="9" s="1"/>
  <c r="M76" i="9"/>
  <c r="E77" i="9"/>
  <c r="F77" i="9" s="1"/>
  <c r="BC155" i="9"/>
  <c r="O85" i="9"/>
  <c r="K86" i="9"/>
  <c r="O192" i="9"/>
  <c r="AQ155" i="9"/>
  <c r="O205" i="9" s="1"/>
  <c r="AN155" i="9"/>
  <c r="O202" i="9" s="1"/>
  <c r="N293" i="9"/>
  <c r="N327" i="9"/>
  <c r="AK89" i="7"/>
  <c r="BR89" i="7"/>
  <c r="BT89" i="7" s="1"/>
  <c r="T89" i="7"/>
  <c r="V89" i="7" s="1"/>
  <c r="AM103" i="7"/>
  <c r="AS103" i="7"/>
  <c r="AU103" i="7" s="1"/>
  <c r="AK103" i="7"/>
  <c r="Q103" i="7"/>
  <c r="FN103" i="7"/>
  <c r="FP103" i="7" s="1"/>
  <c r="GJ103" i="7"/>
  <c r="FH103" i="7"/>
  <c r="GM103" i="7"/>
  <c r="GO103" i="7" s="1"/>
  <c r="HD103" i="7"/>
  <c r="DM103" i="7"/>
  <c r="HI103" i="7"/>
  <c r="DJ103" i="7"/>
  <c r="HL103" i="7"/>
  <c r="HN103" i="7" s="1"/>
  <c r="HF103" i="7"/>
  <c r="BR103" i="7"/>
  <c r="BT103" i="7" s="1"/>
  <c r="N103" i="7"/>
  <c r="BO103" i="7"/>
  <c r="CK103" i="7"/>
  <c r="CQ103" i="7"/>
  <c r="CS103" i="7" s="1"/>
  <c r="EO103" i="7"/>
  <c r="EQ103" i="7" s="1"/>
  <c r="EL103" i="7"/>
  <c r="DH103" i="7"/>
  <c r="EI103" i="7"/>
  <c r="AP40" i="7"/>
  <c r="BL40" i="7"/>
  <c r="CN40" i="7"/>
  <c r="BJ40" i="7"/>
  <c r="S11" i="7"/>
  <c r="BR40" i="7"/>
  <c r="BT40" i="7" s="1"/>
  <c r="N40" i="7"/>
  <c r="BO40" i="7"/>
  <c r="CK40" i="7"/>
  <c r="CQ40" i="7"/>
  <c r="CS40" i="7" s="1"/>
  <c r="CI40" i="7"/>
  <c r="W40" i="7"/>
  <c r="Y40" i="7" s="1"/>
  <c r="T40" i="7"/>
  <c r="V40" i="7" s="1"/>
  <c r="L40" i="7"/>
  <c r="AM40" i="7"/>
  <c r="AS40" i="7"/>
  <c r="AU40" i="7" s="1"/>
  <c r="AK40" i="7"/>
  <c r="ED153" i="7"/>
  <c r="HF19" i="7"/>
  <c r="HD19" i="7"/>
  <c r="HL19" i="7"/>
  <c r="HN19" i="7" s="1"/>
  <c r="GE19" i="7"/>
  <c r="FH19" i="7"/>
  <c r="EG19" i="7"/>
  <c r="GM19" i="7"/>
  <c r="GO19" i="7" s="1"/>
  <c r="FF19" i="7"/>
  <c r="EO19" i="7"/>
  <c r="EQ19" i="7" s="1"/>
  <c r="HI19" i="7"/>
  <c r="GJ19" i="7"/>
  <c r="FK19" i="7"/>
  <c r="DM19" i="7"/>
  <c r="EI19" i="7"/>
  <c r="DH19" i="7"/>
  <c r="FN19" i="7"/>
  <c r="FP19" i="7" s="1"/>
  <c r="DP19" i="7"/>
  <c r="DR19" i="7" s="1"/>
  <c r="EL19" i="7"/>
  <c r="DJ19" i="7"/>
  <c r="GG19" i="7"/>
  <c r="FZ151" i="7"/>
  <c r="FB145" i="7"/>
  <c r="E315" i="7" s="1"/>
  <c r="E317" i="7" s="1"/>
  <c r="FJ153" i="7"/>
  <c r="M323" i="7" s="1"/>
  <c r="FC154" i="7"/>
  <c r="FC150" i="7"/>
  <c r="FA154" i="7"/>
  <c r="FJ152" i="7"/>
  <c r="L323" i="7" s="1"/>
  <c r="GI154" i="7"/>
  <c r="N346" i="7" s="1"/>
  <c r="FA150" i="7"/>
  <c r="GB154" i="7"/>
  <c r="GI153" i="7"/>
  <c r="M346" i="7" s="1"/>
  <c r="HA152" i="7"/>
  <c r="GZ147" i="7"/>
  <c r="G361" i="7" s="1"/>
  <c r="G363" i="7" s="1"/>
  <c r="HD138" i="7"/>
  <c r="HL138" i="7"/>
  <c r="HN138" i="7" s="1"/>
  <c r="HI138" i="7"/>
  <c r="HF138" i="7"/>
  <c r="GG138" i="7"/>
  <c r="GE138" i="7"/>
  <c r="GM138" i="7"/>
  <c r="GO138" i="7" s="1"/>
  <c r="FH138" i="7"/>
  <c r="EI138" i="7"/>
  <c r="DJ138" i="7"/>
  <c r="FF138" i="7"/>
  <c r="EG138" i="7"/>
  <c r="DH138" i="7"/>
  <c r="FN138" i="7"/>
  <c r="FP138" i="7" s="1"/>
  <c r="EO138" i="7"/>
  <c r="EQ138" i="7" s="1"/>
  <c r="FK138" i="7"/>
  <c r="EL138" i="7"/>
  <c r="GJ138" i="7"/>
  <c r="DP138" i="7"/>
  <c r="DR138" i="7" s="1"/>
  <c r="DM138" i="7"/>
  <c r="AG149" i="7"/>
  <c r="I195" i="7" s="1"/>
  <c r="HL131" i="7"/>
  <c r="HN131" i="7" s="1"/>
  <c r="HI131" i="7"/>
  <c r="HF131" i="7"/>
  <c r="GE131" i="7"/>
  <c r="GM131" i="7"/>
  <c r="GO131" i="7" s="1"/>
  <c r="HD131" i="7"/>
  <c r="GJ131" i="7"/>
  <c r="FH131" i="7"/>
  <c r="EG131" i="7"/>
  <c r="DJ131" i="7"/>
  <c r="FF131" i="7"/>
  <c r="EO131" i="7"/>
  <c r="EQ131" i="7" s="1"/>
  <c r="DH131" i="7"/>
  <c r="FN131" i="7"/>
  <c r="FP131" i="7" s="1"/>
  <c r="EI131" i="7"/>
  <c r="DM131" i="7"/>
  <c r="DP131" i="7"/>
  <c r="DR131" i="7" s="1"/>
  <c r="GG131" i="7"/>
  <c r="FK131" i="7"/>
  <c r="EL131" i="7"/>
  <c r="HF40" i="7"/>
  <c r="HD40" i="7"/>
  <c r="HL40" i="7"/>
  <c r="HN40" i="7" s="1"/>
  <c r="GJ40" i="7"/>
  <c r="FH40" i="7"/>
  <c r="EO40" i="7"/>
  <c r="EQ40" i="7" s="1"/>
  <c r="GG40" i="7"/>
  <c r="FF40" i="7"/>
  <c r="EL40" i="7"/>
  <c r="GE40" i="7"/>
  <c r="GM40" i="7"/>
  <c r="GO40" i="7" s="1"/>
  <c r="EG40" i="7"/>
  <c r="DM40" i="7"/>
  <c r="DP40" i="7"/>
  <c r="DR40" i="7" s="1"/>
  <c r="HI40" i="7"/>
  <c r="FN40" i="7"/>
  <c r="FP40" i="7" s="1"/>
  <c r="DJ40" i="7"/>
  <c r="FK40" i="7"/>
  <c r="DH40" i="7"/>
  <c r="EI40" i="7"/>
  <c r="HH151" i="7"/>
  <c r="K369" i="7" s="1"/>
  <c r="GA153" i="7"/>
  <c r="M338" i="7" s="1"/>
  <c r="EC153" i="7"/>
  <c r="M292" i="7" s="1"/>
  <c r="ED147" i="7"/>
  <c r="GY145" i="7"/>
  <c r="FZ148" i="7"/>
  <c r="EB152" i="7"/>
  <c r="FJ151" i="7"/>
  <c r="K323" i="7" s="1"/>
  <c r="FC148" i="7"/>
  <c r="GA154" i="7"/>
  <c r="N338" i="7" s="1"/>
  <c r="GA155" i="7"/>
  <c r="O338" i="7" s="1"/>
  <c r="EK155" i="7"/>
  <c r="O300" i="7" s="1"/>
  <c r="CE156" i="7"/>
  <c r="EK146" i="7"/>
  <c r="F300" i="7" s="1"/>
  <c r="EC145" i="7"/>
  <c r="E292" i="7" s="1"/>
  <c r="E294" i="7" s="1"/>
  <c r="GI145" i="7"/>
  <c r="E346" i="7" s="1"/>
  <c r="FA148" i="7"/>
  <c r="GA150" i="7"/>
  <c r="J338" i="7" s="1"/>
  <c r="ED149" i="7"/>
  <c r="FZ149" i="7"/>
  <c r="HH145" i="7"/>
  <c r="E369" i="7" s="1"/>
  <c r="ED152" i="7"/>
  <c r="GA146" i="7"/>
  <c r="F338" i="7" s="1"/>
  <c r="GY150" i="7"/>
  <c r="GI148" i="7"/>
  <c r="H346" i="7" s="1"/>
  <c r="EC149" i="7"/>
  <c r="I292" i="7" s="1"/>
  <c r="GY151" i="7"/>
  <c r="GZ153" i="7"/>
  <c r="M361" i="7" s="1"/>
  <c r="M363" i="7" s="1"/>
  <c r="FB148" i="7"/>
  <c r="H315" i="7" s="1"/>
  <c r="GZ146" i="7"/>
  <c r="F361" i="7" s="1"/>
  <c r="F363" i="7" s="1"/>
  <c r="FB149" i="7"/>
  <c r="I315" i="7" s="1"/>
  <c r="EC154" i="7"/>
  <c r="N292" i="7" s="1"/>
  <c r="ED145" i="7"/>
  <c r="FZ150" i="7"/>
  <c r="FJ145" i="7"/>
  <c r="E323" i="7" s="1"/>
  <c r="ED146" i="7"/>
  <c r="ED150" i="7"/>
  <c r="GY153" i="7"/>
  <c r="EC146" i="7"/>
  <c r="F292" i="7" s="1"/>
  <c r="GA148" i="7"/>
  <c r="H338" i="7" s="1"/>
  <c r="GB147" i="7"/>
  <c r="CD156" i="7"/>
  <c r="EK152" i="7"/>
  <c r="L300" i="7" s="1"/>
  <c r="EB147" i="7"/>
  <c r="EK149" i="7"/>
  <c r="I300" i="7" s="1"/>
  <c r="CD145" i="7"/>
  <c r="FC153" i="7"/>
  <c r="FA153" i="7"/>
  <c r="GA145" i="7"/>
  <c r="E338" i="7" s="1"/>
  <c r="E340" i="7" s="1"/>
  <c r="GA149" i="7"/>
  <c r="I338" i="7" s="1"/>
  <c r="FZ154" i="7"/>
  <c r="HH155" i="7"/>
  <c r="O369" i="7" s="1"/>
  <c r="EB154" i="7"/>
  <c r="EK153" i="7"/>
  <c r="M300" i="7" s="1"/>
  <c r="FB154" i="7"/>
  <c r="N315" i="7" s="1"/>
  <c r="GI146" i="7"/>
  <c r="F346" i="7" s="1"/>
  <c r="GB145" i="7"/>
  <c r="GZ155" i="7"/>
  <c r="O361" i="7" s="1"/>
  <c r="O363" i="7" s="1"/>
  <c r="EB153" i="7"/>
  <c r="GY149" i="7"/>
  <c r="GZ148" i="7"/>
  <c r="H361" i="7" s="1"/>
  <c r="H363" i="7" s="1"/>
  <c r="EK147" i="7"/>
  <c r="G300" i="7" s="1"/>
  <c r="ED154" i="7"/>
  <c r="HI54" i="7"/>
  <c r="GE54" i="7"/>
  <c r="HF54" i="7"/>
  <c r="GM54" i="7"/>
  <c r="GO54" i="7" s="1"/>
  <c r="HD54" i="7"/>
  <c r="GJ54" i="7"/>
  <c r="FH54" i="7"/>
  <c r="EO54" i="7"/>
  <c r="EQ54" i="7" s="1"/>
  <c r="GG54" i="7"/>
  <c r="FF54" i="7"/>
  <c r="EL54" i="7"/>
  <c r="HL54" i="7"/>
  <c r="HN54" i="7" s="1"/>
  <c r="FN54" i="7"/>
  <c r="FP54" i="7" s="1"/>
  <c r="DM54" i="7"/>
  <c r="DP54" i="7"/>
  <c r="DR54" i="7" s="1"/>
  <c r="FK54" i="7"/>
  <c r="EI54" i="7"/>
  <c r="DJ54" i="7"/>
  <c r="DH54" i="7"/>
  <c r="EG54" i="7"/>
  <c r="E12" i="7"/>
  <c r="M12" i="7" s="1"/>
  <c r="HD96" i="7"/>
  <c r="HL96" i="7"/>
  <c r="HN96" i="7" s="1"/>
  <c r="HI96" i="7"/>
  <c r="GG96" i="7"/>
  <c r="HF96" i="7"/>
  <c r="GE96" i="7"/>
  <c r="GM96" i="7"/>
  <c r="GO96" i="7" s="1"/>
  <c r="GJ96" i="7"/>
  <c r="FK96" i="7"/>
  <c r="EG96" i="7"/>
  <c r="DJ96" i="7"/>
  <c r="FH96" i="7"/>
  <c r="EO96" i="7"/>
  <c r="EQ96" i="7" s="1"/>
  <c r="DH96" i="7"/>
  <c r="FF96" i="7"/>
  <c r="EL96" i="7"/>
  <c r="DP96" i="7"/>
  <c r="DR96" i="7" s="1"/>
  <c r="EI96" i="7"/>
  <c r="DM96" i="7"/>
  <c r="FN96" i="7"/>
  <c r="FP96" i="7" s="1"/>
  <c r="HD12" i="7"/>
  <c r="HL12" i="7"/>
  <c r="HN12" i="7" s="1"/>
  <c r="HI12" i="7"/>
  <c r="GG12" i="7"/>
  <c r="FN12" i="7"/>
  <c r="FP12" i="7" s="1"/>
  <c r="EL12" i="7"/>
  <c r="GE12" i="7"/>
  <c r="FK12" i="7"/>
  <c r="EI12" i="7"/>
  <c r="HF12" i="7"/>
  <c r="GM12" i="7"/>
  <c r="GO12" i="7" s="1"/>
  <c r="FF12" i="7"/>
  <c r="EO12" i="7"/>
  <c r="EQ12" i="7" s="1"/>
  <c r="DH12" i="7"/>
  <c r="FH12" i="7"/>
  <c r="DJ12" i="7"/>
  <c r="EG12" i="7"/>
  <c r="DP12" i="7"/>
  <c r="DR12" i="7" s="1"/>
  <c r="DM12" i="7"/>
  <c r="GJ12" i="7"/>
  <c r="HF124" i="7"/>
  <c r="HD124" i="7"/>
  <c r="HL124" i="7"/>
  <c r="HN124" i="7" s="1"/>
  <c r="GG124" i="7"/>
  <c r="GE124" i="7"/>
  <c r="GM124" i="7"/>
  <c r="GO124" i="7" s="1"/>
  <c r="FF124" i="7"/>
  <c r="EL124" i="7"/>
  <c r="DM124" i="7"/>
  <c r="GJ124" i="7"/>
  <c r="FN124" i="7"/>
  <c r="FP124" i="7" s="1"/>
  <c r="EI124" i="7"/>
  <c r="DJ124" i="7"/>
  <c r="FK124" i="7"/>
  <c r="FH124" i="7"/>
  <c r="DP124" i="7"/>
  <c r="DR124" i="7" s="1"/>
  <c r="DH124" i="7"/>
  <c r="EO124" i="7"/>
  <c r="EQ124" i="7" s="1"/>
  <c r="HI124" i="7"/>
  <c r="EG124" i="7"/>
  <c r="HI75" i="7"/>
  <c r="HF75" i="7"/>
  <c r="GG75" i="7"/>
  <c r="GE75" i="7"/>
  <c r="HL75" i="7"/>
  <c r="HN75" i="7" s="1"/>
  <c r="FN75" i="7"/>
  <c r="FP75" i="7" s="1"/>
  <c r="EI75" i="7"/>
  <c r="GM75" i="7"/>
  <c r="GO75" i="7" s="1"/>
  <c r="FK75" i="7"/>
  <c r="EG75" i="7"/>
  <c r="HD75" i="7"/>
  <c r="GJ75" i="7"/>
  <c r="FH75" i="7"/>
  <c r="DJ75" i="7"/>
  <c r="DP75" i="7"/>
  <c r="DR75" i="7" s="1"/>
  <c r="EO75" i="7"/>
  <c r="EQ75" i="7" s="1"/>
  <c r="DH75" i="7"/>
  <c r="EL75" i="7"/>
  <c r="FF75" i="7"/>
  <c r="DM75" i="7"/>
  <c r="AR10" i="7"/>
  <c r="AR11" i="7" s="1"/>
  <c r="GI147" i="7"/>
  <c r="G346" i="7" s="1"/>
  <c r="HA154" i="7"/>
  <c r="ED155" i="7"/>
  <c r="GZ154" i="7"/>
  <c r="N361" i="7" s="1"/>
  <c r="N363" i="7" s="1"/>
  <c r="FB155" i="7"/>
  <c r="O315" i="7" s="1"/>
  <c r="GZ149" i="7"/>
  <c r="I361" i="7" s="1"/>
  <c r="I363" i="7" s="1"/>
  <c r="FC149" i="7"/>
  <c r="GA152" i="7"/>
  <c r="L338" i="7" s="1"/>
  <c r="FJ149" i="7"/>
  <c r="I323" i="7" s="1"/>
  <c r="FA149" i="7"/>
  <c r="FJ150" i="7"/>
  <c r="J323" i="7" s="1"/>
  <c r="GY147" i="7"/>
  <c r="EK154" i="7"/>
  <c r="N300" i="7" s="1"/>
  <c r="GB148" i="7"/>
  <c r="FZ147" i="7"/>
  <c r="HA150" i="7"/>
  <c r="CF156" i="7"/>
  <c r="GY148" i="7"/>
  <c r="EC150" i="7"/>
  <c r="J292" i="7" s="1"/>
  <c r="FC145" i="7"/>
  <c r="GZ151" i="7"/>
  <c r="K361" i="7" s="1"/>
  <c r="K363" i="7" s="1"/>
  <c r="FZ146" i="7"/>
  <c r="EB145" i="7"/>
  <c r="GY152" i="7"/>
  <c r="FB152" i="7"/>
  <c r="L315" i="7" s="1"/>
  <c r="GI151" i="7"/>
  <c r="K346" i="7" s="1"/>
  <c r="GB149" i="7"/>
  <c r="FJ148" i="7"/>
  <c r="H323" i="7" s="1"/>
  <c r="HH150" i="7"/>
  <c r="J369" i="7" s="1"/>
  <c r="HA147" i="7"/>
  <c r="HA153" i="7"/>
  <c r="EC152" i="7"/>
  <c r="L292" i="7" s="1"/>
  <c r="GI150" i="7"/>
  <c r="J346" i="7" s="1"/>
  <c r="FA146" i="7"/>
  <c r="GZ145" i="7"/>
  <c r="E361" i="7" s="1"/>
  <c r="E363" i="7" s="1"/>
  <c r="GB146" i="7"/>
  <c r="GY146" i="7"/>
  <c r="HH154" i="7"/>
  <c r="N369" i="7" s="1"/>
  <c r="FC147" i="7"/>
  <c r="EK150" i="7"/>
  <c r="J300" i="7" s="1"/>
  <c r="HA145" i="7"/>
  <c r="FZ153" i="7"/>
  <c r="FJ154" i="7"/>
  <c r="N323" i="7" s="1"/>
  <c r="HA151" i="7"/>
  <c r="HH148" i="7"/>
  <c r="H369" i="7" s="1"/>
  <c r="HH146" i="7"/>
  <c r="F369" i="7" s="1"/>
  <c r="FA145" i="7"/>
  <c r="FC152" i="7"/>
  <c r="HF26" i="7"/>
  <c r="HD26" i="7"/>
  <c r="HL26" i="7"/>
  <c r="HN26" i="7" s="1"/>
  <c r="GG26" i="7"/>
  <c r="FF26" i="7"/>
  <c r="EO26" i="7"/>
  <c r="EQ26" i="7" s="1"/>
  <c r="GE26" i="7"/>
  <c r="FN26" i="7"/>
  <c r="FP26" i="7" s="1"/>
  <c r="EL26" i="7"/>
  <c r="GM26" i="7"/>
  <c r="GO26" i="7" s="1"/>
  <c r="EG26" i="7"/>
  <c r="DJ26" i="7"/>
  <c r="GJ26" i="7"/>
  <c r="DM26" i="7"/>
  <c r="FK26" i="7"/>
  <c r="DH26" i="7"/>
  <c r="FH26" i="7"/>
  <c r="DP26" i="7"/>
  <c r="DR26" i="7" s="1"/>
  <c r="HI26" i="7"/>
  <c r="EI26" i="7"/>
  <c r="HA148" i="7"/>
  <c r="FB150" i="7"/>
  <c r="J315" i="7" s="1"/>
  <c r="FC155" i="7"/>
  <c r="GZ150" i="7"/>
  <c r="J361" i="7" s="1"/>
  <c r="J363" i="7" s="1"/>
  <c r="FA155" i="7"/>
  <c r="GB151" i="7"/>
  <c r="EK148" i="7"/>
  <c r="H300" i="7" s="1"/>
  <c r="FA151" i="7"/>
  <c r="ED151" i="7"/>
  <c r="EC147" i="7"/>
  <c r="G292" i="7" s="1"/>
  <c r="HI110" i="7"/>
  <c r="HF110" i="7"/>
  <c r="GG110" i="7"/>
  <c r="HL110" i="7"/>
  <c r="HN110" i="7" s="1"/>
  <c r="GE110" i="7"/>
  <c r="HD110" i="7"/>
  <c r="GM110" i="7"/>
  <c r="GO110" i="7" s="1"/>
  <c r="FN110" i="7"/>
  <c r="FP110" i="7" s="1"/>
  <c r="EG110" i="7"/>
  <c r="DH110" i="7"/>
  <c r="FK110" i="7"/>
  <c r="EO110" i="7"/>
  <c r="EQ110" i="7" s="1"/>
  <c r="DP110" i="7"/>
  <c r="DR110" i="7" s="1"/>
  <c r="FH110" i="7"/>
  <c r="GJ110" i="7"/>
  <c r="DJ110" i="7"/>
  <c r="EL110" i="7"/>
  <c r="DM110" i="7"/>
  <c r="FF110" i="7"/>
  <c r="EI110" i="7"/>
  <c r="EB155" i="7"/>
  <c r="HA155" i="7"/>
  <c r="EC148" i="7"/>
  <c r="H292" i="7" s="1"/>
  <c r="HH149" i="7"/>
  <c r="I369" i="7" s="1"/>
  <c r="FJ147" i="7"/>
  <c r="G323" i="7" s="1"/>
  <c r="HH152" i="7"/>
  <c r="L369" i="7" s="1"/>
  <c r="FC151" i="7"/>
  <c r="ED148" i="7"/>
  <c r="CM156" i="7"/>
  <c r="P252" i="7" s="1"/>
  <c r="FA152" i="7"/>
  <c r="FB147" i="7"/>
  <c r="G315" i="7" s="1"/>
  <c r="FZ152" i="7"/>
  <c r="GA147" i="7"/>
  <c r="G338" i="7" s="1"/>
  <c r="FZ145" i="7"/>
  <c r="FZ155" i="7"/>
  <c r="EK145" i="7"/>
  <c r="E300" i="7" s="1"/>
  <c r="GI155" i="7"/>
  <c r="O346" i="7" s="1"/>
  <c r="GB155" i="7"/>
  <c r="FA147" i="7"/>
  <c r="EB151" i="7"/>
  <c r="HA146" i="7"/>
  <c r="GB153" i="7"/>
  <c r="FB151" i="7"/>
  <c r="K315" i="7" s="1"/>
  <c r="GI152" i="7"/>
  <c r="L346" i="7" s="1"/>
  <c r="FB146" i="7"/>
  <c r="F315" i="7" s="1"/>
  <c r="HH147" i="7"/>
  <c r="G369" i="7" s="1"/>
  <c r="GI149" i="7"/>
  <c r="I346" i="7" s="1"/>
  <c r="FB153" i="7"/>
  <c r="M315" i="7" s="1"/>
  <c r="GZ152" i="7"/>
  <c r="L361" i="7" s="1"/>
  <c r="L363" i="7" s="1"/>
  <c r="HH153" i="7"/>
  <c r="M369" i="7" s="1"/>
  <c r="GB152" i="7"/>
  <c r="EK151" i="7"/>
  <c r="K300" i="7" s="1"/>
  <c r="EB146" i="7"/>
  <c r="EE146" i="7" s="1"/>
  <c r="EB149" i="7"/>
  <c r="EC155" i="7"/>
  <c r="O292" i="7" s="1"/>
  <c r="FC146" i="7"/>
  <c r="HA149" i="7"/>
  <c r="GY154" i="7"/>
  <c r="GB150" i="7"/>
  <c r="EB148" i="7"/>
  <c r="GA151" i="7"/>
  <c r="K338" i="7" s="1"/>
  <c r="GY155" i="7"/>
  <c r="EC151" i="7"/>
  <c r="K292" i="7" s="1"/>
  <c r="EB150" i="7"/>
  <c r="FJ155" i="7"/>
  <c r="O323" i="7" s="1"/>
  <c r="FJ146" i="7"/>
  <c r="F323" i="7" s="1"/>
  <c r="HJ34" i="7"/>
  <c r="HK34" i="7" s="1"/>
  <c r="GX34" i="7"/>
  <c r="GW35" i="7" s="1"/>
  <c r="HE34" i="7"/>
  <c r="HC35" i="7"/>
  <c r="HG34" i="7"/>
  <c r="GK34" i="7"/>
  <c r="GL34" i="7" s="1"/>
  <c r="FY34" i="7"/>
  <c r="FX35" i="7" s="1"/>
  <c r="GF34" i="7"/>
  <c r="GH33" i="7"/>
  <c r="GD34" i="7"/>
  <c r="FL35" i="7"/>
  <c r="FM35" i="7" s="1"/>
  <c r="EZ35" i="7"/>
  <c r="EY36" i="7" s="1"/>
  <c r="FG35" i="7"/>
  <c r="FE35" i="7"/>
  <c r="FI34" i="7"/>
  <c r="EM35" i="7"/>
  <c r="EN35" i="7" s="1"/>
  <c r="EA35" i="7"/>
  <c r="DZ36" i="7" s="1"/>
  <c r="EH35" i="7"/>
  <c r="EF36" i="7"/>
  <c r="EJ35" i="7"/>
  <c r="DN35" i="7"/>
  <c r="DO35" i="7" s="1"/>
  <c r="DB35" i="7"/>
  <c r="DA36" i="7" s="1"/>
  <c r="DI35" i="7"/>
  <c r="DK34" i="7"/>
  <c r="DG35" i="7"/>
  <c r="BP27" i="8"/>
  <c r="BQ27" i="8" s="1"/>
  <c r="BK27" i="8"/>
  <c r="BD27" i="8"/>
  <c r="BC28" i="8" s="1"/>
  <c r="CH32" i="8"/>
  <c r="R27" i="8"/>
  <c r="S27" i="8" s="1"/>
  <c r="M27" i="8"/>
  <c r="F27" i="8"/>
  <c r="E28" i="8" s="1"/>
  <c r="AN31" i="8"/>
  <c r="AJ32" i="8"/>
  <c r="DN30" i="8"/>
  <c r="DO30" i="8" s="1"/>
  <c r="DB30" i="8"/>
  <c r="DA31" i="8" s="1"/>
  <c r="DI30" i="8"/>
  <c r="G291" i="8"/>
  <c r="G325" i="8"/>
  <c r="BM30" i="8"/>
  <c r="BI31" i="8"/>
  <c r="H192" i="8"/>
  <c r="AQ148" i="8"/>
  <c r="H205" i="8" s="1"/>
  <c r="CP27" i="8"/>
  <c r="O29" i="8"/>
  <c r="K30" i="8"/>
  <c r="CO28" i="8"/>
  <c r="CJ28" i="8"/>
  <c r="CC28" i="8"/>
  <c r="CB29" i="8" s="1"/>
  <c r="CL28" i="8"/>
  <c r="AL28" i="8"/>
  <c r="AQ28" i="8"/>
  <c r="AR28" i="8" s="1"/>
  <c r="AE28" i="8"/>
  <c r="AD29" i="8" s="1"/>
  <c r="DK29" i="8"/>
  <c r="DG30" i="8"/>
  <c r="AG154" i="7"/>
  <c r="N195" i="7" s="1"/>
  <c r="AF146" i="7"/>
  <c r="F194" i="7" s="1"/>
  <c r="AF155" i="7"/>
  <c r="O194" i="7" s="1"/>
  <c r="AH158" i="7"/>
  <c r="R196" i="7" s="1"/>
  <c r="AG146" i="7"/>
  <c r="F195" i="7" s="1"/>
  <c r="AG153" i="7"/>
  <c r="M195" i="7" s="1"/>
  <c r="AF161" i="7"/>
  <c r="U194" i="7" s="1"/>
  <c r="AH147" i="7"/>
  <c r="G196" i="7" s="1"/>
  <c r="AG148" i="7"/>
  <c r="H195" i="7" s="1"/>
  <c r="AF152" i="7"/>
  <c r="L194" i="7" s="1"/>
  <c r="AF154" i="7"/>
  <c r="N194" i="7" s="1"/>
  <c r="AG161" i="7"/>
  <c r="U195" i="7" s="1"/>
  <c r="AF158" i="7"/>
  <c r="R194" i="7" s="1"/>
  <c r="AH161" i="7"/>
  <c r="U196" i="7" s="1"/>
  <c r="P146" i="7"/>
  <c r="F180" i="7" s="1"/>
  <c r="H146" i="7"/>
  <c r="F172" i="7" s="1"/>
  <c r="AG150" i="7"/>
  <c r="J195" i="7" s="1"/>
  <c r="AH159" i="7"/>
  <c r="S196" i="7" s="1"/>
  <c r="AH160" i="7"/>
  <c r="AG145" i="7"/>
  <c r="E195" i="7" s="1"/>
  <c r="AH155" i="7"/>
  <c r="O196" i="7" s="1"/>
  <c r="AF156" i="7"/>
  <c r="P194" i="7" s="1"/>
  <c r="AG159" i="7"/>
  <c r="S195" i="7" s="1"/>
  <c r="AH146" i="7"/>
  <c r="F196" i="7" s="1"/>
  <c r="AF157" i="7"/>
  <c r="Q194" i="7" s="1"/>
  <c r="AH148" i="7"/>
  <c r="AG152" i="7"/>
  <c r="L195" i="7" s="1"/>
  <c r="AH152" i="7"/>
  <c r="L196" i="7" s="1"/>
  <c r="AG156" i="7"/>
  <c r="P195" i="7" s="1"/>
  <c r="AF160" i="7"/>
  <c r="T194" i="7" s="1"/>
  <c r="AF149" i="7"/>
  <c r="I194" i="7" s="1"/>
  <c r="AH149" i="7"/>
  <c r="AH154" i="7"/>
  <c r="N196" i="7" s="1"/>
  <c r="AF159" i="7"/>
  <c r="S194" i="7" s="1"/>
  <c r="AH162" i="7"/>
  <c r="V196" i="7" s="1"/>
  <c r="AG163" i="7"/>
  <c r="W195" i="7" s="1"/>
  <c r="AG155" i="7"/>
  <c r="O195" i="7" s="1"/>
  <c r="AG151" i="7"/>
  <c r="K195" i="7" s="1"/>
  <c r="AF153" i="7"/>
  <c r="M194" i="7" s="1"/>
  <c r="AG158" i="7"/>
  <c r="R195" i="7" s="1"/>
  <c r="AF147" i="7"/>
  <c r="G194" i="7" s="1"/>
  <c r="AH150" i="7"/>
  <c r="J196" i="7" s="1"/>
  <c r="AG147" i="7"/>
  <c r="G195" i="7" s="1"/>
  <c r="AF151" i="7"/>
  <c r="K194" i="7" s="1"/>
  <c r="AF150" i="7"/>
  <c r="J194" i="7" s="1"/>
  <c r="AG162" i="7"/>
  <c r="V195" i="7" s="1"/>
  <c r="AF148" i="7"/>
  <c r="H194" i="7" s="1"/>
  <c r="AH156" i="7"/>
  <c r="P196" i="7" s="1"/>
  <c r="AG160" i="7"/>
  <c r="T195" i="7" s="1"/>
  <c r="AH145" i="7"/>
  <c r="E196" i="7" s="1"/>
  <c r="AH163" i="7"/>
  <c r="W196" i="7" s="1"/>
  <c r="AF145" i="7"/>
  <c r="E194" i="7" s="1"/>
  <c r="AH157" i="7"/>
  <c r="Q196" i="7" s="1"/>
  <c r="AF162" i="7"/>
  <c r="V194" i="7" s="1"/>
  <c r="AH153" i="7"/>
  <c r="M196" i="7" s="1"/>
  <c r="AG157" i="7"/>
  <c r="Q195" i="7" s="1"/>
  <c r="AF163" i="7"/>
  <c r="W194" i="7" s="1"/>
  <c r="AH151" i="7"/>
  <c r="K196" i="7" s="1"/>
  <c r="AO145" i="7"/>
  <c r="AQ145" i="7" s="1"/>
  <c r="P145" i="7"/>
  <c r="R145" i="7" s="1"/>
  <c r="AB123" i="1"/>
  <c r="CE145" i="7"/>
  <c r="CM161" i="7"/>
  <c r="CM150" i="7"/>
  <c r="CE161" i="7"/>
  <c r="CD146" i="7"/>
  <c r="CE146" i="7"/>
  <c r="CM157" i="7"/>
  <c r="CM149" i="7"/>
  <c r="CD148" i="7"/>
  <c r="CE155" i="7"/>
  <c r="CD157" i="7"/>
  <c r="CM145" i="7"/>
  <c r="CF153" i="7"/>
  <c r="CD152" i="7"/>
  <c r="CD160" i="7"/>
  <c r="CE162" i="7"/>
  <c r="CF158" i="7"/>
  <c r="CE157" i="7"/>
  <c r="CM151" i="7"/>
  <c r="CD161" i="7"/>
  <c r="CM154" i="7"/>
  <c r="CF162" i="7"/>
  <c r="CD158" i="7"/>
  <c r="CE163" i="7"/>
  <c r="CF157" i="7"/>
  <c r="CM159" i="7"/>
  <c r="CF150" i="7"/>
  <c r="CE154" i="7"/>
  <c r="CF155" i="7"/>
  <c r="CM162" i="7"/>
  <c r="CE150" i="7"/>
  <c r="CD150" i="7"/>
  <c r="CF146" i="7"/>
  <c r="CE159" i="7"/>
  <c r="CE152" i="7"/>
  <c r="CD147" i="7"/>
  <c r="CE147" i="7"/>
  <c r="CD163" i="7"/>
  <c r="CM146" i="7"/>
  <c r="CD151" i="7"/>
  <c r="DD150" i="7"/>
  <c r="J268" i="7" s="1"/>
  <c r="DL154" i="7"/>
  <c r="N276" i="7" s="1"/>
  <c r="DL153" i="7"/>
  <c r="M276" i="7" s="1"/>
  <c r="DL151" i="7"/>
  <c r="K276" i="7" s="1"/>
  <c r="DC145" i="7"/>
  <c r="DC150" i="7"/>
  <c r="DC155" i="7"/>
  <c r="DL147" i="7"/>
  <c r="G276" i="7" s="1"/>
  <c r="DC151" i="7"/>
  <c r="DD153" i="7"/>
  <c r="M268" i="7" s="1"/>
  <c r="DE151" i="7"/>
  <c r="DD148" i="7"/>
  <c r="H268" i="7" s="1"/>
  <c r="DE150" i="7"/>
  <c r="DD152" i="7"/>
  <c r="L268" i="7" s="1"/>
  <c r="DD146" i="7"/>
  <c r="F268" i="7" s="1"/>
  <c r="DL152" i="7"/>
  <c r="L276" i="7" s="1"/>
  <c r="DE149" i="7"/>
  <c r="DE154" i="7"/>
  <c r="DC146" i="7"/>
  <c r="DE147" i="7"/>
  <c r="DE145" i="7"/>
  <c r="BC11" i="7"/>
  <c r="BM11" i="7" s="1"/>
  <c r="DC147" i="7"/>
  <c r="DC153" i="7"/>
  <c r="DL155" i="7"/>
  <c r="O276" i="7" s="1"/>
  <c r="DC152" i="7"/>
  <c r="DL149" i="7"/>
  <c r="I276" i="7" s="1"/>
  <c r="DE152" i="7"/>
  <c r="DD151" i="7"/>
  <c r="K268" i="7" s="1"/>
  <c r="DD154" i="7"/>
  <c r="N268" i="7" s="1"/>
  <c r="DD145" i="7"/>
  <c r="E268" i="7" s="1"/>
  <c r="E270" i="7" s="1"/>
  <c r="DL150" i="7"/>
  <c r="J276" i="7" s="1"/>
  <c r="DL148" i="7"/>
  <c r="H276" i="7" s="1"/>
  <c r="DC148" i="7"/>
  <c r="DL146" i="7"/>
  <c r="F276" i="7" s="1"/>
  <c r="DD149" i="7"/>
  <c r="I268" i="7" s="1"/>
  <c r="DC149" i="7"/>
  <c r="DC154" i="7"/>
  <c r="DE153" i="7"/>
  <c r="DE148" i="7"/>
  <c r="DD155" i="7"/>
  <c r="O268" i="7" s="1"/>
  <c r="DE146" i="7"/>
  <c r="DL145" i="7"/>
  <c r="E276" i="7" s="1"/>
  <c r="DE155" i="7"/>
  <c r="DD147" i="7"/>
  <c r="G268" i="7" s="1"/>
  <c r="BO131" i="7"/>
  <c r="BL131" i="7"/>
  <c r="AS131" i="7"/>
  <c r="AU131" i="7" s="1"/>
  <c r="CK131" i="7"/>
  <c r="Q131" i="7"/>
  <c r="BJ131" i="7"/>
  <c r="AP131" i="7"/>
  <c r="W131" i="7"/>
  <c r="Y131" i="7" s="1"/>
  <c r="AM131" i="7"/>
  <c r="CN131" i="7"/>
  <c r="AK131" i="7"/>
  <c r="N131" i="7"/>
  <c r="CI131" i="7"/>
  <c r="BR131" i="7"/>
  <c r="BT131" i="7" s="1"/>
  <c r="T131" i="7"/>
  <c r="V131" i="7" s="1"/>
  <c r="CQ131" i="7"/>
  <c r="CS131" i="7" s="1"/>
  <c r="L131" i="7"/>
  <c r="CK75" i="7"/>
  <c r="BO75" i="7"/>
  <c r="N75" i="7"/>
  <c r="AM75" i="7"/>
  <c r="L75" i="7"/>
  <c r="AP75" i="7"/>
  <c r="BJ75" i="7"/>
  <c r="CN75" i="7"/>
  <c r="Q75" i="7"/>
  <c r="AK75" i="7"/>
  <c r="AS75" i="7"/>
  <c r="AU75" i="7" s="1"/>
  <c r="CI75" i="7"/>
  <c r="BL75" i="7"/>
  <c r="T75" i="7"/>
  <c r="V75" i="7" s="1"/>
  <c r="W75" i="7"/>
  <c r="Y75" i="7" s="1"/>
  <c r="BR75" i="7"/>
  <c r="BT75" i="7" s="1"/>
  <c r="CQ75" i="7"/>
  <c r="CS75" i="7" s="1"/>
  <c r="BU124" i="7"/>
  <c r="BW124" i="7" s="1"/>
  <c r="BG146" i="7"/>
  <c r="BO26" i="7"/>
  <c r="BJ26" i="7"/>
  <c r="AS26" i="7"/>
  <c r="AU26" i="7" s="1"/>
  <c r="W26" i="7"/>
  <c r="Y26" i="7" s="1"/>
  <c r="N26" i="7"/>
  <c r="AP26" i="7"/>
  <c r="CN26" i="7"/>
  <c r="CI26" i="7"/>
  <c r="BR26" i="7"/>
  <c r="BT26" i="7" s="1"/>
  <c r="AM26" i="7"/>
  <c r="CK26" i="7"/>
  <c r="AK26" i="7"/>
  <c r="T26" i="7"/>
  <c r="V26" i="7" s="1"/>
  <c r="CQ26" i="7"/>
  <c r="CS26" i="7" s="1"/>
  <c r="BL26" i="7"/>
  <c r="Q26" i="7"/>
  <c r="L26" i="7"/>
  <c r="BE150" i="7"/>
  <c r="BG149" i="7"/>
  <c r="BF161" i="7"/>
  <c r="CP10" i="7"/>
  <c r="CO11" i="7"/>
  <c r="CC11" i="7"/>
  <c r="CB12" i="7" s="1"/>
  <c r="CJ11" i="7"/>
  <c r="C390" i="7"/>
  <c r="E169" i="7"/>
  <c r="E384" i="7" s="1"/>
  <c r="F12" i="7"/>
  <c r="E13" i="7" s="1"/>
  <c r="F13" i="7" s="1"/>
  <c r="E14" i="7" s="1"/>
  <c r="F14" i="7" s="1"/>
  <c r="AO156" i="7"/>
  <c r="I196" i="7"/>
  <c r="AO148" i="7"/>
  <c r="H203" i="7" s="1"/>
  <c r="AO159" i="7"/>
  <c r="S203" i="7" s="1"/>
  <c r="T196" i="7"/>
  <c r="AO158" i="7"/>
  <c r="R203" i="7" s="1"/>
  <c r="CM152" i="7"/>
  <c r="BG157" i="7"/>
  <c r="BN156" i="7"/>
  <c r="P228" i="7" s="1"/>
  <c r="BE149" i="7"/>
  <c r="BN160" i="7"/>
  <c r="T228" i="7" s="1"/>
  <c r="BO19" i="7"/>
  <c r="BJ19" i="7"/>
  <c r="AS19" i="7"/>
  <c r="AU19" i="7" s="1"/>
  <c r="W19" i="7"/>
  <c r="Y19" i="7" s="1"/>
  <c r="N19" i="7"/>
  <c r="CK19" i="7"/>
  <c r="CN19" i="7"/>
  <c r="CI19" i="7"/>
  <c r="BR19" i="7"/>
  <c r="BT19" i="7" s="1"/>
  <c r="AM19" i="7"/>
  <c r="AP19" i="7"/>
  <c r="AK19" i="7"/>
  <c r="T19" i="7"/>
  <c r="V19" i="7" s="1"/>
  <c r="CQ19" i="7"/>
  <c r="CS19" i="7" s="1"/>
  <c r="BL19" i="7"/>
  <c r="Q19" i="7"/>
  <c r="L19" i="7"/>
  <c r="H152" i="7"/>
  <c r="L172" i="7" s="1"/>
  <c r="I151" i="7"/>
  <c r="K173" i="7" s="1"/>
  <c r="G153" i="7"/>
  <c r="I158" i="7"/>
  <c r="R173" i="7" s="1"/>
  <c r="H157" i="7"/>
  <c r="Q172" i="7" s="1"/>
  <c r="G154" i="7"/>
  <c r="P162" i="7"/>
  <c r="V180" i="7" s="1"/>
  <c r="I155" i="7"/>
  <c r="O173" i="7" s="1"/>
  <c r="I156" i="7"/>
  <c r="P173" i="7" s="1"/>
  <c r="P160" i="7"/>
  <c r="T180" i="7" s="1"/>
  <c r="CF148" i="7"/>
  <c r="CM158" i="7"/>
  <c r="BG163" i="7"/>
  <c r="BG153" i="7"/>
  <c r="CF147" i="7"/>
  <c r="BE156" i="7"/>
  <c r="BF151" i="7"/>
  <c r="BF160" i="7"/>
  <c r="BN145" i="7"/>
  <c r="BP145" i="7" s="1"/>
  <c r="BF158" i="7"/>
  <c r="BE145" i="7"/>
  <c r="BG154" i="7"/>
  <c r="BG156" i="7"/>
  <c r="CN124" i="7"/>
  <c r="CI124" i="7"/>
  <c r="BR124" i="7"/>
  <c r="BT124" i="7" s="1"/>
  <c r="AM124" i="7"/>
  <c r="CQ124" i="7"/>
  <c r="CS124" i="7" s="1"/>
  <c r="BL124" i="7"/>
  <c r="Q124" i="7"/>
  <c r="L124" i="7"/>
  <c r="CK124" i="7"/>
  <c r="AP124" i="7"/>
  <c r="AK124" i="7"/>
  <c r="T124" i="7"/>
  <c r="V124" i="7" s="1"/>
  <c r="N124" i="7"/>
  <c r="W124" i="7"/>
  <c r="Y124" i="7" s="1"/>
  <c r="BO124" i="7"/>
  <c r="BJ124" i="7"/>
  <c r="AS124" i="7"/>
  <c r="AU124" i="7" s="1"/>
  <c r="CN138" i="7"/>
  <c r="CI138" i="7"/>
  <c r="BR138" i="7"/>
  <c r="BT138" i="7" s="1"/>
  <c r="AM138" i="7"/>
  <c r="CQ138" i="7"/>
  <c r="CS138" i="7" s="1"/>
  <c r="BL138" i="7"/>
  <c r="Q138" i="7"/>
  <c r="L138" i="7"/>
  <c r="CK138" i="7"/>
  <c r="AP138" i="7"/>
  <c r="AK138" i="7"/>
  <c r="T138" i="7"/>
  <c r="V138" i="7" s="1"/>
  <c r="W138" i="7"/>
  <c r="Y138" i="7" s="1"/>
  <c r="BO138" i="7"/>
  <c r="BJ138" i="7"/>
  <c r="AS138" i="7"/>
  <c r="AU138" i="7" s="1"/>
  <c r="N138" i="7"/>
  <c r="BF163" i="7"/>
  <c r="BN155" i="7"/>
  <c r="O228" i="7" s="1"/>
  <c r="BE147" i="7"/>
  <c r="AO151" i="7"/>
  <c r="K203" i="7" s="1"/>
  <c r="AO162" i="7"/>
  <c r="V203" i="7" s="1"/>
  <c r="AO163" i="7"/>
  <c r="W203" i="7" s="1"/>
  <c r="CT33" i="7"/>
  <c r="CV33" i="7" s="1"/>
  <c r="CF149" i="7"/>
  <c r="CF154" i="7"/>
  <c r="CE160" i="7"/>
  <c r="CF145" i="7"/>
  <c r="CF161" i="7"/>
  <c r="CF159" i="7"/>
  <c r="CD155" i="7"/>
  <c r="CF151" i="7"/>
  <c r="CM160" i="7"/>
  <c r="CD159" i="7"/>
  <c r="CM147" i="7"/>
  <c r="CD153" i="7"/>
  <c r="CM163" i="7"/>
  <c r="CF160" i="7"/>
  <c r="CE149" i="7"/>
  <c r="CD154" i="7"/>
  <c r="CF152" i="7"/>
  <c r="BF150" i="7"/>
  <c r="BF157" i="7"/>
  <c r="BN148" i="7"/>
  <c r="H228" i="7" s="1"/>
  <c r="H145" i="7"/>
  <c r="E172" i="7" s="1"/>
  <c r="I163" i="7"/>
  <c r="W173" i="7" s="1"/>
  <c r="P163" i="7"/>
  <c r="W180" i="7" s="1"/>
  <c r="P151" i="7"/>
  <c r="K180" i="7" s="1"/>
  <c r="G152" i="7"/>
  <c r="H155" i="7"/>
  <c r="O172" i="7" s="1"/>
  <c r="G148" i="7"/>
  <c r="H156" i="7"/>
  <c r="P172" i="7" s="1"/>
  <c r="I152" i="7"/>
  <c r="L173" i="7" s="1"/>
  <c r="I157" i="7"/>
  <c r="Q173" i="7" s="1"/>
  <c r="I147" i="7"/>
  <c r="G173" i="7" s="1"/>
  <c r="H151" i="7"/>
  <c r="K172" i="7" s="1"/>
  <c r="CE148" i="7"/>
  <c r="BE161" i="7"/>
  <c r="BN158" i="7"/>
  <c r="R228" i="7" s="1"/>
  <c r="BI145" i="7"/>
  <c r="E223" i="7" s="1"/>
  <c r="BI13" i="7"/>
  <c r="CF163" i="7"/>
  <c r="CM148" i="7"/>
  <c r="BG152" i="7"/>
  <c r="BG148" i="7"/>
  <c r="BF148" i="7"/>
  <c r="BE158" i="7"/>
  <c r="BG160" i="7"/>
  <c r="BE162" i="7"/>
  <c r="AL11" i="7"/>
  <c r="AE11" i="7"/>
  <c r="AD12" i="7" s="1"/>
  <c r="BN149" i="7"/>
  <c r="I228" i="7" s="1"/>
  <c r="BE163" i="7"/>
  <c r="K12" i="7"/>
  <c r="O12" i="7" s="1"/>
  <c r="BF155" i="7"/>
  <c r="O220" i="7" s="1"/>
  <c r="AO153" i="7"/>
  <c r="M203" i="7" s="1"/>
  <c r="AO147" i="7"/>
  <c r="G203" i="7" s="1"/>
  <c r="AO150" i="7"/>
  <c r="J203" i="7" s="1"/>
  <c r="AV12" i="7"/>
  <c r="AX12" i="7" s="1"/>
  <c r="AO146" i="7"/>
  <c r="AO154" i="7"/>
  <c r="N203" i="7" s="1"/>
  <c r="AO160" i="7"/>
  <c r="T203" i="7" s="1"/>
  <c r="AO157" i="7"/>
  <c r="Q203" i="7" s="1"/>
  <c r="AO152" i="7"/>
  <c r="L203" i="7" s="1"/>
  <c r="AO155" i="7"/>
  <c r="O203" i="7" s="1"/>
  <c r="AO149" i="7"/>
  <c r="I203" i="7" s="1"/>
  <c r="CD162" i="7"/>
  <c r="CE158" i="7"/>
  <c r="BE154" i="7"/>
  <c r="BG151" i="7"/>
  <c r="BN159" i="7"/>
  <c r="S228" i="7" s="1"/>
  <c r="H160" i="7"/>
  <c r="T172" i="7" s="1"/>
  <c r="P148" i="7"/>
  <c r="H180" i="7" s="1"/>
  <c r="H148" i="7"/>
  <c r="H172" i="7" s="1"/>
  <c r="G147" i="7"/>
  <c r="G159" i="7"/>
  <c r="H154" i="7"/>
  <c r="N172" i="7" s="1"/>
  <c r="G146" i="7"/>
  <c r="I146" i="7"/>
  <c r="F173" i="7" s="1"/>
  <c r="H158" i="7"/>
  <c r="R172" i="7" s="1"/>
  <c r="I162" i="7"/>
  <c r="V173" i="7" s="1"/>
  <c r="H159" i="7"/>
  <c r="S172" i="7" s="1"/>
  <c r="P159" i="7"/>
  <c r="S180" i="7" s="1"/>
  <c r="H162" i="7"/>
  <c r="V172" i="7" s="1"/>
  <c r="G156" i="7"/>
  <c r="BO12" i="7"/>
  <c r="BJ12" i="7"/>
  <c r="AS12" i="7"/>
  <c r="AU12" i="7" s="1"/>
  <c r="W12" i="7"/>
  <c r="Y12" i="7" s="1"/>
  <c r="N12" i="7"/>
  <c r="CK12" i="7"/>
  <c r="CN12" i="7"/>
  <c r="CI12" i="7"/>
  <c r="BR12" i="7"/>
  <c r="BT12" i="7" s="1"/>
  <c r="AM12" i="7"/>
  <c r="AP12" i="7"/>
  <c r="T12" i="7"/>
  <c r="V12" i="7" s="1"/>
  <c r="CQ12" i="7"/>
  <c r="CS12" i="7" s="1"/>
  <c r="BL12" i="7"/>
  <c r="Q12" i="7"/>
  <c r="L12" i="7"/>
  <c r="AK12" i="7"/>
  <c r="G157" i="7"/>
  <c r="G149" i="7"/>
  <c r="H150" i="7"/>
  <c r="J172" i="7" s="1"/>
  <c r="P158" i="7"/>
  <c r="R180" i="7" s="1"/>
  <c r="H149" i="7"/>
  <c r="I172" i="7" s="1"/>
  <c r="G158" i="7"/>
  <c r="H163" i="7"/>
  <c r="W172" i="7" s="1"/>
  <c r="P147" i="7"/>
  <c r="G180" i="7" s="1"/>
  <c r="I148" i="7"/>
  <c r="H173" i="7" s="1"/>
  <c r="I161" i="7"/>
  <c r="U173" i="7" s="1"/>
  <c r="I145" i="7"/>
  <c r="E173" i="7" s="1"/>
  <c r="P153" i="7"/>
  <c r="M180" i="7" s="1"/>
  <c r="P157" i="7"/>
  <c r="Q180" i="7" s="1"/>
  <c r="G155" i="7"/>
  <c r="O171" i="7" s="1"/>
  <c r="G160" i="7"/>
  <c r="G145" i="7"/>
  <c r="E171" i="7" s="1"/>
  <c r="I153" i="7"/>
  <c r="M173" i="7" s="1"/>
  <c r="H161" i="7"/>
  <c r="U172" i="7" s="1"/>
  <c r="P154" i="7"/>
  <c r="N180" i="7" s="1"/>
  <c r="P152" i="7"/>
  <c r="L180" i="7" s="1"/>
  <c r="G150" i="7"/>
  <c r="CE153" i="7"/>
  <c r="CM155" i="7"/>
  <c r="BE157" i="7"/>
  <c r="BF152" i="7"/>
  <c r="BE159" i="7"/>
  <c r="BE152" i="7"/>
  <c r="BF153" i="7"/>
  <c r="BG145" i="7"/>
  <c r="BG150" i="7"/>
  <c r="BE151" i="7"/>
  <c r="BE148" i="7"/>
  <c r="BN154" i="7"/>
  <c r="N228" i="7" s="1"/>
  <c r="BF159" i="7"/>
  <c r="BN150" i="7"/>
  <c r="J228" i="7" s="1"/>
  <c r="BG162" i="7"/>
  <c r="BU12" i="7"/>
  <c r="BW12" i="7" s="1"/>
  <c r="BE146" i="7"/>
  <c r="BF146" i="7"/>
  <c r="BF156" i="7"/>
  <c r="BN153" i="7"/>
  <c r="M228" i="7" s="1"/>
  <c r="BG147" i="7"/>
  <c r="BN147" i="7"/>
  <c r="G228" i="7" s="1"/>
  <c r="BF147" i="7"/>
  <c r="BN163" i="7"/>
  <c r="W228" i="7" s="1"/>
  <c r="BF149" i="7"/>
  <c r="BG161" i="7"/>
  <c r="AJ11" i="7"/>
  <c r="BG155" i="7"/>
  <c r="O221" i="7" s="1"/>
  <c r="BG159" i="7"/>
  <c r="BN157" i="7"/>
  <c r="CK54" i="7"/>
  <c r="AP54" i="7"/>
  <c r="AK54" i="7"/>
  <c r="T54" i="7"/>
  <c r="V54" i="7" s="1"/>
  <c r="BO54" i="7"/>
  <c r="BJ54" i="7"/>
  <c r="AS54" i="7"/>
  <c r="AU54" i="7" s="1"/>
  <c r="W54" i="7"/>
  <c r="Y54" i="7" s="1"/>
  <c r="N54" i="7"/>
  <c r="CN54" i="7"/>
  <c r="CI54" i="7"/>
  <c r="BR54" i="7"/>
  <c r="BT54" i="7" s="1"/>
  <c r="AM54" i="7"/>
  <c r="CQ54" i="7"/>
  <c r="CS54" i="7" s="1"/>
  <c r="L54" i="7"/>
  <c r="BL54" i="7"/>
  <c r="Q54" i="7"/>
  <c r="AO161" i="7"/>
  <c r="U203" i="7" s="1"/>
  <c r="H196" i="7"/>
  <c r="CE151" i="7"/>
  <c r="BE153" i="7"/>
  <c r="BF162" i="7"/>
  <c r="BE160" i="7"/>
  <c r="BO96" i="7"/>
  <c r="BJ96" i="7"/>
  <c r="AS96" i="7"/>
  <c r="AU96" i="7" s="1"/>
  <c r="W96" i="7"/>
  <c r="Y96" i="7" s="1"/>
  <c r="N96" i="7"/>
  <c r="CN96" i="7"/>
  <c r="CI96" i="7"/>
  <c r="BR96" i="7"/>
  <c r="BT96" i="7" s="1"/>
  <c r="AM96" i="7"/>
  <c r="CQ96" i="7"/>
  <c r="CS96" i="7" s="1"/>
  <c r="BL96" i="7"/>
  <c r="Q96" i="7"/>
  <c r="L96" i="7"/>
  <c r="AP96" i="7"/>
  <c r="AK96" i="7"/>
  <c r="T96" i="7"/>
  <c r="V96" i="7" s="1"/>
  <c r="CK96" i="7"/>
  <c r="G162" i="7"/>
  <c r="P155" i="7"/>
  <c r="O180" i="7" s="1"/>
  <c r="P161" i="7"/>
  <c r="U180" i="7" s="1"/>
  <c r="P149" i="7"/>
  <c r="I180" i="7" s="1"/>
  <c r="H147" i="7"/>
  <c r="G172" i="7" s="1"/>
  <c r="I159" i="7"/>
  <c r="S173" i="7" s="1"/>
  <c r="I160" i="7"/>
  <c r="T173" i="7" s="1"/>
  <c r="I154" i="7"/>
  <c r="N173" i="7" s="1"/>
  <c r="P156" i="7"/>
  <c r="P180" i="7" s="1"/>
  <c r="G151" i="7"/>
  <c r="G161" i="7"/>
  <c r="I149" i="7"/>
  <c r="I173" i="7" s="1"/>
  <c r="G163" i="7"/>
  <c r="P150" i="7"/>
  <c r="J180" i="7" s="1"/>
  <c r="H153" i="7"/>
  <c r="M172" i="7" s="1"/>
  <c r="I150" i="7"/>
  <c r="J173" i="7" s="1"/>
  <c r="BO110" i="7"/>
  <c r="BJ110" i="7"/>
  <c r="AS110" i="7"/>
  <c r="AU110" i="7" s="1"/>
  <c r="W110" i="7"/>
  <c r="Y110" i="7" s="1"/>
  <c r="N110" i="7"/>
  <c r="CN110" i="7"/>
  <c r="CI110" i="7"/>
  <c r="BR110" i="7"/>
  <c r="BT110" i="7" s="1"/>
  <c r="AM110" i="7"/>
  <c r="CQ110" i="7"/>
  <c r="CS110" i="7" s="1"/>
  <c r="BL110" i="7"/>
  <c r="Q110" i="7"/>
  <c r="L110" i="7"/>
  <c r="AP110" i="7"/>
  <c r="AK110" i="7"/>
  <c r="T110" i="7"/>
  <c r="V110" i="7" s="1"/>
  <c r="CK110" i="7"/>
  <c r="BN151" i="7"/>
  <c r="K228" i="7" s="1"/>
  <c r="BN146" i="7"/>
  <c r="F228" i="7" s="1"/>
  <c r="BF154" i="7"/>
  <c r="CH12" i="7"/>
  <c r="CL11" i="7"/>
  <c r="CM153" i="7"/>
  <c r="CD149" i="7"/>
  <c r="BN162" i="7"/>
  <c r="V228" i="7" s="1"/>
  <c r="BE155" i="7"/>
  <c r="O219" i="7" s="1"/>
  <c r="BG158" i="7"/>
  <c r="BF145" i="7"/>
  <c r="BN161" i="7"/>
  <c r="U228" i="7" s="1"/>
  <c r="BN152" i="7"/>
  <c r="L228" i="7" s="1"/>
  <c r="AB130" i="1"/>
  <c r="AV129" i="1"/>
  <c r="AX129" i="1" s="1"/>
  <c r="AV60" i="1"/>
  <c r="AX60" i="1" s="1"/>
  <c r="AB61" i="1"/>
  <c r="AV61" i="1" s="1"/>
  <c r="AX61" i="1" s="1"/>
  <c r="AB26" i="1"/>
  <c r="AV26" i="1" s="1"/>
  <c r="AX26" i="1" s="1"/>
  <c r="AV25" i="1"/>
  <c r="AX25" i="1" s="1"/>
  <c r="AB138" i="1"/>
  <c r="AV137" i="1"/>
  <c r="AX137" i="1" s="1"/>
  <c r="AB103" i="1"/>
  <c r="AV103" i="1" s="1"/>
  <c r="AX103" i="1" s="1"/>
  <c r="AV102" i="1"/>
  <c r="AX102" i="1" s="1"/>
  <c r="AV32" i="1"/>
  <c r="AX32" i="1" s="1"/>
  <c r="AB33" i="1"/>
  <c r="AV33" i="1" s="1"/>
  <c r="AX33" i="1" s="1"/>
  <c r="AB124" i="1"/>
  <c r="AV124" i="1" s="1"/>
  <c r="AX124" i="1" s="1"/>
  <c r="AV123" i="1"/>
  <c r="AX123" i="1" s="1"/>
  <c r="AT110" i="1"/>
  <c r="AT159" i="1" s="1"/>
  <c r="S208" i="1" s="1"/>
  <c r="AB88" i="1"/>
  <c r="AV87" i="1"/>
  <c r="AX87" i="1" s="1"/>
  <c r="AQ9" i="1"/>
  <c r="AR9" i="1" s="1"/>
  <c r="AE9" i="1"/>
  <c r="AD10" i="1" s="1"/>
  <c r="AL9" i="1"/>
  <c r="AT40" i="1"/>
  <c r="AT149" i="1" s="1"/>
  <c r="I208" i="1" s="1"/>
  <c r="AV108" i="1"/>
  <c r="AX108" i="1" s="1"/>
  <c r="AB109" i="1"/>
  <c r="AB74" i="1"/>
  <c r="AV73" i="1"/>
  <c r="AX73" i="1" s="1"/>
  <c r="AB47" i="1"/>
  <c r="AV47" i="1" s="1"/>
  <c r="AX47" i="1" s="1"/>
  <c r="AV46" i="1"/>
  <c r="AX46" i="1" s="1"/>
  <c r="AB40" i="1"/>
  <c r="AV40" i="1" s="1"/>
  <c r="AX40" i="1" s="1"/>
  <c r="AV39" i="1"/>
  <c r="AX39" i="1" s="1"/>
  <c r="AB67" i="1"/>
  <c r="AV66" i="1"/>
  <c r="AX66" i="1" s="1"/>
  <c r="AT68" i="1"/>
  <c r="AT153" i="1" s="1"/>
  <c r="M208" i="1" s="1"/>
  <c r="AB117" i="1"/>
  <c r="AV117" i="1" s="1"/>
  <c r="AX117" i="1" s="1"/>
  <c r="AV116" i="1"/>
  <c r="AX116" i="1" s="1"/>
  <c r="AN9" i="1"/>
  <c r="AJ10" i="1"/>
  <c r="AB96" i="1"/>
  <c r="AV96" i="1" s="1"/>
  <c r="AX96" i="1" s="1"/>
  <c r="AV95" i="1"/>
  <c r="AX95" i="1" s="1"/>
  <c r="AB18" i="1"/>
  <c r="AV17" i="1"/>
  <c r="AX17" i="1" s="1"/>
  <c r="AB12" i="1"/>
  <c r="AV11" i="1"/>
  <c r="AX11" i="1" s="1"/>
  <c r="C172" i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244" i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AZ123" i="1"/>
  <c r="BY105" i="1"/>
  <c r="BY42" i="1"/>
  <c r="BY43" i="1" s="1"/>
  <c r="BY44" i="1" s="1"/>
  <c r="BY45" i="1" s="1"/>
  <c r="DG88" i="9" l="1"/>
  <c r="DK87" i="9"/>
  <c r="DB87" i="9"/>
  <c r="DA88" i="9" s="1"/>
  <c r="DI87" i="9"/>
  <c r="DN87" i="9"/>
  <c r="DO87" i="9" s="1"/>
  <c r="CL88" i="9"/>
  <c r="CH89" i="9"/>
  <c r="CO88" i="9"/>
  <c r="CP88" i="9" s="1"/>
  <c r="CC88" i="9"/>
  <c r="CB89" i="9" s="1"/>
  <c r="CJ88" i="9"/>
  <c r="BI89" i="9"/>
  <c r="BM89" i="9" s="1"/>
  <c r="BP87" i="9"/>
  <c r="BQ87" i="9" s="1"/>
  <c r="BD87" i="9"/>
  <c r="BC88" i="9" s="1"/>
  <c r="BK87" i="9"/>
  <c r="AR87" i="9"/>
  <c r="AQ87" i="9"/>
  <c r="AE87" i="9"/>
  <c r="AD88" i="9" s="1"/>
  <c r="AL87" i="9"/>
  <c r="AN87" i="9"/>
  <c r="AJ88" i="9"/>
  <c r="O217" i="9"/>
  <c r="BP155" i="9"/>
  <c r="O230" i="9" s="1"/>
  <c r="O86" i="9"/>
  <c r="K87" i="9"/>
  <c r="O169" i="9"/>
  <c r="R155" i="9"/>
  <c r="O182" i="9" s="1"/>
  <c r="O177" i="9"/>
  <c r="O155" i="9"/>
  <c r="O179" i="9" s="1"/>
  <c r="DA156" i="9"/>
  <c r="R77" i="9"/>
  <c r="S77" i="9" s="1"/>
  <c r="E78" i="9"/>
  <c r="F78" i="9" s="1"/>
  <c r="M77" i="9"/>
  <c r="P203" i="7"/>
  <c r="AQ156" i="7"/>
  <c r="F203" i="7"/>
  <c r="AQ146" i="7"/>
  <c r="R244" i="7"/>
  <c r="I243" i="7"/>
  <c r="K244" i="7"/>
  <c r="N243" i="7"/>
  <c r="O252" i="7"/>
  <c r="O395" i="7" s="1"/>
  <c r="I244" i="7"/>
  <c r="O243" i="7"/>
  <c r="T244" i="7"/>
  <c r="G245" i="7"/>
  <c r="K243" i="7"/>
  <c r="K340" i="7"/>
  <c r="K294" i="7"/>
  <c r="K270" i="7"/>
  <c r="G243" i="7"/>
  <c r="G340" i="7"/>
  <c r="J243" i="7"/>
  <c r="O245" i="7"/>
  <c r="O388" i="7" s="1"/>
  <c r="Q245" i="7"/>
  <c r="N252" i="7"/>
  <c r="R245" i="7"/>
  <c r="M245" i="7"/>
  <c r="H243" i="7"/>
  <c r="H317" i="7"/>
  <c r="F243" i="7"/>
  <c r="E244" i="7"/>
  <c r="E243" i="7"/>
  <c r="P243" i="7"/>
  <c r="F252" i="7"/>
  <c r="L244" i="7"/>
  <c r="N244" i="7"/>
  <c r="W244" i="7"/>
  <c r="U243" i="7"/>
  <c r="U340" i="7"/>
  <c r="V244" i="7"/>
  <c r="E252" i="7"/>
  <c r="I252" i="7"/>
  <c r="U244" i="7"/>
  <c r="S243" i="7"/>
  <c r="N245" i="7"/>
  <c r="V243" i="7"/>
  <c r="V317" i="7"/>
  <c r="H244" i="7"/>
  <c r="U245" i="7"/>
  <c r="W243" i="7"/>
  <c r="W294" i="7"/>
  <c r="W317" i="7"/>
  <c r="W270" i="7"/>
  <c r="S244" i="7"/>
  <c r="J245" i="7"/>
  <c r="R243" i="7"/>
  <c r="R340" i="7"/>
  <c r="R317" i="7"/>
  <c r="R294" i="7"/>
  <c r="R270" i="7"/>
  <c r="K252" i="7"/>
  <c r="T243" i="7"/>
  <c r="T294" i="7"/>
  <c r="T317" i="7"/>
  <c r="Q317" i="7"/>
  <c r="Q294" i="7"/>
  <c r="J252" i="7"/>
  <c r="M243" i="7"/>
  <c r="M317" i="7"/>
  <c r="M294" i="7"/>
  <c r="M270" i="7"/>
  <c r="G244" i="7"/>
  <c r="F245" i="7"/>
  <c r="V245" i="7"/>
  <c r="Q244" i="7"/>
  <c r="L243" i="7"/>
  <c r="L294" i="7"/>
  <c r="L317" i="7"/>
  <c r="L270" i="7"/>
  <c r="O244" i="7"/>
  <c r="O387" i="7" s="1"/>
  <c r="F244" i="7"/>
  <c r="HB155" i="7"/>
  <c r="EE149" i="7"/>
  <c r="EE153" i="7"/>
  <c r="HB152" i="7"/>
  <c r="EE145" i="7"/>
  <c r="R12" i="7"/>
  <c r="S12" i="7" s="1"/>
  <c r="S145" i="7" s="1"/>
  <c r="E183" i="7" s="1"/>
  <c r="EE150" i="7"/>
  <c r="HB150" i="7"/>
  <c r="GC154" i="7"/>
  <c r="FD145" i="7"/>
  <c r="EE148" i="7"/>
  <c r="GC152" i="7"/>
  <c r="GC146" i="7"/>
  <c r="FD152" i="7"/>
  <c r="GC147" i="7"/>
  <c r="FD149" i="7"/>
  <c r="EE147" i="7"/>
  <c r="FD154" i="7"/>
  <c r="CG161" i="7"/>
  <c r="FD147" i="7"/>
  <c r="FD155" i="7"/>
  <c r="HB147" i="7"/>
  <c r="HB154" i="7"/>
  <c r="HB153" i="7"/>
  <c r="Q228" i="7"/>
  <c r="S252" i="7"/>
  <c r="GC153" i="7"/>
  <c r="HB148" i="7"/>
  <c r="CG146" i="7"/>
  <c r="BD11" i="7"/>
  <c r="BC12" i="7" s="1"/>
  <c r="BM12" i="7" s="1"/>
  <c r="GC155" i="7"/>
  <c r="HB149" i="7"/>
  <c r="EE154" i="7"/>
  <c r="HB146" i="7"/>
  <c r="HB151" i="7"/>
  <c r="HB145" i="7"/>
  <c r="GC151" i="7"/>
  <c r="V252" i="7"/>
  <c r="U252" i="7"/>
  <c r="BK11" i="7"/>
  <c r="W252" i="7"/>
  <c r="T252" i="7"/>
  <c r="GC145" i="7"/>
  <c r="EE155" i="7"/>
  <c r="FD151" i="7"/>
  <c r="FD146" i="7"/>
  <c r="CG156" i="7"/>
  <c r="EE152" i="7"/>
  <c r="GC150" i="7"/>
  <c r="DG145" i="7"/>
  <c r="E271" i="7" s="1"/>
  <c r="HC145" i="7"/>
  <c r="E364" i="7" s="1"/>
  <c r="GD145" i="7"/>
  <c r="E341" i="7" s="1"/>
  <c r="FE145" i="7"/>
  <c r="E318" i="7" s="1"/>
  <c r="EF145" i="7"/>
  <c r="E295" i="7" s="1"/>
  <c r="AJ12" i="7"/>
  <c r="AN12" i="7" s="1"/>
  <c r="AN11" i="7"/>
  <c r="BP11" i="7"/>
  <c r="BQ11" i="7" s="1"/>
  <c r="Q243" i="7"/>
  <c r="CG157" i="7"/>
  <c r="Q252" i="7"/>
  <c r="EE151" i="7"/>
  <c r="FD153" i="7"/>
  <c r="GC149" i="7"/>
  <c r="FD148" i="7"/>
  <c r="GC148" i="7"/>
  <c r="FD150" i="7"/>
  <c r="HE35" i="7"/>
  <c r="HJ35" i="7"/>
  <c r="HK35" i="7" s="1"/>
  <c r="GX35" i="7"/>
  <c r="GW36" i="7" s="1"/>
  <c r="HG35" i="7"/>
  <c r="HC36" i="7"/>
  <c r="GK35" i="7"/>
  <c r="GL35" i="7" s="1"/>
  <c r="FY35" i="7"/>
  <c r="FX36" i="7" s="1"/>
  <c r="GF35" i="7"/>
  <c r="GH34" i="7"/>
  <c r="GD35" i="7"/>
  <c r="FL36" i="7"/>
  <c r="FM36" i="7" s="1"/>
  <c r="EZ36" i="7"/>
  <c r="EY37" i="7" s="1"/>
  <c r="FG36" i="7"/>
  <c r="FE36" i="7"/>
  <c r="FI35" i="7"/>
  <c r="EM36" i="7"/>
  <c r="EN36" i="7" s="1"/>
  <c r="EA36" i="7"/>
  <c r="DZ37" i="7" s="1"/>
  <c r="EH36" i="7"/>
  <c r="EJ36" i="7"/>
  <c r="EF37" i="7"/>
  <c r="DN36" i="7"/>
  <c r="DO36" i="7" s="1"/>
  <c r="DI36" i="7"/>
  <c r="DB36" i="7"/>
  <c r="DA37" i="7" s="1"/>
  <c r="DG36" i="7"/>
  <c r="DK35" i="7"/>
  <c r="AQ29" i="8"/>
  <c r="AR29" i="8" s="1"/>
  <c r="AE29" i="8"/>
  <c r="AD30" i="8" s="1"/>
  <c r="AL29" i="8"/>
  <c r="CO29" i="8"/>
  <c r="CC29" i="8"/>
  <c r="CB30" i="8" s="1"/>
  <c r="CJ29" i="8"/>
  <c r="CL29" i="8"/>
  <c r="BM31" i="8"/>
  <c r="BI32" i="8"/>
  <c r="CP28" i="8"/>
  <c r="CP29" i="8" s="1"/>
  <c r="DN31" i="8"/>
  <c r="DO31" i="8" s="1"/>
  <c r="DI31" i="8"/>
  <c r="DB31" i="8"/>
  <c r="DA32" i="8" s="1"/>
  <c r="DK30" i="8"/>
  <c r="DG31" i="8"/>
  <c r="R28" i="8"/>
  <c r="S28" i="8" s="1"/>
  <c r="F28" i="8"/>
  <c r="E29" i="8" s="1"/>
  <c r="M28" i="8"/>
  <c r="CH33" i="8"/>
  <c r="O30" i="8"/>
  <c r="K31" i="8"/>
  <c r="AJ33" i="8"/>
  <c r="AN32" i="8"/>
  <c r="BP28" i="8"/>
  <c r="BQ28" i="8" s="1"/>
  <c r="BD28" i="8"/>
  <c r="BC29" i="8" s="1"/>
  <c r="BK28" i="8"/>
  <c r="O222" i="7"/>
  <c r="O197" i="7"/>
  <c r="O174" i="7"/>
  <c r="E180" i="7"/>
  <c r="E203" i="7"/>
  <c r="AJ145" i="7"/>
  <c r="AN145" i="7" s="1"/>
  <c r="E228" i="7"/>
  <c r="AI145" i="7"/>
  <c r="J146" i="7"/>
  <c r="AV138" i="1"/>
  <c r="AX138" i="1" s="1"/>
  <c r="P244" i="7"/>
  <c r="E197" i="7"/>
  <c r="T245" i="7"/>
  <c r="G252" i="7"/>
  <c r="L252" i="7"/>
  <c r="CG150" i="7"/>
  <c r="J244" i="7"/>
  <c r="M252" i="7"/>
  <c r="L245" i="7"/>
  <c r="P245" i="7"/>
  <c r="S245" i="7"/>
  <c r="R252" i="7"/>
  <c r="M244" i="7"/>
  <c r="H252" i="7"/>
  <c r="I245" i="7"/>
  <c r="H245" i="7"/>
  <c r="W245" i="7"/>
  <c r="K245" i="7"/>
  <c r="E245" i="7"/>
  <c r="E174" i="7"/>
  <c r="I220" i="7"/>
  <c r="J221" i="7"/>
  <c r="S221" i="7"/>
  <c r="E221" i="7"/>
  <c r="K221" i="7"/>
  <c r="H220" i="7"/>
  <c r="Q220" i="7"/>
  <c r="P221" i="7"/>
  <c r="Q221" i="7"/>
  <c r="I221" i="7"/>
  <c r="R221" i="7"/>
  <c r="G221" i="7"/>
  <c r="S220" i="7"/>
  <c r="L220" i="7"/>
  <c r="W220" i="7"/>
  <c r="R220" i="7"/>
  <c r="U220" i="7"/>
  <c r="F221" i="7"/>
  <c r="G220" i="7"/>
  <c r="P220" i="7"/>
  <c r="V221" i="7"/>
  <c r="M220" i="7"/>
  <c r="H221" i="7"/>
  <c r="J220" i="7"/>
  <c r="N221" i="7"/>
  <c r="T220" i="7"/>
  <c r="M221" i="7"/>
  <c r="M388" i="7" s="1"/>
  <c r="E220" i="7"/>
  <c r="N220" i="7"/>
  <c r="V220" i="7"/>
  <c r="U221" i="7"/>
  <c r="F220" i="7"/>
  <c r="T221" i="7"/>
  <c r="L221" i="7"/>
  <c r="K220" i="7"/>
  <c r="W221" i="7"/>
  <c r="CG160" i="7"/>
  <c r="DF154" i="7"/>
  <c r="CG152" i="7"/>
  <c r="CG147" i="7"/>
  <c r="DF163" i="7"/>
  <c r="DF149" i="7"/>
  <c r="DF148" i="7"/>
  <c r="DF162" i="7"/>
  <c r="DF155" i="7"/>
  <c r="DF147" i="7"/>
  <c r="DF150" i="7"/>
  <c r="DF152" i="7"/>
  <c r="DF153" i="7"/>
  <c r="DF146" i="7"/>
  <c r="DF151" i="7"/>
  <c r="DF145" i="7"/>
  <c r="CG145" i="7"/>
  <c r="E182" i="7"/>
  <c r="F197" i="7"/>
  <c r="AI146" i="7"/>
  <c r="K219" i="7"/>
  <c r="BH151" i="7"/>
  <c r="Q219" i="7"/>
  <c r="BH157" i="7"/>
  <c r="J171" i="7"/>
  <c r="J150" i="7"/>
  <c r="T171" i="7"/>
  <c r="J160" i="7"/>
  <c r="R171" i="7"/>
  <c r="J158" i="7"/>
  <c r="P171" i="7"/>
  <c r="J156" i="7"/>
  <c r="F171" i="7"/>
  <c r="F174" i="7" s="1"/>
  <c r="AI155" i="7"/>
  <c r="L197" i="7"/>
  <c r="AI152" i="7"/>
  <c r="U197" i="7"/>
  <c r="AI161" i="7"/>
  <c r="BH163" i="7"/>
  <c r="W219" i="7"/>
  <c r="L171" i="7"/>
  <c r="J152" i="7"/>
  <c r="CG153" i="7"/>
  <c r="G219" i="7"/>
  <c r="BH147" i="7"/>
  <c r="J219" i="7"/>
  <c r="BH150" i="7"/>
  <c r="CG163" i="7"/>
  <c r="BH155" i="7"/>
  <c r="J162" i="7"/>
  <c r="V171" i="7"/>
  <c r="M219" i="7"/>
  <c r="BH153" i="7"/>
  <c r="W197" i="7"/>
  <c r="AI163" i="7"/>
  <c r="F219" i="7"/>
  <c r="BH146" i="7"/>
  <c r="L219" i="7"/>
  <c r="BH152" i="7"/>
  <c r="J155" i="7"/>
  <c r="J149" i="7"/>
  <c r="I171" i="7"/>
  <c r="T197" i="7"/>
  <c r="AI160" i="7"/>
  <c r="AQ12" i="7"/>
  <c r="AR12" i="7" s="1"/>
  <c r="AR145" i="7" s="1"/>
  <c r="AL12" i="7"/>
  <c r="AE12" i="7"/>
  <c r="V219" i="7"/>
  <c r="BH162" i="7"/>
  <c r="CG154" i="7"/>
  <c r="H197" i="7"/>
  <c r="AI148" i="7"/>
  <c r="N171" i="7"/>
  <c r="J154" i="7"/>
  <c r="I219" i="7"/>
  <c r="BH149" i="7"/>
  <c r="C391" i="7"/>
  <c r="C392" i="7" s="1"/>
  <c r="C393" i="7" s="1"/>
  <c r="C394" i="7" s="1"/>
  <c r="C395" i="7" s="1"/>
  <c r="CP11" i="7"/>
  <c r="CG151" i="7"/>
  <c r="CG149" i="7"/>
  <c r="CH145" i="7"/>
  <c r="CH13" i="7"/>
  <c r="CL12" i="7"/>
  <c r="J161" i="7"/>
  <c r="U171" i="7"/>
  <c r="BH160" i="7"/>
  <c r="T219" i="7"/>
  <c r="BH159" i="7"/>
  <c r="S219" i="7"/>
  <c r="J145" i="7"/>
  <c r="M145" i="7" s="1"/>
  <c r="J157" i="7"/>
  <c r="Q171" i="7"/>
  <c r="J159" i="7"/>
  <c r="S171" i="7"/>
  <c r="CG162" i="7"/>
  <c r="N197" i="7"/>
  <c r="AI154" i="7"/>
  <c r="R197" i="7"/>
  <c r="AI158" i="7"/>
  <c r="G197" i="7"/>
  <c r="AI147" i="7"/>
  <c r="V197" i="7"/>
  <c r="AI162" i="7"/>
  <c r="CG148" i="7"/>
  <c r="BI14" i="7"/>
  <c r="U219" i="7"/>
  <c r="BH161" i="7"/>
  <c r="H171" i="7"/>
  <c r="J148" i="7"/>
  <c r="CG159" i="7"/>
  <c r="P219" i="7"/>
  <c r="BH156" i="7"/>
  <c r="Q197" i="7"/>
  <c r="AI157" i="7"/>
  <c r="CG158" i="7"/>
  <c r="J163" i="7"/>
  <c r="W171" i="7"/>
  <c r="K171" i="7"/>
  <c r="J151" i="7"/>
  <c r="P197" i="7"/>
  <c r="AI156" i="7"/>
  <c r="H219" i="7"/>
  <c r="BH148" i="7"/>
  <c r="G171" i="7"/>
  <c r="G386" i="7" s="1"/>
  <c r="J147" i="7"/>
  <c r="N219" i="7"/>
  <c r="BH154" i="7"/>
  <c r="J197" i="7"/>
  <c r="AI150" i="7"/>
  <c r="K197" i="7"/>
  <c r="AI151" i="7"/>
  <c r="S197" i="7"/>
  <c r="AI159" i="7"/>
  <c r="K145" i="7"/>
  <c r="O145" i="7" s="1"/>
  <c r="K13" i="7"/>
  <c r="R219" i="7"/>
  <c r="BH158" i="7"/>
  <c r="CG155" i="7"/>
  <c r="I197" i="7"/>
  <c r="AI149" i="7"/>
  <c r="E219" i="7"/>
  <c r="BH145" i="7"/>
  <c r="M171" i="7"/>
  <c r="J153" i="7"/>
  <c r="M197" i="7"/>
  <c r="AI153" i="7"/>
  <c r="F145" i="7"/>
  <c r="E170" i="7" s="1"/>
  <c r="CO12" i="7"/>
  <c r="EM145" i="7" s="1"/>
  <c r="CC12" i="7"/>
  <c r="CJ12" i="7"/>
  <c r="AV12" i="1"/>
  <c r="AX12" i="1" s="1"/>
  <c r="AB131" i="1"/>
  <c r="AV131" i="1" s="1"/>
  <c r="AX131" i="1" s="1"/>
  <c r="AV130" i="1"/>
  <c r="AX130" i="1" s="1"/>
  <c r="AB75" i="1"/>
  <c r="AV75" i="1" s="1"/>
  <c r="AX75" i="1" s="1"/>
  <c r="AV74" i="1"/>
  <c r="AX74" i="1" s="1"/>
  <c r="AB110" i="1"/>
  <c r="AV110" i="1" s="1"/>
  <c r="AX110" i="1" s="1"/>
  <c r="AV109" i="1"/>
  <c r="AX109" i="1" s="1"/>
  <c r="AB89" i="1"/>
  <c r="AV89" i="1" s="1"/>
  <c r="AX89" i="1" s="1"/>
  <c r="AV88" i="1"/>
  <c r="AX88" i="1" s="1"/>
  <c r="AJ11" i="1"/>
  <c r="AN10" i="1"/>
  <c r="AB68" i="1"/>
  <c r="AV68" i="1" s="1"/>
  <c r="AX68" i="1" s="1"/>
  <c r="AV67" i="1"/>
  <c r="AX67" i="1" s="1"/>
  <c r="AQ10" i="1"/>
  <c r="AE10" i="1"/>
  <c r="AD11" i="1" s="1"/>
  <c r="AL10" i="1"/>
  <c r="AB19" i="1"/>
  <c r="AH146" i="1" s="1"/>
  <c r="AV18" i="1"/>
  <c r="AX18" i="1" s="1"/>
  <c r="F281" i="1"/>
  <c r="F295" i="1" s="1"/>
  <c r="G281" i="1"/>
  <c r="G295" i="1" s="1"/>
  <c r="H281" i="1"/>
  <c r="H295" i="1" s="1"/>
  <c r="I281" i="1"/>
  <c r="I295" i="1" s="1"/>
  <c r="J281" i="1"/>
  <c r="J295" i="1" s="1"/>
  <c r="K281" i="1"/>
  <c r="K295" i="1" s="1"/>
  <c r="L281" i="1"/>
  <c r="L295" i="1" s="1"/>
  <c r="M281" i="1"/>
  <c r="M295" i="1" s="1"/>
  <c r="N281" i="1"/>
  <c r="N295" i="1" s="1"/>
  <c r="O281" i="1"/>
  <c r="O295" i="1" s="1"/>
  <c r="P281" i="1"/>
  <c r="P295" i="1" s="1"/>
  <c r="Q281" i="1"/>
  <c r="Q295" i="1" s="1"/>
  <c r="R281" i="1"/>
  <c r="R295" i="1" s="1"/>
  <c r="S281" i="1"/>
  <c r="S295" i="1" s="1"/>
  <c r="T281" i="1"/>
  <c r="T295" i="1" s="1"/>
  <c r="U281" i="1"/>
  <c r="U295" i="1" s="1"/>
  <c r="V281" i="1"/>
  <c r="V295" i="1" s="1"/>
  <c r="W281" i="1"/>
  <c r="W295" i="1" s="1"/>
  <c r="E281" i="1"/>
  <c r="E295" i="1" s="1"/>
  <c r="I246" i="7" l="1"/>
  <c r="DK88" i="9"/>
  <c r="DG89" i="9"/>
  <c r="DN88" i="9"/>
  <c r="DO88" i="9" s="1"/>
  <c r="DB88" i="9"/>
  <c r="DA89" i="9" s="1"/>
  <c r="DI88" i="9"/>
  <c r="CH90" i="9"/>
  <c r="CL89" i="9"/>
  <c r="CO89" i="9"/>
  <c r="CP89" i="9" s="1"/>
  <c r="CJ89" i="9"/>
  <c r="CC89" i="9"/>
  <c r="CB90" i="9" s="1"/>
  <c r="BI90" i="9"/>
  <c r="BM90" i="9" s="1"/>
  <c r="BD88" i="9"/>
  <c r="BC89" i="9" s="1"/>
  <c r="BK88" i="9"/>
  <c r="BP88" i="9"/>
  <c r="BQ88" i="9" s="1"/>
  <c r="AQ88" i="9"/>
  <c r="AR88" i="9" s="1"/>
  <c r="AE88" i="9"/>
  <c r="AD89" i="9" s="1"/>
  <c r="AL88" i="9"/>
  <c r="AJ89" i="9"/>
  <c r="AN88" i="9"/>
  <c r="P265" i="9"/>
  <c r="DN156" i="9"/>
  <c r="P278" i="9" s="1"/>
  <c r="O292" i="9"/>
  <c r="O307" i="9" s="1"/>
  <c r="O317" i="9"/>
  <c r="O343" i="9" s="1"/>
  <c r="M11" i="5" s="1"/>
  <c r="R78" i="9"/>
  <c r="S78" i="9" s="1"/>
  <c r="E79" i="9"/>
  <c r="F79" i="9" s="1"/>
  <c r="M78" i="9"/>
  <c r="O87" i="9"/>
  <c r="K88" i="9"/>
  <c r="AJ156" i="9"/>
  <c r="U387" i="7"/>
  <c r="S387" i="7"/>
  <c r="F387" i="7"/>
  <c r="V246" i="7"/>
  <c r="N246" i="7"/>
  <c r="O246" i="7"/>
  <c r="E386" i="7"/>
  <c r="J388" i="7"/>
  <c r="K246" i="7"/>
  <c r="E371" i="7"/>
  <c r="E302" i="7"/>
  <c r="F246" i="7"/>
  <c r="M246" i="7"/>
  <c r="Q388" i="7"/>
  <c r="E387" i="7"/>
  <c r="P388" i="7"/>
  <c r="H246" i="7"/>
  <c r="E246" i="7"/>
  <c r="S246" i="7"/>
  <c r="Q387" i="7"/>
  <c r="P246" i="7"/>
  <c r="J246" i="7"/>
  <c r="L386" i="7"/>
  <c r="S317" i="7"/>
  <c r="F340" i="7"/>
  <c r="J270" i="7"/>
  <c r="O340" i="7"/>
  <c r="N270" i="7"/>
  <c r="I317" i="7"/>
  <c r="V387" i="7"/>
  <c r="G387" i="7"/>
  <c r="T340" i="7"/>
  <c r="V340" i="7"/>
  <c r="S270" i="7"/>
  <c r="U270" i="7"/>
  <c r="P340" i="7"/>
  <c r="F270" i="7"/>
  <c r="H294" i="7"/>
  <c r="J294" i="7"/>
  <c r="G270" i="7"/>
  <c r="O317" i="7"/>
  <c r="N294" i="7"/>
  <c r="I340" i="7"/>
  <c r="W387" i="7"/>
  <c r="R388" i="7"/>
  <c r="L340" i="7"/>
  <c r="Q270" i="7"/>
  <c r="T270" i="7"/>
  <c r="W340" i="7"/>
  <c r="V270" i="7"/>
  <c r="S294" i="7"/>
  <c r="U294" i="7"/>
  <c r="F294" i="7"/>
  <c r="H270" i="7"/>
  <c r="J317" i="7"/>
  <c r="G317" i="7"/>
  <c r="K317" i="7"/>
  <c r="O270" i="7"/>
  <c r="N317" i="7"/>
  <c r="I270" i="7"/>
  <c r="N387" i="7"/>
  <c r="V388" i="7"/>
  <c r="F388" i="7"/>
  <c r="L387" i="7"/>
  <c r="M340" i="7"/>
  <c r="V294" i="7"/>
  <c r="S340" i="7"/>
  <c r="U317" i="7"/>
  <c r="F317" i="7"/>
  <c r="H340" i="7"/>
  <c r="J340" i="7"/>
  <c r="G294" i="7"/>
  <c r="O294" i="7"/>
  <c r="N340" i="7"/>
  <c r="I294" i="7"/>
  <c r="BD12" i="7"/>
  <c r="BC13" i="7" s="1"/>
  <c r="BP12" i="7"/>
  <c r="BQ12" i="7" s="1"/>
  <c r="GK145" i="7"/>
  <c r="E348" i="7" s="1"/>
  <c r="AJ13" i="7"/>
  <c r="HG145" i="7"/>
  <c r="E368" i="7" s="1"/>
  <c r="GH145" i="7"/>
  <c r="E345" i="7" s="1"/>
  <c r="FI145" i="7"/>
  <c r="E322" i="7" s="1"/>
  <c r="EJ145" i="7"/>
  <c r="E299" i="7" s="1"/>
  <c r="DB145" i="7"/>
  <c r="GX145" i="7"/>
  <c r="E359" i="7" s="1"/>
  <c r="FY145" i="7"/>
  <c r="E336" i="7" s="1"/>
  <c r="EZ145" i="7"/>
  <c r="E313" i="7" s="1"/>
  <c r="EA145" i="7"/>
  <c r="BK12" i="7"/>
  <c r="BM145" i="7"/>
  <c r="E227" i="7" s="1"/>
  <c r="T388" i="7"/>
  <c r="J387" i="7"/>
  <c r="HJ36" i="7"/>
  <c r="HK36" i="7" s="1"/>
  <c r="HE36" i="7"/>
  <c r="GX36" i="7"/>
  <c r="GW37" i="7" s="1"/>
  <c r="HC37" i="7"/>
  <c r="HG36" i="7"/>
  <c r="GF36" i="7"/>
  <c r="GK36" i="7"/>
  <c r="GL36" i="7" s="1"/>
  <c r="FY36" i="7"/>
  <c r="FX37" i="7" s="1"/>
  <c r="GD36" i="7"/>
  <c r="GH35" i="7"/>
  <c r="FL37" i="7"/>
  <c r="FM37" i="7" s="1"/>
  <c r="FG37" i="7"/>
  <c r="EZ37" i="7"/>
  <c r="EY38" i="7" s="1"/>
  <c r="FI36" i="7"/>
  <c r="FE37" i="7"/>
  <c r="EM37" i="7"/>
  <c r="EN37" i="7" s="1"/>
  <c r="EA37" i="7"/>
  <c r="DZ38" i="7" s="1"/>
  <c r="EH37" i="7"/>
  <c r="EJ37" i="7"/>
  <c r="EF38" i="7"/>
  <c r="DN37" i="7"/>
  <c r="DO37" i="7" s="1"/>
  <c r="DB37" i="7"/>
  <c r="DA38" i="7" s="1"/>
  <c r="DI37" i="7"/>
  <c r="DK36" i="7"/>
  <c r="DG37" i="7"/>
  <c r="K387" i="7"/>
  <c r="H388" i="7"/>
  <c r="K388" i="7"/>
  <c r="N388" i="7"/>
  <c r="R387" i="7"/>
  <c r="G388" i="7"/>
  <c r="CH148" i="8"/>
  <c r="H247" i="8" s="1"/>
  <c r="DG148" i="8"/>
  <c r="H270" i="8" s="1"/>
  <c r="CH34" i="8"/>
  <c r="E388" i="7"/>
  <c r="I387" i="7"/>
  <c r="BP29" i="8"/>
  <c r="BQ29" i="8" s="1"/>
  <c r="BK29" i="8"/>
  <c r="BD29" i="8"/>
  <c r="BC30" i="8" s="1"/>
  <c r="K32" i="8"/>
  <c r="O31" i="8"/>
  <c r="BI33" i="8"/>
  <c r="BM32" i="8"/>
  <c r="CO30" i="8"/>
  <c r="CJ30" i="8"/>
  <c r="CC30" i="8"/>
  <c r="CB31" i="8" s="1"/>
  <c r="CL30" i="8"/>
  <c r="S388" i="7"/>
  <c r="F29" i="8"/>
  <c r="E30" i="8" s="1"/>
  <c r="R29" i="8"/>
  <c r="S29" i="8" s="1"/>
  <c r="M29" i="8"/>
  <c r="CP30" i="8"/>
  <c r="AJ148" i="8"/>
  <c r="AJ34" i="8"/>
  <c r="AN33" i="8"/>
  <c r="DK31" i="8"/>
  <c r="DG32" i="8"/>
  <c r="AQ30" i="8"/>
  <c r="AR30" i="8" s="1"/>
  <c r="AL30" i="8"/>
  <c r="AE30" i="8"/>
  <c r="AD31" i="8" s="1"/>
  <c r="W388" i="7"/>
  <c r="L388" i="7"/>
  <c r="I388" i="7"/>
  <c r="H387" i="7"/>
  <c r="DN32" i="8"/>
  <c r="DO32" i="8" s="1"/>
  <c r="DI32" i="8"/>
  <c r="DB32" i="8"/>
  <c r="DA33" i="8" s="1"/>
  <c r="M222" i="7"/>
  <c r="P222" i="7"/>
  <c r="G222" i="7"/>
  <c r="AD13" i="7"/>
  <c r="AE145" i="7"/>
  <c r="E193" i="7" s="1"/>
  <c r="S222" i="7"/>
  <c r="V222" i="7"/>
  <c r="K222" i="7"/>
  <c r="E222" i="7"/>
  <c r="R222" i="7"/>
  <c r="Q222" i="7"/>
  <c r="H222" i="7"/>
  <c r="I222" i="7"/>
  <c r="E175" i="7"/>
  <c r="E179" i="7"/>
  <c r="AG158" i="1"/>
  <c r="R195" i="1" s="1"/>
  <c r="AH160" i="1"/>
  <c r="AF145" i="1"/>
  <c r="AG160" i="1"/>
  <c r="T195" i="1" s="1"/>
  <c r="AG161" i="1"/>
  <c r="U195" i="1" s="1"/>
  <c r="AG146" i="1"/>
  <c r="F195" i="1" s="1"/>
  <c r="AF154" i="1"/>
  <c r="AH162" i="1"/>
  <c r="AG157" i="1"/>
  <c r="Q195" i="1" s="1"/>
  <c r="AF155" i="1"/>
  <c r="AG163" i="1"/>
  <c r="W195" i="1" s="1"/>
  <c r="AG150" i="1"/>
  <c r="AF163" i="1"/>
  <c r="W194" i="1" s="1"/>
  <c r="AG154" i="1"/>
  <c r="N195" i="1" s="1"/>
  <c r="AH158" i="1"/>
  <c r="AO152" i="1"/>
  <c r="L203" i="1" s="1"/>
  <c r="AO159" i="1"/>
  <c r="S203" i="1" s="1"/>
  <c r="AF152" i="1"/>
  <c r="AH151" i="1"/>
  <c r="AF147" i="1"/>
  <c r="G194" i="1" s="1"/>
  <c r="AH155" i="1"/>
  <c r="AO158" i="1"/>
  <c r="R203" i="1" s="1"/>
  <c r="AO148" i="1"/>
  <c r="H203" i="1" s="1"/>
  <c r="AG152" i="1"/>
  <c r="L195" i="1" s="1"/>
  <c r="AH154" i="1"/>
  <c r="AG159" i="1"/>
  <c r="S195" i="1" s="1"/>
  <c r="AF148" i="1"/>
  <c r="AF162" i="1"/>
  <c r="AO153" i="1"/>
  <c r="M203" i="1" s="1"/>
  <c r="AO160" i="1"/>
  <c r="T203" i="1" s="1"/>
  <c r="AF157" i="1"/>
  <c r="Q194" i="1" s="1"/>
  <c r="AF146" i="1"/>
  <c r="AF153" i="1"/>
  <c r="AH150" i="1"/>
  <c r="J196" i="1" s="1"/>
  <c r="AO163" i="1"/>
  <c r="W203" i="1" s="1"/>
  <c r="AF160" i="1"/>
  <c r="AH149" i="1"/>
  <c r="I196" i="1" s="1"/>
  <c r="AO147" i="1"/>
  <c r="G203" i="1" s="1"/>
  <c r="AO162" i="1"/>
  <c r="V203" i="1" s="1"/>
  <c r="AO150" i="1"/>
  <c r="J203" i="1" s="1"/>
  <c r="AG156" i="1"/>
  <c r="P195" i="1" s="1"/>
  <c r="AF150" i="1"/>
  <c r="J194" i="1" s="1"/>
  <c r="AG149" i="1"/>
  <c r="I195" i="1" s="1"/>
  <c r="AO154" i="1"/>
  <c r="N203" i="1" s="1"/>
  <c r="AF156" i="1"/>
  <c r="P194" i="1" s="1"/>
  <c r="AH148" i="1"/>
  <c r="AG147" i="1"/>
  <c r="G195" i="1" s="1"/>
  <c r="AO149" i="1"/>
  <c r="I203" i="1" s="1"/>
  <c r="AH147" i="1"/>
  <c r="AH163" i="1"/>
  <c r="AO156" i="1"/>
  <c r="P203" i="1" s="1"/>
  <c r="AG153" i="1"/>
  <c r="M195" i="1" s="1"/>
  <c r="AO151" i="1"/>
  <c r="K203" i="1" s="1"/>
  <c r="AH159" i="1"/>
  <c r="S196" i="1" s="1"/>
  <c r="AH153" i="1"/>
  <c r="AO161" i="1"/>
  <c r="U203" i="1" s="1"/>
  <c r="AO146" i="1"/>
  <c r="F203" i="1" s="1"/>
  <c r="AO145" i="1"/>
  <c r="E203" i="1" s="1"/>
  <c r="AH152" i="1"/>
  <c r="AG151" i="1"/>
  <c r="K195" i="1" s="1"/>
  <c r="AO155" i="1"/>
  <c r="O203" i="1" s="1"/>
  <c r="AH156" i="1"/>
  <c r="AG155" i="1"/>
  <c r="O195" i="1" s="1"/>
  <c r="AH161" i="1"/>
  <c r="AF151" i="1"/>
  <c r="K194" i="1" s="1"/>
  <c r="AH157" i="1"/>
  <c r="AG145" i="1"/>
  <c r="E195" i="1" s="1"/>
  <c r="AF159" i="1"/>
  <c r="S194" i="1" s="1"/>
  <c r="AF158" i="1"/>
  <c r="R194" i="1" s="1"/>
  <c r="AH145" i="1"/>
  <c r="AG148" i="1"/>
  <c r="H195" i="1" s="1"/>
  <c r="AF161" i="1"/>
  <c r="U194" i="1" s="1"/>
  <c r="AO157" i="1"/>
  <c r="Q203" i="1" s="1"/>
  <c r="AG162" i="1"/>
  <c r="V195" i="1" s="1"/>
  <c r="AF149" i="1"/>
  <c r="I194" i="1" s="1"/>
  <c r="AR10" i="1"/>
  <c r="K196" i="1"/>
  <c r="E194" i="1"/>
  <c r="E247" i="7"/>
  <c r="S395" i="7"/>
  <c r="E395" i="7"/>
  <c r="T387" i="7"/>
  <c r="U388" i="7"/>
  <c r="Q246" i="7"/>
  <c r="W246" i="7"/>
  <c r="T222" i="7"/>
  <c r="L222" i="7"/>
  <c r="R246" i="7"/>
  <c r="L246" i="7"/>
  <c r="G246" i="7"/>
  <c r="U222" i="7"/>
  <c r="P387" i="7"/>
  <c r="M387" i="7"/>
  <c r="U246" i="7"/>
  <c r="T246" i="7"/>
  <c r="N222" i="7"/>
  <c r="W222" i="7"/>
  <c r="F222" i="7"/>
  <c r="J222" i="7"/>
  <c r="CL145" i="7"/>
  <c r="DK145" i="7"/>
  <c r="E275" i="7" s="1"/>
  <c r="BQ145" i="7"/>
  <c r="E231" i="7" s="1"/>
  <c r="E206" i="7"/>
  <c r="BD145" i="7"/>
  <c r="E218" i="7" s="1"/>
  <c r="CC145" i="7"/>
  <c r="CB13" i="7"/>
  <c r="CL13" i="7" s="1"/>
  <c r="K14" i="7"/>
  <c r="O14" i="7" s="1"/>
  <c r="K174" i="7"/>
  <c r="K386" i="7"/>
  <c r="S174" i="7"/>
  <c r="S386" i="7"/>
  <c r="U174" i="7"/>
  <c r="U386" i="7"/>
  <c r="CP12" i="7"/>
  <c r="C396" i="7"/>
  <c r="C397" i="7" s="1"/>
  <c r="T395" i="7"/>
  <c r="P395" i="7"/>
  <c r="L395" i="7"/>
  <c r="H395" i="7"/>
  <c r="N395" i="7"/>
  <c r="I395" i="7"/>
  <c r="V395" i="7"/>
  <c r="G395" i="7"/>
  <c r="U395" i="7"/>
  <c r="M395" i="7"/>
  <c r="F395" i="7"/>
  <c r="W395" i="7"/>
  <c r="J395" i="7"/>
  <c r="R395" i="7"/>
  <c r="K395" i="7"/>
  <c r="Q395" i="7"/>
  <c r="L174" i="7"/>
  <c r="P174" i="7"/>
  <c r="P386" i="7"/>
  <c r="M174" i="7"/>
  <c r="M386" i="7"/>
  <c r="G174" i="7"/>
  <c r="W174" i="7"/>
  <c r="W386" i="7"/>
  <c r="E198" i="7"/>
  <c r="F386" i="7"/>
  <c r="T174" i="7"/>
  <c r="T386" i="7"/>
  <c r="E146" i="7"/>
  <c r="R146" i="7" s="1"/>
  <c r="R13" i="7"/>
  <c r="M13" i="7"/>
  <c r="AQ13" i="7"/>
  <c r="AR13" i="7" s="1"/>
  <c r="AE13" i="7"/>
  <c r="AD14" i="7" s="1"/>
  <c r="AL13" i="7"/>
  <c r="I174" i="7"/>
  <c r="I386" i="7"/>
  <c r="V174" i="7"/>
  <c r="V386" i="7"/>
  <c r="R174" i="7"/>
  <c r="R386" i="7"/>
  <c r="H174" i="7"/>
  <c r="H386" i="7"/>
  <c r="BI15" i="7"/>
  <c r="Q174" i="7"/>
  <c r="Q386" i="7"/>
  <c r="CH14" i="7"/>
  <c r="N174" i="7"/>
  <c r="N386" i="7"/>
  <c r="O386" i="7"/>
  <c r="J174" i="7"/>
  <c r="J386" i="7"/>
  <c r="T194" i="1"/>
  <c r="H196" i="1"/>
  <c r="O194" i="1"/>
  <c r="G196" i="1"/>
  <c r="N194" i="1"/>
  <c r="U196" i="1"/>
  <c r="L194" i="1"/>
  <c r="L196" i="1"/>
  <c r="N196" i="1"/>
  <c r="R196" i="1"/>
  <c r="F196" i="1"/>
  <c r="M194" i="1"/>
  <c r="M196" i="1"/>
  <c r="AV19" i="1"/>
  <c r="AX19" i="1" s="1"/>
  <c r="V196" i="1"/>
  <c r="W196" i="1"/>
  <c r="O196" i="1"/>
  <c r="E196" i="1"/>
  <c r="T196" i="1"/>
  <c r="F194" i="1"/>
  <c r="V194" i="1"/>
  <c r="P196" i="1"/>
  <c r="Q196" i="1"/>
  <c r="AN11" i="1"/>
  <c r="AJ12" i="1"/>
  <c r="AJ145" i="1" s="1"/>
  <c r="AQ11" i="1"/>
  <c r="AL11" i="1"/>
  <c r="AE11" i="1"/>
  <c r="AD12" i="1" s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45" i="1"/>
  <c r="BL161" i="1"/>
  <c r="BL157" i="1"/>
  <c r="BL146" i="1"/>
  <c r="BL147" i="1"/>
  <c r="BL148" i="1"/>
  <c r="BL149" i="1"/>
  <c r="BL150" i="1"/>
  <c r="BL151" i="1"/>
  <c r="BL152" i="1"/>
  <c r="BL153" i="1"/>
  <c r="BL154" i="1"/>
  <c r="BL155" i="1"/>
  <c r="BL156" i="1"/>
  <c r="BL158" i="1"/>
  <c r="BL159" i="1"/>
  <c r="BL160" i="1"/>
  <c r="BL162" i="1"/>
  <c r="BL163" i="1"/>
  <c r="BL145" i="1"/>
  <c r="BJ148" i="1"/>
  <c r="BJ146" i="1"/>
  <c r="BJ147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45" i="1"/>
  <c r="BB146" i="1"/>
  <c r="BH138" i="1"/>
  <c r="BH137" i="1"/>
  <c r="BH136" i="1"/>
  <c r="BH135" i="1"/>
  <c r="BH134" i="1"/>
  <c r="BV133" i="1"/>
  <c r="BV134" i="1" s="1"/>
  <c r="BV135" i="1" s="1"/>
  <c r="BV136" i="1" s="1"/>
  <c r="BV137" i="1" s="1"/>
  <c r="BV138" i="1" s="1"/>
  <c r="BV163" i="1" s="1"/>
  <c r="BS133" i="1"/>
  <c r="BS134" i="1" s="1"/>
  <c r="BS135" i="1" s="1"/>
  <c r="BS136" i="1" s="1"/>
  <c r="BS137" i="1" s="1"/>
  <c r="BS138" i="1" s="1"/>
  <c r="BH133" i="1"/>
  <c r="BA133" i="1"/>
  <c r="BU133" i="1" s="1"/>
  <c r="AZ133" i="1"/>
  <c r="AZ134" i="1" s="1"/>
  <c r="AZ135" i="1" s="1"/>
  <c r="AZ136" i="1" s="1"/>
  <c r="AZ137" i="1" s="1"/>
  <c r="AZ138" i="1" s="1"/>
  <c r="BU132" i="1"/>
  <c r="BW132" i="1" s="1"/>
  <c r="BR132" i="1"/>
  <c r="BT132" i="1" s="1"/>
  <c r="BO132" i="1"/>
  <c r="BL132" i="1"/>
  <c r="BJ132" i="1"/>
  <c r="BH132" i="1"/>
  <c r="BH131" i="1"/>
  <c r="BH130" i="1"/>
  <c r="BH129" i="1"/>
  <c r="BH128" i="1"/>
  <c r="BH127" i="1"/>
  <c r="BV126" i="1"/>
  <c r="BV127" i="1" s="1"/>
  <c r="BV128" i="1" s="1"/>
  <c r="BV129" i="1" s="1"/>
  <c r="BV130" i="1" s="1"/>
  <c r="BV131" i="1" s="1"/>
  <c r="BV162" i="1" s="1"/>
  <c r="BS126" i="1"/>
  <c r="BS127" i="1" s="1"/>
  <c r="BS128" i="1" s="1"/>
  <c r="BS129" i="1" s="1"/>
  <c r="BS130" i="1" s="1"/>
  <c r="BS131" i="1" s="1"/>
  <c r="BH126" i="1"/>
  <c r="BA126" i="1"/>
  <c r="BA127" i="1" s="1"/>
  <c r="BU127" i="1" s="1"/>
  <c r="AZ126" i="1"/>
  <c r="AZ127" i="1" s="1"/>
  <c r="AZ128" i="1" s="1"/>
  <c r="AZ129" i="1" s="1"/>
  <c r="AZ130" i="1" s="1"/>
  <c r="AZ131" i="1" s="1"/>
  <c r="BU125" i="1"/>
  <c r="BW125" i="1" s="1"/>
  <c r="BR125" i="1"/>
  <c r="BT125" i="1" s="1"/>
  <c r="BO125" i="1"/>
  <c r="BL125" i="1"/>
  <c r="BJ125" i="1"/>
  <c r="BH125" i="1"/>
  <c r="BH124" i="1"/>
  <c r="AZ124" i="1"/>
  <c r="BH123" i="1"/>
  <c r="BH122" i="1"/>
  <c r="BH121" i="1"/>
  <c r="BH120" i="1"/>
  <c r="BV119" i="1"/>
  <c r="BV120" i="1" s="1"/>
  <c r="BV121" i="1" s="1"/>
  <c r="BV122" i="1" s="1"/>
  <c r="BV123" i="1" s="1"/>
  <c r="BV124" i="1" s="1"/>
  <c r="BV161" i="1" s="1"/>
  <c r="BS119" i="1"/>
  <c r="BS120" i="1" s="1"/>
  <c r="BS121" i="1" s="1"/>
  <c r="BS122" i="1" s="1"/>
  <c r="BS123" i="1" s="1"/>
  <c r="BS124" i="1" s="1"/>
  <c r="BS161" i="1" s="1"/>
  <c r="BH119" i="1"/>
  <c r="BA119" i="1"/>
  <c r="BA120" i="1" s="1"/>
  <c r="BU120" i="1" s="1"/>
  <c r="AZ119" i="1"/>
  <c r="AZ120" i="1" s="1"/>
  <c r="AZ121" i="1" s="1"/>
  <c r="BU118" i="1"/>
  <c r="BW118" i="1" s="1"/>
  <c r="BR118" i="1"/>
  <c r="BT118" i="1" s="1"/>
  <c r="BO118" i="1"/>
  <c r="BL118" i="1"/>
  <c r="BJ118" i="1"/>
  <c r="BH118" i="1"/>
  <c r="BH117" i="1"/>
  <c r="BH116" i="1"/>
  <c r="BH115" i="1"/>
  <c r="BH114" i="1"/>
  <c r="BH113" i="1"/>
  <c r="BV112" i="1"/>
  <c r="BV113" i="1" s="1"/>
  <c r="BV114" i="1" s="1"/>
  <c r="BV115" i="1" s="1"/>
  <c r="BV116" i="1" s="1"/>
  <c r="BV117" i="1" s="1"/>
  <c r="BV160" i="1" s="1"/>
  <c r="BS112" i="1"/>
  <c r="BS113" i="1" s="1"/>
  <c r="BS114" i="1" s="1"/>
  <c r="BS115" i="1" s="1"/>
  <c r="BS116" i="1" s="1"/>
  <c r="BS117" i="1" s="1"/>
  <c r="BS160" i="1" s="1"/>
  <c r="BH112" i="1"/>
  <c r="BA112" i="1"/>
  <c r="BU112" i="1" s="1"/>
  <c r="AZ112" i="1"/>
  <c r="AZ113" i="1" s="1"/>
  <c r="AZ114" i="1" s="1"/>
  <c r="AZ115" i="1" s="1"/>
  <c r="AZ116" i="1" s="1"/>
  <c r="AZ117" i="1" s="1"/>
  <c r="BU111" i="1"/>
  <c r="BW111" i="1" s="1"/>
  <c r="BR111" i="1"/>
  <c r="BT111" i="1" s="1"/>
  <c r="BO111" i="1"/>
  <c r="BL111" i="1"/>
  <c r="BJ111" i="1"/>
  <c r="BH111" i="1"/>
  <c r="BH110" i="1"/>
  <c r="BH109" i="1"/>
  <c r="BH108" i="1"/>
  <c r="BH107" i="1"/>
  <c r="BH106" i="1"/>
  <c r="BV105" i="1"/>
  <c r="BV106" i="1" s="1"/>
  <c r="BV107" i="1" s="1"/>
  <c r="BV108" i="1" s="1"/>
  <c r="BV109" i="1" s="1"/>
  <c r="BV110" i="1" s="1"/>
  <c r="BV159" i="1" s="1"/>
  <c r="BS105" i="1"/>
  <c r="BS106" i="1" s="1"/>
  <c r="BS107" i="1" s="1"/>
  <c r="BS108" i="1" s="1"/>
  <c r="BS109" i="1" s="1"/>
  <c r="BS110" i="1" s="1"/>
  <c r="BH105" i="1"/>
  <c r="BA105" i="1"/>
  <c r="BU105" i="1" s="1"/>
  <c r="AZ105" i="1"/>
  <c r="AZ106" i="1" s="1"/>
  <c r="AZ107" i="1" s="1"/>
  <c r="AZ108" i="1" s="1"/>
  <c r="AZ109" i="1" s="1"/>
  <c r="AZ110" i="1" s="1"/>
  <c r="BU104" i="1"/>
  <c r="BW104" i="1" s="1"/>
  <c r="BR104" i="1"/>
  <c r="BT104" i="1" s="1"/>
  <c r="BO104" i="1"/>
  <c r="BL104" i="1"/>
  <c r="BJ104" i="1"/>
  <c r="BH104" i="1"/>
  <c r="BH103" i="1"/>
  <c r="BH102" i="1"/>
  <c r="BH101" i="1"/>
  <c r="BH100" i="1"/>
  <c r="BH99" i="1"/>
  <c r="BV98" i="1"/>
  <c r="BV99" i="1" s="1"/>
  <c r="BV100" i="1" s="1"/>
  <c r="BV101" i="1" s="1"/>
  <c r="BV102" i="1" s="1"/>
  <c r="BV103" i="1" s="1"/>
  <c r="BV158" i="1" s="1"/>
  <c r="BS98" i="1"/>
  <c r="BS99" i="1" s="1"/>
  <c r="BS100" i="1" s="1"/>
  <c r="BS101" i="1" s="1"/>
  <c r="BS102" i="1" s="1"/>
  <c r="BH98" i="1"/>
  <c r="BA98" i="1"/>
  <c r="AZ98" i="1"/>
  <c r="AZ99" i="1" s="1"/>
  <c r="AZ100" i="1" s="1"/>
  <c r="AZ101" i="1" s="1"/>
  <c r="AZ102" i="1" s="1"/>
  <c r="AZ103" i="1" s="1"/>
  <c r="BU97" i="1"/>
  <c r="BW97" i="1" s="1"/>
  <c r="BR97" i="1"/>
  <c r="BT97" i="1" s="1"/>
  <c r="BO97" i="1"/>
  <c r="BL97" i="1"/>
  <c r="BJ97" i="1"/>
  <c r="BH97" i="1"/>
  <c r="BH96" i="1"/>
  <c r="BH95" i="1"/>
  <c r="BH94" i="1"/>
  <c r="BH93" i="1"/>
  <c r="AZ93" i="1"/>
  <c r="AZ94" i="1" s="1"/>
  <c r="AZ95" i="1" s="1"/>
  <c r="AZ96" i="1" s="1"/>
  <c r="BH92" i="1"/>
  <c r="BV91" i="1"/>
  <c r="BV92" i="1" s="1"/>
  <c r="BV93" i="1" s="1"/>
  <c r="BV94" i="1" s="1"/>
  <c r="BV95" i="1" s="1"/>
  <c r="BV96" i="1" s="1"/>
  <c r="BV157" i="1" s="1"/>
  <c r="BS91" i="1"/>
  <c r="BS92" i="1" s="1"/>
  <c r="BS93" i="1" s="1"/>
  <c r="BH91" i="1"/>
  <c r="BA91" i="1"/>
  <c r="BU91" i="1" s="1"/>
  <c r="BU90" i="1"/>
  <c r="BW90" i="1" s="1"/>
  <c r="BR90" i="1"/>
  <c r="BT90" i="1" s="1"/>
  <c r="BO90" i="1"/>
  <c r="BL90" i="1"/>
  <c r="BJ90" i="1"/>
  <c r="BH90" i="1"/>
  <c r="BH89" i="1"/>
  <c r="BH88" i="1"/>
  <c r="BH87" i="1"/>
  <c r="BH86" i="1"/>
  <c r="BH85" i="1"/>
  <c r="BV84" i="1"/>
  <c r="BV85" i="1" s="1"/>
  <c r="BV86" i="1" s="1"/>
  <c r="BV87" i="1" s="1"/>
  <c r="BV88" i="1" s="1"/>
  <c r="BV89" i="1" s="1"/>
  <c r="BV156" i="1" s="1"/>
  <c r="BS84" i="1"/>
  <c r="BS85" i="1" s="1"/>
  <c r="BS86" i="1" s="1"/>
  <c r="BS87" i="1" s="1"/>
  <c r="BH84" i="1"/>
  <c r="BA84" i="1"/>
  <c r="BA85" i="1" s="1"/>
  <c r="BA86" i="1" s="1"/>
  <c r="AZ84" i="1"/>
  <c r="AZ85" i="1" s="1"/>
  <c r="AZ86" i="1" s="1"/>
  <c r="AZ87" i="1" s="1"/>
  <c r="AZ88" i="1" s="1"/>
  <c r="AZ89" i="1" s="1"/>
  <c r="BU83" i="1"/>
  <c r="BW83" i="1" s="1"/>
  <c r="BR83" i="1"/>
  <c r="BT83" i="1" s="1"/>
  <c r="BO83" i="1"/>
  <c r="BL83" i="1"/>
  <c r="BJ83" i="1"/>
  <c r="BH83" i="1"/>
  <c r="BH82" i="1"/>
  <c r="BH81" i="1"/>
  <c r="BH80" i="1"/>
  <c r="BH79" i="1"/>
  <c r="BH78" i="1"/>
  <c r="BV77" i="1"/>
  <c r="BV78" i="1" s="1"/>
  <c r="BV79" i="1" s="1"/>
  <c r="BV80" i="1" s="1"/>
  <c r="BV81" i="1" s="1"/>
  <c r="BV82" i="1" s="1"/>
  <c r="BV155" i="1" s="1"/>
  <c r="BS77" i="1"/>
  <c r="BS78" i="1" s="1"/>
  <c r="BS79" i="1" s="1"/>
  <c r="BH77" i="1"/>
  <c r="BA77" i="1"/>
  <c r="BA78" i="1" s="1"/>
  <c r="AZ77" i="1"/>
  <c r="AZ78" i="1" s="1"/>
  <c r="AZ79" i="1" s="1"/>
  <c r="AZ80" i="1" s="1"/>
  <c r="AZ81" i="1" s="1"/>
  <c r="AZ82" i="1" s="1"/>
  <c r="BU76" i="1"/>
  <c r="BW76" i="1" s="1"/>
  <c r="BR76" i="1"/>
  <c r="BT76" i="1" s="1"/>
  <c r="BO76" i="1"/>
  <c r="BL76" i="1"/>
  <c r="BJ76" i="1"/>
  <c r="BH76" i="1"/>
  <c r="BH75" i="1"/>
  <c r="BH74" i="1"/>
  <c r="BH73" i="1"/>
  <c r="BH72" i="1"/>
  <c r="BH71" i="1"/>
  <c r="BV70" i="1"/>
  <c r="BV71" i="1" s="1"/>
  <c r="BV72" i="1" s="1"/>
  <c r="BV73" i="1" s="1"/>
  <c r="BV74" i="1" s="1"/>
  <c r="BV75" i="1" s="1"/>
  <c r="BV154" i="1" s="1"/>
  <c r="BS70" i="1"/>
  <c r="BS71" i="1" s="1"/>
  <c r="BH70" i="1"/>
  <c r="BA70" i="1"/>
  <c r="AZ70" i="1"/>
  <c r="AZ71" i="1" s="1"/>
  <c r="AZ72" i="1" s="1"/>
  <c r="AZ73" i="1" s="1"/>
  <c r="AZ74" i="1" s="1"/>
  <c r="AZ75" i="1" s="1"/>
  <c r="BU69" i="1"/>
  <c r="BW69" i="1" s="1"/>
  <c r="BR69" i="1"/>
  <c r="BT69" i="1" s="1"/>
  <c r="BO69" i="1"/>
  <c r="BL69" i="1"/>
  <c r="BJ69" i="1"/>
  <c r="BH69" i="1"/>
  <c r="BH68" i="1"/>
  <c r="BH67" i="1"/>
  <c r="BH66" i="1"/>
  <c r="BH65" i="1"/>
  <c r="BH64" i="1"/>
  <c r="BV63" i="1"/>
  <c r="BV64" i="1" s="1"/>
  <c r="BV65" i="1" s="1"/>
  <c r="BV66" i="1" s="1"/>
  <c r="BV67" i="1" s="1"/>
  <c r="BV68" i="1" s="1"/>
  <c r="BV153" i="1" s="1"/>
  <c r="BS63" i="1"/>
  <c r="BS64" i="1" s="1"/>
  <c r="BH63" i="1"/>
  <c r="BA63" i="1"/>
  <c r="AZ63" i="1"/>
  <c r="AZ64" i="1" s="1"/>
  <c r="AZ65" i="1" s="1"/>
  <c r="AZ66" i="1" s="1"/>
  <c r="AZ67" i="1" s="1"/>
  <c r="AZ68" i="1" s="1"/>
  <c r="BU62" i="1"/>
  <c r="BW62" i="1" s="1"/>
  <c r="BR62" i="1"/>
  <c r="BT62" i="1" s="1"/>
  <c r="BO62" i="1"/>
  <c r="BL62" i="1"/>
  <c r="BJ62" i="1"/>
  <c r="BH62" i="1"/>
  <c r="BH61" i="1"/>
  <c r="BH60" i="1"/>
  <c r="BH59" i="1"/>
  <c r="BH58" i="1"/>
  <c r="BH57" i="1"/>
  <c r="BV56" i="1"/>
  <c r="BV57" i="1" s="1"/>
  <c r="BV58" i="1" s="1"/>
  <c r="BV59" i="1" s="1"/>
  <c r="BV60" i="1" s="1"/>
  <c r="BV61" i="1" s="1"/>
  <c r="BV152" i="1" s="1"/>
  <c r="BS56" i="1"/>
  <c r="BS57" i="1" s="1"/>
  <c r="BS58" i="1" s="1"/>
  <c r="BS59" i="1" s="1"/>
  <c r="BH56" i="1"/>
  <c r="BA56" i="1"/>
  <c r="BA57" i="1" s="1"/>
  <c r="AZ56" i="1"/>
  <c r="AZ57" i="1" s="1"/>
  <c r="AZ58" i="1" s="1"/>
  <c r="AZ59" i="1" s="1"/>
  <c r="BU55" i="1"/>
  <c r="BW55" i="1" s="1"/>
  <c r="BR55" i="1"/>
  <c r="BT55" i="1" s="1"/>
  <c r="BO55" i="1"/>
  <c r="BL55" i="1"/>
  <c r="BJ55" i="1"/>
  <c r="BH55" i="1"/>
  <c r="BH54" i="1"/>
  <c r="BH53" i="1"/>
  <c r="BH52" i="1"/>
  <c r="BH51" i="1"/>
  <c r="BH50" i="1"/>
  <c r="BV49" i="1"/>
  <c r="BV50" i="1" s="1"/>
  <c r="BV51" i="1" s="1"/>
  <c r="BV52" i="1" s="1"/>
  <c r="BV53" i="1" s="1"/>
  <c r="BV54" i="1" s="1"/>
  <c r="BV151" i="1" s="1"/>
  <c r="BS49" i="1"/>
  <c r="BS50" i="1" s="1"/>
  <c r="BS51" i="1" s="1"/>
  <c r="BS52" i="1" s="1"/>
  <c r="BS53" i="1" s="1"/>
  <c r="BS54" i="1" s="1"/>
  <c r="BH49" i="1"/>
  <c r="BA49" i="1"/>
  <c r="AZ49" i="1"/>
  <c r="AZ50" i="1" s="1"/>
  <c r="AZ51" i="1" s="1"/>
  <c r="AZ52" i="1" s="1"/>
  <c r="AZ53" i="1" s="1"/>
  <c r="AZ54" i="1" s="1"/>
  <c r="BU48" i="1"/>
  <c r="BW48" i="1" s="1"/>
  <c r="BR48" i="1"/>
  <c r="BT48" i="1" s="1"/>
  <c r="BO48" i="1"/>
  <c r="BL48" i="1"/>
  <c r="BJ48" i="1"/>
  <c r="BH48" i="1"/>
  <c r="BH47" i="1"/>
  <c r="BH46" i="1"/>
  <c r="BH45" i="1"/>
  <c r="BH44" i="1"/>
  <c r="BH43" i="1"/>
  <c r="BV42" i="1"/>
  <c r="BV43" i="1" s="1"/>
  <c r="BV44" i="1" s="1"/>
  <c r="BV45" i="1" s="1"/>
  <c r="BV46" i="1" s="1"/>
  <c r="BV47" i="1" s="1"/>
  <c r="BV150" i="1" s="1"/>
  <c r="BS42" i="1"/>
  <c r="BS43" i="1" s="1"/>
  <c r="BS44" i="1" s="1"/>
  <c r="BS45" i="1" s="1"/>
  <c r="BS46" i="1" s="1"/>
  <c r="BS47" i="1" s="1"/>
  <c r="BH42" i="1"/>
  <c r="BA42" i="1"/>
  <c r="BA43" i="1" s="1"/>
  <c r="AZ42" i="1"/>
  <c r="AZ43" i="1" s="1"/>
  <c r="AZ44" i="1" s="1"/>
  <c r="AZ45" i="1" s="1"/>
  <c r="AZ46" i="1" s="1"/>
  <c r="AZ47" i="1" s="1"/>
  <c r="BU41" i="1"/>
  <c r="BW41" i="1" s="1"/>
  <c r="BR41" i="1"/>
  <c r="BT41" i="1" s="1"/>
  <c r="BO41" i="1"/>
  <c r="BL41" i="1"/>
  <c r="BJ41" i="1"/>
  <c r="BH41" i="1"/>
  <c r="BH40" i="1"/>
  <c r="BH39" i="1"/>
  <c r="BH38" i="1"/>
  <c r="BH37" i="1"/>
  <c r="BH36" i="1"/>
  <c r="BV35" i="1"/>
  <c r="BV36" i="1" s="1"/>
  <c r="BV37" i="1" s="1"/>
  <c r="BV38" i="1" s="1"/>
  <c r="BV39" i="1" s="1"/>
  <c r="BV40" i="1" s="1"/>
  <c r="BV149" i="1" s="1"/>
  <c r="BS35" i="1"/>
  <c r="BS36" i="1" s="1"/>
  <c r="BS37" i="1" s="1"/>
  <c r="BS38" i="1" s="1"/>
  <c r="BS39" i="1" s="1"/>
  <c r="BS40" i="1" s="1"/>
  <c r="BH35" i="1"/>
  <c r="BA35" i="1"/>
  <c r="BA36" i="1" s="1"/>
  <c r="BU36" i="1" s="1"/>
  <c r="AZ35" i="1"/>
  <c r="AZ36" i="1" s="1"/>
  <c r="AZ37" i="1" s="1"/>
  <c r="AZ38" i="1" s="1"/>
  <c r="AZ39" i="1" s="1"/>
  <c r="AZ40" i="1" s="1"/>
  <c r="BU34" i="1"/>
  <c r="BW34" i="1" s="1"/>
  <c r="BR34" i="1"/>
  <c r="BT34" i="1" s="1"/>
  <c r="BO34" i="1"/>
  <c r="BL34" i="1"/>
  <c r="BJ34" i="1"/>
  <c r="BH34" i="1"/>
  <c r="BH33" i="1"/>
  <c r="BH32" i="1"/>
  <c r="BH31" i="1"/>
  <c r="BH30" i="1"/>
  <c r="BH29" i="1"/>
  <c r="BV28" i="1"/>
  <c r="BV29" i="1" s="1"/>
  <c r="BV30" i="1" s="1"/>
  <c r="BV31" i="1" s="1"/>
  <c r="BV32" i="1" s="1"/>
  <c r="BV33" i="1" s="1"/>
  <c r="BV148" i="1" s="1"/>
  <c r="BS28" i="1"/>
  <c r="BS29" i="1" s="1"/>
  <c r="BS30" i="1" s="1"/>
  <c r="BS31" i="1" s="1"/>
  <c r="BS32" i="1" s="1"/>
  <c r="BH28" i="1"/>
  <c r="BA28" i="1"/>
  <c r="BU27" i="1"/>
  <c r="BW27" i="1" s="1"/>
  <c r="BR27" i="1"/>
  <c r="BT27" i="1" s="1"/>
  <c r="BO27" i="1"/>
  <c r="BL27" i="1"/>
  <c r="BJ27" i="1"/>
  <c r="BH27" i="1"/>
  <c r="BH26" i="1"/>
  <c r="BH25" i="1"/>
  <c r="BH24" i="1"/>
  <c r="BH23" i="1"/>
  <c r="BH22" i="1"/>
  <c r="BV21" i="1"/>
  <c r="BV22" i="1" s="1"/>
  <c r="BV23" i="1" s="1"/>
  <c r="BV24" i="1" s="1"/>
  <c r="BV25" i="1" s="1"/>
  <c r="BV26" i="1" s="1"/>
  <c r="BV147" i="1" s="1"/>
  <c r="BS21" i="1"/>
  <c r="BS22" i="1" s="1"/>
  <c r="BS23" i="1" s="1"/>
  <c r="BS24" i="1" s="1"/>
  <c r="BS25" i="1" s="1"/>
  <c r="BH21" i="1"/>
  <c r="BA21" i="1"/>
  <c r="BA22" i="1" s="1"/>
  <c r="AZ21" i="1"/>
  <c r="AZ22" i="1" s="1"/>
  <c r="AZ23" i="1" s="1"/>
  <c r="AZ24" i="1" s="1"/>
  <c r="AZ25" i="1" s="1"/>
  <c r="AZ26" i="1" s="1"/>
  <c r="AZ27" i="1" s="1"/>
  <c r="AZ28" i="1" s="1"/>
  <c r="AZ29" i="1" s="1"/>
  <c r="AZ30" i="1" s="1"/>
  <c r="AZ31" i="1" s="1"/>
  <c r="BU20" i="1"/>
  <c r="BW20" i="1" s="1"/>
  <c r="BR20" i="1"/>
  <c r="BT20" i="1" s="1"/>
  <c r="BO20" i="1"/>
  <c r="BL20" i="1"/>
  <c r="BJ20" i="1"/>
  <c r="BH20" i="1"/>
  <c r="BH19" i="1"/>
  <c r="BH18" i="1"/>
  <c r="BH17" i="1"/>
  <c r="BH16" i="1"/>
  <c r="BH15" i="1"/>
  <c r="BV14" i="1"/>
  <c r="BV15" i="1" s="1"/>
  <c r="BV16" i="1" s="1"/>
  <c r="BV17" i="1" s="1"/>
  <c r="BV18" i="1" s="1"/>
  <c r="BV19" i="1" s="1"/>
  <c r="BV146" i="1" s="1"/>
  <c r="BS14" i="1"/>
  <c r="BS15" i="1" s="1"/>
  <c r="BS16" i="1" s="1"/>
  <c r="BS17" i="1" s="1"/>
  <c r="BH14" i="1"/>
  <c r="BA14" i="1"/>
  <c r="BA15" i="1" s="1"/>
  <c r="BA16" i="1" s="1"/>
  <c r="AZ14" i="1"/>
  <c r="AZ15" i="1" s="1"/>
  <c r="AZ16" i="1" s="1"/>
  <c r="AZ17" i="1" s="1"/>
  <c r="AZ18" i="1" s="1"/>
  <c r="AZ19" i="1" s="1"/>
  <c r="BU13" i="1"/>
  <c r="BW13" i="1" s="1"/>
  <c r="BR13" i="1"/>
  <c r="BT13" i="1" s="1"/>
  <c r="BO13" i="1"/>
  <c r="BL13" i="1"/>
  <c r="BJ13" i="1"/>
  <c r="BH13" i="1"/>
  <c r="BH12" i="1"/>
  <c r="BH11" i="1"/>
  <c r="BH10" i="1"/>
  <c r="BH9" i="1"/>
  <c r="BH8" i="1"/>
  <c r="BV7" i="1"/>
  <c r="BV8" i="1" s="1"/>
  <c r="BV9" i="1" s="1"/>
  <c r="BV10" i="1" s="1"/>
  <c r="BV11" i="1" s="1"/>
  <c r="BV12" i="1" s="1"/>
  <c r="BV145" i="1" s="1"/>
  <c r="BS7" i="1"/>
  <c r="BS8" i="1" s="1"/>
  <c r="BS9" i="1" s="1"/>
  <c r="BH7" i="1"/>
  <c r="BA7" i="1"/>
  <c r="AZ7" i="1"/>
  <c r="AZ8" i="1" s="1"/>
  <c r="AZ9" i="1" s="1"/>
  <c r="AZ10" i="1" s="1"/>
  <c r="AZ11" i="1" s="1"/>
  <c r="AZ12" i="1" s="1"/>
  <c r="BU6" i="1"/>
  <c r="BW6" i="1" s="1"/>
  <c r="BR6" i="1"/>
  <c r="BT6" i="1" s="1"/>
  <c r="BO6" i="1"/>
  <c r="BL6" i="1"/>
  <c r="BJ6" i="1"/>
  <c r="BH6" i="1"/>
  <c r="BC6" i="1"/>
  <c r="CT163" i="1"/>
  <c r="W259" i="1" s="1"/>
  <c r="CT145" i="1"/>
  <c r="E259" i="1" s="1"/>
  <c r="CQ163" i="1"/>
  <c r="W256" i="1" s="1"/>
  <c r="CN145" i="1"/>
  <c r="E253" i="1" s="1"/>
  <c r="CK145" i="1"/>
  <c r="E250" i="1" s="1"/>
  <c r="CI145" i="1"/>
  <c r="E248" i="1" s="1"/>
  <c r="CG138" i="1"/>
  <c r="CG137" i="1"/>
  <c r="CG136" i="1"/>
  <c r="CG135" i="1"/>
  <c r="CG134" i="1"/>
  <c r="CU133" i="1"/>
  <c r="CU134" i="1" s="1"/>
  <c r="CU135" i="1" s="1"/>
  <c r="CU136" i="1" s="1"/>
  <c r="CU137" i="1" s="1"/>
  <c r="CU138" i="1" s="1"/>
  <c r="CU163" i="1" s="1"/>
  <c r="W260" i="1" s="1"/>
  <c r="CR133" i="1"/>
  <c r="CR134" i="1" s="1"/>
  <c r="CG133" i="1"/>
  <c r="BZ133" i="1"/>
  <c r="BZ134" i="1" s="1"/>
  <c r="BY133" i="1"/>
  <c r="BY134" i="1" s="1"/>
  <c r="BY135" i="1" s="1"/>
  <c r="BY136" i="1" s="1"/>
  <c r="BY137" i="1" s="1"/>
  <c r="BY138" i="1" s="1"/>
  <c r="CT132" i="1"/>
  <c r="CV132" i="1" s="1"/>
  <c r="CQ132" i="1"/>
  <c r="CS132" i="1" s="1"/>
  <c r="CN132" i="1"/>
  <c r="CK132" i="1"/>
  <c r="CI132" i="1"/>
  <c r="CG132" i="1"/>
  <c r="W152" i="1"/>
  <c r="W151" i="1"/>
  <c r="W150" i="1"/>
  <c r="W149" i="1"/>
  <c r="W148" i="1"/>
  <c r="W147" i="1"/>
  <c r="W146" i="1"/>
  <c r="W145" i="1"/>
  <c r="T145" i="1"/>
  <c r="Q145" i="1"/>
  <c r="N145" i="1"/>
  <c r="L145" i="1"/>
  <c r="L151" i="1"/>
  <c r="L150" i="1"/>
  <c r="L149" i="1"/>
  <c r="L148" i="1"/>
  <c r="L147" i="1"/>
  <c r="L146" i="1"/>
  <c r="J138" i="1"/>
  <c r="J137" i="1"/>
  <c r="J136" i="1"/>
  <c r="J135" i="1"/>
  <c r="J134" i="1"/>
  <c r="X133" i="1"/>
  <c r="X134" i="1" s="1"/>
  <c r="X135" i="1" s="1"/>
  <c r="X136" i="1" s="1"/>
  <c r="X137" i="1" s="1"/>
  <c r="X138" i="1" s="1"/>
  <c r="U133" i="1"/>
  <c r="U134" i="1" s="1"/>
  <c r="U135" i="1" s="1"/>
  <c r="U136" i="1" s="1"/>
  <c r="U137" i="1" s="1"/>
  <c r="U138" i="1" s="1"/>
  <c r="J133" i="1"/>
  <c r="C133" i="1"/>
  <c r="B133" i="1"/>
  <c r="B134" i="1" s="1"/>
  <c r="B135" i="1" s="1"/>
  <c r="B136" i="1" s="1"/>
  <c r="B137" i="1" s="1"/>
  <c r="B138" i="1" s="1"/>
  <c r="W132" i="1"/>
  <c r="Y132" i="1" s="1"/>
  <c r="T132" i="1"/>
  <c r="V132" i="1" s="1"/>
  <c r="Q132" i="1"/>
  <c r="N132" i="1"/>
  <c r="L132" i="1"/>
  <c r="J132" i="1"/>
  <c r="E389" i="7" l="1"/>
  <c r="E392" i="7" s="1"/>
  <c r="E420" i="7" s="1"/>
  <c r="DK89" i="9"/>
  <c r="DG90" i="9"/>
  <c r="DN89" i="9"/>
  <c r="DO89" i="9" s="1"/>
  <c r="DI89" i="9"/>
  <c r="DB89" i="9"/>
  <c r="DA90" i="9" s="1"/>
  <c r="CO90" i="9"/>
  <c r="CP90" i="9" s="1"/>
  <c r="CC90" i="9"/>
  <c r="CB91" i="9" s="1"/>
  <c r="CJ90" i="9"/>
  <c r="CH91" i="9"/>
  <c r="CL90" i="9"/>
  <c r="BP89" i="9"/>
  <c r="BQ89" i="9" s="1"/>
  <c r="BD89" i="9"/>
  <c r="BC90" i="9" s="1"/>
  <c r="BK89" i="9"/>
  <c r="BI91" i="9"/>
  <c r="BM91" i="9" s="1"/>
  <c r="AQ89" i="9"/>
  <c r="AR89" i="9" s="1"/>
  <c r="AE89" i="9"/>
  <c r="AD90" i="9" s="1"/>
  <c r="AL89" i="9"/>
  <c r="AJ90" i="9"/>
  <c r="AN89" i="9"/>
  <c r="R79" i="9"/>
  <c r="S79" i="9" s="1"/>
  <c r="M79" i="9"/>
  <c r="E80" i="9"/>
  <c r="F80" i="9" s="1"/>
  <c r="BI156" i="9"/>
  <c r="P223" i="9" s="1"/>
  <c r="BM156" i="9"/>
  <c r="P227" i="9" s="1"/>
  <c r="P198" i="9"/>
  <c r="O300" i="9"/>
  <c r="O328" i="9" s="1"/>
  <c r="O331" i="9"/>
  <c r="O302" i="9"/>
  <c r="O329" i="9" s="1"/>
  <c r="K89" i="9"/>
  <c r="O88" i="9"/>
  <c r="CH156" i="9"/>
  <c r="P247" i="9" s="1"/>
  <c r="E266" i="7"/>
  <c r="E290" i="7"/>
  <c r="O389" i="7"/>
  <c r="F389" i="7"/>
  <c r="Q389" i="7"/>
  <c r="J389" i="7"/>
  <c r="E390" i="7"/>
  <c r="E394" i="7" s="1"/>
  <c r="P389" i="7"/>
  <c r="DO145" i="7"/>
  <c r="E279" i="7" s="1"/>
  <c r="HK145" i="7"/>
  <c r="E372" i="7" s="1"/>
  <c r="FM145" i="7"/>
  <c r="E326" i="7" s="1"/>
  <c r="GL145" i="7"/>
  <c r="E349" i="7" s="1"/>
  <c r="EN145" i="7"/>
  <c r="E303" i="7" s="1"/>
  <c r="DA146" i="7"/>
  <c r="F265" i="7" s="1"/>
  <c r="GW146" i="7"/>
  <c r="F358" i="7" s="1"/>
  <c r="FX146" i="7"/>
  <c r="F335" i="7" s="1"/>
  <c r="EY146" i="7"/>
  <c r="F312" i="7" s="1"/>
  <c r="DZ146" i="7"/>
  <c r="F289" i="7" s="1"/>
  <c r="AJ14" i="7"/>
  <c r="AN13" i="7"/>
  <c r="HE37" i="7"/>
  <c r="HJ37" i="7"/>
  <c r="GX37" i="7"/>
  <c r="GW38" i="7" s="1"/>
  <c r="HG37" i="7"/>
  <c r="HC38" i="7"/>
  <c r="HK37" i="7"/>
  <c r="GK37" i="7"/>
  <c r="GL37" i="7" s="1"/>
  <c r="FY37" i="7"/>
  <c r="FX38" i="7" s="1"/>
  <c r="GF37" i="7"/>
  <c r="GH36" i="7"/>
  <c r="GD37" i="7"/>
  <c r="FG38" i="7"/>
  <c r="EZ38" i="7"/>
  <c r="EY39" i="7" s="1"/>
  <c r="FL38" i="7"/>
  <c r="FM38" i="7" s="1"/>
  <c r="FE38" i="7"/>
  <c r="FI37" i="7"/>
  <c r="EM38" i="7"/>
  <c r="EN38" i="7" s="1"/>
  <c r="EA38" i="7"/>
  <c r="DZ39" i="7" s="1"/>
  <c r="EH38" i="7"/>
  <c r="EF39" i="7"/>
  <c r="EJ38" i="7"/>
  <c r="DN38" i="7"/>
  <c r="DO38" i="7" s="1"/>
  <c r="DI38" i="7"/>
  <c r="DB38" i="7"/>
  <c r="DA39" i="7" s="1"/>
  <c r="DG38" i="7"/>
  <c r="DK37" i="7"/>
  <c r="T389" i="7"/>
  <c r="V389" i="7"/>
  <c r="DN33" i="8"/>
  <c r="DO33" i="8" s="1"/>
  <c r="DB33" i="8"/>
  <c r="DA34" i="8" s="1"/>
  <c r="DI33" i="8"/>
  <c r="K33" i="8"/>
  <c r="O32" i="8"/>
  <c r="AQ31" i="8"/>
  <c r="AR31" i="8" s="1"/>
  <c r="AE31" i="8"/>
  <c r="AD32" i="8" s="1"/>
  <c r="AL31" i="8"/>
  <c r="AJ35" i="8"/>
  <c r="AN34" i="8"/>
  <c r="BP30" i="8"/>
  <c r="BQ30" i="8" s="1"/>
  <c r="BD30" i="8"/>
  <c r="BC31" i="8" s="1"/>
  <c r="BK30" i="8"/>
  <c r="CH35" i="8"/>
  <c r="DG33" i="8"/>
  <c r="DK32" i="8"/>
  <c r="H198" i="8"/>
  <c r="AN148" i="8"/>
  <c r="H202" i="8" s="1"/>
  <c r="E148" i="8"/>
  <c r="R30" i="8"/>
  <c r="S30" i="8" s="1"/>
  <c r="F30" i="8"/>
  <c r="E31" i="8" s="1"/>
  <c r="M30" i="8"/>
  <c r="CO31" i="8"/>
  <c r="CP31" i="8" s="1"/>
  <c r="CC31" i="8"/>
  <c r="CB32" i="8" s="1"/>
  <c r="CJ31" i="8"/>
  <c r="CL31" i="8"/>
  <c r="BI148" i="8"/>
  <c r="H223" i="8" s="1"/>
  <c r="BM33" i="8"/>
  <c r="BM148" i="8" s="1"/>
  <c r="H227" i="8" s="1"/>
  <c r="BI34" i="8"/>
  <c r="S389" i="7"/>
  <c r="R389" i="7"/>
  <c r="G389" i="7"/>
  <c r="W389" i="7"/>
  <c r="H389" i="7"/>
  <c r="M146" i="7"/>
  <c r="K389" i="7"/>
  <c r="N389" i="7"/>
  <c r="F169" i="7"/>
  <c r="I389" i="7"/>
  <c r="U389" i="7"/>
  <c r="AI148" i="1"/>
  <c r="H194" i="1"/>
  <c r="AI145" i="1"/>
  <c r="F197" i="1"/>
  <c r="E197" i="1"/>
  <c r="BW133" i="1"/>
  <c r="AN145" i="1"/>
  <c r="E202" i="1" s="1"/>
  <c r="E198" i="1"/>
  <c r="AI150" i="1"/>
  <c r="J195" i="1"/>
  <c r="E251" i="7"/>
  <c r="E242" i="7"/>
  <c r="M389" i="7"/>
  <c r="L389" i="7"/>
  <c r="BI16" i="7"/>
  <c r="CH15" i="7"/>
  <c r="S13" i="7"/>
  <c r="E202" i="7"/>
  <c r="C398" i="7"/>
  <c r="C399" i="7" s="1"/>
  <c r="E399" i="7" s="1"/>
  <c r="K15" i="7"/>
  <c r="O15" i="7" s="1"/>
  <c r="BC146" i="7"/>
  <c r="BP146" i="7" s="1"/>
  <c r="BP13" i="7"/>
  <c r="BD13" i="7"/>
  <c r="BC14" i="7" s="1"/>
  <c r="BK13" i="7"/>
  <c r="BM13" i="7"/>
  <c r="AQ14" i="7"/>
  <c r="AR14" i="7" s="1"/>
  <c r="AL14" i="7"/>
  <c r="AE14" i="7"/>
  <c r="AD15" i="7" s="1"/>
  <c r="CP145" i="7"/>
  <c r="R14" i="7"/>
  <c r="E15" i="7"/>
  <c r="F15" i="7" s="1"/>
  <c r="M14" i="7"/>
  <c r="CB146" i="7"/>
  <c r="CO13" i="7"/>
  <c r="CJ13" i="7"/>
  <c r="CC13" i="7"/>
  <c r="CB14" i="7" s="1"/>
  <c r="BW146" i="1"/>
  <c r="BW147" i="1"/>
  <c r="AI151" i="1"/>
  <c r="AI146" i="1"/>
  <c r="AI153" i="1"/>
  <c r="AI149" i="1"/>
  <c r="AI162" i="1"/>
  <c r="AI160" i="1"/>
  <c r="AI155" i="1"/>
  <c r="BW36" i="1"/>
  <c r="AI154" i="1"/>
  <c r="AI158" i="1"/>
  <c r="BW145" i="1"/>
  <c r="AI147" i="1"/>
  <c r="AI163" i="1"/>
  <c r="AI159" i="1"/>
  <c r="AI161" i="1"/>
  <c r="AI152" i="1"/>
  <c r="AR11" i="1"/>
  <c r="AI157" i="1"/>
  <c r="AI156" i="1"/>
  <c r="BA8" i="1"/>
  <c r="BA9" i="1" s="1"/>
  <c r="BW105" i="1"/>
  <c r="T133" i="1"/>
  <c r="AP133" i="1"/>
  <c r="AK133" i="1"/>
  <c r="AS133" i="1"/>
  <c r="AU133" i="1" s="1"/>
  <c r="AM133" i="1"/>
  <c r="BU77" i="1"/>
  <c r="BW77" i="1" s="1"/>
  <c r="AJ13" i="1"/>
  <c r="AN12" i="1"/>
  <c r="AQ12" i="1"/>
  <c r="AL12" i="1"/>
  <c r="AE12" i="1"/>
  <c r="AD13" i="1" s="1"/>
  <c r="BA106" i="1"/>
  <c r="BA107" i="1" s="1"/>
  <c r="BU107" i="1" s="1"/>
  <c r="BW107" i="1" s="1"/>
  <c r="V133" i="1"/>
  <c r="BW112" i="1"/>
  <c r="CQ133" i="1"/>
  <c r="CS133" i="1" s="1"/>
  <c r="CN133" i="1"/>
  <c r="BP6" i="1"/>
  <c r="BQ6" i="1" s="1"/>
  <c r="BU14" i="1"/>
  <c r="BW14" i="1" s="1"/>
  <c r="BA113" i="1"/>
  <c r="BA114" i="1" s="1"/>
  <c r="BR133" i="1"/>
  <c r="BT133" i="1" s="1"/>
  <c r="BA134" i="1"/>
  <c r="BA135" i="1" s="1"/>
  <c r="BA136" i="1" s="1"/>
  <c r="BA137" i="1" s="1"/>
  <c r="BC145" i="1"/>
  <c r="E217" i="1" s="1"/>
  <c r="BJ133" i="1"/>
  <c r="BW91" i="1"/>
  <c r="BA92" i="1"/>
  <c r="BA93" i="1" s="1"/>
  <c r="BW120" i="1"/>
  <c r="BL133" i="1"/>
  <c r="BI6" i="1"/>
  <c r="BK6" i="1"/>
  <c r="Q133" i="1"/>
  <c r="CI133" i="1"/>
  <c r="CK133" i="1"/>
  <c r="BO133" i="1"/>
  <c r="BW148" i="1"/>
  <c r="BW149" i="1"/>
  <c r="BS149" i="1"/>
  <c r="BU56" i="1"/>
  <c r="BW56" i="1" s="1"/>
  <c r="BW127" i="1"/>
  <c r="BA128" i="1"/>
  <c r="BA129" i="1" s="1"/>
  <c r="BS151" i="1"/>
  <c r="BS162" i="1"/>
  <c r="BS150" i="1"/>
  <c r="BA121" i="1"/>
  <c r="BA122" i="1" s="1"/>
  <c r="BS163" i="1"/>
  <c r="BS159" i="1"/>
  <c r="BM6" i="1"/>
  <c r="BI7" i="1"/>
  <c r="BA17" i="1"/>
  <c r="BU16" i="1"/>
  <c r="BW16" i="1" s="1"/>
  <c r="BA23" i="1"/>
  <c r="BU22" i="1"/>
  <c r="BW22" i="1" s="1"/>
  <c r="BS33" i="1"/>
  <c r="BS148" i="1" s="1"/>
  <c r="BS60" i="1"/>
  <c r="BS61" i="1" s="1"/>
  <c r="BS18" i="1"/>
  <c r="BS19" i="1" s="1"/>
  <c r="BS146" i="1" s="1"/>
  <c r="BT146" i="1" s="1"/>
  <c r="BS26" i="1"/>
  <c r="BS10" i="1"/>
  <c r="BS11" i="1" s="1"/>
  <c r="BS12" i="1" s="1"/>
  <c r="BA29" i="1"/>
  <c r="BU28" i="1"/>
  <c r="BW28" i="1" s="1"/>
  <c r="BD6" i="1"/>
  <c r="BC7" i="1" s="1"/>
  <c r="BU21" i="1"/>
  <c r="BW21" i="1" s="1"/>
  <c r="BA37" i="1"/>
  <c r="BA44" i="1"/>
  <c r="BU43" i="1"/>
  <c r="BW43" i="1" s="1"/>
  <c r="BA58" i="1"/>
  <c r="BU57" i="1"/>
  <c r="BW57" i="1" s="1"/>
  <c r="BS72" i="1"/>
  <c r="BS73" i="1" s="1"/>
  <c r="BS74" i="1" s="1"/>
  <c r="BS75" i="1" s="1"/>
  <c r="BA87" i="1"/>
  <c r="BU86" i="1"/>
  <c r="BW86" i="1" s="1"/>
  <c r="BS88" i="1"/>
  <c r="BS80" i="1"/>
  <c r="BU7" i="1"/>
  <c r="BW7" i="1" s="1"/>
  <c r="BU15" i="1"/>
  <c r="BW15" i="1" s="1"/>
  <c r="BA50" i="1"/>
  <c r="BU49" i="1"/>
  <c r="BW49" i="1" s="1"/>
  <c r="BA64" i="1"/>
  <c r="BU63" i="1"/>
  <c r="BW63" i="1" s="1"/>
  <c r="BS65" i="1"/>
  <c r="BA79" i="1"/>
  <c r="BU78" i="1"/>
  <c r="BW78" i="1" s="1"/>
  <c r="BS94" i="1"/>
  <c r="BS95" i="1" s="1"/>
  <c r="BS96" i="1" s="1"/>
  <c r="BU35" i="1"/>
  <c r="BW35" i="1" s="1"/>
  <c r="BA71" i="1"/>
  <c r="BU70" i="1"/>
  <c r="BW70" i="1" s="1"/>
  <c r="BU85" i="1"/>
  <c r="BW85" i="1" s="1"/>
  <c r="BU42" i="1"/>
  <c r="BW42" i="1" s="1"/>
  <c r="BS103" i="1"/>
  <c r="BU84" i="1"/>
  <c r="BW84" i="1" s="1"/>
  <c r="BA99" i="1"/>
  <c r="BU98" i="1"/>
  <c r="BW98" i="1" s="1"/>
  <c r="BU119" i="1"/>
  <c r="BW119" i="1" s="1"/>
  <c r="BU126" i="1"/>
  <c r="BW126" i="1" s="1"/>
  <c r="CR135" i="1"/>
  <c r="BZ135" i="1"/>
  <c r="CT134" i="1"/>
  <c r="CV134" i="1" s="1"/>
  <c r="CT133" i="1"/>
  <c r="CV133" i="1" s="1"/>
  <c r="L133" i="1"/>
  <c r="N133" i="1"/>
  <c r="W133" i="1"/>
  <c r="Y133" i="1" s="1"/>
  <c r="C134" i="1"/>
  <c r="B126" i="1"/>
  <c r="B127" i="1" s="1"/>
  <c r="B128" i="1" s="1"/>
  <c r="B129" i="1" s="1"/>
  <c r="B130" i="1" s="1"/>
  <c r="B131" i="1" s="1"/>
  <c r="B105" i="1"/>
  <c r="B42" i="1"/>
  <c r="B43" i="1" s="1"/>
  <c r="B44" i="1" s="1"/>
  <c r="B45" i="1" s="1"/>
  <c r="B46" i="1" s="1"/>
  <c r="B47" i="1" s="1"/>
  <c r="DG91" i="9" l="1"/>
  <c r="DK90" i="9"/>
  <c r="DN90" i="9"/>
  <c r="DO90" i="9" s="1"/>
  <c r="DB90" i="9"/>
  <c r="DA91" i="9" s="1"/>
  <c r="DI90" i="9"/>
  <c r="CC91" i="9"/>
  <c r="CB92" i="9" s="1"/>
  <c r="CJ91" i="9"/>
  <c r="CO91" i="9"/>
  <c r="CP91" i="9" s="1"/>
  <c r="CL91" i="9"/>
  <c r="CH92" i="9"/>
  <c r="BK90" i="9"/>
  <c r="BP90" i="9"/>
  <c r="BQ90" i="9" s="1"/>
  <c r="BD90" i="9"/>
  <c r="BC91" i="9" s="1"/>
  <c r="BI92" i="9"/>
  <c r="BM92" i="9" s="1"/>
  <c r="AN90" i="9"/>
  <c r="AJ91" i="9"/>
  <c r="AQ90" i="9"/>
  <c r="AR90" i="9" s="1"/>
  <c r="AE90" i="9"/>
  <c r="AD91" i="9" s="1"/>
  <c r="AL90" i="9"/>
  <c r="DO156" i="9"/>
  <c r="P279" i="9" s="1"/>
  <c r="K156" i="9"/>
  <c r="O89" i="9"/>
  <c r="K90" i="9"/>
  <c r="DB156" i="9"/>
  <c r="DG156" i="9"/>
  <c r="P271" i="9" s="1"/>
  <c r="DK156" i="9"/>
  <c r="P275" i="9" s="1"/>
  <c r="R80" i="9"/>
  <c r="S80" i="9" s="1"/>
  <c r="E81" i="9"/>
  <c r="F81" i="9" s="1"/>
  <c r="M80" i="9"/>
  <c r="E385" i="7"/>
  <c r="AJ15" i="7"/>
  <c r="AN14" i="7"/>
  <c r="HJ38" i="7"/>
  <c r="HK38" i="7" s="1"/>
  <c r="GX38" i="7"/>
  <c r="GW39" i="7" s="1"/>
  <c r="HE38" i="7"/>
  <c r="HG38" i="7"/>
  <c r="HC39" i="7"/>
  <c r="GK38" i="7"/>
  <c r="GL38" i="7" s="1"/>
  <c r="FY38" i="7"/>
  <c r="FX39" i="7" s="1"/>
  <c r="GF38" i="7"/>
  <c r="GD38" i="7"/>
  <c r="GH37" i="7"/>
  <c r="EZ39" i="7"/>
  <c r="EY40" i="7" s="1"/>
  <c r="FG39" i="7"/>
  <c r="FL39" i="7"/>
  <c r="FM39" i="7" s="1"/>
  <c r="FI38" i="7"/>
  <c r="FE39" i="7"/>
  <c r="EJ39" i="7"/>
  <c r="EF40" i="7"/>
  <c r="EM39" i="7"/>
  <c r="EN39" i="7" s="1"/>
  <c r="EA39" i="7"/>
  <c r="DZ40" i="7" s="1"/>
  <c r="EH39" i="7"/>
  <c r="DN39" i="7"/>
  <c r="DO39" i="7" s="1"/>
  <c r="DI39" i="7"/>
  <c r="DB39" i="7"/>
  <c r="DA40" i="7" s="1"/>
  <c r="DK38" i="7"/>
  <c r="DG39" i="7"/>
  <c r="CC32" i="8"/>
  <c r="CB33" i="8" s="1"/>
  <c r="CJ32" i="8"/>
  <c r="CO32" i="8"/>
  <c r="CP32" i="8" s="1"/>
  <c r="CL32" i="8"/>
  <c r="AJ36" i="8"/>
  <c r="AN35" i="8"/>
  <c r="DB34" i="8"/>
  <c r="DA35" i="8" s="1"/>
  <c r="DI34" i="8"/>
  <c r="DN34" i="8"/>
  <c r="DO34" i="8" s="1"/>
  <c r="H169" i="8"/>
  <c r="R148" i="8"/>
  <c r="H182" i="8" s="1"/>
  <c r="M148" i="8"/>
  <c r="H177" i="8" s="1"/>
  <c r="DG34" i="8"/>
  <c r="DK33" i="8"/>
  <c r="BK31" i="8"/>
  <c r="BD31" i="8"/>
  <c r="BC32" i="8" s="1"/>
  <c r="BP31" i="8"/>
  <c r="BQ31" i="8" s="1"/>
  <c r="K148" i="8"/>
  <c r="O33" i="8"/>
  <c r="K34" i="8"/>
  <c r="BI35" i="8"/>
  <c r="BM34" i="8"/>
  <c r="R31" i="8"/>
  <c r="S31" i="8" s="1"/>
  <c r="M31" i="8"/>
  <c r="F31" i="8"/>
  <c r="E32" i="8" s="1"/>
  <c r="CH36" i="8"/>
  <c r="AQ32" i="8"/>
  <c r="AR32" i="8" s="1"/>
  <c r="AE32" i="8"/>
  <c r="AD33" i="8" s="1"/>
  <c r="AL32" i="8"/>
  <c r="E426" i="7"/>
  <c r="C34" i="5" s="1"/>
  <c r="E423" i="7"/>
  <c r="E421" i="7"/>
  <c r="E255" i="7"/>
  <c r="F241" i="7"/>
  <c r="F217" i="7"/>
  <c r="CO14" i="7"/>
  <c r="CC14" i="7"/>
  <c r="CB15" i="7" s="1"/>
  <c r="CL15" i="7" s="1"/>
  <c r="CJ14" i="7"/>
  <c r="BQ13" i="7"/>
  <c r="C400" i="7"/>
  <c r="C401" i="7" s="1"/>
  <c r="CH16" i="7"/>
  <c r="BI17" i="7"/>
  <c r="S14" i="7"/>
  <c r="R15" i="7"/>
  <c r="E16" i="7"/>
  <c r="F16" i="7" s="1"/>
  <c r="M15" i="7"/>
  <c r="CP13" i="7"/>
  <c r="AQ15" i="7"/>
  <c r="AR15" i="7" s="1"/>
  <c r="AL15" i="7"/>
  <c r="AE15" i="7"/>
  <c r="AD16" i="7" s="1"/>
  <c r="K16" i="7"/>
  <c r="BD14" i="7"/>
  <c r="BC15" i="7" s="1"/>
  <c r="BK14" i="7"/>
  <c r="BP14" i="7"/>
  <c r="BM14" i="7"/>
  <c r="CL14" i="7"/>
  <c r="BU8" i="1"/>
  <c r="BW8" i="1" s="1"/>
  <c r="AR12" i="1"/>
  <c r="AR145" i="1" s="1"/>
  <c r="E206" i="1" s="1"/>
  <c r="BU135" i="1"/>
  <c r="BW135" i="1" s="1"/>
  <c r="BU92" i="1"/>
  <c r="BW92" i="1" s="1"/>
  <c r="BU134" i="1"/>
  <c r="BW134" i="1" s="1"/>
  <c r="BU136" i="1"/>
  <c r="BW136" i="1" s="1"/>
  <c r="BU106" i="1"/>
  <c r="BW106" i="1" s="1"/>
  <c r="BA108" i="1"/>
  <c r="AP134" i="1"/>
  <c r="AK134" i="1"/>
  <c r="AS134" i="1"/>
  <c r="AU134" i="1" s="1"/>
  <c r="AM134" i="1"/>
  <c r="AQ13" i="1"/>
  <c r="AL13" i="1"/>
  <c r="AE13" i="1"/>
  <c r="AD14" i="1" s="1"/>
  <c r="AN13" i="1"/>
  <c r="AJ14" i="1"/>
  <c r="BU113" i="1"/>
  <c r="BW113" i="1" s="1"/>
  <c r="BU121" i="1"/>
  <c r="BW121" i="1" s="1"/>
  <c r="BJ134" i="1"/>
  <c r="BL134" i="1"/>
  <c r="BR134" i="1"/>
  <c r="BT134" i="1" s="1"/>
  <c r="BO134" i="1"/>
  <c r="CK134" i="1"/>
  <c r="CI134" i="1"/>
  <c r="CQ134" i="1"/>
  <c r="CS134" i="1" s="1"/>
  <c r="CN134" i="1"/>
  <c r="BU128" i="1"/>
  <c r="BW128" i="1" s="1"/>
  <c r="BS147" i="1"/>
  <c r="BK7" i="1"/>
  <c r="BP7" i="1"/>
  <c r="BQ7" i="1" s="1"/>
  <c r="BS158" i="1"/>
  <c r="BS157" i="1"/>
  <c r="BS154" i="1"/>
  <c r="BS145" i="1"/>
  <c r="BT145" i="1" s="1"/>
  <c r="BS152" i="1"/>
  <c r="BU122" i="1"/>
  <c r="BW122" i="1" s="1"/>
  <c r="BA123" i="1"/>
  <c r="BA130" i="1"/>
  <c r="BU129" i="1"/>
  <c r="BW129" i="1" s="1"/>
  <c r="BU99" i="1"/>
  <c r="BW99" i="1" s="1"/>
  <c r="BA100" i="1"/>
  <c r="BA72" i="1"/>
  <c r="BU71" i="1"/>
  <c r="BW71" i="1" s="1"/>
  <c r="BA65" i="1"/>
  <c r="BU64" i="1"/>
  <c r="BW64" i="1" s="1"/>
  <c r="BA88" i="1"/>
  <c r="BU87" i="1"/>
  <c r="BW87" i="1" s="1"/>
  <c r="BU44" i="1"/>
  <c r="BW44" i="1" s="1"/>
  <c r="BA45" i="1"/>
  <c r="BA30" i="1"/>
  <c r="BU29" i="1"/>
  <c r="BW29" i="1" s="1"/>
  <c r="BA18" i="1"/>
  <c r="BU17" i="1"/>
  <c r="BW17" i="1" s="1"/>
  <c r="BA80" i="1"/>
  <c r="BU79" i="1"/>
  <c r="BW79" i="1" s="1"/>
  <c r="BA51" i="1"/>
  <c r="BU50" i="1"/>
  <c r="BW50" i="1" s="1"/>
  <c r="BS81" i="1"/>
  <c r="BA38" i="1"/>
  <c r="BU37" i="1"/>
  <c r="BW37" i="1" s="1"/>
  <c r="BA24" i="1"/>
  <c r="BU23" i="1"/>
  <c r="BW23" i="1" s="1"/>
  <c r="BI8" i="1"/>
  <c r="BM7" i="1"/>
  <c r="BU114" i="1"/>
  <c r="BW114" i="1" s="1"/>
  <c r="BA115" i="1"/>
  <c r="BA138" i="1"/>
  <c r="BU138" i="1" s="1"/>
  <c r="BW138" i="1" s="1"/>
  <c r="BU137" i="1"/>
  <c r="BW137" i="1" s="1"/>
  <c r="BA94" i="1"/>
  <c r="BU93" i="1"/>
  <c r="BW93" i="1" s="1"/>
  <c r="BS66" i="1"/>
  <c r="BS89" i="1"/>
  <c r="BA59" i="1"/>
  <c r="BU58" i="1"/>
  <c r="BW58" i="1" s="1"/>
  <c r="BD7" i="1"/>
  <c r="BC8" i="1" s="1"/>
  <c r="BA10" i="1"/>
  <c r="BU9" i="1"/>
  <c r="BW9" i="1" s="1"/>
  <c r="CR136" i="1"/>
  <c r="BZ136" i="1"/>
  <c r="CT135" i="1"/>
  <c r="CV135" i="1" s="1"/>
  <c r="Q134" i="1"/>
  <c r="L134" i="1"/>
  <c r="T134" i="1"/>
  <c r="V134" i="1" s="1"/>
  <c r="C135" i="1"/>
  <c r="W134" i="1"/>
  <c r="Y134" i="1" s="1"/>
  <c r="N134" i="1"/>
  <c r="J105" i="1"/>
  <c r="DK91" i="9" l="1"/>
  <c r="DG92" i="9"/>
  <c r="DN91" i="9"/>
  <c r="DO91" i="9" s="1"/>
  <c r="DB91" i="9"/>
  <c r="DA92" i="9" s="1"/>
  <c r="DI91" i="9"/>
  <c r="CL92" i="9"/>
  <c r="CH93" i="9"/>
  <c r="CO92" i="9"/>
  <c r="CP92" i="9" s="1"/>
  <c r="CC92" i="9"/>
  <c r="CB93" i="9" s="1"/>
  <c r="CJ92" i="9"/>
  <c r="BP91" i="9"/>
  <c r="BQ91" i="9" s="1"/>
  <c r="BK91" i="9"/>
  <c r="BD91" i="9"/>
  <c r="BC92" i="9" s="1"/>
  <c r="BI93" i="9"/>
  <c r="BM93" i="9" s="1"/>
  <c r="AQ91" i="9"/>
  <c r="AR91" i="9" s="1"/>
  <c r="AL91" i="9"/>
  <c r="AE91" i="9"/>
  <c r="AD92" i="9" s="1"/>
  <c r="AJ92" i="9"/>
  <c r="AN91" i="9"/>
  <c r="P266" i="9"/>
  <c r="P175" i="9"/>
  <c r="P298" i="9" s="1"/>
  <c r="R81" i="9"/>
  <c r="S81" i="9" s="1"/>
  <c r="M81" i="9"/>
  <c r="E82" i="9"/>
  <c r="F82" i="9" s="1"/>
  <c r="K91" i="9"/>
  <c r="O90" i="9"/>
  <c r="R402" i="7"/>
  <c r="O402" i="7"/>
  <c r="Q402" i="7"/>
  <c r="G401" i="7"/>
  <c r="G402" i="7" s="1"/>
  <c r="U402" i="7"/>
  <c r="T402" i="7"/>
  <c r="J401" i="7"/>
  <c r="J402" i="7" s="1"/>
  <c r="K401" i="7"/>
  <c r="K402" i="7" s="1"/>
  <c r="L401" i="7"/>
  <c r="L402" i="7" s="1"/>
  <c r="P402" i="7"/>
  <c r="N401" i="7"/>
  <c r="N402" i="7" s="1"/>
  <c r="F401" i="7"/>
  <c r="F402" i="7" s="1"/>
  <c r="I401" i="7"/>
  <c r="I402" i="7" s="1"/>
  <c r="H401" i="7"/>
  <c r="H402" i="7" s="1"/>
  <c r="M401" i="7"/>
  <c r="M402" i="7" s="1"/>
  <c r="W402" i="7"/>
  <c r="V402" i="7"/>
  <c r="AJ16" i="7"/>
  <c r="AN15" i="7"/>
  <c r="HC40" i="7"/>
  <c r="HG39" i="7"/>
  <c r="HJ39" i="7"/>
  <c r="HK39" i="7" s="1"/>
  <c r="HE39" i="7"/>
  <c r="GX39" i="7"/>
  <c r="GW40" i="7" s="1"/>
  <c r="GF39" i="7"/>
  <c r="GK39" i="7"/>
  <c r="FY39" i="7"/>
  <c r="FX40" i="7" s="1"/>
  <c r="GH38" i="7"/>
  <c r="GD39" i="7"/>
  <c r="GL39" i="7"/>
  <c r="FI39" i="7"/>
  <c r="FE40" i="7"/>
  <c r="FL40" i="7"/>
  <c r="FM40" i="7" s="1"/>
  <c r="EZ40" i="7"/>
  <c r="EY41" i="7" s="1"/>
  <c r="FG40" i="7"/>
  <c r="EF41" i="7"/>
  <c r="EJ40" i="7"/>
  <c r="EH40" i="7"/>
  <c r="EM40" i="7"/>
  <c r="EN40" i="7" s="1"/>
  <c r="EA40" i="7"/>
  <c r="DZ41" i="7" s="1"/>
  <c r="DN40" i="7"/>
  <c r="DO40" i="7" s="1"/>
  <c r="DB40" i="7"/>
  <c r="DA41" i="7" s="1"/>
  <c r="DI40" i="7"/>
  <c r="DK39" i="7"/>
  <c r="DG40" i="7"/>
  <c r="CH37" i="8"/>
  <c r="H175" i="8"/>
  <c r="H296" i="8" s="1"/>
  <c r="O148" i="8"/>
  <c r="H179" i="8" s="1"/>
  <c r="H290" i="8"/>
  <c r="H315" i="8"/>
  <c r="DN35" i="8"/>
  <c r="DO35" i="8" s="1"/>
  <c r="DB35" i="8"/>
  <c r="DA36" i="8" s="1"/>
  <c r="DI35" i="8"/>
  <c r="AQ33" i="8"/>
  <c r="AR33" i="8" s="1"/>
  <c r="AE33" i="8"/>
  <c r="AL33" i="8"/>
  <c r="R32" i="8"/>
  <c r="S32" i="8" s="1"/>
  <c r="F32" i="8"/>
  <c r="E33" i="8" s="1"/>
  <c r="M32" i="8"/>
  <c r="BI36" i="8"/>
  <c r="BM35" i="8"/>
  <c r="DK34" i="8"/>
  <c r="DG35" i="8"/>
  <c r="K35" i="8"/>
  <c r="O34" i="8"/>
  <c r="BP32" i="8"/>
  <c r="BQ32" i="8" s="1"/>
  <c r="BK32" i="8"/>
  <c r="BD32" i="8"/>
  <c r="BC33" i="8" s="1"/>
  <c r="AN36" i="8"/>
  <c r="AJ37" i="8"/>
  <c r="CO33" i="8"/>
  <c r="CP33" i="8" s="1"/>
  <c r="CC33" i="8"/>
  <c r="CJ33" i="8"/>
  <c r="CL33" i="8"/>
  <c r="E401" i="7"/>
  <c r="E402" i="7" s="1"/>
  <c r="CP14" i="7"/>
  <c r="S15" i="7"/>
  <c r="BK15" i="7"/>
  <c r="BP15" i="7"/>
  <c r="BD15" i="7"/>
  <c r="BC16" i="7" s="1"/>
  <c r="BM15" i="7"/>
  <c r="AQ16" i="7"/>
  <c r="AR16" i="7" s="1"/>
  <c r="AE16" i="7"/>
  <c r="AD17" i="7" s="1"/>
  <c r="AL16" i="7"/>
  <c r="C402" i="7"/>
  <c r="C403" i="7" s="1"/>
  <c r="C404" i="7" s="1"/>
  <c r="K17" i="7"/>
  <c r="O17" i="7" s="1"/>
  <c r="R16" i="7"/>
  <c r="E17" i="7"/>
  <c r="F17" i="7" s="1"/>
  <c r="M16" i="7"/>
  <c r="CH17" i="7"/>
  <c r="BQ14" i="7"/>
  <c r="BI18" i="7"/>
  <c r="CO15" i="7"/>
  <c r="CP15" i="7" s="1"/>
  <c r="CC15" i="7"/>
  <c r="CB16" i="7" s="1"/>
  <c r="CL16" i="7" s="1"/>
  <c r="CJ15" i="7"/>
  <c r="AR13" i="1"/>
  <c r="BA109" i="1"/>
  <c r="BU108" i="1"/>
  <c r="BW108" i="1" s="1"/>
  <c r="AK135" i="1"/>
  <c r="AP135" i="1"/>
  <c r="AS135" i="1"/>
  <c r="AU135" i="1" s="1"/>
  <c r="AM135" i="1"/>
  <c r="AJ15" i="1"/>
  <c r="AN14" i="1"/>
  <c r="AQ14" i="1"/>
  <c r="AE14" i="1"/>
  <c r="AD15" i="1" s="1"/>
  <c r="AL14" i="1"/>
  <c r="BS156" i="1"/>
  <c r="BL135" i="1"/>
  <c r="BO135" i="1"/>
  <c r="BR135" i="1"/>
  <c r="BT135" i="1" s="1"/>
  <c r="BJ135" i="1"/>
  <c r="CI135" i="1"/>
  <c r="CK135" i="1"/>
  <c r="CQ135" i="1"/>
  <c r="CS135" i="1" s="1"/>
  <c r="CN135" i="1"/>
  <c r="BP8" i="1"/>
  <c r="BQ8" i="1" s="1"/>
  <c r="BK8" i="1"/>
  <c r="BU123" i="1"/>
  <c r="BW123" i="1" s="1"/>
  <c r="BA124" i="1"/>
  <c r="BU124" i="1" s="1"/>
  <c r="BW124" i="1" s="1"/>
  <c r="BD8" i="1"/>
  <c r="BC9" i="1" s="1"/>
  <c r="BU59" i="1"/>
  <c r="BW59" i="1" s="1"/>
  <c r="BA60" i="1"/>
  <c r="BA66" i="1"/>
  <c r="BU65" i="1"/>
  <c r="BW65" i="1" s="1"/>
  <c r="BU10" i="1"/>
  <c r="BW10" i="1" s="1"/>
  <c r="BA11" i="1"/>
  <c r="BS82" i="1"/>
  <c r="BS67" i="1"/>
  <c r="BM8" i="1"/>
  <c r="BI9" i="1"/>
  <c r="BA39" i="1"/>
  <c r="BU38" i="1"/>
  <c r="BW38" i="1" s="1"/>
  <c r="BA52" i="1"/>
  <c r="BU51" i="1"/>
  <c r="BW51" i="1" s="1"/>
  <c r="BA95" i="1"/>
  <c r="BU94" i="1"/>
  <c r="BW94" i="1" s="1"/>
  <c r="BA25" i="1"/>
  <c r="BU24" i="1"/>
  <c r="BW24" i="1" s="1"/>
  <c r="BA81" i="1"/>
  <c r="BU80" i="1"/>
  <c r="BW80" i="1" s="1"/>
  <c r="BU18" i="1"/>
  <c r="BW18" i="1" s="1"/>
  <c r="BA19" i="1"/>
  <c r="BU19" i="1" s="1"/>
  <c r="BW19" i="1" s="1"/>
  <c r="BA46" i="1"/>
  <c r="BU45" i="1"/>
  <c r="BW45" i="1" s="1"/>
  <c r="BA101" i="1"/>
  <c r="BU100" i="1"/>
  <c r="BW100" i="1" s="1"/>
  <c r="BA116" i="1"/>
  <c r="BU115" i="1"/>
  <c r="BW115" i="1" s="1"/>
  <c r="BU30" i="1"/>
  <c r="BW30" i="1" s="1"/>
  <c r="BA31" i="1"/>
  <c r="BA89" i="1"/>
  <c r="BU89" i="1" s="1"/>
  <c r="BW89" i="1" s="1"/>
  <c r="BU88" i="1"/>
  <c r="BW88" i="1" s="1"/>
  <c r="BA73" i="1"/>
  <c r="BU72" i="1"/>
  <c r="BW72" i="1" s="1"/>
  <c r="BA131" i="1"/>
  <c r="BU131" i="1" s="1"/>
  <c r="BW131" i="1" s="1"/>
  <c r="BU130" i="1"/>
  <c r="BW130" i="1" s="1"/>
  <c r="CR137" i="1"/>
  <c r="BZ137" i="1"/>
  <c r="CT136" i="1"/>
  <c r="CV136" i="1" s="1"/>
  <c r="Q135" i="1"/>
  <c r="L135" i="1"/>
  <c r="C136" i="1"/>
  <c r="N135" i="1"/>
  <c r="T135" i="1"/>
  <c r="V135" i="1" s="1"/>
  <c r="W135" i="1"/>
  <c r="Y135" i="1" s="1"/>
  <c r="E6" i="1"/>
  <c r="DK92" i="9" l="1"/>
  <c r="DG93" i="9"/>
  <c r="DN92" i="9"/>
  <c r="DO92" i="9" s="1"/>
  <c r="DB92" i="9"/>
  <c r="DA93" i="9" s="1"/>
  <c r="DI92" i="9"/>
  <c r="CH94" i="9"/>
  <c r="CL93" i="9"/>
  <c r="CO93" i="9"/>
  <c r="CP93" i="9" s="1"/>
  <c r="CJ93" i="9"/>
  <c r="CC93" i="9"/>
  <c r="CB94" i="9" s="1"/>
  <c r="BP92" i="9"/>
  <c r="BQ92" i="9" s="1"/>
  <c r="BD92" i="9"/>
  <c r="BC93" i="9" s="1"/>
  <c r="BK92" i="9"/>
  <c r="BI94" i="9"/>
  <c r="BM94" i="9" s="1"/>
  <c r="AN92" i="9"/>
  <c r="AJ93" i="9"/>
  <c r="AQ92" i="9"/>
  <c r="AR92" i="9" s="1"/>
  <c r="AE92" i="9"/>
  <c r="AD93" i="9" s="1"/>
  <c r="AL92" i="9"/>
  <c r="AR155" i="9"/>
  <c r="O206" i="9" s="1"/>
  <c r="CP155" i="9"/>
  <c r="O255" i="9" s="1"/>
  <c r="DO155" i="9"/>
  <c r="O279" i="9" s="1"/>
  <c r="K92" i="9"/>
  <c r="O91" i="9"/>
  <c r="R82" i="9"/>
  <c r="S82" i="9" s="1"/>
  <c r="E83" i="9"/>
  <c r="F83" i="9" s="1"/>
  <c r="M82" i="9"/>
  <c r="P334" i="9"/>
  <c r="DA157" i="9"/>
  <c r="CC155" i="9"/>
  <c r="O242" i="9" s="1"/>
  <c r="DB155" i="9"/>
  <c r="CL155" i="9"/>
  <c r="O251" i="9" s="1"/>
  <c r="DK155" i="9"/>
  <c r="O275" i="9" s="1"/>
  <c r="AE155" i="9"/>
  <c r="O193" i="9" s="1"/>
  <c r="M404" i="7"/>
  <c r="L404" i="7"/>
  <c r="I404" i="7"/>
  <c r="N404" i="7"/>
  <c r="K404" i="7"/>
  <c r="O404" i="7"/>
  <c r="H404" i="7"/>
  <c r="J404" i="7"/>
  <c r="AJ17" i="7"/>
  <c r="AN16" i="7"/>
  <c r="HJ40" i="7"/>
  <c r="HK40" i="7" s="1"/>
  <c r="GX40" i="7"/>
  <c r="GW41" i="7" s="1"/>
  <c r="HE40" i="7"/>
  <c r="HG40" i="7"/>
  <c r="HC41" i="7"/>
  <c r="GK40" i="7"/>
  <c r="GL40" i="7" s="1"/>
  <c r="FY40" i="7"/>
  <c r="FX41" i="7" s="1"/>
  <c r="GF40" i="7"/>
  <c r="GH39" i="7"/>
  <c r="GD40" i="7"/>
  <c r="FE41" i="7"/>
  <c r="FI40" i="7"/>
  <c r="FL41" i="7"/>
  <c r="FM41" i="7" s="1"/>
  <c r="FG41" i="7"/>
  <c r="EZ41" i="7"/>
  <c r="EY42" i="7" s="1"/>
  <c r="EM41" i="7"/>
  <c r="EN41" i="7" s="1"/>
  <c r="EH41" i="7"/>
  <c r="EA41" i="7"/>
  <c r="DZ42" i="7" s="1"/>
  <c r="EJ41" i="7"/>
  <c r="EF42" i="7"/>
  <c r="DK40" i="7"/>
  <c r="DG41" i="7"/>
  <c r="DN41" i="7"/>
  <c r="DO41" i="7" s="1"/>
  <c r="DB41" i="7"/>
  <c r="DA42" i="7" s="1"/>
  <c r="DI41" i="7"/>
  <c r="CP148" i="8"/>
  <c r="H255" i="8" s="1"/>
  <c r="DO148" i="8"/>
  <c r="H278" i="8" s="1"/>
  <c r="AR148" i="8"/>
  <c r="H206" i="8" s="1"/>
  <c r="CL148" i="8"/>
  <c r="H251" i="8" s="1"/>
  <c r="DK148" i="8"/>
  <c r="H274" i="8" s="1"/>
  <c r="DG36" i="8"/>
  <c r="DK35" i="8"/>
  <c r="AE148" i="8"/>
  <c r="H193" i="8" s="1"/>
  <c r="AD34" i="8"/>
  <c r="DN36" i="8"/>
  <c r="DO36" i="8" s="1"/>
  <c r="DI36" i="8"/>
  <c r="DB36" i="8"/>
  <c r="DA37" i="8" s="1"/>
  <c r="R33" i="8"/>
  <c r="S33" i="8" s="1"/>
  <c r="F33" i="8"/>
  <c r="M33" i="8"/>
  <c r="H332" i="8"/>
  <c r="H300" i="8"/>
  <c r="H327" i="8" s="1"/>
  <c r="AJ38" i="8"/>
  <c r="AN37" i="8"/>
  <c r="DB148" i="8"/>
  <c r="H265" i="8" s="1"/>
  <c r="CC148" i="8"/>
  <c r="H242" i="8" s="1"/>
  <c r="CB34" i="8"/>
  <c r="BP33" i="8"/>
  <c r="BQ33" i="8" s="1"/>
  <c r="BD33" i="8"/>
  <c r="BK33" i="8"/>
  <c r="O35" i="8"/>
  <c r="K36" i="8"/>
  <c r="BM36" i="8"/>
  <c r="BI37" i="8"/>
  <c r="H298" i="8"/>
  <c r="H326" i="8" s="1"/>
  <c r="H305" i="8"/>
  <c r="H329" i="8" s="1"/>
  <c r="CH38" i="8"/>
  <c r="F192" i="7"/>
  <c r="F384" i="7" s="1"/>
  <c r="F399" i="7" s="1"/>
  <c r="G404" i="7"/>
  <c r="F404" i="7"/>
  <c r="E405" i="7"/>
  <c r="S16" i="7"/>
  <c r="AR14" i="1"/>
  <c r="BQ15" i="7"/>
  <c r="M424" i="7"/>
  <c r="O424" i="7"/>
  <c r="K424" i="7"/>
  <c r="Q424" i="7"/>
  <c r="N424" i="7"/>
  <c r="AQ17" i="7"/>
  <c r="AR17" i="7" s="1"/>
  <c r="AL17" i="7"/>
  <c r="AE17" i="7"/>
  <c r="AD18" i="7" s="1"/>
  <c r="R17" i="7"/>
  <c r="E18" i="7"/>
  <c r="F18" i="7" s="1"/>
  <c r="E19" i="7" s="1"/>
  <c r="F19" i="7" s="1"/>
  <c r="M17" i="7"/>
  <c r="U424" i="7"/>
  <c r="C405" i="7"/>
  <c r="S424" i="7"/>
  <c r="W424" i="7"/>
  <c r="R424" i="7"/>
  <c r="BI19" i="7"/>
  <c r="CH18" i="7"/>
  <c r="I424" i="7"/>
  <c r="H424" i="7"/>
  <c r="G424" i="7"/>
  <c r="F424" i="7"/>
  <c r="V424" i="7"/>
  <c r="CO16" i="7"/>
  <c r="CP16" i="7" s="1"/>
  <c r="CC16" i="7"/>
  <c r="CB17" i="7" s="1"/>
  <c r="CJ16" i="7"/>
  <c r="K18" i="7"/>
  <c r="T424" i="7"/>
  <c r="E424" i="7"/>
  <c r="P424" i="7"/>
  <c r="L424" i="7"/>
  <c r="J424" i="7"/>
  <c r="BK16" i="7"/>
  <c r="BP16" i="7"/>
  <c r="BD16" i="7"/>
  <c r="BC17" i="7" s="1"/>
  <c r="BM16" i="7"/>
  <c r="BA110" i="1"/>
  <c r="BU110" i="1" s="1"/>
  <c r="BW110" i="1" s="1"/>
  <c r="BU109" i="1"/>
  <c r="BW109" i="1" s="1"/>
  <c r="AS136" i="1"/>
  <c r="AU136" i="1" s="1"/>
  <c r="AM136" i="1"/>
  <c r="AP136" i="1"/>
  <c r="AK136" i="1"/>
  <c r="AN15" i="1"/>
  <c r="AJ16" i="1"/>
  <c r="AQ15" i="1"/>
  <c r="AR15" i="1" s="1"/>
  <c r="AL15" i="1"/>
  <c r="AE15" i="1"/>
  <c r="AD16" i="1" s="1"/>
  <c r="S6" i="1"/>
  <c r="BJ136" i="1"/>
  <c r="BL136" i="1"/>
  <c r="BR136" i="1"/>
  <c r="BT136" i="1" s="1"/>
  <c r="BO136" i="1"/>
  <c r="CQ136" i="1"/>
  <c r="CS136" i="1" s="1"/>
  <c r="CN136" i="1"/>
  <c r="CI136" i="1"/>
  <c r="CK136" i="1"/>
  <c r="BP9" i="1"/>
  <c r="BK9" i="1"/>
  <c r="BS155" i="1"/>
  <c r="BA26" i="1"/>
  <c r="BU26" i="1" s="1"/>
  <c r="BW26" i="1" s="1"/>
  <c r="BU25" i="1"/>
  <c r="BW25" i="1" s="1"/>
  <c r="BD9" i="1"/>
  <c r="BC10" i="1" s="1"/>
  <c r="BA117" i="1"/>
  <c r="BU117" i="1" s="1"/>
  <c r="BW117" i="1" s="1"/>
  <c r="BU116" i="1"/>
  <c r="BW116" i="1" s="1"/>
  <c r="BA12" i="1"/>
  <c r="BU11" i="1"/>
  <c r="BW11" i="1" s="1"/>
  <c r="BU60" i="1"/>
  <c r="BW60" i="1" s="1"/>
  <c r="BA61" i="1"/>
  <c r="BU61" i="1" s="1"/>
  <c r="BW61" i="1" s="1"/>
  <c r="BA102" i="1"/>
  <c r="BU101" i="1"/>
  <c r="BW101" i="1" s="1"/>
  <c r="BU31" i="1"/>
  <c r="BW31" i="1" s="1"/>
  <c r="BA32" i="1"/>
  <c r="BQ9" i="1"/>
  <c r="BA47" i="1"/>
  <c r="BU47" i="1" s="1"/>
  <c r="BW47" i="1" s="1"/>
  <c r="BU46" i="1"/>
  <c r="BW46" i="1" s="1"/>
  <c r="BA82" i="1"/>
  <c r="BU82" i="1" s="1"/>
  <c r="BW82" i="1" s="1"/>
  <c r="BU81" i="1"/>
  <c r="BW81" i="1" s="1"/>
  <c r="BA96" i="1"/>
  <c r="BU96" i="1" s="1"/>
  <c r="BW96" i="1" s="1"/>
  <c r="BU95" i="1"/>
  <c r="BW95" i="1" s="1"/>
  <c r="BA40" i="1"/>
  <c r="BU40" i="1" s="1"/>
  <c r="BW40" i="1" s="1"/>
  <c r="BU39" i="1"/>
  <c r="BW39" i="1" s="1"/>
  <c r="BS68" i="1"/>
  <c r="BA53" i="1"/>
  <c r="BU52" i="1"/>
  <c r="BW52" i="1" s="1"/>
  <c r="BA67" i="1"/>
  <c r="BU66" i="1"/>
  <c r="BW66" i="1" s="1"/>
  <c r="BA74" i="1"/>
  <c r="BU73" i="1"/>
  <c r="BW73" i="1" s="1"/>
  <c r="BM9" i="1"/>
  <c r="BI10" i="1"/>
  <c r="CR138" i="1"/>
  <c r="BZ138" i="1"/>
  <c r="CT138" i="1" s="1"/>
  <c r="CV138" i="1" s="1"/>
  <c r="CT137" i="1"/>
  <c r="CV137" i="1" s="1"/>
  <c r="C137" i="1"/>
  <c r="W136" i="1"/>
  <c r="Y136" i="1" s="1"/>
  <c r="N136" i="1"/>
  <c r="Q136" i="1"/>
  <c r="L136" i="1"/>
  <c r="T136" i="1"/>
  <c r="V136" i="1" s="1"/>
  <c r="E297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F286" i="1"/>
  <c r="E283" i="1"/>
  <c r="E296" i="1" s="1"/>
  <c r="F279" i="1"/>
  <c r="E294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E293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F276" i="1"/>
  <c r="E292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F274" i="1"/>
  <c r="F292" i="1" s="1"/>
  <c r="CT146" i="1"/>
  <c r="F259" i="1" s="1"/>
  <c r="CT147" i="1"/>
  <c r="G259" i="1" s="1"/>
  <c r="CT148" i="1"/>
  <c r="H259" i="1" s="1"/>
  <c r="CT149" i="1"/>
  <c r="I259" i="1" s="1"/>
  <c r="CT150" i="1"/>
  <c r="J259" i="1" s="1"/>
  <c r="CT151" i="1"/>
  <c r="K259" i="1" s="1"/>
  <c r="CT152" i="1"/>
  <c r="L259" i="1" s="1"/>
  <c r="CT153" i="1"/>
  <c r="M259" i="1" s="1"/>
  <c r="CT154" i="1"/>
  <c r="N259" i="1" s="1"/>
  <c r="CT155" i="1"/>
  <c r="O259" i="1" s="1"/>
  <c r="CT156" i="1"/>
  <c r="P259" i="1" s="1"/>
  <c r="CT157" i="1"/>
  <c r="Q259" i="1" s="1"/>
  <c r="CT158" i="1"/>
  <c r="R259" i="1" s="1"/>
  <c r="CT159" i="1"/>
  <c r="S259" i="1" s="1"/>
  <c r="CT160" i="1"/>
  <c r="T259" i="1" s="1"/>
  <c r="CT161" i="1"/>
  <c r="U259" i="1" s="1"/>
  <c r="CT162" i="1"/>
  <c r="V259" i="1" s="1"/>
  <c r="CV163" i="1"/>
  <c r="W261" i="1" s="1"/>
  <c r="CQ146" i="1"/>
  <c r="F256" i="1" s="1"/>
  <c r="CQ147" i="1"/>
  <c r="G256" i="1" s="1"/>
  <c r="CQ148" i="1"/>
  <c r="H256" i="1" s="1"/>
  <c r="CQ149" i="1"/>
  <c r="I256" i="1" s="1"/>
  <c r="CQ150" i="1"/>
  <c r="J256" i="1" s="1"/>
  <c r="CQ151" i="1"/>
  <c r="K256" i="1" s="1"/>
  <c r="CQ152" i="1"/>
  <c r="L256" i="1" s="1"/>
  <c r="CQ153" i="1"/>
  <c r="M256" i="1" s="1"/>
  <c r="CQ154" i="1"/>
  <c r="N256" i="1" s="1"/>
  <c r="CQ155" i="1"/>
  <c r="O256" i="1" s="1"/>
  <c r="CQ156" i="1"/>
  <c r="P256" i="1" s="1"/>
  <c r="CQ157" i="1"/>
  <c r="Q256" i="1" s="1"/>
  <c r="CQ158" i="1"/>
  <c r="R256" i="1" s="1"/>
  <c r="CQ159" i="1"/>
  <c r="S256" i="1" s="1"/>
  <c r="CQ160" i="1"/>
  <c r="T256" i="1" s="1"/>
  <c r="CQ161" i="1"/>
  <c r="U256" i="1" s="1"/>
  <c r="CQ162" i="1"/>
  <c r="V256" i="1" s="1"/>
  <c r="CQ145" i="1"/>
  <c r="E256" i="1" s="1"/>
  <c r="CN146" i="1"/>
  <c r="F253" i="1" s="1"/>
  <c r="CN147" i="1"/>
  <c r="G253" i="1" s="1"/>
  <c r="CN148" i="1"/>
  <c r="H253" i="1" s="1"/>
  <c r="I253" i="1"/>
  <c r="CN150" i="1"/>
  <c r="J253" i="1" s="1"/>
  <c r="CN151" i="1"/>
  <c r="K253" i="1" s="1"/>
  <c r="CN152" i="1"/>
  <c r="L253" i="1" s="1"/>
  <c r="CN153" i="1"/>
  <c r="M253" i="1" s="1"/>
  <c r="CN154" i="1"/>
  <c r="N253" i="1" s="1"/>
  <c r="CN155" i="1"/>
  <c r="O253" i="1" s="1"/>
  <c r="CN156" i="1"/>
  <c r="P253" i="1" s="1"/>
  <c r="CN157" i="1"/>
  <c r="Q253" i="1" s="1"/>
  <c r="CN158" i="1"/>
  <c r="R253" i="1" s="1"/>
  <c r="CN159" i="1"/>
  <c r="S253" i="1" s="1"/>
  <c r="CN160" i="1"/>
  <c r="T253" i="1" s="1"/>
  <c r="CN161" i="1"/>
  <c r="U253" i="1" s="1"/>
  <c r="CN162" i="1"/>
  <c r="V253" i="1" s="1"/>
  <c r="CN163" i="1"/>
  <c r="W253" i="1" s="1"/>
  <c r="CK146" i="1"/>
  <c r="F250" i="1" s="1"/>
  <c r="CK147" i="1"/>
  <c r="G250" i="1" s="1"/>
  <c r="CK148" i="1"/>
  <c r="H250" i="1" s="1"/>
  <c r="CK149" i="1"/>
  <c r="I250" i="1" s="1"/>
  <c r="CK150" i="1"/>
  <c r="J250" i="1" s="1"/>
  <c r="CK151" i="1"/>
  <c r="K250" i="1" s="1"/>
  <c r="CK152" i="1"/>
  <c r="L250" i="1" s="1"/>
  <c r="CK153" i="1"/>
  <c r="M250" i="1" s="1"/>
  <c r="CK154" i="1"/>
  <c r="N250" i="1" s="1"/>
  <c r="CK155" i="1"/>
  <c r="O250" i="1" s="1"/>
  <c r="CK156" i="1"/>
  <c r="P250" i="1" s="1"/>
  <c r="CK157" i="1"/>
  <c r="Q250" i="1" s="1"/>
  <c r="CK158" i="1"/>
  <c r="R250" i="1" s="1"/>
  <c r="CK159" i="1"/>
  <c r="S250" i="1" s="1"/>
  <c r="CK160" i="1"/>
  <c r="T250" i="1" s="1"/>
  <c r="CK161" i="1"/>
  <c r="U250" i="1" s="1"/>
  <c r="CK162" i="1"/>
  <c r="V250" i="1" s="1"/>
  <c r="CK163" i="1"/>
  <c r="W250" i="1" s="1"/>
  <c r="CI146" i="1"/>
  <c r="F248" i="1" s="1"/>
  <c r="CI147" i="1"/>
  <c r="G248" i="1" s="1"/>
  <c r="CI148" i="1"/>
  <c r="H248" i="1" s="1"/>
  <c r="CI149" i="1"/>
  <c r="I248" i="1" s="1"/>
  <c r="CI150" i="1"/>
  <c r="J248" i="1" s="1"/>
  <c r="CI151" i="1"/>
  <c r="K248" i="1" s="1"/>
  <c r="CI152" i="1"/>
  <c r="L248" i="1" s="1"/>
  <c r="CI153" i="1"/>
  <c r="M248" i="1" s="1"/>
  <c r="CI154" i="1"/>
  <c r="N248" i="1" s="1"/>
  <c r="CI155" i="1"/>
  <c r="O248" i="1" s="1"/>
  <c r="CI156" i="1"/>
  <c r="P248" i="1" s="1"/>
  <c r="CI157" i="1"/>
  <c r="Q248" i="1" s="1"/>
  <c r="CI158" i="1"/>
  <c r="R248" i="1" s="1"/>
  <c r="CI159" i="1"/>
  <c r="S248" i="1" s="1"/>
  <c r="CI160" i="1"/>
  <c r="T248" i="1" s="1"/>
  <c r="CI161" i="1"/>
  <c r="U248" i="1" s="1"/>
  <c r="CI162" i="1"/>
  <c r="V248" i="1" s="1"/>
  <c r="CI163" i="1"/>
  <c r="W248" i="1" s="1"/>
  <c r="W153" i="1"/>
  <c r="W154" i="1"/>
  <c r="W155" i="1"/>
  <c r="W156" i="1"/>
  <c r="W157" i="1"/>
  <c r="W158" i="1"/>
  <c r="W159" i="1"/>
  <c r="W160" i="1"/>
  <c r="W161" i="1"/>
  <c r="W162" i="1"/>
  <c r="W163" i="1"/>
  <c r="E187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E184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E181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E178" i="1"/>
  <c r="DG94" i="9" l="1"/>
  <c r="DK93" i="9"/>
  <c r="DN93" i="9"/>
  <c r="DO93" i="9" s="1"/>
  <c r="DI93" i="9"/>
  <c r="DB93" i="9"/>
  <c r="DA94" i="9" s="1"/>
  <c r="CO94" i="9"/>
  <c r="CP94" i="9" s="1"/>
  <c r="CC94" i="9"/>
  <c r="CB95" i="9" s="1"/>
  <c r="CJ94" i="9"/>
  <c r="CL94" i="9"/>
  <c r="CH95" i="9"/>
  <c r="BP93" i="9"/>
  <c r="BQ93" i="9" s="1"/>
  <c r="BD93" i="9"/>
  <c r="BC94" i="9" s="1"/>
  <c r="BK93" i="9"/>
  <c r="BI95" i="9"/>
  <c r="BM95" i="9" s="1"/>
  <c r="AN93" i="9"/>
  <c r="AJ94" i="9"/>
  <c r="AQ93" i="9"/>
  <c r="AR93" i="9" s="1"/>
  <c r="AL93" i="9"/>
  <c r="AE93" i="9"/>
  <c r="AD94" i="9" s="1"/>
  <c r="S155" i="9"/>
  <c r="O183" i="9" s="1"/>
  <c r="BQ155" i="9"/>
  <c r="O231" i="9" s="1"/>
  <c r="Q265" i="9"/>
  <c r="DN157" i="9"/>
  <c r="Q278" i="9" s="1"/>
  <c r="O266" i="9"/>
  <c r="K93" i="9"/>
  <c r="O92" i="9"/>
  <c r="BD155" i="9"/>
  <c r="O218" i="9" s="1"/>
  <c r="F155" i="9"/>
  <c r="O170" i="9" s="1"/>
  <c r="AJ18" i="7"/>
  <c r="AN17" i="7"/>
  <c r="HJ41" i="7"/>
  <c r="HK41" i="7" s="1"/>
  <c r="HE41" i="7"/>
  <c r="GX41" i="7"/>
  <c r="GW42" i="7" s="1"/>
  <c r="HC42" i="7"/>
  <c r="HG41" i="7"/>
  <c r="GD41" i="7"/>
  <c r="GH40" i="7"/>
  <c r="GK41" i="7"/>
  <c r="GL41" i="7" s="1"/>
  <c r="GF41" i="7"/>
  <c r="FY41" i="7"/>
  <c r="FX42" i="7" s="1"/>
  <c r="EZ42" i="7"/>
  <c r="EY43" i="7" s="1"/>
  <c r="FL42" i="7"/>
  <c r="FM42" i="7" s="1"/>
  <c r="FG42" i="7"/>
  <c r="FE42" i="7"/>
  <c r="FI41" i="7"/>
  <c r="EM42" i="7"/>
  <c r="EN42" i="7" s="1"/>
  <c r="EA42" i="7"/>
  <c r="DZ43" i="7" s="1"/>
  <c r="EH42" i="7"/>
  <c r="EF43" i="7"/>
  <c r="EJ42" i="7"/>
  <c r="DG42" i="7"/>
  <c r="DK41" i="7"/>
  <c r="DN42" i="7"/>
  <c r="DO42" i="7" s="1"/>
  <c r="DB42" i="7"/>
  <c r="DA43" i="7" s="1"/>
  <c r="DI42" i="7"/>
  <c r="BQ148" i="8"/>
  <c r="H231" i="8" s="1"/>
  <c r="S148" i="8"/>
  <c r="H183" i="8" s="1"/>
  <c r="K37" i="8"/>
  <c r="O36" i="8"/>
  <c r="CO34" i="8"/>
  <c r="CC34" i="8"/>
  <c r="CB35" i="8" s="1"/>
  <c r="CJ34" i="8"/>
  <c r="CL34" i="8"/>
  <c r="AN38" i="8"/>
  <c r="AJ39" i="8"/>
  <c r="F148" i="8"/>
  <c r="H170" i="8" s="1"/>
  <c r="E34" i="8"/>
  <c r="DK36" i="8"/>
  <c r="DG37" i="8"/>
  <c r="CH39" i="8"/>
  <c r="BI38" i="8"/>
  <c r="BM37" i="8"/>
  <c r="AD149" i="8"/>
  <c r="AQ34" i="8"/>
  <c r="AR34" i="8" s="1"/>
  <c r="AE34" i="8"/>
  <c r="AD35" i="8" s="1"/>
  <c r="AL34" i="8"/>
  <c r="BD148" i="8"/>
  <c r="H218" i="8" s="1"/>
  <c r="BC34" i="8"/>
  <c r="DN37" i="8"/>
  <c r="DO37" i="8" s="1"/>
  <c r="DI37" i="8"/>
  <c r="DB37" i="8"/>
  <c r="DA38" i="8" s="1"/>
  <c r="F392" i="7"/>
  <c r="F420" i="7" s="1"/>
  <c r="S17" i="7"/>
  <c r="BQ16" i="7"/>
  <c r="BP17" i="7"/>
  <c r="BD17" i="7"/>
  <c r="BC18" i="7" s="1"/>
  <c r="BK17" i="7"/>
  <c r="BM17" i="7"/>
  <c r="L425" i="7"/>
  <c r="L405" i="7"/>
  <c r="G425" i="7"/>
  <c r="G405" i="7"/>
  <c r="W425" i="7"/>
  <c r="W405" i="7"/>
  <c r="F425" i="7"/>
  <c r="F405" i="7"/>
  <c r="V425" i="7"/>
  <c r="V405" i="7"/>
  <c r="S425" i="7"/>
  <c r="S405" i="7"/>
  <c r="E425" i="7"/>
  <c r="Q425" i="7"/>
  <c r="I425" i="7"/>
  <c r="I405" i="7"/>
  <c r="J425" i="7"/>
  <c r="J405" i="7"/>
  <c r="K19" i="7"/>
  <c r="O19" i="7" s="1"/>
  <c r="CO17" i="7"/>
  <c r="CP17" i="7" s="1"/>
  <c r="CC17" i="7"/>
  <c r="CB18" i="7" s="1"/>
  <c r="CL18" i="7" s="1"/>
  <c r="CJ17" i="7"/>
  <c r="CL17" i="7"/>
  <c r="BI146" i="7"/>
  <c r="BI20" i="7"/>
  <c r="U425" i="7"/>
  <c r="U405" i="7"/>
  <c r="M425" i="7"/>
  <c r="M405" i="7"/>
  <c r="H425" i="7"/>
  <c r="H405" i="7"/>
  <c r="O425" i="7"/>
  <c r="O405" i="7"/>
  <c r="N425" i="7"/>
  <c r="N405" i="7"/>
  <c r="R18" i="7"/>
  <c r="M18" i="7"/>
  <c r="CH19" i="7"/>
  <c r="K425" i="7"/>
  <c r="K405" i="7"/>
  <c r="C410" i="7"/>
  <c r="C411" i="7" s="1"/>
  <c r="C412" i="7" s="1"/>
  <c r="C413" i="7" s="1"/>
  <c r="C414" i="7" s="1"/>
  <c r="C415" i="7" s="1"/>
  <c r="C419" i="7" s="1"/>
  <c r="C409" i="7"/>
  <c r="E409" i="7" s="1"/>
  <c r="E435" i="7" s="1"/>
  <c r="C8" i="5" s="1"/>
  <c r="P425" i="7"/>
  <c r="P405" i="7"/>
  <c r="T425" i="7"/>
  <c r="T405" i="7"/>
  <c r="R425" i="7"/>
  <c r="R405" i="7"/>
  <c r="AQ18" i="7"/>
  <c r="AR18" i="7" s="1"/>
  <c r="AL18" i="7"/>
  <c r="AE18" i="7"/>
  <c r="AD19" i="7" s="1"/>
  <c r="I181" i="1"/>
  <c r="AP137" i="1"/>
  <c r="AK137" i="1"/>
  <c r="AM137" i="1"/>
  <c r="AS137" i="1"/>
  <c r="AU137" i="1" s="1"/>
  <c r="AJ17" i="1"/>
  <c r="AN16" i="1"/>
  <c r="AQ16" i="1"/>
  <c r="AR16" i="1" s="1"/>
  <c r="AE16" i="1"/>
  <c r="AD17" i="1" s="1"/>
  <c r="AL16" i="1"/>
  <c r="CR163" i="1"/>
  <c r="BS153" i="1"/>
  <c r="BP10" i="1"/>
  <c r="BQ10" i="1" s="1"/>
  <c r="BK10" i="1"/>
  <c r="BR137" i="1"/>
  <c r="BT137" i="1" s="1"/>
  <c r="BJ137" i="1"/>
  <c r="BO137" i="1"/>
  <c r="BL137" i="1"/>
  <c r="CN137" i="1"/>
  <c r="CK137" i="1"/>
  <c r="CI137" i="1"/>
  <c r="CQ137" i="1"/>
  <c r="CS137" i="1" s="1"/>
  <c r="BU12" i="1"/>
  <c r="BW12" i="1" s="1"/>
  <c r="BD10" i="1"/>
  <c r="BC11" i="1" s="1"/>
  <c r="BA75" i="1"/>
  <c r="BU75" i="1" s="1"/>
  <c r="BW75" i="1" s="1"/>
  <c r="BU74" i="1"/>
  <c r="BW74" i="1" s="1"/>
  <c r="BA54" i="1"/>
  <c r="BU54" i="1" s="1"/>
  <c r="BW54" i="1" s="1"/>
  <c r="BU53" i="1"/>
  <c r="BW53" i="1" s="1"/>
  <c r="BU32" i="1"/>
  <c r="BW32" i="1" s="1"/>
  <c r="BA33" i="1"/>
  <c r="BU33" i="1" s="1"/>
  <c r="BW33" i="1" s="1"/>
  <c r="BI11" i="1"/>
  <c r="BM10" i="1"/>
  <c r="BA103" i="1"/>
  <c r="BU102" i="1"/>
  <c r="BW102" i="1" s="1"/>
  <c r="BA68" i="1"/>
  <c r="BU68" i="1" s="1"/>
  <c r="BW68" i="1" s="1"/>
  <c r="BU67" i="1"/>
  <c r="BW67" i="1" s="1"/>
  <c r="F184" i="1"/>
  <c r="T137" i="1"/>
  <c r="V137" i="1" s="1"/>
  <c r="C138" i="1"/>
  <c r="W137" i="1"/>
  <c r="Y137" i="1" s="1"/>
  <c r="N137" i="1"/>
  <c r="L137" i="1"/>
  <c r="Q137" i="1"/>
  <c r="F176" i="1"/>
  <c r="G176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E176" i="1"/>
  <c r="D146" i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W13" i="1"/>
  <c r="W20" i="1"/>
  <c r="W27" i="1"/>
  <c r="W34" i="1"/>
  <c r="W41" i="1"/>
  <c r="W48" i="1"/>
  <c r="W55" i="1"/>
  <c r="W62" i="1"/>
  <c r="W69" i="1"/>
  <c r="W76" i="1"/>
  <c r="W83" i="1"/>
  <c r="W90" i="1"/>
  <c r="W97" i="1"/>
  <c r="W104" i="1"/>
  <c r="W111" i="1"/>
  <c r="W118" i="1"/>
  <c r="W125" i="1"/>
  <c r="W6" i="1"/>
  <c r="N13" i="1"/>
  <c r="N20" i="1"/>
  <c r="N34" i="1"/>
  <c r="N41" i="1"/>
  <c r="N48" i="1"/>
  <c r="N55" i="1"/>
  <c r="N62" i="1"/>
  <c r="N69" i="1"/>
  <c r="N76" i="1"/>
  <c r="N83" i="1"/>
  <c r="N90" i="1"/>
  <c r="N97" i="1"/>
  <c r="N104" i="1"/>
  <c r="N111" i="1"/>
  <c r="N118" i="1"/>
  <c r="N125" i="1"/>
  <c r="L13" i="1"/>
  <c r="L20" i="1"/>
  <c r="L27" i="1"/>
  <c r="L34" i="1"/>
  <c r="L41" i="1"/>
  <c r="L48" i="1"/>
  <c r="L55" i="1"/>
  <c r="L62" i="1"/>
  <c r="L69" i="1"/>
  <c r="L76" i="1"/>
  <c r="L83" i="1"/>
  <c r="L90" i="1"/>
  <c r="L97" i="1"/>
  <c r="L104" i="1"/>
  <c r="L111" i="1"/>
  <c r="L118" i="1"/>
  <c r="L125" i="1"/>
  <c r="L6" i="1"/>
  <c r="CT13" i="1"/>
  <c r="CT20" i="1"/>
  <c r="CT27" i="1"/>
  <c r="CT34" i="1"/>
  <c r="CT41" i="1"/>
  <c r="CT48" i="1"/>
  <c r="CT55" i="1"/>
  <c r="CT62" i="1"/>
  <c r="CT69" i="1"/>
  <c r="CT76" i="1"/>
  <c r="CT83" i="1"/>
  <c r="CT90" i="1"/>
  <c r="CT97" i="1"/>
  <c r="CT104" i="1"/>
  <c r="CT111" i="1"/>
  <c r="CT118" i="1"/>
  <c r="CT125" i="1"/>
  <c r="CT6" i="1"/>
  <c r="CK13" i="1"/>
  <c r="CK20" i="1"/>
  <c r="CK27" i="1"/>
  <c r="CK34" i="1"/>
  <c r="CK41" i="1"/>
  <c r="CK48" i="1"/>
  <c r="CK55" i="1"/>
  <c r="CK62" i="1"/>
  <c r="CK69" i="1"/>
  <c r="CK76" i="1"/>
  <c r="CK83" i="1"/>
  <c r="CK90" i="1"/>
  <c r="CK97" i="1"/>
  <c r="CK104" i="1"/>
  <c r="CK111" i="1"/>
  <c r="CK118" i="1"/>
  <c r="CK125" i="1"/>
  <c r="CK6" i="1"/>
  <c r="CI13" i="1"/>
  <c r="CI20" i="1"/>
  <c r="CI27" i="1"/>
  <c r="CI34" i="1"/>
  <c r="CI41" i="1"/>
  <c r="CI48" i="1"/>
  <c r="CI55" i="1"/>
  <c r="CI62" i="1"/>
  <c r="CI69" i="1"/>
  <c r="CI76" i="1"/>
  <c r="CI83" i="1"/>
  <c r="CI90" i="1"/>
  <c r="CI97" i="1"/>
  <c r="CI104" i="1"/>
  <c r="CI111" i="1"/>
  <c r="CI118" i="1"/>
  <c r="CI125" i="1"/>
  <c r="CI6" i="1"/>
  <c r="DK94" i="9" l="1"/>
  <c r="DG95" i="9"/>
  <c r="DI94" i="9"/>
  <c r="DN94" i="9"/>
  <c r="DO94" i="9" s="1"/>
  <c r="DB94" i="9"/>
  <c r="DA95" i="9" s="1"/>
  <c r="CO95" i="9"/>
  <c r="CP95" i="9" s="1"/>
  <c r="CJ95" i="9"/>
  <c r="CC95" i="9"/>
  <c r="CB96" i="9" s="1"/>
  <c r="CH96" i="9"/>
  <c r="CL95" i="9"/>
  <c r="BP94" i="9"/>
  <c r="BQ94" i="9" s="1"/>
  <c r="BD94" i="9"/>
  <c r="BC95" i="9" s="1"/>
  <c r="BK94" i="9"/>
  <c r="BI96" i="9"/>
  <c r="BM96" i="9" s="1"/>
  <c r="AR94" i="9"/>
  <c r="AJ95" i="9"/>
  <c r="AN94" i="9"/>
  <c r="AQ94" i="9"/>
  <c r="AE94" i="9"/>
  <c r="AD95" i="9" s="1"/>
  <c r="AL94" i="9"/>
  <c r="O293" i="9"/>
  <c r="O327" i="9"/>
  <c r="R83" i="9"/>
  <c r="S83" i="9" s="1"/>
  <c r="M83" i="9"/>
  <c r="E84" i="9"/>
  <c r="F84" i="9" s="1"/>
  <c r="O93" i="9"/>
  <c r="K94" i="9"/>
  <c r="BQ17" i="7"/>
  <c r="DG146" i="7"/>
  <c r="F271" i="7" s="1"/>
  <c r="HC146" i="7"/>
  <c r="F364" i="7" s="1"/>
  <c r="FE146" i="7"/>
  <c r="F318" i="7" s="1"/>
  <c r="GD146" i="7"/>
  <c r="F341" i="7" s="1"/>
  <c r="EF146" i="7"/>
  <c r="F295" i="7" s="1"/>
  <c r="AJ19" i="7"/>
  <c r="AN19" i="7" s="1"/>
  <c r="AN18" i="7"/>
  <c r="HG42" i="7"/>
  <c r="HC43" i="7"/>
  <c r="HJ42" i="7"/>
  <c r="HK42" i="7" s="1"/>
  <c r="GX42" i="7"/>
  <c r="GW43" i="7" s="1"/>
  <c r="HE42" i="7"/>
  <c r="GK42" i="7"/>
  <c r="GL42" i="7" s="1"/>
  <c r="FY42" i="7"/>
  <c r="FX43" i="7" s="1"/>
  <c r="GF42" i="7"/>
  <c r="GD42" i="7"/>
  <c r="GH41" i="7"/>
  <c r="FG43" i="7"/>
  <c r="EZ43" i="7"/>
  <c r="EY44" i="7" s="1"/>
  <c r="FL43" i="7"/>
  <c r="FM43" i="7" s="1"/>
  <c r="FI42" i="7"/>
  <c r="FE43" i="7"/>
  <c r="EM43" i="7"/>
  <c r="EN43" i="7" s="1"/>
  <c r="EA43" i="7"/>
  <c r="DZ44" i="7" s="1"/>
  <c r="EH43" i="7"/>
  <c r="EJ43" i="7"/>
  <c r="EF44" i="7"/>
  <c r="DK42" i="7"/>
  <c r="DG43" i="7"/>
  <c r="DN43" i="7"/>
  <c r="DO43" i="7" s="1"/>
  <c r="DB43" i="7"/>
  <c r="DA44" i="7" s="1"/>
  <c r="DI43" i="7"/>
  <c r="AQ35" i="8"/>
  <c r="AR35" i="8" s="1"/>
  <c r="AE35" i="8"/>
  <c r="AD36" i="8" s="1"/>
  <c r="AL35" i="8"/>
  <c r="BC149" i="8"/>
  <c r="BP34" i="8"/>
  <c r="BQ34" i="8" s="1"/>
  <c r="BK34" i="8"/>
  <c r="BD34" i="8"/>
  <c r="BC35" i="8" s="1"/>
  <c r="E149" i="8"/>
  <c r="F34" i="8"/>
  <c r="E35" i="8" s="1"/>
  <c r="M34" i="8"/>
  <c r="R34" i="8"/>
  <c r="S34" i="8" s="1"/>
  <c r="BI39" i="8"/>
  <c r="BM38" i="8"/>
  <c r="CP34" i="8"/>
  <c r="DN38" i="8"/>
  <c r="DO38" i="8" s="1"/>
  <c r="DB38" i="8"/>
  <c r="DA39" i="8" s="1"/>
  <c r="DI38" i="8"/>
  <c r="I192" i="8"/>
  <c r="AQ149" i="8"/>
  <c r="I205" i="8" s="1"/>
  <c r="CH40" i="8"/>
  <c r="H291" i="8"/>
  <c r="H325" i="8"/>
  <c r="K38" i="8"/>
  <c r="O37" i="8"/>
  <c r="DG38" i="8"/>
  <c r="DK37" i="8"/>
  <c r="AJ40" i="8"/>
  <c r="AN39" i="8"/>
  <c r="CO35" i="8"/>
  <c r="CC35" i="8"/>
  <c r="CB36" i="8" s="1"/>
  <c r="CJ35" i="8"/>
  <c r="CL35" i="8"/>
  <c r="S18" i="7"/>
  <c r="F223" i="7"/>
  <c r="E419" i="7"/>
  <c r="C420" i="7"/>
  <c r="C421" i="7" s="1"/>
  <c r="C422" i="7" s="1"/>
  <c r="C423" i="7" s="1"/>
  <c r="C424" i="7" s="1"/>
  <c r="C425" i="7" s="1"/>
  <c r="CH146" i="7"/>
  <c r="CH20" i="7"/>
  <c r="AQ19" i="7"/>
  <c r="AL19" i="7"/>
  <c r="AL146" i="7" s="1"/>
  <c r="AE19" i="7"/>
  <c r="R19" i="7"/>
  <c r="E20" i="7"/>
  <c r="F20" i="7" s="1"/>
  <c r="M19" i="7"/>
  <c r="BI21" i="7"/>
  <c r="K146" i="7"/>
  <c r="O146" i="7" s="1"/>
  <c r="K20" i="7"/>
  <c r="O20" i="7" s="1"/>
  <c r="BP18" i="7"/>
  <c r="BQ18" i="7" s="1"/>
  <c r="BD18" i="7"/>
  <c r="BC19" i="7" s="1"/>
  <c r="BK18" i="7"/>
  <c r="BM18" i="7"/>
  <c r="F409" i="7"/>
  <c r="F435" i="7" s="1"/>
  <c r="D8" i="5" s="1"/>
  <c r="CO18" i="7"/>
  <c r="CP18" i="7" s="1"/>
  <c r="CC18" i="7"/>
  <c r="CB19" i="7" s="1"/>
  <c r="CJ18" i="7"/>
  <c r="BU103" i="1"/>
  <c r="BW103" i="1" s="1"/>
  <c r="BE145" i="1"/>
  <c r="AM138" i="1"/>
  <c r="AS138" i="1"/>
  <c r="AU138" i="1" s="1"/>
  <c r="AP138" i="1"/>
  <c r="AK138" i="1"/>
  <c r="BG145" i="1"/>
  <c r="E221" i="1" s="1"/>
  <c r="BF145" i="1"/>
  <c r="AQ17" i="1"/>
  <c r="AR17" i="1" s="1"/>
  <c r="AL17" i="1"/>
  <c r="AE17" i="1"/>
  <c r="AD18" i="1" s="1"/>
  <c r="AN17" i="1"/>
  <c r="AJ18" i="1"/>
  <c r="CS163" i="1"/>
  <c r="W258" i="1" s="1"/>
  <c r="W257" i="1"/>
  <c r="BG161" i="1"/>
  <c r="U221" i="1" s="1"/>
  <c r="BF150" i="1"/>
  <c r="BN156" i="1"/>
  <c r="BF146" i="1"/>
  <c r="BN159" i="1"/>
  <c r="BN162" i="1"/>
  <c r="BN149" i="1"/>
  <c r="BF157" i="1"/>
  <c r="BF151" i="1"/>
  <c r="BN151" i="1"/>
  <c r="BG148" i="1"/>
  <c r="H221" i="1" s="1"/>
  <c r="BE163" i="1"/>
  <c r="BE148" i="1"/>
  <c r="BP11" i="1"/>
  <c r="BQ11" i="1" s="1"/>
  <c r="BK11" i="1"/>
  <c r="BF154" i="1"/>
  <c r="BG149" i="1"/>
  <c r="I221" i="1" s="1"/>
  <c r="BG150" i="1"/>
  <c r="J221" i="1" s="1"/>
  <c r="BF160" i="1"/>
  <c r="BN154" i="1"/>
  <c r="BF162" i="1"/>
  <c r="BG146" i="1"/>
  <c r="F221" i="1" s="1"/>
  <c r="BF158" i="1"/>
  <c r="BE159" i="1"/>
  <c r="BG159" i="1"/>
  <c r="S221" i="1" s="1"/>
  <c r="BG154" i="1"/>
  <c r="N221" i="1" s="1"/>
  <c r="BF148" i="1"/>
  <c r="BF163" i="1"/>
  <c r="BG162" i="1"/>
  <c r="V221" i="1" s="1"/>
  <c r="BN161" i="1"/>
  <c r="BF149" i="1"/>
  <c r="BE150" i="1"/>
  <c r="BF161" i="1"/>
  <c r="BE161" i="1"/>
  <c r="BF155" i="1"/>
  <c r="BG157" i="1"/>
  <c r="Q221" i="1" s="1"/>
  <c r="BE147" i="1"/>
  <c r="BF152" i="1"/>
  <c r="BN146" i="1"/>
  <c r="BE158" i="1"/>
  <c r="BN155" i="1"/>
  <c r="BG156" i="1"/>
  <c r="P221" i="1" s="1"/>
  <c r="BN157" i="1"/>
  <c r="BE154" i="1"/>
  <c r="BE146" i="1"/>
  <c r="BN160" i="1"/>
  <c r="BE162" i="1"/>
  <c r="BN163" i="1"/>
  <c r="BG158" i="1"/>
  <c r="R221" i="1" s="1"/>
  <c r="BE152" i="1"/>
  <c r="BE160" i="1"/>
  <c r="BF156" i="1"/>
  <c r="BN153" i="1"/>
  <c r="BN152" i="1"/>
  <c r="BN158" i="1"/>
  <c r="BN145" i="1"/>
  <c r="BN147" i="1"/>
  <c r="BE151" i="1"/>
  <c r="BG147" i="1"/>
  <c r="G221" i="1" s="1"/>
  <c r="BO138" i="1"/>
  <c r="BR138" i="1"/>
  <c r="BT138" i="1" s="1"/>
  <c r="BJ138" i="1"/>
  <c r="BL138" i="1"/>
  <c r="CK138" i="1"/>
  <c r="CI138" i="1"/>
  <c r="CN138" i="1"/>
  <c r="CQ138" i="1"/>
  <c r="CS138" i="1" s="1"/>
  <c r="BN148" i="1"/>
  <c r="BF153" i="1"/>
  <c r="BE153" i="1"/>
  <c r="BG153" i="1"/>
  <c r="M221" i="1" s="1"/>
  <c r="BG151" i="1"/>
  <c r="K221" i="1" s="1"/>
  <c r="BE156" i="1"/>
  <c r="BG155" i="1"/>
  <c r="O221" i="1" s="1"/>
  <c r="BF159" i="1"/>
  <c r="BE155" i="1"/>
  <c r="BN150" i="1"/>
  <c r="BE157" i="1"/>
  <c r="BF147" i="1"/>
  <c r="BG163" i="1"/>
  <c r="W221" i="1" s="1"/>
  <c r="BE149" i="1"/>
  <c r="BG160" i="1"/>
  <c r="T221" i="1" s="1"/>
  <c r="BG152" i="1"/>
  <c r="L221" i="1" s="1"/>
  <c r="BI12" i="1"/>
  <c r="BM11" i="1"/>
  <c r="BD11" i="1"/>
  <c r="BC12" i="1" s="1"/>
  <c r="Q138" i="1"/>
  <c r="L138" i="1"/>
  <c r="T138" i="1"/>
  <c r="V138" i="1" s="1"/>
  <c r="W138" i="1"/>
  <c r="Y138" i="1" s="1"/>
  <c r="N138" i="1"/>
  <c r="DK95" i="9" l="1"/>
  <c r="DG96" i="9"/>
  <c r="DN95" i="9"/>
  <c r="DO95" i="9" s="1"/>
  <c r="DB95" i="9"/>
  <c r="DA96" i="9" s="1"/>
  <c r="DI95" i="9"/>
  <c r="CO96" i="9"/>
  <c r="CP96" i="9" s="1"/>
  <c r="CC96" i="9"/>
  <c r="CB97" i="9" s="1"/>
  <c r="CJ96" i="9"/>
  <c r="CL96" i="9"/>
  <c r="CH97" i="9"/>
  <c r="BD95" i="9"/>
  <c r="BC96" i="9" s="1"/>
  <c r="BK95" i="9"/>
  <c r="BP95" i="9"/>
  <c r="BQ95" i="9" s="1"/>
  <c r="BI97" i="9"/>
  <c r="BM97" i="9" s="1"/>
  <c r="AJ96" i="9"/>
  <c r="AJ157" i="9" s="1"/>
  <c r="AN95" i="9"/>
  <c r="AQ95" i="9"/>
  <c r="AR95" i="9" s="1"/>
  <c r="AL95" i="9"/>
  <c r="AE95" i="9"/>
  <c r="AD96" i="9" s="1"/>
  <c r="O94" i="9"/>
  <c r="K95" i="9"/>
  <c r="R84" i="9"/>
  <c r="S84" i="9" s="1"/>
  <c r="E85" i="9"/>
  <c r="F85" i="9" s="1"/>
  <c r="M84" i="9"/>
  <c r="HC44" i="7"/>
  <c r="HG43" i="7"/>
  <c r="HJ43" i="7"/>
  <c r="HK43" i="7" s="1"/>
  <c r="HE43" i="7"/>
  <c r="GX43" i="7"/>
  <c r="GW44" i="7" s="1"/>
  <c r="GH42" i="7"/>
  <c r="GD43" i="7"/>
  <c r="FY43" i="7"/>
  <c r="FX44" i="7" s="1"/>
  <c r="GK43" i="7"/>
  <c r="GL43" i="7" s="1"/>
  <c r="GF43" i="7"/>
  <c r="FL44" i="7"/>
  <c r="FM44" i="7" s="1"/>
  <c r="EZ44" i="7"/>
  <c r="EY45" i="7" s="1"/>
  <c r="FG44" i="7"/>
  <c r="FI43" i="7"/>
  <c r="FE44" i="7"/>
  <c r="EJ44" i="7"/>
  <c r="EF45" i="7"/>
  <c r="EH44" i="7"/>
  <c r="EM44" i="7"/>
  <c r="EN44" i="7" s="1"/>
  <c r="EA44" i="7"/>
  <c r="DZ45" i="7" s="1"/>
  <c r="DG44" i="7"/>
  <c r="DK43" i="7"/>
  <c r="DN44" i="7"/>
  <c r="DO44" i="7" s="1"/>
  <c r="DB44" i="7"/>
  <c r="DA45" i="7" s="1"/>
  <c r="DI44" i="7"/>
  <c r="DK38" i="8"/>
  <c r="DG39" i="8"/>
  <c r="R35" i="8"/>
  <c r="S35" i="8" s="1"/>
  <c r="F35" i="8"/>
  <c r="E36" i="8" s="1"/>
  <c r="M35" i="8"/>
  <c r="AQ36" i="8"/>
  <c r="AR36" i="8" s="1"/>
  <c r="AE36" i="8"/>
  <c r="AD37" i="8" s="1"/>
  <c r="AL36" i="8"/>
  <c r="DN39" i="8"/>
  <c r="DO39" i="8" s="1"/>
  <c r="DB39" i="8"/>
  <c r="DA40" i="8" s="1"/>
  <c r="DI39" i="8"/>
  <c r="BP35" i="8"/>
  <c r="BQ35" i="8" s="1"/>
  <c r="BD35" i="8"/>
  <c r="BC36" i="8" s="1"/>
  <c r="BK35" i="8"/>
  <c r="CP35" i="8"/>
  <c r="BI40" i="8"/>
  <c r="BM39" i="8"/>
  <c r="I169" i="8"/>
  <c r="R149" i="8"/>
  <c r="I182" i="8" s="1"/>
  <c r="M149" i="8"/>
  <c r="I177" i="8" s="1"/>
  <c r="AJ149" i="8"/>
  <c r="AN40" i="8"/>
  <c r="AJ41" i="8"/>
  <c r="CO36" i="8"/>
  <c r="CJ36" i="8"/>
  <c r="CC36" i="8"/>
  <c r="CB37" i="8" s="1"/>
  <c r="CL36" i="8"/>
  <c r="O38" i="8"/>
  <c r="K39" i="8"/>
  <c r="DG149" i="8"/>
  <c r="I270" i="8" s="1"/>
  <c r="CH149" i="8"/>
  <c r="I247" i="8" s="1"/>
  <c r="CH41" i="8"/>
  <c r="I217" i="8"/>
  <c r="BP149" i="8"/>
  <c r="I230" i="8" s="1"/>
  <c r="AR19" i="7"/>
  <c r="AR146" i="7" s="1"/>
  <c r="F206" i="7" s="1"/>
  <c r="AD20" i="7"/>
  <c r="AD147" i="7" s="1"/>
  <c r="AQ147" i="7" s="1"/>
  <c r="AE146" i="7"/>
  <c r="F193" i="7" s="1"/>
  <c r="S19" i="7"/>
  <c r="S146" i="7" s="1"/>
  <c r="F175" i="7"/>
  <c r="F179" i="7"/>
  <c r="F247" i="7"/>
  <c r="CO19" i="7"/>
  <c r="CP19" i="7" s="1"/>
  <c r="CC19" i="7"/>
  <c r="CJ19" i="7"/>
  <c r="BI22" i="7"/>
  <c r="AE20" i="7"/>
  <c r="AD21" i="7" s="1"/>
  <c r="AJ146" i="7"/>
  <c r="AN146" i="7" s="1"/>
  <c r="AJ20" i="7"/>
  <c r="AN20" i="7" s="1"/>
  <c r="CL19" i="7"/>
  <c r="K21" i="7"/>
  <c r="O21" i="7" s="1"/>
  <c r="CH21" i="7"/>
  <c r="BK19" i="7"/>
  <c r="BP19" i="7"/>
  <c r="BQ19" i="7" s="1"/>
  <c r="BD19" i="7"/>
  <c r="BC20" i="7" s="1"/>
  <c r="BM19" i="7"/>
  <c r="BM146" i="7" s="1"/>
  <c r="F227" i="7" s="1"/>
  <c r="F146" i="7"/>
  <c r="F170" i="7" s="1"/>
  <c r="BH145" i="1"/>
  <c r="BI145" i="1"/>
  <c r="E223" i="1" s="1"/>
  <c r="E220" i="1"/>
  <c r="AQ18" i="1"/>
  <c r="AR18" i="1" s="1"/>
  <c r="AE18" i="1"/>
  <c r="AD19" i="1" s="1"/>
  <c r="AL18" i="1"/>
  <c r="AJ19" i="1"/>
  <c r="AJ146" i="1" s="1"/>
  <c r="AN18" i="1"/>
  <c r="J220" i="1"/>
  <c r="BH150" i="1"/>
  <c r="G220" i="1"/>
  <c r="BH147" i="1"/>
  <c r="S220" i="1"/>
  <c r="BH159" i="1"/>
  <c r="U220" i="1"/>
  <c r="BH161" i="1"/>
  <c r="V220" i="1"/>
  <c r="BH162" i="1"/>
  <c r="K220" i="1"/>
  <c r="BH151" i="1"/>
  <c r="L220" i="1"/>
  <c r="BH152" i="1"/>
  <c r="P220" i="1"/>
  <c r="BH156" i="1"/>
  <c r="W220" i="1"/>
  <c r="BH163" i="1"/>
  <c r="N220" i="1"/>
  <c r="BH154" i="1"/>
  <c r="Q220" i="1"/>
  <c r="BH157" i="1"/>
  <c r="F220" i="1"/>
  <c r="BH146" i="1"/>
  <c r="M220" i="1"/>
  <c r="BH153" i="1"/>
  <c r="O220" i="1"/>
  <c r="BH155" i="1"/>
  <c r="I220" i="1"/>
  <c r="BH149" i="1"/>
  <c r="H220" i="1"/>
  <c r="BH148" i="1"/>
  <c r="R220" i="1"/>
  <c r="BH158" i="1"/>
  <c r="T220" i="1"/>
  <c r="BH160" i="1"/>
  <c r="I219" i="1"/>
  <c r="I222" i="1" s="1"/>
  <c r="O219" i="1"/>
  <c r="T219" i="1"/>
  <c r="V219" i="1"/>
  <c r="F219" i="1"/>
  <c r="Q219" i="1"/>
  <c r="K219" i="1"/>
  <c r="K222" i="1" s="1"/>
  <c r="L219" i="1"/>
  <c r="N219" i="1"/>
  <c r="R219" i="1"/>
  <c r="G219" i="1"/>
  <c r="G222" i="1" s="1"/>
  <c r="U219" i="1"/>
  <c r="BP12" i="1"/>
  <c r="BQ12" i="1" s="1"/>
  <c r="BQ145" i="1" s="1"/>
  <c r="BK12" i="1"/>
  <c r="E219" i="1"/>
  <c r="E222" i="1" s="1"/>
  <c r="S219" i="1"/>
  <c r="H219" i="1"/>
  <c r="P219" i="1"/>
  <c r="M219" i="1"/>
  <c r="J219" i="1"/>
  <c r="W219" i="1"/>
  <c r="W222" i="1" s="1"/>
  <c r="BM12" i="1"/>
  <c r="BM145" i="1" s="1"/>
  <c r="BI13" i="1"/>
  <c r="BD12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F283" i="1"/>
  <c r="CQ13" i="1"/>
  <c r="CQ20" i="1"/>
  <c r="CQ27" i="1"/>
  <c r="CQ34" i="1"/>
  <c r="CQ41" i="1"/>
  <c r="CQ48" i="1"/>
  <c r="CQ55" i="1"/>
  <c r="CQ62" i="1"/>
  <c r="CQ69" i="1"/>
  <c r="CQ76" i="1"/>
  <c r="CQ83" i="1"/>
  <c r="CQ90" i="1"/>
  <c r="CQ97" i="1"/>
  <c r="CQ104" i="1"/>
  <c r="CQ111" i="1"/>
  <c r="CQ118" i="1"/>
  <c r="CQ125" i="1"/>
  <c r="CQ6" i="1"/>
  <c r="CN13" i="1"/>
  <c r="CN20" i="1"/>
  <c r="CN27" i="1"/>
  <c r="CN34" i="1"/>
  <c r="CN41" i="1"/>
  <c r="CN48" i="1"/>
  <c r="CN55" i="1"/>
  <c r="CN62" i="1"/>
  <c r="CN69" i="1"/>
  <c r="CN76" i="1"/>
  <c r="CN83" i="1"/>
  <c r="CN90" i="1"/>
  <c r="CN97" i="1"/>
  <c r="CN104" i="1"/>
  <c r="CN111" i="1"/>
  <c r="CN118" i="1"/>
  <c r="CN125" i="1"/>
  <c r="CN6" i="1"/>
  <c r="Q13" i="1"/>
  <c r="Q20" i="1"/>
  <c r="Q27" i="1"/>
  <c r="Q34" i="1"/>
  <c r="Q41" i="1"/>
  <c r="Q48" i="1"/>
  <c r="Q55" i="1"/>
  <c r="Q62" i="1"/>
  <c r="Q69" i="1"/>
  <c r="Q76" i="1"/>
  <c r="Q83" i="1"/>
  <c r="Q90" i="1"/>
  <c r="Q97" i="1"/>
  <c r="Q104" i="1"/>
  <c r="Q111" i="1"/>
  <c r="Q118" i="1"/>
  <c r="Q125" i="1"/>
  <c r="Q6" i="1"/>
  <c r="T13" i="1"/>
  <c r="T20" i="1"/>
  <c r="T27" i="1"/>
  <c r="T34" i="1"/>
  <c r="T41" i="1"/>
  <c r="T48" i="1"/>
  <c r="T55" i="1"/>
  <c r="T62" i="1"/>
  <c r="T69" i="1"/>
  <c r="T76" i="1"/>
  <c r="T83" i="1"/>
  <c r="T90" i="1"/>
  <c r="T97" i="1"/>
  <c r="T104" i="1"/>
  <c r="T111" i="1"/>
  <c r="T118" i="1"/>
  <c r="T125" i="1"/>
  <c r="T6" i="1"/>
  <c r="G7" i="6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F6" i="6"/>
  <c r="DG97" i="9" l="1"/>
  <c r="DK96" i="9"/>
  <c r="DN96" i="9"/>
  <c r="DO96" i="9" s="1"/>
  <c r="DB96" i="9"/>
  <c r="DA97" i="9" s="1"/>
  <c r="DI96" i="9"/>
  <c r="CO97" i="9"/>
  <c r="CP97" i="9" s="1"/>
  <c r="CJ97" i="9"/>
  <c r="CC97" i="9"/>
  <c r="CB98" i="9" s="1"/>
  <c r="CH98" i="9"/>
  <c r="CL97" i="9"/>
  <c r="BP96" i="9"/>
  <c r="BQ96" i="9" s="1"/>
  <c r="BD96" i="9"/>
  <c r="BC97" i="9" s="1"/>
  <c r="BK96" i="9"/>
  <c r="BI98" i="9"/>
  <c r="BM98" i="9" s="1"/>
  <c r="AQ96" i="9"/>
  <c r="AR96" i="9" s="1"/>
  <c r="AL96" i="9"/>
  <c r="AE96" i="9"/>
  <c r="AD97" i="9" s="1"/>
  <c r="AN96" i="9"/>
  <c r="AJ97" i="9"/>
  <c r="CB156" i="9"/>
  <c r="CL156" i="9"/>
  <c r="P251" i="9" s="1"/>
  <c r="R85" i="9"/>
  <c r="S85" i="9" s="1"/>
  <c r="M85" i="9"/>
  <c r="E86" i="9"/>
  <c r="F86" i="9" s="1"/>
  <c r="BI157" i="9"/>
  <c r="Q223" i="9" s="1"/>
  <c r="BM157" i="9"/>
  <c r="Q227" i="9" s="1"/>
  <c r="K96" i="9"/>
  <c r="O95" i="9"/>
  <c r="CH157" i="9"/>
  <c r="Q247" i="9" s="1"/>
  <c r="CL157" i="9"/>
  <c r="Q251" i="9" s="1"/>
  <c r="Q198" i="9"/>
  <c r="AQ20" i="7"/>
  <c r="HG146" i="7"/>
  <c r="F368" i="7" s="1"/>
  <c r="GH146" i="7"/>
  <c r="F345" i="7" s="1"/>
  <c r="FI146" i="7"/>
  <c r="F322" i="7" s="1"/>
  <c r="EJ146" i="7"/>
  <c r="F299" i="7" s="1"/>
  <c r="DO146" i="7"/>
  <c r="F279" i="7" s="1"/>
  <c r="HK146" i="7"/>
  <c r="F372" i="7" s="1"/>
  <c r="FM146" i="7"/>
  <c r="F326" i="7" s="1"/>
  <c r="GL146" i="7"/>
  <c r="F349" i="7" s="1"/>
  <c r="EN146" i="7"/>
  <c r="F303" i="7" s="1"/>
  <c r="DB146" i="7"/>
  <c r="GX146" i="7"/>
  <c r="F359" i="7" s="1"/>
  <c r="EZ146" i="7"/>
  <c r="F313" i="7" s="1"/>
  <c r="FY146" i="7"/>
  <c r="F336" i="7" s="1"/>
  <c r="EA146" i="7"/>
  <c r="HJ44" i="7"/>
  <c r="HK44" i="7" s="1"/>
  <c r="GX44" i="7"/>
  <c r="GW45" i="7" s="1"/>
  <c r="HE44" i="7"/>
  <c r="HG44" i="7"/>
  <c r="HC45" i="7"/>
  <c r="GK44" i="7"/>
  <c r="GL44" i="7" s="1"/>
  <c r="FY44" i="7"/>
  <c r="FX45" i="7" s="1"/>
  <c r="GF44" i="7"/>
  <c r="GH43" i="7"/>
  <c r="GD44" i="7"/>
  <c r="FL45" i="7"/>
  <c r="FM45" i="7" s="1"/>
  <c r="FG45" i="7"/>
  <c r="EZ45" i="7"/>
  <c r="EY46" i="7" s="1"/>
  <c r="FI44" i="7"/>
  <c r="FE45" i="7"/>
  <c r="EJ45" i="7"/>
  <c r="EF46" i="7"/>
  <c r="EM45" i="7"/>
  <c r="EN45" i="7" s="1"/>
  <c r="EA45" i="7"/>
  <c r="DZ46" i="7" s="1"/>
  <c r="EH45" i="7"/>
  <c r="DG45" i="7"/>
  <c r="DK44" i="7"/>
  <c r="DB45" i="7"/>
  <c r="DA46" i="7" s="1"/>
  <c r="DI45" i="7"/>
  <c r="DN45" i="7"/>
  <c r="DO45" i="7" s="1"/>
  <c r="CH42" i="8"/>
  <c r="BD36" i="8"/>
  <c r="BC37" i="8" s="1"/>
  <c r="BP36" i="8"/>
  <c r="BQ36" i="8" s="1"/>
  <c r="BK36" i="8"/>
  <c r="DK39" i="8"/>
  <c r="DG40" i="8"/>
  <c r="AJ42" i="8"/>
  <c r="AN41" i="8"/>
  <c r="BI149" i="8"/>
  <c r="I223" i="8" s="1"/>
  <c r="BM40" i="8"/>
  <c r="BM149" i="8" s="1"/>
  <c r="I227" i="8" s="1"/>
  <c r="BI41" i="8"/>
  <c r="CO37" i="8"/>
  <c r="CJ37" i="8"/>
  <c r="CC37" i="8"/>
  <c r="CB38" i="8" s="1"/>
  <c r="CL37" i="8"/>
  <c r="CP36" i="8"/>
  <c r="AQ37" i="8"/>
  <c r="AE37" i="8"/>
  <c r="AD38" i="8" s="1"/>
  <c r="AL37" i="8"/>
  <c r="R36" i="8"/>
  <c r="S36" i="8" s="1"/>
  <c r="M36" i="8"/>
  <c r="F36" i="8"/>
  <c r="E37" i="8" s="1"/>
  <c r="AR37" i="8"/>
  <c r="O39" i="8"/>
  <c r="K40" i="8"/>
  <c r="I198" i="8"/>
  <c r="AN149" i="8"/>
  <c r="I202" i="8" s="1"/>
  <c r="DN40" i="8"/>
  <c r="DO40" i="8" s="1"/>
  <c r="DB40" i="8"/>
  <c r="DA41" i="8" s="1"/>
  <c r="DI40" i="8"/>
  <c r="AL20" i="7"/>
  <c r="F183" i="7"/>
  <c r="F184" i="7"/>
  <c r="G192" i="7"/>
  <c r="F198" i="7"/>
  <c r="F202" i="7"/>
  <c r="CL146" i="7"/>
  <c r="DK146" i="7"/>
  <c r="F275" i="7" s="1"/>
  <c r="BQ146" i="7"/>
  <c r="F231" i="7" s="1"/>
  <c r="CP146" i="7"/>
  <c r="AN146" i="1"/>
  <c r="F202" i="1" s="1"/>
  <c r="F198" i="1"/>
  <c r="BD146" i="7"/>
  <c r="CC146" i="7"/>
  <c r="CB20" i="7"/>
  <c r="AR20" i="7"/>
  <c r="K22" i="7"/>
  <c r="O22" i="7" s="1"/>
  <c r="F390" i="7"/>
  <c r="F394" i="7" s="1"/>
  <c r="BI23" i="7"/>
  <c r="E147" i="7"/>
  <c r="R147" i="7" s="1"/>
  <c r="M20" i="7"/>
  <c r="R20" i="7"/>
  <c r="S20" i="7" s="1"/>
  <c r="CH22" i="7"/>
  <c r="AJ21" i="7"/>
  <c r="AN21" i="7" s="1"/>
  <c r="AQ21" i="7"/>
  <c r="AL21" i="7"/>
  <c r="AE21" i="7"/>
  <c r="AD22" i="7" s="1"/>
  <c r="M222" i="1"/>
  <c r="AQ19" i="1"/>
  <c r="AR19" i="1" s="1"/>
  <c r="AR146" i="1" s="1"/>
  <c r="F206" i="1" s="1"/>
  <c r="AE19" i="1"/>
  <c r="AD20" i="1" s="1"/>
  <c r="AL19" i="1"/>
  <c r="AN19" i="1"/>
  <c r="AJ20" i="1"/>
  <c r="J222" i="1"/>
  <c r="S222" i="1"/>
  <c r="U222" i="1"/>
  <c r="L222" i="1"/>
  <c r="V222" i="1"/>
  <c r="R222" i="1"/>
  <c r="Q222" i="1"/>
  <c r="T222" i="1"/>
  <c r="P222" i="1"/>
  <c r="O222" i="1"/>
  <c r="H222" i="1"/>
  <c r="N222" i="1"/>
  <c r="F222" i="1"/>
  <c r="BC13" i="1"/>
  <c r="BD13" i="1" s="1"/>
  <c r="BC14" i="1" s="1"/>
  <c r="BD145" i="1"/>
  <c r="E218" i="1" s="1"/>
  <c r="BI14" i="1"/>
  <c r="DG98" i="9" l="1"/>
  <c r="DK97" i="9"/>
  <c r="DB97" i="9"/>
  <c r="DA98" i="9" s="1"/>
  <c r="DN97" i="9"/>
  <c r="DO97" i="9" s="1"/>
  <c r="DI97" i="9"/>
  <c r="CO98" i="9"/>
  <c r="CP98" i="9" s="1"/>
  <c r="CC98" i="9"/>
  <c r="CB99" i="9" s="1"/>
  <c r="CJ98" i="9"/>
  <c r="CL98" i="9"/>
  <c r="CH99" i="9"/>
  <c r="BD97" i="9"/>
  <c r="BC98" i="9" s="1"/>
  <c r="BK97" i="9"/>
  <c r="BP97" i="9"/>
  <c r="BQ97" i="9" s="1"/>
  <c r="BI99" i="9"/>
  <c r="BM99" i="9" s="1"/>
  <c r="AQ97" i="9"/>
  <c r="AR97" i="9" s="1"/>
  <c r="AL97" i="9"/>
  <c r="AE97" i="9"/>
  <c r="AD98" i="9" s="1"/>
  <c r="AJ98" i="9"/>
  <c r="AN97" i="9"/>
  <c r="K157" i="9"/>
  <c r="K97" i="9"/>
  <c r="O96" i="9"/>
  <c r="P241" i="9"/>
  <c r="CO156" i="9"/>
  <c r="P254" i="9" s="1"/>
  <c r="DG157" i="9"/>
  <c r="Q271" i="9" s="1"/>
  <c r="DK157" i="9"/>
  <c r="Q275" i="9" s="1"/>
  <c r="R86" i="9"/>
  <c r="S86" i="9" s="1"/>
  <c r="E87" i="9"/>
  <c r="F87" i="9" s="1"/>
  <c r="M86" i="9"/>
  <c r="F266" i="7"/>
  <c r="F290" i="7"/>
  <c r="F251" i="7"/>
  <c r="DA147" i="7"/>
  <c r="G265" i="7" s="1"/>
  <c r="GW147" i="7"/>
  <c r="G358" i="7" s="1"/>
  <c r="FX147" i="7"/>
  <c r="G335" i="7" s="1"/>
  <c r="EY147" i="7"/>
  <c r="G312" i="7" s="1"/>
  <c r="DZ147" i="7"/>
  <c r="G289" i="7" s="1"/>
  <c r="GX45" i="7"/>
  <c r="GW46" i="7" s="1"/>
  <c r="HE45" i="7"/>
  <c r="HJ45" i="7"/>
  <c r="HK45" i="7" s="1"/>
  <c r="HG45" i="7"/>
  <c r="HC46" i="7"/>
  <c r="GK45" i="7"/>
  <c r="GL45" i="7" s="1"/>
  <c r="FY45" i="7"/>
  <c r="FX46" i="7" s="1"/>
  <c r="GF45" i="7"/>
  <c r="GH44" i="7"/>
  <c r="GD45" i="7"/>
  <c r="EZ46" i="7"/>
  <c r="EY47" i="7" s="1"/>
  <c r="FL46" i="7"/>
  <c r="FM46" i="7" s="1"/>
  <c r="FG46" i="7"/>
  <c r="FE46" i="7"/>
  <c r="FI45" i="7"/>
  <c r="EM46" i="7"/>
  <c r="EN46" i="7" s="1"/>
  <c r="EA46" i="7"/>
  <c r="DZ47" i="7" s="1"/>
  <c r="EH46" i="7"/>
  <c r="EF47" i="7"/>
  <c r="EJ46" i="7"/>
  <c r="DB46" i="7"/>
  <c r="DA47" i="7" s="1"/>
  <c r="DN46" i="7"/>
  <c r="DO46" i="7" s="1"/>
  <c r="DI46" i="7"/>
  <c r="DK45" i="7"/>
  <c r="DG46" i="7"/>
  <c r="R37" i="8"/>
  <c r="S37" i="8" s="1"/>
  <c r="M37" i="8"/>
  <c r="F37" i="8"/>
  <c r="E38" i="8" s="1"/>
  <c r="AL38" i="8"/>
  <c r="AE38" i="8"/>
  <c r="AD39" i="8" s="1"/>
  <c r="AQ38" i="8"/>
  <c r="CH43" i="8"/>
  <c r="K149" i="8"/>
  <c r="K41" i="8"/>
  <c r="O40" i="8"/>
  <c r="CO38" i="8"/>
  <c r="CJ38" i="8"/>
  <c r="CC38" i="8"/>
  <c r="CB39" i="8" s="1"/>
  <c r="CL38" i="8"/>
  <c r="BM41" i="8"/>
  <c r="BI42" i="8"/>
  <c r="AJ43" i="8"/>
  <c r="AN42" i="8"/>
  <c r="DN41" i="8"/>
  <c r="DO41" i="8" s="1"/>
  <c r="DB41" i="8"/>
  <c r="DA42" i="8" s="1"/>
  <c r="DI41" i="8"/>
  <c r="AR38" i="8"/>
  <c r="CP37" i="8"/>
  <c r="CP38" i="8" s="1"/>
  <c r="DG41" i="8"/>
  <c r="DK40" i="8"/>
  <c r="BP37" i="8"/>
  <c r="BQ37" i="8" s="1"/>
  <c r="BK37" i="8"/>
  <c r="BD37" i="8"/>
  <c r="BC38" i="8" s="1"/>
  <c r="F423" i="7"/>
  <c r="M147" i="7"/>
  <c r="G169" i="7"/>
  <c r="F242" i="7"/>
  <c r="F255" i="7"/>
  <c r="F218" i="7"/>
  <c r="E21" i="7"/>
  <c r="M21" i="7" s="1"/>
  <c r="CH23" i="7"/>
  <c r="K23" i="7"/>
  <c r="AQ22" i="7"/>
  <c r="AL22" i="7"/>
  <c r="AE22" i="7"/>
  <c r="AD23" i="7" s="1"/>
  <c r="AJ22" i="7"/>
  <c r="AN22" i="7" s="1"/>
  <c r="BI24" i="7"/>
  <c r="AR21" i="7"/>
  <c r="BC147" i="7"/>
  <c r="BP147" i="7" s="1"/>
  <c r="BP20" i="7"/>
  <c r="BD20" i="7"/>
  <c r="BC21" i="7" s="1"/>
  <c r="BK20" i="7"/>
  <c r="BM20" i="7"/>
  <c r="F421" i="7"/>
  <c r="F426" i="7"/>
  <c r="D34" i="5" s="1"/>
  <c r="CB147" i="7"/>
  <c r="CO20" i="7"/>
  <c r="CJ20" i="7"/>
  <c r="CC20" i="7"/>
  <c r="CB21" i="7" s="1"/>
  <c r="CL20" i="7"/>
  <c r="BM13" i="1"/>
  <c r="AQ20" i="1"/>
  <c r="AE20" i="1"/>
  <c r="AD21" i="1" s="1"/>
  <c r="AL20" i="1"/>
  <c r="AJ21" i="1"/>
  <c r="AN20" i="1"/>
  <c r="BP14" i="1"/>
  <c r="BK14" i="1"/>
  <c r="BP13" i="1"/>
  <c r="BC146" i="1"/>
  <c r="F217" i="1" s="1"/>
  <c r="BK13" i="1"/>
  <c r="BM14" i="1"/>
  <c r="BI15" i="1"/>
  <c r="BD14" i="1"/>
  <c r="BC15" i="1" s="1"/>
  <c r="AF180" i="4"/>
  <c r="DG99" i="9" l="1"/>
  <c r="DK98" i="9"/>
  <c r="DN98" i="9"/>
  <c r="DO98" i="9" s="1"/>
  <c r="DB98" i="9"/>
  <c r="DA99" i="9" s="1"/>
  <c r="DI98" i="9"/>
  <c r="CO99" i="9"/>
  <c r="CP99" i="9" s="1"/>
  <c r="CJ99" i="9"/>
  <c r="CC99" i="9"/>
  <c r="CB100" i="9" s="1"/>
  <c r="CH100" i="9"/>
  <c r="CL99" i="9"/>
  <c r="BI100" i="9"/>
  <c r="BM100" i="9" s="1"/>
  <c r="BP98" i="9"/>
  <c r="BQ98" i="9" s="1"/>
  <c r="BD98" i="9"/>
  <c r="BC99" i="9" s="1"/>
  <c r="BK98" i="9"/>
  <c r="AQ98" i="9"/>
  <c r="AR98" i="9" s="1"/>
  <c r="AE98" i="9"/>
  <c r="AD99" i="9" s="1"/>
  <c r="AL98" i="9"/>
  <c r="AJ99" i="9"/>
  <c r="AN98" i="9"/>
  <c r="DO157" i="9"/>
  <c r="Q279" i="9" s="1"/>
  <c r="E156" i="9"/>
  <c r="M156" i="9" s="1"/>
  <c r="R87" i="9"/>
  <c r="S87" i="9" s="1"/>
  <c r="M87" i="9"/>
  <c r="E88" i="9"/>
  <c r="F88" i="9" s="1"/>
  <c r="K98" i="9"/>
  <c r="O97" i="9"/>
  <c r="Q175" i="9"/>
  <c r="Q298" i="9" s="1"/>
  <c r="AD156" i="9"/>
  <c r="DB157" i="9"/>
  <c r="F419" i="7"/>
  <c r="HG46" i="7"/>
  <c r="HC47" i="7"/>
  <c r="HJ46" i="7"/>
  <c r="HK46" i="7" s="1"/>
  <c r="GX46" i="7"/>
  <c r="GW47" i="7" s="1"/>
  <c r="HE46" i="7"/>
  <c r="GK46" i="7"/>
  <c r="GL46" i="7" s="1"/>
  <c r="FY46" i="7"/>
  <c r="FX47" i="7" s="1"/>
  <c r="GF46" i="7"/>
  <c r="GD46" i="7"/>
  <c r="GH45" i="7"/>
  <c r="EZ47" i="7"/>
  <c r="EY48" i="7" s="1"/>
  <c r="FL47" i="7"/>
  <c r="FM47" i="7" s="1"/>
  <c r="FG47" i="7"/>
  <c r="FI46" i="7"/>
  <c r="FE47" i="7"/>
  <c r="EJ47" i="7"/>
  <c r="EF48" i="7"/>
  <c r="EM47" i="7"/>
  <c r="EN47" i="7" s="1"/>
  <c r="EA47" i="7"/>
  <c r="DZ48" i="7" s="1"/>
  <c r="EH47" i="7"/>
  <c r="DK46" i="7"/>
  <c r="DG47" i="7"/>
  <c r="DN47" i="7"/>
  <c r="DO47" i="7" s="1"/>
  <c r="DB47" i="7"/>
  <c r="DA48" i="7" s="1"/>
  <c r="DI47" i="7"/>
  <c r="BP38" i="8"/>
  <c r="BQ38" i="8" s="1"/>
  <c r="BD38" i="8"/>
  <c r="BC39" i="8" s="1"/>
  <c r="BK38" i="8"/>
  <c r="DN42" i="8"/>
  <c r="DO42" i="8" s="1"/>
  <c r="DB42" i="8"/>
  <c r="DA43" i="8" s="1"/>
  <c r="DI42" i="8"/>
  <c r="I175" i="8"/>
  <c r="I296" i="8" s="1"/>
  <c r="O149" i="8"/>
  <c r="I179" i="8" s="1"/>
  <c r="AQ39" i="8"/>
  <c r="AR39" i="8" s="1"/>
  <c r="AE39" i="8"/>
  <c r="AD40" i="8" s="1"/>
  <c r="AL39" i="8"/>
  <c r="DG42" i="8"/>
  <c r="DK41" i="8"/>
  <c r="BI43" i="8"/>
  <c r="BM42" i="8"/>
  <c r="CH44" i="8"/>
  <c r="R38" i="8"/>
  <c r="S38" i="8" s="1"/>
  <c r="F38" i="8"/>
  <c r="E39" i="8" s="1"/>
  <c r="M38" i="8"/>
  <c r="AN43" i="8"/>
  <c r="AJ44" i="8"/>
  <c r="CO39" i="8"/>
  <c r="CP39" i="8" s="1"/>
  <c r="CC39" i="8"/>
  <c r="CB40" i="8" s="1"/>
  <c r="CJ39" i="8"/>
  <c r="CL39" i="8"/>
  <c r="K42" i="8"/>
  <c r="O41" i="8"/>
  <c r="G241" i="7"/>
  <c r="F385" i="7"/>
  <c r="G217" i="7"/>
  <c r="AR22" i="7"/>
  <c r="F21" i="7"/>
  <c r="E22" i="7" s="1"/>
  <c r="R21" i="7"/>
  <c r="S21" i="7" s="1"/>
  <c r="AJ23" i="7"/>
  <c r="AN23" i="7" s="1"/>
  <c r="BI25" i="7"/>
  <c r="AQ23" i="7"/>
  <c r="AL23" i="7"/>
  <c r="AE23" i="7"/>
  <c r="AD24" i="7" s="1"/>
  <c r="K24" i="7"/>
  <c r="O24" i="7" s="1"/>
  <c r="CO21" i="7"/>
  <c r="CC21" i="7"/>
  <c r="CB22" i="7" s="1"/>
  <c r="CJ21" i="7"/>
  <c r="CL21" i="7"/>
  <c r="BK21" i="7"/>
  <c r="BP21" i="7"/>
  <c r="BD21" i="7"/>
  <c r="BC22" i="7" s="1"/>
  <c r="BM21" i="7"/>
  <c r="CP20" i="7"/>
  <c r="CP21" i="7" s="1"/>
  <c r="BQ20" i="7"/>
  <c r="CH24" i="7"/>
  <c r="AR20" i="1"/>
  <c r="AQ21" i="1"/>
  <c r="AL21" i="1"/>
  <c r="AE21" i="1"/>
  <c r="AD22" i="1" s="1"/>
  <c r="AN21" i="1"/>
  <c r="AJ22" i="1"/>
  <c r="BP15" i="1"/>
  <c r="BK15" i="1"/>
  <c r="BQ13" i="1"/>
  <c r="BQ14" i="1" s="1"/>
  <c r="BI16" i="1"/>
  <c r="BM15" i="1"/>
  <c r="BD15" i="1"/>
  <c r="BC16" i="1" s="1"/>
  <c r="DG100" i="9" l="1"/>
  <c r="DK99" i="9"/>
  <c r="DN99" i="9"/>
  <c r="DO99" i="9" s="1"/>
  <c r="DB99" i="9"/>
  <c r="DA100" i="9" s="1"/>
  <c r="DI99" i="9"/>
  <c r="CO100" i="9"/>
  <c r="CP100" i="9" s="1"/>
  <c r="CC100" i="9"/>
  <c r="CB101" i="9" s="1"/>
  <c r="CJ100" i="9"/>
  <c r="CL100" i="9"/>
  <c r="CH101" i="9"/>
  <c r="BI101" i="9"/>
  <c r="BM101" i="9" s="1"/>
  <c r="BD99" i="9"/>
  <c r="BC100" i="9" s="1"/>
  <c r="BK99" i="9"/>
  <c r="BP99" i="9"/>
  <c r="BQ99" i="9" s="1"/>
  <c r="AQ99" i="9"/>
  <c r="AR99" i="9" s="1"/>
  <c r="AL99" i="9"/>
  <c r="AE99" i="9"/>
  <c r="AD100" i="9" s="1"/>
  <c r="AJ100" i="9"/>
  <c r="AN99" i="9"/>
  <c r="Q266" i="9"/>
  <c r="P192" i="9"/>
  <c r="AQ156" i="9"/>
  <c r="P205" i="9" s="1"/>
  <c r="AN156" i="9"/>
  <c r="P202" i="9" s="1"/>
  <c r="P169" i="9"/>
  <c r="R156" i="9"/>
  <c r="P182" i="9" s="1"/>
  <c r="P177" i="9"/>
  <c r="O156" i="9"/>
  <c r="P179" i="9" s="1"/>
  <c r="DA158" i="9"/>
  <c r="O98" i="9"/>
  <c r="K99" i="9"/>
  <c r="R88" i="9"/>
  <c r="S88" i="9" s="1"/>
  <c r="E89" i="9"/>
  <c r="F89" i="9" s="1"/>
  <c r="M88" i="9"/>
  <c r="Q334" i="9"/>
  <c r="HC48" i="7"/>
  <c r="HG47" i="7"/>
  <c r="HJ47" i="7"/>
  <c r="HK47" i="7" s="1"/>
  <c r="HE47" i="7"/>
  <c r="GX47" i="7"/>
  <c r="GW48" i="7" s="1"/>
  <c r="GH46" i="7"/>
  <c r="GD47" i="7"/>
  <c r="GF47" i="7"/>
  <c r="GK47" i="7"/>
  <c r="GL47" i="7" s="1"/>
  <c r="FY47" i="7"/>
  <c r="FX48" i="7" s="1"/>
  <c r="FE48" i="7"/>
  <c r="FI47" i="7"/>
  <c r="EZ48" i="7"/>
  <c r="EY49" i="7" s="1"/>
  <c r="FL48" i="7"/>
  <c r="FM48" i="7" s="1"/>
  <c r="FG48" i="7"/>
  <c r="EM48" i="7"/>
  <c r="EN48" i="7" s="1"/>
  <c r="EA48" i="7"/>
  <c r="DZ49" i="7" s="1"/>
  <c r="EH48" i="7"/>
  <c r="EF49" i="7"/>
  <c r="EJ48" i="7"/>
  <c r="DG48" i="7"/>
  <c r="DK47" i="7"/>
  <c r="DN48" i="7"/>
  <c r="DO48" i="7" s="1"/>
  <c r="DB48" i="7"/>
  <c r="DA49" i="7" s="1"/>
  <c r="DI48" i="7"/>
  <c r="DO43" i="8"/>
  <c r="O42" i="8"/>
  <c r="K43" i="8"/>
  <c r="R39" i="8"/>
  <c r="S39" i="8" s="1"/>
  <c r="M39" i="8"/>
  <c r="F39" i="8"/>
  <c r="E40" i="8" s="1"/>
  <c r="DG43" i="8"/>
  <c r="DK42" i="8"/>
  <c r="DN43" i="8"/>
  <c r="DB43" i="8"/>
  <c r="DA44" i="8" s="1"/>
  <c r="DI43" i="8"/>
  <c r="AJ45" i="8"/>
  <c r="AN44" i="8"/>
  <c r="I332" i="8"/>
  <c r="BM43" i="8"/>
  <c r="BI44" i="8"/>
  <c r="G384" i="7"/>
  <c r="G392" i="7" s="1"/>
  <c r="G420" i="7" s="1"/>
  <c r="CB149" i="8"/>
  <c r="I241" i="8" s="1"/>
  <c r="DA149" i="8"/>
  <c r="I264" i="8" s="1"/>
  <c r="CJ40" i="8"/>
  <c r="CC40" i="8"/>
  <c r="CO40" i="8"/>
  <c r="CP40" i="8" s="1"/>
  <c r="CL40" i="8"/>
  <c r="CH45" i="8"/>
  <c r="AQ40" i="8"/>
  <c r="AR40" i="8" s="1"/>
  <c r="AL40" i="8"/>
  <c r="AE40" i="8"/>
  <c r="BP39" i="8"/>
  <c r="BQ39" i="8" s="1"/>
  <c r="BK39" i="8"/>
  <c r="BD39" i="8"/>
  <c r="BC40" i="8" s="1"/>
  <c r="AR23" i="7"/>
  <c r="G409" i="7"/>
  <c r="G435" i="7" s="1"/>
  <c r="E8" i="5" s="1"/>
  <c r="BQ21" i="7"/>
  <c r="F22" i="7"/>
  <c r="E23" i="7" s="1"/>
  <c r="F23" i="7" s="1"/>
  <c r="E24" i="7" s="1"/>
  <c r="M22" i="7"/>
  <c r="R22" i="7"/>
  <c r="S22" i="7" s="1"/>
  <c r="CO22" i="7"/>
  <c r="CP22" i="7" s="1"/>
  <c r="CC22" i="7"/>
  <c r="CB23" i="7" s="1"/>
  <c r="CJ22" i="7"/>
  <c r="CL22" i="7"/>
  <c r="AQ24" i="7"/>
  <c r="AL24" i="7"/>
  <c r="AE24" i="7"/>
  <c r="AD25" i="7" s="1"/>
  <c r="BI26" i="7"/>
  <c r="CH25" i="7"/>
  <c r="AJ24" i="7"/>
  <c r="AN24" i="7" s="1"/>
  <c r="BD22" i="7"/>
  <c r="BC23" i="7" s="1"/>
  <c r="BP22" i="7"/>
  <c r="BK22" i="7"/>
  <c r="BM22" i="7"/>
  <c r="K25" i="7"/>
  <c r="O25" i="7" s="1"/>
  <c r="AR21" i="1"/>
  <c r="BQ15" i="1"/>
  <c r="AQ22" i="1"/>
  <c r="AE22" i="1"/>
  <c r="AD23" i="1" s="1"/>
  <c r="AL22" i="1"/>
  <c r="AJ23" i="1"/>
  <c r="AN22" i="1"/>
  <c r="BP16" i="1"/>
  <c r="BK16" i="1"/>
  <c r="BD16" i="1"/>
  <c r="BC17" i="1" s="1"/>
  <c r="BM16" i="1"/>
  <c r="BI17" i="1"/>
  <c r="DG101" i="9" l="1"/>
  <c r="DK100" i="9"/>
  <c r="DN100" i="9"/>
  <c r="DO100" i="9" s="1"/>
  <c r="DB100" i="9"/>
  <c r="DA101" i="9" s="1"/>
  <c r="DI100" i="9"/>
  <c r="CC101" i="9"/>
  <c r="CB102" i="9" s="1"/>
  <c r="CJ101" i="9"/>
  <c r="CO101" i="9"/>
  <c r="CP101" i="9" s="1"/>
  <c r="CL101" i="9"/>
  <c r="CH102" i="9"/>
  <c r="BP100" i="9"/>
  <c r="BQ100" i="9" s="1"/>
  <c r="BD100" i="9"/>
  <c r="BC101" i="9" s="1"/>
  <c r="BK100" i="9"/>
  <c r="BI102" i="9"/>
  <c r="BM102" i="9" s="1"/>
  <c r="AQ100" i="9"/>
  <c r="AR100" i="9" s="1"/>
  <c r="AL100" i="9"/>
  <c r="AE100" i="9"/>
  <c r="AD101" i="9" s="1"/>
  <c r="AN100" i="9"/>
  <c r="AJ101" i="9"/>
  <c r="CP156" i="9"/>
  <c r="P255" i="9" s="1"/>
  <c r="AR156" i="9"/>
  <c r="P206" i="9" s="1"/>
  <c r="O99" i="9"/>
  <c r="K100" i="9"/>
  <c r="AE156" i="9"/>
  <c r="P193" i="9" s="1"/>
  <c r="R89" i="9"/>
  <c r="S89" i="9" s="1"/>
  <c r="M89" i="9"/>
  <c r="E90" i="9"/>
  <c r="F90" i="9" s="1"/>
  <c r="BC156" i="9"/>
  <c r="CC156" i="9"/>
  <c r="P242" i="9" s="1"/>
  <c r="R265" i="9"/>
  <c r="DN158" i="9"/>
  <c r="R278" i="9" s="1"/>
  <c r="AR24" i="7"/>
  <c r="HJ48" i="7"/>
  <c r="HK48" i="7" s="1"/>
  <c r="GX48" i="7"/>
  <c r="GW49" i="7" s="1"/>
  <c r="HE48" i="7"/>
  <c r="HC49" i="7"/>
  <c r="HG48" i="7"/>
  <c r="GD48" i="7"/>
  <c r="GH47" i="7"/>
  <c r="GK48" i="7"/>
  <c r="GL48" i="7" s="1"/>
  <c r="GF48" i="7"/>
  <c r="FY48" i="7"/>
  <c r="FX49" i="7" s="1"/>
  <c r="FL49" i="7"/>
  <c r="FM49" i="7" s="1"/>
  <c r="FG49" i="7"/>
  <c r="EZ49" i="7"/>
  <c r="EY50" i="7" s="1"/>
  <c r="FI48" i="7"/>
  <c r="FE49" i="7"/>
  <c r="EJ49" i="7"/>
  <c r="EF50" i="7"/>
  <c r="EM49" i="7"/>
  <c r="EN49" i="7" s="1"/>
  <c r="EA49" i="7"/>
  <c r="DZ50" i="7" s="1"/>
  <c r="EH49" i="7"/>
  <c r="DG49" i="7"/>
  <c r="DK48" i="7"/>
  <c r="DN49" i="7"/>
  <c r="DO49" i="7" s="1"/>
  <c r="DB49" i="7"/>
  <c r="DA50" i="7" s="1"/>
  <c r="DI49" i="7"/>
  <c r="AR149" i="8"/>
  <c r="I206" i="8" s="1"/>
  <c r="DO149" i="8"/>
  <c r="I278" i="8" s="1"/>
  <c r="CP149" i="8"/>
  <c r="I255" i="8" s="1"/>
  <c r="BP40" i="8"/>
  <c r="BQ40" i="8" s="1"/>
  <c r="BD40" i="8"/>
  <c r="BK40" i="8"/>
  <c r="DK149" i="8"/>
  <c r="I274" i="8" s="1"/>
  <c r="CL149" i="8"/>
  <c r="I251" i="8" s="1"/>
  <c r="AJ46" i="8"/>
  <c r="AN45" i="8"/>
  <c r="I290" i="8"/>
  <c r="I315" i="8"/>
  <c r="DK43" i="8"/>
  <c r="DG44" i="8"/>
  <c r="DI44" i="8"/>
  <c r="DB44" i="8"/>
  <c r="DA45" i="8" s="1"/>
  <c r="DN44" i="8"/>
  <c r="K44" i="8"/>
  <c r="O43" i="8"/>
  <c r="DO44" i="8"/>
  <c r="CH46" i="8"/>
  <c r="CC149" i="8"/>
  <c r="I242" i="8" s="1"/>
  <c r="DB149" i="8"/>
  <c r="I265" i="8" s="1"/>
  <c r="CB41" i="8"/>
  <c r="AE149" i="8"/>
  <c r="I193" i="8" s="1"/>
  <c r="AD41" i="8"/>
  <c r="BI45" i="8"/>
  <c r="BM44" i="8"/>
  <c r="R40" i="8"/>
  <c r="S40" i="8" s="1"/>
  <c r="F40" i="8"/>
  <c r="M40" i="8"/>
  <c r="BQ22" i="7"/>
  <c r="F24" i="7"/>
  <c r="E25" i="7" s="1"/>
  <c r="R23" i="7"/>
  <c r="S23" i="7" s="1"/>
  <c r="M23" i="7"/>
  <c r="AQ25" i="7"/>
  <c r="AR25" i="7" s="1"/>
  <c r="AL25" i="7"/>
  <c r="AE25" i="7"/>
  <c r="AD26" i="7" s="1"/>
  <c r="R24" i="7"/>
  <c r="M24" i="7"/>
  <c r="CO23" i="7"/>
  <c r="CC23" i="7"/>
  <c r="CB24" i="7" s="1"/>
  <c r="CJ23" i="7"/>
  <c r="CL23" i="7"/>
  <c r="CP23" i="7"/>
  <c r="AJ25" i="7"/>
  <c r="AN25" i="7" s="1"/>
  <c r="BK23" i="7"/>
  <c r="BD23" i="7"/>
  <c r="BC24" i="7" s="1"/>
  <c r="BP23" i="7"/>
  <c r="BQ23" i="7" s="1"/>
  <c r="BM23" i="7"/>
  <c r="K26" i="7"/>
  <c r="O26" i="7" s="1"/>
  <c r="CH26" i="7"/>
  <c r="BI147" i="7"/>
  <c r="BI27" i="7"/>
  <c r="BM27" i="7" s="1"/>
  <c r="BQ16" i="1"/>
  <c r="AR22" i="1"/>
  <c r="AQ23" i="1"/>
  <c r="AR23" i="1" s="1"/>
  <c r="AE23" i="1"/>
  <c r="AD24" i="1" s="1"/>
  <c r="AL23" i="1"/>
  <c r="AN23" i="1"/>
  <c r="AJ24" i="1"/>
  <c r="BP17" i="1"/>
  <c r="BK17" i="1"/>
  <c r="BD17" i="1"/>
  <c r="BC18" i="1" s="1"/>
  <c r="BM17" i="1"/>
  <c r="BI18" i="1"/>
  <c r="E233" i="1"/>
  <c r="DK101" i="9" l="1"/>
  <c r="DG102" i="9"/>
  <c r="DB101" i="9"/>
  <c r="DA102" i="9" s="1"/>
  <c r="DI101" i="9"/>
  <c r="DN101" i="9"/>
  <c r="DO101" i="9" s="1"/>
  <c r="CL102" i="9"/>
  <c r="CH103" i="9"/>
  <c r="CO102" i="9"/>
  <c r="CP102" i="9" s="1"/>
  <c r="CC102" i="9"/>
  <c r="CB103" i="9" s="1"/>
  <c r="CJ102" i="9"/>
  <c r="BP101" i="9"/>
  <c r="BQ101" i="9" s="1"/>
  <c r="BK101" i="9"/>
  <c r="BD101" i="9"/>
  <c r="BC102" i="9" s="1"/>
  <c r="BI103" i="9"/>
  <c r="BM103" i="9" s="1"/>
  <c r="AQ101" i="9"/>
  <c r="AR101" i="9" s="1"/>
  <c r="AE101" i="9"/>
  <c r="AD102" i="9" s="1"/>
  <c r="AL101" i="9"/>
  <c r="AN101" i="9"/>
  <c r="AJ102" i="9"/>
  <c r="S156" i="9"/>
  <c r="P183" i="9" s="1"/>
  <c r="BQ156" i="9"/>
  <c r="P231" i="9" s="1"/>
  <c r="CB157" i="9"/>
  <c r="P217" i="9"/>
  <c r="P292" i="9" s="1"/>
  <c r="P307" i="9" s="1"/>
  <c r="BP156" i="9"/>
  <c r="P230" i="9" s="1"/>
  <c r="P305" i="9" s="1"/>
  <c r="P330" i="9" s="1"/>
  <c r="BD156" i="9"/>
  <c r="P218" i="9" s="1"/>
  <c r="F156" i="9"/>
  <c r="P170" i="9" s="1"/>
  <c r="AD157" i="9"/>
  <c r="O100" i="9"/>
  <c r="K101" i="9"/>
  <c r="DG147" i="7"/>
  <c r="G271" i="7" s="1"/>
  <c r="HC147" i="7"/>
  <c r="G364" i="7" s="1"/>
  <c r="FE147" i="7"/>
  <c r="G318" i="7" s="1"/>
  <c r="GD147" i="7"/>
  <c r="G341" i="7" s="1"/>
  <c r="EF147" i="7"/>
  <c r="G295" i="7" s="1"/>
  <c r="GX49" i="7"/>
  <c r="GW50" i="7" s="1"/>
  <c r="HE49" i="7"/>
  <c r="HJ49" i="7"/>
  <c r="HK49" i="7" s="1"/>
  <c r="HG49" i="7"/>
  <c r="HC50" i="7"/>
  <c r="GK49" i="7"/>
  <c r="GL49" i="7" s="1"/>
  <c r="FY49" i="7"/>
  <c r="FX50" i="7" s="1"/>
  <c r="GF49" i="7"/>
  <c r="GH48" i="7"/>
  <c r="GD49" i="7"/>
  <c r="FG50" i="7"/>
  <c r="EZ50" i="7"/>
  <c r="EY51" i="7" s="1"/>
  <c r="FL50" i="7"/>
  <c r="FM50" i="7" s="1"/>
  <c r="FE50" i="7"/>
  <c r="FI49" i="7"/>
  <c r="EF51" i="7"/>
  <c r="EJ50" i="7"/>
  <c r="EM50" i="7"/>
  <c r="EN50" i="7" s="1"/>
  <c r="EA50" i="7"/>
  <c r="DZ51" i="7" s="1"/>
  <c r="EH50" i="7"/>
  <c r="DK49" i="7"/>
  <c r="DG50" i="7"/>
  <c r="DN50" i="7"/>
  <c r="DO50" i="7" s="1"/>
  <c r="DB50" i="7"/>
  <c r="DA51" i="7" s="1"/>
  <c r="DI50" i="7"/>
  <c r="BQ149" i="8"/>
  <c r="I231" i="8" s="1"/>
  <c r="S149" i="8"/>
  <c r="I183" i="8" s="1"/>
  <c r="I298" i="8"/>
  <c r="I326" i="8" s="1"/>
  <c r="I305" i="8"/>
  <c r="I329" i="8" s="1"/>
  <c r="I300" i="8"/>
  <c r="I327" i="8" s="1"/>
  <c r="F149" i="8"/>
  <c r="I170" i="8" s="1"/>
  <c r="E41" i="8"/>
  <c r="AD150" i="8"/>
  <c r="AQ41" i="8"/>
  <c r="AR41" i="8" s="1"/>
  <c r="AE41" i="8"/>
  <c r="AD42" i="8" s="1"/>
  <c r="AL41" i="8"/>
  <c r="CH47" i="8"/>
  <c r="O44" i="8"/>
  <c r="K45" i="8"/>
  <c r="DK44" i="8"/>
  <c r="DG45" i="8"/>
  <c r="BM45" i="8"/>
  <c r="BI46" i="8"/>
  <c r="DN45" i="8"/>
  <c r="DO45" i="8" s="1"/>
  <c r="DB45" i="8"/>
  <c r="DA46" i="8" s="1"/>
  <c r="DI45" i="8"/>
  <c r="AN46" i="8"/>
  <c r="AJ47" i="8"/>
  <c r="BD149" i="8"/>
  <c r="I218" i="8" s="1"/>
  <c r="BC41" i="8"/>
  <c r="DA150" i="8"/>
  <c r="J264" i="8" s="1"/>
  <c r="CB150" i="8"/>
  <c r="J241" i="8" s="1"/>
  <c r="CO41" i="8"/>
  <c r="CC41" i="8"/>
  <c r="CB42" i="8" s="1"/>
  <c r="CJ41" i="8"/>
  <c r="CL41" i="8"/>
  <c r="BQ17" i="1"/>
  <c r="G223" i="7"/>
  <c r="S24" i="7"/>
  <c r="F25" i="7"/>
  <c r="E26" i="7" s="1"/>
  <c r="F26" i="7" s="1"/>
  <c r="E27" i="7" s="1"/>
  <c r="R27" i="7" s="1"/>
  <c r="R25" i="7"/>
  <c r="M25" i="7"/>
  <c r="K147" i="7"/>
  <c r="O147" i="7" s="1"/>
  <c r="K27" i="7"/>
  <c r="O27" i="7" s="1"/>
  <c r="CO24" i="7"/>
  <c r="CP24" i="7" s="1"/>
  <c r="CC24" i="7"/>
  <c r="CB25" i="7" s="1"/>
  <c r="CJ24" i="7"/>
  <c r="CL24" i="7"/>
  <c r="CH147" i="7"/>
  <c r="CH27" i="7"/>
  <c r="BP24" i="7"/>
  <c r="BQ24" i="7" s="1"/>
  <c r="BD24" i="7"/>
  <c r="BC25" i="7" s="1"/>
  <c r="BK24" i="7"/>
  <c r="BM24" i="7"/>
  <c r="BI28" i="7"/>
  <c r="BM28" i="7" s="1"/>
  <c r="AJ26" i="7"/>
  <c r="AN26" i="7" s="1"/>
  <c r="AQ26" i="7"/>
  <c r="AR26" i="7" s="1"/>
  <c r="AL26" i="7"/>
  <c r="AE26" i="7"/>
  <c r="AQ24" i="1"/>
  <c r="AR24" i="1" s="1"/>
  <c r="AE24" i="1"/>
  <c r="AD25" i="1" s="1"/>
  <c r="AL24" i="1"/>
  <c r="AN24" i="1"/>
  <c r="AJ25" i="1"/>
  <c r="BP18" i="1"/>
  <c r="BK18" i="1"/>
  <c r="BD18" i="1"/>
  <c r="BC19" i="1" s="1"/>
  <c r="BI19" i="1"/>
  <c r="BI146" i="1" s="1"/>
  <c r="F223" i="1" s="1"/>
  <c r="BM18" i="1"/>
  <c r="CU7" i="1"/>
  <c r="CR7" i="1"/>
  <c r="DG103" i="9" l="1"/>
  <c r="DK102" i="9"/>
  <c r="DB102" i="9"/>
  <c r="DA103" i="9" s="1"/>
  <c r="DN102" i="9"/>
  <c r="DO102" i="9" s="1"/>
  <c r="DI102" i="9"/>
  <c r="CH104" i="9"/>
  <c r="CL103" i="9"/>
  <c r="CO103" i="9"/>
  <c r="CP103" i="9" s="1"/>
  <c r="CJ103" i="9"/>
  <c r="CC103" i="9"/>
  <c r="CB104" i="9" s="1"/>
  <c r="BP102" i="9"/>
  <c r="BQ102" i="9" s="1"/>
  <c r="BD102" i="9"/>
  <c r="BC103" i="9" s="1"/>
  <c r="BK102" i="9"/>
  <c r="BI104" i="9"/>
  <c r="BM104" i="9" s="1"/>
  <c r="AQ102" i="9"/>
  <c r="AR102" i="9" s="1"/>
  <c r="AE102" i="9"/>
  <c r="AD103" i="9" s="1"/>
  <c r="AL102" i="9"/>
  <c r="AJ103" i="9"/>
  <c r="AJ158" i="9" s="1"/>
  <c r="AN102" i="9"/>
  <c r="BC157" i="9"/>
  <c r="P317" i="9"/>
  <c r="P343" i="9" s="1"/>
  <c r="N11" i="5" s="1"/>
  <c r="P293" i="9"/>
  <c r="P327" i="9"/>
  <c r="K102" i="9"/>
  <c r="O101" i="9"/>
  <c r="Q241" i="9"/>
  <c r="CO157" i="9"/>
  <c r="Q254" i="9" s="1"/>
  <c r="Q192" i="9"/>
  <c r="AQ157" i="9"/>
  <c r="Q205" i="9" s="1"/>
  <c r="AN157" i="9"/>
  <c r="Q202" i="9" s="1"/>
  <c r="E157" i="9"/>
  <c r="M157" i="9" s="1"/>
  <c r="R90" i="9"/>
  <c r="S90" i="9" s="1"/>
  <c r="E91" i="9"/>
  <c r="F91" i="9" s="1"/>
  <c r="M90" i="9"/>
  <c r="HG50" i="7"/>
  <c r="HC51" i="7"/>
  <c r="HJ50" i="7"/>
  <c r="HK50" i="7" s="1"/>
  <c r="GX50" i="7"/>
  <c r="GW51" i="7" s="1"/>
  <c r="HE50" i="7"/>
  <c r="GK50" i="7"/>
  <c r="GL50" i="7" s="1"/>
  <c r="FY50" i="7"/>
  <c r="FX51" i="7" s="1"/>
  <c r="GF50" i="7"/>
  <c r="GD50" i="7"/>
  <c r="GH49" i="7"/>
  <c r="FL51" i="7"/>
  <c r="FM51" i="7" s="1"/>
  <c r="EZ51" i="7"/>
  <c r="EY52" i="7" s="1"/>
  <c r="FG51" i="7"/>
  <c r="FI50" i="7"/>
  <c r="FE51" i="7"/>
  <c r="EJ51" i="7"/>
  <c r="EF52" i="7"/>
  <c r="EM51" i="7"/>
  <c r="EN51" i="7" s="1"/>
  <c r="EA51" i="7"/>
  <c r="DZ52" i="7" s="1"/>
  <c r="EH51" i="7"/>
  <c r="DK50" i="7"/>
  <c r="DG51" i="7"/>
  <c r="DN51" i="7"/>
  <c r="DO51" i="7" s="1"/>
  <c r="DB51" i="7"/>
  <c r="DA52" i="7" s="1"/>
  <c r="DI51" i="7"/>
  <c r="CP41" i="8"/>
  <c r="CP42" i="8" s="1"/>
  <c r="DN46" i="8"/>
  <c r="DO46" i="8" s="1"/>
  <c r="DI46" i="8"/>
  <c r="DB46" i="8"/>
  <c r="DA47" i="8" s="1"/>
  <c r="AE42" i="8"/>
  <c r="AD43" i="8" s="1"/>
  <c r="AQ42" i="8"/>
  <c r="AR42" i="8" s="1"/>
  <c r="AL42" i="8"/>
  <c r="I291" i="8"/>
  <c r="I325" i="8"/>
  <c r="AJ150" i="8"/>
  <c r="AJ48" i="8"/>
  <c r="AN47" i="8"/>
  <c r="DG46" i="8"/>
  <c r="DK45" i="8"/>
  <c r="CH150" i="8"/>
  <c r="J247" i="8" s="1"/>
  <c r="DG150" i="8"/>
  <c r="J270" i="8" s="1"/>
  <c r="CH48" i="8"/>
  <c r="J192" i="8"/>
  <c r="AQ150" i="8"/>
  <c r="J205" i="8" s="1"/>
  <c r="CO42" i="8"/>
  <c r="CJ42" i="8"/>
  <c r="CC42" i="8"/>
  <c r="CB43" i="8" s="1"/>
  <c r="CL42" i="8"/>
  <c r="BC150" i="8"/>
  <c r="BP41" i="8"/>
  <c r="BQ41" i="8" s="1"/>
  <c r="BK41" i="8"/>
  <c r="BD41" i="8"/>
  <c r="BC42" i="8" s="1"/>
  <c r="BM46" i="8"/>
  <c r="BI47" i="8"/>
  <c r="K46" i="8"/>
  <c r="O45" i="8"/>
  <c r="E150" i="8"/>
  <c r="M41" i="8"/>
  <c r="R41" i="8"/>
  <c r="S41" i="8" s="1"/>
  <c r="F41" i="8"/>
  <c r="E42" i="8" s="1"/>
  <c r="AD27" i="7"/>
  <c r="AD148" i="7" s="1"/>
  <c r="AQ148" i="7" s="1"/>
  <c r="AE147" i="7"/>
  <c r="G193" i="7" s="1"/>
  <c r="BQ18" i="1"/>
  <c r="G247" i="7"/>
  <c r="S25" i="7"/>
  <c r="AR147" i="7"/>
  <c r="G206" i="7" s="1"/>
  <c r="CH28" i="7"/>
  <c r="CO25" i="7"/>
  <c r="CP25" i="7" s="1"/>
  <c r="CC25" i="7"/>
  <c r="CB26" i="7" s="1"/>
  <c r="CJ25" i="7"/>
  <c r="CL25" i="7"/>
  <c r="K28" i="7"/>
  <c r="O28" i="7" s="1"/>
  <c r="R26" i="7"/>
  <c r="F27" i="7"/>
  <c r="E28" i="7" s="1"/>
  <c r="M26" i="7"/>
  <c r="G175" i="7"/>
  <c r="G179" i="7"/>
  <c r="AJ147" i="7"/>
  <c r="AN147" i="7" s="1"/>
  <c r="AJ27" i="7"/>
  <c r="AN27" i="7" s="1"/>
  <c r="BP25" i="7"/>
  <c r="BQ25" i="7" s="1"/>
  <c r="BK25" i="7"/>
  <c r="BD25" i="7"/>
  <c r="BC26" i="7" s="1"/>
  <c r="BM25" i="7"/>
  <c r="BI29" i="7"/>
  <c r="BM29" i="7" s="1"/>
  <c r="AQ25" i="1"/>
  <c r="AR25" i="1" s="1"/>
  <c r="AL25" i="1"/>
  <c r="AE25" i="1"/>
  <c r="AD26" i="1" s="1"/>
  <c r="AN25" i="1"/>
  <c r="AJ26" i="1"/>
  <c r="AJ147" i="1" s="1"/>
  <c r="BP19" i="1"/>
  <c r="BQ19" i="1" s="1"/>
  <c r="BQ146" i="1" s="1"/>
  <c r="BK19" i="1"/>
  <c r="BD19" i="1"/>
  <c r="BM19" i="1"/>
  <c r="BM146" i="1" s="1"/>
  <c r="BI20" i="1"/>
  <c r="DK103" i="9" l="1"/>
  <c r="DG104" i="9"/>
  <c r="DN103" i="9"/>
  <c r="DO103" i="9" s="1"/>
  <c r="DB103" i="9"/>
  <c r="DA104" i="9" s="1"/>
  <c r="DI103" i="9"/>
  <c r="CO104" i="9"/>
  <c r="CP104" i="9" s="1"/>
  <c r="CC104" i="9"/>
  <c r="CB105" i="9" s="1"/>
  <c r="CJ104" i="9"/>
  <c r="CH105" i="9"/>
  <c r="CL104" i="9"/>
  <c r="BP103" i="9"/>
  <c r="BQ103" i="9" s="1"/>
  <c r="BD103" i="9"/>
  <c r="BC104" i="9" s="1"/>
  <c r="BK103" i="9"/>
  <c r="BI105" i="9"/>
  <c r="BM105" i="9" s="1"/>
  <c r="AQ103" i="9"/>
  <c r="AR103" i="9" s="1"/>
  <c r="AE103" i="9"/>
  <c r="AD104" i="9" s="1"/>
  <c r="AL103" i="9"/>
  <c r="AN103" i="9"/>
  <c r="AJ104" i="9"/>
  <c r="O102" i="9"/>
  <c r="K103" i="9"/>
  <c r="R198" i="9"/>
  <c r="P300" i="9"/>
  <c r="P328" i="9" s="1"/>
  <c r="P331" i="9"/>
  <c r="P302" i="9"/>
  <c r="P329" i="9" s="1"/>
  <c r="Q217" i="9"/>
  <c r="BP157" i="9"/>
  <c r="Q230" i="9" s="1"/>
  <c r="CH158" i="9"/>
  <c r="R247" i="9" s="1"/>
  <c r="CL158" i="9"/>
  <c r="R251" i="9" s="1"/>
  <c r="R91" i="9"/>
  <c r="S91" i="9" s="1"/>
  <c r="E92" i="9"/>
  <c r="F92" i="9" s="1"/>
  <c r="M91" i="9"/>
  <c r="BI158" i="9"/>
  <c r="R223" i="9" s="1"/>
  <c r="BM158" i="9"/>
  <c r="R227" i="9" s="1"/>
  <c r="Q169" i="9"/>
  <c r="R157" i="9"/>
  <c r="Q182" i="9" s="1"/>
  <c r="Q177" i="9"/>
  <c r="O157" i="9"/>
  <c r="Q179" i="9" s="1"/>
  <c r="HC52" i="7"/>
  <c r="HG51" i="7"/>
  <c r="HJ51" i="7"/>
  <c r="HK51" i="7" s="1"/>
  <c r="HE51" i="7"/>
  <c r="GX51" i="7"/>
  <c r="GW52" i="7" s="1"/>
  <c r="GH50" i="7"/>
  <c r="GD51" i="7"/>
  <c r="GF51" i="7"/>
  <c r="FY51" i="7"/>
  <c r="FX52" i="7" s="1"/>
  <c r="GK51" i="7"/>
  <c r="GL51" i="7" s="1"/>
  <c r="FL52" i="7"/>
  <c r="FM52" i="7" s="1"/>
  <c r="EZ52" i="7"/>
  <c r="EY53" i="7" s="1"/>
  <c r="FG52" i="7"/>
  <c r="FI51" i="7"/>
  <c r="FE52" i="7"/>
  <c r="EJ52" i="7"/>
  <c r="EF53" i="7"/>
  <c r="EA52" i="7"/>
  <c r="DZ53" i="7" s="1"/>
  <c r="EM52" i="7"/>
  <c r="EN52" i="7" s="1"/>
  <c r="EH52" i="7"/>
  <c r="DG52" i="7"/>
  <c r="DK51" i="7"/>
  <c r="DN52" i="7"/>
  <c r="DO52" i="7" s="1"/>
  <c r="DB52" i="7"/>
  <c r="DA53" i="7" s="1"/>
  <c r="DI52" i="7"/>
  <c r="DN47" i="8"/>
  <c r="DO47" i="8" s="1"/>
  <c r="DB47" i="8"/>
  <c r="DA48" i="8" s="1"/>
  <c r="DI47" i="8"/>
  <c r="J217" i="8"/>
  <c r="BP150" i="8"/>
  <c r="J230" i="8" s="1"/>
  <c r="CH49" i="8"/>
  <c r="AN48" i="8"/>
  <c r="AJ49" i="8"/>
  <c r="K47" i="8"/>
  <c r="O46" i="8"/>
  <c r="CO43" i="8"/>
  <c r="CP43" i="8" s="1"/>
  <c r="CJ43" i="8"/>
  <c r="CC43" i="8"/>
  <c r="CB44" i="8" s="1"/>
  <c r="CL43" i="8"/>
  <c r="DG47" i="8"/>
  <c r="DK46" i="8"/>
  <c r="AQ43" i="8"/>
  <c r="AR43" i="8" s="1"/>
  <c r="AE43" i="8"/>
  <c r="AD44" i="8" s="1"/>
  <c r="AL43" i="8"/>
  <c r="J169" i="8"/>
  <c r="R150" i="8"/>
  <c r="J182" i="8" s="1"/>
  <c r="M150" i="8"/>
  <c r="J177" i="8" s="1"/>
  <c r="BI150" i="8"/>
  <c r="J223" i="8" s="1"/>
  <c r="BI48" i="8"/>
  <c r="BM47" i="8"/>
  <c r="BM150" i="8" s="1"/>
  <c r="J227" i="8" s="1"/>
  <c r="R42" i="8"/>
  <c r="S42" i="8" s="1"/>
  <c r="F42" i="8"/>
  <c r="E43" i="8" s="1"/>
  <c r="M42" i="8"/>
  <c r="BP42" i="8"/>
  <c r="BQ42" i="8" s="1"/>
  <c r="BD42" i="8"/>
  <c r="BC43" i="8" s="1"/>
  <c r="BK42" i="8"/>
  <c r="J198" i="8"/>
  <c r="AN150" i="8"/>
  <c r="J202" i="8" s="1"/>
  <c r="G198" i="7"/>
  <c r="H192" i="7"/>
  <c r="AL27" i="7"/>
  <c r="AQ27" i="7"/>
  <c r="AR27" i="7" s="1"/>
  <c r="AE27" i="7"/>
  <c r="AD28" i="7" s="1"/>
  <c r="AE28" i="7" s="1"/>
  <c r="AD29" i="7" s="1"/>
  <c r="S26" i="7"/>
  <c r="S147" i="7" s="1"/>
  <c r="BP26" i="7"/>
  <c r="BQ26" i="7" s="1"/>
  <c r="BD26" i="7"/>
  <c r="BC27" i="7" s="1"/>
  <c r="BK26" i="7"/>
  <c r="BM26" i="7"/>
  <c r="BM147" i="7" s="1"/>
  <c r="G227" i="7" s="1"/>
  <c r="G202" i="7"/>
  <c r="BI30" i="7"/>
  <c r="BM30" i="7" s="1"/>
  <c r="K29" i="7"/>
  <c r="O29" i="7" s="1"/>
  <c r="F147" i="7"/>
  <c r="G170" i="7" s="1"/>
  <c r="CH29" i="7"/>
  <c r="AN147" i="1"/>
  <c r="G202" i="1" s="1"/>
  <c r="G198" i="1"/>
  <c r="AJ28" i="7"/>
  <c r="AN28" i="7" s="1"/>
  <c r="G390" i="7"/>
  <c r="CO26" i="7"/>
  <c r="CP26" i="7" s="1"/>
  <c r="CC26" i="7"/>
  <c r="CJ26" i="7"/>
  <c r="CL26" i="7"/>
  <c r="AQ26" i="1"/>
  <c r="AR26" i="1" s="1"/>
  <c r="AR147" i="1" s="1"/>
  <c r="G206" i="1" s="1"/>
  <c r="AE26" i="1"/>
  <c r="AD27" i="1" s="1"/>
  <c r="AL26" i="1"/>
  <c r="AJ27" i="1"/>
  <c r="AN26" i="1"/>
  <c r="BC20" i="1"/>
  <c r="BD20" i="1" s="1"/>
  <c r="BC21" i="1" s="1"/>
  <c r="BD146" i="1"/>
  <c r="F218" i="1" s="1"/>
  <c r="BI21" i="1"/>
  <c r="P344" i="9" l="1"/>
  <c r="N12" i="5" s="1"/>
  <c r="Q305" i="9"/>
  <c r="Q330" i="9" s="1"/>
  <c r="DK104" i="9"/>
  <c r="DG105" i="9"/>
  <c r="DB104" i="9"/>
  <c r="DA105" i="9" s="1"/>
  <c r="DI104" i="9"/>
  <c r="DN104" i="9"/>
  <c r="DO104" i="9" s="1"/>
  <c r="CJ105" i="9"/>
  <c r="CO105" i="9"/>
  <c r="CP105" i="9" s="1"/>
  <c r="CC105" i="9"/>
  <c r="CB106" i="9" s="1"/>
  <c r="CL105" i="9"/>
  <c r="CH106" i="9"/>
  <c r="BP104" i="9"/>
  <c r="BQ104" i="9" s="1"/>
  <c r="BD104" i="9"/>
  <c r="BC105" i="9" s="1"/>
  <c r="BK104" i="9"/>
  <c r="BI106" i="9"/>
  <c r="BM106" i="9" s="1"/>
  <c r="AQ104" i="9"/>
  <c r="AR104" i="9" s="1"/>
  <c r="AE104" i="9"/>
  <c r="AD105" i="9" s="1"/>
  <c r="AL104" i="9"/>
  <c r="AJ105" i="9"/>
  <c r="AN104" i="9"/>
  <c r="DG158" i="9"/>
  <c r="R271" i="9" s="1"/>
  <c r="DK158" i="9"/>
  <c r="R275" i="9" s="1"/>
  <c r="Q292" i="9"/>
  <c r="Q307" i="9" s="1"/>
  <c r="Q317" i="9"/>
  <c r="Q343" i="9" s="1"/>
  <c r="O11" i="5" s="1"/>
  <c r="R92" i="9"/>
  <c r="S92" i="9" s="1"/>
  <c r="E93" i="9"/>
  <c r="F93" i="9" s="1"/>
  <c r="M92" i="9"/>
  <c r="K158" i="9"/>
  <c r="K104" i="9"/>
  <c r="O103" i="9"/>
  <c r="DB147" i="7"/>
  <c r="GX147" i="7"/>
  <c r="G359" i="7" s="1"/>
  <c r="FY147" i="7"/>
  <c r="G336" i="7" s="1"/>
  <c r="EZ147" i="7"/>
  <c r="G313" i="7" s="1"/>
  <c r="EA147" i="7"/>
  <c r="DO147" i="7"/>
  <c r="G279" i="7" s="1"/>
  <c r="HK147" i="7"/>
  <c r="G372" i="7" s="1"/>
  <c r="GL147" i="7"/>
  <c r="G349" i="7" s="1"/>
  <c r="FM147" i="7"/>
  <c r="G326" i="7" s="1"/>
  <c r="EN147" i="7"/>
  <c r="G303" i="7" s="1"/>
  <c r="HG147" i="7"/>
  <c r="G368" i="7" s="1"/>
  <c r="GH147" i="7"/>
  <c r="G345" i="7" s="1"/>
  <c r="FI147" i="7"/>
  <c r="G322" i="7" s="1"/>
  <c r="EJ147" i="7"/>
  <c r="G299" i="7" s="1"/>
  <c r="HJ52" i="7"/>
  <c r="HK52" i="7" s="1"/>
  <c r="GX52" i="7"/>
  <c r="GW53" i="7" s="1"/>
  <c r="HE52" i="7"/>
  <c r="HG52" i="7"/>
  <c r="HC53" i="7"/>
  <c r="GK52" i="7"/>
  <c r="GL52" i="7" s="1"/>
  <c r="FY52" i="7"/>
  <c r="FX53" i="7" s="1"/>
  <c r="GF52" i="7"/>
  <c r="GH51" i="7"/>
  <c r="GD52" i="7"/>
  <c r="FL53" i="7"/>
  <c r="FM53" i="7" s="1"/>
  <c r="FG53" i="7"/>
  <c r="EZ53" i="7"/>
  <c r="EY54" i="7" s="1"/>
  <c r="FE53" i="7"/>
  <c r="FI52" i="7"/>
  <c r="EM53" i="7"/>
  <c r="EN53" i="7" s="1"/>
  <c r="EA53" i="7"/>
  <c r="DZ54" i="7" s="1"/>
  <c r="EH53" i="7"/>
  <c r="EJ53" i="7"/>
  <c r="EF54" i="7"/>
  <c r="DK52" i="7"/>
  <c r="DG53" i="7"/>
  <c r="DN53" i="7"/>
  <c r="DO53" i="7" s="1"/>
  <c r="DB53" i="7"/>
  <c r="DA54" i="7" s="1"/>
  <c r="DI53" i="7"/>
  <c r="CH50" i="8"/>
  <c r="AQ44" i="8"/>
  <c r="AR44" i="8" s="1"/>
  <c r="AE44" i="8"/>
  <c r="AD45" i="8" s="1"/>
  <c r="AL44" i="8"/>
  <c r="DN48" i="8"/>
  <c r="DO48" i="8" s="1"/>
  <c r="DI48" i="8"/>
  <c r="DB48" i="8"/>
  <c r="DA49" i="8" s="1"/>
  <c r="CO44" i="8"/>
  <c r="CP44" i="8" s="1"/>
  <c r="CC44" i="8"/>
  <c r="CB45" i="8" s="1"/>
  <c r="CJ44" i="8"/>
  <c r="CL44" i="8"/>
  <c r="DK47" i="8"/>
  <c r="DG48" i="8"/>
  <c r="AJ50" i="8"/>
  <c r="AN49" i="8"/>
  <c r="BP43" i="8"/>
  <c r="BQ43" i="8" s="1"/>
  <c r="BD43" i="8"/>
  <c r="BC44" i="8" s="1"/>
  <c r="BK43" i="8"/>
  <c r="R43" i="8"/>
  <c r="S43" i="8" s="1"/>
  <c r="F43" i="8"/>
  <c r="E44" i="8" s="1"/>
  <c r="M43" i="8"/>
  <c r="BI49" i="8"/>
  <c r="BM48" i="8"/>
  <c r="J290" i="8"/>
  <c r="J315" i="8"/>
  <c r="K150" i="8"/>
  <c r="O47" i="8"/>
  <c r="K48" i="8"/>
  <c r="AQ28" i="7"/>
  <c r="AR28" i="7" s="1"/>
  <c r="AL28" i="7"/>
  <c r="G183" i="7"/>
  <c r="G399" i="7" s="1"/>
  <c r="G423" i="7" s="1"/>
  <c r="G184" i="7"/>
  <c r="CL147" i="7"/>
  <c r="DK147" i="7"/>
  <c r="G275" i="7" s="1"/>
  <c r="CP147" i="7"/>
  <c r="CH30" i="7"/>
  <c r="K30" i="7"/>
  <c r="O30" i="7" s="1"/>
  <c r="BQ147" i="7"/>
  <c r="G231" i="7" s="1"/>
  <c r="CC147" i="7"/>
  <c r="CB27" i="7"/>
  <c r="AJ29" i="7"/>
  <c r="AN29" i="7" s="1"/>
  <c r="M27" i="7"/>
  <c r="F28" i="7"/>
  <c r="AL29" i="7"/>
  <c r="AQ29" i="7"/>
  <c r="AE29" i="7"/>
  <c r="AD30" i="7" s="1"/>
  <c r="BI31" i="7"/>
  <c r="BM31" i="7" s="1"/>
  <c r="BD147" i="7"/>
  <c r="G426" i="7"/>
  <c r="E34" i="5" s="1"/>
  <c r="G394" i="7"/>
  <c r="G421" i="7" s="1"/>
  <c r="AQ27" i="1"/>
  <c r="AE27" i="1"/>
  <c r="AD28" i="1" s="1"/>
  <c r="AL27" i="1"/>
  <c r="AJ28" i="1"/>
  <c r="AN27" i="1"/>
  <c r="BM20" i="1"/>
  <c r="BP21" i="1"/>
  <c r="BK21" i="1"/>
  <c r="BP20" i="1"/>
  <c r="BQ20" i="1" s="1"/>
  <c r="BC147" i="1"/>
  <c r="G217" i="1" s="1"/>
  <c r="BK20" i="1"/>
  <c r="BD21" i="1"/>
  <c r="BC22" i="1" s="1"/>
  <c r="BM21" i="1"/>
  <c r="BI22" i="1"/>
  <c r="DG106" i="9" l="1"/>
  <c r="DK105" i="9"/>
  <c r="DN105" i="9"/>
  <c r="DO105" i="9" s="1"/>
  <c r="DB105" i="9"/>
  <c r="DA106" i="9" s="1"/>
  <c r="DI105" i="9"/>
  <c r="CO106" i="9"/>
  <c r="CP106" i="9" s="1"/>
  <c r="CC106" i="9"/>
  <c r="CB107" i="9" s="1"/>
  <c r="CJ106" i="9"/>
  <c r="CL106" i="9"/>
  <c r="CH107" i="9"/>
  <c r="BP105" i="9"/>
  <c r="BQ105" i="9" s="1"/>
  <c r="BK105" i="9"/>
  <c r="BD105" i="9"/>
  <c r="BC106" i="9" s="1"/>
  <c r="BI107" i="9"/>
  <c r="BM107" i="9" s="1"/>
  <c r="AQ105" i="9"/>
  <c r="AR105" i="9" s="1"/>
  <c r="AE105" i="9"/>
  <c r="AD106" i="9" s="1"/>
  <c r="AL105" i="9"/>
  <c r="AN105" i="9"/>
  <c r="AJ106" i="9"/>
  <c r="R175" i="9"/>
  <c r="R298" i="9" s="1"/>
  <c r="R93" i="9"/>
  <c r="S93" i="9" s="1"/>
  <c r="E94" i="9"/>
  <c r="F94" i="9" s="1"/>
  <c r="M93" i="9"/>
  <c r="O104" i="9"/>
  <c r="K105" i="9"/>
  <c r="Q300" i="9"/>
  <c r="Q328" i="9" s="1"/>
  <c r="Q331" i="9"/>
  <c r="Q302" i="9"/>
  <c r="Q329" i="9" s="1"/>
  <c r="G290" i="7"/>
  <c r="G266" i="7"/>
  <c r="G251" i="7"/>
  <c r="DA148" i="7"/>
  <c r="H265" i="7" s="1"/>
  <c r="GW148" i="7"/>
  <c r="H358" i="7" s="1"/>
  <c r="FX148" i="7"/>
  <c r="H335" i="7" s="1"/>
  <c r="EY148" i="7"/>
  <c r="H312" i="7" s="1"/>
  <c r="DZ148" i="7"/>
  <c r="H289" i="7" s="1"/>
  <c r="HE53" i="7"/>
  <c r="HJ53" i="7"/>
  <c r="HK53" i="7" s="1"/>
  <c r="GX53" i="7"/>
  <c r="GW54" i="7" s="1"/>
  <c r="HG53" i="7"/>
  <c r="HC54" i="7"/>
  <c r="GH52" i="7"/>
  <c r="GD53" i="7"/>
  <c r="GK53" i="7"/>
  <c r="GL53" i="7" s="1"/>
  <c r="FY53" i="7"/>
  <c r="FX54" i="7" s="1"/>
  <c r="GF53" i="7"/>
  <c r="FG54" i="7"/>
  <c r="EZ54" i="7"/>
  <c r="EY55" i="7" s="1"/>
  <c r="FL54" i="7"/>
  <c r="FM54" i="7" s="1"/>
  <c r="FE54" i="7"/>
  <c r="FI53" i="7"/>
  <c r="EM54" i="7"/>
  <c r="EN54" i="7" s="1"/>
  <c r="EA54" i="7"/>
  <c r="DZ55" i="7" s="1"/>
  <c r="EH54" i="7"/>
  <c r="EF55" i="7"/>
  <c r="EJ54" i="7"/>
  <c r="DK53" i="7"/>
  <c r="DG54" i="7"/>
  <c r="DN54" i="7"/>
  <c r="DO54" i="7" s="1"/>
  <c r="DB54" i="7"/>
  <c r="DA55" i="7" s="1"/>
  <c r="DI54" i="7"/>
  <c r="CP45" i="8"/>
  <c r="J298" i="8"/>
  <c r="J326" i="8" s="1"/>
  <c r="J305" i="8"/>
  <c r="J329" i="8" s="1"/>
  <c r="F44" i="8"/>
  <c r="E45" i="8" s="1"/>
  <c r="R44" i="8"/>
  <c r="S44" i="8" s="1"/>
  <c r="M44" i="8"/>
  <c r="CO45" i="8"/>
  <c r="CJ45" i="8"/>
  <c r="CC45" i="8"/>
  <c r="CB46" i="8" s="1"/>
  <c r="CL45" i="8"/>
  <c r="CH51" i="8"/>
  <c r="O48" i="8"/>
  <c r="K49" i="8"/>
  <c r="J175" i="8"/>
  <c r="J296" i="8" s="1"/>
  <c r="O150" i="8"/>
  <c r="J179" i="8" s="1"/>
  <c r="BM49" i="8"/>
  <c r="BI50" i="8"/>
  <c r="AN50" i="8"/>
  <c r="AJ51" i="8"/>
  <c r="BP44" i="8"/>
  <c r="BQ44" i="8" s="1"/>
  <c r="BK44" i="8"/>
  <c r="BD44" i="8"/>
  <c r="BC45" i="8" s="1"/>
  <c r="DG49" i="8"/>
  <c r="DK48" i="8"/>
  <c r="DN49" i="8"/>
  <c r="DO49" i="8" s="1"/>
  <c r="DB49" i="8"/>
  <c r="DA50" i="8" s="1"/>
  <c r="DI49" i="8"/>
  <c r="AQ45" i="8"/>
  <c r="AR45" i="8" s="1"/>
  <c r="AL45" i="8"/>
  <c r="AE45" i="8"/>
  <c r="AD46" i="8" s="1"/>
  <c r="AR29" i="7"/>
  <c r="G255" i="7"/>
  <c r="G242" i="7"/>
  <c r="G218" i="7"/>
  <c r="AL30" i="7"/>
  <c r="AQ30" i="7"/>
  <c r="AR30" i="7" s="1"/>
  <c r="AE30" i="7"/>
  <c r="AD31" i="7" s="1"/>
  <c r="R28" i="7"/>
  <c r="M28" i="7"/>
  <c r="E29" i="7"/>
  <c r="F29" i="7" s="1"/>
  <c r="E30" i="7" s="1"/>
  <c r="CH31" i="7"/>
  <c r="AJ30" i="7"/>
  <c r="AN30" i="7" s="1"/>
  <c r="BI32" i="7"/>
  <c r="BM32" i="7" s="1"/>
  <c r="S27" i="7"/>
  <c r="CB148" i="7"/>
  <c r="CJ27" i="7"/>
  <c r="CO27" i="7"/>
  <c r="CC27" i="7"/>
  <c r="CB28" i="7" s="1"/>
  <c r="CL27" i="7"/>
  <c r="BP27" i="7"/>
  <c r="BK27" i="7"/>
  <c r="BD27" i="7"/>
  <c r="BC28" i="7" s="1"/>
  <c r="K31" i="7"/>
  <c r="O31" i="7" s="1"/>
  <c r="AR27" i="1"/>
  <c r="AQ28" i="1"/>
  <c r="AE28" i="1"/>
  <c r="AL28" i="1"/>
  <c r="AN28" i="1"/>
  <c r="AJ29" i="1"/>
  <c r="AJ30" i="1" s="1"/>
  <c r="AJ31" i="1" s="1"/>
  <c r="AJ32" i="1" s="1"/>
  <c r="AJ33" i="1" s="1"/>
  <c r="BQ21" i="1"/>
  <c r="BP22" i="1"/>
  <c r="BK22" i="1"/>
  <c r="BI23" i="1"/>
  <c r="BM22" i="1"/>
  <c r="BD22" i="1"/>
  <c r="BC23" i="1" s="1"/>
  <c r="CU126" i="1"/>
  <c r="CU127" i="1" s="1"/>
  <c r="CU128" i="1" s="1"/>
  <c r="CU129" i="1" s="1"/>
  <c r="CU130" i="1" s="1"/>
  <c r="CU131" i="1" s="1"/>
  <c r="CU162" i="1" s="1"/>
  <c r="V260" i="1" s="1"/>
  <c r="CR126" i="1"/>
  <c r="CR127" i="1" s="1"/>
  <c r="CR128" i="1" s="1"/>
  <c r="CR129" i="1" s="1"/>
  <c r="CR130" i="1" s="1"/>
  <c r="CR131" i="1" s="1"/>
  <c r="CR162" i="1" s="1"/>
  <c r="V257" i="1" s="1"/>
  <c r="CU119" i="1"/>
  <c r="CU120" i="1" s="1"/>
  <c r="CU121" i="1" s="1"/>
  <c r="CU122" i="1" s="1"/>
  <c r="CU123" i="1" s="1"/>
  <c r="CU124" i="1" s="1"/>
  <c r="CU161" i="1" s="1"/>
  <c r="U260" i="1" s="1"/>
  <c r="CR119" i="1"/>
  <c r="CR120" i="1" s="1"/>
  <c r="CR121" i="1" s="1"/>
  <c r="CR122" i="1" s="1"/>
  <c r="CR123" i="1" s="1"/>
  <c r="CR124" i="1" s="1"/>
  <c r="CR161" i="1" s="1"/>
  <c r="U257" i="1" s="1"/>
  <c r="CU112" i="1"/>
  <c r="CU113" i="1" s="1"/>
  <c r="CU114" i="1" s="1"/>
  <c r="CU115" i="1" s="1"/>
  <c r="CU116" i="1" s="1"/>
  <c r="CU117" i="1" s="1"/>
  <c r="CU160" i="1" s="1"/>
  <c r="T260" i="1" s="1"/>
  <c r="CR112" i="1"/>
  <c r="CR113" i="1" s="1"/>
  <c r="CR114" i="1" s="1"/>
  <c r="CR115" i="1" s="1"/>
  <c r="CR116" i="1" s="1"/>
  <c r="CR117" i="1" s="1"/>
  <c r="CR160" i="1" s="1"/>
  <c r="T257" i="1" s="1"/>
  <c r="CU105" i="1"/>
  <c r="CU106" i="1" s="1"/>
  <c r="CU107" i="1" s="1"/>
  <c r="CU108" i="1" s="1"/>
  <c r="CU109" i="1" s="1"/>
  <c r="CU110" i="1" s="1"/>
  <c r="CU159" i="1" s="1"/>
  <c r="S260" i="1" s="1"/>
  <c r="CR105" i="1"/>
  <c r="CR106" i="1" s="1"/>
  <c r="CR107" i="1" s="1"/>
  <c r="CR108" i="1" s="1"/>
  <c r="CR109" i="1" s="1"/>
  <c r="CR110" i="1" s="1"/>
  <c r="CR159" i="1" s="1"/>
  <c r="S257" i="1" s="1"/>
  <c r="CU98" i="1"/>
  <c r="CU99" i="1" s="1"/>
  <c r="CU100" i="1" s="1"/>
  <c r="CU101" i="1" s="1"/>
  <c r="CU102" i="1" s="1"/>
  <c r="CU103" i="1" s="1"/>
  <c r="CU158" i="1" s="1"/>
  <c r="R260" i="1" s="1"/>
  <c r="CR98" i="1"/>
  <c r="CR99" i="1" s="1"/>
  <c r="CR100" i="1" s="1"/>
  <c r="CR101" i="1" s="1"/>
  <c r="CR102" i="1" s="1"/>
  <c r="CR103" i="1" s="1"/>
  <c r="CR158" i="1" s="1"/>
  <c r="R257" i="1" s="1"/>
  <c r="CU91" i="1"/>
  <c r="CU92" i="1" s="1"/>
  <c r="CU93" i="1" s="1"/>
  <c r="CU94" i="1" s="1"/>
  <c r="CU95" i="1" s="1"/>
  <c r="CU96" i="1" s="1"/>
  <c r="CU157" i="1" s="1"/>
  <c r="Q260" i="1" s="1"/>
  <c r="CR91" i="1"/>
  <c r="CR92" i="1" s="1"/>
  <c r="CR93" i="1" s="1"/>
  <c r="CR94" i="1" s="1"/>
  <c r="CR95" i="1" s="1"/>
  <c r="CR96" i="1" s="1"/>
  <c r="CR157" i="1" s="1"/>
  <c r="Q257" i="1" s="1"/>
  <c r="CU84" i="1"/>
  <c r="CU85" i="1" s="1"/>
  <c r="CU86" i="1" s="1"/>
  <c r="CU87" i="1" s="1"/>
  <c r="CU88" i="1" s="1"/>
  <c r="CU89" i="1" s="1"/>
  <c r="CU156" i="1" s="1"/>
  <c r="P260" i="1" s="1"/>
  <c r="CR84" i="1"/>
  <c r="CR85" i="1" s="1"/>
  <c r="CR86" i="1" s="1"/>
  <c r="CR87" i="1" s="1"/>
  <c r="CR88" i="1" s="1"/>
  <c r="CR89" i="1" s="1"/>
  <c r="CR156" i="1" s="1"/>
  <c r="P257" i="1" s="1"/>
  <c r="CU77" i="1"/>
  <c r="CU78" i="1" s="1"/>
  <c r="CU79" i="1" s="1"/>
  <c r="CU80" i="1" s="1"/>
  <c r="CU81" i="1" s="1"/>
  <c r="CU82" i="1" s="1"/>
  <c r="CU155" i="1" s="1"/>
  <c r="O260" i="1" s="1"/>
  <c r="CR77" i="1"/>
  <c r="CR78" i="1" s="1"/>
  <c r="CR79" i="1" s="1"/>
  <c r="CR80" i="1" s="1"/>
  <c r="CR81" i="1" s="1"/>
  <c r="CR82" i="1" s="1"/>
  <c r="CR155" i="1" s="1"/>
  <c r="O257" i="1" s="1"/>
  <c r="CU70" i="1"/>
  <c r="CU71" i="1" s="1"/>
  <c r="CU72" i="1" s="1"/>
  <c r="CU73" i="1" s="1"/>
  <c r="CU74" i="1" s="1"/>
  <c r="CU75" i="1" s="1"/>
  <c r="CU154" i="1" s="1"/>
  <c r="N260" i="1" s="1"/>
  <c r="CR70" i="1"/>
  <c r="CR71" i="1" s="1"/>
  <c r="CR72" i="1" s="1"/>
  <c r="CR73" i="1" s="1"/>
  <c r="CR74" i="1" s="1"/>
  <c r="CR75" i="1" s="1"/>
  <c r="CR154" i="1" s="1"/>
  <c r="N257" i="1" s="1"/>
  <c r="CU63" i="1"/>
  <c r="CU64" i="1" s="1"/>
  <c r="CU65" i="1" s="1"/>
  <c r="CU66" i="1" s="1"/>
  <c r="CU67" i="1" s="1"/>
  <c r="CU68" i="1" s="1"/>
  <c r="CU153" i="1" s="1"/>
  <c r="M260" i="1" s="1"/>
  <c r="CR63" i="1"/>
  <c r="CR64" i="1" s="1"/>
  <c r="CR65" i="1" s="1"/>
  <c r="CR66" i="1" s="1"/>
  <c r="CR67" i="1" s="1"/>
  <c r="CR68" i="1" s="1"/>
  <c r="CR153" i="1" s="1"/>
  <c r="M257" i="1" s="1"/>
  <c r="CU56" i="1"/>
  <c r="CU57" i="1" s="1"/>
  <c r="CU58" i="1" s="1"/>
  <c r="CU59" i="1" s="1"/>
  <c r="CU60" i="1" s="1"/>
  <c r="CU61" i="1" s="1"/>
  <c r="CU152" i="1" s="1"/>
  <c r="L260" i="1" s="1"/>
  <c r="CR56" i="1"/>
  <c r="CR57" i="1" s="1"/>
  <c r="CR58" i="1" s="1"/>
  <c r="CR59" i="1" s="1"/>
  <c r="CR60" i="1" s="1"/>
  <c r="CR61" i="1" s="1"/>
  <c r="CR152" i="1" s="1"/>
  <c r="L257" i="1" s="1"/>
  <c r="CU49" i="1"/>
  <c r="CU50" i="1" s="1"/>
  <c r="CU51" i="1" s="1"/>
  <c r="CU52" i="1" s="1"/>
  <c r="CU53" i="1" s="1"/>
  <c r="CU54" i="1" s="1"/>
  <c r="CU151" i="1" s="1"/>
  <c r="K260" i="1" s="1"/>
  <c r="CR49" i="1"/>
  <c r="CR50" i="1" s="1"/>
  <c r="CR51" i="1" s="1"/>
  <c r="CR52" i="1" s="1"/>
  <c r="CR53" i="1" s="1"/>
  <c r="CR54" i="1" s="1"/>
  <c r="CR151" i="1" s="1"/>
  <c r="K257" i="1" s="1"/>
  <c r="CU42" i="1"/>
  <c r="CU43" i="1" s="1"/>
  <c r="CU44" i="1" s="1"/>
  <c r="CU45" i="1" s="1"/>
  <c r="CU46" i="1" s="1"/>
  <c r="CU47" i="1" s="1"/>
  <c r="CU150" i="1" s="1"/>
  <c r="J260" i="1" s="1"/>
  <c r="CR42" i="1"/>
  <c r="CR43" i="1" s="1"/>
  <c r="CR44" i="1" s="1"/>
  <c r="CR45" i="1" s="1"/>
  <c r="CR46" i="1" s="1"/>
  <c r="CR47" i="1" s="1"/>
  <c r="CR150" i="1" s="1"/>
  <c r="J257" i="1" s="1"/>
  <c r="CU35" i="1"/>
  <c r="CU36" i="1" s="1"/>
  <c r="CU37" i="1" s="1"/>
  <c r="CU38" i="1" s="1"/>
  <c r="CU39" i="1" s="1"/>
  <c r="CU40" i="1" s="1"/>
  <c r="CU149" i="1" s="1"/>
  <c r="I260" i="1" s="1"/>
  <c r="CR35" i="1"/>
  <c r="CR36" i="1" s="1"/>
  <c r="CR37" i="1" s="1"/>
  <c r="CR38" i="1" s="1"/>
  <c r="CR39" i="1" s="1"/>
  <c r="CR40" i="1" s="1"/>
  <c r="CR149" i="1" s="1"/>
  <c r="I257" i="1" s="1"/>
  <c r="CU28" i="1"/>
  <c r="CU29" i="1" s="1"/>
  <c r="CU30" i="1" s="1"/>
  <c r="CU31" i="1" s="1"/>
  <c r="CU32" i="1" s="1"/>
  <c r="CU33" i="1" s="1"/>
  <c r="CU148" i="1" s="1"/>
  <c r="H260" i="1" s="1"/>
  <c r="CR28" i="1"/>
  <c r="CR29" i="1" s="1"/>
  <c r="CR30" i="1" s="1"/>
  <c r="CR31" i="1" s="1"/>
  <c r="CR32" i="1" s="1"/>
  <c r="CR33" i="1" s="1"/>
  <c r="CR148" i="1" s="1"/>
  <c r="H257" i="1" s="1"/>
  <c r="CU21" i="1"/>
  <c r="CU22" i="1" s="1"/>
  <c r="CU23" i="1" s="1"/>
  <c r="CU24" i="1" s="1"/>
  <c r="CU25" i="1" s="1"/>
  <c r="CU26" i="1" s="1"/>
  <c r="CU147" i="1" s="1"/>
  <c r="G260" i="1" s="1"/>
  <c r="CR21" i="1"/>
  <c r="CR22" i="1" s="1"/>
  <c r="CR23" i="1" s="1"/>
  <c r="CR24" i="1" s="1"/>
  <c r="CR25" i="1" s="1"/>
  <c r="CR26" i="1" s="1"/>
  <c r="CR147" i="1" s="1"/>
  <c r="G257" i="1" s="1"/>
  <c r="CU14" i="1"/>
  <c r="CU15" i="1" s="1"/>
  <c r="CU16" i="1" s="1"/>
  <c r="CU17" i="1" s="1"/>
  <c r="CU18" i="1" s="1"/>
  <c r="CU19" i="1" s="1"/>
  <c r="CU146" i="1" s="1"/>
  <c r="F260" i="1" s="1"/>
  <c r="CR14" i="1"/>
  <c r="CR15" i="1" s="1"/>
  <c r="CR16" i="1" s="1"/>
  <c r="CR17" i="1" s="1"/>
  <c r="CR18" i="1" s="1"/>
  <c r="CR19" i="1" s="1"/>
  <c r="CR146" i="1" s="1"/>
  <c r="F257" i="1" s="1"/>
  <c r="CU8" i="1"/>
  <c r="CU9" i="1" s="1"/>
  <c r="CU10" i="1" s="1"/>
  <c r="CU11" i="1" s="1"/>
  <c r="CU12" i="1" s="1"/>
  <c r="CU145" i="1" s="1"/>
  <c r="E260" i="1" s="1"/>
  <c r="CR8" i="1"/>
  <c r="CR9" i="1" s="1"/>
  <c r="CR10" i="1" s="1"/>
  <c r="CR11" i="1" s="1"/>
  <c r="CR12" i="1" s="1"/>
  <c r="CR145" i="1" s="1"/>
  <c r="BY126" i="1"/>
  <c r="BY127" i="1" s="1"/>
  <c r="BY128" i="1" s="1"/>
  <c r="BY129" i="1" s="1"/>
  <c r="BY130" i="1" s="1"/>
  <c r="BY131" i="1" s="1"/>
  <c r="BY119" i="1"/>
  <c r="BY120" i="1" s="1"/>
  <c r="BY121" i="1" s="1"/>
  <c r="BY123" i="1" s="1"/>
  <c r="BY124" i="1" s="1"/>
  <c r="BY112" i="1"/>
  <c r="BY113" i="1" s="1"/>
  <c r="BY114" i="1" s="1"/>
  <c r="BY115" i="1" s="1"/>
  <c r="BY116" i="1" s="1"/>
  <c r="BY117" i="1" s="1"/>
  <c r="BY106" i="1"/>
  <c r="BY107" i="1" s="1"/>
  <c r="BY108" i="1" s="1"/>
  <c r="BY109" i="1" s="1"/>
  <c r="BY110" i="1" s="1"/>
  <c r="BY98" i="1"/>
  <c r="BY99" i="1" s="1"/>
  <c r="BY100" i="1" s="1"/>
  <c r="BY101" i="1" s="1"/>
  <c r="BY102" i="1" s="1"/>
  <c r="BY103" i="1" s="1"/>
  <c r="BY92" i="1"/>
  <c r="BY93" i="1" s="1"/>
  <c r="BY94" i="1" s="1"/>
  <c r="BY95" i="1" s="1"/>
  <c r="BY96" i="1" s="1"/>
  <c r="BY84" i="1"/>
  <c r="BY85" i="1" s="1"/>
  <c r="BY86" i="1" s="1"/>
  <c r="BY87" i="1" s="1"/>
  <c r="BY88" i="1" s="1"/>
  <c r="BY89" i="1" s="1"/>
  <c r="BY77" i="1"/>
  <c r="BY78" i="1" s="1"/>
  <c r="BY79" i="1" s="1"/>
  <c r="BY80" i="1" s="1"/>
  <c r="BY81" i="1" s="1"/>
  <c r="BY82" i="1" s="1"/>
  <c r="BY70" i="1"/>
  <c r="BY71" i="1" s="1"/>
  <c r="BY72" i="1" s="1"/>
  <c r="BY73" i="1" s="1"/>
  <c r="BY74" i="1" s="1"/>
  <c r="BY75" i="1" s="1"/>
  <c r="BY63" i="1"/>
  <c r="BY64" i="1" s="1"/>
  <c r="BY65" i="1" s="1"/>
  <c r="BY66" i="1" s="1"/>
  <c r="BY67" i="1" s="1"/>
  <c r="BY68" i="1" s="1"/>
  <c r="BY56" i="1"/>
  <c r="BY57" i="1" s="1"/>
  <c r="BY58" i="1" s="1"/>
  <c r="BY59" i="1" s="1"/>
  <c r="BY61" i="1" s="1"/>
  <c r="BY49" i="1"/>
  <c r="BY50" i="1" s="1"/>
  <c r="BY51" i="1" s="1"/>
  <c r="BY52" i="1" s="1"/>
  <c r="BY53" i="1" s="1"/>
  <c r="BY54" i="1" s="1"/>
  <c r="BY46" i="1"/>
  <c r="BY47" i="1" s="1"/>
  <c r="D375" i="4"/>
  <c r="D374" i="4"/>
  <c r="E374" i="4" s="1"/>
  <c r="DG107" i="9" l="1"/>
  <c r="DK106" i="9"/>
  <c r="DB106" i="9"/>
  <c r="DA107" i="9" s="1"/>
  <c r="DI106" i="9"/>
  <c r="DN106" i="9"/>
  <c r="DO106" i="9" s="1"/>
  <c r="CO107" i="9"/>
  <c r="CP107" i="9" s="1"/>
  <c r="CJ107" i="9"/>
  <c r="CC107" i="9"/>
  <c r="CB108" i="9" s="1"/>
  <c r="CH108" i="9"/>
  <c r="CL107" i="9"/>
  <c r="BP106" i="9"/>
  <c r="BQ106" i="9" s="1"/>
  <c r="BD106" i="9"/>
  <c r="BC107" i="9" s="1"/>
  <c r="BK106" i="9"/>
  <c r="BI108" i="9"/>
  <c r="BM108" i="9" s="1"/>
  <c r="AQ106" i="9"/>
  <c r="AR106" i="9" s="1"/>
  <c r="AE106" i="9"/>
  <c r="AD107" i="9" s="1"/>
  <c r="AL106" i="9"/>
  <c r="AN106" i="9"/>
  <c r="AJ107" i="9"/>
  <c r="DO158" i="9"/>
  <c r="R279" i="9" s="1"/>
  <c r="R334" i="9"/>
  <c r="K106" i="9"/>
  <c r="O105" i="9"/>
  <c r="R94" i="9"/>
  <c r="S94" i="9" s="1"/>
  <c r="E95" i="9"/>
  <c r="F95" i="9" s="1"/>
  <c r="M94" i="9"/>
  <c r="DB158" i="9"/>
  <c r="HJ54" i="7"/>
  <c r="HK54" i="7" s="1"/>
  <c r="GX54" i="7"/>
  <c r="GW55" i="7" s="1"/>
  <c r="HE54" i="7"/>
  <c r="HC55" i="7"/>
  <c r="HG54" i="7"/>
  <c r="GD54" i="7"/>
  <c r="GH53" i="7"/>
  <c r="GK54" i="7"/>
  <c r="GL54" i="7" s="1"/>
  <c r="FY54" i="7"/>
  <c r="FX55" i="7" s="1"/>
  <c r="GF54" i="7"/>
  <c r="FL55" i="7"/>
  <c r="FM55" i="7" s="1"/>
  <c r="FG55" i="7"/>
  <c r="EZ55" i="7"/>
  <c r="EY56" i="7" s="1"/>
  <c r="FI54" i="7"/>
  <c r="FE55" i="7"/>
  <c r="EN55" i="7"/>
  <c r="EF56" i="7"/>
  <c r="EJ55" i="7"/>
  <c r="EM55" i="7"/>
  <c r="EA55" i="7"/>
  <c r="DZ56" i="7" s="1"/>
  <c r="EH55" i="7"/>
  <c r="DG55" i="7"/>
  <c r="DK54" i="7"/>
  <c r="DB55" i="7"/>
  <c r="DA56" i="7" s="1"/>
  <c r="DI55" i="7"/>
  <c r="DN55" i="7"/>
  <c r="DO55" i="7" s="1"/>
  <c r="R45" i="8"/>
  <c r="S45" i="8" s="1"/>
  <c r="F45" i="8"/>
  <c r="E46" i="8" s="1"/>
  <c r="M45" i="8"/>
  <c r="J332" i="8"/>
  <c r="J300" i="8"/>
  <c r="J327" i="8" s="1"/>
  <c r="AN51" i="8"/>
  <c r="AJ52" i="8"/>
  <c r="CH52" i="8"/>
  <c r="AQ46" i="8"/>
  <c r="AR46" i="8" s="1"/>
  <c r="AE46" i="8"/>
  <c r="AD47" i="8" s="1"/>
  <c r="AL46" i="8"/>
  <c r="DN50" i="8"/>
  <c r="DO50" i="8" s="1"/>
  <c r="DI50" i="8"/>
  <c r="DB50" i="8"/>
  <c r="DA51" i="8" s="1"/>
  <c r="BP45" i="8"/>
  <c r="BQ45" i="8" s="1"/>
  <c r="BD45" i="8"/>
  <c r="BC46" i="8" s="1"/>
  <c r="BK45" i="8"/>
  <c r="BM50" i="8"/>
  <c r="BI51" i="8"/>
  <c r="O49" i="8"/>
  <c r="K50" i="8"/>
  <c r="DK49" i="8"/>
  <c r="DG50" i="8"/>
  <c r="G385" i="7"/>
  <c r="CO46" i="8"/>
  <c r="CP46" i="8" s="1"/>
  <c r="CC46" i="8"/>
  <c r="CB47" i="8" s="1"/>
  <c r="CJ46" i="8"/>
  <c r="CL46" i="8"/>
  <c r="G419" i="7"/>
  <c r="AJ148" i="1"/>
  <c r="AN148" i="1" s="1"/>
  <c r="AJ34" i="1"/>
  <c r="AJ35" i="1" s="1"/>
  <c r="AJ36" i="1" s="1"/>
  <c r="AJ37" i="1" s="1"/>
  <c r="H241" i="7"/>
  <c r="S28" i="7"/>
  <c r="AQ31" i="7"/>
  <c r="AR31" i="7" s="1"/>
  <c r="AE31" i="7"/>
  <c r="AD32" i="7" s="1"/>
  <c r="AL31" i="7"/>
  <c r="K32" i="7"/>
  <c r="O32" i="7" s="1"/>
  <c r="BP28" i="7"/>
  <c r="BD28" i="7"/>
  <c r="BC29" i="7" s="1"/>
  <c r="BK28" i="7"/>
  <c r="CO28" i="7"/>
  <c r="CC28" i="7"/>
  <c r="CB29" i="7" s="1"/>
  <c r="CJ28" i="7"/>
  <c r="CL28" i="7"/>
  <c r="AJ31" i="7"/>
  <c r="AN31" i="7" s="1"/>
  <c r="R29" i="7"/>
  <c r="M29" i="7"/>
  <c r="CP27" i="7"/>
  <c r="BQ27" i="7"/>
  <c r="BI33" i="7"/>
  <c r="BM33" i="7" s="1"/>
  <c r="CH32" i="7"/>
  <c r="BQ22" i="1"/>
  <c r="AR28" i="1"/>
  <c r="AQ29" i="1"/>
  <c r="AL29" i="1"/>
  <c r="AN29" i="1"/>
  <c r="CS145" i="1"/>
  <c r="E258" i="1" s="1"/>
  <c r="E257" i="1"/>
  <c r="BP23" i="1"/>
  <c r="BQ23" i="1" s="1"/>
  <c r="BK23" i="1"/>
  <c r="BI24" i="1"/>
  <c r="BM23" i="1"/>
  <c r="BD23" i="1"/>
  <c r="BC24" i="1" s="1"/>
  <c r="E375" i="4"/>
  <c r="DK107" i="9" l="1"/>
  <c r="DG108" i="9"/>
  <c r="DN107" i="9"/>
  <c r="DO107" i="9" s="1"/>
  <c r="DB107" i="9"/>
  <c r="DA108" i="9" s="1"/>
  <c r="DI107" i="9"/>
  <c r="CO108" i="9"/>
  <c r="CP108" i="9" s="1"/>
  <c r="CC108" i="9"/>
  <c r="CB109" i="9" s="1"/>
  <c r="CJ108" i="9"/>
  <c r="CL108" i="9"/>
  <c r="CH109" i="9"/>
  <c r="BD107" i="9"/>
  <c r="BC108" i="9" s="1"/>
  <c r="BK107" i="9"/>
  <c r="BP107" i="9"/>
  <c r="BQ107" i="9" s="1"/>
  <c r="BI109" i="9"/>
  <c r="BM109" i="9" s="1"/>
  <c r="AQ107" i="9"/>
  <c r="AR107" i="9" s="1"/>
  <c r="AE107" i="9"/>
  <c r="AD108" i="9" s="1"/>
  <c r="AL107" i="9"/>
  <c r="AJ108" i="9"/>
  <c r="AN107" i="9"/>
  <c r="R266" i="9"/>
  <c r="R95" i="9"/>
  <c r="S95" i="9" s="1"/>
  <c r="M95" i="9"/>
  <c r="E96" i="9"/>
  <c r="F96" i="9" s="1"/>
  <c r="DA159" i="9"/>
  <c r="O106" i="9"/>
  <c r="K107" i="9"/>
  <c r="HJ55" i="7"/>
  <c r="HK55" i="7" s="1"/>
  <c r="HE55" i="7"/>
  <c r="GX55" i="7"/>
  <c r="GW56" i="7" s="1"/>
  <c r="HC56" i="7"/>
  <c r="HG55" i="7"/>
  <c r="GH54" i="7"/>
  <c r="GD55" i="7"/>
  <c r="GK55" i="7"/>
  <c r="GL55" i="7" s="1"/>
  <c r="FY55" i="7"/>
  <c r="FX56" i="7" s="1"/>
  <c r="GF55" i="7"/>
  <c r="EZ56" i="7"/>
  <c r="EY57" i="7" s="1"/>
  <c r="FG56" i="7"/>
  <c r="FL56" i="7"/>
  <c r="FM56" i="7" s="1"/>
  <c r="FE56" i="7"/>
  <c r="FI55" i="7"/>
  <c r="EA56" i="7"/>
  <c r="DZ57" i="7" s="1"/>
  <c r="EH56" i="7"/>
  <c r="EM56" i="7"/>
  <c r="EN56" i="7" s="1"/>
  <c r="EJ56" i="7"/>
  <c r="EF57" i="7"/>
  <c r="DN56" i="7"/>
  <c r="DO56" i="7" s="1"/>
  <c r="DB56" i="7"/>
  <c r="DA57" i="7" s="1"/>
  <c r="DI56" i="7"/>
  <c r="DG56" i="7"/>
  <c r="DK55" i="7"/>
  <c r="K51" i="8"/>
  <c r="O50" i="8"/>
  <c r="AJ53" i="8"/>
  <c r="AN52" i="8"/>
  <c r="BK46" i="8"/>
  <c r="BD46" i="8"/>
  <c r="BC47" i="8" s="1"/>
  <c r="BP46" i="8"/>
  <c r="BQ46" i="8" s="1"/>
  <c r="R46" i="8"/>
  <c r="S46" i="8" s="1"/>
  <c r="M46" i="8"/>
  <c r="F46" i="8"/>
  <c r="E47" i="8" s="1"/>
  <c r="CO47" i="8"/>
  <c r="CP47" i="8" s="1"/>
  <c r="CJ47" i="8"/>
  <c r="CC47" i="8"/>
  <c r="CL47" i="8"/>
  <c r="DN51" i="8"/>
  <c r="DO51" i="8" s="1"/>
  <c r="DB51" i="8"/>
  <c r="DA52" i="8" s="1"/>
  <c r="DI51" i="8"/>
  <c r="AL47" i="8"/>
  <c r="AE47" i="8"/>
  <c r="AQ47" i="8"/>
  <c r="AR47" i="8" s="1"/>
  <c r="CH53" i="8"/>
  <c r="DG51" i="8"/>
  <c r="DK50" i="8"/>
  <c r="BI52" i="8"/>
  <c r="BM51" i="8"/>
  <c r="R30" i="7"/>
  <c r="E148" i="7"/>
  <c r="R148" i="7" s="1"/>
  <c r="F30" i="7"/>
  <c r="AE31" i="1"/>
  <c r="CP28" i="7"/>
  <c r="S29" i="7"/>
  <c r="BQ28" i="7"/>
  <c r="CH33" i="7"/>
  <c r="M30" i="7"/>
  <c r="AJ32" i="7"/>
  <c r="AN32" i="7" s="1"/>
  <c r="CO29" i="7"/>
  <c r="CC29" i="7"/>
  <c r="CB30" i="7" s="1"/>
  <c r="CJ29" i="7"/>
  <c r="CL29" i="7"/>
  <c r="BP29" i="7"/>
  <c r="BD29" i="7"/>
  <c r="BC30" i="7" s="1"/>
  <c r="BK29" i="7"/>
  <c r="AQ32" i="7"/>
  <c r="AR32" i="7" s="1"/>
  <c r="AL32" i="7"/>
  <c r="AE32" i="7"/>
  <c r="AD33" i="7" s="1"/>
  <c r="BI148" i="7"/>
  <c r="BI34" i="7"/>
  <c r="BM34" i="7" s="1"/>
  <c r="K33" i="7"/>
  <c r="O33" i="7" s="1"/>
  <c r="AR29" i="1"/>
  <c r="AQ30" i="1"/>
  <c r="AL30" i="1"/>
  <c r="AN30" i="1"/>
  <c r="BP24" i="1"/>
  <c r="BQ24" i="1" s="1"/>
  <c r="BK24" i="1"/>
  <c r="BM24" i="1"/>
  <c r="BI25" i="1"/>
  <c r="BD24" i="1"/>
  <c r="BC25" i="1" s="1"/>
  <c r="CV145" i="1"/>
  <c r="E261" i="1" s="1"/>
  <c r="DK108" i="9" l="1"/>
  <c r="DG109" i="9"/>
  <c r="DN108" i="9"/>
  <c r="DO108" i="9" s="1"/>
  <c r="DB108" i="9"/>
  <c r="DA109" i="9" s="1"/>
  <c r="DI108" i="9"/>
  <c r="CO109" i="9"/>
  <c r="CP109" i="9" s="1"/>
  <c r="CC109" i="9"/>
  <c r="CB110" i="9" s="1"/>
  <c r="CJ109" i="9"/>
  <c r="CL109" i="9"/>
  <c r="CH110" i="9"/>
  <c r="BI110" i="9"/>
  <c r="BM110" i="9" s="1"/>
  <c r="BP108" i="9"/>
  <c r="BQ108" i="9" s="1"/>
  <c r="BD108" i="9"/>
  <c r="BC109" i="9" s="1"/>
  <c r="BK108" i="9"/>
  <c r="AE108" i="9"/>
  <c r="AD109" i="9" s="1"/>
  <c r="AL108" i="9"/>
  <c r="AQ108" i="9"/>
  <c r="AR108" i="9" s="1"/>
  <c r="AN108" i="9"/>
  <c r="AJ109" i="9"/>
  <c r="AR157" i="9"/>
  <c r="Q206" i="9" s="1"/>
  <c r="CP157" i="9"/>
  <c r="Q255" i="9" s="1"/>
  <c r="M96" i="9"/>
  <c r="R96" i="9"/>
  <c r="S96" i="9" s="1"/>
  <c r="E97" i="9"/>
  <c r="F97" i="9" s="1"/>
  <c r="S265" i="9"/>
  <c r="DN159" i="9"/>
  <c r="S278" i="9" s="1"/>
  <c r="O107" i="9"/>
  <c r="K108" i="9"/>
  <c r="CC157" i="9"/>
  <c r="Q242" i="9" s="1"/>
  <c r="AE157" i="9"/>
  <c r="Q193" i="9" s="1"/>
  <c r="DG148" i="7"/>
  <c r="H271" i="7" s="1"/>
  <c r="HC148" i="7"/>
  <c r="H364" i="7" s="1"/>
  <c r="GD148" i="7"/>
  <c r="H341" i="7" s="1"/>
  <c r="FE148" i="7"/>
  <c r="H318" i="7" s="1"/>
  <c r="EF148" i="7"/>
  <c r="H295" i="7" s="1"/>
  <c r="E31" i="7"/>
  <c r="F31" i="7" s="1"/>
  <c r="E32" i="7" s="1"/>
  <c r="F32" i="7" s="1"/>
  <c r="E33" i="7" s="1"/>
  <c r="HJ56" i="7"/>
  <c r="HK56" i="7" s="1"/>
  <c r="GX56" i="7"/>
  <c r="GW57" i="7" s="1"/>
  <c r="HE56" i="7"/>
  <c r="HG56" i="7"/>
  <c r="HC57" i="7"/>
  <c r="GD56" i="7"/>
  <c r="GH55" i="7"/>
  <c r="GK56" i="7"/>
  <c r="GL56" i="7" s="1"/>
  <c r="FY56" i="7"/>
  <c r="FX57" i="7" s="1"/>
  <c r="GF56" i="7"/>
  <c r="FL57" i="7"/>
  <c r="FM57" i="7" s="1"/>
  <c r="EZ57" i="7"/>
  <c r="EY58" i="7" s="1"/>
  <c r="FG57" i="7"/>
  <c r="FI56" i="7"/>
  <c r="FE57" i="7"/>
  <c r="EM57" i="7"/>
  <c r="EN57" i="7" s="1"/>
  <c r="EA57" i="7"/>
  <c r="DZ58" i="7" s="1"/>
  <c r="EH57" i="7"/>
  <c r="EJ57" i="7"/>
  <c r="EF58" i="7"/>
  <c r="DB57" i="7"/>
  <c r="DA58" i="7" s="1"/>
  <c r="DI57" i="7"/>
  <c r="DN57" i="7"/>
  <c r="DO57" i="7" s="1"/>
  <c r="DK56" i="7"/>
  <c r="DG57" i="7"/>
  <c r="AR150" i="8"/>
  <c r="J206" i="8" s="1"/>
  <c r="CP150" i="8"/>
  <c r="J255" i="8" s="1"/>
  <c r="DO150" i="8"/>
  <c r="J278" i="8" s="1"/>
  <c r="DK51" i="8"/>
  <c r="DG52" i="8"/>
  <c r="DN52" i="8"/>
  <c r="DO52" i="8" s="1"/>
  <c r="DB52" i="8"/>
  <c r="DA53" i="8" s="1"/>
  <c r="DI52" i="8"/>
  <c r="AE150" i="8"/>
  <c r="J193" i="8" s="1"/>
  <c r="AD48" i="8"/>
  <c r="AJ54" i="8"/>
  <c r="AN53" i="8"/>
  <c r="BI53" i="8"/>
  <c r="BM52" i="8"/>
  <c r="CL150" i="8"/>
  <c r="J251" i="8" s="1"/>
  <c r="DK150" i="8"/>
  <c r="J274" i="8" s="1"/>
  <c r="R47" i="8"/>
  <c r="S47" i="8" s="1"/>
  <c r="F47" i="8"/>
  <c r="M47" i="8"/>
  <c r="BP47" i="8"/>
  <c r="BQ47" i="8" s="1"/>
  <c r="BD47" i="8"/>
  <c r="BK47" i="8"/>
  <c r="CH54" i="8"/>
  <c r="DB150" i="8"/>
  <c r="J265" i="8" s="1"/>
  <c r="CC150" i="8"/>
  <c r="J242" i="8" s="1"/>
  <c r="CB48" i="8"/>
  <c r="O51" i="8"/>
  <c r="K52" i="8"/>
  <c r="M148" i="7"/>
  <c r="H169" i="7"/>
  <c r="S30" i="7"/>
  <c r="H223" i="7"/>
  <c r="R31" i="7"/>
  <c r="M31" i="7"/>
  <c r="BQ29" i="7"/>
  <c r="K148" i="7"/>
  <c r="O148" i="7" s="1"/>
  <c r="K34" i="7"/>
  <c r="O34" i="7" s="1"/>
  <c r="AE33" i="7"/>
  <c r="AD34" i="7" s="1"/>
  <c r="AQ33" i="7"/>
  <c r="AR33" i="7" s="1"/>
  <c r="AL33" i="7"/>
  <c r="AJ33" i="7"/>
  <c r="AN33" i="7" s="1"/>
  <c r="CH148" i="7"/>
  <c r="CH34" i="7"/>
  <c r="BI35" i="7"/>
  <c r="BM35" i="7" s="1"/>
  <c r="BK30" i="7"/>
  <c r="BD30" i="7"/>
  <c r="BC31" i="7" s="1"/>
  <c r="BP30" i="7"/>
  <c r="CC30" i="7"/>
  <c r="CB31" i="7" s="1"/>
  <c r="CJ30" i="7"/>
  <c r="CO30" i="7"/>
  <c r="CL30" i="7"/>
  <c r="CP29" i="7"/>
  <c r="AR30" i="1"/>
  <c r="AN31" i="1"/>
  <c r="AQ31" i="1"/>
  <c r="AL31" i="1"/>
  <c r="BP25" i="1"/>
  <c r="BQ25" i="1" s="1"/>
  <c r="BK25" i="1"/>
  <c r="BM25" i="1"/>
  <c r="BI26" i="1"/>
  <c r="BI147" i="1" s="1"/>
  <c r="G223" i="1" s="1"/>
  <c r="BD25" i="1"/>
  <c r="BC26" i="1" s="1"/>
  <c r="I5" i="3"/>
  <c r="DK109" i="9" l="1"/>
  <c r="DG110" i="9"/>
  <c r="DB109" i="9"/>
  <c r="DA110" i="9" s="1"/>
  <c r="DI109" i="9"/>
  <c r="DN109" i="9"/>
  <c r="DO109" i="9" s="1"/>
  <c r="CO110" i="9"/>
  <c r="CP110" i="9" s="1"/>
  <c r="CC110" i="9"/>
  <c r="CB111" i="9" s="1"/>
  <c r="CJ110" i="9"/>
  <c r="CH111" i="9"/>
  <c r="CL110" i="9"/>
  <c r="BP109" i="9"/>
  <c r="BQ109" i="9" s="1"/>
  <c r="BK109" i="9"/>
  <c r="BD109" i="9"/>
  <c r="BC110" i="9" s="1"/>
  <c r="BI111" i="9"/>
  <c r="BM111" i="9" s="1"/>
  <c r="AN109" i="9"/>
  <c r="AJ110" i="9"/>
  <c r="AE109" i="9"/>
  <c r="AD110" i="9" s="1"/>
  <c r="AQ109" i="9"/>
  <c r="AR109" i="9" s="1"/>
  <c r="AL109" i="9"/>
  <c r="BQ157" i="9"/>
  <c r="Q231" i="9" s="1"/>
  <c r="S157" i="9"/>
  <c r="Q183" i="9" s="1"/>
  <c r="O108" i="9"/>
  <c r="K109" i="9"/>
  <c r="BD157" i="9"/>
  <c r="Q218" i="9" s="1"/>
  <c r="AD158" i="9"/>
  <c r="CB158" i="9"/>
  <c r="F157" i="9"/>
  <c r="Q170" i="9" s="1"/>
  <c r="AJ159" i="9"/>
  <c r="GX57" i="7"/>
  <c r="GW58" i="7" s="1"/>
  <c r="HE57" i="7"/>
  <c r="HJ57" i="7"/>
  <c r="HK57" i="7" s="1"/>
  <c r="HG57" i="7"/>
  <c r="HC58" i="7"/>
  <c r="GH56" i="7"/>
  <c r="GD57" i="7"/>
  <c r="GK57" i="7"/>
  <c r="GL57" i="7" s="1"/>
  <c r="FY57" i="7"/>
  <c r="FX58" i="7" s="1"/>
  <c r="GF57" i="7"/>
  <c r="FL58" i="7"/>
  <c r="FM58" i="7" s="1"/>
  <c r="EZ58" i="7"/>
  <c r="EY59" i="7" s="1"/>
  <c r="FG58" i="7"/>
  <c r="FI57" i="7"/>
  <c r="FE58" i="7"/>
  <c r="EM58" i="7"/>
  <c r="EN58" i="7" s="1"/>
  <c r="EH58" i="7"/>
  <c r="EA58" i="7"/>
  <c r="DZ59" i="7" s="1"/>
  <c r="EF59" i="7"/>
  <c r="EJ58" i="7"/>
  <c r="DK57" i="7"/>
  <c r="DG58" i="7"/>
  <c r="DN58" i="7"/>
  <c r="DO58" i="7" s="1"/>
  <c r="DB58" i="7"/>
  <c r="DA59" i="7" s="1"/>
  <c r="DI58" i="7"/>
  <c r="BQ150" i="8"/>
  <c r="J231" i="8" s="1"/>
  <c r="S150" i="8"/>
  <c r="J183" i="8" s="1"/>
  <c r="CB151" i="8"/>
  <c r="K241" i="8" s="1"/>
  <c r="DA151" i="8"/>
  <c r="K264" i="8" s="1"/>
  <c r="CO48" i="8"/>
  <c r="CC48" i="8"/>
  <c r="CB49" i="8" s="1"/>
  <c r="CJ48" i="8"/>
  <c r="CL48" i="8"/>
  <c r="AJ151" i="8"/>
  <c r="AJ55" i="8"/>
  <c r="AN54" i="8"/>
  <c r="F150" i="8"/>
  <c r="J170" i="8" s="1"/>
  <c r="E48" i="8"/>
  <c r="AD151" i="8"/>
  <c r="AQ48" i="8"/>
  <c r="AR48" i="8" s="1"/>
  <c r="AE48" i="8"/>
  <c r="AD49" i="8" s="1"/>
  <c r="AL48" i="8"/>
  <c r="DN53" i="8"/>
  <c r="DO53" i="8" s="1"/>
  <c r="DI53" i="8"/>
  <c r="DB53" i="8"/>
  <c r="DA54" i="8" s="1"/>
  <c r="O52" i="8"/>
  <c r="K53" i="8"/>
  <c r="BD150" i="8"/>
  <c r="J218" i="8" s="1"/>
  <c r="BC48" i="8"/>
  <c r="BI54" i="8"/>
  <c r="BM53" i="8"/>
  <c r="DG151" i="8"/>
  <c r="K270" i="8" s="1"/>
  <c r="CH151" i="8"/>
  <c r="K247" i="8" s="1"/>
  <c r="CH55" i="8"/>
  <c r="DG53" i="8"/>
  <c r="DK52" i="8"/>
  <c r="AD149" i="7"/>
  <c r="AQ149" i="7" s="1"/>
  <c r="AE148" i="7"/>
  <c r="H193" i="7" s="1"/>
  <c r="S31" i="7"/>
  <c r="H247" i="7"/>
  <c r="CP30" i="7"/>
  <c r="AR148" i="7"/>
  <c r="H206" i="7" s="1"/>
  <c r="BP31" i="7"/>
  <c r="BK31" i="7"/>
  <c r="BD31" i="7"/>
  <c r="BC32" i="7" s="1"/>
  <c r="CO31" i="7"/>
  <c r="CC31" i="7"/>
  <c r="CB32" i="7" s="1"/>
  <c r="CJ31" i="7"/>
  <c r="CL31" i="7"/>
  <c r="CH35" i="7"/>
  <c r="AJ148" i="7"/>
  <c r="AJ34" i="7"/>
  <c r="AN34" i="7" s="1"/>
  <c r="AQ34" i="7"/>
  <c r="AE34" i="7"/>
  <c r="AD35" i="7" s="1"/>
  <c r="K35" i="7"/>
  <c r="O35" i="7" s="1"/>
  <c r="BQ30" i="7"/>
  <c r="H175" i="7"/>
  <c r="H179" i="7"/>
  <c r="BI36" i="7"/>
  <c r="BM36" i="7" s="1"/>
  <c r="R32" i="7"/>
  <c r="F33" i="7"/>
  <c r="E34" i="7" s="1"/>
  <c r="M32" i="7"/>
  <c r="AR31" i="1"/>
  <c r="AN32" i="1"/>
  <c r="AQ32" i="1"/>
  <c r="AE32" i="1"/>
  <c r="AD33" i="1" s="1"/>
  <c r="AL32" i="1"/>
  <c r="BP26" i="1"/>
  <c r="BK26" i="1"/>
  <c r="BI27" i="1"/>
  <c r="BM26" i="1"/>
  <c r="BM147" i="1" s="1"/>
  <c r="BQ26" i="1"/>
  <c r="BQ147" i="1" s="1"/>
  <c r="BD26" i="1"/>
  <c r="B129" i="4"/>
  <c r="B130" i="4" s="1"/>
  <c r="B133" i="4" s="1"/>
  <c r="B128" i="4"/>
  <c r="B122" i="4"/>
  <c r="B123" i="4" s="1"/>
  <c r="B124" i="4" s="1"/>
  <c r="B125" i="4" s="1"/>
  <c r="B126" i="4" s="1"/>
  <c r="B121" i="4"/>
  <c r="X126" i="1"/>
  <c r="X127" i="1" s="1"/>
  <c r="X128" i="1" s="1"/>
  <c r="X129" i="1" s="1"/>
  <c r="X130" i="1" s="1"/>
  <c r="X131" i="1" s="1"/>
  <c r="X119" i="1"/>
  <c r="X120" i="1" s="1"/>
  <c r="X121" i="1" s="1"/>
  <c r="X122" i="1" s="1"/>
  <c r="X123" i="1" s="1"/>
  <c r="X124" i="1" s="1"/>
  <c r="X112" i="1"/>
  <c r="X113" i="1" s="1"/>
  <c r="X114" i="1" s="1"/>
  <c r="X115" i="1" s="1"/>
  <c r="X116" i="1" s="1"/>
  <c r="X117" i="1" s="1"/>
  <c r="X105" i="1"/>
  <c r="X106" i="1" s="1"/>
  <c r="X107" i="1" s="1"/>
  <c r="X108" i="1" s="1"/>
  <c r="X109" i="1" s="1"/>
  <c r="X110" i="1" s="1"/>
  <c r="X98" i="1"/>
  <c r="X99" i="1" s="1"/>
  <c r="X100" i="1" s="1"/>
  <c r="X101" i="1" s="1"/>
  <c r="X102" i="1" s="1"/>
  <c r="X103" i="1" s="1"/>
  <c r="X91" i="1"/>
  <c r="X92" i="1" s="1"/>
  <c r="X93" i="1" s="1"/>
  <c r="X94" i="1" s="1"/>
  <c r="X95" i="1" s="1"/>
  <c r="X96" i="1" s="1"/>
  <c r="X84" i="1"/>
  <c r="X85" i="1" s="1"/>
  <c r="X86" i="1" s="1"/>
  <c r="X87" i="1" s="1"/>
  <c r="X88" i="1" s="1"/>
  <c r="X89" i="1" s="1"/>
  <c r="X77" i="1"/>
  <c r="X78" i="1" s="1"/>
  <c r="X79" i="1" s="1"/>
  <c r="X80" i="1" s="1"/>
  <c r="X81" i="1" s="1"/>
  <c r="X82" i="1" s="1"/>
  <c r="X70" i="1"/>
  <c r="X71" i="1" s="1"/>
  <c r="X72" i="1" s="1"/>
  <c r="X73" i="1" s="1"/>
  <c r="X74" i="1" s="1"/>
  <c r="X75" i="1" s="1"/>
  <c r="X63" i="1"/>
  <c r="X64" i="1" s="1"/>
  <c r="X65" i="1" s="1"/>
  <c r="X66" i="1" s="1"/>
  <c r="X67" i="1" s="1"/>
  <c r="X68" i="1" s="1"/>
  <c r="X56" i="1"/>
  <c r="X57" i="1" s="1"/>
  <c r="X58" i="1" s="1"/>
  <c r="X59" i="1" s="1"/>
  <c r="X60" i="1" s="1"/>
  <c r="X61" i="1" s="1"/>
  <c r="X49" i="1"/>
  <c r="X50" i="1" s="1"/>
  <c r="X51" i="1" s="1"/>
  <c r="X52" i="1" s="1"/>
  <c r="X53" i="1" s="1"/>
  <c r="X54" i="1" s="1"/>
  <c r="X42" i="1"/>
  <c r="X43" i="1" s="1"/>
  <c r="X44" i="1" s="1"/>
  <c r="X45" i="1" s="1"/>
  <c r="X46" i="1" s="1"/>
  <c r="X47" i="1" s="1"/>
  <c r="X35" i="1"/>
  <c r="X36" i="1" s="1"/>
  <c r="X37" i="1" s="1"/>
  <c r="X38" i="1" s="1"/>
  <c r="X39" i="1" s="1"/>
  <c r="X40" i="1" s="1"/>
  <c r="X28" i="1"/>
  <c r="X29" i="1" s="1"/>
  <c r="X30" i="1" s="1"/>
  <c r="X31" i="1" s="1"/>
  <c r="X32" i="1" s="1"/>
  <c r="X33" i="1" s="1"/>
  <c r="X21" i="1"/>
  <c r="X22" i="1" s="1"/>
  <c r="X23" i="1" s="1"/>
  <c r="X24" i="1" s="1"/>
  <c r="X25" i="1" s="1"/>
  <c r="X26" i="1" s="1"/>
  <c r="X14" i="1"/>
  <c r="X15" i="1" s="1"/>
  <c r="X17" i="1" s="1"/>
  <c r="X18" i="1" s="1"/>
  <c r="X19" i="1" s="1"/>
  <c r="X7" i="1"/>
  <c r="X8" i="1" s="1"/>
  <c r="X9" i="1" s="1"/>
  <c r="X10" i="1" s="1"/>
  <c r="X11" i="1" s="1"/>
  <c r="X12" i="1" s="1"/>
  <c r="U126" i="1"/>
  <c r="U127" i="1" s="1"/>
  <c r="U128" i="1" s="1"/>
  <c r="U129" i="1" s="1"/>
  <c r="U130" i="1" s="1"/>
  <c r="U131" i="1" s="1"/>
  <c r="U119" i="1"/>
  <c r="U120" i="1" s="1"/>
  <c r="U121" i="1" s="1"/>
  <c r="U122" i="1" s="1"/>
  <c r="U123" i="1" s="1"/>
  <c r="U124" i="1" s="1"/>
  <c r="AU161" i="1" s="1"/>
  <c r="U209" i="1" s="1"/>
  <c r="U112" i="1"/>
  <c r="U113" i="1" s="1"/>
  <c r="U114" i="1" s="1"/>
  <c r="U115" i="1" s="1"/>
  <c r="U116" i="1" s="1"/>
  <c r="U117" i="1" s="1"/>
  <c r="AU160" i="1" s="1"/>
  <c r="T209" i="1" s="1"/>
  <c r="U105" i="1"/>
  <c r="U106" i="1" s="1"/>
  <c r="U107" i="1" s="1"/>
  <c r="U108" i="1" s="1"/>
  <c r="U109" i="1" s="1"/>
  <c r="U110" i="1" s="1"/>
  <c r="AU159" i="1" s="1"/>
  <c r="S209" i="1" s="1"/>
  <c r="U98" i="1"/>
  <c r="U99" i="1" s="1"/>
  <c r="U100" i="1" s="1"/>
  <c r="U101" i="1" s="1"/>
  <c r="U102" i="1" s="1"/>
  <c r="U103" i="1" s="1"/>
  <c r="AU158" i="1" s="1"/>
  <c r="R209" i="1" s="1"/>
  <c r="U91" i="1"/>
  <c r="U92" i="1" s="1"/>
  <c r="U93" i="1" s="1"/>
  <c r="U94" i="1" s="1"/>
  <c r="U95" i="1" s="1"/>
  <c r="U96" i="1" s="1"/>
  <c r="AU157" i="1" s="1"/>
  <c r="Q209" i="1" s="1"/>
  <c r="U84" i="1"/>
  <c r="U85" i="1" s="1"/>
  <c r="U86" i="1" s="1"/>
  <c r="U87" i="1" s="1"/>
  <c r="U88" i="1" s="1"/>
  <c r="U89" i="1" s="1"/>
  <c r="AU156" i="1" s="1"/>
  <c r="P209" i="1" s="1"/>
  <c r="U77" i="1"/>
  <c r="U78" i="1" s="1"/>
  <c r="U79" i="1" s="1"/>
  <c r="U80" i="1" s="1"/>
  <c r="U81" i="1" s="1"/>
  <c r="U82" i="1" s="1"/>
  <c r="AU155" i="1" s="1"/>
  <c r="O209" i="1" s="1"/>
  <c r="U70" i="1"/>
  <c r="U71" i="1" s="1"/>
  <c r="U72" i="1" s="1"/>
  <c r="U73" i="1" s="1"/>
  <c r="U74" i="1" s="1"/>
  <c r="U75" i="1" s="1"/>
  <c r="U63" i="1"/>
  <c r="U64" i="1" s="1"/>
  <c r="U65" i="1" s="1"/>
  <c r="U66" i="1" s="1"/>
  <c r="U67" i="1" s="1"/>
  <c r="U68" i="1" s="1"/>
  <c r="U56" i="1"/>
  <c r="U57" i="1" s="1"/>
  <c r="U58" i="1" s="1"/>
  <c r="U59" i="1" s="1"/>
  <c r="U60" i="1" s="1"/>
  <c r="U61" i="1" s="1"/>
  <c r="U49" i="1"/>
  <c r="U50" i="1" s="1"/>
  <c r="U51" i="1" s="1"/>
  <c r="U52" i="1" s="1"/>
  <c r="U53" i="1" s="1"/>
  <c r="U54" i="1" s="1"/>
  <c r="U42" i="1"/>
  <c r="U43" i="1" s="1"/>
  <c r="U44" i="1" s="1"/>
  <c r="U45" i="1" s="1"/>
  <c r="U46" i="1" s="1"/>
  <c r="U47" i="1" s="1"/>
  <c r="U35" i="1"/>
  <c r="U36" i="1" s="1"/>
  <c r="U37" i="1" s="1"/>
  <c r="U38" i="1" s="1"/>
  <c r="U39" i="1" s="1"/>
  <c r="U40" i="1" s="1"/>
  <c r="U28" i="1"/>
  <c r="U29" i="1" s="1"/>
  <c r="U30" i="1" s="1"/>
  <c r="U31" i="1" s="1"/>
  <c r="U32" i="1" s="1"/>
  <c r="U33" i="1" s="1"/>
  <c r="U21" i="1"/>
  <c r="U22" i="1" s="1"/>
  <c r="U23" i="1" s="1"/>
  <c r="U24" i="1" s="1"/>
  <c r="U25" i="1" s="1"/>
  <c r="U26" i="1" s="1"/>
  <c r="U14" i="1"/>
  <c r="U15" i="1" s="1"/>
  <c r="U17" i="1" s="1"/>
  <c r="U18" i="1" s="1"/>
  <c r="U19" i="1" s="1"/>
  <c r="F297" i="1"/>
  <c r="F294" i="1"/>
  <c r="F293" i="1"/>
  <c r="F296" i="1"/>
  <c r="F341" i="4"/>
  <c r="U7" i="1"/>
  <c r="DG111" i="9" l="1"/>
  <c r="DK110" i="9"/>
  <c r="DB110" i="9"/>
  <c r="DA111" i="9" s="1"/>
  <c r="DN110" i="9"/>
  <c r="DO110" i="9" s="1"/>
  <c r="DI110" i="9"/>
  <c r="CC111" i="9"/>
  <c r="CB112" i="9" s="1"/>
  <c r="CJ111" i="9"/>
  <c r="CO111" i="9"/>
  <c r="CP111" i="9" s="1"/>
  <c r="CH112" i="9"/>
  <c r="CL111" i="9"/>
  <c r="BP110" i="9"/>
  <c r="BQ110" i="9" s="1"/>
  <c r="BD110" i="9"/>
  <c r="BC111" i="9" s="1"/>
  <c r="BK110" i="9"/>
  <c r="BI112" i="9"/>
  <c r="BM112" i="9" s="1"/>
  <c r="AQ110" i="9"/>
  <c r="AR110" i="9" s="1"/>
  <c r="AE110" i="9"/>
  <c r="AD111" i="9" s="1"/>
  <c r="AL110" i="9"/>
  <c r="AJ111" i="9"/>
  <c r="AN110" i="9"/>
  <c r="E158" i="9"/>
  <c r="M158" i="9" s="1"/>
  <c r="R97" i="9"/>
  <c r="S97" i="9" s="1"/>
  <c r="E98" i="9"/>
  <c r="F98" i="9" s="1"/>
  <c r="M97" i="9"/>
  <c r="BC158" i="9"/>
  <c r="S198" i="9"/>
  <c r="CH159" i="9"/>
  <c r="S247" i="9" s="1"/>
  <c r="CL159" i="9"/>
  <c r="S251" i="9" s="1"/>
  <c r="Q293" i="9"/>
  <c r="Q327" i="9"/>
  <c r="Q344" i="9" s="1"/>
  <c r="O12" i="5" s="1"/>
  <c r="R241" i="9"/>
  <c r="CO158" i="9"/>
  <c r="R254" i="9" s="1"/>
  <c r="R192" i="9"/>
  <c r="AQ158" i="9"/>
  <c r="R205" i="9" s="1"/>
  <c r="AN158" i="9"/>
  <c r="R202" i="9" s="1"/>
  <c r="K110" i="9"/>
  <c r="O109" i="9"/>
  <c r="BI159" i="9"/>
  <c r="S223" i="9" s="1"/>
  <c r="BM159" i="9"/>
  <c r="S227" i="9" s="1"/>
  <c r="CP31" i="7"/>
  <c r="HG58" i="7"/>
  <c r="HC59" i="7"/>
  <c r="HJ58" i="7"/>
  <c r="HK58" i="7" s="1"/>
  <c r="GX58" i="7"/>
  <c r="GW59" i="7" s="1"/>
  <c r="HE58" i="7"/>
  <c r="GD58" i="7"/>
  <c r="GH57" i="7"/>
  <c r="GK58" i="7"/>
  <c r="GL58" i="7" s="1"/>
  <c r="FY58" i="7"/>
  <c r="FX59" i="7" s="1"/>
  <c r="GF58" i="7"/>
  <c r="FL59" i="7"/>
  <c r="FM59" i="7" s="1"/>
  <c r="EZ59" i="7"/>
  <c r="EY60" i="7" s="1"/>
  <c r="FG59" i="7"/>
  <c r="FE59" i="7"/>
  <c r="FI58" i="7"/>
  <c r="EJ59" i="7"/>
  <c r="EF60" i="7"/>
  <c r="EM59" i="7"/>
  <c r="EN59" i="7" s="1"/>
  <c r="EA59" i="7"/>
  <c r="DZ60" i="7" s="1"/>
  <c r="EH59" i="7"/>
  <c r="DK58" i="7"/>
  <c r="DG59" i="7"/>
  <c r="DN59" i="7"/>
  <c r="DO59" i="7" s="1"/>
  <c r="DB59" i="7"/>
  <c r="DA60" i="7" s="1"/>
  <c r="DI59" i="7"/>
  <c r="CH56" i="8"/>
  <c r="BI151" i="8"/>
  <c r="K223" i="8" s="1"/>
  <c r="BM54" i="8"/>
  <c r="BM151" i="8" s="1"/>
  <c r="K227" i="8" s="1"/>
  <c r="BI55" i="8"/>
  <c r="E151" i="8"/>
  <c r="R48" i="8"/>
  <c r="S48" i="8" s="1"/>
  <c r="M48" i="8"/>
  <c r="F48" i="8"/>
  <c r="E49" i="8" s="1"/>
  <c r="K198" i="8"/>
  <c r="AN151" i="8"/>
  <c r="K202" i="8" s="1"/>
  <c r="CP48" i="8"/>
  <c r="BC151" i="8"/>
  <c r="BP48" i="8"/>
  <c r="BQ48" i="8" s="1"/>
  <c r="BK48" i="8"/>
  <c r="BD48" i="8"/>
  <c r="BC49" i="8" s="1"/>
  <c r="DN54" i="8"/>
  <c r="DO54" i="8" s="1"/>
  <c r="DB54" i="8"/>
  <c r="DA55" i="8" s="1"/>
  <c r="DI54" i="8"/>
  <c r="AQ49" i="8"/>
  <c r="AL49" i="8"/>
  <c r="AE49" i="8"/>
  <c r="AD50" i="8" s="1"/>
  <c r="J291" i="8"/>
  <c r="J325" i="8"/>
  <c r="DG54" i="8"/>
  <c r="DK53" i="8"/>
  <c r="AR49" i="8"/>
  <c r="K54" i="8"/>
  <c r="O53" i="8"/>
  <c r="K192" i="8"/>
  <c r="AQ151" i="8"/>
  <c r="K205" i="8" s="1"/>
  <c r="AN55" i="8"/>
  <c r="AJ56" i="8"/>
  <c r="CO49" i="8"/>
  <c r="CJ49" i="8"/>
  <c r="CC49" i="8"/>
  <c r="CB50" i="8" s="1"/>
  <c r="CL49" i="8"/>
  <c r="H198" i="7"/>
  <c r="H390" i="7" s="1"/>
  <c r="AN148" i="7"/>
  <c r="H202" i="7" s="1"/>
  <c r="I192" i="7"/>
  <c r="BQ31" i="7"/>
  <c r="AL34" i="7"/>
  <c r="S32" i="7"/>
  <c r="AR32" i="1"/>
  <c r="R33" i="7"/>
  <c r="F34" i="7"/>
  <c r="M33" i="7"/>
  <c r="K36" i="7"/>
  <c r="O36" i="7" s="1"/>
  <c r="CH36" i="7"/>
  <c r="AJ35" i="7"/>
  <c r="AN35" i="7" s="1"/>
  <c r="AR34" i="7"/>
  <c r="H202" i="1"/>
  <c r="H198" i="1"/>
  <c r="BI37" i="7"/>
  <c r="BM37" i="7" s="1"/>
  <c r="AQ35" i="7"/>
  <c r="AE35" i="7"/>
  <c r="AD36" i="7" s="1"/>
  <c r="AL35" i="7"/>
  <c r="CJ32" i="7"/>
  <c r="CC32" i="7"/>
  <c r="CB33" i="7" s="1"/>
  <c r="CO32" i="7"/>
  <c r="CL32" i="7"/>
  <c r="BP32" i="7"/>
  <c r="BD32" i="7"/>
  <c r="BC33" i="7" s="1"/>
  <c r="BK32" i="7"/>
  <c r="U148" i="1"/>
  <c r="AU148" i="1"/>
  <c r="H209" i="1" s="1"/>
  <c r="X146" i="1"/>
  <c r="AX146" i="1"/>
  <c r="F212" i="1" s="1"/>
  <c r="X154" i="1"/>
  <c r="AX154" i="1"/>
  <c r="N212" i="1" s="1"/>
  <c r="AX163" i="1"/>
  <c r="W212" i="1" s="1"/>
  <c r="AX162" i="1"/>
  <c r="V212" i="1" s="1"/>
  <c r="U153" i="1"/>
  <c r="AU153" i="1"/>
  <c r="M209" i="1" s="1"/>
  <c r="X151" i="1"/>
  <c r="AX151" i="1"/>
  <c r="K212" i="1" s="1"/>
  <c r="X159" i="1"/>
  <c r="AX159" i="1"/>
  <c r="S212" i="1" s="1"/>
  <c r="U146" i="1"/>
  <c r="AU146" i="1"/>
  <c r="F209" i="1" s="1"/>
  <c r="U150" i="1"/>
  <c r="AU150" i="1"/>
  <c r="J209" i="1" s="1"/>
  <c r="U154" i="1"/>
  <c r="AU154" i="1"/>
  <c r="N209" i="1" s="1"/>
  <c r="AU162" i="1"/>
  <c r="V209" i="1" s="1"/>
  <c r="AU163" i="1"/>
  <c r="W209" i="1" s="1"/>
  <c r="X148" i="1"/>
  <c r="AX148" i="1"/>
  <c r="H212" i="1" s="1"/>
  <c r="X152" i="1"/>
  <c r="AX152" i="1"/>
  <c r="L212" i="1" s="1"/>
  <c r="X156" i="1"/>
  <c r="AX156" i="1"/>
  <c r="P212" i="1" s="1"/>
  <c r="X160" i="1"/>
  <c r="AX160" i="1"/>
  <c r="T212" i="1" s="1"/>
  <c r="U152" i="1"/>
  <c r="AU152" i="1"/>
  <c r="L209" i="1" s="1"/>
  <c r="X150" i="1"/>
  <c r="J212" i="1"/>
  <c r="X158" i="1"/>
  <c r="AX158" i="1"/>
  <c r="R212" i="1" s="1"/>
  <c r="U149" i="1"/>
  <c r="AU149" i="1"/>
  <c r="I209" i="1" s="1"/>
  <c r="X147" i="1"/>
  <c r="AX147" i="1"/>
  <c r="G212" i="1" s="1"/>
  <c r="X155" i="1"/>
  <c r="AX155" i="1"/>
  <c r="O212" i="1" s="1"/>
  <c r="U147" i="1"/>
  <c r="AU147" i="1"/>
  <c r="G209" i="1" s="1"/>
  <c r="U151" i="1"/>
  <c r="AU151" i="1"/>
  <c r="K209" i="1" s="1"/>
  <c r="X145" i="1"/>
  <c r="AX145" i="1"/>
  <c r="E212" i="1" s="1"/>
  <c r="X149" i="1"/>
  <c r="AX149" i="1"/>
  <c r="I212" i="1" s="1"/>
  <c r="X153" i="1"/>
  <c r="AX153" i="1"/>
  <c r="M212" i="1" s="1"/>
  <c r="X157" i="1"/>
  <c r="AX157" i="1"/>
  <c r="Q212" i="1" s="1"/>
  <c r="X161" i="1"/>
  <c r="AX161" i="1"/>
  <c r="U212" i="1" s="1"/>
  <c r="AQ33" i="1"/>
  <c r="AR33" i="1" s="1"/>
  <c r="AR148" i="1" s="1"/>
  <c r="H206" i="1" s="1"/>
  <c r="AE33" i="1"/>
  <c r="AL33" i="1"/>
  <c r="U155" i="1"/>
  <c r="U159" i="1"/>
  <c r="U156" i="1"/>
  <c r="U160" i="1"/>
  <c r="X163" i="1"/>
  <c r="X162" i="1"/>
  <c r="U157" i="1"/>
  <c r="U161" i="1"/>
  <c r="BC27" i="1"/>
  <c r="BD27" i="1" s="1"/>
  <c r="BC28" i="1" s="1"/>
  <c r="BD147" i="1"/>
  <c r="G218" i="1" s="1"/>
  <c r="U158" i="1"/>
  <c r="U162" i="1"/>
  <c r="U163" i="1"/>
  <c r="BI28" i="1"/>
  <c r="U8" i="1"/>
  <c r="U9" i="1" s="1"/>
  <c r="U10" i="1" s="1"/>
  <c r="U11" i="1" s="1"/>
  <c r="U12" i="1" s="1"/>
  <c r="B119" i="1"/>
  <c r="B120" i="1" s="1"/>
  <c r="B121" i="1" s="1"/>
  <c r="B122" i="1" s="1"/>
  <c r="B124" i="1" s="1"/>
  <c r="CS6" i="1"/>
  <c r="CG6" i="1"/>
  <c r="CH6" i="1" s="1"/>
  <c r="CG8" i="1"/>
  <c r="CG7" i="1"/>
  <c r="CB6" i="1"/>
  <c r="V6" i="1"/>
  <c r="J6" i="1"/>
  <c r="M6" i="1" s="1"/>
  <c r="B112" i="1"/>
  <c r="B113" i="1" s="1"/>
  <c r="B114" i="1" s="1"/>
  <c r="B115" i="1" s="1"/>
  <c r="B116" i="1" s="1"/>
  <c r="B117" i="1" s="1"/>
  <c r="B106" i="1"/>
  <c r="B107" i="1" s="1"/>
  <c r="B108" i="1" s="1"/>
  <c r="B109" i="1" s="1"/>
  <c r="B110" i="1" s="1"/>
  <c r="B98" i="1"/>
  <c r="B99" i="1" s="1"/>
  <c r="B100" i="1" s="1"/>
  <c r="B101" i="1" s="1"/>
  <c r="B102" i="1" s="1"/>
  <c r="B103" i="1" s="1"/>
  <c r="B93" i="1"/>
  <c r="B94" i="1" s="1"/>
  <c r="B95" i="1" s="1"/>
  <c r="B96" i="1" s="1"/>
  <c r="B84" i="1"/>
  <c r="B85" i="1" s="1"/>
  <c r="B86" i="1" s="1"/>
  <c r="B87" i="1" s="1"/>
  <c r="B88" i="1" s="1"/>
  <c r="B89" i="1" s="1"/>
  <c r="B77" i="1"/>
  <c r="B78" i="1" s="1"/>
  <c r="B79" i="1" s="1"/>
  <c r="B80" i="1" s="1"/>
  <c r="B81" i="1" s="1"/>
  <c r="B82" i="1" s="1"/>
  <c r="B70" i="1"/>
  <c r="B71" i="1" s="1"/>
  <c r="B72" i="1" s="1"/>
  <c r="B73" i="1" s="1"/>
  <c r="B63" i="1"/>
  <c r="B64" i="1" s="1"/>
  <c r="B65" i="1" s="1"/>
  <c r="B66" i="1" s="1"/>
  <c r="B67" i="1" s="1"/>
  <c r="B68" i="1" s="1"/>
  <c r="B56" i="1"/>
  <c r="B57" i="1" s="1"/>
  <c r="B58" i="1" s="1"/>
  <c r="B59" i="1" s="1"/>
  <c r="B49" i="1"/>
  <c r="B50" i="1" s="1"/>
  <c r="B51" i="1" s="1"/>
  <c r="B52" i="1" s="1"/>
  <c r="B53" i="1" s="1"/>
  <c r="B54" i="1" s="1"/>
  <c r="B14" i="1"/>
  <c r="B15" i="1" s="1"/>
  <c r="B16" i="1" s="1"/>
  <c r="B17" i="1" s="1"/>
  <c r="B18" i="1" s="1"/>
  <c r="B19" i="1" s="1"/>
  <c r="B7" i="1"/>
  <c r="B8" i="1" s="1"/>
  <c r="B9" i="1" s="1"/>
  <c r="B10" i="1" s="1"/>
  <c r="B11" i="1" s="1"/>
  <c r="B12" i="1" s="1"/>
  <c r="B70" i="4"/>
  <c r="B71" i="4" s="1"/>
  <c r="B69" i="4"/>
  <c r="DK111" i="9" l="1"/>
  <c r="DG112" i="9"/>
  <c r="DB111" i="9"/>
  <c r="DA112" i="9" s="1"/>
  <c r="DI111" i="9"/>
  <c r="DN111" i="9"/>
  <c r="DO111" i="9" s="1"/>
  <c r="CO112" i="9"/>
  <c r="CP112" i="9" s="1"/>
  <c r="CC112" i="9"/>
  <c r="CB113" i="9" s="1"/>
  <c r="CJ112" i="9"/>
  <c r="CH113" i="9"/>
  <c r="CL112" i="9"/>
  <c r="BI113" i="9"/>
  <c r="BM113" i="9" s="1"/>
  <c r="BP111" i="9"/>
  <c r="BQ111" i="9" s="1"/>
  <c r="BK111" i="9"/>
  <c r="BD111" i="9"/>
  <c r="BC112" i="9" s="1"/>
  <c r="AQ111" i="9"/>
  <c r="AR111" i="9" s="1"/>
  <c r="AL111" i="9"/>
  <c r="AE111" i="9"/>
  <c r="AD112" i="9" s="1"/>
  <c r="AJ112" i="9"/>
  <c r="AN111" i="9"/>
  <c r="R98" i="9"/>
  <c r="S98" i="9" s="1"/>
  <c r="M98" i="9"/>
  <c r="E99" i="9"/>
  <c r="F99" i="9" s="1"/>
  <c r="K159" i="9"/>
  <c r="O110" i="9"/>
  <c r="K111" i="9"/>
  <c r="DG159" i="9"/>
  <c r="S271" i="9" s="1"/>
  <c r="DK159" i="9"/>
  <c r="S275" i="9" s="1"/>
  <c r="R217" i="9"/>
  <c r="BP158" i="9"/>
  <c r="R230" i="9" s="1"/>
  <c r="R169" i="9"/>
  <c r="R158" i="9"/>
  <c r="R182" i="9" s="1"/>
  <c r="R305" i="9" s="1"/>
  <c r="R330" i="9" s="1"/>
  <c r="R177" i="9"/>
  <c r="O158" i="9"/>
  <c r="R179" i="9" s="1"/>
  <c r="CP32" i="7"/>
  <c r="HC60" i="7"/>
  <c r="HG59" i="7"/>
  <c r="HJ59" i="7"/>
  <c r="HK59" i="7" s="1"/>
  <c r="HE59" i="7"/>
  <c r="GX59" i="7"/>
  <c r="GW60" i="7" s="1"/>
  <c r="GH58" i="7"/>
  <c r="GD59" i="7"/>
  <c r="GF59" i="7"/>
  <c r="GK59" i="7"/>
  <c r="GL59" i="7" s="1"/>
  <c r="FY59" i="7"/>
  <c r="FX60" i="7" s="1"/>
  <c r="EZ60" i="7"/>
  <c r="EY61" i="7" s="1"/>
  <c r="FL60" i="7"/>
  <c r="FM60" i="7" s="1"/>
  <c r="FG60" i="7"/>
  <c r="FE60" i="7"/>
  <c r="FI59" i="7"/>
  <c r="EJ60" i="7"/>
  <c r="EF61" i="7"/>
  <c r="EM60" i="7"/>
  <c r="EN60" i="7" s="1"/>
  <c r="EA60" i="7"/>
  <c r="DZ61" i="7" s="1"/>
  <c r="EH60" i="7"/>
  <c r="DG60" i="7"/>
  <c r="DK59" i="7"/>
  <c r="DN60" i="7"/>
  <c r="DO60" i="7" s="1"/>
  <c r="DB60" i="7"/>
  <c r="DA61" i="7" s="1"/>
  <c r="DI60" i="7"/>
  <c r="AJ57" i="8"/>
  <c r="AN56" i="8"/>
  <c r="DK54" i="8"/>
  <c r="DG55" i="8"/>
  <c r="K217" i="8"/>
  <c r="BP151" i="8"/>
  <c r="K230" i="8" s="1"/>
  <c r="CO50" i="8"/>
  <c r="CC50" i="8"/>
  <c r="CB51" i="8" s="1"/>
  <c r="CJ50" i="8"/>
  <c r="CL50" i="8"/>
  <c r="K151" i="8"/>
  <c r="O54" i="8"/>
  <c r="K55" i="8"/>
  <c r="BP49" i="8"/>
  <c r="BQ49" i="8" s="1"/>
  <c r="BD49" i="8"/>
  <c r="BC50" i="8" s="1"/>
  <c r="BK49" i="8"/>
  <c r="CP49" i="8"/>
  <c r="CP50" i="8" s="1"/>
  <c r="K169" i="8"/>
  <c r="R151" i="8"/>
  <c r="K182" i="8" s="1"/>
  <c r="M151" i="8"/>
  <c r="K177" i="8" s="1"/>
  <c r="R49" i="8"/>
  <c r="S49" i="8" s="1"/>
  <c r="F49" i="8"/>
  <c r="E50" i="8" s="1"/>
  <c r="M49" i="8"/>
  <c r="BI56" i="8"/>
  <c r="BM55" i="8"/>
  <c r="CH57" i="8"/>
  <c r="AQ50" i="8"/>
  <c r="AR50" i="8" s="1"/>
  <c r="AE50" i="8"/>
  <c r="AD51" i="8" s="1"/>
  <c r="AL50" i="8"/>
  <c r="DN55" i="8"/>
  <c r="DO55" i="8" s="1"/>
  <c r="DI55" i="8"/>
  <c r="DB55" i="8"/>
  <c r="DA56" i="8" s="1"/>
  <c r="BQ32" i="7"/>
  <c r="AD34" i="1"/>
  <c r="I192" i="1" s="1"/>
  <c r="AE148" i="1"/>
  <c r="H193" i="1" s="1"/>
  <c r="BM27" i="1"/>
  <c r="S33" i="7"/>
  <c r="S148" i="7" s="1"/>
  <c r="AQ148" i="1"/>
  <c r="H205" i="1" s="1"/>
  <c r="AR35" i="7"/>
  <c r="K37" i="7"/>
  <c r="O37" i="7" s="1"/>
  <c r="H426" i="7"/>
  <c r="F34" i="5" s="1"/>
  <c r="F148" i="7"/>
  <c r="H170" i="7" s="1"/>
  <c r="BP148" i="7"/>
  <c r="BP33" i="7"/>
  <c r="BQ33" i="7" s="1"/>
  <c r="BD33" i="7"/>
  <c r="BC34" i="7" s="1"/>
  <c r="BK33" i="7"/>
  <c r="BM148" i="7"/>
  <c r="H227" i="7" s="1"/>
  <c r="CO33" i="7"/>
  <c r="CP33" i="7" s="1"/>
  <c r="CC33" i="7"/>
  <c r="CJ33" i="7"/>
  <c r="CL33" i="7"/>
  <c r="BI38" i="7"/>
  <c r="BM38" i="7" s="1"/>
  <c r="AQ36" i="7"/>
  <c r="AL36" i="7"/>
  <c r="AE36" i="7"/>
  <c r="AD37" i="7" s="1"/>
  <c r="AE37" i="7" s="1"/>
  <c r="AJ36" i="7"/>
  <c r="AN36" i="7" s="1"/>
  <c r="CH37" i="7"/>
  <c r="V158" i="1"/>
  <c r="V157" i="1"/>
  <c r="V156" i="1"/>
  <c r="V159" i="1"/>
  <c r="Y145" i="1"/>
  <c r="V147" i="1"/>
  <c r="Y147" i="1"/>
  <c r="V152" i="1"/>
  <c r="Y148" i="1"/>
  <c r="V154" i="1"/>
  <c r="V146" i="1"/>
  <c r="Y151" i="1"/>
  <c r="Y146" i="1"/>
  <c r="V163" i="1"/>
  <c r="Y163" i="1"/>
  <c r="V155" i="1"/>
  <c r="V162" i="1"/>
  <c r="V161" i="1"/>
  <c r="V160" i="1"/>
  <c r="Y149" i="1"/>
  <c r="V151" i="1"/>
  <c r="V149" i="1"/>
  <c r="Y150" i="1"/>
  <c r="Y152" i="1"/>
  <c r="V150" i="1"/>
  <c r="V153" i="1"/>
  <c r="V148" i="1"/>
  <c r="E188" i="1"/>
  <c r="U145" i="1"/>
  <c r="E209" i="1"/>
  <c r="CO6" i="1"/>
  <c r="CB145" i="1"/>
  <c r="E241" i="1" s="1"/>
  <c r="BP27" i="1"/>
  <c r="BQ27" i="1" s="1"/>
  <c r="BK27" i="1"/>
  <c r="BP28" i="1"/>
  <c r="BK28" i="1"/>
  <c r="BI29" i="1"/>
  <c r="BI30" i="1" s="1"/>
  <c r="BM28" i="1"/>
  <c r="BD28" i="1"/>
  <c r="BC29" i="1" s="1"/>
  <c r="B74" i="1"/>
  <c r="B75" i="1" s="1"/>
  <c r="F185" i="1"/>
  <c r="K6" i="1"/>
  <c r="CH7" i="1"/>
  <c r="CH8" i="1" s="1"/>
  <c r="CC6" i="1"/>
  <c r="CB7" i="1" s="1"/>
  <c r="CO7" i="1" s="1"/>
  <c r="CL6" i="1"/>
  <c r="CJ6" i="1"/>
  <c r="F6" i="1"/>
  <c r="CP6" i="1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F344" i="4"/>
  <c r="F354" i="4" s="1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F353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F338" i="4"/>
  <c r="F352" i="4" s="1"/>
  <c r="F335" i="4"/>
  <c r="F351" i="4" s="1"/>
  <c r="W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G333" i="4"/>
  <c r="DG113" i="9" l="1"/>
  <c r="DK112" i="9"/>
  <c r="DN112" i="9"/>
  <c r="DO112" i="9" s="1"/>
  <c r="DB112" i="9"/>
  <c r="DA113" i="9" s="1"/>
  <c r="DI112" i="9"/>
  <c r="CO113" i="9"/>
  <c r="CP113" i="9" s="1"/>
  <c r="CJ113" i="9"/>
  <c r="CC113" i="9"/>
  <c r="CB114" i="9" s="1"/>
  <c r="CL113" i="9"/>
  <c r="CH114" i="9"/>
  <c r="BP112" i="9"/>
  <c r="BQ112" i="9" s="1"/>
  <c r="BD112" i="9"/>
  <c r="BC113" i="9" s="1"/>
  <c r="BK112" i="9"/>
  <c r="BI114" i="9"/>
  <c r="BM114" i="9" s="1"/>
  <c r="AL112" i="9"/>
  <c r="AQ112" i="9"/>
  <c r="AR112" i="9" s="1"/>
  <c r="AE112" i="9"/>
  <c r="AD113" i="9" s="1"/>
  <c r="AJ113" i="9"/>
  <c r="AN112" i="9"/>
  <c r="S175" i="9"/>
  <c r="S298" i="9" s="1"/>
  <c r="R99" i="9"/>
  <c r="S99" i="9" s="1"/>
  <c r="E100" i="9"/>
  <c r="F100" i="9" s="1"/>
  <c r="M99" i="9"/>
  <c r="R292" i="9"/>
  <c r="R307" i="9" s="1"/>
  <c r="R317" i="9"/>
  <c r="R343" i="9" s="1"/>
  <c r="P11" i="5" s="1"/>
  <c r="K112" i="9"/>
  <c r="O111" i="9"/>
  <c r="HG148" i="7"/>
  <c r="H368" i="7" s="1"/>
  <c r="GH148" i="7"/>
  <c r="H345" i="7" s="1"/>
  <c r="FI148" i="7"/>
  <c r="H322" i="7" s="1"/>
  <c r="EJ148" i="7"/>
  <c r="H299" i="7" s="1"/>
  <c r="DB148" i="7"/>
  <c r="GX148" i="7"/>
  <c r="H359" i="7" s="1"/>
  <c r="FY148" i="7"/>
  <c r="H336" i="7" s="1"/>
  <c r="EZ148" i="7"/>
  <c r="H313" i="7" s="1"/>
  <c r="EA148" i="7"/>
  <c r="DO148" i="7"/>
  <c r="H279" i="7" s="1"/>
  <c r="HK148" i="7"/>
  <c r="H372" i="7" s="1"/>
  <c r="GL148" i="7"/>
  <c r="H349" i="7" s="1"/>
  <c r="FM148" i="7"/>
  <c r="H326" i="7" s="1"/>
  <c r="EN148" i="7"/>
  <c r="H303" i="7" s="1"/>
  <c r="HJ60" i="7"/>
  <c r="HK60" i="7" s="1"/>
  <c r="GX60" i="7"/>
  <c r="GW61" i="7" s="1"/>
  <c r="HE60" i="7"/>
  <c r="HG60" i="7"/>
  <c r="HC61" i="7"/>
  <c r="GH59" i="7"/>
  <c r="GD60" i="7"/>
  <c r="GK60" i="7"/>
  <c r="GL60" i="7" s="1"/>
  <c r="FY60" i="7"/>
  <c r="FX61" i="7" s="1"/>
  <c r="GF60" i="7"/>
  <c r="FL61" i="7"/>
  <c r="FM61" i="7" s="1"/>
  <c r="EZ61" i="7"/>
  <c r="EY62" i="7" s="1"/>
  <c r="FG61" i="7"/>
  <c r="FI60" i="7"/>
  <c r="FE61" i="7"/>
  <c r="EF62" i="7"/>
  <c r="EJ61" i="7"/>
  <c r="EM61" i="7"/>
  <c r="EN61" i="7" s="1"/>
  <c r="EH61" i="7"/>
  <c r="EA61" i="7"/>
  <c r="DZ62" i="7" s="1"/>
  <c r="DK60" i="7"/>
  <c r="DG61" i="7"/>
  <c r="DN61" i="7"/>
  <c r="DO61" i="7" s="1"/>
  <c r="DB61" i="7"/>
  <c r="DA62" i="7" s="1"/>
  <c r="DI61" i="7"/>
  <c r="BM56" i="8"/>
  <c r="BI57" i="8"/>
  <c r="K56" i="8"/>
  <c r="O55" i="8"/>
  <c r="CH58" i="8"/>
  <c r="CO51" i="8"/>
  <c r="CP51" i="8" s="1"/>
  <c r="CJ51" i="8"/>
  <c r="CC51" i="8"/>
  <c r="CB52" i="8" s="1"/>
  <c r="CL51" i="8"/>
  <c r="AN57" i="8"/>
  <c r="AJ58" i="8"/>
  <c r="BP50" i="8"/>
  <c r="BQ50" i="8" s="1"/>
  <c r="BK50" i="8"/>
  <c r="BD50" i="8"/>
  <c r="BC51" i="8" s="1"/>
  <c r="K175" i="8"/>
  <c r="K296" i="8" s="1"/>
  <c r="O151" i="8"/>
  <c r="K179" i="8" s="1"/>
  <c r="DG56" i="8"/>
  <c r="DK55" i="8"/>
  <c r="R50" i="8"/>
  <c r="S50" i="8" s="1"/>
  <c r="M50" i="8"/>
  <c r="F50" i="8"/>
  <c r="E51" i="8" s="1"/>
  <c r="DN56" i="8"/>
  <c r="DO56" i="8" s="1"/>
  <c r="DB56" i="8"/>
  <c r="DA57" i="8" s="1"/>
  <c r="DI56" i="8"/>
  <c r="AL51" i="8"/>
  <c r="AE51" i="8"/>
  <c r="AD52" i="8" s="1"/>
  <c r="AQ51" i="8"/>
  <c r="AR51" i="8" s="1"/>
  <c r="K290" i="8"/>
  <c r="K315" i="8"/>
  <c r="H183" i="7"/>
  <c r="H184" i="7"/>
  <c r="AE34" i="1"/>
  <c r="AD35" i="1" s="1"/>
  <c r="AQ34" i="1"/>
  <c r="AR34" i="1" s="1"/>
  <c r="AL34" i="1"/>
  <c r="AR36" i="7"/>
  <c r="H217" i="7"/>
  <c r="H384" i="7" s="1"/>
  <c r="H399" i="7" s="1"/>
  <c r="CL148" i="7"/>
  <c r="DK148" i="7"/>
  <c r="H275" i="7" s="1"/>
  <c r="CP148" i="7"/>
  <c r="BQ148" i="7"/>
  <c r="H231" i="7" s="1"/>
  <c r="AJ37" i="7"/>
  <c r="AN37" i="7" s="1"/>
  <c r="E149" i="7"/>
  <c r="R149" i="7" s="1"/>
  <c r="R34" i="7"/>
  <c r="S34" i="7" s="1"/>
  <c r="M34" i="7"/>
  <c r="E35" i="7"/>
  <c r="F35" i="7" s="1"/>
  <c r="AD38" i="7"/>
  <c r="AL37" i="7"/>
  <c r="AQ37" i="7"/>
  <c r="BI39" i="7"/>
  <c r="BM39" i="7" s="1"/>
  <c r="CC148" i="7"/>
  <c r="CB34" i="7"/>
  <c r="BD148" i="7"/>
  <c r="K38" i="7"/>
  <c r="O38" i="7" s="1"/>
  <c r="CH38" i="7"/>
  <c r="V145" i="1"/>
  <c r="E186" i="1" s="1"/>
  <c r="E189" i="1"/>
  <c r="CP7" i="1"/>
  <c r="AL35" i="1"/>
  <c r="BQ28" i="1"/>
  <c r="R7" i="1"/>
  <c r="BP29" i="1"/>
  <c r="BK29" i="1"/>
  <c r="BM29" i="1"/>
  <c r="BD29" i="1"/>
  <c r="E185" i="1"/>
  <c r="CJ7" i="1"/>
  <c r="CL7" i="1"/>
  <c r="B114" i="4"/>
  <c r="B115" i="4" s="1"/>
  <c r="B116" i="4" s="1"/>
  <c r="B117" i="4" s="1"/>
  <c r="B118" i="4" s="1"/>
  <c r="B119" i="4" s="1"/>
  <c r="B107" i="4"/>
  <c r="B108" i="4" s="1"/>
  <c r="B109" i="4" s="1"/>
  <c r="B110" i="4" s="1"/>
  <c r="B111" i="4" s="1"/>
  <c r="B101" i="4"/>
  <c r="B102" i="4" s="1"/>
  <c r="B103" i="4" s="1"/>
  <c r="B104" i="4" s="1"/>
  <c r="B105" i="4" s="1"/>
  <c r="B93" i="4"/>
  <c r="B94" i="4" s="1"/>
  <c r="B95" i="4" s="1"/>
  <c r="B96" i="4" s="1"/>
  <c r="B97" i="4" s="1"/>
  <c r="B98" i="4" s="1"/>
  <c r="B86" i="4"/>
  <c r="B87" i="4" s="1"/>
  <c r="B88" i="4" s="1"/>
  <c r="B89" i="4" s="1"/>
  <c r="B90" i="4" s="1"/>
  <c r="B91" i="4" s="1"/>
  <c r="B72" i="4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65" i="4"/>
  <c r="B66" i="4" s="1"/>
  <c r="B67" i="4" s="1"/>
  <c r="B68" i="4" s="1"/>
  <c r="B58" i="4"/>
  <c r="B59" i="4" s="1"/>
  <c r="B60" i="4" s="1"/>
  <c r="B61" i="4" s="1"/>
  <c r="B62" i="4" s="1"/>
  <c r="B63" i="4" s="1"/>
  <c r="B51" i="4"/>
  <c r="B52" i="4" s="1"/>
  <c r="B53" i="4" s="1"/>
  <c r="B54" i="4" s="1"/>
  <c r="B55" i="4" s="1"/>
  <c r="B56" i="4" s="1"/>
  <c r="B44" i="4"/>
  <c r="B45" i="4" s="1"/>
  <c r="B46" i="4" s="1"/>
  <c r="B47" i="4" s="1"/>
  <c r="B48" i="4" s="1"/>
  <c r="B49" i="4" s="1"/>
  <c r="DG114" i="9" l="1"/>
  <c r="DK113" i="9"/>
  <c r="DN113" i="9"/>
  <c r="DO113" i="9" s="1"/>
  <c r="DI113" i="9"/>
  <c r="DB113" i="9"/>
  <c r="DA114" i="9" s="1"/>
  <c r="CO114" i="9"/>
  <c r="CP114" i="9" s="1"/>
  <c r="CJ114" i="9"/>
  <c r="CC114" i="9"/>
  <c r="CB115" i="9" s="1"/>
  <c r="CH115" i="9"/>
  <c r="CL114" i="9"/>
  <c r="BP113" i="9"/>
  <c r="BQ113" i="9" s="1"/>
  <c r="BD113" i="9"/>
  <c r="BC114" i="9" s="1"/>
  <c r="BK113" i="9"/>
  <c r="BI115" i="9"/>
  <c r="BM115" i="9" s="1"/>
  <c r="AE113" i="9"/>
  <c r="AD114" i="9" s="1"/>
  <c r="AQ113" i="9"/>
  <c r="AR113" i="9" s="1"/>
  <c r="AL113" i="9"/>
  <c r="AN113" i="9"/>
  <c r="AJ114" i="9"/>
  <c r="R100" i="9"/>
  <c r="S100" i="9" s="1"/>
  <c r="E101" i="9"/>
  <c r="F101" i="9" s="1"/>
  <c r="M100" i="9"/>
  <c r="S334" i="9"/>
  <c r="O112" i="9"/>
  <c r="K113" i="9"/>
  <c r="R300" i="9"/>
  <c r="R328" i="9" s="1"/>
  <c r="R331" i="9"/>
  <c r="R302" i="9"/>
  <c r="R329" i="9" s="1"/>
  <c r="H266" i="7"/>
  <c r="H290" i="7"/>
  <c r="H251" i="7"/>
  <c r="H409" i="7"/>
  <c r="H435" i="7" s="1"/>
  <c r="F8" i="5" s="1"/>
  <c r="HJ61" i="7"/>
  <c r="HK61" i="7" s="1"/>
  <c r="GX61" i="7"/>
  <c r="GW62" i="7" s="1"/>
  <c r="HE61" i="7"/>
  <c r="HC62" i="7"/>
  <c r="HG61" i="7"/>
  <c r="GD61" i="7"/>
  <c r="GH60" i="7"/>
  <c r="GK61" i="7"/>
  <c r="GL61" i="7" s="1"/>
  <c r="FY61" i="7"/>
  <c r="FX62" i="7" s="1"/>
  <c r="GF61" i="7"/>
  <c r="EZ62" i="7"/>
  <c r="EY63" i="7" s="1"/>
  <c r="FL62" i="7"/>
  <c r="FM62" i="7" s="1"/>
  <c r="FG62" i="7"/>
  <c r="FE62" i="7"/>
  <c r="FI61" i="7"/>
  <c r="EM62" i="7"/>
  <c r="EN62" i="7" s="1"/>
  <c r="EA62" i="7"/>
  <c r="DZ63" i="7" s="1"/>
  <c r="EH62" i="7"/>
  <c r="EF63" i="7"/>
  <c r="EJ62" i="7"/>
  <c r="DG62" i="7"/>
  <c r="DK61" i="7"/>
  <c r="DB62" i="7"/>
  <c r="DA63" i="7" s="1"/>
  <c r="DI62" i="7"/>
  <c r="DN62" i="7"/>
  <c r="DO62" i="7" s="1"/>
  <c r="K298" i="8"/>
  <c r="K326" i="8" s="1"/>
  <c r="K305" i="8"/>
  <c r="K329" i="8" s="1"/>
  <c r="DK56" i="8"/>
  <c r="DG57" i="8"/>
  <c r="O56" i="8"/>
  <c r="K57" i="8"/>
  <c r="R51" i="8"/>
  <c r="S51" i="8" s="1"/>
  <c r="F51" i="8"/>
  <c r="E52" i="8" s="1"/>
  <c r="M51" i="8"/>
  <c r="BP51" i="8"/>
  <c r="BD51" i="8"/>
  <c r="BC52" i="8" s="1"/>
  <c r="BK51" i="8"/>
  <c r="AN58" i="8"/>
  <c r="AJ59" i="8"/>
  <c r="DN57" i="8"/>
  <c r="DO57" i="8" s="1"/>
  <c r="DI57" i="8"/>
  <c r="DB57" i="8"/>
  <c r="DA58" i="8" s="1"/>
  <c r="CH59" i="8"/>
  <c r="AQ52" i="8"/>
  <c r="AR52" i="8" s="1"/>
  <c r="AE52" i="8"/>
  <c r="AD53" i="8" s="1"/>
  <c r="AL52" i="8"/>
  <c r="BQ51" i="8"/>
  <c r="K332" i="8"/>
  <c r="K300" i="8"/>
  <c r="K327" i="8" s="1"/>
  <c r="CO52" i="8"/>
  <c r="CP52" i="8" s="1"/>
  <c r="CC52" i="8"/>
  <c r="CB53" i="8" s="1"/>
  <c r="CJ52" i="8"/>
  <c r="CL52" i="8"/>
  <c r="BM57" i="8"/>
  <c r="BI58" i="8"/>
  <c r="H423" i="7"/>
  <c r="M149" i="7"/>
  <c r="I169" i="7"/>
  <c r="AE35" i="1"/>
  <c r="AD36" i="1" s="1"/>
  <c r="AQ36" i="1" s="1"/>
  <c r="AQ35" i="1"/>
  <c r="AR37" i="7"/>
  <c r="H242" i="7"/>
  <c r="H255" i="7"/>
  <c r="H218" i="7"/>
  <c r="H392" i="7"/>
  <c r="H420" i="7" s="1"/>
  <c r="H394" i="7"/>
  <c r="H421" i="7" s="1"/>
  <c r="CO34" i="7"/>
  <c r="CC34" i="7"/>
  <c r="CB35" i="7" s="1"/>
  <c r="CJ34" i="7"/>
  <c r="CL34" i="7"/>
  <c r="R35" i="7"/>
  <c r="S35" i="7" s="1"/>
  <c r="E36" i="7"/>
  <c r="F36" i="7" s="1"/>
  <c r="E37" i="7" s="1"/>
  <c r="F37" i="7" s="1"/>
  <c r="E38" i="7" s="1"/>
  <c r="F38" i="7" s="1"/>
  <c r="E39" i="7" s="1"/>
  <c r="M35" i="7"/>
  <c r="CH39" i="7"/>
  <c r="AJ38" i="7"/>
  <c r="AN38" i="7" s="1"/>
  <c r="BC149" i="7"/>
  <c r="BP149" i="7" s="1"/>
  <c r="BD34" i="7"/>
  <c r="BC35" i="7" s="1"/>
  <c r="BP34" i="7"/>
  <c r="BK34" i="7"/>
  <c r="AQ38" i="7"/>
  <c r="AE38" i="7"/>
  <c r="AD39" i="7" s="1"/>
  <c r="AL38" i="7"/>
  <c r="K39" i="7"/>
  <c r="O39" i="7" s="1"/>
  <c r="BI40" i="7"/>
  <c r="BM40" i="7" s="1"/>
  <c r="AR35" i="1"/>
  <c r="BQ29" i="1"/>
  <c r="AL36" i="1"/>
  <c r="BP30" i="1"/>
  <c r="BK30" i="1"/>
  <c r="BD30" i="1"/>
  <c r="BM30" i="1"/>
  <c r="BI31" i="1"/>
  <c r="V9" i="4"/>
  <c r="V10" i="4" s="1"/>
  <c r="V11" i="4" s="1"/>
  <c r="V12" i="4" s="1"/>
  <c r="V13" i="4" s="1"/>
  <c r="V14" i="4" s="1"/>
  <c r="V181" i="4" s="1"/>
  <c r="F220" i="4" s="1"/>
  <c r="O8" i="4"/>
  <c r="H419" i="7" l="1"/>
  <c r="DK114" i="9"/>
  <c r="DG115" i="9"/>
  <c r="DN114" i="9"/>
  <c r="DO114" i="9" s="1"/>
  <c r="DB114" i="9"/>
  <c r="DA115" i="9" s="1"/>
  <c r="DI114" i="9"/>
  <c r="CO115" i="9"/>
  <c r="CP115" i="9" s="1"/>
  <c r="CC115" i="9"/>
  <c r="CB116" i="9" s="1"/>
  <c r="CJ115" i="9"/>
  <c r="CL115" i="9"/>
  <c r="CH116" i="9"/>
  <c r="BP114" i="9"/>
  <c r="BQ114" i="9" s="1"/>
  <c r="BD114" i="9"/>
  <c r="BC115" i="9" s="1"/>
  <c r="BK114" i="9"/>
  <c r="BI116" i="9"/>
  <c r="BM116" i="9" s="1"/>
  <c r="AJ115" i="9"/>
  <c r="AN114" i="9"/>
  <c r="AQ114" i="9"/>
  <c r="AR114" i="9" s="1"/>
  <c r="AE114" i="9"/>
  <c r="AD115" i="9" s="1"/>
  <c r="AL114" i="9"/>
  <c r="DO159" i="9"/>
  <c r="S279" i="9" s="1"/>
  <c r="K114" i="9"/>
  <c r="O113" i="9"/>
  <c r="R101" i="9"/>
  <c r="S101" i="9" s="1"/>
  <c r="E102" i="9"/>
  <c r="F102" i="9" s="1"/>
  <c r="M101" i="9"/>
  <c r="DB159" i="9"/>
  <c r="HJ62" i="7"/>
  <c r="HK62" i="7" s="1"/>
  <c r="GX62" i="7"/>
  <c r="GW63" i="7" s="1"/>
  <c r="HE62" i="7"/>
  <c r="HG62" i="7"/>
  <c r="HC63" i="7"/>
  <c r="GH61" i="7"/>
  <c r="GD62" i="7"/>
  <c r="GK62" i="7"/>
  <c r="GL62" i="7" s="1"/>
  <c r="FY62" i="7"/>
  <c r="FX63" i="7" s="1"/>
  <c r="GF62" i="7"/>
  <c r="FG63" i="7"/>
  <c r="FL63" i="7"/>
  <c r="FM63" i="7" s="1"/>
  <c r="EZ63" i="7"/>
  <c r="EY64" i="7" s="1"/>
  <c r="FE63" i="7"/>
  <c r="FI62" i="7"/>
  <c r="EA63" i="7"/>
  <c r="DZ64" i="7" s="1"/>
  <c r="EH63" i="7"/>
  <c r="EM63" i="7"/>
  <c r="EN63" i="7" s="1"/>
  <c r="EJ63" i="7"/>
  <c r="EF64" i="7"/>
  <c r="DN63" i="7"/>
  <c r="DO63" i="7" s="1"/>
  <c r="DB63" i="7"/>
  <c r="DA64" i="7" s="1"/>
  <c r="DI63" i="7"/>
  <c r="DG63" i="7"/>
  <c r="DK62" i="7"/>
  <c r="CP53" i="8"/>
  <c r="BM58" i="8"/>
  <c r="BI59" i="8"/>
  <c r="CO53" i="8"/>
  <c r="CC53" i="8"/>
  <c r="CB54" i="8" s="1"/>
  <c r="CJ53" i="8"/>
  <c r="CL53" i="8"/>
  <c r="BP52" i="8"/>
  <c r="BQ52" i="8" s="1"/>
  <c r="BK52" i="8"/>
  <c r="BD52" i="8"/>
  <c r="BC53" i="8" s="1"/>
  <c r="R52" i="8"/>
  <c r="S52" i="8" s="1"/>
  <c r="F52" i="8"/>
  <c r="E53" i="8" s="1"/>
  <c r="M52" i="8"/>
  <c r="CH60" i="8"/>
  <c r="AJ60" i="8"/>
  <c r="AN59" i="8"/>
  <c r="K58" i="8"/>
  <c r="O57" i="8"/>
  <c r="DG58" i="8"/>
  <c r="DK57" i="8"/>
  <c r="AQ53" i="8"/>
  <c r="AR53" i="8" s="1"/>
  <c r="AL53" i="8"/>
  <c r="AE53" i="8"/>
  <c r="AD54" i="8" s="1"/>
  <c r="DN58" i="8"/>
  <c r="DO58" i="8" s="1"/>
  <c r="DB58" i="8"/>
  <c r="DA59" i="8" s="1"/>
  <c r="DI58" i="8"/>
  <c r="AR38" i="7"/>
  <c r="H385" i="7"/>
  <c r="AE36" i="1"/>
  <c r="AD37" i="1" s="1"/>
  <c r="AQ37" i="1" s="1"/>
  <c r="I217" i="7"/>
  <c r="K40" i="7"/>
  <c r="O40" i="7" s="1"/>
  <c r="BP35" i="7"/>
  <c r="BK35" i="7"/>
  <c r="BD35" i="7"/>
  <c r="BC36" i="7" s="1"/>
  <c r="R36" i="7"/>
  <c r="S36" i="7" s="1"/>
  <c r="M36" i="7"/>
  <c r="CO35" i="7"/>
  <c r="CC35" i="7"/>
  <c r="CB36" i="7" s="1"/>
  <c r="CJ35" i="7"/>
  <c r="CL35" i="7"/>
  <c r="BI149" i="7"/>
  <c r="BI41" i="7"/>
  <c r="BM41" i="7" s="1"/>
  <c r="CH40" i="7"/>
  <c r="CP34" i="7"/>
  <c r="AJ39" i="7"/>
  <c r="AN39" i="7" s="1"/>
  <c r="AQ39" i="7"/>
  <c r="AE39" i="7"/>
  <c r="AD40" i="7" s="1"/>
  <c r="AL39" i="7"/>
  <c r="BQ34" i="7"/>
  <c r="BQ30" i="1"/>
  <c r="AR36" i="1"/>
  <c r="AJ38" i="1"/>
  <c r="BP31" i="1"/>
  <c r="BK31" i="1"/>
  <c r="BD31" i="1"/>
  <c r="BI32" i="1"/>
  <c r="BM31" i="1"/>
  <c r="G4" i="3"/>
  <c r="BO8" i="4"/>
  <c r="DG116" i="9" l="1"/>
  <c r="DK115" i="9"/>
  <c r="DN115" i="9"/>
  <c r="DO115" i="9" s="1"/>
  <c r="DB115" i="9"/>
  <c r="DA116" i="9" s="1"/>
  <c r="DI115" i="9"/>
  <c r="CO116" i="9"/>
  <c r="CP116" i="9" s="1"/>
  <c r="CJ116" i="9"/>
  <c r="CC116" i="9"/>
  <c r="CB117" i="9" s="1"/>
  <c r="CH117" i="9"/>
  <c r="CL116" i="9"/>
  <c r="BD115" i="9"/>
  <c r="BC116" i="9" s="1"/>
  <c r="BK115" i="9"/>
  <c r="BP115" i="9"/>
  <c r="BQ115" i="9" s="1"/>
  <c r="BI117" i="9"/>
  <c r="BM117" i="9" s="1"/>
  <c r="AN115" i="9"/>
  <c r="AJ116" i="9"/>
  <c r="AL115" i="9"/>
  <c r="AQ115" i="9"/>
  <c r="AR115" i="9" s="1"/>
  <c r="AE115" i="9"/>
  <c r="AD116" i="9" s="1"/>
  <c r="S266" i="9"/>
  <c r="R102" i="9"/>
  <c r="S102" i="9" s="1"/>
  <c r="M102" i="9"/>
  <c r="E103" i="9"/>
  <c r="F103" i="9" s="1"/>
  <c r="DA160" i="9"/>
  <c r="K115" i="9"/>
  <c r="O114" i="9"/>
  <c r="DG149" i="7"/>
  <c r="I271" i="7" s="1"/>
  <c r="HC149" i="7"/>
  <c r="I364" i="7" s="1"/>
  <c r="GD149" i="7"/>
  <c r="I341" i="7" s="1"/>
  <c r="FE149" i="7"/>
  <c r="I318" i="7" s="1"/>
  <c r="EF149" i="7"/>
  <c r="I295" i="7" s="1"/>
  <c r="AR39" i="7"/>
  <c r="HJ63" i="7"/>
  <c r="HK63" i="7" s="1"/>
  <c r="HE63" i="7"/>
  <c r="GX63" i="7"/>
  <c r="GW64" i="7" s="1"/>
  <c r="HC64" i="7"/>
  <c r="HG63" i="7"/>
  <c r="GD63" i="7"/>
  <c r="GH62" i="7"/>
  <c r="GK63" i="7"/>
  <c r="GL63" i="7" s="1"/>
  <c r="FY63" i="7"/>
  <c r="FX64" i="7" s="1"/>
  <c r="GF63" i="7"/>
  <c r="FL64" i="7"/>
  <c r="FM64" i="7" s="1"/>
  <c r="FG64" i="7"/>
  <c r="EZ64" i="7"/>
  <c r="EY65" i="7" s="1"/>
  <c r="FI63" i="7"/>
  <c r="FE64" i="7"/>
  <c r="EJ64" i="7"/>
  <c r="EF65" i="7"/>
  <c r="EM64" i="7"/>
  <c r="EN64" i="7" s="1"/>
  <c r="EA64" i="7"/>
  <c r="DZ65" i="7" s="1"/>
  <c r="EH64" i="7"/>
  <c r="DK63" i="7"/>
  <c r="DG64" i="7"/>
  <c r="DB64" i="7"/>
  <c r="DA65" i="7" s="1"/>
  <c r="DI64" i="7"/>
  <c r="DN64" i="7"/>
  <c r="DO64" i="7" s="1"/>
  <c r="AQ54" i="8"/>
  <c r="AR54" i="8" s="1"/>
  <c r="AL54" i="8"/>
  <c r="AE54" i="8"/>
  <c r="AN60" i="8"/>
  <c r="AJ61" i="8"/>
  <c r="DK58" i="8"/>
  <c r="DG59" i="8"/>
  <c r="R53" i="8"/>
  <c r="S53" i="8" s="1"/>
  <c r="F53" i="8"/>
  <c r="E54" i="8" s="1"/>
  <c r="M53" i="8"/>
  <c r="CO54" i="8"/>
  <c r="CC54" i="8"/>
  <c r="CJ54" i="8"/>
  <c r="CL54" i="8"/>
  <c r="CP54" i="8"/>
  <c r="DI59" i="8"/>
  <c r="DB59" i="8"/>
  <c r="DA60" i="8" s="1"/>
  <c r="DN59" i="8"/>
  <c r="DO59" i="8" s="1"/>
  <c r="O58" i="8"/>
  <c r="K59" i="8"/>
  <c r="CH61" i="8"/>
  <c r="BP53" i="8"/>
  <c r="BQ53" i="8" s="1"/>
  <c r="BD53" i="8"/>
  <c r="BC54" i="8" s="1"/>
  <c r="BK53" i="8"/>
  <c r="BI60" i="8"/>
  <c r="BM59" i="8"/>
  <c r="AL37" i="1"/>
  <c r="AE37" i="1"/>
  <c r="AD38" i="1" s="1"/>
  <c r="AE38" i="1" s="1"/>
  <c r="AD39" i="1" s="1"/>
  <c r="BQ31" i="1"/>
  <c r="I223" i="7"/>
  <c r="BQ35" i="7"/>
  <c r="AJ40" i="7"/>
  <c r="AN40" i="7" s="1"/>
  <c r="BI42" i="7"/>
  <c r="BM42" i="7" s="1"/>
  <c r="BP36" i="7"/>
  <c r="BK36" i="7"/>
  <c r="BD36" i="7"/>
  <c r="BC37" i="7" s="1"/>
  <c r="BD37" i="7" s="1"/>
  <c r="K149" i="7"/>
  <c r="O149" i="7" s="1"/>
  <c r="K41" i="7"/>
  <c r="O41" i="7" s="1"/>
  <c r="AQ40" i="7"/>
  <c r="AE40" i="7"/>
  <c r="AL40" i="7"/>
  <c r="CH149" i="7"/>
  <c r="CH41" i="7"/>
  <c r="CP35" i="7"/>
  <c r="CO36" i="7"/>
  <c r="CC36" i="7"/>
  <c r="CB37" i="7" s="1"/>
  <c r="CJ36" i="7"/>
  <c r="CL36" i="7"/>
  <c r="R37" i="7"/>
  <c r="S37" i="7" s="1"/>
  <c r="M37" i="7"/>
  <c r="AR37" i="1"/>
  <c r="AQ38" i="1"/>
  <c r="AL38" i="1"/>
  <c r="AJ39" i="1"/>
  <c r="BP32" i="1"/>
  <c r="BQ32" i="1" s="1"/>
  <c r="BK32" i="1"/>
  <c r="BD32" i="1"/>
  <c r="BC33" i="1" s="1"/>
  <c r="BC148" i="1" s="1"/>
  <c r="H217" i="1" s="1"/>
  <c r="BM32" i="1"/>
  <c r="BI33" i="1"/>
  <c r="BI34" i="1" s="1"/>
  <c r="F333" i="4"/>
  <c r="F350" i="4" s="1"/>
  <c r="I6" i="3"/>
  <c r="G335" i="4"/>
  <c r="DG117" i="9" l="1"/>
  <c r="DK116" i="9"/>
  <c r="DN116" i="9"/>
  <c r="DO116" i="9" s="1"/>
  <c r="DI116" i="9"/>
  <c r="DB116" i="9"/>
  <c r="DA117" i="9" s="1"/>
  <c r="CO117" i="9"/>
  <c r="CP117" i="9" s="1"/>
  <c r="CC117" i="9"/>
  <c r="CB118" i="9" s="1"/>
  <c r="CJ117" i="9"/>
  <c r="CL117" i="9"/>
  <c r="CH118" i="9"/>
  <c r="BI118" i="9"/>
  <c r="BM118" i="9" s="1"/>
  <c r="BP116" i="9"/>
  <c r="BQ116" i="9" s="1"/>
  <c r="BD116" i="9"/>
  <c r="BC117" i="9" s="1"/>
  <c r="BK116" i="9"/>
  <c r="AN116" i="9"/>
  <c r="AJ117" i="9"/>
  <c r="AQ116" i="9"/>
  <c r="AR116" i="9" s="1"/>
  <c r="AE116" i="9"/>
  <c r="AD117" i="9" s="1"/>
  <c r="AL116" i="9"/>
  <c r="AR158" i="9"/>
  <c r="R206" i="9" s="1"/>
  <c r="CP158" i="9"/>
  <c r="R255" i="9" s="1"/>
  <c r="O115" i="9"/>
  <c r="K116" i="9"/>
  <c r="T265" i="9"/>
  <c r="DN160" i="9"/>
  <c r="T278" i="9" s="1"/>
  <c r="AJ160" i="9"/>
  <c r="CC158" i="9"/>
  <c r="R242" i="9" s="1"/>
  <c r="R103" i="9"/>
  <c r="S103" i="9" s="1"/>
  <c r="E104" i="9"/>
  <c r="F104" i="9" s="1"/>
  <c r="M103" i="9"/>
  <c r="AE158" i="9"/>
  <c r="R193" i="9" s="1"/>
  <c r="AR40" i="7"/>
  <c r="AR149" i="7" s="1"/>
  <c r="I206" i="7" s="1"/>
  <c r="HJ64" i="7"/>
  <c r="HK64" i="7" s="1"/>
  <c r="GX64" i="7"/>
  <c r="GW65" i="7" s="1"/>
  <c r="HE64" i="7"/>
  <c r="HG64" i="7"/>
  <c r="HC65" i="7"/>
  <c r="GH63" i="7"/>
  <c r="GD64" i="7"/>
  <c r="GK64" i="7"/>
  <c r="GL64" i="7" s="1"/>
  <c r="FY64" i="7"/>
  <c r="FX65" i="7" s="1"/>
  <c r="GF64" i="7"/>
  <c r="FL65" i="7"/>
  <c r="FM65" i="7" s="1"/>
  <c r="EZ65" i="7"/>
  <c r="EY66" i="7" s="1"/>
  <c r="FG65" i="7"/>
  <c r="FI64" i="7"/>
  <c r="FE65" i="7"/>
  <c r="EF66" i="7"/>
  <c r="EJ65" i="7"/>
  <c r="EM65" i="7"/>
  <c r="EN65" i="7" s="1"/>
  <c r="EH65" i="7"/>
  <c r="EA65" i="7"/>
  <c r="DZ66" i="7" s="1"/>
  <c r="DN65" i="7"/>
  <c r="DO65" i="7" s="1"/>
  <c r="DB65" i="7"/>
  <c r="DA66" i="7" s="1"/>
  <c r="DI65" i="7"/>
  <c r="DK64" i="7"/>
  <c r="DG65" i="7"/>
  <c r="O59" i="8"/>
  <c r="K60" i="8"/>
  <c r="DO151" i="8"/>
  <c r="K278" i="8" s="1"/>
  <c r="CP151" i="8"/>
  <c r="K255" i="8" s="1"/>
  <c r="DK59" i="8"/>
  <c r="DG60" i="8"/>
  <c r="AE151" i="8"/>
  <c r="K193" i="8" s="1"/>
  <c r="AD55" i="8"/>
  <c r="BM60" i="8"/>
  <c r="BI61" i="8"/>
  <c r="DK151" i="8"/>
  <c r="K274" i="8" s="1"/>
  <c r="CL151" i="8"/>
  <c r="K251" i="8" s="1"/>
  <c r="BP54" i="8"/>
  <c r="BQ54" i="8" s="1"/>
  <c r="BD54" i="8"/>
  <c r="BK54" i="8"/>
  <c r="CC151" i="8"/>
  <c r="K242" i="8" s="1"/>
  <c r="DB151" i="8"/>
  <c r="K265" i="8" s="1"/>
  <c r="CB55" i="8"/>
  <c r="AR151" i="8"/>
  <c r="K206" i="8" s="1"/>
  <c r="CH152" i="8"/>
  <c r="L247" i="8" s="1"/>
  <c r="DG152" i="8"/>
  <c r="L270" i="8" s="1"/>
  <c r="CH62" i="8"/>
  <c r="DN60" i="8"/>
  <c r="DO60" i="8" s="1"/>
  <c r="DB60" i="8"/>
  <c r="DA61" i="8" s="1"/>
  <c r="DI60" i="8"/>
  <c r="R54" i="8"/>
  <c r="S54" i="8" s="1"/>
  <c r="F54" i="8"/>
  <c r="M54" i="8"/>
  <c r="AJ152" i="8"/>
  <c r="AJ62" i="8"/>
  <c r="AN61" i="8"/>
  <c r="BQ36" i="7"/>
  <c r="AD41" i="7"/>
  <c r="AD150" i="7" s="1"/>
  <c r="AQ150" i="7" s="1"/>
  <c r="AE149" i="7"/>
  <c r="I193" i="7" s="1"/>
  <c r="AR38" i="1"/>
  <c r="I247" i="7"/>
  <c r="BI43" i="7"/>
  <c r="BM43" i="7" s="1"/>
  <c r="CP36" i="7"/>
  <c r="K42" i="7"/>
  <c r="O42" i="7" s="1"/>
  <c r="BP37" i="7"/>
  <c r="BC38" i="7"/>
  <c r="BD38" i="7" s="1"/>
  <c r="BK37" i="7"/>
  <c r="M38" i="7"/>
  <c r="R38" i="7"/>
  <c r="S38" i="7" s="1"/>
  <c r="F39" i="7"/>
  <c r="E40" i="7" s="1"/>
  <c r="CO37" i="7"/>
  <c r="CJ37" i="7"/>
  <c r="CC37" i="7"/>
  <c r="CB38" i="7" s="1"/>
  <c r="CL37" i="7"/>
  <c r="CH42" i="7"/>
  <c r="I179" i="7"/>
  <c r="I175" i="7"/>
  <c r="AJ149" i="7"/>
  <c r="AJ41" i="7"/>
  <c r="AN41" i="7" s="1"/>
  <c r="BI148" i="1"/>
  <c r="H223" i="1" s="1"/>
  <c r="AQ39" i="1"/>
  <c r="AE39" i="1"/>
  <c r="AD40" i="1" s="1"/>
  <c r="AL39" i="1"/>
  <c r="AN39" i="1"/>
  <c r="AJ40" i="1"/>
  <c r="AJ149" i="1" s="1"/>
  <c r="AN149" i="1" s="1"/>
  <c r="BP33" i="1"/>
  <c r="BQ33" i="1" s="1"/>
  <c r="BQ148" i="1" s="1"/>
  <c r="BK33" i="1"/>
  <c r="BD33" i="1"/>
  <c r="BD148" i="1" s="1"/>
  <c r="BM148" i="1"/>
  <c r="I7" i="3"/>
  <c r="H335" i="4"/>
  <c r="DK117" i="9" l="1"/>
  <c r="DG118" i="9"/>
  <c r="DI117" i="9"/>
  <c r="DN117" i="9"/>
  <c r="DO117" i="9" s="1"/>
  <c r="DB117" i="9"/>
  <c r="DA118" i="9" s="1"/>
  <c r="CO118" i="9"/>
  <c r="CP118" i="9" s="1"/>
  <c r="CJ118" i="9"/>
  <c r="CC118" i="9"/>
  <c r="CB119" i="9" s="1"/>
  <c r="CH119" i="9"/>
  <c r="CL118" i="9"/>
  <c r="BI119" i="9"/>
  <c r="BM119" i="9" s="1"/>
  <c r="BP117" i="9"/>
  <c r="BQ117" i="9" s="1"/>
  <c r="BD117" i="9"/>
  <c r="BC118" i="9" s="1"/>
  <c r="BK117" i="9"/>
  <c r="AJ118" i="9"/>
  <c r="AN117" i="9"/>
  <c r="AQ117" i="9"/>
  <c r="AR117" i="9" s="1"/>
  <c r="AE117" i="9"/>
  <c r="AD118" i="9" s="1"/>
  <c r="AL117" i="9"/>
  <c r="S158" i="9"/>
  <c r="R183" i="9" s="1"/>
  <c r="BQ158" i="9"/>
  <c r="R231" i="9" s="1"/>
  <c r="AD159" i="9"/>
  <c r="BI160" i="9"/>
  <c r="T223" i="9" s="1"/>
  <c r="BM160" i="9"/>
  <c r="T227" i="9" s="1"/>
  <c r="CB159" i="9"/>
  <c r="BD158" i="9"/>
  <c r="R218" i="9" s="1"/>
  <c r="T198" i="9"/>
  <c r="F158" i="9"/>
  <c r="R170" i="9" s="1"/>
  <c r="CH160" i="9"/>
  <c r="T247" i="9" s="1"/>
  <c r="CL160" i="9"/>
  <c r="T251" i="9" s="1"/>
  <c r="K117" i="9"/>
  <c r="O116" i="9"/>
  <c r="GX65" i="7"/>
  <c r="GW66" i="7" s="1"/>
  <c r="HE65" i="7"/>
  <c r="HJ65" i="7"/>
  <c r="HK65" i="7" s="1"/>
  <c r="HC66" i="7"/>
  <c r="HG65" i="7"/>
  <c r="GD65" i="7"/>
  <c r="GH64" i="7"/>
  <c r="GK65" i="7"/>
  <c r="GL65" i="7" s="1"/>
  <c r="FY65" i="7"/>
  <c r="FX66" i="7" s="1"/>
  <c r="GF65" i="7"/>
  <c r="FL66" i="7"/>
  <c r="FM66" i="7" s="1"/>
  <c r="EZ66" i="7"/>
  <c r="EY67" i="7" s="1"/>
  <c r="FG66" i="7"/>
  <c r="FE66" i="7"/>
  <c r="FI65" i="7"/>
  <c r="EM66" i="7"/>
  <c r="EN66" i="7" s="1"/>
  <c r="EA66" i="7"/>
  <c r="DZ67" i="7" s="1"/>
  <c r="EH66" i="7"/>
  <c r="EJ66" i="7"/>
  <c r="EF67" i="7"/>
  <c r="DN66" i="7"/>
  <c r="DO66" i="7" s="1"/>
  <c r="DB66" i="7"/>
  <c r="DA67" i="7" s="1"/>
  <c r="DI66" i="7"/>
  <c r="DK65" i="7"/>
  <c r="DG66" i="7"/>
  <c r="S151" i="8"/>
  <c r="K183" i="8" s="1"/>
  <c r="BQ151" i="8"/>
  <c r="K231" i="8" s="1"/>
  <c r="AJ63" i="8"/>
  <c r="AN62" i="8"/>
  <c r="L198" i="8"/>
  <c r="CH63" i="8"/>
  <c r="AD152" i="8"/>
  <c r="AQ55" i="8"/>
  <c r="AR55" i="8" s="1"/>
  <c r="AE55" i="8"/>
  <c r="AD56" i="8" s="1"/>
  <c r="AL55" i="8"/>
  <c r="DI61" i="8"/>
  <c r="DN61" i="8"/>
  <c r="DO61" i="8" s="1"/>
  <c r="DB61" i="8"/>
  <c r="DA62" i="8" s="1"/>
  <c r="DA152" i="8"/>
  <c r="L264" i="8" s="1"/>
  <c r="CB152" i="8"/>
  <c r="L241" i="8" s="1"/>
  <c r="CO55" i="8"/>
  <c r="CC55" i="8"/>
  <c r="CB56" i="8" s="1"/>
  <c r="CJ55" i="8"/>
  <c r="CL55" i="8"/>
  <c r="BD151" i="8"/>
  <c r="K218" i="8" s="1"/>
  <c r="BC55" i="8"/>
  <c r="BI152" i="8"/>
  <c r="L223" i="8" s="1"/>
  <c r="BI62" i="8"/>
  <c r="BM61" i="8"/>
  <c r="BM152" i="8" s="1"/>
  <c r="L227" i="8" s="1"/>
  <c r="DG61" i="8"/>
  <c r="DK60" i="8"/>
  <c r="F151" i="8"/>
  <c r="K170" i="8" s="1"/>
  <c r="E55" i="8"/>
  <c r="K61" i="8"/>
  <c r="O60" i="8"/>
  <c r="I198" i="7"/>
  <c r="I390" i="7" s="1"/>
  <c r="AN149" i="7"/>
  <c r="I202" i="7" s="1"/>
  <c r="BQ37" i="7"/>
  <c r="AE41" i="7"/>
  <c r="AD42" i="7" s="1"/>
  <c r="AL42" i="7" s="1"/>
  <c r="AL41" i="7"/>
  <c r="AQ41" i="7"/>
  <c r="AR39" i="1"/>
  <c r="BP38" i="7"/>
  <c r="BC39" i="7"/>
  <c r="BK38" i="7"/>
  <c r="CP37" i="7"/>
  <c r="CO38" i="7"/>
  <c r="CJ38" i="7"/>
  <c r="CC38" i="7"/>
  <c r="CB39" i="7" s="1"/>
  <c r="CL38" i="7"/>
  <c r="R39" i="7"/>
  <c r="S39" i="7" s="1"/>
  <c r="F40" i="7"/>
  <c r="M39" i="7"/>
  <c r="K43" i="7"/>
  <c r="O43" i="7" s="1"/>
  <c r="BI44" i="7"/>
  <c r="BM44" i="7" s="1"/>
  <c r="I202" i="1"/>
  <c r="I198" i="1"/>
  <c r="AJ42" i="7"/>
  <c r="AN42" i="7" s="1"/>
  <c r="CH43" i="7"/>
  <c r="AR41" i="7"/>
  <c r="AQ40" i="1"/>
  <c r="AR40" i="1" s="1"/>
  <c r="AR149" i="1" s="1"/>
  <c r="I206" i="1" s="1"/>
  <c r="AL40" i="1"/>
  <c r="AE40" i="1"/>
  <c r="AD41" i="1" s="1"/>
  <c r="AJ41" i="1"/>
  <c r="AN40" i="1"/>
  <c r="BC34" i="1"/>
  <c r="BC149" i="1" s="1"/>
  <c r="I217" i="1" s="1"/>
  <c r="H218" i="1"/>
  <c r="BI35" i="1"/>
  <c r="I8" i="3"/>
  <c r="I335" i="4"/>
  <c r="J7" i="1"/>
  <c r="M7" i="1" s="1"/>
  <c r="DX8" i="4"/>
  <c r="DZ8" i="4" s="1"/>
  <c r="DV9" i="4"/>
  <c r="DV10" i="4" s="1"/>
  <c r="DU15" i="4"/>
  <c r="DU22" i="4"/>
  <c r="DU29" i="4"/>
  <c r="DU36" i="4"/>
  <c r="DU43" i="4"/>
  <c r="DU50" i="4"/>
  <c r="DU57" i="4"/>
  <c r="DU64" i="4"/>
  <c r="DU71" i="4"/>
  <c r="DU78" i="4"/>
  <c r="DU85" i="4"/>
  <c r="DU92" i="4"/>
  <c r="DU99" i="4"/>
  <c r="DU106" i="4"/>
  <c r="DU113" i="4"/>
  <c r="DU120" i="4"/>
  <c r="DU127" i="4"/>
  <c r="DU8" i="4"/>
  <c r="DW8" i="4" s="1"/>
  <c r="DR15" i="4"/>
  <c r="DR22" i="4"/>
  <c r="DR29" i="4"/>
  <c r="DR36" i="4"/>
  <c r="DR43" i="4"/>
  <c r="DR50" i="4"/>
  <c r="DR57" i="4"/>
  <c r="DR64" i="4"/>
  <c r="DR71" i="4"/>
  <c r="DR78" i="4"/>
  <c r="DR85" i="4"/>
  <c r="DR92" i="4"/>
  <c r="DR99" i="4"/>
  <c r="DR106" i="4"/>
  <c r="DR113" i="4"/>
  <c r="DR120" i="4"/>
  <c r="DR127" i="4"/>
  <c r="DR8" i="4"/>
  <c r="DO8" i="4"/>
  <c r="DM15" i="4"/>
  <c r="DM22" i="4"/>
  <c r="DM29" i="4"/>
  <c r="DM36" i="4"/>
  <c r="DM43" i="4"/>
  <c r="DK10" i="4"/>
  <c r="DY128" i="4"/>
  <c r="DY129" i="4" s="1"/>
  <c r="DY130" i="4" s="1"/>
  <c r="DY131" i="4" s="1"/>
  <c r="DY132" i="4" s="1"/>
  <c r="DY133" i="4" s="1"/>
  <c r="DY198" i="4" s="1"/>
  <c r="W319" i="4" s="1"/>
  <c r="DY121" i="4"/>
  <c r="DY122" i="4" s="1"/>
  <c r="DY123" i="4" s="1"/>
  <c r="DY124" i="4" s="1"/>
  <c r="DY125" i="4" s="1"/>
  <c r="DY126" i="4" s="1"/>
  <c r="DY197" i="4" s="1"/>
  <c r="V319" i="4" s="1"/>
  <c r="DY114" i="4"/>
  <c r="DY115" i="4" s="1"/>
  <c r="DY116" i="4" s="1"/>
  <c r="DY117" i="4" s="1"/>
  <c r="DY118" i="4" s="1"/>
  <c r="DY119" i="4" s="1"/>
  <c r="DY196" i="4" s="1"/>
  <c r="U319" i="4" s="1"/>
  <c r="DY107" i="4"/>
  <c r="DY108" i="4" s="1"/>
  <c r="DY109" i="4" s="1"/>
  <c r="DY110" i="4" s="1"/>
  <c r="DY111" i="4" s="1"/>
  <c r="DY112" i="4" s="1"/>
  <c r="DY195" i="4" s="1"/>
  <c r="T319" i="4" s="1"/>
  <c r="DY100" i="4"/>
  <c r="DY101" i="4" s="1"/>
  <c r="DY102" i="4" s="1"/>
  <c r="DY103" i="4" s="1"/>
  <c r="DY104" i="4" s="1"/>
  <c r="DY105" i="4" s="1"/>
  <c r="DY194" i="4" s="1"/>
  <c r="S319" i="4" s="1"/>
  <c r="DY93" i="4"/>
  <c r="DY94" i="4" s="1"/>
  <c r="DY95" i="4" s="1"/>
  <c r="DY96" i="4" s="1"/>
  <c r="DY97" i="4" s="1"/>
  <c r="DY98" i="4" s="1"/>
  <c r="DY193" i="4" s="1"/>
  <c r="R319" i="4" s="1"/>
  <c r="DY86" i="4"/>
  <c r="DY87" i="4" s="1"/>
  <c r="DY88" i="4" s="1"/>
  <c r="DY89" i="4" s="1"/>
  <c r="DY90" i="4" s="1"/>
  <c r="DY91" i="4" s="1"/>
  <c r="DY192" i="4" s="1"/>
  <c r="Q319" i="4" s="1"/>
  <c r="DY79" i="4"/>
  <c r="DY80" i="4" s="1"/>
  <c r="DY81" i="4" s="1"/>
  <c r="DY82" i="4" s="1"/>
  <c r="DY83" i="4" s="1"/>
  <c r="DY84" i="4" s="1"/>
  <c r="DY191" i="4" s="1"/>
  <c r="P319" i="4" s="1"/>
  <c r="DY72" i="4"/>
  <c r="DY73" i="4" s="1"/>
  <c r="DY74" i="4" s="1"/>
  <c r="DY75" i="4" s="1"/>
  <c r="DY76" i="4" s="1"/>
  <c r="DY77" i="4" s="1"/>
  <c r="DY190" i="4" s="1"/>
  <c r="O319" i="4" s="1"/>
  <c r="DY65" i="4"/>
  <c r="DY66" i="4" s="1"/>
  <c r="DY67" i="4" s="1"/>
  <c r="DY68" i="4" s="1"/>
  <c r="DY69" i="4" s="1"/>
  <c r="DY70" i="4" s="1"/>
  <c r="DY189" i="4" s="1"/>
  <c r="N319" i="4" s="1"/>
  <c r="DY58" i="4"/>
  <c r="DY59" i="4" s="1"/>
  <c r="DY60" i="4" s="1"/>
  <c r="DY61" i="4" s="1"/>
  <c r="DY62" i="4" s="1"/>
  <c r="DY63" i="4" s="1"/>
  <c r="DY188" i="4" s="1"/>
  <c r="M319" i="4" s="1"/>
  <c r="DY51" i="4"/>
  <c r="DY52" i="4" s="1"/>
  <c r="DY53" i="4" s="1"/>
  <c r="DY54" i="4" s="1"/>
  <c r="DY55" i="4" s="1"/>
  <c r="DY56" i="4" s="1"/>
  <c r="DY187" i="4" s="1"/>
  <c r="L319" i="4" s="1"/>
  <c r="DY44" i="4"/>
  <c r="DY45" i="4" s="1"/>
  <c r="DY46" i="4" s="1"/>
  <c r="DY47" i="4" s="1"/>
  <c r="DY48" i="4" s="1"/>
  <c r="DY49" i="4" s="1"/>
  <c r="DY186" i="4" s="1"/>
  <c r="K319" i="4" s="1"/>
  <c r="DY37" i="4"/>
  <c r="DY38" i="4" s="1"/>
  <c r="DY39" i="4" s="1"/>
  <c r="DY40" i="4" s="1"/>
  <c r="DY41" i="4" s="1"/>
  <c r="DY42" i="4" s="1"/>
  <c r="DY185" i="4" s="1"/>
  <c r="J319" i="4" s="1"/>
  <c r="DY30" i="4"/>
  <c r="DY31" i="4" s="1"/>
  <c r="DY32" i="4" s="1"/>
  <c r="DY33" i="4" s="1"/>
  <c r="DY34" i="4" s="1"/>
  <c r="DY35" i="4" s="1"/>
  <c r="DY184" i="4" s="1"/>
  <c r="I319" i="4" s="1"/>
  <c r="DY23" i="4"/>
  <c r="DY24" i="4" s="1"/>
  <c r="DY25" i="4" s="1"/>
  <c r="DY26" i="4" s="1"/>
  <c r="DY27" i="4" s="1"/>
  <c r="DY28" i="4" s="1"/>
  <c r="DY183" i="4" s="1"/>
  <c r="H319" i="4" s="1"/>
  <c r="DY16" i="4"/>
  <c r="DY17" i="4" s="1"/>
  <c r="DY18" i="4" s="1"/>
  <c r="DY19" i="4" s="1"/>
  <c r="DY20" i="4" s="1"/>
  <c r="DY21" i="4" s="1"/>
  <c r="DY182" i="4" s="1"/>
  <c r="G319" i="4" s="1"/>
  <c r="DY9" i="4"/>
  <c r="DY10" i="4" s="1"/>
  <c r="DY11" i="4" s="1"/>
  <c r="DY12" i="4" s="1"/>
  <c r="DY13" i="4" s="1"/>
  <c r="DY14" i="4" s="1"/>
  <c r="DY181" i="4" s="1"/>
  <c r="F319" i="4" s="1"/>
  <c r="DV128" i="4"/>
  <c r="DV129" i="4" s="1"/>
  <c r="DV130" i="4" s="1"/>
  <c r="DV131" i="4" s="1"/>
  <c r="DV132" i="4" s="1"/>
  <c r="DV133" i="4" s="1"/>
  <c r="DV198" i="4" s="1"/>
  <c r="W316" i="4" s="1"/>
  <c r="DV121" i="4"/>
  <c r="DV122" i="4" s="1"/>
  <c r="DV123" i="4" s="1"/>
  <c r="DV124" i="4" s="1"/>
  <c r="DV125" i="4" s="1"/>
  <c r="DV126" i="4" s="1"/>
  <c r="DV197" i="4" s="1"/>
  <c r="V316" i="4" s="1"/>
  <c r="DV114" i="4"/>
  <c r="DV115" i="4" s="1"/>
  <c r="DV116" i="4" s="1"/>
  <c r="DV117" i="4" s="1"/>
  <c r="DV118" i="4" s="1"/>
  <c r="DV119" i="4" s="1"/>
  <c r="DV196" i="4" s="1"/>
  <c r="U316" i="4" s="1"/>
  <c r="DV107" i="4"/>
  <c r="DV108" i="4" s="1"/>
  <c r="DV109" i="4" s="1"/>
  <c r="DV110" i="4" s="1"/>
  <c r="DV111" i="4" s="1"/>
  <c r="DV112" i="4" s="1"/>
  <c r="DV195" i="4" s="1"/>
  <c r="T316" i="4" s="1"/>
  <c r="DV100" i="4"/>
  <c r="DV101" i="4" s="1"/>
  <c r="DV102" i="4" s="1"/>
  <c r="DV103" i="4" s="1"/>
  <c r="DV104" i="4" s="1"/>
  <c r="DV105" i="4" s="1"/>
  <c r="DV194" i="4" s="1"/>
  <c r="S316" i="4" s="1"/>
  <c r="DV93" i="4"/>
  <c r="DV94" i="4" s="1"/>
  <c r="DV95" i="4" s="1"/>
  <c r="DV96" i="4" s="1"/>
  <c r="DV97" i="4" s="1"/>
  <c r="DV98" i="4" s="1"/>
  <c r="DV193" i="4" s="1"/>
  <c r="R316" i="4" s="1"/>
  <c r="DV86" i="4"/>
  <c r="DV87" i="4" s="1"/>
  <c r="DV88" i="4" s="1"/>
  <c r="DV89" i="4" s="1"/>
  <c r="DV90" i="4" s="1"/>
  <c r="DV91" i="4" s="1"/>
  <c r="DV192" i="4" s="1"/>
  <c r="Q316" i="4" s="1"/>
  <c r="DV79" i="4"/>
  <c r="DV80" i="4" s="1"/>
  <c r="DV81" i="4" s="1"/>
  <c r="DV82" i="4" s="1"/>
  <c r="DV83" i="4" s="1"/>
  <c r="DV84" i="4" s="1"/>
  <c r="DV191" i="4" s="1"/>
  <c r="P316" i="4" s="1"/>
  <c r="DV72" i="4"/>
  <c r="DV73" i="4" s="1"/>
  <c r="DV74" i="4" s="1"/>
  <c r="DV75" i="4" s="1"/>
  <c r="DV76" i="4" s="1"/>
  <c r="DV77" i="4" s="1"/>
  <c r="DV190" i="4" s="1"/>
  <c r="O316" i="4" s="1"/>
  <c r="DV65" i="4"/>
  <c r="DV66" i="4" s="1"/>
  <c r="DV67" i="4" s="1"/>
  <c r="DV68" i="4" s="1"/>
  <c r="DV69" i="4" s="1"/>
  <c r="DV70" i="4" s="1"/>
  <c r="DV189" i="4" s="1"/>
  <c r="N316" i="4" s="1"/>
  <c r="DV58" i="4"/>
  <c r="DV59" i="4" s="1"/>
  <c r="DV60" i="4" s="1"/>
  <c r="DV61" i="4" s="1"/>
  <c r="DV62" i="4" s="1"/>
  <c r="DV63" i="4" s="1"/>
  <c r="DV188" i="4" s="1"/>
  <c r="M316" i="4" s="1"/>
  <c r="DV51" i="4"/>
  <c r="DV52" i="4" s="1"/>
  <c r="DV53" i="4" s="1"/>
  <c r="DV54" i="4" s="1"/>
  <c r="DV55" i="4" s="1"/>
  <c r="DV56" i="4" s="1"/>
  <c r="DV187" i="4" s="1"/>
  <c r="L316" i="4" s="1"/>
  <c r="DV44" i="4"/>
  <c r="DV45" i="4" s="1"/>
  <c r="DV46" i="4" s="1"/>
  <c r="DV47" i="4" s="1"/>
  <c r="DV48" i="4" s="1"/>
  <c r="DV49" i="4" s="1"/>
  <c r="DV186" i="4" s="1"/>
  <c r="K316" i="4" s="1"/>
  <c r="DV37" i="4"/>
  <c r="DV38" i="4" s="1"/>
  <c r="DV39" i="4" s="1"/>
  <c r="DV40" i="4" s="1"/>
  <c r="DV41" i="4" s="1"/>
  <c r="DV42" i="4" s="1"/>
  <c r="DV185" i="4" s="1"/>
  <c r="J316" i="4" s="1"/>
  <c r="DV30" i="4"/>
  <c r="DV31" i="4" s="1"/>
  <c r="DV32" i="4" s="1"/>
  <c r="DV33" i="4" s="1"/>
  <c r="DV34" i="4" s="1"/>
  <c r="DV35" i="4" s="1"/>
  <c r="DV184" i="4" s="1"/>
  <c r="I316" i="4" s="1"/>
  <c r="DV23" i="4"/>
  <c r="DV24" i="4" s="1"/>
  <c r="DV25" i="4" s="1"/>
  <c r="DV26" i="4" s="1"/>
  <c r="DV27" i="4" s="1"/>
  <c r="DV28" i="4" s="1"/>
  <c r="DV183" i="4" s="1"/>
  <c r="H316" i="4" s="1"/>
  <c r="DV16" i="4"/>
  <c r="DV17" i="4" s="1"/>
  <c r="DV18" i="4" s="1"/>
  <c r="DV19" i="4" s="1"/>
  <c r="DV20" i="4" s="1"/>
  <c r="DV21" i="4" s="1"/>
  <c r="DV182" i="4" s="1"/>
  <c r="G316" i="4" s="1"/>
  <c r="CR15" i="4"/>
  <c r="CK12" i="4"/>
  <c r="CY9" i="4"/>
  <c r="CY10" i="4" s="1"/>
  <c r="CY11" i="4" s="1"/>
  <c r="CY12" i="4" s="1"/>
  <c r="CX8" i="4"/>
  <c r="CV9" i="4"/>
  <c r="CV10" i="4" s="1"/>
  <c r="CU15" i="4"/>
  <c r="CU22" i="4"/>
  <c r="CU29" i="4"/>
  <c r="CU36" i="4"/>
  <c r="CU43" i="4"/>
  <c r="CU50" i="4"/>
  <c r="CU57" i="4"/>
  <c r="CU64" i="4"/>
  <c r="CU71" i="4"/>
  <c r="CU78" i="4"/>
  <c r="CU85" i="4"/>
  <c r="CU92" i="4"/>
  <c r="CU99" i="4"/>
  <c r="CU106" i="4"/>
  <c r="CU113" i="4"/>
  <c r="CU120" i="4"/>
  <c r="CU127" i="4"/>
  <c r="CU8" i="4"/>
  <c r="CW8" i="4" s="1"/>
  <c r="CR22" i="4"/>
  <c r="CR29" i="4"/>
  <c r="CR36" i="4"/>
  <c r="CR43" i="4"/>
  <c r="CR50" i="4"/>
  <c r="CR57" i="4"/>
  <c r="CR64" i="4"/>
  <c r="CR71" i="4"/>
  <c r="CR78" i="4"/>
  <c r="CR85" i="4"/>
  <c r="CR92" i="4"/>
  <c r="CR99" i="4"/>
  <c r="CR106" i="4"/>
  <c r="CR113" i="4"/>
  <c r="CR120" i="4"/>
  <c r="CR127" i="4"/>
  <c r="CR8" i="4"/>
  <c r="CO8" i="4"/>
  <c r="CM15" i="4"/>
  <c r="CM22" i="4"/>
  <c r="CM29" i="4"/>
  <c r="CM36" i="4"/>
  <c r="CM43" i="4"/>
  <c r="CK9" i="4"/>
  <c r="CF8" i="4"/>
  <c r="CS8" i="4" s="1"/>
  <c r="CY128" i="4"/>
  <c r="CY129" i="4" s="1"/>
  <c r="CY130" i="4" s="1"/>
  <c r="CY131" i="4" s="1"/>
  <c r="CY132" i="4" s="1"/>
  <c r="CY133" i="4" s="1"/>
  <c r="CY198" i="4" s="1"/>
  <c r="W296" i="4" s="1"/>
  <c r="CY121" i="4"/>
  <c r="CY122" i="4" s="1"/>
  <c r="CY123" i="4" s="1"/>
  <c r="CY124" i="4" s="1"/>
  <c r="CY125" i="4" s="1"/>
  <c r="CY126" i="4" s="1"/>
  <c r="CY197" i="4" s="1"/>
  <c r="V296" i="4" s="1"/>
  <c r="CY114" i="4"/>
  <c r="CY115" i="4" s="1"/>
  <c r="CY116" i="4" s="1"/>
  <c r="CY117" i="4" s="1"/>
  <c r="CY118" i="4" s="1"/>
  <c r="CY119" i="4" s="1"/>
  <c r="CY196" i="4" s="1"/>
  <c r="U296" i="4" s="1"/>
  <c r="CY107" i="4"/>
  <c r="CY108" i="4" s="1"/>
  <c r="CY109" i="4" s="1"/>
  <c r="CY110" i="4" s="1"/>
  <c r="CY111" i="4" s="1"/>
  <c r="CY112" i="4" s="1"/>
  <c r="CY195" i="4" s="1"/>
  <c r="T296" i="4" s="1"/>
  <c r="CY100" i="4"/>
  <c r="CY101" i="4" s="1"/>
  <c r="CY102" i="4" s="1"/>
  <c r="CY103" i="4" s="1"/>
  <c r="CY104" i="4" s="1"/>
  <c r="CY105" i="4" s="1"/>
  <c r="CY194" i="4" s="1"/>
  <c r="S296" i="4" s="1"/>
  <c r="CY93" i="4"/>
  <c r="CY94" i="4" s="1"/>
  <c r="CY95" i="4" s="1"/>
  <c r="CY96" i="4" s="1"/>
  <c r="CY97" i="4" s="1"/>
  <c r="CY98" i="4" s="1"/>
  <c r="CY193" i="4" s="1"/>
  <c r="R296" i="4" s="1"/>
  <c r="CY86" i="4"/>
  <c r="CY87" i="4" s="1"/>
  <c r="CY88" i="4" s="1"/>
  <c r="CY89" i="4" s="1"/>
  <c r="CY90" i="4" s="1"/>
  <c r="CY91" i="4" s="1"/>
  <c r="CY192" i="4" s="1"/>
  <c r="Q296" i="4" s="1"/>
  <c r="CY79" i="4"/>
  <c r="CY80" i="4" s="1"/>
  <c r="CY81" i="4" s="1"/>
  <c r="CY82" i="4" s="1"/>
  <c r="CY83" i="4" s="1"/>
  <c r="CY84" i="4" s="1"/>
  <c r="CY191" i="4" s="1"/>
  <c r="P296" i="4" s="1"/>
  <c r="CY72" i="4"/>
  <c r="CY73" i="4" s="1"/>
  <c r="CY74" i="4" s="1"/>
  <c r="CY75" i="4" s="1"/>
  <c r="CY76" i="4" s="1"/>
  <c r="CY77" i="4" s="1"/>
  <c r="CY190" i="4" s="1"/>
  <c r="O296" i="4" s="1"/>
  <c r="CY65" i="4"/>
  <c r="CY66" i="4" s="1"/>
  <c r="CY67" i="4" s="1"/>
  <c r="CY68" i="4" s="1"/>
  <c r="CY69" i="4" s="1"/>
  <c r="CY70" i="4" s="1"/>
  <c r="CY189" i="4" s="1"/>
  <c r="N296" i="4" s="1"/>
  <c r="CY58" i="4"/>
  <c r="CY59" i="4" s="1"/>
  <c r="CY60" i="4" s="1"/>
  <c r="CY61" i="4" s="1"/>
  <c r="CY62" i="4" s="1"/>
  <c r="CY63" i="4" s="1"/>
  <c r="CY188" i="4" s="1"/>
  <c r="M296" i="4" s="1"/>
  <c r="CY51" i="4"/>
  <c r="CY52" i="4" s="1"/>
  <c r="CY53" i="4" s="1"/>
  <c r="CY54" i="4" s="1"/>
  <c r="CY55" i="4" s="1"/>
  <c r="CY56" i="4" s="1"/>
  <c r="CY187" i="4" s="1"/>
  <c r="L296" i="4" s="1"/>
  <c r="CY44" i="4"/>
  <c r="CY45" i="4" s="1"/>
  <c r="CY46" i="4" s="1"/>
  <c r="CY47" i="4" s="1"/>
  <c r="CY48" i="4" s="1"/>
  <c r="CY49" i="4" s="1"/>
  <c r="CY186" i="4" s="1"/>
  <c r="K296" i="4" s="1"/>
  <c r="CY37" i="4"/>
  <c r="CY38" i="4" s="1"/>
  <c r="CY39" i="4" s="1"/>
  <c r="CY40" i="4" s="1"/>
  <c r="CY41" i="4" s="1"/>
  <c r="CY42" i="4" s="1"/>
  <c r="CY185" i="4" s="1"/>
  <c r="J296" i="4" s="1"/>
  <c r="CY30" i="4"/>
  <c r="CY31" i="4" s="1"/>
  <c r="CY32" i="4" s="1"/>
  <c r="CY33" i="4" s="1"/>
  <c r="CY34" i="4" s="1"/>
  <c r="CY35" i="4" s="1"/>
  <c r="CY184" i="4" s="1"/>
  <c r="I296" i="4" s="1"/>
  <c r="CY23" i="4"/>
  <c r="CY24" i="4" s="1"/>
  <c r="CY25" i="4" s="1"/>
  <c r="CY26" i="4" s="1"/>
  <c r="CY27" i="4" s="1"/>
  <c r="CY28" i="4" s="1"/>
  <c r="CY183" i="4" s="1"/>
  <c r="H296" i="4" s="1"/>
  <c r="CY16" i="4"/>
  <c r="CY17" i="4" s="1"/>
  <c r="CY18" i="4" s="1"/>
  <c r="CY19" i="4" s="1"/>
  <c r="CV128" i="4"/>
  <c r="CV129" i="4" s="1"/>
  <c r="CV130" i="4" s="1"/>
  <c r="CV131" i="4" s="1"/>
  <c r="CV132" i="4" s="1"/>
  <c r="CV133" i="4" s="1"/>
  <c r="CV198" i="4" s="1"/>
  <c r="W293" i="4" s="1"/>
  <c r="CV121" i="4"/>
  <c r="CV122" i="4" s="1"/>
  <c r="CV123" i="4" s="1"/>
  <c r="CV124" i="4" s="1"/>
  <c r="CV125" i="4" s="1"/>
  <c r="CV126" i="4" s="1"/>
  <c r="CV197" i="4" s="1"/>
  <c r="CV114" i="4"/>
  <c r="CV115" i="4" s="1"/>
  <c r="CV116" i="4" s="1"/>
  <c r="CV117" i="4" s="1"/>
  <c r="CV118" i="4" s="1"/>
  <c r="CV119" i="4" s="1"/>
  <c r="CV196" i="4" s="1"/>
  <c r="U293" i="4" s="1"/>
  <c r="CV107" i="4"/>
  <c r="CV108" i="4" s="1"/>
  <c r="CV109" i="4" s="1"/>
  <c r="CV110" i="4" s="1"/>
  <c r="CV111" i="4" s="1"/>
  <c r="CV112" i="4" s="1"/>
  <c r="CV195" i="4" s="1"/>
  <c r="T293" i="4" s="1"/>
  <c r="CV100" i="4"/>
  <c r="CV101" i="4" s="1"/>
  <c r="CV102" i="4" s="1"/>
  <c r="CV103" i="4" s="1"/>
  <c r="CV104" i="4" s="1"/>
  <c r="CV105" i="4" s="1"/>
  <c r="CV194" i="4" s="1"/>
  <c r="S293" i="4" s="1"/>
  <c r="CV93" i="4"/>
  <c r="CV94" i="4" s="1"/>
  <c r="CV95" i="4" s="1"/>
  <c r="CV96" i="4" s="1"/>
  <c r="CV97" i="4" s="1"/>
  <c r="CV98" i="4" s="1"/>
  <c r="CV193" i="4" s="1"/>
  <c r="R293" i="4" s="1"/>
  <c r="CV86" i="4"/>
  <c r="CV87" i="4" s="1"/>
  <c r="CV88" i="4" s="1"/>
  <c r="CV89" i="4" s="1"/>
  <c r="CV90" i="4" s="1"/>
  <c r="CV91" i="4" s="1"/>
  <c r="CV192" i="4" s="1"/>
  <c r="Q293" i="4" s="1"/>
  <c r="CV79" i="4"/>
  <c r="CV80" i="4" s="1"/>
  <c r="CV81" i="4" s="1"/>
  <c r="CV82" i="4" s="1"/>
  <c r="CV83" i="4" s="1"/>
  <c r="CV84" i="4" s="1"/>
  <c r="CV191" i="4" s="1"/>
  <c r="P293" i="4" s="1"/>
  <c r="CV72" i="4"/>
  <c r="CV73" i="4" s="1"/>
  <c r="CV74" i="4" s="1"/>
  <c r="CV75" i="4" s="1"/>
  <c r="CV76" i="4" s="1"/>
  <c r="CV77" i="4" s="1"/>
  <c r="CV190" i="4" s="1"/>
  <c r="O293" i="4" s="1"/>
  <c r="CV65" i="4"/>
  <c r="CV66" i="4" s="1"/>
  <c r="CV67" i="4" s="1"/>
  <c r="CV68" i="4" s="1"/>
  <c r="CV69" i="4" s="1"/>
  <c r="CV70" i="4" s="1"/>
  <c r="CV189" i="4" s="1"/>
  <c r="CV58" i="4"/>
  <c r="CV59" i="4" s="1"/>
  <c r="CV60" i="4" s="1"/>
  <c r="CV61" i="4" s="1"/>
  <c r="CV62" i="4" s="1"/>
  <c r="CV63" i="4" s="1"/>
  <c r="CV188" i="4" s="1"/>
  <c r="M293" i="4" s="1"/>
  <c r="CV51" i="4"/>
  <c r="CV52" i="4" s="1"/>
  <c r="CV53" i="4" s="1"/>
  <c r="CV54" i="4" s="1"/>
  <c r="CV55" i="4" s="1"/>
  <c r="CV56" i="4" s="1"/>
  <c r="CV187" i="4" s="1"/>
  <c r="L293" i="4" s="1"/>
  <c r="CV44" i="4"/>
  <c r="CV45" i="4" s="1"/>
  <c r="CV46" i="4" s="1"/>
  <c r="CV47" i="4" s="1"/>
  <c r="CV48" i="4" s="1"/>
  <c r="CV49" i="4" s="1"/>
  <c r="CV186" i="4" s="1"/>
  <c r="K293" i="4" s="1"/>
  <c r="CV37" i="4"/>
  <c r="CV38" i="4" s="1"/>
  <c r="CV39" i="4" s="1"/>
  <c r="CV40" i="4" s="1"/>
  <c r="CV41" i="4" s="1"/>
  <c r="CV42" i="4" s="1"/>
  <c r="CV185" i="4" s="1"/>
  <c r="J293" i="4" s="1"/>
  <c r="CV30" i="4"/>
  <c r="CV31" i="4" s="1"/>
  <c r="CV32" i="4" s="1"/>
  <c r="CV33" i="4" s="1"/>
  <c r="CV34" i="4" s="1"/>
  <c r="CV35" i="4" s="1"/>
  <c r="CV184" i="4" s="1"/>
  <c r="I293" i="4" s="1"/>
  <c r="CV23" i="4"/>
  <c r="CV24" i="4" s="1"/>
  <c r="CV25" i="4" s="1"/>
  <c r="CV26" i="4" s="1"/>
  <c r="CV27" i="4" s="1"/>
  <c r="CV28" i="4" s="1"/>
  <c r="CV183" i="4" s="1"/>
  <c r="H293" i="4" s="1"/>
  <c r="CV16" i="4"/>
  <c r="CV17" i="4" s="1"/>
  <c r="CV18" i="4" s="1"/>
  <c r="CV19" i="4" s="1"/>
  <c r="CV20" i="4" s="1"/>
  <c r="CV21" i="4" s="1"/>
  <c r="CV182" i="4" s="1"/>
  <c r="G293" i="4" s="1"/>
  <c r="BY30" i="4"/>
  <c r="BY31" i="4" s="1"/>
  <c r="BY32" i="4" s="1"/>
  <c r="BY33" i="4" s="1"/>
  <c r="BY34" i="4" s="1"/>
  <c r="BY35" i="4" s="1"/>
  <c r="BY184" i="4" s="1"/>
  <c r="I271" i="4" s="1"/>
  <c r="BX29" i="4"/>
  <c r="BK10" i="4"/>
  <c r="BX8" i="4"/>
  <c r="BU8" i="4"/>
  <c r="BY128" i="4"/>
  <c r="BY129" i="4" s="1"/>
  <c r="BY130" i="4" s="1"/>
  <c r="BY131" i="4" s="1"/>
  <c r="BY132" i="4" s="1"/>
  <c r="BY133" i="4" s="1"/>
  <c r="BY198" i="4" s="1"/>
  <c r="W271" i="4" s="1"/>
  <c r="BY121" i="4"/>
  <c r="BY122" i="4" s="1"/>
  <c r="BY123" i="4" s="1"/>
  <c r="BY124" i="4" s="1"/>
  <c r="BY125" i="4" s="1"/>
  <c r="BY126" i="4" s="1"/>
  <c r="BY197" i="4" s="1"/>
  <c r="V271" i="4" s="1"/>
  <c r="BY114" i="4"/>
  <c r="BY115" i="4" s="1"/>
  <c r="BY116" i="4" s="1"/>
  <c r="BY117" i="4" s="1"/>
  <c r="BY118" i="4" s="1"/>
  <c r="BY119" i="4" s="1"/>
  <c r="BY196" i="4" s="1"/>
  <c r="U271" i="4" s="1"/>
  <c r="BY107" i="4"/>
  <c r="BY108" i="4" s="1"/>
  <c r="BY109" i="4" s="1"/>
  <c r="BY110" i="4" s="1"/>
  <c r="BY111" i="4" s="1"/>
  <c r="BY112" i="4" s="1"/>
  <c r="BY195" i="4" s="1"/>
  <c r="T271" i="4" s="1"/>
  <c r="BY100" i="4"/>
  <c r="BY101" i="4" s="1"/>
  <c r="BY102" i="4" s="1"/>
  <c r="BY103" i="4" s="1"/>
  <c r="BY104" i="4" s="1"/>
  <c r="BY105" i="4" s="1"/>
  <c r="BY194" i="4" s="1"/>
  <c r="S271" i="4" s="1"/>
  <c r="BY93" i="4"/>
  <c r="BY94" i="4" s="1"/>
  <c r="BY95" i="4" s="1"/>
  <c r="BY96" i="4" s="1"/>
  <c r="BY97" i="4" s="1"/>
  <c r="BY98" i="4" s="1"/>
  <c r="BY193" i="4" s="1"/>
  <c r="R271" i="4" s="1"/>
  <c r="BY86" i="4"/>
  <c r="BY87" i="4" s="1"/>
  <c r="BY88" i="4" s="1"/>
  <c r="BY89" i="4" s="1"/>
  <c r="BY90" i="4" s="1"/>
  <c r="BY91" i="4" s="1"/>
  <c r="BY192" i="4" s="1"/>
  <c r="Q271" i="4" s="1"/>
  <c r="BY79" i="4"/>
  <c r="BY80" i="4" s="1"/>
  <c r="BY81" i="4" s="1"/>
  <c r="BY82" i="4" s="1"/>
  <c r="BY83" i="4" s="1"/>
  <c r="BY84" i="4" s="1"/>
  <c r="BY191" i="4" s="1"/>
  <c r="P271" i="4" s="1"/>
  <c r="BY72" i="4"/>
  <c r="BY73" i="4" s="1"/>
  <c r="BY74" i="4" s="1"/>
  <c r="BY75" i="4" s="1"/>
  <c r="BY76" i="4" s="1"/>
  <c r="BY77" i="4" s="1"/>
  <c r="BY190" i="4" s="1"/>
  <c r="O271" i="4" s="1"/>
  <c r="BY65" i="4"/>
  <c r="BY66" i="4" s="1"/>
  <c r="BY67" i="4" s="1"/>
  <c r="BY68" i="4" s="1"/>
  <c r="BY69" i="4" s="1"/>
  <c r="BY70" i="4" s="1"/>
  <c r="BY189" i="4" s="1"/>
  <c r="N271" i="4" s="1"/>
  <c r="BY58" i="4"/>
  <c r="BY59" i="4" s="1"/>
  <c r="BY60" i="4" s="1"/>
  <c r="BY61" i="4" s="1"/>
  <c r="BY62" i="4" s="1"/>
  <c r="BY63" i="4" s="1"/>
  <c r="BY188" i="4" s="1"/>
  <c r="M271" i="4" s="1"/>
  <c r="BY51" i="4"/>
  <c r="BY52" i="4" s="1"/>
  <c r="BY53" i="4" s="1"/>
  <c r="BY54" i="4" s="1"/>
  <c r="BY55" i="4" s="1"/>
  <c r="BY56" i="4" s="1"/>
  <c r="BY187" i="4" s="1"/>
  <c r="L271" i="4" s="1"/>
  <c r="BY44" i="4"/>
  <c r="BY45" i="4" s="1"/>
  <c r="BY46" i="4" s="1"/>
  <c r="BY47" i="4" s="1"/>
  <c r="BY48" i="4" s="1"/>
  <c r="BY49" i="4" s="1"/>
  <c r="BY186" i="4" s="1"/>
  <c r="K271" i="4" s="1"/>
  <c r="BY37" i="4"/>
  <c r="BY38" i="4" s="1"/>
  <c r="BY39" i="4" s="1"/>
  <c r="BY40" i="4" s="1"/>
  <c r="BY41" i="4" s="1"/>
  <c r="BY42" i="4" s="1"/>
  <c r="BY185" i="4" s="1"/>
  <c r="J271" i="4" s="1"/>
  <c r="BY23" i="4"/>
  <c r="BY24" i="4" s="1"/>
  <c r="BY25" i="4" s="1"/>
  <c r="BY26" i="4" s="1"/>
  <c r="BY27" i="4" s="1"/>
  <c r="BY28" i="4" s="1"/>
  <c r="BY183" i="4" s="1"/>
  <c r="H271" i="4" s="1"/>
  <c r="BY16" i="4"/>
  <c r="BY17" i="4" s="1"/>
  <c r="BY18" i="4" s="1"/>
  <c r="BY19" i="4" s="1"/>
  <c r="BY20" i="4" s="1"/>
  <c r="BY21" i="4" s="1"/>
  <c r="BY182" i="4" s="1"/>
  <c r="G271" i="4" s="1"/>
  <c r="BY9" i="4"/>
  <c r="BY10" i="4" s="1"/>
  <c r="BY11" i="4" s="1"/>
  <c r="BY12" i="4" s="1"/>
  <c r="BY13" i="4" s="1"/>
  <c r="BY14" i="4" s="1"/>
  <c r="BY181" i="4" s="1"/>
  <c r="F271" i="4" s="1"/>
  <c r="BV128" i="4"/>
  <c r="BV129" i="4" s="1"/>
  <c r="BV130" i="4" s="1"/>
  <c r="BV131" i="4" s="1"/>
  <c r="BV132" i="4" s="1"/>
  <c r="BV133" i="4" s="1"/>
  <c r="BV198" i="4" s="1"/>
  <c r="W268" i="4" s="1"/>
  <c r="BV121" i="4"/>
  <c r="BV122" i="4" s="1"/>
  <c r="BV123" i="4" s="1"/>
  <c r="BV124" i="4" s="1"/>
  <c r="BV125" i="4" s="1"/>
  <c r="BV126" i="4" s="1"/>
  <c r="BV197" i="4" s="1"/>
  <c r="V268" i="4" s="1"/>
  <c r="BV114" i="4"/>
  <c r="BV115" i="4" s="1"/>
  <c r="BV116" i="4" s="1"/>
  <c r="BV117" i="4" s="1"/>
  <c r="BV118" i="4" s="1"/>
  <c r="BV119" i="4" s="1"/>
  <c r="BV196" i="4" s="1"/>
  <c r="U268" i="4" s="1"/>
  <c r="BV107" i="4"/>
  <c r="BV108" i="4" s="1"/>
  <c r="BV109" i="4" s="1"/>
  <c r="BV110" i="4" s="1"/>
  <c r="BV111" i="4" s="1"/>
  <c r="BV112" i="4" s="1"/>
  <c r="BV195" i="4" s="1"/>
  <c r="T268" i="4" s="1"/>
  <c r="BV100" i="4"/>
  <c r="BV101" i="4" s="1"/>
  <c r="BV102" i="4" s="1"/>
  <c r="BV103" i="4" s="1"/>
  <c r="BV104" i="4" s="1"/>
  <c r="BV105" i="4" s="1"/>
  <c r="BV194" i="4" s="1"/>
  <c r="S268" i="4" s="1"/>
  <c r="BV93" i="4"/>
  <c r="BV94" i="4" s="1"/>
  <c r="BV95" i="4" s="1"/>
  <c r="BV96" i="4" s="1"/>
  <c r="BV97" i="4" s="1"/>
  <c r="BV98" i="4" s="1"/>
  <c r="BV193" i="4" s="1"/>
  <c r="R268" i="4" s="1"/>
  <c r="BV86" i="4"/>
  <c r="BV87" i="4" s="1"/>
  <c r="BV88" i="4" s="1"/>
  <c r="BV89" i="4" s="1"/>
  <c r="BV90" i="4" s="1"/>
  <c r="BV91" i="4" s="1"/>
  <c r="BV192" i="4" s="1"/>
  <c r="Q268" i="4" s="1"/>
  <c r="BV79" i="4"/>
  <c r="BV80" i="4" s="1"/>
  <c r="BV81" i="4" s="1"/>
  <c r="BV82" i="4" s="1"/>
  <c r="BV83" i="4" s="1"/>
  <c r="BV84" i="4" s="1"/>
  <c r="BV191" i="4" s="1"/>
  <c r="P268" i="4" s="1"/>
  <c r="BV72" i="4"/>
  <c r="BV73" i="4" s="1"/>
  <c r="BV74" i="4" s="1"/>
  <c r="BV75" i="4" s="1"/>
  <c r="BV76" i="4" s="1"/>
  <c r="BV77" i="4" s="1"/>
  <c r="BV190" i="4" s="1"/>
  <c r="O268" i="4" s="1"/>
  <c r="BV65" i="4"/>
  <c r="BV66" i="4" s="1"/>
  <c r="BV67" i="4" s="1"/>
  <c r="BV68" i="4" s="1"/>
  <c r="BV69" i="4" s="1"/>
  <c r="BV70" i="4" s="1"/>
  <c r="BV189" i="4" s="1"/>
  <c r="N268" i="4" s="1"/>
  <c r="BV58" i="4"/>
  <c r="BV59" i="4" s="1"/>
  <c r="BV60" i="4" s="1"/>
  <c r="BV61" i="4" s="1"/>
  <c r="BV62" i="4" s="1"/>
  <c r="BV63" i="4" s="1"/>
  <c r="BV188" i="4" s="1"/>
  <c r="M268" i="4" s="1"/>
  <c r="BV51" i="4"/>
  <c r="BV52" i="4" s="1"/>
  <c r="BV53" i="4" s="1"/>
  <c r="BV54" i="4" s="1"/>
  <c r="BV55" i="4" s="1"/>
  <c r="BV56" i="4" s="1"/>
  <c r="BV187" i="4" s="1"/>
  <c r="L268" i="4" s="1"/>
  <c r="BV44" i="4"/>
  <c r="BV45" i="4" s="1"/>
  <c r="BV46" i="4" s="1"/>
  <c r="BV47" i="4" s="1"/>
  <c r="BV48" i="4" s="1"/>
  <c r="BV49" i="4" s="1"/>
  <c r="BV186" i="4" s="1"/>
  <c r="K268" i="4" s="1"/>
  <c r="BV37" i="4"/>
  <c r="BV38" i="4" s="1"/>
  <c r="BV39" i="4" s="1"/>
  <c r="BV40" i="4" s="1"/>
  <c r="BV41" i="4" s="1"/>
  <c r="BV42" i="4" s="1"/>
  <c r="BV185" i="4" s="1"/>
  <c r="J268" i="4" s="1"/>
  <c r="BV30" i="4"/>
  <c r="BV31" i="4" s="1"/>
  <c r="BV32" i="4" s="1"/>
  <c r="BV33" i="4" s="1"/>
  <c r="BV34" i="4" s="1"/>
  <c r="BV35" i="4" s="1"/>
  <c r="BV184" i="4" s="1"/>
  <c r="I268" i="4" s="1"/>
  <c r="BV23" i="4"/>
  <c r="BV24" i="4" s="1"/>
  <c r="BV25" i="4" s="1"/>
  <c r="BV26" i="4" s="1"/>
  <c r="BV27" i="4" s="1"/>
  <c r="BV28" i="4" s="1"/>
  <c r="BV183" i="4" s="1"/>
  <c r="H268" i="4" s="1"/>
  <c r="BV16" i="4"/>
  <c r="BV17" i="4" s="1"/>
  <c r="BV18" i="4" s="1"/>
  <c r="BV19" i="4" s="1"/>
  <c r="BV20" i="4" s="1"/>
  <c r="BV21" i="4" s="1"/>
  <c r="BV182" i="4" s="1"/>
  <c r="G268" i="4" s="1"/>
  <c r="BV9" i="4"/>
  <c r="BV10" i="4" s="1"/>
  <c r="BV11" i="4" s="1"/>
  <c r="BV12" i="4" s="1"/>
  <c r="BV13" i="4" s="1"/>
  <c r="BV14" i="4" s="1"/>
  <c r="BV181" i="4" s="1"/>
  <c r="F268" i="4" s="1"/>
  <c r="BU15" i="4"/>
  <c r="BU22" i="4"/>
  <c r="BU29" i="4"/>
  <c r="BU36" i="4"/>
  <c r="BU43" i="4"/>
  <c r="BU50" i="4"/>
  <c r="BU57" i="4"/>
  <c r="BU64" i="4"/>
  <c r="BU71" i="4"/>
  <c r="BU78" i="4"/>
  <c r="BU85" i="4"/>
  <c r="BU92" i="4"/>
  <c r="BU99" i="4"/>
  <c r="BU106" i="4"/>
  <c r="BU113" i="4"/>
  <c r="BU120" i="4"/>
  <c r="BU127" i="4"/>
  <c r="BR15" i="4"/>
  <c r="BR22" i="4"/>
  <c r="BR29" i="4"/>
  <c r="BR36" i="4"/>
  <c r="BR43" i="4"/>
  <c r="BR50" i="4"/>
  <c r="BR57" i="4"/>
  <c r="BR64" i="4"/>
  <c r="BR71" i="4"/>
  <c r="BR78" i="4"/>
  <c r="BR85" i="4"/>
  <c r="BR92" i="4"/>
  <c r="BR99" i="4"/>
  <c r="BR106" i="4"/>
  <c r="BR113" i="4"/>
  <c r="BR120" i="4"/>
  <c r="BR127" i="4"/>
  <c r="BR8" i="4"/>
  <c r="BM15" i="4"/>
  <c r="BM22" i="4"/>
  <c r="BM29" i="4"/>
  <c r="BM36" i="4"/>
  <c r="BM43" i="4"/>
  <c r="BK9" i="4"/>
  <c r="BK8" i="4"/>
  <c r="Y9" i="4"/>
  <c r="Y10" i="4" s="1"/>
  <c r="V16" i="4"/>
  <c r="V17" i="4" s="1"/>
  <c r="V18" i="4" s="1"/>
  <c r="V19" i="4" s="1"/>
  <c r="V20" i="4" s="1"/>
  <c r="V21" i="4" s="1"/>
  <c r="V182" i="4" s="1"/>
  <c r="G220" i="4" s="1"/>
  <c r="U15" i="4"/>
  <c r="Y128" i="4"/>
  <c r="Y129" i="4" s="1"/>
  <c r="Y130" i="4" s="1"/>
  <c r="Y131" i="4" s="1"/>
  <c r="Y132" i="4" s="1"/>
  <c r="Y133" i="4" s="1"/>
  <c r="Y198" i="4" s="1"/>
  <c r="W223" i="4" s="1"/>
  <c r="Y121" i="4"/>
  <c r="Y122" i="4" s="1"/>
  <c r="Y123" i="4" s="1"/>
  <c r="Y124" i="4" s="1"/>
  <c r="Y125" i="4" s="1"/>
  <c r="Y126" i="4" s="1"/>
  <c r="Y197" i="4" s="1"/>
  <c r="V223" i="4" s="1"/>
  <c r="Y114" i="4"/>
  <c r="Y115" i="4" s="1"/>
  <c r="Y116" i="4" s="1"/>
  <c r="Y117" i="4" s="1"/>
  <c r="Y118" i="4" s="1"/>
  <c r="Y119" i="4" s="1"/>
  <c r="Y196" i="4" s="1"/>
  <c r="U223" i="4" s="1"/>
  <c r="Y107" i="4"/>
  <c r="Y108" i="4" s="1"/>
  <c r="Y109" i="4" s="1"/>
  <c r="Y110" i="4" s="1"/>
  <c r="Y111" i="4" s="1"/>
  <c r="Y112" i="4" s="1"/>
  <c r="Y195" i="4" s="1"/>
  <c r="T223" i="4" s="1"/>
  <c r="Y100" i="4"/>
  <c r="Y101" i="4" s="1"/>
  <c r="Y102" i="4" s="1"/>
  <c r="Y103" i="4" s="1"/>
  <c r="Y104" i="4" s="1"/>
  <c r="Y105" i="4" s="1"/>
  <c r="Y194" i="4" s="1"/>
  <c r="S223" i="4" s="1"/>
  <c r="Y93" i="4"/>
  <c r="Y94" i="4" s="1"/>
  <c r="Y95" i="4" s="1"/>
  <c r="Y96" i="4" s="1"/>
  <c r="Y97" i="4" s="1"/>
  <c r="Y98" i="4" s="1"/>
  <c r="Y193" i="4" s="1"/>
  <c r="R223" i="4" s="1"/>
  <c r="Y86" i="4"/>
  <c r="Y87" i="4" s="1"/>
  <c r="Y88" i="4" s="1"/>
  <c r="Y89" i="4" s="1"/>
  <c r="Y90" i="4" s="1"/>
  <c r="Y91" i="4" s="1"/>
  <c r="Y192" i="4" s="1"/>
  <c r="Q223" i="4" s="1"/>
  <c r="Y79" i="4"/>
  <c r="Y80" i="4" s="1"/>
  <c r="Y81" i="4" s="1"/>
  <c r="Y82" i="4" s="1"/>
  <c r="Y83" i="4" s="1"/>
  <c r="Y84" i="4" s="1"/>
  <c r="Y191" i="4" s="1"/>
  <c r="P223" i="4" s="1"/>
  <c r="Y72" i="4"/>
  <c r="Y73" i="4" s="1"/>
  <c r="Y74" i="4" s="1"/>
  <c r="Y75" i="4" s="1"/>
  <c r="Y76" i="4" s="1"/>
  <c r="Y77" i="4" s="1"/>
  <c r="Y190" i="4" s="1"/>
  <c r="O223" i="4" s="1"/>
  <c r="Y65" i="4"/>
  <c r="Y66" i="4" s="1"/>
  <c r="Y67" i="4" s="1"/>
  <c r="Y68" i="4" s="1"/>
  <c r="Y69" i="4" s="1"/>
  <c r="Y70" i="4" s="1"/>
  <c r="Y189" i="4" s="1"/>
  <c r="N223" i="4" s="1"/>
  <c r="Y58" i="4"/>
  <c r="Y59" i="4" s="1"/>
  <c r="Y60" i="4" s="1"/>
  <c r="Y61" i="4" s="1"/>
  <c r="Y62" i="4" s="1"/>
  <c r="Y63" i="4" s="1"/>
  <c r="Y188" i="4" s="1"/>
  <c r="M223" i="4" s="1"/>
  <c r="Y51" i="4"/>
  <c r="Y52" i="4" s="1"/>
  <c r="Y53" i="4" s="1"/>
  <c r="Y54" i="4" s="1"/>
  <c r="Y55" i="4" s="1"/>
  <c r="Y56" i="4" s="1"/>
  <c r="Y187" i="4" s="1"/>
  <c r="L223" i="4" s="1"/>
  <c r="Y44" i="4"/>
  <c r="Y45" i="4" s="1"/>
  <c r="Y46" i="4" s="1"/>
  <c r="Y47" i="4" s="1"/>
  <c r="Y48" i="4" s="1"/>
  <c r="Y49" i="4" s="1"/>
  <c r="Y186" i="4" s="1"/>
  <c r="K223" i="4" s="1"/>
  <c r="Y37" i="4"/>
  <c r="Y38" i="4" s="1"/>
  <c r="Y40" i="4" s="1"/>
  <c r="Y41" i="4" s="1"/>
  <c r="Y42" i="4" s="1"/>
  <c r="Y185" i="4" s="1"/>
  <c r="J223" i="4" s="1"/>
  <c r="Y30" i="4"/>
  <c r="Y31" i="4" s="1"/>
  <c r="Y32" i="4" s="1"/>
  <c r="Y33" i="4" s="1"/>
  <c r="Y34" i="4" s="1"/>
  <c r="Y35" i="4" s="1"/>
  <c r="Y184" i="4" s="1"/>
  <c r="I223" i="4" s="1"/>
  <c r="Y23" i="4"/>
  <c r="Y24" i="4" s="1"/>
  <c r="Y25" i="4" s="1"/>
  <c r="Y26" i="4" s="1"/>
  <c r="Y27" i="4" s="1"/>
  <c r="Y28" i="4" s="1"/>
  <c r="Y183" i="4" s="1"/>
  <c r="H223" i="4" s="1"/>
  <c r="Y16" i="4"/>
  <c r="V128" i="4"/>
  <c r="V129" i="4" s="1"/>
  <c r="V130" i="4" s="1"/>
  <c r="V131" i="4" s="1"/>
  <c r="V132" i="4" s="1"/>
  <c r="V133" i="4" s="1"/>
  <c r="V198" i="4" s="1"/>
  <c r="W220" i="4" s="1"/>
  <c r="V121" i="4"/>
  <c r="V122" i="4" s="1"/>
  <c r="V123" i="4" s="1"/>
  <c r="V124" i="4" s="1"/>
  <c r="V125" i="4" s="1"/>
  <c r="V126" i="4" s="1"/>
  <c r="V197" i="4" s="1"/>
  <c r="V220" i="4" s="1"/>
  <c r="V114" i="4"/>
  <c r="V115" i="4" s="1"/>
  <c r="V116" i="4" s="1"/>
  <c r="V117" i="4" s="1"/>
  <c r="V118" i="4" s="1"/>
  <c r="V119" i="4" s="1"/>
  <c r="V196" i="4" s="1"/>
  <c r="U220" i="4" s="1"/>
  <c r="V107" i="4"/>
  <c r="V108" i="4" s="1"/>
  <c r="V109" i="4" s="1"/>
  <c r="V110" i="4" s="1"/>
  <c r="V111" i="4" s="1"/>
  <c r="V112" i="4" s="1"/>
  <c r="V195" i="4" s="1"/>
  <c r="T220" i="4" s="1"/>
  <c r="V100" i="4"/>
  <c r="V101" i="4" s="1"/>
  <c r="V102" i="4" s="1"/>
  <c r="V103" i="4" s="1"/>
  <c r="V104" i="4" s="1"/>
  <c r="V105" i="4" s="1"/>
  <c r="V194" i="4" s="1"/>
  <c r="S220" i="4" s="1"/>
  <c r="V93" i="4"/>
  <c r="V94" i="4" s="1"/>
  <c r="V95" i="4" s="1"/>
  <c r="V96" i="4" s="1"/>
  <c r="V97" i="4" s="1"/>
  <c r="V98" i="4" s="1"/>
  <c r="V193" i="4" s="1"/>
  <c r="R220" i="4" s="1"/>
  <c r="V86" i="4"/>
  <c r="V87" i="4" s="1"/>
  <c r="V88" i="4" s="1"/>
  <c r="V89" i="4" s="1"/>
  <c r="V90" i="4" s="1"/>
  <c r="V91" i="4" s="1"/>
  <c r="V192" i="4" s="1"/>
  <c r="Q220" i="4" s="1"/>
  <c r="V79" i="4"/>
  <c r="V80" i="4" s="1"/>
  <c r="V81" i="4" s="1"/>
  <c r="V82" i="4" s="1"/>
  <c r="V83" i="4" s="1"/>
  <c r="V84" i="4" s="1"/>
  <c r="V191" i="4" s="1"/>
  <c r="P220" i="4" s="1"/>
  <c r="V72" i="4"/>
  <c r="V73" i="4" s="1"/>
  <c r="V74" i="4" s="1"/>
  <c r="V75" i="4" s="1"/>
  <c r="V76" i="4" s="1"/>
  <c r="V77" i="4" s="1"/>
  <c r="V190" i="4" s="1"/>
  <c r="O220" i="4" s="1"/>
  <c r="V65" i="4"/>
  <c r="V66" i="4" s="1"/>
  <c r="V67" i="4" s="1"/>
  <c r="V68" i="4" s="1"/>
  <c r="V69" i="4" s="1"/>
  <c r="V70" i="4" s="1"/>
  <c r="V189" i="4" s="1"/>
  <c r="N220" i="4" s="1"/>
  <c r="V58" i="4"/>
  <c r="V59" i="4" s="1"/>
  <c r="V60" i="4" s="1"/>
  <c r="V61" i="4" s="1"/>
  <c r="V62" i="4" s="1"/>
  <c r="V63" i="4" s="1"/>
  <c r="V188" i="4" s="1"/>
  <c r="M220" i="4" s="1"/>
  <c r="V51" i="4"/>
  <c r="V52" i="4" s="1"/>
  <c r="V53" i="4" s="1"/>
  <c r="V54" i="4" s="1"/>
  <c r="V55" i="4" s="1"/>
  <c r="V56" i="4" s="1"/>
  <c r="V187" i="4" s="1"/>
  <c r="L220" i="4" s="1"/>
  <c r="V44" i="4"/>
  <c r="V45" i="4" s="1"/>
  <c r="V46" i="4" s="1"/>
  <c r="V47" i="4" s="1"/>
  <c r="V48" i="4" s="1"/>
  <c r="V49" i="4" s="1"/>
  <c r="V186" i="4" s="1"/>
  <c r="K220" i="4" s="1"/>
  <c r="V37" i="4"/>
  <c r="V38" i="4" s="1"/>
  <c r="V40" i="4" s="1"/>
  <c r="V41" i="4" s="1"/>
  <c r="V42" i="4" s="1"/>
  <c r="V185" i="4" s="1"/>
  <c r="J220" i="4" s="1"/>
  <c r="V30" i="4"/>
  <c r="V31" i="4" s="1"/>
  <c r="V32" i="4" s="1"/>
  <c r="V33" i="4" s="1"/>
  <c r="V34" i="4" s="1"/>
  <c r="V35" i="4" s="1"/>
  <c r="V184" i="4" s="1"/>
  <c r="I220" i="4" s="1"/>
  <c r="V23" i="4"/>
  <c r="V24" i="4" s="1"/>
  <c r="V25" i="4" s="1"/>
  <c r="V26" i="4" s="1"/>
  <c r="V27" i="4" s="1"/>
  <c r="V28" i="4" s="1"/>
  <c r="V183" i="4" s="1"/>
  <c r="H220" i="4" s="1"/>
  <c r="R8" i="4"/>
  <c r="K8" i="4"/>
  <c r="AX15" i="4"/>
  <c r="AR8" i="4"/>
  <c r="AO8" i="4"/>
  <c r="AM15" i="4"/>
  <c r="AM22" i="4"/>
  <c r="AM29" i="4"/>
  <c r="AM36" i="4"/>
  <c r="AM43" i="4"/>
  <c r="AX8" i="4"/>
  <c r="AZ8" i="4" s="1"/>
  <c r="AU8" i="4"/>
  <c r="AW8" i="4" s="1"/>
  <c r="AU15" i="4"/>
  <c r="AU22" i="4"/>
  <c r="AU29" i="4"/>
  <c r="AU36" i="4"/>
  <c r="AU43" i="4"/>
  <c r="AU50" i="4"/>
  <c r="AU57" i="4"/>
  <c r="AU64" i="4"/>
  <c r="AU71" i="4"/>
  <c r="AU78" i="4"/>
  <c r="AU85" i="4"/>
  <c r="AU92" i="4"/>
  <c r="AU99" i="4"/>
  <c r="AU106" i="4"/>
  <c r="AU113" i="4"/>
  <c r="AU120" i="4"/>
  <c r="AU127" i="4"/>
  <c r="AR15" i="4"/>
  <c r="AR22" i="4"/>
  <c r="AR29" i="4"/>
  <c r="AR36" i="4"/>
  <c r="AR43" i="4"/>
  <c r="AR50" i="4"/>
  <c r="AR57" i="4"/>
  <c r="AR64" i="4"/>
  <c r="AR71" i="4"/>
  <c r="AR78" i="4"/>
  <c r="AR85" i="4"/>
  <c r="AR92" i="4"/>
  <c r="AR99" i="4"/>
  <c r="AR106" i="4"/>
  <c r="AR113" i="4"/>
  <c r="AR120" i="4"/>
  <c r="AR127" i="4"/>
  <c r="AF8" i="4"/>
  <c r="AY128" i="4"/>
  <c r="AY129" i="4" s="1"/>
  <c r="AY130" i="4" s="1"/>
  <c r="AY131" i="4" s="1"/>
  <c r="AY132" i="4" s="1"/>
  <c r="AY133" i="4" s="1"/>
  <c r="AY198" i="4" s="1"/>
  <c r="W247" i="4" s="1"/>
  <c r="AY121" i="4"/>
  <c r="AY122" i="4" s="1"/>
  <c r="AY123" i="4" s="1"/>
  <c r="AY124" i="4" s="1"/>
  <c r="AY125" i="4" s="1"/>
  <c r="AY126" i="4" s="1"/>
  <c r="AY197" i="4" s="1"/>
  <c r="V247" i="4" s="1"/>
  <c r="AY114" i="4"/>
  <c r="AY115" i="4" s="1"/>
  <c r="AY116" i="4" s="1"/>
  <c r="AY117" i="4" s="1"/>
  <c r="AY118" i="4" s="1"/>
  <c r="AY119" i="4" s="1"/>
  <c r="AY196" i="4" s="1"/>
  <c r="U247" i="4" s="1"/>
  <c r="AY107" i="4"/>
  <c r="AY108" i="4" s="1"/>
  <c r="AY109" i="4" s="1"/>
  <c r="AY110" i="4" s="1"/>
  <c r="AY111" i="4" s="1"/>
  <c r="AY112" i="4" s="1"/>
  <c r="AY195" i="4" s="1"/>
  <c r="T247" i="4" s="1"/>
  <c r="AY100" i="4"/>
  <c r="AY101" i="4" s="1"/>
  <c r="AY102" i="4" s="1"/>
  <c r="AY103" i="4" s="1"/>
  <c r="AY104" i="4" s="1"/>
  <c r="AY105" i="4" s="1"/>
  <c r="AY194" i="4" s="1"/>
  <c r="S247" i="4" s="1"/>
  <c r="AY93" i="4"/>
  <c r="AY94" i="4" s="1"/>
  <c r="AY95" i="4" s="1"/>
  <c r="AY96" i="4" s="1"/>
  <c r="AY97" i="4" s="1"/>
  <c r="AY98" i="4" s="1"/>
  <c r="AY193" i="4" s="1"/>
  <c r="R247" i="4" s="1"/>
  <c r="AY86" i="4"/>
  <c r="AY87" i="4" s="1"/>
  <c r="AY88" i="4" s="1"/>
  <c r="AY89" i="4" s="1"/>
  <c r="AY90" i="4" s="1"/>
  <c r="AY91" i="4" s="1"/>
  <c r="AY192" i="4" s="1"/>
  <c r="Q247" i="4" s="1"/>
  <c r="AY79" i="4"/>
  <c r="AY80" i="4" s="1"/>
  <c r="AY81" i="4" s="1"/>
  <c r="AY82" i="4" s="1"/>
  <c r="AY83" i="4" s="1"/>
  <c r="AY84" i="4" s="1"/>
  <c r="AY191" i="4" s="1"/>
  <c r="P247" i="4" s="1"/>
  <c r="AY72" i="4"/>
  <c r="AY73" i="4" s="1"/>
  <c r="AY74" i="4" s="1"/>
  <c r="AY75" i="4" s="1"/>
  <c r="AY76" i="4" s="1"/>
  <c r="AY77" i="4" s="1"/>
  <c r="AY190" i="4" s="1"/>
  <c r="O247" i="4" s="1"/>
  <c r="AY65" i="4"/>
  <c r="AY66" i="4" s="1"/>
  <c r="AY67" i="4" s="1"/>
  <c r="AY68" i="4" s="1"/>
  <c r="AY69" i="4" s="1"/>
  <c r="AY70" i="4" s="1"/>
  <c r="AY189" i="4" s="1"/>
  <c r="N247" i="4" s="1"/>
  <c r="AY58" i="4"/>
  <c r="AY59" i="4" s="1"/>
  <c r="AY60" i="4" s="1"/>
  <c r="AY61" i="4" s="1"/>
  <c r="AY62" i="4" s="1"/>
  <c r="AY63" i="4" s="1"/>
  <c r="AY188" i="4" s="1"/>
  <c r="M247" i="4" s="1"/>
  <c r="AY51" i="4"/>
  <c r="AY52" i="4" s="1"/>
  <c r="AY53" i="4" s="1"/>
  <c r="AY54" i="4" s="1"/>
  <c r="AY55" i="4" s="1"/>
  <c r="AY56" i="4" s="1"/>
  <c r="AY187" i="4" s="1"/>
  <c r="L247" i="4" s="1"/>
  <c r="AY44" i="4"/>
  <c r="AY45" i="4" s="1"/>
  <c r="AY46" i="4" s="1"/>
  <c r="AY47" i="4" s="1"/>
  <c r="AY48" i="4" s="1"/>
  <c r="AY49" i="4" s="1"/>
  <c r="AY186" i="4" s="1"/>
  <c r="K247" i="4" s="1"/>
  <c r="AY37" i="4"/>
  <c r="AY38" i="4" s="1"/>
  <c r="AY39" i="4" s="1"/>
  <c r="AY40" i="4" s="1"/>
  <c r="AY41" i="4" s="1"/>
  <c r="AY42" i="4" s="1"/>
  <c r="AY185" i="4" s="1"/>
  <c r="J247" i="4" s="1"/>
  <c r="AY30" i="4"/>
  <c r="AY31" i="4" s="1"/>
  <c r="AY32" i="4" s="1"/>
  <c r="AY33" i="4" s="1"/>
  <c r="AY34" i="4" s="1"/>
  <c r="AY35" i="4" s="1"/>
  <c r="AY184" i="4" s="1"/>
  <c r="I247" i="4" s="1"/>
  <c r="AY23" i="4"/>
  <c r="AY24" i="4" s="1"/>
  <c r="AY25" i="4" s="1"/>
  <c r="AY26" i="4" s="1"/>
  <c r="AY27" i="4" s="1"/>
  <c r="AY28" i="4" s="1"/>
  <c r="AY183" i="4" s="1"/>
  <c r="H247" i="4" s="1"/>
  <c r="AY16" i="4"/>
  <c r="AY17" i="4" s="1"/>
  <c r="AY18" i="4" s="1"/>
  <c r="AY19" i="4" s="1"/>
  <c r="AY20" i="4" s="1"/>
  <c r="AY21" i="4" s="1"/>
  <c r="AY182" i="4" s="1"/>
  <c r="G247" i="4" s="1"/>
  <c r="AY9" i="4"/>
  <c r="AY10" i="4" s="1"/>
  <c r="AY11" i="4" s="1"/>
  <c r="AY12" i="4" s="1"/>
  <c r="AY13" i="4" s="1"/>
  <c r="AY14" i="4" s="1"/>
  <c r="AY181" i="4" s="1"/>
  <c r="F247" i="4" s="1"/>
  <c r="AV128" i="4"/>
  <c r="AV129" i="4" s="1"/>
  <c r="AV130" i="4" s="1"/>
  <c r="AV131" i="4" s="1"/>
  <c r="AV132" i="4" s="1"/>
  <c r="AV133" i="4" s="1"/>
  <c r="AV198" i="4" s="1"/>
  <c r="W244" i="4" s="1"/>
  <c r="AV121" i="4"/>
  <c r="AV122" i="4" s="1"/>
  <c r="AV123" i="4" s="1"/>
  <c r="AV124" i="4" s="1"/>
  <c r="AV125" i="4" s="1"/>
  <c r="AV126" i="4" s="1"/>
  <c r="AV197" i="4" s="1"/>
  <c r="V244" i="4" s="1"/>
  <c r="AV114" i="4"/>
  <c r="AV115" i="4" s="1"/>
  <c r="AV116" i="4" s="1"/>
  <c r="AV117" i="4" s="1"/>
  <c r="AV118" i="4" s="1"/>
  <c r="AV119" i="4" s="1"/>
  <c r="AV196" i="4" s="1"/>
  <c r="U244" i="4" s="1"/>
  <c r="AV107" i="4"/>
  <c r="AV108" i="4" s="1"/>
  <c r="AV109" i="4" s="1"/>
  <c r="AV110" i="4" s="1"/>
  <c r="AV111" i="4" s="1"/>
  <c r="AV112" i="4" s="1"/>
  <c r="AV195" i="4" s="1"/>
  <c r="T244" i="4" s="1"/>
  <c r="AV100" i="4"/>
  <c r="AV101" i="4" s="1"/>
  <c r="AV102" i="4" s="1"/>
  <c r="AV103" i="4" s="1"/>
  <c r="AV104" i="4" s="1"/>
  <c r="AV105" i="4" s="1"/>
  <c r="AV194" i="4" s="1"/>
  <c r="S244" i="4" s="1"/>
  <c r="AV93" i="4"/>
  <c r="AV94" i="4" s="1"/>
  <c r="AV95" i="4" s="1"/>
  <c r="AV96" i="4" s="1"/>
  <c r="AV97" i="4" s="1"/>
  <c r="AV98" i="4" s="1"/>
  <c r="AV193" i="4" s="1"/>
  <c r="R244" i="4" s="1"/>
  <c r="AV86" i="4"/>
  <c r="AV87" i="4" s="1"/>
  <c r="AV88" i="4" s="1"/>
  <c r="AV89" i="4" s="1"/>
  <c r="AV90" i="4" s="1"/>
  <c r="AV91" i="4" s="1"/>
  <c r="AV192" i="4" s="1"/>
  <c r="Q244" i="4" s="1"/>
  <c r="AV79" i="4"/>
  <c r="AV80" i="4" s="1"/>
  <c r="AV81" i="4" s="1"/>
  <c r="AV82" i="4" s="1"/>
  <c r="AV83" i="4" s="1"/>
  <c r="AV84" i="4" s="1"/>
  <c r="AV191" i="4" s="1"/>
  <c r="P244" i="4" s="1"/>
  <c r="AV72" i="4"/>
  <c r="AV73" i="4" s="1"/>
  <c r="AV74" i="4" s="1"/>
  <c r="AV75" i="4" s="1"/>
  <c r="AV76" i="4" s="1"/>
  <c r="AV77" i="4" s="1"/>
  <c r="AV190" i="4" s="1"/>
  <c r="O244" i="4" s="1"/>
  <c r="AV65" i="4"/>
  <c r="AV66" i="4" s="1"/>
  <c r="AV67" i="4" s="1"/>
  <c r="AV68" i="4" s="1"/>
  <c r="AV69" i="4" s="1"/>
  <c r="AV70" i="4" s="1"/>
  <c r="AV189" i="4" s="1"/>
  <c r="N244" i="4" s="1"/>
  <c r="AV58" i="4"/>
  <c r="AV59" i="4" s="1"/>
  <c r="AV60" i="4" s="1"/>
  <c r="AV61" i="4" s="1"/>
  <c r="AV62" i="4" s="1"/>
  <c r="AV63" i="4" s="1"/>
  <c r="AV188" i="4" s="1"/>
  <c r="M244" i="4" s="1"/>
  <c r="AV51" i="4"/>
  <c r="AV52" i="4" s="1"/>
  <c r="AV53" i="4" s="1"/>
  <c r="AV54" i="4" s="1"/>
  <c r="AV55" i="4" s="1"/>
  <c r="AV56" i="4" s="1"/>
  <c r="AV187" i="4" s="1"/>
  <c r="L244" i="4" s="1"/>
  <c r="AV44" i="4"/>
  <c r="AV45" i="4" s="1"/>
  <c r="AV46" i="4" s="1"/>
  <c r="AV47" i="4" s="1"/>
  <c r="AV48" i="4" s="1"/>
  <c r="AV49" i="4" s="1"/>
  <c r="AV186" i="4" s="1"/>
  <c r="K244" i="4" s="1"/>
  <c r="AV37" i="4"/>
  <c r="AV38" i="4" s="1"/>
  <c r="AV39" i="4" s="1"/>
  <c r="AV40" i="4" s="1"/>
  <c r="AV41" i="4" s="1"/>
  <c r="AV42" i="4" s="1"/>
  <c r="AV185" i="4" s="1"/>
  <c r="J244" i="4" s="1"/>
  <c r="AV30" i="4"/>
  <c r="AV31" i="4" s="1"/>
  <c r="AV32" i="4" s="1"/>
  <c r="AV33" i="4" s="1"/>
  <c r="AV34" i="4" s="1"/>
  <c r="AV35" i="4" s="1"/>
  <c r="AV184" i="4" s="1"/>
  <c r="I244" i="4" s="1"/>
  <c r="AV23" i="4"/>
  <c r="AV24" i="4" s="1"/>
  <c r="AV25" i="4" s="1"/>
  <c r="AV26" i="4" s="1"/>
  <c r="AV27" i="4" s="1"/>
  <c r="AV28" i="4" s="1"/>
  <c r="AV183" i="4" s="1"/>
  <c r="H244" i="4" s="1"/>
  <c r="AV16" i="4"/>
  <c r="AV17" i="4" s="1"/>
  <c r="AV18" i="4" s="1"/>
  <c r="AV19" i="4" s="1"/>
  <c r="AV20" i="4" s="1"/>
  <c r="AV21" i="4" s="1"/>
  <c r="AV182" i="4" s="1"/>
  <c r="G244" i="4" s="1"/>
  <c r="AV9" i="4"/>
  <c r="AV10" i="4" s="1"/>
  <c r="AV11" i="4" s="1"/>
  <c r="AV12" i="4" s="1"/>
  <c r="AV13" i="4" s="1"/>
  <c r="AV14" i="4" s="1"/>
  <c r="AV181" i="4" s="1"/>
  <c r="F244" i="4" s="1"/>
  <c r="DK118" i="9" l="1"/>
  <c r="DG119" i="9"/>
  <c r="DN118" i="9"/>
  <c r="DO118" i="9" s="1"/>
  <c r="DI118" i="9"/>
  <c r="DB118" i="9"/>
  <c r="DA119" i="9" s="1"/>
  <c r="CO119" i="9"/>
  <c r="CP119" i="9" s="1"/>
  <c r="CC119" i="9"/>
  <c r="CB120" i="9" s="1"/>
  <c r="CJ119" i="9"/>
  <c r="CL119" i="9"/>
  <c r="CH120" i="9"/>
  <c r="BI120" i="9"/>
  <c r="BM120" i="9" s="1"/>
  <c r="BP118" i="9"/>
  <c r="BQ118" i="9" s="1"/>
  <c r="BD118" i="9"/>
  <c r="BC119" i="9" s="1"/>
  <c r="BK118" i="9"/>
  <c r="AJ119" i="9"/>
  <c r="AN118" i="9"/>
  <c r="AE118" i="9"/>
  <c r="AD119" i="9" s="1"/>
  <c r="AQ118" i="9"/>
  <c r="AR118" i="9" s="1"/>
  <c r="AL118" i="9"/>
  <c r="DG160" i="9"/>
  <c r="T271" i="9" s="1"/>
  <c r="DK160" i="9"/>
  <c r="T275" i="9" s="1"/>
  <c r="BC159" i="9"/>
  <c r="E159" i="9"/>
  <c r="M159" i="9" s="1"/>
  <c r="R104" i="9"/>
  <c r="S104" i="9" s="1"/>
  <c r="M104" i="9"/>
  <c r="E105" i="9"/>
  <c r="F105" i="9" s="1"/>
  <c r="S241" i="9"/>
  <c r="CO159" i="9"/>
  <c r="S254" i="9" s="1"/>
  <c r="S192" i="9"/>
  <c r="AQ159" i="9"/>
  <c r="S205" i="9" s="1"/>
  <c r="AN159" i="9"/>
  <c r="S202" i="9" s="1"/>
  <c r="K160" i="9"/>
  <c r="K118" i="9"/>
  <c r="O117" i="9"/>
  <c r="R293" i="9"/>
  <c r="R327" i="9"/>
  <c r="R344" i="9" s="1"/>
  <c r="P12" i="5" s="1"/>
  <c r="HJ66" i="7"/>
  <c r="HK66" i="7" s="1"/>
  <c r="GX66" i="7"/>
  <c r="GW67" i="7" s="1"/>
  <c r="HE66" i="7"/>
  <c r="HG66" i="7"/>
  <c r="HC67" i="7"/>
  <c r="GH65" i="7"/>
  <c r="GD66" i="7"/>
  <c r="GF66" i="7"/>
  <c r="GK66" i="7"/>
  <c r="GL66" i="7" s="1"/>
  <c r="FY66" i="7"/>
  <c r="FX67" i="7" s="1"/>
  <c r="FL67" i="7"/>
  <c r="FM67" i="7" s="1"/>
  <c r="FG67" i="7"/>
  <c r="EZ67" i="7"/>
  <c r="EY68" i="7" s="1"/>
  <c r="FE67" i="7"/>
  <c r="FI66" i="7"/>
  <c r="EM67" i="7"/>
  <c r="EN67" i="7" s="1"/>
  <c r="EA67" i="7"/>
  <c r="DZ68" i="7" s="1"/>
  <c r="EH67" i="7"/>
  <c r="EJ67" i="7"/>
  <c r="EF68" i="7"/>
  <c r="DN67" i="7"/>
  <c r="DO67" i="7" s="1"/>
  <c r="DB67" i="7"/>
  <c r="DA68" i="7" s="1"/>
  <c r="DI67" i="7"/>
  <c r="DG67" i="7"/>
  <c r="DK66" i="7"/>
  <c r="K291" i="8"/>
  <c r="K325" i="8"/>
  <c r="BI63" i="8"/>
  <c r="BM62" i="8"/>
  <c r="K152" i="8"/>
  <c r="K62" i="8"/>
  <c r="O61" i="8"/>
  <c r="DG62" i="8"/>
  <c r="DK61" i="8"/>
  <c r="BC152" i="8"/>
  <c r="BP55" i="8"/>
  <c r="BQ55" i="8" s="1"/>
  <c r="BK55" i="8"/>
  <c r="BD55" i="8"/>
  <c r="BC56" i="8" s="1"/>
  <c r="CJ56" i="8"/>
  <c r="CO56" i="8"/>
  <c r="CC56" i="8"/>
  <c r="CB57" i="8" s="1"/>
  <c r="CL56" i="8"/>
  <c r="DN62" i="8"/>
  <c r="DO62" i="8" s="1"/>
  <c r="DB62" i="8"/>
  <c r="DA63" i="8" s="1"/>
  <c r="DI62" i="8"/>
  <c r="AQ56" i="8"/>
  <c r="AR56" i="8" s="1"/>
  <c r="AL56" i="8"/>
  <c r="AE56" i="8"/>
  <c r="AD57" i="8" s="1"/>
  <c r="CH64" i="8"/>
  <c r="AN63" i="8"/>
  <c r="AJ64" i="8"/>
  <c r="L192" i="8"/>
  <c r="AQ152" i="8"/>
  <c r="L205" i="8" s="1"/>
  <c r="E152" i="8"/>
  <c r="M55" i="8"/>
  <c r="F55" i="8"/>
  <c r="E56" i="8" s="1"/>
  <c r="R55" i="8"/>
  <c r="S55" i="8" s="1"/>
  <c r="CP55" i="8"/>
  <c r="CP56" i="8" s="1"/>
  <c r="AN152" i="8"/>
  <c r="L202" i="8" s="1"/>
  <c r="AE42" i="7"/>
  <c r="AD43" i="7" s="1"/>
  <c r="AQ43" i="7" s="1"/>
  <c r="AQ42" i="7"/>
  <c r="AR42" i="7" s="1"/>
  <c r="BQ38" i="7"/>
  <c r="AE149" i="1"/>
  <c r="I193" i="1" s="1"/>
  <c r="BI45" i="7"/>
  <c r="BM45" i="7" s="1"/>
  <c r="CO39" i="7"/>
  <c r="CJ39" i="7"/>
  <c r="CC39" i="7"/>
  <c r="CB40" i="7" s="1"/>
  <c r="CL39" i="7"/>
  <c r="CP38" i="7"/>
  <c r="R40" i="7"/>
  <c r="S40" i="7" s="1"/>
  <c r="E41" i="7"/>
  <c r="F41" i="7" s="1"/>
  <c r="M40" i="7"/>
  <c r="CH44" i="7"/>
  <c r="AJ43" i="7"/>
  <c r="AN43" i="7" s="1"/>
  <c r="K44" i="7"/>
  <c r="O44" i="7" s="1"/>
  <c r="I426" i="7"/>
  <c r="G34" i="5" s="1"/>
  <c r="BP39" i="7"/>
  <c r="BD39" i="7"/>
  <c r="BC40" i="7" s="1"/>
  <c r="BK39" i="7"/>
  <c r="BD34" i="1"/>
  <c r="BC35" i="1" s="1"/>
  <c r="BD35" i="1" s="1"/>
  <c r="BC36" i="1" s="1"/>
  <c r="BK34" i="1"/>
  <c r="AQ41" i="1"/>
  <c r="AL41" i="1"/>
  <c r="AE41" i="1"/>
  <c r="AD42" i="1" s="1"/>
  <c r="AJ42" i="1"/>
  <c r="AN41" i="1"/>
  <c r="BP34" i="1"/>
  <c r="BQ34" i="1" s="1"/>
  <c r="BI36" i="1"/>
  <c r="AS8" i="4"/>
  <c r="K7" i="1"/>
  <c r="F7" i="1"/>
  <c r="AT8" i="4"/>
  <c r="N293" i="4"/>
  <c r="V293" i="4"/>
  <c r="CT8" i="4"/>
  <c r="I9" i="3"/>
  <c r="J335" i="4"/>
  <c r="L8" i="4"/>
  <c r="BL8" i="4"/>
  <c r="BL9" i="4"/>
  <c r="Y17" i="4"/>
  <c r="Y18" i="4" s="1"/>
  <c r="Y19" i="4" s="1"/>
  <c r="Y20" i="4" s="1"/>
  <c r="Y21" i="4" s="1"/>
  <c r="Y182" i="4" s="1"/>
  <c r="G223" i="4" s="1"/>
  <c r="CV11" i="4"/>
  <c r="CV12" i="4" s="1"/>
  <c r="CV13" i="4" s="1"/>
  <c r="CV14" i="4" s="1"/>
  <c r="CV181" i="4" s="1"/>
  <c r="CY13" i="4"/>
  <c r="CY14" i="4" s="1"/>
  <c r="CY181" i="4" s="1"/>
  <c r="F296" i="4" s="1"/>
  <c r="DV11" i="4"/>
  <c r="DV12" i="4" s="1"/>
  <c r="DV13" i="4" s="1"/>
  <c r="DV14" i="4" s="1"/>
  <c r="DV181" i="4" s="1"/>
  <c r="F316" i="4" s="1"/>
  <c r="CY20" i="4"/>
  <c r="CY21" i="4" s="1"/>
  <c r="CY182" i="4" s="1"/>
  <c r="G296" i="4" s="1"/>
  <c r="Y11" i="4"/>
  <c r="Y12" i="4" s="1"/>
  <c r="Y13" i="4" s="1"/>
  <c r="Y14" i="4" s="1"/>
  <c r="Y181" i="4" s="1"/>
  <c r="F223" i="4" s="1"/>
  <c r="U8" i="4"/>
  <c r="W8" i="4" s="1"/>
  <c r="R15" i="4"/>
  <c r="DK119" i="9" l="1"/>
  <c r="DG120" i="9"/>
  <c r="DN119" i="9"/>
  <c r="DO119" i="9" s="1"/>
  <c r="DB119" i="9"/>
  <c r="DA120" i="9" s="1"/>
  <c r="DI119" i="9"/>
  <c r="CO120" i="9"/>
  <c r="CP120" i="9" s="1"/>
  <c r="CJ120" i="9"/>
  <c r="CC120" i="9"/>
  <c r="CB121" i="9" s="1"/>
  <c r="CH121" i="9"/>
  <c r="CL120" i="9"/>
  <c r="BI121" i="9"/>
  <c r="BM121" i="9" s="1"/>
  <c r="BD119" i="9"/>
  <c r="BC120" i="9" s="1"/>
  <c r="BK119" i="9"/>
  <c r="BP119" i="9"/>
  <c r="BQ119" i="9" s="1"/>
  <c r="AQ119" i="9"/>
  <c r="AR119" i="9" s="1"/>
  <c r="AE119" i="9"/>
  <c r="AD120" i="9" s="1"/>
  <c r="AL119" i="9"/>
  <c r="AN119" i="9"/>
  <c r="AJ120" i="9"/>
  <c r="K119" i="9"/>
  <c r="O118" i="9"/>
  <c r="T175" i="9"/>
  <c r="T298" i="9" s="1"/>
  <c r="S169" i="9"/>
  <c r="R159" i="9"/>
  <c r="S182" i="9" s="1"/>
  <c r="S177" i="9"/>
  <c r="O159" i="9"/>
  <c r="S179" i="9" s="1"/>
  <c r="S217" i="9"/>
  <c r="BP159" i="9"/>
  <c r="S230" i="9" s="1"/>
  <c r="R105" i="9"/>
  <c r="S105" i="9" s="1"/>
  <c r="E106" i="9"/>
  <c r="F106" i="9" s="1"/>
  <c r="M105" i="9"/>
  <c r="DA149" i="7"/>
  <c r="I265" i="7" s="1"/>
  <c r="GW149" i="7"/>
  <c r="I358" i="7" s="1"/>
  <c r="EY149" i="7"/>
  <c r="I312" i="7" s="1"/>
  <c r="FX149" i="7"/>
  <c r="I335" i="7" s="1"/>
  <c r="DZ149" i="7"/>
  <c r="I289" i="7" s="1"/>
  <c r="HJ67" i="7"/>
  <c r="HK67" i="7" s="1"/>
  <c r="HE67" i="7"/>
  <c r="GX67" i="7"/>
  <c r="GW68" i="7" s="1"/>
  <c r="HC68" i="7"/>
  <c r="HG67" i="7"/>
  <c r="GH66" i="7"/>
  <c r="GD67" i="7"/>
  <c r="GK67" i="7"/>
  <c r="GL67" i="7" s="1"/>
  <c r="FY67" i="7"/>
  <c r="FX68" i="7" s="1"/>
  <c r="GF67" i="7"/>
  <c r="FL68" i="7"/>
  <c r="FM68" i="7" s="1"/>
  <c r="EZ68" i="7"/>
  <c r="EY69" i="7" s="1"/>
  <c r="FG68" i="7"/>
  <c r="FI67" i="7"/>
  <c r="FE68" i="7"/>
  <c r="EM68" i="7"/>
  <c r="EN68" i="7" s="1"/>
  <c r="EA68" i="7"/>
  <c r="DZ69" i="7" s="1"/>
  <c r="EH68" i="7"/>
  <c r="EF69" i="7"/>
  <c r="EJ68" i="7"/>
  <c r="DN68" i="7"/>
  <c r="DO68" i="7" s="1"/>
  <c r="DB68" i="7"/>
  <c r="DA69" i="7" s="1"/>
  <c r="DI68" i="7"/>
  <c r="DK67" i="7"/>
  <c r="DG68" i="7"/>
  <c r="L169" i="8"/>
  <c r="R152" i="8"/>
  <c r="L182" i="8" s="1"/>
  <c r="M152" i="8"/>
  <c r="L177" i="8" s="1"/>
  <c r="CH65" i="8"/>
  <c r="L217" i="8"/>
  <c r="BP152" i="8"/>
  <c r="L230" i="8" s="1"/>
  <c r="O62" i="8"/>
  <c r="K63" i="8"/>
  <c r="BP56" i="8"/>
  <c r="BQ56" i="8" s="1"/>
  <c r="BD56" i="8"/>
  <c r="BC57" i="8" s="1"/>
  <c r="BK56" i="8"/>
  <c r="O152" i="8"/>
  <c r="L179" i="8" s="1"/>
  <c r="L175" i="8"/>
  <c r="L296" i="8" s="1"/>
  <c r="R56" i="8"/>
  <c r="S56" i="8" s="1"/>
  <c r="F56" i="8"/>
  <c r="E57" i="8" s="1"/>
  <c r="M56" i="8"/>
  <c r="CO57" i="8"/>
  <c r="CP57" i="8" s="1"/>
  <c r="CC57" i="8"/>
  <c r="CB58" i="8" s="1"/>
  <c r="CJ57" i="8"/>
  <c r="CL57" i="8"/>
  <c r="DK62" i="8"/>
  <c r="DG63" i="8"/>
  <c r="AN64" i="8"/>
  <c r="AJ65" i="8"/>
  <c r="AQ57" i="8"/>
  <c r="AR57" i="8" s="1"/>
  <c r="AE57" i="8"/>
  <c r="AD58" i="8" s="1"/>
  <c r="AL57" i="8"/>
  <c r="DN63" i="8"/>
  <c r="DO63" i="8" s="1"/>
  <c r="DI63" i="8"/>
  <c r="DB63" i="8"/>
  <c r="DA64" i="8" s="1"/>
  <c r="BM63" i="8"/>
  <c r="BI64" i="8"/>
  <c r="AL43" i="7"/>
  <c r="AE43" i="7"/>
  <c r="AD44" i="7" s="1"/>
  <c r="AL44" i="7" s="1"/>
  <c r="BQ39" i="7"/>
  <c r="BP35" i="1"/>
  <c r="BK35" i="1"/>
  <c r="AR43" i="7"/>
  <c r="AR41" i="1"/>
  <c r="CP39" i="7"/>
  <c r="S149" i="7"/>
  <c r="BP40" i="7"/>
  <c r="BD40" i="7"/>
  <c r="BC41" i="7" s="1"/>
  <c r="BK40" i="7"/>
  <c r="BM149" i="7"/>
  <c r="I227" i="7" s="1"/>
  <c r="F149" i="7"/>
  <c r="I170" i="7" s="1"/>
  <c r="CB149" i="7"/>
  <c r="CO40" i="7"/>
  <c r="CJ40" i="7"/>
  <c r="CC40" i="7"/>
  <c r="CL40" i="7"/>
  <c r="BI46" i="7"/>
  <c r="BM46" i="7" s="1"/>
  <c r="K45" i="7"/>
  <c r="O45" i="7" s="1"/>
  <c r="CH45" i="7"/>
  <c r="CP40" i="7"/>
  <c r="AJ44" i="7"/>
  <c r="AN44" i="7" s="1"/>
  <c r="AQ42" i="1"/>
  <c r="AE42" i="1"/>
  <c r="AL42" i="1"/>
  <c r="AN42" i="1"/>
  <c r="AJ43" i="1"/>
  <c r="BQ35" i="1"/>
  <c r="R8" i="1"/>
  <c r="BP36" i="1"/>
  <c r="BK36" i="1"/>
  <c r="BD36" i="1"/>
  <c r="BC37" i="1" s="1"/>
  <c r="BI37" i="1"/>
  <c r="K335" i="4"/>
  <c r="F293" i="4"/>
  <c r="BL10" i="4"/>
  <c r="S305" i="9" l="1"/>
  <c r="S330" i="9" s="1"/>
  <c r="DG121" i="9"/>
  <c r="DK120" i="9"/>
  <c r="DN120" i="9"/>
  <c r="DO120" i="9" s="1"/>
  <c r="DB120" i="9"/>
  <c r="DA121" i="9" s="1"/>
  <c r="DI120" i="9"/>
  <c r="CO121" i="9"/>
  <c r="CP121" i="9" s="1"/>
  <c r="CC121" i="9"/>
  <c r="CB122" i="9" s="1"/>
  <c r="CJ121" i="9"/>
  <c r="CL121" i="9"/>
  <c r="CH122" i="9"/>
  <c r="BP120" i="9"/>
  <c r="BQ120" i="9" s="1"/>
  <c r="BD120" i="9"/>
  <c r="BC121" i="9" s="1"/>
  <c r="BK120" i="9"/>
  <c r="BI122" i="9"/>
  <c r="BM122" i="9" s="1"/>
  <c r="AE120" i="9"/>
  <c r="AD121" i="9" s="1"/>
  <c r="AL120" i="9"/>
  <c r="AQ120" i="9"/>
  <c r="AR120" i="9" s="1"/>
  <c r="AN120" i="9"/>
  <c r="AJ121" i="9"/>
  <c r="T334" i="9"/>
  <c r="R106" i="9"/>
  <c r="S106" i="9" s="1"/>
  <c r="M106" i="9"/>
  <c r="E107" i="9"/>
  <c r="F107" i="9" s="1"/>
  <c r="S292" i="9"/>
  <c r="S307" i="9" s="1"/>
  <c r="S317" i="9"/>
  <c r="S343" i="9" s="1"/>
  <c r="Q11" i="5" s="1"/>
  <c r="O119" i="9"/>
  <c r="K120" i="9"/>
  <c r="AQ44" i="7"/>
  <c r="DO149" i="7"/>
  <c r="I279" i="7" s="1"/>
  <c r="HK149" i="7"/>
  <c r="I372" i="7" s="1"/>
  <c r="GL149" i="7"/>
  <c r="I349" i="7" s="1"/>
  <c r="FM149" i="7"/>
  <c r="I326" i="7" s="1"/>
  <c r="EN149" i="7"/>
  <c r="I303" i="7" s="1"/>
  <c r="HG149" i="7"/>
  <c r="I368" i="7" s="1"/>
  <c r="GH149" i="7"/>
  <c r="I345" i="7" s="1"/>
  <c r="FI149" i="7"/>
  <c r="I322" i="7" s="1"/>
  <c r="EJ149" i="7"/>
  <c r="I299" i="7" s="1"/>
  <c r="DB149" i="7"/>
  <c r="GX149" i="7"/>
  <c r="I359" i="7" s="1"/>
  <c r="FY149" i="7"/>
  <c r="I336" i="7" s="1"/>
  <c r="EZ149" i="7"/>
  <c r="I313" i="7" s="1"/>
  <c r="EA149" i="7"/>
  <c r="HJ68" i="7"/>
  <c r="HK68" i="7" s="1"/>
  <c r="GX68" i="7"/>
  <c r="GW69" i="7" s="1"/>
  <c r="HE68" i="7"/>
  <c r="HG68" i="7"/>
  <c r="HC69" i="7"/>
  <c r="GH67" i="7"/>
  <c r="GD68" i="7"/>
  <c r="GK68" i="7"/>
  <c r="GL68" i="7" s="1"/>
  <c r="FY68" i="7"/>
  <c r="FX69" i="7" s="1"/>
  <c r="GF68" i="7"/>
  <c r="FL69" i="7"/>
  <c r="FM69" i="7" s="1"/>
  <c r="EZ69" i="7"/>
  <c r="EY70" i="7" s="1"/>
  <c r="FG69" i="7"/>
  <c r="FE69" i="7"/>
  <c r="FI68" i="7"/>
  <c r="EA69" i="7"/>
  <c r="DZ70" i="7" s="1"/>
  <c r="EH69" i="7"/>
  <c r="EM69" i="7"/>
  <c r="EN69" i="7" s="1"/>
  <c r="EF70" i="7"/>
  <c r="EJ69" i="7"/>
  <c r="DN69" i="7"/>
  <c r="DO69" i="7" s="1"/>
  <c r="DB69" i="7"/>
  <c r="DA70" i="7" s="1"/>
  <c r="DI69" i="7"/>
  <c r="DG69" i="7"/>
  <c r="DK68" i="7"/>
  <c r="BM64" i="8"/>
  <c r="BI65" i="8"/>
  <c r="DG64" i="8"/>
  <c r="DK63" i="8"/>
  <c r="R57" i="8"/>
  <c r="S57" i="8" s="1"/>
  <c r="M57" i="8"/>
  <c r="F57" i="8"/>
  <c r="E58" i="8" s="1"/>
  <c r="CH66" i="8"/>
  <c r="L290" i="8"/>
  <c r="L300" i="8" s="1"/>
  <c r="L327" i="8" s="1"/>
  <c r="L315" i="8"/>
  <c r="DN64" i="8"/>
  <c r="DO64" i="8" s="1"/>
  <c r="DB64" i="8"/>
  <c r="DA65" i="8" s="1"/>
  <c r="DI64" i="8"/>
  <c r="AL58" i="8"/>
  <c r="AE58" i="8"/>
  <c r="AD59" i="8" s="1"/>
  <c r="AQ58" i="8"/>
  <c r="AR58" i="8" s="1"/>
  <c r="K64" i="8"/>
  <c r="O63" i="8"/>
  <c r="AN65" i="8"/>
  <c r="AJ66" i="8"/>
  <c r="CO58" i="8"/>
  <c r="CP58" i="8" s="1"/>
  <c r="CJ58" i="8"/>
  <c r="CC58" i="8"/>
  <c r="CB59" i="8" s="1"/>
  <c r="CL58" i="8"/>
  <c r="BK57" i="8"/>
  <c r="BP57" i="8"/>
  <c r="BQ57" i="8" s="1"/>
  <c r="BD57" i="8"/>
  <c r="BC58" i="8" s="1"/>
  <c r="L332" i="8"/>
  <c r="AE44" i="7"/>
  <c r="AD45" i="7" s="1"/>
  <c r="AQ45" i="7" s="1"/>
  <c r="BQ40" i="7"/>
  <c r="BQ149" i="7" s="1"/>
  <c r="I231" i="7" s="1"/>
  <c r="I183" i="7"/>
  <c r="I184" i="7"/>
  <c r="AR44" i="7"/>
  <c r="AD43" i="1"/>
  <c r="AQ43" i="1" s="1"/>
  <c r="AR42" i="1"/>
  <c r="I241" i="7"/>
  <c r="I409" i="7" s="1"/>
  <c r="I435" i="7" s="1"/>
  <c r="G8" i="5" s="1"/>
  <c r="CL149" i="7"/>
  <c r="DK149" i="7"/>
  <c r="I275" i="7" s="1"/>
  <c r="CP149" i="7"/>
  <c r="K46" i="7"/>
  <c r="O46" i="7" s="1"/>
  <c r="CC149" i="7"/>
  <c r="CB41" i="7"/>
  <c r="E150" i="7"/>
  <c r="R150" i="7" s="1"/>
  <c r="R41" i="7"/>
  <c r="E42" i="7"/>
  <c r="F42" i="7" s="1"/>
  <c r="M41" i="7"/>
  <c r="AJ45" i="7"/>
  <c r="AN45" i="7" s="1"/>
  <c r="I384" i="7"/>
  <c r="I399" i="7" s="1"/>
  <c r="BD149" i="7"/>
  <c r="AL45" i="7"/>
  <c r="BI47" i="7"/>
  <c r="BM47" i="7" s="1"/>
  <c r="CH46" i="7"/>
  <c r="AJ44" i="1"/>
  <c r="BP37" i="1"/>
  <c r="BK37" i="1"/>
  <c r="BQ36" i="1"/>
  <c r="BD37" i="1"/>
  <c r="BC38" i="1" s="1"/>
  <c r="BI38" i="1"/>
  <c r="A6" i="5"/>
  <c r="A8" i="5" s="1"/>
  <c r="A9" i="5" s="1"/>
  <c r="A11" i="5" s="1"/>
  <c r="A12" i="5" s="1"/>
  <c r="DK121" i="9" l="1"/>
  <c r="DG122" i="9"/>
  <c r="DB121" i="9"/>
  <c r="DA122" i="9" s="1"/>
  <c r="DI121" i="9"/>
  <c r="DN121" i="9"/>
  <c r="DO121" i="9" s="1"/>
  <c r="CC122" i="9"/>
  <c r="CB123" i="9" s="1"/>
  <c r="CJ122" i="9"/>
  <c r="CO122" i="9"/>
  <c r="CP122" i="9" s="1"/>
  <c r="CL122" i="9"/>
  <c r="CH123" i="9"/>
  <c r="BP121" i="9"/>
  <c r="BQ121" i="9" s="1"/>
  <c r="BD121" i="9"/>
  <c r="BC122" i="9" s="1"/>
  <c r="BK121" i="9"/>
  <c r="BI123" i="9"/>
  <c r="BM123" i="9" s="1"/>
  <c r="AN121" i="9"/>
  <c r="AJ122" i="9"/>
  <c r="AQ121" i="9"/>
  <c r="AR121" i="9" s="1"/>
  <c r="AE121" i="9"/>
  <c r="AD122" i="9" s="1"/>
  <c r="AL121" i="9"/>
  <c r="S300" i="9"/>
  <c r="S328" i="9" s="1"/>
  <c r="S331" i="9"/>
  <c r="S302" i="9"/>
  <c r="S329" i="9" s="1"/>
  <c r="O120" i="9"/>
  <c r="K121" i="9"/>
  <c r="R107" i="9"/>
  <c r="S107" i="9" s="1"/>
  <c r="E108" i="9"/>
  <c r="F108" i="9" s="1"/>
  <c r="M107" i="9"/>
  <c r="I266" i="7"/>
  <c r="I290" i="7"/>
  <c r="I251" i="7"/>
  <c r="AE45" i="7"/>
  <c r="AD46" i="7" s="1"/>
  <c r="AQ46" i="7" s="1"/>
  <c r="DA150" i="7"/>
  <c r="J265" i="7" s="1"/>
  <c r="GW150" i="7"/>
  <c r="J358" i="7" s="1"/>
  <c r="FX150" i="7"/>
  <c r="J335" i="7" s="1"/>
  <c r="EY150" i="7"/>
  <c r="J312" i="7" s="1"/>
  <c r="DZ150" i="7"/>
  <c r="J289" i="7" s="1"/>
  <c r="HJ69" i="7"/>
  <c r="HK69" i="7" s="1"/>
  <c r="HE69" i="7"/>
  <c r="GX69" i="7"/>
  <c r="GW70" i="7" s="1"/>
  <c r="HC70" i="7"/>
  <c r="HG69" i="7"/>
  <c r="GD69" i="7"/>
  <c r="GH68" i="7"/>
  <c r="GK69" i="7"/>
  <c r="GL69" i="7" s="1"/>
  <c r="FY69" i="7"/>
  <c r="FX70" i="7" s="1"/>
  <c r="GF69" i="7"/>
  <c r="FL70" i="7"/>
  <c r="FM70" i="7" s="1"/>
  <c r="EZ70" i="7"/>
  <c r="EY71" i="7" s="1"/>
  <c r="FG70" i="7"/>
  <c r="FI69" i="7"/>
  <c r="FE70" i="7"/>
  <c r="EM70" i="7"/>
  <c r="EN70" i="7" s="1"/>
  <c r="EA70" i="7"/>
  <c r="DZ71" i="7" s="1"/>
  <c r="EH70" i="7"/>
  <c r="EJ70" i="7"/>
  <c r="EF71" i="7"/>
  <c r="DN70" i="7"/>
  <c r="DO70" i="7" s="1"/>
  <c r="DB70" i="7"/>
  <c r="DA71" i="7" s="1"/>
  <c r="DI70" i="7"/>
  <c r="DK69" i="7"/>
  <c r="DG70" i="7"/>
  <c r="O64" i="8"/>
  <c r="K65" i="8"/>
  <c r="R58" i="8"/>
  <c r="S58" i="8" s="1"/>
  <c r="F58" i="8"/>
  <c r="E59" i="8" s="1"/>
  <c r="M58" i="8"/>
  <c r="DK64" i="8"/>
  <c r="DG65" i="8"/>
  <c r="L298" i="8"/>
  <c r="L326" i="8" s="1"/>
  <c r="L305" i="8"/>
  <c r="L329" i="8" s="1"/>
  <c r="BI66" i="8"/>
  <c r="BM65" i="8"/>
  <c r="DN65" i="8"/>
  <c r="DO65" i="8" s="1"/>
  <c r="DB65" i="8"/>
  <c r="DA66" i="8" s="1"/>
  <c r="DI65" i="8"/>
  <c r="BP58" i="8"/>
  <c r="BQ58" i="8" s="1"/>
  <c r="BD58" i="8"/>
  <c r="BC59" i="8" s="1"/>
  <c r="BK58" i="8"/>
  <c r="CO59" i="8"/>
  <c r="CP59" i="8" s="1"/>
  <c r="CC59" i="8"/>
  <c r="CB60" i="8" s="1"/>
  <c r="CJ59" i="8"/>
  <c r="CL59" i="8"/>
  <c r="AQ59" i="8"/>
  <c r="AR59" i="8" s="1"/>
  <c r="AE59" i="8"/>
  <c r="AD60" i="8" s="1"/>
  <c r="AL59" i="8"/>
  <c r="CH67" i="8"/>
  <c r="AJ67" i="8"/>
  <c r="AN66" i="8"/>
  <c r="AR45" i="7"/>
  <c r="M150" i="7"/>
  <c r="J169" i="7"/>
  <c r="AL43" i="1"/>
  <c r="AE43" i="1"/>
  <c r="AD44" i="1" s="1"/>
  <c r="AL44" i="1" s="1"/>
  <c r="AN43" i="1"/>
  <c r="AR43" i="1"/>
  <c r="I423" i="7"/>
  <c r="I255" i="7"/>
  <c r="I242" i="7"/>
  <c r="I218" i="7"/>
  <c r="I392" i="7"/>
  <c r="I420" i="7" s="1"/>
  <c r="I394" i="7"/>
  <c r="I421" i="7" s="1"/>
  <c r="K47" i="7"/>
  <c r="O47" i="7" s="1"/>
  <c r="CB150" i="7"/>
  <c r="CO41" i="7"/>
  <c r="CC41" i="7"/>
  <c r="CB42" i="7" s="1"/>
  <c r="CJ41" i="7"/>
  <c r="CL41" i="7"/>
  <c r="CH47" i="7"/>
  <c r="AE46" i="7"/>
  <c r="AD47" i="7" s="1"/>
  <c r="AE47" i="7" s="1"/>
  <c r="AE150" i="7" s="1"/>
  <c r="BC150" i="7"/>
  <c r="BP150" i="7" s="1"/>
  <c r="BD41" i="7"/>
  <c r="BC42" i="7" s="1"/>
  <c r="BK41" i="7"/>
  <c r="BP41" i="7"/>
  <c r="BQ41" i="7" s="1"/>
  <c r="E43" i="7"/>
  <c r="F43" i="7" s="1"/>
  <c r="M42" i="7"/>
  <c r="R42" i="7"/>
  <c r="BI150" i="7"/>
  <c r="BI48" i="7"/>
  <c r="BM48" i="7" s="1"/>
  <c r="AJ46" i="7"/>
  <c r="AN46" i="7" s="1"/>
  <c r="S41" i="7"/>
  <c r="AQ44" i="1"/>
  <c r="AE44" i="1"/>
  <c r="AD45" i="1" s="1"/>
  <c r="AJ45" i="1"/>
  <c r="BQ37" i="1"/>
  <c r="BP38" i="1"/>
  <c r="BK38" i="1"/>
  <c r="BD38" i="1"/>
  <c r="BC39" i="1" s="1"/>
  <c r="BI39" i="1"/>
  <c r="BO22" i="4"/>
  <c r="DO22" i="4"/>
  <c r="CO22" i="4"/>
  <c r="AO22" i="4"/>
  <c r="DO15" i="4"/>
  <c r="CO15" i="4"/>
  <c r="AO15" i="4"/>
  <c r="BO15" i="4"/>
  <c r="B9" i="5"/>
  <c r="B6" i="5"/>
  <c r="DK122" i="9" l="1"/>
  <c r="DG123" i="9"/>
  <c r="DB122" i="9"/>
  <c r="DA123" i="9" s="1"/>
  <c r="DN122" i="9"/>
  <c r="DO122" i="9" s="1"/>
  <c r="DI122" i="9"/>
  <c r="CL123" i="9"/>
  <c r="CH124" i="9"/>
  <c r="CO123" i="9"/>
  <c r="CP123" i="9" s="1"/>
  <c r="CC123" i="9"/>
  <c r="CB124" i="9" s="1"/>
  <c r="CJ123" i="9"/>
  <c r="BP122" i="9"/>
  <c r="BQ122" i="9" s="1"/>
  <c r="BD122" i="9"/>
  <c r="BC123" i="9" s="1"/>
  <c r="BK122" i="9"/>
  <c r="BI124" i="9"/>
  <c r="BM124" i="9" s="1"/>
  <c r="AJ123" i="9"/>
  <c r="AN122" i="9"/>
  <c r="AQ122" i="9"/>
  <c r="AR122" i="9" s="1"/>
  <c r="AE122" i="9"/>
  <c r="AD123" i="9" s="1"/>
  <c r="AL122" i="9"/>
  <c r="DO160" i="9"/>
  <c r="T279" i="9" s="1"/>
  <c r="DB160" i="9"/>
  <c r="R108" i="9"/>
  <c r="S108" i="9" s="1"/>
  <c r="E109" i="9"/>
  <c r="F109" i="9" s="1"/>
  <c r="M108" i="9"/>
  <c r="K122" i="9"/>
  <c r="O121" i="9"/>
  <c r="AR46" i="7"/>
  <c r="AL46" i="7"/>
  <c r="DG150" i="7"/>
  <c r="J271" i="7" s="1"/>
  <c r="HC150" i="7"/>
  <c r="J364" i="7" s="1"/>
  <c r="FE150" i="7"/>
  <c r="J318" i="7" s="1"/>
  <c r="GD150" i="7"/>
  <c r="J341" i="7" s="1"/>
  <c r="EF150" i="7"/>
  <c r="J295" i="7" s="1"/>
  <c r="HJ70" i="7"/>
  <c r="HK70" i="7" s="1"/>
  <c r="GX70" i="7"/>
  <c r="GW71" i="7" s="1"/>
  <c r="HE70" i="7"/>
  <c r="HG70" i="7"/>
  <c r="HC71" i="7"/>
  <c r="GD70" i="7"/>
  <c r="GH69" i="7"/>
  <c r="GF70" i="7"/>
  <c r="FY70" i="7"/>
  <c r="FX71" i="7" s="1"/>
  <c r="GK70" i="7"/>
  <c r="GL70" i="7" s="1"/>
  <c r="FL71" i="7"/>
  <c r="FM71" i="7" s="1"/>
  <c r="EZ71" i="7"/>
  <c r="EY72" i="7" s="1"/>
  <c r="FG71" i="7"/>
  <c r="FE71" i="7"/>
  <c r="FI70" i="7"/>
  <c r="EM71" i="7"/>
  <c r="EN71" i="7" s="1"/>
  <c r="EA71" i="7"/>
  <c r="DZ72" i="7" s="1"/>
  <c r="EH71" i="7"/>
  <c r="EJ71" i="7"/>
  <c r="EF72" i="7"/>
  <c r="DN71" i="7"/>
  <c r="DO71" i="7" s="1"/>
  <c r="DB71" i="7"/>
  <c r="DA72" i="7" s="1"/>
  <c r="DI71" i="7"/>
  <c r="DG71" i="7"/>
  <c r="DK70" i="7"/>
  <c r="AN67" i="8"/>
  <c r="AJ68" i="8"/>
  <c r="AQ60" i="8"/>
  <c r="AR60" i="8" s="1"/>
  <c r="AE60" i="8"/>
  <c r="AD61" i="8" s="1"/>
  <c r="AL60" i="8"/>
  <c r="CO60" i="8"/>
  <c r="CP60" i="8" s="1"/>
  <c r="CC60" i="8"/>
  <c r="CB61" i="8" s="1"/>
  <c r="CJ60" i="8"/>
  <c r="CL60" i="8"/>
  <c r="DK65" i="8"/>
  <c r="DG66" i="8"/>
  <c r="CH68" i="8"/>
  <c r="BM66" i="8"/>
  <c r="BI67" i="8"/>
  <c r="O65" i="8"/>
  <c r="K66" i="8"/>
  <c r="DN66" i="8"/>
  <c r="DO66" i="8" s="1"/>
  <c r="DB66" i="8"/>
  <c r="DA67" i="8" s="1"/>
  <c r="DI66" i="8"/>
  <c r="BP59" i="8"/>
  <c r="BQ59" i="8" s="1"/>
  <c r="BK59" i="8"/>
  <c r="BD59" i="8"/>
  <c r="BC60" i="8" s="1"/>
  <c r="F59" i="8"/>
  <c r="E60" i="8" s="1"/>
  <c r="R59" i="8"/>
  <c r="S59" i="8" s="1"/>
  <c r="M59" i="8"/>
  <c r="AN44" i="1"/>
  <c r="AR44" i="1"/>
  <c r="J241" i="7"/>
  <c r="I385" i="7"/>
  <c r="I419" i="7"/>
  <c r="J217" i="7"/>
  <c r="J223" i="7"/>
  <c r="AQ47" i="7"/>
  <c r="AR47" i="7" s="1"/>
  <c r="AR150" i="7" s="1"/>
  <c r="J206" i="7" s="1"/>
  <c r="AL47" i="7"/>
  <c r="S42" i="7"/>
  <c r="BI49" i="7"/>
  <c r="BM49" i="7" s="1"/>
  <c r="CP41" i="7"/>
  <c r="M43" i="7"/>
  <c r="E44" i="7"/>
  <c r="F44" i="7" s="1"/>
  <c r="R43" i="7"/>
  <c r="BP42" i="7"/>
  <c r="BQ42" i="7" s="1"/>
  <c r="BD42" i="7"/>
  <c r="BC43" i="7" s="1"/>
  <c r="BD43" i="7" s="1"/>
  <c r="BC44" i="7" s="1"/>
  <c r="BK42" i="7"/>
  <c r="CH150" i="7"/>
  <c r="CH48" i="7"/>
  <c r="CO42" i="7"/>
  <c r="CJ42" i="7"/>
  <c r="CC42" i="7"/>
  <c r="CB43" i="7" s="1"/>
  <c r="CL42" i="7"/>
  <c r="AJ47" i="7"/>
  <c r="AN47" i="7" s="1"/>
  <c r="K150" i="7"/>
  <c r="O150" i="7" s="1"/>
  <c r="K48" i="7"/>
  <c r="O48" i="7" s="1"/>
  <c r="AQ45" i="1"/>
  <c r="AE45" i="1"/>
  <c r="AD46" i="1" s="1"/>
  <c r="AL45" i="1"/>
  <c r="AJ46" i="1"/>
  <c r="AN45" i="1"/>
  <c r="BQ38" i="1"/>
  <c r="BP39" i="1"/>
  <c r="BK39" i="1"/>
  <c r="BD39" i="1"/>
  <c r="BC40" i="1" s="1"/>
  <c r="BI40" i="1"/>
  <c r="DO29" i="4"/>
  <c r="CO29" i="4"/>
  <c r="AO29" i="4"/>
  <c r="BO29" i="4"/>
  <c r="A20" i="5"/>
  <c r="A19" i="5"/>
  <c r="C19" i="5" s="1"/>
  <c r="E19" i="5" l="1"/>
  <c r="G19" i="5"/>
  <c r="D19" i="5"/>
  <c r="F19" i="5"/>
  <c r="DK123" i="9"/>
  <c r="DG124" i="9"/>
  <c r="DN123" i="9"/>
  <c r="DO123" i="9" s="1"/>
  <c r="DB123" i="9"/>
  <c r="DA124" i="9" s="1"/>
  <c r="DI123" i="9"/>
  <c r="CH125" i="9"/>
  <c r="CL124" i="9"/>
  <c r="CO124" i="9"/>
  <c r="CP124" i="9" s="1"/>
  <c r="CJ124" i="9"/>
  <c r="CC124" i="9"/>
  <c r="CB125" i="9" s="1"/>
  <c r="BD123" i="9"/>
  <c r="BC124" i="9" s="1"/>
  <c r="BK123" i="9"/>
  <c r="BP123" i="9"/>
  <c r="BQ123" i="9" s="1"/>
  <c r="BI125" i="9"/>
  <c r="BM125" i="9" s="1"/>
  <c r="AN123" i="9"/>
  <c r="AJ124" i="9"/>
  <c r="AJ161" i="9" s="1"/>
  <c r="AE123" i="9"/>
  <c r="AD124" i="9" s="1"/>
  <c r="AL123" i="9"/>
  <c r="AQ123" i="9"/>
  <c r="AR123" i="9" s="1"/>
  <c r="O122" i="9"/>
  <c r="K123" i="9"/>
  <c r="DA161" i="9"/>
  <c r="R109" i="9"/>
  <c r="S109" i="9" s="1"/>
  <c r="E110" i="9"/>
  <c r="F110" i="9" s="1"/>
  <c r="M109" i="9"/>
  <c r="T266" i="9"/>
  <c r="GX71" i="7"/>
  <c r="GW72" i="7" s="1"/>
  <c r="HJ71" i="7"/>
  <c r="HK71" i="7" s="1"/>
  <c r="HE71" i="7"/>
  <c r="HC72" i="7"/>
  <c r="HG71" i="7"/>
  <c r="GH70" i="7"/>
  <c r="GD71" i="7"/>
  <c r="GK71" i="7"/>
  <c r="GL71" i="7" s="1"/>
  <c r="FY71" i="7"/>
  <c r="FX72" i="7" s="1"/>
  <c r="GF71" i="7"/>
  <c r="FL72" i="7"/>
  <c r="FM72" i="7" s="1"/>
  <c r="FG72" i="7"/>
  <c r="EZ72" i="7"/>
  <c r="EY73" i="7" s="1"/>
  <c r="FI71" i="7"/>
  <c r="FE72" i="7"/>
  <c r="EM72" i="7"/>
  <c r="EN72" i="7" s="1"/>
  <c r="EA72" i="7"/>
  <c r="DZ73" i="7" s="1"/>
  <c r="EH72" i="7"/>
  <c r="EF73" i="7"/>
  <c r="EJ72" i="7"/>
  <c r="DB72" i="7"/>
  <c r="DA73" i="7" s="1"/>
  <c r="DI72" i="7"/>
  <c r="DN72" i="7"/>
  <c r="DO72" i="7" s="1"/>
  <c r="DK71" i="7"/>
  <c r="DG72" i="7"/>
  <c r="BP60" i="8"/>
  <c r="BQ60" i="8" s="1"/>
  <c r="BD60" i="8"/>
  <c r="BC61" i="8" s="1"/>
  <c r="BK60" i="8"/>
  <c r="DN67" i="8"/>
  <c r="DO67" i="8" s="1"/>
  <c r="DI67" i="8"/>
  <c r="DB67" i="8"/>
  <c r="DA68" i="8" s="1"/>
  <c r="BM67" i="8"/>
  <c r="BI68" i="8"/>
  <c r="DK66" i="8"/>
  <c r="DG67" i="8"/>
  <c r="CO61" i="8"/>
  <c r="CP61" i="8" s="1"/>
  <c r="CC61" i="8"/>
  <c r="CJ61" i="8"/>
  <c r="CL61" i="8"/>
  <c r="AJ153" i="8"/>
  <c r="AJ69" i="8"/>
  <c r="AN68" i="8"/>
  <c r="O66" i="8"/>
  <c r="K67" i="8"/>
  <c r="DG153" i="8"/>
  <c r="M270" i="8" s="1"/>
  <c r="CH153" i="8"/>
  <c r="M247" i="8" s="1"/>
  <c r="CH69" i="8"/>
  <c r="R60" i="8"/>
  <c r="S60" i="8" s="1"/>
  <c r="M60" i="8"/>
  <c r="F60" i="8"/>
  <c r="E61" i="8" s="1"/>
  <c r="AL61" i="8"/>
  <c r="AE61" i="8"/>
  <c r="AQ61" i="8"/>
  <c r="AR61" i="8" s="1"/>
  <c r="AR45" i="1"/>
  <c r="AE46" i="1"/>
  <c r="AD47" i="1" s="1"/>
  <c r="J247" i="7"/>
  <c r="J192" i="7"/>
  <c r="J409" i="7" s="1"/>
  <c r="J435" i="7" s="1"/>
  <c r="H8" i="5" s="1"/>
  <c r="H19" i="5" s="1"/>
  <c r="AD48" i="7"/>
  <c r="AD151" i="7" s="1"/>
  <c r="AQ151" i="7" s="1"/>
  <c r="J193" i="7"/>
  <c r="S43" i="7"/>
  <c r="CP42" i="7"/>
  <c r="AJ150" i="7"/>
  <c r="AJ48" i="7"/>
  <c r="AN48" i="7" s="1"/>
  <c r="CO43" i="7"/>
  <c r="CJ43" i="7"/>
  <c r="CC43" i="7"/>
  <c r="CB44" i="7" s="1"/>
  <c r="CL43" i="7"/>
  <c r="CH49" i="7"/>
  <c r="BP43" i="7"/>
  <c r="BQ43" i="7" s="1"/>
  <c r="BK43" i="7"/>
  <c r="R44" i="7"/>
  <c r="M44" i="7"/>
  <c r="E45" i="7"/>
  <c r="F45" i="7" s="1"/>
  <c r="K49" i="7"/>
  <c r="O49" i="7" s="1"/>
  <c r="J175" i="7"/>
  <c r="J179" i="7"/>
  <c r="BI50" i="7"/>
  <c r="BM50" i="7" s="1"/>
  <c r="BI149" i="1"/>
  <c r="I223" i="1" s="1"/>
  <c r="AL46" i="1"/>
  <c r="AJ47" i="1"/>
  <c r="AJ150" i="1" s="1"/>
  <c r="BQ39" i="1"/>
  <c r="BP40" i="1"/>
  <c r="BK40" i="1"/>
  <c r="BD40" i="1"/>
  <c r="BI41" i="1"/>
  <c r="BM149" i="1"/>
  <c r="B22" i="5"/>
  <c r="BO36" i="4"/>
  <c r="DO36" i="4"/>
  <c r="CO36" i="4"/>
  <c r="AO36" i="4"/>
  <c r="AB121" i="4"/>
  <c r="AB122" i="4" s="1"/>
  <c r="AB123" i="4" s="1"/>
  <c r="AB124" i="4" s="1"/>
  <c r="AB125" i="4" s="1"/>
  <c r="AB126" i="4" s="1"/>
  <c r="AB114" i="4"/>
  <c r="AB115" i="4" s="1"/>
  <c r="AB116" i="4" s="1"/>
  <c r="AB117" i="4" s="1"/>
  <c r="AB118" i="4" s="1"/>
  <c r="AB119" i="4" s="1"/>
  <c r="AB107" i="4"/>
  <c r="AB108" i="4" s="1"/>
  <c r="AB109" i="4" s="1"/>
  <c r="AB110" i="4" s="1"/>
  <c r="AB111" i="4" s="1"/>
  <c r="AB112" i="4" s="1"/>
  <c r="AB100" i="4"/>
  <c r="AB101" i="4" s="1"/>
  <c r="AB102" i="4" s="1"/>
  <c r="AB103" i="4" s="1"/>
  <c r="AB104" i="4" s="1"/>
  <c r="AB105" i="4" s="1"/>
  <c r="AB93" i="4"/>
  <c r="AB94" i="4" s="1"/>
  <c r="AB95" i="4" s="1"/>
  <c r="AB96" i="4" s="1"/>
  <c r="AB97" i="4" s="1"/>
  <c r="AB86" i="4"/>
  <c r="AB87" i="4" s="1"/>
  <c r="AB88" i="4" s="1"/>
  <c r="AB89" i="4" s="1"/>
  <c r="AB90" i="4" s="1"/>
  <c r="AB91" i="4" s="1"/>
  <c r="AB79" i="4"/>
  <c r="AB80" i="4" s="1"/>
  <c r="AB81" i="4" s="1"/>
  <c r="AB82" i="4" s="1"/>
  <c r="AB83" i="4" s="1"/>
  <c r="AB84" i="4" s="1"/>
  <c r="AB72" i="4"/>
  <c r="AB73" i="4" s="1"/>
  <c r="AB74" i="4" s="1"/>
  <c r="AB75" i="4" s="1"/>
  <c r="AB76" i="4" s="1"/>
  <c r="AB77" i="4" s="1"/>
  <c r="AB68" i="4"/>
  <c r="AB69" i="4" s="1"/>
  <c r="AB70" i="4" s="1"/>
  <c r="AB65" i="4"/>
  <c r="AB66" i="4" s="1"/>
  <c r="AB58" i="4"/>
  <c r="AB59" i="4" s="1"/>
  <c r="AB60" i="4" s="1"/>
  <c r="AB61" i="4" s="1"/>
  <c r="AB62" i="4" s="1"/>
  <c r="AB63" i="4" s="1"/>
  <c r="AB51" i="4"/>
  <c r="AB52" i="4" s="1"/>
  <c r="AB53" i="4" s="1"/>
  <c r="AB54" i="4" s="1"/>
  <c r="AB55" i="4" s="1"/>
  <c r="AB56" i="4" s="1"/>
  <c r="AB44" i="4"/>
  <c r="AB45" i="4" s="1"/>
  <c r="AB46" i="4" s="1"/>
  <c r="AB47" i="4" s="1"/>
  <c r="AB48" i="4" s="1"/>
  <c r="AB49" i="4" s="1"/>
  <c r="AB38" i="4"/>
  <c r="AB39" i="4" s="1"/>
  <c r="AB40" i="4" s="1"/>
  <c r="AB41" i="4" s="1"/>
  <c r="AB42" i="4" s="1"/>
  <c r="AB9" i="4"/>
  <c r="AB10" i="4" s="1"/>
  <c r="AB11" i="4" s="1"/>
  <c r="AB12" i="4" s="1"/>
  <c r="AB13" i="4" s="1"/>
  <c r="AB14" i="4" s="1"/>
  <c r="BF8" i="4"/>
  <c r="BB121" i="4"/>
  <c r="BB122" i="4" s="1"/>
  <c r="BB123" i="4" s="1"/>
  <c r="BB124" i="4" s="1"/>
  <c r="BB125" i="4" s="1"/>
  <c r="BB126" i="4" s="1"/>
  <c r="BB114" i="4"/>
  <c r="BB115" i="4" s="1"/>
  <c r="BB116" i="4" s="1"/>
  <c r="BB117" i="4" s="1"/>
  <c r="BB118" i="4" s="1"/>
  <c r="BB119" i="4" s="1"/>
  <c r="BB107" i="4"/>
  <c r="BB108" i="4" s="1"/>
  <c r="BB109" i="4" s="1"/>
  <c r="BB110" i="4" s="1"/>
  <c r="BB111" i="4" s="1"/>
  <c r="BB112" i="4" s="1"/>
  <c r="BB101" i="4"/>
  <c r="BB102" i="4" s="1"/>
  <c r="BB103" i="4" s="1"/>
  <c r="BB104" i="4" s="1"/>
  <c r="BB105" i="4" s="1"/>
  <c r="BB93" i="4"/>
  <c r="BB94" i="4" s="1"/>
  <c r="BB95" i="4" s="1"/>
  <c r="BB96" i="4" s="1"/>
  <c r="BB97" i="4" s="1"/>
  <c r="BB98" i="4" s="1"/>
  <c r="BB86" i="4"/>
  <c r="BB87" i="4" s="1"/>
  <c r="BB88" i="4" s="1"/>
  <c r="BB89" i="4" s="1"/>
  <c r="BB90" i="4" s="1"/>
  <c r="BB91" i="4" s="1"/>
  <c r="BB79" i="4"/>
  <c r="BB80" i="4" s="1"/>
  <c r="BB81" i="4" s="1"/>
  <c r="BB82" i="4" s="1"/>
  <c r="BB83" i="4" s="1"/>
  <c r="BB84" i="4" s="1"/>
  <c r="BB72" i="4"/>
  <c r="BB73" i="4" s="1"/>
  <c r="BB74" i="4" s="1"/>
  <c r="BB75" i="4" s="1"/>
  <c r="BB76" i="4" s="1"/>
  <c r="BB77" i="4" s="1"/>
  <c r="BB65" i="4"/>
  <c r="BB66" i="4" s="1"/>
  <c r="BB67" i="4" s="1"/>
  <c r="BB68" i="4" s="1"/>
  <c r="BB70" i="4" s="1"/>
  <c r="BB58" i="4"/>
  <c r="BB59" i="4" s="1"/>
  <c r="BB60" i="4" s="1"/>
  <c r="BB61" i="4" s="1"/>
  <c r="BB62" i="4" s="1"/>
  <c r="BB63" i="4" s="1"/>
  <c r="BB51" i="4"/>
  <c r="BB52" i="4" s="1"/>
  <c r="BB53" i="4" s="1"/>
  <c r="BB54" i="4" s="1"/>
  <c r="BB55" i="4" s="1"/>
  <c r="BB56" i="4" s="1"/>
  <c r="BB30" i="4"/>
  <c r="BB31" i="4" s="1"/>
  <c r="BB32" i="4" s="1"/>
  <c r="BB33" i="4" s="1"/>
  <c r="BB34" i="4" s="1"/>
  <c r="BB35" i="4" s="1"/>
  <c r="AB30" i="4"/>
  <c r="AB31" i="4" s="1"/>
  <c r="AB32" i="4" s="1"/>
  <c r="AB33" i="4" s="1"/>
  <c r="AB34" i="4" s="1"/>
  <c r="AB35" i="4" s="1"/>
  <c r="AB23" i="4"/>
  <c r="AB24" i="4" s="1"/>
  <c r="AB25" i="4" s="1"/>
  <c r="AB26" i="4" s="1"/>
  <c r="AB27" i="4" s="1"/>
  <c r="AB28" i="4" s="1"/>
  <c r="AB16" i="4"/>
  <c r="AB17" i="4" s="1"/>
  <c r="AB18" i="4" s="1"/>
  <c r="AB19" i="4" s="1"/>
  <c r="AB20" i="4" s="1"/>
  <c r="AB21" i="4" s="1"/>
  <c r="C326" i="4"/>
  <c r="C376" i="4" s="1"/>
  <c r="C301" i="4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278" i="4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53" i="4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29" i="4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05" i="4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DD182" i="4"/>
  <c r="DD183" i="4" s="1"/>
  <c r="DD184" i="4" s="1"/>
  <c r="DD185" i="4" s="1"/>
  <c r="DD186" i="4" s="1"/>
  <c r="DD187" i="4" s="1"/>
  <c r="DD188" i="4" s="1"/>
  <c r="DD189" i="4" s="1"/>
  <c r="DD190" i="4" s="1"/>
  <c r="DD191" i="4" s="1"/>
  <c r="DD192" i="4" s="1"/>
  <c r="DD193" i="4" s="1"/>
  <c r="DD194" i="4" s="1"/>
  <c r="DD195" i="4" s="1"/>
  <c r="DD196" i="4" s="1"/>
  <c r="DD197" i="4" s="1"/>
  <c r="DD198" i="4" s="1"/>
  <c r="CD182" i="4"/>
  <c r="CD183" i="4" s="1"/>
  <c r="CD184" i="4" s="1"/>
  <c r="CD185" i="4" s="1"/>
  <c r="CD186" i="4" s="1"/>
  <c r="CD187" i="4" s="1"/>
  <c r="CD188" i="4" s="1"/>
  <c r="CD189" i="4" s="1"/>
  <c r="CD190" i="4" s="1"/>
  <c r="CD191" i="4" s="1"/>
  <c r="CD192" i="4" s="1"/>
  <c r="CD193" i="4" s="1"/>
  <c r="CD194" i="4" s="1"/>
  <c r="CD195" i="4" s="1"/>
  <c r="CD196" i="4" s="1"/>
  <c r="CD197" i="4" s="1"/>
  <c r="CD198" i="4" s="1"/>
  <c r="BD182" i="4"/>
  <c r="BD183" i="4" s="1"/>
  <c r="BD184" i="4" s="1"/>
  <c r="BD185" i="4" s="1"/>
  <c r="BD186" i="4" s="1"/>
  <c r="BD187" i="4" s="1"/>
  <c r="BD188" i="4" s="1"/>
  <c r="BD189" i="4" s="1"/>
  <c r="BD190" i="4" s="1"/>
  <c r="BD191" i="4" s="1"/>
  <c r="BD192" i="4" s="1"/>
  <c r="BD193" i="4" s="1"/>
  <c r="BD194" i="4" s="1"/>
  <c r="BD195" i="4" s="1"/>
  <c r="BD196" i="4" s="1"/>
  <c r="BD197" i="4" s="1"/>
  <c r="BD198" i="4" s="1"/>
  <c r="AD182" i="4"/>
  <c r="AD183" i="4" s="1"/>
  <c r="AD184" i="4" s="1"/>
  <c r="AD185" i="4" s="1"/>
  <c r="AD186" i="4" s="1"/>
  <c r="AD187" i="4" s="1"/>
  <c r="AD188" i="4" s="1"/>
  <c r="AD189" i="4" s="1"/>
  <c r="AD190" i="4" s="1"/>
  <c r="AD191" i="4" s="1"/>
  <c r="AD192" i="4" s="1"/>
  <c r="AD193" i="4" s="1"/>
  <c r="AD194" i="4" s="1"/>
  <c r="AD195" i="4" s="1"/>
  <c r="AD196" i="4" s="1"/>
  <c r="AD197" i="4" s="1"/>
  <c r="AD198" i="4" s="1"/>
  <c r="D182" i="4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K133" i="4"/>
  <c r="CK133" i="4"/>
  <c r="BK133" i="4"/>
  <c r="AK133" i="4"/>
  <c r="K133" i="4"/>
  <c r="DK132" i="4"/>
  <c r="CK132" i="4"/>
  <c r="BK132" i="4"/>
  <c r="AK132" i="4"/>
  <c r="K132" i="4"/>
  <c r="DK131" i="4"/>
  <c r="CK131" i="4"/>
  <c r="BK131" i="4"/>
  <c r="AK131" i="4"/>
  <c r="K131" i="4"/>
  <c r="DK130" i="4"/>
  <c r="CK130" i="4"/>
  <c r="BK130" i="4"/>
  <c r="AK130" i="4"/>
  <c r="K130" i="4"/>
  <c r="DK129" i="4"/>
  <c r="CK129" i="4"/>
  <c r="BK129" i="4"/>
  <c r="AK129" i="4"/>
  <c r="K129" i="4"/>
  <c r="DK128" i="4"/>
  <c r="DC128" i="4"/>
  <c r="CK128" i="4"/>
  <c r="CC128" i="4"/>
  <c r="BK128" i="4"/>
  <c r="BC128" i="4"/>
  <c r="AK128" i="4"/>
  <c r="AC128" i="4"/>
  <c r="K128" i="4"/>
  <c r="C128" i="4"/>
  <c r="DX127" i="4"/>
  <c r="DZ127" i="4" s="1"/>
  <c r="DW127" i="4"/>
  <c r="DK127" i="4"/>
  <c r="CX127" i="4"/>
  <c r="CZ127" i="4" s="1"/>
  <c r="CW127" i="4"/>
  <c r="CK127" i="4"/>
  <c r="BX127" i="4"/>
  <c r="BZ127" i="4" s="1"/>
  <c r="BW127" i="4"/>
  <c r="BK127" i="4"/>
  <c r="AX127" i="4"/>
  <c r="AZ127" i="4" s="1"/>
  <c r="AW127" i="4"/>
  <c r="AK127" i="4"/>
  <c r="X127" i="4"/>
  <c r="Z127" i="4" s="1"/>
  <c r="U127" i="4"/>
  <c r="W127" i="4" s="1"/>
  <c r="R127" i="4"/>
  <c r="K127" i="4"/>
  <c r="DK126" i="4"/>
  <c r="CK126" i="4"/>
  <c r="BK126" i="4"/>
  <c r="AK126" i="4"/>
  <c r="K126" i="4"/>
  <c r="DK125" i="4"/>
  <c r="CK125" i="4"/>
  <c r="BK125" i="4"/>
  <c r="AK125" i="4"/>
  <c r="K125" i="4"/>
  <c r="DK124" i="4"/>
  <c r="CK124" i="4"/>
  <c r="BK124" i="4"/>
  <c r="AK124" i="4"/>
  <c r="K124" i="4"/>
  <c r="DK123" i="4"/>
  <c r="CK123" i="4"/>
  <c r="BK123" i="4"/>
  <c r="AK123" i="4"/>
  <c r="K123" i="4"/>
  <c r="DK122" i="4"/>
  <c r="CK122" i="4"/>
  <c r="BK122" i="4"/>
  <c r="AK122" i="4"/>
  <c r="K122" i="4"/>
  <c r="DK121" i="4"/>
  <c r="DC121" i="4"/>
  <c r="CK121" i="4"/>
  <c r="CC121" i="4"/>
  <c r="BK121" i="4"/>
  <c r="BC121" i="4"/>
  <c r="AK121" i="4"/>
  <c r="AC121" i="4"/>
  <c r="K121" i="4"/>
  <c r="C121" i="4"/>
  <c r="C122" i="4" s="1"/>
  <c r="DX120" i="4"/>
  <c r="DZ120" i="4" s="1"/>
  <c r="DW120" i="4"/>
  <c r="DK120" i="4"/>
  <c r="CX120" i="4"/>
  <c r="CZ120" i="4" s="1"/>
  <c r="CW120" i="4"/>
  <c r="CK120" i="4"/>
  <c r="BX120" i="4"/>
  <c r="BZ120" i="4" s="1"/>
  <c r="BW120" i="4"/>
  <c r="BK120" i="4"/>
  <c r="AX120" i="4"/>
  <c r="AZ120" i="4" s="1"/>
  <c r="AW120" i="4"/>
  <c r="AK120" i="4"/>
  <c r="X120" i="4"/>
  <c r="Z120" i="4" s="1"/>
  <c r="U120" i="4"/>
  <c r="W120" i="4" s="1"/>
  <c r="R120" i="4"/>
  <c r="K120" i="4"/>
  <c r="DK119" i="4"/>
  <c r="CK119" i="4"/>
  <c r="BK119" i="4"/>
  <c r="AK119" i="4"/>
  <c r="K119" i="4"/>
  <c r="DK118" i="4"/>
  <c r="CK118" i="4"/>
  <c r="BK118" i="4"/>
  <c r="AK118" i="4"/>
  <c r="K118" i="4"/>
  <c r="DK117" i="4"/>
  <c r="CK117" i="4"/>
  <c r="BK117" i="4"/>
  <c r="AK117" i="4"/>
  <c r="K117" i="4"/>
  <c r="DK116" i="4"/>
  <c r="CK116" i="4"/>
  <c r="BK116" i="4"/>
  <c r="AK116" i="4"/>
  <c r="K116" i="4"/>
  <c r="DK115" i="4"/>
  <c r="CK115" i="4"/>
  <c r="BK115" i="4"/>
  <c r="AK115" i="4"/>
  <c r="K115" i="4"/>
  <c r="DK114" i="4"/>
  <c r="DC114" i="4"/>
  <c r="CK114" i="4"/>
  <c r="CC114" i="4"/>
  <c r="BK114" i="4"/>
  <c r="BC114" i="4"/>
  <c r="AK114" i="4"/>
  <c r="AC114" i="4"/>
  <c r="K114" i="4"/>
  <c r="C114" i="4"/>
  <c r="DX113" i="4"/>
  <c r="DZ113" i="4" s="1"/>
  <c r="DW113" i="4"/>
  <c r="DK113" i="4"/>
  <c r="CX113" i="4"/>
  <c r="CZ113" i="4" s="1"/>
  <c r="CW113" i="4"/>
  <c r="CK113" i="4"/>
  <c r="BX113" i="4"/>
  <c r="BZ113" i="4" s="1"/>
  <c r="BW113" i="4"/>
  <c r="BK113" i="4"/>
  <c r="AX113" i="4"/>
  <c r="AZ113" i="4" s="1"/>
  <c r="AW113" i="4"/>
  <c r="AK113" i="4"/>
  <c r="X113" i="4"/>
  <c r="Z113" i="4" s="1"/>
  <c r="U113" i="4"/>
  <c r="W113" i="4" s="1"/>
  <c r="R113" i="4"/>
  <c r="K113" i="4"/>
  <c r="DK112" i="4"/>
  <c r="CK112" i="4"/>
  <c r="BK112" i="4"/>
  <c r="AK112" i="4"/>
  <c r="K112" i="4"/>
  <c r="DK111" i="4"/>
  <c r="CK111" i="4"/>
  <c r="BK111" i="4"/>
  <c r="AK111" i="4"/>
  <c r="K111" i="4"/>
  <c r="DK110" i="4"/>
  <c r="CK110" i="4"/>
  <c r="BK110" i="4"/>
  <c r="AK110" i="4"/>
  <c r="K110" i="4"/>
  <c r="DK109" i="4"/>
  <c r="CK109" i="4"/>
  <c r="BK109" i="4"/>
  <c r="AK109" i="4"/>
  <c r="K109" i="4"/>
  <c r="DK108" i="4"/>
  <c r="CK108" i="4"/>
  <c r="BK108" i="4"/>
  <c r="AK108" i="4"/>
  <c r="K108" i="4"/>
  <c r="DK107" i="4"/>
  <c r="DC107" i="4"/>
  <c r="CK107" i="4"/>
  <c r="CC107" i="4"/>
  <c r="BK107" i="4"/>
  <c r="BC107" i="4"/>
  <c r="AK107" i="4"/>
  <c r="AC107" i="4"/>
  <c r="K107" i="4"/>
  <c r="C107" i="4"/>
  <c r="DX106" i="4"/>
  <c r="DZ106" i="4" s="1"/>
  <c r="DW106" i="4"/>
  <c r="DK106" i="4"/>
  <c r="CX106" i="4"/>
  <c r="CZ106" i="4" s="1"/>
  <c r="CW106" i="4"/>
  <c r="CK106" i="4"/>
  <c r="BX106" i="4"/>
  <c r="BZ106" i="4" s="1"/>
  <c r="BW106" i="4"/>
  <c r="BK106" i="4"/>
  <c r="AX106" i="4"/>
  <c r="AZ106" i="4" s="1"/>
  <c r="AW106" i="4"/>
  <c r="AK106" i="4"/>
  <c r="X106" i="4"/>
  <c r="Z106" i="4" s="1"/>
  <c r="U106" i="4"/>
  <c r="W106" i="4" s="1"/>
  <c r="R106" i="4"/>
  <c r="K106" i="4"/>
  <c r="DK105" i="4"/>
  <c r="CK105" i="4"/>
  <c r="BK105" i="4"/>
  <c r="AK105" i="4"/>
  <c r="K105" i="4"/>
  <c r="DK104" i="4"/>
  <c r="CK104" i="4"/>
  <c r="BK104" i="4"/>
  <c r="AK104" i="4"/>
  <c r="K104" i="4"/>
  <c r="DK103" i="4"/>
  <c r="CK103" i="4"/>
  <c r="BK103" i="4"/>
  <c r="AK103" i="4"/>
  <c r="K103" i="4"/>
  <c r="DK102" i="4"/>
  <c r="CK102" i="4"/>
  <c r="BK102" i="4"/>
  <c r="AK102" i="4"/>
  <c r="K102" i="4"/>
  <c r="DK101" i="4"/>
  <c r="CK101" i="4"/>
  <c r="BK101" i="4"/>
  <c r="AK101" i="4"/>
  <c r="K101" i="4"/>
  <c r="DK100" i="4"/>
  <c r="DC100" i="4"/>
  <c r="CK100" i="4"/>
  <c r="CC100" i="4"/>
  <c r="BK100" i="4"/>
  <c r="BC100" i="4"/>
  <c r="AK100" i="4"/>
  <c r="AC100" i="4"/>
  <c r="K100" i="4"/>
  <c r="C100" i="4"/>
  <c r="C101" i="4" s="1"/>
  <c r="DX99" i="4"/>
  <c r="DZ99" i="4" s="1"/>
  <c r="DW99" i="4"/>
  <c r="DK99" i="4"/>
  <c r="CX99" i="4"/>
  <c r="CZ99" i="4" s="1"/>
  <c r="CW99" i="4"/>
  <c r="CK99" i="4"/>
  <c r="BX99" i="4"/>
  <c r="BZ99" i="4" s="1"/>
  <c r="BW99" i="4"/>
  <c r="BK99" i="4"/>
  <c r="AX99" i="4"/>
  <c r="AZ99" i="4" s="1"/>
  <c r="AW99" i="4"/>
  <c r="AK99" i="4"/>
  <c r="X99" i="4"/>
  <c r="Z99" i="4" s="1"/>
  <c r="U99" i="4"/>
  <c r="W99" i="4" s="1"/>
  <c r="R99" i="4"/>
  <c r="K99" i="4"/>
  <c r="DK98" i="4"/>
  <c r="CK98" i="4"/>
  <c r="BK98" i="4"/>
  <c r="AK98" i="4"/>
  <c r="K98" i="4"/>
  <c r="DK97" i="4"/>
  <c r="CK97" i="4"/>
  <c r="BK97" i="4"/>
  <c r="AK97" i="4"/>
  <c r="K97" i="4"/>
  <c r="DK96" i="4"/>
  <c r="CK96" i="4"/>
  <c r="BK96" i="4"/>
  <c r="AK96" i="4"/>
  <c r="K96" i="4"/>
  <c r="DK95" i="4"/>
  <c r="CK95" i="4"/>
  <c r="BK95" i="4"/>
  <c r="AK95" i="4"/>
  <c r="K95" i="4"/>
  <c r="DK94" i="4"/>
  <c r="CK94" i="4"/>
  <c r="BK94" i="4"/>
  <c r="AK94" i="4"/>
  <c r="K94" i="4"/>
  <c r="DK93" i="4"/>
  <c r="DC93" i="4"/>
  <c r="CK93" i="4"/>
  <c r="CC93" i="4"/>
  <c r="BK93" i="4"/>
  <c r="BC93" i="4"/>
  <c r="AK93" i="4"/>
  <c r="AC93" i="4"/>
  <c r="K93" i="4"/>
  <c r="C93" i="4"/>
  <c r="C94" i="4" s="1"/>
  <c r="DX92" i="4"/>
  <c r="DZ92" i="4" s="1"/>
  <c r="DW92" i="4"/>
  <c r="DK92" i="4"/>
  <c r="CX92" i="4"/>
  <c r="CZ92" i="4" s="1"/>
  <c r="CW92" i="4"/>
  <c r="CK92" i="4"/>
  <c r="BX92" i="4"/>
  <c r="BZ92" i="4" s="1"/>
  <c r="BW92" i="4"/>
  <c r="BK92" i="4"/>
  <c r="AX92" i="4"/>
  <c r="AZ92" i="4" s="1"/>
  <c r="AW92" i="4"/>
  <c r="AK92" i="4"/>
  <c r="X92" i="4"/>
  <c r="Z92" i="4" s="1"/>
  <c r="U92" i="4"/>
  <c r="W92" i="4" s="1"/>
  <c r="R92" i="4"/>
  <c r="K92" i="4"/>
  <c r="DK91" i="4"/>
  <c r="CK91" i="4"/>
  <c r="BK91" i="4"/>
  <c r="AK91" i="4"/>
  <c r="K91" i="4"/>
  <c r="DK90" i="4"/>
  <c r="CK90" i="4"/>
  <c r="BK90" i="4"/>
  <c r="AK90" i="4"/>
  <c r="K90" i="4"/>
  <c r="DK89" i="4"/>
  <c r="CK89" i="4"/>
  <c r="BK89" i="4"/>
  <c r="AK89" i="4"/>
  <c r="K89" i="4"/>
  <c r="DK88" i="4"/>
  <c r="CK88" i="4"/>
  <c r="BK88" i="4"/>
  <c r="AK88" i="4"/>
  <c r="K88" i="4"/>
  <c r="DK87" i="4"/>
  <c r="CK87" i="4"/>
  <c r="BK87" i="4"/>
  <c r="AK87" i="4"/>
  <c r="K87" i="4"/>
  <c r="DK86" i="4"/>
  <c r="DC86" i="4"/>
  <c r="CK86" i="4"/>
  <c r="CC86" i="4"/>
  <c r="BK86" i="4"/>
  <c r="BC86" i="4"/>
  <c r="AK86" i="4"/>
  <c r="AC86" i="4"/>
  <c r="K86" i="4"/>
  <c r="C86" i="4"/>
  <c r="DX85" i="4"/>
  <c r="DZ85" i="4" s="1"/>
  <c r="DW85" i="4"/>
  <c r="DK85" i="4"/>
  <c r="CX85" i="4"/>
  <c r="CZ85" i="4" s="1"/>
  <c r="CW85" i="4"/>
  <c r="CK85" i="4"/>
  <c r="BX85" i="4"/>
  <c r="BZ85" i="4" s="1"/>
  <c r="BW85" i="4"/>
  <c r="BK85" i="4"/>
  <c r="AX85" i="4"/>
  <c r="AZ85" i="4" s="1"/>
  <c r="AW85" i="4"/>
  <c r="AK85" i="4"/>
  <c r="X85" i="4"/>
  <c r="Z85" i="4" s="1"/>
  <c r="U85" i="4"/>
  <c r="W85" i="4" s="1"/>
  <c r="R85" i="4"/>
  <c r="K85" i="4"/>
  <c r="DK84" i="4"/>
  <c r="CK84" i="4"/>
  <c r="BK84" i="4"/>
  <c r="AK84" i="4"/>
  <c r="K84" i="4"/>
  <c r="DK83" i="4"/>
  <c r="CK83" i="4"/>
  <c r="BK83" i="4"/>
  <c r="AK83" i="4"/>
  <c r="K83" i="4"/>
  <c r="DK82" i="4"/>
  <c r="CK82" i="4"/>
  <c r="BK82" i="4"/>
  <c r="AK82" i="4"/>
  <c r="K82" i="4"/>
  <c r="DK81" i="4"/>
  <c r="CK81" i="4"/>
  <c r="BK81" i="4"/>
  <c r="AK81" i="4"/>
  <c r="K81" i="4"/>
  <c r="DK80" i="4"/>
  <c r="CK80" i="4"/>
  <c r="BK80" i="4"/>
  <c r="AK80" i="4"/>
  <c r="K80" i="4"/>
  <c r="DK79" i="4"/>
  <c r="DC79" i="4"/>
  <c r="CK79" i="4"/>
  <c r="CC79" i="4"/>
  <c r="BK79" i="4"/>
  <c r="BC79" i="4"/>
  <c r="AK79" i="4"/>
  <c r="AC79" i="4"/>
  <c r="K79" i="4"/>
  <c r="C79" i="4"/>
  <c r="X79" i="4" s="1"/>
  <c r="Z79" i="4" s="1"/>
  <c r="DX78" i="4"/>
  <c r="DZ78" i="4" s="1"/>
  <c r="DW78" i="4"/>
  <c r="DK78" i="4"/>
  <c r="CX78" i="4"/>
  <c r="CZ78" i="4" s="1"/>
  <c r="CW78" i="4"/>
  <c r="CK78" i="4"/>
  <c r="BX78" i="4"/>
  <c r="BZ78" i="4" s="1"/>
  <c r="BW78" i="4"/>
  <c r="BK78" i="4"/>
  <c r="AX78" i="4"/>
  <c r="AZ78" i="4" s="1"/>
  <c r="AW78" i="4"/>
  <c r="AK78" i="4"/>
  <c r="X78" i="4"/>
  <c r="Z78" i="4" s="1"/>
  <c r="U78" i="4"/>
  <c r="W78" i="4" s="1"/>
  <c r="R78" i="4"/>
  <c r="K78" i="4"/>
  <c r="DK77" i="4"/>
  <c r="CK77" i="4"/>
  <c r="BK77" i="4"/>
  <c r="AK77" i="4"/>
  <c r="K77" i="4"/>
  <c r="DK76" i="4"/>
  <c r="CK76" i="4"/>
  <c r="BK76" i="4"/>
  <c r="AK76" i="4"/>
  <c r="K76" i="4"/>
  <c r="DK75" i="4"/>
  <c r="CK75" i="4"/>
  <c r="BK75" i="4"/>
  <c r="AK75" i="4"/>
  <c r="K75" i="4"/>
  <c r="DK74" i="4"/>
  <c r="CK74" i="4"/>
  <c r="BK74" i="4"/>
  <c r="AK74" i="4"/>
  <c r="K74" i="4"/>
  <c r="DK73" i="4"/>
  <c r="CK73" i="4"/>
  <c r="BK73" i="4"/>
  <c r="AK73" i="4"/>
  <c r="K73" i="4"/>
  <c r="DK72" i="4"/>
  <c r="DC72" i="4"/>
  <c r="CK72" i="4"/>
  <c r="CC72" i="4"/>
  <c r="BK72" i="4"/>
  <c r="BC72" i="4"/>
  <c r="AK72" i="4"/>
  <c r="AC72" i="4"/>
  <c r="K72" i="4"/>
  <c r="C72" i="4"/>
  <c r="DX71" i="4"/>
  <c r="DZ71" i="4" s="1"/>
  <c r="DW71" i="4"/>
  <c r="DK71" i="4"/>
  <c r="CX71" i="4"/>
  <c r="CZ71" i="4" s="1"/>
  <c r="CW71" i="4"/>
  <c r="CK71" i="4"/>
  <c r="BX71" i="4"/>
  <c r="BZ71" i="4" s="1"/>
  <c r="BW71" i="4"/>
  <c r="BK71" i="4"/>
  <c r="AX71" i="4"/>
  <c r="AZ71" i="4" s="1"/>
  <c r="AW71" i="4"/>
  <c r="AK71" i="4"/>
  <c r="X71" i="4"/>
  <c r="Z71" i="4" s="1"/>
  <c r="U71" i="4"/>
  <c r="W71" i="4" s="1"/>
  <c r="R71" i="4"/>
  <c r="K71" i="4"/>
  <c r="DK70" i="4"/>
  <c r="CK70" i="4"/>
  <c r="BK70" i="4"/>
  <c r="AK70" i="4"/>
  <c r="K70" i="4"/>
  <c r="DK69" i="4"/>
  <c r="CK69" i="4"/>
  <c r="BK69" i="4"/>
  <c r="AK69" i="4"/>
  <c r="K69" i="4"/>
  <c r="DK68" i="4"/>
  <c r="CK68" i="4"/>
  <c r="BK68" i="4"/>
  <c r="AK68" i="4"/>
  <c r="K68" i="4"/>
  <c r="DK67" i="4"/>
  <c r="CK67" i="4"/>
  <c r="BK67" i="4"/>
  <c r="AK67" i="4"/>
  <c r="K67" i="4"/>
  <c r="DK66" i="4"/>
  <c r="CK66" i="4"/>
  <c r="BK66" i="4"/>
  <c r="AK66" i="4"/>
  <c r="K66" i="4"/>
  <c r="DK65" i="4"/>
  <c r="DC65" i="4"/>
  <c r="CK65" i="4"/>
  <c r="CC65" i="4"/>
  <c r="BK65" i="4"/>
  <c r="BC65" i="4"/>
  <c r="AK65" i="4"/>
  <c r="AC65" i="4"/>
  <c r="K65" i="4"/>
  <c r="C65" i="4"/>
  <c r="DX64" i="4"/>
  <c r="DZ64" i="4" s="1"/>
  <c r="DW64" i="4"/>
  <c r="DK64" i="4"/>
  <c r="CX64" i="4"/>
  <c r="CZ64" i="4" s="1"/>
  <c r="CW64" i="4"/>
  <c r="CK64" i="4"/>
  <c r="BX64" i="4"/>
  <c r="BZ64" i="4" s="1"/>
  <c r="BW64" i="4"/>
  <c r="BK64" i="4"/>
  <c r="AX64" i="4"/>
  <c r="AZ64" i="4" s="1"/>
  <c r="AW64" i="4"/>
  <c r="AK64" i="4"/>
  <c r="X64" i="4"/>
  <c r="Z64" i="4" s="1"/>
  <c r="U64" i="4"/>
  <c r="W64" i="4" s="1"/>
  <c r="R64" i="4"/>
  <c r="K64" i="4"/>
  <c r="DK63" i="4"/>
  <c r="CK63" i="4"/>
  <c r="BK63" i="4"/>
  <c r="AK63" i="4"/>
  <c r="K63" i="4"/>
  <c r="DK62" i="4"/>
  <c r="CK62" i="4"/>
  <c r="BK62" i="4"/>
  <c r="AK62" i="4"/>
  <c r="K62" i="4"/>
  <c r="DK61" i="4"/>
  <c r="CK61" i="4"/>
  <c r="BK61" i="4"/>
  <c r="AK61" i="4"/>
  <c r="K61" i="4"/>
  <c r="DK60" i="4"/>
  <c r="CK60" i="4"/>
  <c r="BK60" i="4"/>
  <c r="AK60" i="4"/>
  <c r="K60" i="4"/>
  <c r="DK59" i="4"/>
  <c r="CK59" i="4"/>
  <c r="BK59" i="4"/>
  <c r="AK59" i="4"/>
  <c r="K59" i="4"/>
  <c r="DK58" i="4"/>
  <c r="DC58" i="4"/>
  <c r="CK58" i="4"/>
  <c r="CC58" i="4"/>
  <c r="BK58" i="4"/>
  <c r="BC58" i="4"/>
  <c r="AK58" i="4"/>
  <c r="AC58" i="4"/>
  <c r="K58" i="4"/>
  <c r="C58" i="4"/>
  <c r="X58" i="4" s="1"/>
  <c r="Z58" i="4" s="1"/>
  <c r="DX57" i="4"/>
  <c r="DZ57" i="4" s="1"/>
  <c r="DW57" i="4"/>
  <c r="DK57" i="4"/>
  <c r="CX57" i="4"/>
  <c r="CZ57" i="4" s="1"/>
  <c r="CW57" i="4"/>
  <c r="CK57" i="4"/>
  <c r="BX57" i="4"/>
  <c r="BZ57" i="4" s="1"/>
  <c r="BW57" i="4"/>
  <c r="BK57" i="4"/>
  <c r="AX57" i="4"/>
  <c r="AZ57" i="4" s="1"/>
  <c r="AW57" i="4"/>
  <c r="AK57" i="4"/>
  <c r="X57" i="4"/>
  <c r="Z57" i="4" s="1"/>
  <c r="U57" i="4"/>
  <c r="W57" i="4" s="1"/>
  <c r="R57" i="4"/>
  <c r="K57" i="4"/>
  <c r="DK56" i="4"/>
  <c r="CK56" i="4"/>
  <c r="BK56" i="4"/>
  <c r="AK56" i="4"/>
  <c r="K56" i="4"/>
  <c r="DK55" i="4"/>
  <c r="CK55" i="4"/>
  <c r="BK55" i="4"/>
  <c r="AK55" i="4"/>
  <c r="K55" i="4"/>
  <c r="DK54" i="4"/>
  <c r="CK54" i="4"/>
  <c r="BK54" i="4"/>
  <c r="AK54" i="4"/>
  <c r="K54" i="4"/>
  <c r="DK53" i="4"/>
  <c r="CK53" i="4"/>
  <c r="BK53" i="4"/>
  <c r="AK53" i="4"/>
  <c r="K53" i="4"/>
  <c r="DK52" i="4"/>
  <c r="CK52" i="4"/>
  <c r="BK52" i="4"/>
  <c r="AK52" i="4"/>
  <c r="K52" i="4"/>
  <c r="DK51" i="4"/>
  <c r="DC51" i="4"/>
  <c r="CK51" i="4"/>
  <c r="CC51" i="4"/>
  <c r="BK51" i="4"/>
  <c r="BC51" i="4"/>
  <c r="AK51" i="4"/>
  <c r="AC51" i="4"/>
  <c r="K51" i="4"/>
  <c r="C51" i="4"/>
  <c r="DX50" i="4"/>
  <c r="DZ50" i="4" s="1"/>
  <c r="DW50" i="4"/>
  <c r="DK50" i="4"/>
  <c r="CX50" i="4"/>
  <c r="CZ50" i="4" s="1"/>
  <c r="CW50" i="4"/>
  <c r="CK50" i="4"/>
  <c r="BX50" i="4"/>
  <c r="BZ50" i="4" s="1"/>
  <c r="BW50" i="4"/>
  <c r="BK50" i="4"/>
  <c r="AX50" i="4"/>
  <c r="AZ50" i="4" s="1"/>
  <c r="AW50" i="4"/>
  <c r="AK50" i="4"/>
  <c r="X50" i="4"/>
  <c r="Z50" i="4" s="1"/>
  <c r="U50" i="4"/>
  <c r="W50" i="4" s="1"/>
  <c r="R50" i="4"/>
  <c r="K50" i="4"/>
  <c r="DK49" i="4"/>
  <c r="CK49" i="4"/>
  <c r="BK49" i="4"/>
  <c r="AK49" i="4"/>
  <c r="K49" i="4"/>
  <c r="DK48" i="4"/>
  <c r="CK48" i="4"/>
  <c r="BK48" i="4"/>
  <c r="AK48" i="4"/>
  <c r="K48" i="4"/>
  <c r="DK47" i="4"/>
  <c r="CK47" i="4"/>
  <c r="BK47" i="4"/>
  <c r="AK47" i="4"/>
  <c r="K47" i="4"/>
  <c r="DK46" i="4"/>
  <c r="CK46" i="4"/>
  <c r="BK46" i="4"/>
  <c r="AK46" i="4"/>
  <c r="K46" i="4"/>
  <c r="DK45" i="4"/>
  <c r="CK45" i="4"/>
  <c r="BK45" i="4"/>
  <c r="AK45" i="4"/>
  <c r="K45" i="4"/>
  <c r="DK44" i="4"/>
  <c r="DC44" i="4"/>
  <c r="CK44" i="4"/>
  <c r="CC44" i="4"/>
  <c r="BK44" i="4"/>
  <c r="BC44" i="4"/>
  <c r="BB44" i="4"/>
  <c r="BB45" i="4" s="1"/>
  <c r="BB46" i="4" s="1"/>
  <c r="BB47" i="4" s="1"/>
  <c r="BB48" i="4" s="1"/>
  <c r="BB49" i="4" s="1"/>
  <c r="AK44" i="4"/>
  <c r="AC44" i="4"/>
  <c r="K44" i="4"/>
  <c r="C44" i="4"/>
  <c r="DX43" i="4"/>
  <c r="DZ43" i="4" s="1"/>
  <c r="DW43" i="4"/>
  <c r="DK43" i="4"/>
  <c r="CX43" i="4"/>
  <c r="CZ43" i="4" s="1"/>
  <c r="CW43" i="4"/>
  <c r="CK43" i="4"/>
  <c r="BX43" i="4"/>
  <c r="BZ43" i="4" s="1"/>
  <c r="BW43" i="4"/>
  <c r="BK43" i="4"/>
  <c r="AX43" i="4"/>
  <c r="AZ43" i="4" s="1"/>
  <c r="AW43" i="4"/>
  <c r="AK43" i="4"/>
  <c r="X43" i="4"/>
  <c r="Z43" i="4" s="1"/>
  <c r="U43" i="4"/>
  <c r="W43" i="4" s="1"/>
  <c r="R43" i="4"/>
  <c r="M43" i="4"/>
  <c r="K43" i="4"/>
  <c r="DK42" i="4"/>
  <c r="CK42" i="4"/>
  <c r="BK42" i="4"/>
  <c r="AK42" i="4"/>
  <c r="K42" i="4"/>
  <c r="DK41" i="4"/>
  <c r="CK41" i="4"/>
  <c r="BK41" i="4"/>
  <c r="AK41" i="4"/>
  <c r="K41" i="4"/>
  <c r="DK40" i="4"/>
  <c r="CK40" i="4"/>
  <c r="BK40" i="4"/>
  <c r="AK40" i="4"/>
  <c r="K40" i="4"/>
  <c r="DK39" i="4"/>
  <c r="CK39" i="4"/>
  <c r="BK39" i="4"/>
  <c r="AK39" i="4"/>
  <c r="K39" i="4"/>
  <c r="DK38" i="4"/>
  <c r="CK38" i="4"/>
  <c r="BK38" i="4"/>
  <c r="AK38" i="4"/>
  <c r="K38" i="4"/>
  <c r="DK37" i="4"/>
  <c r="DC37" i="4"/>
  <c r="DC38" i="4" s="1"/>
  <c r="CK37" i="4"/>
  <c r="CC37" i="4"/>
  <c r="BK37" i="4"/>
  <c r="BC37" i="4"/>
  <c r="BB37" i="4"/>
  <c r="BB38" i="4" s="1"/>
  <c r="BB40" i="4" s="1"/>
  <c r="BB41" i="4" s="1"/>
  <c r="BB42" i="4" s="1"/>
  <c r="AK37" i="4"/>
  <c r="AC37" i="4"/>
  <c r="K37" i="4"/>
  <c r="C37" i="4"/>
  <c r="DX36" i="4"/>
  <c r="DZ36" i="4" s="1"/>
  <c r="DW36" i="4"/>
  <c r="DK36" i="4"/>
  <c r="CX36" i="4"/>
  <c r="CZ36" i="4" s="1"/>
  <c r="CW36" i="4"/>
  <c r="CK36" i="4"/>
  <c r="BX36" i="4"/>
  <c r="BZ36" i="4" s="1"/>
  <c r="BW36" i="4"/>
  <c r="BK36" i="4"/>
  <c r="AX36" i="4"/>
  <c r="AZ36" i="4" s="1"/>
  <c r="AW36" i="4"/>
  <c r="AK36" i="4"/>
  <c r="X36" i="4"/>
  <c r="Z36" i="4" s="1"/>
  <c r="U36" i="4"/>
  <c r="W36" i="4" s="1"/>
  <c r="R36" i="4"/>
  <c r="M36" i="4"/>
  <c r="K36" i="4"/>
  <c r="DK35" i="4"/>
  <c r="CK35" i="4"/>
  <c r="BK35" i="4"/>
  <c r="AK35" i="4"/>
  <c r="K35" i="4"/>
  <c r="DK34" i="4"/>
  <c r="CK34" i="4"/>
  <c r="BK34" i="4"/>
  <c r="AK34" i="4"/>
  <c r="K34" i="4"/>
  <c r="DK33" i="4"/>
  <c r="CK33" i="4"/>
  <c r="BK33" i="4"/>
  <c r="AK33" i="4"/>
  <c r="K33" i="4"/>
  <c r="DK32" i="4"/>
  <c r="CK32" i="4"/>
  <c r="BK32" i="4"/>
  <c r="AK32" i="4"/>
  <c r="K32" i="4"/>
  <c r="DK31" i="4"/>
  <c r="CK31" i="4"/>
  <c r="BK31" i="4"/>
  <c r="AK31" i="4"/>
  <c r="K31" i="4"/>
  <c r="DK30" i="4"/>
  <c r="DC30" i="4"/>
  <c r="CK30" i="4"/>
  <c r="CC30" i="4"/>
  <c r="BK30" i="4"/>
  <c r="BC30" i="4"/>
  <c r="AK30" i="4"/>
  <c r="AC30" i="4"/>
  <c r="K30" i="4"/>
  <c r="C30" i="4"/>
  <c r="DX29" i="4"/>
  <c r="DZ29" i="4" s="1"/>
  <c r="DW29" i="4"/>
  <c r="DK29" i="4"/>
  <c r="CX29" i="4"/>
  <c r="CZ29" i="4" s="1"/>
  <c r="CW29" i="4"/>
  <c r="CK29" i="4"/>
  <c r="BZ29" i="4"/>
  <c r="BW29" i="4"/>
  <c r="BK29" i="4"/>
  <c r="AX29" i="4"/>
  <c r="AZ29" i="4" s="1"/>
  <c r="AW29" i="4"/>
  <c r="AK29" i="4"/>
  <c r="X29" i="4"/>
  <c r="Z29" i="4" s="1"/>
  <c r="U29" i="4"/>
  <c r="W29" i="4" s="1"/>
  <c r="R29" i="4"/>
  <c r="O29" i="4"/>
  <c r="M29" i="4"/>
  <c r="K29" i="4"/>
  <c r="DK28" i="4"/>
  <c r="CK28" i="4"/>
  <c r="BK28" i="4"/>
  <c r="AK28" i="4"/>
  <c r="K28" i="4"/>
  <c r="DK27" i="4"/>
  <c r="CK27" i="4"/>
  <c r="BK27" i="4"/>
  <c r="AK27" i="4"/>
  <c r="K27" i="4"/>
  <c r="DK26" i="4"/>
  <c r="CK26" i="4"/>
  <c r="BK26" i="4"/>
  <c r="AK26" i="4"/>
  <c r="K26" i="4"/>
  <c r="DK25" i="4"/>
  <c r="CK25" i="4"/>
  <c r="BK25" i="4"/>
  <c r="AK25" i="4"/>
  <c r="K25" i="4"/>
  <c r="DK24" i="4"/>
  <c r="CK24" i="4"/>
  <c r="BK24" i="4"/>
  <c r="AK24" i="4"/>
  <c r="K24" i="4"/>
  <c r="DK23" i="4"/>
  <c r="DC23" i="4"/>
  <c r="CK23" i="4"/>
  <c r="CC23" i="4"/>
  <c r="BK23" i="4"/>
  <c r="BC23" i="4"/>
  <c r="BB23" i="4"/>
  <c r="BB24" i="4" s="1"/>
  <c r="BB25" i="4" s="1"/>
  <c r="BB26" i="4" s="1"/>
  <c r="BB27" i="4" s="1"/>
  <c r="BB28" i="4" s="1"/>
  <c r="AK23" i="4"/>
  <c r="AC23" i="4"/>
  <c r="K23" i="4"/>
  <c r="C23" i="4"/>
  <c r="DX22" i="4"/>
  <c r="DZ22" i="4" s="1"/>
  <c r="DW22" i="4"/>
  <c r="DK22" i="4"/>
  <c r="CX22" i="4"/>
  <c r="CZ22" i="4" s="1"/>
  <c r="CW22" i="4"/>
  <c r="CK22" i="4"/>
  <c r="BX22" i="4"/>
  <c r="BZ22" i="4" s="1"/>
  <c r="BW22" i="4"/>
  <c r="BK22" i="4"/>
  <c r="AX22" i="4"/>
  <c r="AZ22" i="4" s="1"/>
  <c r="AW22" i="4"/>
  <c r="AK22" i="4"/>
  <c r="X22" i="4"/>
  <c r="Z22" i="4" s="1"/>
  <c r="U22" i="4"/>
  <c r="W22" i="4" s="1"/>
  <c r="R22" i="4"/>
  <c r="O22" i="4"/>
  <c r="M22" i="4"/>
  <c r="K22" i="4"/>
  <c r="DK21" i="4"/>
  <c r="CK21" i="4"/>
  <c r="BK21" i="4"/>
  <c r="AK21" i="4"/>
  <c r="K21" i="4"/>
  <c r="DK20" i="4"/>
  <c r="CK20" i="4"/>
  <c r="BK20" i="4"/>
  <c r="AK20" i="4"/>
  <c r="K20" i="4"/>
  <c r="DK19" i="4"/>
  <c r="CK19" i="4"/>
  <c r="BK19" i="4"/>
  <c r="AK19" i="4"/>
  <c r="K19" i="4"/>
  <c r="DK18" i="4"/>
  <c r="CK18" i="4"/>
  <c r="BK18" i="4"/>
  <c r="AK18" i="4"/>
  <c r="K18" i="4"/>
  <c r="DK17" i="4"/>
  <c r="CK17" i="4"/>
  <c r="BK17" i="4"/>
  <c r="AK17" i="4"/>
  <c r="K17" i="4"/>
  <c r="DK16" i="4"/>
  <c r="DC16" i="4"/>
  <c r="CK16" i="4"/>
  <c r="CC16" i="4"/>
  <c r="BK16" i="4"/>
  <c r="BC16" i="4"/>
  <c r="BB16" i="4"/>
  <c r="BB17" i="4" s="1"/>
  <c r="BB18" i="4" s="1"/>
  <c r="BB19" i="4" s="1"/>
  <c r="BB20" i="4" s="1"/>
  <c r="BB21" i="4" s="1"/>
  <c r="AK16" i="4"/>
  <c r="AC16" i="4"/>
  <c r="K16" i="4"/>
  <c r="C16" i="4"/>
  <c r="DX15" i="4"/>
  <c r="DZ15" i="4" s="1"/>
  <c r="DW15" i="4"/>
  <c r="DK15" i="4"/>
  <c r="CX15" i="4"/>
  <c r="CZ15" i="4" s="1"/>
  <c r="CW15" i="4"/>
  <c r="CK15" i="4"/>
  <c r="BX15" i="4"/>
  <c r="BZ15" i="4" s="1"/>
  <c r="BW15" i="4"/>
  <c r="BK15" i="4"/>
  <c r="AZ15" i="4"/>
  <c r="AW15" i="4"/>
  <c r="AK15" i="4"/>
  <c r="X15" i="4"/>
  <c r="Z15" i="4" s="1"/>
  <c r="W15" i="4"/>
  <c r="O15" i="4"/>
  <c r="M15" i="4"/>
  <c r="K15" i="4"/>
  <c r="DK14" i="4"/>
  <c r="CK14" i="4"/>
  <c r="BK14" i="4"/>
  <c r="AK14" i="4"/>
  <c r="K14" i="4"/>
  <c r="DK13" i="4"/>
  <c r="CK13" i="4"/>
  <c r="BK13" i="4"/>
  <c r="AK13" i="4"/>
  <c r="K13" i="4"/>
  <c r="DK12" i="4"/>
  <c r="BK12" i="4"/>
  <c r="AK12" i="4"/>
  <c r="K12" i="4"/>
  <c r="DK11" i="4"/>
  <c r="CK11" i="4"/>
  <c r="BK11" i="4"/>
  <c r="AK11" i="4"/>
  <c r="K11" i="4"/>
  <c r="CK10" i="4"/>
  <c r="AK10" i="4"/>
  <c r="K10" i="4"/>
  <c r="DK9" i="4"/>
  <c r="DC9" i="4"/>
  <c r="CC9" i="4"/>
  <c r="BC9" i="4"/>
  <c r="BB9" i="4"/>
  <c r="BB10" i="4" s="1"/>
  <c r="BB11" i="4" s="1"/>
  <c r="BB12" i="4" s="1"/>
  <c r="BB13" i="4" s="1"/>
  <c r="BB14" i="4" s="1"/>
  <c r="AK9" i="4"/>
  <c r="AC9" i="4"/>
  <c r="K9" i="4"/>
  <c r="C9" i="4"/>
  <c r="DK8" i="4"/>
  <c r="DF8" i="4"/>
  <c r="CZ8" i="4"/>
  <c r="CK8" i="4"/>
  <c r="BZ8" i="4"/>
  <c r="BW8" i="4"/>
  <c r="AK8" i="4"/>
  <c r="X8" i="4"/>
  <c r="Z8" i="4" s="1"/>
  <c r="F8" i="4"/>
  <c r="DG125" i="9" l="1"/>
  <c r="DK124" i="9"/>
  <c r="DN124" i="9"/>
  <c r="DO124" i="9" s="1"/>
  <c r="DI124" i="9"/>
  <c r="DB124" i="9"/>
  <c r="DA125" i="9" s="1"/>
  <c r="CO125" i="9"/>
  <c r="CP125" i="9" s="1"/>
  <c r="CC125" i="9"/>
  <c r="CB126" i="9" s="1"/>
  <c r="CJ125" i="9"/>
  <c r="CH126" i="9"/>
  <c r="CL125" i="9"/>
  <c r="BP124" i="9"/>
  <c r="BQ124" i="9" s="1"/>
  <c r="BD124" i="9"/>
  <c r="BC125" i="9" s="1"/>
  <c r="BK124" i="9"/>
  <c r="BI126" i="9"/>
  <c r="BM126" i="9" s="1"/>
  <c r="AE124" i="9"/>
  <c r="AD125" i="9" s="1"/>
  <c r="AL124" i="9"/>
  <c r="AQ124" i="9"/>
  <c r="AR124" i="9" s="1"/>
  <c r="AJ125" i="9"/>
  <c r="AN124" i="9"/>
  <c r="AR159" i="9"/>
  <c r="S206" i="9" s="1"/>
  <c r="CP159" i="9"/>
  <c r="S255" i="9" s="1"/>
  <c r="U198" i="9"/>
  <c r="CC159" i="9"/>
  <c r="S242" i="9" s="1"/>
  <c r="CH161" i="9"/>
  <c r="U247" i="9" s="1"/>
  <c r="CL161" i="9"/>
  <c r="U251" i="9" s="1"/>
  <c r="K124" i="9"/>
  <c r="O123" i="9"/>
  <c r="AE159" i="9"/>
  <c r="S193" i="9" s="1"/>
  <c r="R110" i="9"/>
  <c r="S110" i="9" s="1"/>
  <c r="M110" i="9"/>
  <c r="E111" i="9"/>
  <c r="F111" i="9" s="1"/>
  <c r="U265" i="9"/>
  <c r="DN161" i="9"/>
  <c r="U278" i="9" s="1"/>
  <c r="BI161" i="9"/>
  <c r="U223" i="9" s="1"/>
  <c r="BM161" i="9"/>
  <c r="U227" i="9" s="1"/>
  <c r="HJ72" i="7"/>
  <c r="HK72" i="7" s="1"/>
  <c r="GX72" i="7"/>
  <c r="GW73" i="7" s="1"/>
  <c r="HE72" i="7"/>
  <c r="HC73" i="7"/>
  <c r="HG72" i="7"/>
  <c r="GH71" i="7"/>
  <c r="GD72" i="7"/>
  <c r="GK72" i="7"/>
  <c r="GL72" i="7" s="1"/>
  <c r="FY72" i="7"/>
  <c r="FX73" i="7" s="1"/>
  <c r="GF72" i="7"/>
  <c r="FL73" i="7"/>
  <c r="FM73" i="7" s="1"/>
  <c r="EZ73" i="7"/>
  <c r="EY74" i="7" s="1"/>
  <c r="FG73" i="7"/>
  <c r="FI72" i="7"/>
  <c r="FE73" i="7"/>
  <c r="EM73" i="7"/>
  <c r="EN73" i="7" s="1"/>
  <c r="EA73" i="7"/>
  <c r="DZ74" i="7" s="1"/>
  <c r="EH73" i="7"/>
  <c r="EJ73" i="7"/>
  <c r="EF74" i="7"/>
  <c r="DK72" i="7"/>
  <c r="DG73" i="7"/>
  <c r="DN73" i="7"/>
  <c r="DO73" i="7" s="1"/>
  <c r="DB73" i="7"/>
  <c r="DA74" i="7" s="1"/>
  <c r="DI73" i="7"/>
  <c r="AR152" i="8"/>
  <c r="L206" i="8" s="1"/>
  <c r="CP152" i="8"/>
  <c r="L255" i="8" s="1"/>
  <c r="DO152" i="8"/>
  <c r="L278" i="8" s="1"/>
  <c r="K68" i="8"/>
  <c r="O67" i="8"/>
  <c r="M198" i="8"/>
  <c r="R61" i="8"/>
  <c r="S61" i="8" s="1"/>
  <c r="F61" i="8"/>
  <c r="M61" i="8"/>
  <c r="CH70" i="8"/>
  <c r="CL152" i="8"/>
  <c r="L251" i="8" s="1"/>
  <c r="DK152" i="8"/>
  <c r="L274" i="8" s="1"/>
  <c r="DG68" i="8"/>
  <c r="DK67" i="8"/>
  <c r="DN68" i="8"/>
  <c r="DO68" i="8" s="1"/>
  <c r="DI68" i="8"/>
  <c r="DB68" i="8"/>
  <c r="DA69" i="8" s="1"/>
  <c r="BP61" i="8"/>
  <c r="BQ61" i="8" s="1"/>
  <c r="BK61" i="8"/>
  <c r="BD61" i="8"/>
  <c r="AE152" i="8"/>
  <c r="L193" i="8" s="1"/>
  <c r="AD62" i="8"/>
  <c r="AN69" i="8"/>
  <c r="AJ70" i="8"/>
  <c r="DB152" i="8"/>
  <c r="L265" i="8" s="1"/>
  <c r="CC152" i="8"/>
  <c r="L242" i="8" s="1"/>
  <c r="CB62" i="8"/>
  <c r="BI153" i="8"/>
  <c r="M223" i="8" s="1"/>
  <c r="BI69" i="8"/>
  <c r="BM68" i="8"/>
  <c r="BM153" i="8" s="1"/>
  <c r="M227" i="8" s="1"/>
  <c r="J198" i="7"/>
  <c r="J390" i="7" s="1"/>
  <c r="AN150" i="7"/>
  <c r="J198" i="1"/>
  <c r="AN150" i="1"/>
  <c r="AN46" i="1"/>
  <c r="AQ46" i="1"/>
  <c r="AR46" i="1" s="1"/>
  <c r="J384" i="7"/>
  <c r="J392" i="7" s="1"/>
  <c r="J420" i="7" s="1"/>
  <c r="AE47" i="1"/>
  <c r="AQ149" i="1"/>
  <c r="I205" i="1" s="1"/>
  <c r="K192" i="7"/>
  <c r="AQ48" i="7"/>
  <c r="AR48" i="7" s="1"/>
  <c r="AL48" i="7"/>
  <c r="AE48" i="7"/>
  <c r="AD49" i="7" s="1"/>
  <c r="S44" i="7"/>
  <c r="BI51" i="7"/>
  <c r="BM51" i="7" s="1"/>
  <c r="CO44" i="7"/>
  <c r="CJ44" i="7"/>
  <c r="CC44" i="7"/>
  <c r="CB45" i="7" s="1"/>
  <c r="CL44" i="7"/>
  <c r="AJ49" i="7"/>
  <c r="AN49" i="7" s="1"/>
  <c r="E46" i="7"/>
  <c r="F46" i="7" s="1"/>
  <c r="R45" i="7"/>
  <c r="M45" i="7"/>
  <c r="J202" i="7"/>
  <c r="BP44" i="7"/>
  <c r="BQ44" i="7" s="1"/>
  <c r="BD44" i="7"/>
  <c r="BC45" i="7" s="1"/>
  <c r="BK44" i="7"/>
  <c r="CH50" i="7"/>
  <c r="CP43" i="7"/>
  <c r="K50" i="7"/>
  <c r="O50" i="7" s="1"/>
  <c r="BC41" i="1"/>
  <c r="BC150" i="1" s="1"/>
  <c r="J217" i="1" s="1"/>
  <c r="BD149" i="1"/>
  <c r="I218" i="1" s="1"/>
  <c r="AQ47" i="1"/>
  <c r="AL47" i="1"/>
  <c r="AJ48" i="1"/>
  <c r="BQ40" i="1"/>
  <c r="BQ149" i="1" s="1"/>
  <c r="BI42" i="1"/>
  <c r="AN8" i="4"/>
  <c r="AG8" i="4"/>
  <c r="AF9" i="4" s="1"/>
  <c r="AN9" i="4" s="1"/>
  <c r="DN8" i="4"/>
  <c r="CN8" i="4"/>
  <c r="R9" i="4"/>
  <c r="N8" i="4"/>
  <c r="P8" i="4"/>
  <c r="BL11" i="4"/>
  <c r="BG8" i="4"/>
  <c r="BF9" i="4" s="1"/>
  <c r="BG9" i="4" s="1"/>
  <c r="BF10" i="4" s="1"/>
  <c r="BN8" i="4"/>
  <c r="BP8" i="4"/>
  <c r="DO43" i="4"/>
  <c r="CO43" i="4"/>
  <c r="AO43" i="4"/>
  <c r="BO43" i="4"/>
  <c r="I10" i="3"/>
  <c r="CX114" i="4"/>
  <c r="CZ114" i="4" s="1"/>
  <c r="CR114" i="4"/>
  <c r="CU114" i="4"/>
  <c r="CW114" i="4" s="1"/>
  <c r="DG8" i="4"/>
  <c r="DF9" i="4" s="1"/>
  <c r="DS9" i="4" s="1"/>
  <c r="DS8" i="4"/>
  <c r="O9" i="4"/>
  <c r="BX9" i="4"/>
  <c r="BZ9" i="4" s="1"/>
  <c r="BU9" i="4"/>
  <c r="BW9" i="4" s="1"/>
  <c r="BR9" i="4"/>
  <c r="BO9" i="4"/>
  <c r="BC17" i="4"/>
  <c r="BO17" i="4" s="1"/>
  <c r="BX16" i="4"/>
  <c r="BZ16" i="4" s="1"/>
  <c r="BM16" i="4"/>
  <c r="BU16" i="4"/>
  <c r="BW16" i="4" s="1"/>
  <c r="BR16" i="4"/>
  <c r="BO16" i="4"/>
  <c r="DX16" i="4"/>
  <c r="DZ16" i="4" s="1"/>
  <c r="DR16" i="4"/>
  <c r="DO16" i="4"/>
  <c r="DU16" i="4"/>
  <c r="DW16" i="4" s="1"/>
  <c r="DM16" i="4"/>
  <c r="CR23" i="4"/>
  <c r="CO23" i="4"/>
  <c r="CU23" i="4"/>
  <c r="CW23" i="4" s="1"/>
  <c r="CM23" i="4"/>
  <c r="BM30" i="4"/>
  <c r="BU30" i="4"/>
  <c r="BW30" i="4" s="1"/>
  <c r="BR30" i="4"/>
  <c r="BO30" i="4"/>
  <c r="DR30" i="4"/>
  <c r="DO30" i="4"/>
  <c r="DU30" i="4"/>
  <c r="DW30" i="4" s="1"/>
  <c r="DM30" i="4"/>
  <c r="BC45" i="4"/>
  <c r="BU45" i="4" s="1"/>
  <c r="BM44" i="4"/>
  <c r="BU44" i="4"/>
  <c r="BW44" i="4" s="1"/>
  <c r="BR44" i="4"/>
  <c r="BO44" i="4"/>
  <c r="DC45" i="4"/>
  <c r="DO45" i="4" s="1"/>
  <c r="DR44" i="4"/>
  <c r="DO44" i="4"/>
  <c r="DU44" i="4"/>
  <c r="DW44" i="4" s="1"/>
  <c r="DM44" i="4"/>
  <c r="BC52" i="4"/>
  <c r="BU52" i="4" s="1"/>
  <c r="BR51" i="4"/>
  <c r="BU51" i="4"/>
  <c r="BW51" i="4" s="1"/>
  <c r="DC52" i="4"/>
  <c r="DR52" i="4" s="1"/>
  <c r="DR51" i="4"/>
  <c r="DU51" i="4"/>
  <c r="DW51" i="4" s="1"/>
  <c r="BU65" i="4"/>
  <c r="BW65" i="4" s="1"/>
  <c r="BR65" i="4"/>
  <c r="DR65" i="4"/>
  <c r="DU65" i="4"/>
  <c r="DW65" i="4" s="1"/>
  <c r="BC73" i="4"/>
  <c r="BU72" i="4"/>
  <c r="BW72" i="4" s="1"/>
  <c r="BR72" i="4"/>
  <c r="DC73" i="4"/>
  <c r="DC74" i="4" s="1"/>
  <c r="DX74" i="4" s="1"/>
  <c r="DZ74" i="4" s="1"/>
  <c r="DU72" i="4"/>
  <c r="DW72" i="4" s="1"/>
  <c r="DR72" i="4"/>
  <c r="BX79" i="4"/>
  <c r="BZ79" i="4" s="1"/>
  <c r="BU79" i="4"/>
  <c r="BW79" i="4" s="1"/>
  <c r="BR79" i="4"/>
  <c r="DX79" i="4"/>
  <c r="DZ79" i="4" s="1"/>
  <c r="DR79" i="4"/>
  <c r="DU79" i="4"/>
  <c r="DW79" i="4" s="1"/>
  <c r="BX86" i="4"/>
  <c r="BZ86" i="4" s="1"/>
  <c r="BU86" i="4"/>
  <c r="BW86" i="4" s="1"/>
  <c r="BR86" i="4"/>
  <c r="DX86" i="4"/>
  <c r="DZ86" i="4" s="1"/>
  <c r="DU86" i="4"/>
  <c r="DW86" i="4" s="1"/>
  <c r="DR86" i="4"/>
  <c r="BC94" i="4"/>
  <c r="BU94" i="4" s="1"/>
  <c r="BW94" i="4" s="1"/>
  <c r="BU93" i="4"/>
  <c r="BW93" i="4" s="1"/>
  <c r="BR93" i="4"/>
  <c r="DC94" i="4"/>
  <c r="DU94" i="4" s="1"/>
  <c r="DW94" i="4" s="1"/>
  <c r="DR93" i="4"/>
  <c r="DU93" i="4"/>
  <c r="DW93" i="4" s="1"/>
  <c r="BC101" i="4"/>
  <c r="BX101" i="4" s="1"/>
  <c r="BZ101" i="4" s="1"/>
  <c r="BU100" i="4"/>
  <c r="BW100" i="4" s="1"/>
  <c r="BR100" i="4"/>
  <c r="DC101" i="4"/>
  <c r="DR101" i="4" s="1"/>
  <c r="DU100" i="4"/>
  <c r="DW100" i="4" s="1"/>
  <c r="DR100" i="4"/>
  <c r="BX107" i="4"/>
  <c r="BZ107" i="4" s="1"/>
  <c r="BU107" i="4"/>
  <c r="BW107" i="4" s="1"/>
  <c r="BR107" i="4"/>
  <c r="DX107" i="4"/>
  <c r="DZ107" i="4" s="1"/>
  <c r="DR107" i="4"/>
  <c r="DU107" i="4"/>
  <c r="DW107" i="4" s="1"/>
  <c r="C115" i="4"/>
  <c r="C116" i="4" s="1"/>
  <c r="R116" i="4" s="1"/>
  <c r="CC115" i="4"/>
  <c r="CX115" i="4" s="1"/>
  <c r="CZ115" i="4" s="1"/>
  <c r="BC122" i="4"/>
  <c r="BR122" i="4" s="1"/>
  <c r="BU121" i="4"/>
  <c r="BW121" i="4" s="1"/>
  <c r="BR121" i="4"/>
  <c r="DC122" i="4"/>
  <c r="DR122" i="4" s="1"/>
  <c r="DR121" i="4"/>
  <c r="DU121" i="4"/>
  <c r="DW121" i="4" s="1"/>
  <c r="BC129" i="4"/>
  <c r="BR129" i="4" s="1"/>
  <c r="BU128" i="4"/>
  <c r="BW128" i="4" s="1"/>
  <c r="BR128" i="4"/>
  <c r="DC129" i="4"/>
  <c r="DR129" i="4" s="1"/>
  <c r="DU128" i="4"/>
  <c r="DW128" i="4" s="1"/>
  <c r="DR128" i="4"/>
  <c r="L9" i="4"/>
  <c r="AO23" i="4"/>
  <c r="AM23" i="4"/>
  <c r="AU23" i="4"/>
  <c r="AW23" i="4" s="1"/>
  <c r="AR23" i="4"/>
  <c r="CC38" i="4"/>
  <c r="CR38" i="4" s="1"/>
  <c r="CR37" i="4"/>
  <c r="CO37" i="4"/>
  <c r="CU37" i="4"/>
  <c r="CW37" i="4" s="1"/>
  <c r="CM37" i="4"/>
  <c r="AX114" i="4"/>
  <c r="AZ114" i="4" s="1"/>
  <c r="AU114" i="4"/>
  <c r="AW114" i="4" s="1"/>
  <c r="AR114" i="4"/>
  <c r="S8" i="4"/>
  <c r="AX16" i="4"/>
  <c r="AZ16" i="4" s="1"/>
  <c r="AO16" i="4"/>
  <c r="AU16" i="4"/>
  <c r="AW16" i="4" s="1"/>
  <c r="AR16" i="4"/>
  <c r="AM16" i="4"/>
  <c r="R30" i="4"/>
  <c r="BX37" i="4"/>
  <c r="BZ37" i="4" s="1"/>
  <c r="BR37" i="4"/>
  <c r="BO37" i="4"/>
  <c r="BM37" i="4"/>
  <c r="BU37" i="4"/>
  <c r="BW37" i="4" s="1"/>
  <c r="CX37" i="4"/>
  <c r="CZ37" i="4" s="1"/>
  <c r="AO44" i="4"/>
  <c r="AM44" i="4"/>
  <c r="AU44" i="4"/>
  <c r="AW44" i="4" s="1"/>
  <c r="AR44" i="4"/>
  <c r="BU114" i="4"/>
  <c r="BW114" i="4" s="1"/>
  <c r="BR114" i="4"/>
  <c r="DL8" i="4"/>
  <c r="DP8" i="4" s="1"/>
  <c r="AO9" i="4"/>
  <c r="AX9" i="4"/>
  <c r="AZ9" i="4" s="1"/>
  <c r="AU9" i="4"/>
  <c r="AW9" i="4" s="1"/>
  <c r="AR9" i="4"/>
  <c r="CX9" i="4"/>
  <c r="CZ9" i="4" s="1"/>
  <c r="CU9" i="4"/>
  <c r="CW9" i="4" s="1"/>
  <c r="CR9" i="4"/>
  <c r="CO9" i="4"/>
  <c r="DX9" i="4"/>
  <c r="DZ9" i="4" s="1"/>
  <c r="DR9" i="4"/>
  <c r="DO9" i="4"/>
  <c r="DU9" i="4"/>
  <c r="DW9" i="4" s="1"/>
  <c r="CX16" i="4"/>
  <c r="CZ16" i="4" s="1"/>
  <c r="CM16" i="4"/>
  <c r="CU16" i="4"/>
  <c r="CW16" i="4" s="1"/>
  <c r="CR16" i="4"/>
  <c r="CO16" i="4"/>
  <c r="BR23" i="4"/>
  <c r="BO23" i="4"/>
  <c r="BM23" i="4"/>
  <c r="BU23" i="4"/>
  <c r="BW23" i="4" s="1"/>
  <c r="DR23" i="4"/>
  <c r="DO23" i="4"/>
  <c r="DU23" i="4"/>
  <c r="DW23" i="4" s="1"/>
  <c r="DM23" i="4"/>
  <c r="AO30" i="4"/>
  <c r="AU30" i="4"/>
  <c r="AW30" i="4" s="1"/>
  <c r="AR30" i="4"/>
  <c r="AM30" i="4"/>
  <c r="CU30" i="4"/>
  <c r="CW30" i="4" s="1"/>
  <c r="CM30" i="4"/>
  <c r="CR30" i="4"/>
  <c r="CO30" i="4"/>
  <c r="AC38" i="4"/>
  <c r="AR38" i="4" s="1"/>
  <c r="AO37" i="4"/>
  <c r="AM37" i="4"/>
  <c r="AU37" i="4"/>
  <c r="AW37" i="4" s="1"/>
  <c r="AR37" i="4"/>
  <c r="DX37" i="4"/>
  <c r="DZ37" i="4" s="1"/>
  <c r="DR37" i="4"/>
  <c r="DO37" i="4"/>
  <c r="DU37" i="4"/>
  <c r="DW37" i="4" s="1"/>
  <c r="DM37" i="4"/>
  <c r="CC45" i="4"/>
  <c r="CR45" i="4" s="1"/>
  <c r="CU44" i="4"/>
  <c r="CW44" i="4" s="1"/>
  <c r="CM44" i="4"/>
  <c r="CR44" i="4"/>
  <c r="CO44" i="4"/>
  <c r="AC52" i="4"/>
  <c r="AC53" i="4" s="1"/>
  <c r="AU51" i="4"/>
  <c r="AW51" i="4" s="1"/>
  <c r="AR51" i="4"/>
  <c r="CC52" i="4"/>
  <c r="CC53" i="4" s="1"/>
  <c r="CX53" i="4" s="1"/>
  <c r="CZ53" i="4" s="1"/>
  <c r="CR51" i="4"/>
  <c r="CU51" i="4"/>
  <c r="CW51" i="4" s="1"/>
  <c r="AU65" i="4"/>
  <c r="AW65" i="4" s="1"/>
  <c r="AR65" i="4"/>
  <c r="CU65" i="4"/>
  <c r="CW65" i="4" s="1"/>
  <c r="CR65" i="4"/>
  <c r="AC73" i="4"/>
  <c r="AU72" i="4"/>
  <c r="AW72" i="4" s="1"/>
  <c r="AR72" i="4"/>
  <c r="CC73" i="4"/>
  <c r="CU73" i="4" s="1"/>
  <c r="CR72" i="4"/>
  <c r="CU72" i="4"/>
  <c r="CW72" i="4" s="1"/>
  <c r="AX79" i="4"/>
  <c r="AZ79" i="4" s="1"/>
  <c r="AU79" i="4"/>
  <c r="AW79" i="4" s="1"/>
  <c r="AR79" i="4"/>
  <c r="CX79" i="4"/>
  <c r="CZ79" i="4" s="1"/>
  <c r="CU79" i="4"/>
  <c r="CW79" i="4" s="1"/>
  <c r="CR79" i="4"/>
  <c r="AU86" i="4"/>
  <c r="AW86" i="4" s="1"/>
  <c r="AR86" i="4"/>
  <c r="CX86" i="4"/>
  <c r="CZ86" i="4" s="1"/>
  <c r="CR86" i="4"/>
  <c r="CU86" i="4"/>
  <c r="CW86" i="4" s="1"/>
  <c r="AC94" i="4"/>
  <c r="AU94" i="4" s="1"/>
  <c r="AW94" i="4" s="1"/>
  <c r="AU93" i="4"/>
  <c r="AW93" i="4" s="1"/>
  <c r="AR93" i="4"/>
  <c r="CC94" i="4"/>
  <c r="CU94" i="4" s="1"/>
  <c r="CW94" i="4" s="1"/>
  <c r="CU93" i="4"/>
  <c r="CW93" i="4" s="1"/>
  <c r="CR93" i="4"/>
  <c r="AC101" i="4"/>
  <c r="AR100" i="4"/>
  <c r="AU100" i="4"/>
  <c r="AW100" i="4" s="1"/>
  <c r="CC101" i="4"/>
  <c r="CR101" i="4" s="1"/>
  <c r="CR100" i="4"/>
  <c r="CU100" i="4"/>
  <c r="CW100" i="4" s="1"/>
  <c r="AX107" i="4"/>
  <c r="AZ107" i="4" s="1"/>
  <c r="AU107" i="4"/>
  <c r="AW107" i="4" s="1"/>
  <c r="AR107" i="4"/>
  <c r="CX107" i="4"/>
  <c r="CZ107" i="4" s="1"/>
  <c r="CU107" i="4"/>
  <c r="CW107" i="4" s="1"/>
  <c r="CR107" i="4"/>
  <c r="R114" i="4"/>
  <c r="DX114" i="4"/>
  <c r="DZ114" i="4" s="1"/>
  <c r="DU114" i="4"/>
  <c r="DW114" i="4" s="1"/>
  <c r="DR114" i="4"/>
  <c r="AC122" i="4"/>
  <c r="AU122" i="4" s="1"/>
  <c r="AW122" i="4" s="1"/>
  <c r="AU121" i="4"/>
  <c r="AW121" i="4" s="1"/>
  <c r="AR121" i="4"/>
  <c r="CC122" i="4"/>
  <c r="CU122" i="4" s="1"/>
  <c r="CW122" i="4" s="1"/>
  <c r="CU121" i="4"/>
  <c r="CW121" i="4" s="1"/>
  <c r="CR121" i="4"/>
  <c r="AC129" i="4"/>
  <c r="AR129" i="4" s="1"/>
  <c r="AR128" i="4"/>
  <c r="AU128" i="4"/>
  <c r="AW128" i="4" s="1"/>
  <c r="CC129" i="4"/>
  <c r="CR128" i="4"/>
  <c r="CU128" i="4"/>
  <c r="CW128" i="4" s="1"/>
  <c r="BS8" i="4"/>
  <c r="BX58" i="4"/>
  <c r="BZ58" i="4" s="1"/>
  <c r="BU58" i="4"/>
  <c r="BW58" i="4" s="1"/>
  <c r="BR58" i="4"/>
  <c r="BR101" i="4"/>
  <c r="DC39" i="4"/>
  <c r="DC40" i="4" s="1"/>
  <c r="DU38" i="4"/>
  <c r="DW38" i="4" s="1"/>
  <c r="DO38" i="4"/>
  <c r="DR38" i="4"/>
  <c r="DM38" i="4"/>
  <c r="AX58" i="4"/>
  <c r="AZ58" i="4" s="1"/>
  <c r="AU58" i="4"/>
  <c r="AW58" i="4" s="1"/>
  <c r="AR58" i="4"/>
  <c r="CX58" i="4"/>
  <c r="CZ58" i="4" s="1"/>
  <c r="CU58" i="4"/>
  <c r="CW58" i="4" s="1"/>
  <c r="CR58" i="4"/>
  <c r="DX58" i="4"/>
  <c r="DZ58" i="4" s="1"/>
  <c r="DU58" i="4"/>
  <c r="DW58" i="4" s="1"/>
  <c r="DR58" i="4"/>
  <c r="AL8" i="4"/>
  <c r="AP8" i="4" s="1"/>
  <c r="O36" i="4"/>
  <c r="CC17" i="4"/>
  <c r="CX17" i="4" s="1"/>
  <c r="CZ17" i="4" s="1"/>
  <c r="U30" i="4"/>
  <c r="W30" i="4" s="1"/>
  <c r="C38" i="4"/>
  <c r="C39" i="4" s="1"/>
  <c r="DX72" i="4"/>
  <c r="DZ72" i="4" s="1"/>
  <c r="G8" i="4"/>
  <c r="F9" i="4" s="1"/>
  <c r="S9" i="4" s="1"/>
  <c r="CG8" i="4"/>
  <c r="O37" i="4"/>
  <c r="CX72" i="4"/>
  <c r="CZ72" i="4" s="1"/>
  <c r="AX93" i="4"/>
  <c r="AZ93" i="4" s="1"/>
  <c r="CX93" i="4"/>
  <c r="CZ93" i="4" s="1"/>
  <c r="AX121" i="4"/>
  <c r="AZ121" i="4" s="1"/>
  <c r="CX121" i="4"/>
  <c r="CZ121" i="4" s="1"/>
  <c r="AC17" i="4"/>
  <c r="X16" i="4"/>
  <c r="Z16" i="4" s="1"/>
  <c r="O16" i="4"/>
  <c r="C17" i="4"/>
  <c r="DC17" i="4"/>
  <c r="DX17" i="4" s="1"/>
  <c r="DZ17" i="4" s="1"/>
  <c r="X37" i="4"/>
  <c r="Z37" i="4" s="1"/>
  <c r="AX37" i="4"/>
  <c r="AZ37" i="4" s="1"/>
  <c r="X51" i="4"/>
  <c r="Z51" i="4" s="1"/>
  <c r="AX51" i="4"/>
  <c r="AZ51" i="4" s="1"/>
  <c r="BX51" i="4"/>
  <c r="BZ51" i="4" s="1"/>
  <c r="CX51" i="4"/>
  <c r="CZ51" i="4" s="1"/>
  <c r="DX51" i="4"/>
  <c r="DZ51" i="4" s="1"/>
  <c r="DC87" i="4"/>
  <c r="R93" i="4"/>
  <c r="R94" i="4"/>
  <c r="BX100" i="4"/>
  <c r="BZ100" i="4" s="1"/>
  <c r="R101" i="4"/>
  <c r="R121" i="4"/>
  <c r="R51" i="4"/>
  <c r="BC38" i="4"/>
  <c r="M51" i="4"/>
  <c r="X72" i="4"/>
  <c r="Z72" i="4" s="1"/>
  <c r="AX72" i="4"/>
  <c r="AZ72" i="4" s="1"/>
  <c r="X93" i="4"/>
  <c r="Z93" i="4" s="1"/>
  <c r="BX93" i="4"/>
  <c r="BZ93" i="4" s="1"/>
  <c r="DX93" i="4"/>
  <c r="DZ93" i="4" s="1"/>
  <c r="R100" i="4"/>
  <c r="CX100" i="4"/>
  <c r="CZ100" i="4" s="1"/>
  <c r="X101" i="4"/>
  <c r="Z101" i="4" s="1"/>
  <c r="U107" i="4"/>
  <c r="W107" i="4" s="1"/>
  <c r="AC115" i="4"/>
  <c r="DC115" i="4"/>
  <c r="CC116" i="4"/>
  <c r="X121" i="4"/>
  <c r="Z121" i="4" s="1"/>
  <c r="BX121" i="4"/>
  <c r="BZ121" i="4" s="1"/>
  <c r="DX121" i="4"/>
  <c r="DZ121" i="4" s="1"/>
  <c r="X128" i="4"/>
  <c r="Z128" i="4" s="1"/>
  <c r="AX128" i="4"/>
  <c r="AZ128" i="4" s="1"/>
  <c r="BX128" i="4"/>
  <c r="BZ128" i="4" s="1"/>
  <c r="CX128" i="4"/>
  <c r="CZ128" i="4" s="1"/>
  <c r="DX128" i="4"/>
  <c r="DZ128" i="4" s="1"/>
  <c r="AX100" i="4"/>
  <c r="AZ100" i="4" s="1"/>
  <c r="BX72" i="4"/>
  <c r="BZ72" i="4" s="1"/>
  <c r="C87" i="4"/>
  <c r="R87" i="4" s="1"/>
  <c r="CC87" i="4"/>
  <c r="X100" i="4"/>
  <c r="Z100" i="4" s="1"/>
  <c r="DX100" i="4"/>
  <c r="DZ100" i="4" s="1"/>
  <c r="O23" i="4"/>
  <c r="C24" i="4"/>
  <c r="X23" i="4"/>
  <c r="Z23" i="4" s="1"/>
  <c r="X65" i="4"/>
  <c r="Z65" i="4" s="1"/>
  <c r="R65" i="4"/>
  <c r="AC24" i="4"/>
  <c r="AX23" i="4"/>
  <c r="AZ23" i="4" s="1"/>
  <c r="AC66" i="4"/>
  <c r="AX65" i="4"/>
  <c r="AZ65" i="4" s="1"/>
  <c r="C66" i="4"/>
  <c r="AC31" i="4"/>
  <c r="AX30" i="4"/>
  <c r="AZ30" i="4" s="1"/>
  <c r="DC66" i="4"/>
  <c r="DX65" i="4"/>
  <c r="DZ65" i="4" s="1"/>
  <c r="U9" i="4"/>
  <c r="W9" i="4" s="1"/>
  <c r="CL8" i="4"/>
  <c r="CP8" i="4" s="1"/>
  <c r="C10" i="4"/>
  <c r="AC10" i="4"/>
  <c r="U16" i="4"/>
  <c r="W16" i="4" s="1"/>
  <c r="R23" i="4"/>
  <c r="BC31" i="4"/>
  <c r="BX30" i="4"/>
  <c r="BZ30" i="4" s="1"/>
  <c r="CC31" i="4"/>
  <c r="CX30" i="4"/>
  <c r="CZ30" i="4" s="1"/>
  <c r="DC31" i="4"/>
  <c r="DX30" i="4"/>
  <c r="DZ30" i="4" s="1"/>
  <c r="BC66" i="4"/>
  <c r="BX65" i="4"/>
  <c r="BZ65" i="4" s="1"/>
  <c r="U17" i="4"/>
  <c r="W17" i="4" s="1"/>
  <c r="M23" i="4"/>
  <c r="AC45" i="4"/>
  <c r="AX44" i="4"/>
  <c r="AZ44" i="4" s="1"/>
  <c r="U65" i="4"/>
  <c r="W65" i="4" s="1"/>
  <c r="AX86" i="4"/>
  <c r="AZ86" i="4" s="1"/>
  <c r="AC87" i="4"/>
  <c r="X9" i="4"/>
  <c r="Z9" i="4" s="1"/>
  <c r="BC10" i="4"/>
  <c r="CC10" i="4"/>
  <c r="DC10" i="4"/>
  <c r="M16" i="4"/>
  <c r="R16" i="4"/>
  <c r="U23" i="4"/>
  <c r="W23" i="4" s="1"/>
  <c r="BC24" i="4"/>
  <c r="BX23" i="4"/>
  <c r="BZ23" i="4" s="1"/>
  <c r="CC24" i="4"/>
  <c r="CX23" i="4"/>
  <c r="CZ23" i="4" s="1"/>
  <c r="DC24" i="4"/>
  <c r="DX23" i="4"/>
  <c r="DZ23" i="4" s="1"/>
  <c r="O30" i="4"/>
  <c r="C31" i="4"/>
  <c r="X30" i="4"/>
  <c r="Z30" i="4" s="1"/>
  <c r="M30" i="4"/>
  <c r="O44" i="4"/>
  <c r="C45" i="4"/>
  <c r="X44" i="4"/>
  <c r="Z44" i="4" s="1"/>
  <c r="R44" i="4"/>
  <c r="M44" i="4"/>
  <c r="U44" i="4"/>
  <c r="W44" i="4" s="1"/>
  <c r="CC66" i="4"/>
  <c r="CX65" i="4"/>
  <c r="CZ65" i="4" s="1"/>
  <c r="U58" i="4"/>
  <c r="W58" i="4" s="1"/>
  <c r="C59" i="4"/>
  <c r="AC59" i="4"/>
  <c r="BC59" i="4"/>
  <c r="CC59" i="4"/>
  <c r="DC59" i="4"/>
  <c r="U37" i="4"/>
  <c r="W37" i="4" s="1"/>
  <c r="U51" i="4"/>
  <c r="W51" i="4" s="1"/>
  <c r="C52" i="4"/>
  <c r="R58" i="4"/>
  <c r="BC87" i="4"/>
  <c r="C95" i="4"/>
  <c r="U94" i="4"/>
  <c r="W94" i="4" s="1"/>
  <c r="X94" i="4"/>
  <c r="Z94" i="4" s="1"/>
  <c r="BX114" i="4"/>
  <c r="BZ114" i="4" s="1"/>
  <c r="BC115" i="4"/>
  <c r="M37" i="4"/>
  <c r="R37" i="4"/>
  <c r="DX38" i="4"/>
  <c r="DZ38" i="4" s="1"/>
  <c r="BX44" i="4"/>
  <c r="BZ44" i="4" s="1"/>
  <c r="CX44" i="4"/>
  <c r="CZ44" i="4" s="1"/>
  <c r="DX44" i="4"/>
  <c r="DZ44" i="4" s="1"/>
  <c r="X86" i="4"/>
  <c r="Z86" i="4" s="1"/>
  <c r="R86" i="4"/>
  <c r="U86" i="4"/>
  <c r="W86" i="4" s="1"/>
  <c r="U79" i="4"/>
  <c r="W79" i="4" s="1"/>
  <c r="C80" i="4"/>
  <c r="AC80" i="4"/>
  <c r="BC80" i="4"/>
  <c r="CC80" i="4"/>
  <c r="DC80" i="4"/>
  <c r="U72" i="4"/>
  <c r="W72" i="4" s="1"/>
  <c r="C73" i="4"/>
  <c r="R79" i="4"/>
  <c r="C102" i="4"/>
  <c r="U101" i="4"/>
  <c r="W101" i="4" s="1"/>
  <c r="R72" i="4"/>
  <c r="U93" i="4"/>
  <c r="W93" i="4" s="1"/>
  <c r="U114" i="4"/>
  <c r="W114" i="4" s="1"/>
  <c r="C123" i="4"/>
  <c r="U122" i="4"/>
  <c r="W122" i="4" s="1"/>
  <c r="X122" i="4"/>
  <c r="Z122" i="4" s="1"/>
  <c r="R122" i="4"/>
  <c r="U100" i="4"/>
  <c r="W100" i="4" s="1"/>
  <c r="X107" i="4"/>
  <c r="Z107" i="4" s="1"/>
  <c r="R107" i="4"/>
  <c r="C108" i="4"/>
  <c r="AC108" i="4"/>
  <c r="BC108" i="4"/>
  <c r="CC108" i="4"/>
  <c r="DC108" i="4"/>
  <c r="X114" i="4"/>
  <c r="Z114" i="4" s="1"/>
  <c r="U128" i="4"/>
  <c r="W128" i="4" s="1"/>
  <c r="C129" i="4"/>
  <c r="U121" i="4"/>
  <c r="W121" i="4" s="1"/>
  <c r="R128" i="4"/>
  <c r="C327" i="4"/>
  <c r="DG126" i="9" l="1"/>
  <c r="DK125" i="9"/>
  <c r="DN125" i="9"/>
  <c r="DO125" i="9" s="1"/>
  <c r="DB125" i="9"/>
  <c r="DA126" i="9" s="1"/>
  <c r="DI125" i="9"/>
  <c r="CC126" i="9"/>
  <c r="CB127" i="9" s="1"/>
  <c r="CJ126" i="9"/>
  <c r="CO126" i="9"/>
  <c r="CP126" i="9" s="1"/>
  <c r="CL126" i="9"/>
  <c r="CH127" i="9"/>
  <c r="BI127" i="9"/>
  <c r="BM127" i="9" s="1"/>
  <c r="BD125" i="9"/>
  <c r="BC126" i="9" s="1"/>
  <c r="BK125" i="9"/>
  <c r="BP125" i="9"/>
  <c r="BQ125" i="9" s="1"/>
  <c r="AE125" i="9"/>
  <c r="AD126" i="9" s="1"/>
  <c r="AL125" i="9"/>
  <c r="AQ125" i="9"/>
  <c r="AR125" i="9" s="1"/>
  <c r="AN125" i="9"/>
  <c r="AJ126" i="9"/>
  <c r="S159" i="9"/>
  <c r="S183" i="9" s="1"/>
  <c r="BQ159" i="9"/>
  <c r="S231" i="9" s="1"/>
  <c r="F159" i="9"/>
  <c r="S170" i="9" s="1"/>
  <c r="DG161" i="9"/>
  <c r="U271" i="9" s="1"/>
  <c r="DK161" i="9"/>
  <c r="U275" i="9" s="1"/>
  <c r="BD159" i="9"/>
  <c r="S218" i="9" s="1"/>
  <c r="AD160" i="9"/>
  <c r="K161" i="9"/>
  <c r="O124" i="9"/>
  <c r="K125" i="9"/>
  <c r="CB160" i="9"/>
  <c r="HJ73" i="7"/>
  <c r="HK73" i="7" s="1"/>
  <c r="GX73" i="7"/>
  <c r="GW74" i="7" s="1"/>
  <c r="HE73" i="7"/>
  <c r="HG73" i="7"/>
  <c r="HC74" i="7"/>
  <c r="GD73" i="7"/>
  <c r="GH72" i="7"/>
  <c r="GF73" i="7"/>
  <c r="FY73" i="7"/>
  <c r="FX74" i="7" s="1"/>
  <c r="GK73" i="7"/>
  <c r="GL73" i="7" s="1"/>
  <c r="EZ74" i="7"/>
  <c r="EY75" i="7" s="1"/>
  <c r="FL74" i="7"/>
  <c r="FM74" i="7" s="1"/>
  <c r="FG74" i="7"/>
  <c r="FE74" i="7"/>
  <c r="FI73" i="7"/>
  <c r="EH74" i="7"/>
  <c r="EM74" i="7"/>
  <c r="EN74" i="7" s="1"/>
  <c r="EA74" i="7"/>
  <c r="DZ75" i="7" s="1"/>
  <c r="EF75" i="7"/>
  <c r="EJ74" i="7"/>
  <c r="DG74" i="7"/>
  <c r="DK73" i="7"/>
  <c r="DN74" i="7"/>
  <c r="DO74" i="7" s="1"/>
  <c r="DB74" i="7"/>
  <c r="DA75" i="7" s="1"/>
  <c r="DI74" i="7"/>
  <c r="S152" i="8"/>
  <c r="L183" i="8" s="1"/>
  <c r="BQ152" i="8"/>
  <c r="L231" i="8" s="1"/>
  <c r="BI70" i="8"/>
  <c r="BM69" i="8"/>
  <c r="DN69" i="8"/>
  <c r="DO69" i="8" s="1"/>
  <c r="DI69" i="8"/>
  <c r="DB69" i="8"/>
  <c r="DA70" i="8" s="1"/>
  <c r="DK68" i="8"/>
  <c r="DG69" i="8"/>
  <c r="CH71" i="8"/>
  <c r="AJ71" i="8"/>
  <c r="AN70" i="8"/>
  <c r="BD152" i="8"/>
  <c r="L218" i="8" s="1"/>
  <c r="BC62" i="8"/>
  <c r="CB153" i="8"/>
  <c r="M241" i="8" s="1"/>
  <c r="DA153" i="8"/>
  <c r="M264" i="8" s="1"/>
  <c r="CO62" i="8"/>
  <c r="CJ62" i="8"/>
  <c r="CC62" i="8"/>
  <c r="CB63" i="8" s="1"/>
  <c r="CL62" i="8"/>
  <c r="F152" i="8"/>
  <c r="L170" i="8" s="1"/>
  <c r="E62" i="8"/>
  <c r="AD153" i="8"/>
  <c r="AE62" i="8"/>
  <c r="AD63" i="8" s="1"/>
  <c r="AL62" i="8"/>
  <c r="AQ62" i="8"/>
  <c r="AR62" i="8" s="1"/>
  <c r="K153" i="8"/>
  <c r="O68" i="8"/>
  <c r="K69" i="8"/>
  <c r="BD41" i="1"/>
  <c r="BC42" i="1" s="1"/>
  <c r="AR47" i="1"/>
  <c r="AR150" i="1" s="1"/>
  <c r="J206" i="1" s="1"/>
  <c r="AD48" i="1"/>
  <c r="AQ48" i="1" s="1"/>
  <c r="AE150" i="1"/>
  <c r="J193" i="1" s="1"/>
  <c r="J202" i="1"/>
  <c r="J192" i="1"/>
  <c r="S45" i="7"/>
  <c r="CP44" i="7"/>
  <c r="AQ49" i="7"/>
  <c r="AR49" i="7" s="1"/>
  <c r="AL49" i="7"/>
  <c r="AE49" i="7"/>
  <c r="AD50" i="7" s="1"/>
  <c r="CH51" i="7"/>
  <c r="BP45" i="7"/>
  <c r="BQ45" i="7" s="1"/>
  <c r="BD45" i="7"/>
  <c r="BC46" i="7" s="1"/>
  <c r="BK45" i="7"/>
  <c r="R46" i="7"/>
  <c r="M46" i="7"/>
  <c r="E47" i="7"/>
  <c r="F47" i="7" s="1"/>
  <c r="CO45" i="7"/>
  <c r="CJ45" i="7"/>
  <c r="CC45" i="7"/>
  <c r="CB46" i="7" s="1"/>
  <c r="CL45" i="7"/>
  <c r="K51" i="7"/>
  <c r="O51" i="7" s="1"/>
  <c r="AJ50" i="7"/>
  <c r="AN50" i="7" s="1"/>
  <c r="J426" i="7"/>
  <c r="H34" i="5" s="1"/>
  <c r="J394" i="7"/>
  <c r="J421" i="7" s="1"/>
  <c r="BI52" i="7"/>
  <c r="BM52" i="7" s="1"/>
  <c r="BP41" i="1"/>
  <c r="BQ41" i="1" s="1"/>
  <c r="BK41" i="1"/>
  <c r="AJ49" i="1"/>
  <c r="BP42" i="1"/>
  <c r="BK42" i="1"/>
  <c r="BD42" i="1"/>
  <c r="BC43" i="1" s="1"/>
  <c r="BI43" i="1"/>
  <c r="DX94" i="4"/>
  <c r="DZ94" i="4" s="1"/>
  <c r="CX122" i="4"/>
  <c r="CZ122" i="4" s="1"/>
  <c r="DX73" i="4"/>
  <c r="DZ73" i="4" s="1"/>
  <c r="CX94" i="4"/>
  <c r="CZ94" i="4" s="1"/>
  <c r="DR45" i="4"/>
  <c r="BU17" i="4"/>
  <c r="BW17" i="4" s="1"/>
  <c r="DR94" i="4"/>
  <c r="BT8" i="4"/>
  <c r="BX45" i="4"/>
  <c r="BZ45" i="4" s="1"/>
  <c r="BU129" i="4"/>
  <c r="BW129" i="4" s="1"/>
  <c r="T8" i="4"/>
  <c r="DT8" i="4"/>
  <c r="DT9" i="4" s="1"/>
  <c r="AM51" i="4"/>
  <c r="L335" i="4"/>
  <c r="BN10" i="4"/>
  <c r="BP10" i="4"/>
  <c r="BN9" i="4"/>
  <c r="BP9" i="4"/>
  <c r="DC95" i="4"/>
  <c r="DR95" i="4" s="1"/>
  <c r="DX45" i="4"/>
  <c r="DZ45" i="4" s="1"/>
  <c r="DX101" i="4"/>
  <c r="DZ101" i="4" s="1"/>
  <c r="DU101" i="4"/>
  <c r="DW101" i="4" s="1"/>
  <c r="AU52" i="4"/>
  <c r="AW52" i="4" s="1"/>
  <c r="DU122" i="4"/>
  <c r="DW122" i="4" s="1"/>
  <c r="P9" i="4"/>
  <c r="DN9" i="4"/>
  <c r="N9" i="4"/>
  <c r="DM51" i="4"/>
  <c r="BM51" i="4"/>
  <c r="CM51" i="4"/>
  <c r="BO51" i="4"/>
  <c r="CM50" i="4"/>
  <c r="BM50" i="4"/>
  <c r="AM50" i="4"/>
  <c r="DM50" i="4"/>
  <c r="M50" i="4"/>
  <c r="AO51" i="4"/>
  <c r="CO51" i="4"/>
  <c r="DO51" i="4"/>
  <c r="DM52" i="4"/>
  <c r="DX122" i="4"/>
  <c r="DZ122" i="4" s="1"/>
  <c r="DC53" i="4"/>
  <c r="DX53" i="4" s="1"/>
  <c r="DZ53" i="4" s="1"/>
  <c r="DC123" i="4"/>
  <c r="DU123" i="4" s="1"/>
  <c r="DW123" i="4" s="1"/>
  <c r="CC39" i="4"/>
  <c r="CC40" i="4" s="1"/>
  <c r="CO40" i="4" s="1"/>
  <c r="BO50" i="4"/>
  <c r="DO50" i="4"/>
  <c r="CO50" i="4"/>
  <c r="AO50" i="4"/>
  <c r="I11" i="3"/>
  <c r="AX101" i="4"/>
  <c r="AZ101" i="4" s="1"/>
  <c r="AX129" i="4"/>
  <c r="AZ129" i="4" s="1"/>
  <c r="AO38" i="4"/>
  <c r="AU101" i="4"/>
  <c r="AW101" i="4" s="1"/>
  <c r="CO52" i="4"/>
  <c r="AC130" i="4"/>
  <c r="AC102" i="4"/>
  <c r="AR102" i="4" s="1"/>
  <c r="AX38" i="4"/>
  <c r="AZ38" i="4" s="1"/>
  <c r="AM38" i="4"/>
  <c r="AR101" i="4"/>
  <c r="CM52" i="4"/>
  <c r="AC39" i="4"/>
  <c r="AM39" i="4" s="1"/>
  <c r="AU38" i="4"/>
  <c r="AW38" i="4" s="1"/>
  <c r="AU129" i="4"/>
  <c r="AW129" i="4" s="1"/>
  <c r="CU52" i="4"/>
  <c r="CW52" i="4" s="1"/>
  <c r="CX52" i="4"/>
  <c r="CZ52" i="4" s="1"/>
  <c r="BO52" i="4"/>
  <c r="CR52" i="4"/>
  <c r="CC123" i="4"/>
  <c r="CC95" i="4"/>
  <c r="CU95" i="4" s="1"/>
  <c r="CW95" i="4" s="1"/>
  <c r="AO52" i="4"/>
  <c r="CR122" i="4"/>
  <c r="BR52" i="4"/>
  <c r="BX122" i="4"/>
  <c r="BZ122" i="4" s="1"/>
  <c r="BX94" i="4"/>
  <c r="BZ94" i="4" s="1"/>
  <c r="AX52" i="4"/>
  <c r="AZ52" i="4" s="1"/>
  <c r="BU122" i="4"/>
  <c r="BW122" i="4" s="1"/>
  <c r="AM52" i="4"/>
  <c r="CR94" i="4"/>
  <c r="BM52" i="4"/>
  <c r="BC53" i="4"/>
  <c r="BX53" i="4" s="1"/>
  <c r="BZ53" i="4" s="1"/>
  <c r="BC123" i="4"/>
  <c r="BR123" i="4" s="1"/>
  <c r="BX52" i="4"/>
  <c r="BZ52" i="4" s="1"/>
  <c r="AR52" i="4"/>
  <c r="BG10" i="4"/>
  <c r="BF11" i="4" s="1"/>
  <c r="BN11" i="4" s="1"/>
  <c r="BS10" i="4"/>
  <c r="DC46" i="4"/>
  <c r="DU46" i="4" s="1"/>
  <c r="DU45" i="4"/>
  <c r="DW45" i="4" s="1"/>
  <c r="CX45" i="4"/>
  <c r="CZ45" i="4" s="1"/>
  <c r="DL9" i="4"/>
  <c r="DU73" i="4"/>
  <c r="DW73" i="4" s="1"/>
  <c r="CU129" i="4"/>
  <c r="CW129" i="4" s="1"/>
  <c r="DM45" i="4"/>
  <c r="BM45" i="4"/>
  <c r="CO45" i="4"/>
  <c r="CU115" i="4"/>
  <c r="CW115" i="4" s="1"/>
  <c r="DC102" i="4"/>
  <c r="DX102" i="4" s="1"/>
  <c r="DZ102" i="4" s="1"/>
  <c r="DR73" i="4"/>
  <c r="CX73" i="4"/>
  <c r="CZ73" i="4" s="1"/>
  <c r="U38" i="4"/>
  <c r="W38" i="4" s="1"/>
  <c r="AR122" i="4"/>
  <c r="CC74" i="4"/>
  <c r="CX74" i="4" s="1"/>
  <c r="CZ74" i="4" s="1"/>
  <c r="CU38" i="4"/>
  <c r="CW38" i="4" s="1"/>
  <c r="R115" i="4"/>
  <c r="CX38" i="4"/>
  <c r="CZ38" i="4" s="1"/>
  <c r="BX17" i="4"/>
  <c r="BZ17" i="4" s="1"/>
  <c r="BC46" i="4"/>
  <c r="BO46" i="4" s="1"/>
  <c r="BX73" i="4"/>
  <c r="BZ73" i="4" s="1"/>
  <c r="CC130" i="4"/>
  <c r="CX130" i="4" s="1"/>
  <c r="CZ130" i="4" s="1"/>
  <c r="AU73" i="4"/>
  <c r="AW73" i="4" s="1"/>
  <c r="BO45" i="4"/>
  <c r="BR17" i="4"/>
  <c r="BC18" i="4"/>
  <c r="BO18" i="4" s="1"/>
  <c r="BU101" i="4"/>
  <c r="BW101" i="4" s="1"/>
  <c r="CO38" i="4"/>
  <c r="BC130" i="4"/>
  <c r="BX130" i="4" s="1"/>
  <c r="BZ130" i="4" s="1"/>
  <c r="BR73" i="4"/>
  <c r="X115" i="4"/>
  <c r="Z115" i="4" s="1"/>
  <c r="U115" i="4"/>
  <c r="W115" i="4" s="1"/>
  <c r="CX101" i="4"/>
  <c r="CZ101" i="4" s="1"/>
  <c r="BC74" i="4"/>
  <c r="BU74" i="4" s="1"/>
  <c r="CR129" i="4"/>
  <c r="CU101" i="4"/>
  <c r="CW101" i="4" s="1"/>
  <c r="AR73" i="4"/>
  <c r="AC74" i="4"/>
  <c r="AX74" i="4" s="1"/>
  <c r="AZ74" i="4" s="1"/>
  <c r="BR45" i="4"/>
  <c r="BM17" i="4"/>
  <c r="BC102" i="4"/>
  <c r="BX102" i="4" s="1"/>
  <c r="BZ102" i="4" s="1"/>
  <c r="CM38" i="4"/>
  <c r="BU73" i="4"/>
  <c r="BW73" i="4" s="1"/>
  <c r="BX129" i="4"/>
  <c r="BZ129" i="4" s="1"/>
  <c r="CC102" i="4"/>
  <c r="CU102" i="4" s="1"/>
  <c r="CW102" i="4" s="1"/>
  <c r="CX39" i="4"/>
  <c r="CZ39" i="4" s="1"/>
  <c r="CX129" i="4"/>
  <c r="CZ129" i="4" s="1"/>
  <c r="AX73" i="4"/>
  <c r="AZ73" i="4" s="1"/>
  <c r="AL9" i="4"/>
  <c r="AP9" i="4" s="1"/>
  <c r="BC95" i="4"/>
  <c r="CC46" i="4"/>
  <c r="CU46" i="4" s="1"/>
  <c r="AX122" i="4"/>
  <c r="AZ122" i="4" s="1"/>
  <c r="CF9" i="4"/>
  <c r="DU129" i="4"/>
  <c r="DW129" i="4" s="1"/>
  <c r="BR94" i="4"/>
  <c r="AR94" i="4"/>
  <c r="CR73" i="4"/>
  <c r="DO52" i="4"/>
  <c r="CM45" i="4"/>
  <c r="BS9" i="4"/>
  <c r="AX94" i="4"/>
  <c r="AZ94" i="4" s="1"/>
  <c r="AC123" i="4"/>
  <c r="AS9" i="4"/>
  <c r="AT9" i="4" s="1"/>
  <c r="DC130" i="4"/>
  <c r="DX130" i="4" s="1"/>
  <c r="DZ130" i="4" s="1"/>
  <c r="DU52" i="4"/>
  <c r="DW52" i="4" s="1"/>
  <c r="CU45" i="4"/>
  <c r="CW45" i="4" s="1"/>
  <c r="CR115" i="4"/>
  <c r="L10" i="4"/>
  <c r="AC95" i="4"/>
  <c r="DX52" i="4"/>
  <c r="DZ52" i="4" s="1"/>
  <c r="DG9" i="4"/>
  <c r="DF10" i="4" s="1"/>
  <c r="DN10" i="4" s="1"/>
  <c r="DX129" i="4"/>
  <c r="DZ129" i="4" s="1"/>
  <c r="T9" i="4"/>
  <c r="U116" i="4"/>
  <c r="W116" i="4" s="1"/>
  <c r="CC18" i="4"/>
  <c r="CU18" i="4" s="1"/>
  <c r="CW18" i="4" s="1"/>
  <c r="C117" i="4"/>
  <c r="C118" i="4" s="1"/>
  <c r="U87" i="4"/>
  <c r="W87" i="4" s="1"/>
  <c r="X87" i="4"/>
  <c r="Z87" i="4" s="1"/>
  <c r="X116" i="4"/>
  <c r="Z116" i="4" s="1"/>
  <c r="O38" i="4"/>
  <c r="M38" i="4"/>
  <c r="X38" i="4"/>
  <c r="Z38" i="4" s="1"/>
  <c r="DX39" i="4"/>
  <c r="DZ39" i="4" s="1"/>
  <c r="R38" i="4"/>
  <c r="BR80" i="4"/>
  <c r="BU80" i="4"/>
  <c r="BW80" i="4" s="1"/>
  <c r="CU59" i="4"/>
  <c r="CW59" i="4" s="1"/>
  <c r="CR59" i="4"/>
  <c r="CM59" i="4"/>
  <c r="DR24" i="4"/>
  <c r="DO24" i="4"/>
  <c r="DU24" i="4"/>
  <c r="DW24" i="4" s="1"/>
  <c r="DM24" i="4"/>
  <c r="BU24" i="4"/>
  <c r="BW24" i="4" s="1"/>
  <c r="BO24" i="4"/>
  <c r="BR24" i="4"/>
  <c r="BM24" i="4"/>
  <c r="BO10" i="4"/>
  <c r="BX10" i="4"/>
  <c r="BZ10" i="4" s="1"/>
  <c r="BU10" i="4"/>
  <c r="BW10" i="4" s="1"/>
  <c r="BR10" i="4"/>
  <c r="AU87" i="4"/>
  <c r="AW87" i="4" s="1"/>
  <c r="AR87" i="4"/>
  <c r="BU66" i="4"/>
  <c r="BW66" i="4" s="1"/>
  <c r="BR66" i="4"/>
  <c r="AO31" i="4"/>
  <c r="AU31" i="4"/>
  <c r="AW31" i="4" s="1"/>
  <c r="AM31" i="4"/>
  <c r="AR31" i="4"/>
  <c r="AM24" i="4"/>
  <c r="AO24" i="4"/>
  <c r="AU24" i="4"/>
  <c r="AW24" i="4" s="1"/>
  <c r="AR24" i="4"/>
  <c r="BC39" i="4"/>
  <c r="BU38" i="4"/>
  <c r="BW38" i="4" s="1"/>
  <c r="BM38" i="4"/>
  <c r="BR38" i="4"/>
  <c r="BO38" i="4"/>
  <c r="DX87" i="4"/>
  <c r="DZ87" i="4" s="1"/>
  <c r="DR87" i="4"/>
  <c r="DU87" i="4"/>
  <c r="DW87" i="4" s="1"/>
  <c r="DR108" i="4"/>
  <c r="DU108" i="4"/>
  <c r="DW108" i="4" s="1"/>
  <c r="AR80" i="4"/>
  <c r="AU80" i="4"/>
  <c r="AW80" i="4" s="1"/>
  <c r="BX38" i="4"/>
  <c r="BZ38" i="4" s="1"/>
  <c r="DU95" i="4"/>
  <c r="DW95" i="4" s="1"/>
  <c r="BR59" i="4"/>
  <c r="BU59" i="4"/>
  <c r="BW59" i="4" s="1"/>
  <c r="BM59" i="4"/>
  <c r="AU10" i="4"/>
  <c r="AW10" i="4" s="1"/>
  <c r="AO10" i="4"/>
  <c r="AR10" i="4"/>
  <c r="CU87" i="4"/>
  <c r="CW87" i="4" s="1"/>
  <c r="CR87" i="4"/>
  <c r="CU116" i="4"/>
  <c r="CW116" i="4" s="1"/>
  <c r="CR116" i="4"/>
  <c r="DC18" i="4"/>
  <c r="DX18" i="4" s="1"/>
  <c r="DZ18" i="4" s="1"/>
  <c r="DU17" i="4"/>
  <c r="DW17" i="4" s="1"/>
  <c r="DR17" i="4"/>
  <c r="DM17" i="4"/>
  <c r="DO17" i="4"/>
  <c r="AC54" i="4"/>
  <c r="AU53" i="4"/>
  <c r="AM53" i="4"/>
  <c r="AO53" i="4"/>
  <c r="AR53" i="4"/>
  <c r="AX53" i="4"/>
  <c r="AZ53" i="4" s="1"/>
  <c r="BR31" i="4"/>
  <c r="BO31" i="4"/>
  <c r="BU31" i="4"/>
  <c r="BW31" i="4" s="1"/>
  <c r="BM31" i="4"/>
  <c r="CU108" i="4"/>
  <c r="CW108" i="4" s="1"/>
  <c r="CR108" i="4"/>
  <c r="DR80" i="4"/>
  <c r="DU80" i="4"/>
  <c r="DW80" i="4" s="1"/>
  <c r="BR115" i="4"/>
  <c r="BU115" i="4"/>
  <c r="BW115" i="4" s="1"/>
  <c r="AU59" i="4"/>
  <c r="AW59" i="4" s="1"/>
  <c r="AM59" i="4"/>
  <c r="AR59" i="4"/>
  <c r="CR66" i="4"/>
  <c r="CU66" i="4"/>
  <c r="CW66" i="4" s="1"/>
  <c r="CU24" i="4"/>
  <c r="CW24" i="4" s="1"/>
  <c r="CM24" i="4"/>
  <c r="CO24" i="4"/>
  <c r="CR24" i="4"/>
  <c r="DU10" i="4"/>
  <c r="DW10" i="4" s="1"/>
  <c r="DR10" i="4"/>
  <c r="DO10" i="4"/>
  <c r="AU45" i="4"/>
  <c r="AW45" i="4" s="1"/>
  <c r="AM45" i="4"/>
  <c r="AO45" i="4"/>
  <c r="AR45" i="4"/>
  <c r="AU39" i="4"/>
  <c r="AW39" i="4" s="1"/>
  <c r="CU31" i="4"/>
  <c r="CW31" i="4" s="1"/>
  <c r="CO31" i="4"/>
  <c r="CR31" i="4"/>
  <c r="CM31" i="4"/>
  <c r="U10" i="4"/>
  <c r="W10" i="4" s="1"/>
  <c r="R10" i="4"/>
  <c r="DU66" i="4"/>
  <c r="DW66" i="4" s="1"/>
  <c r="DR66" i="4"/>
  <c r="DR115" i="4"/>
  <c r="DU115" i="4"/>
  <c r="DW115" i="4" s="1"/>
  <c r="AC18" i="4"/>
  <c r="AU17" i="4"/>
  <c r="AW17" i="4" s="1"/>
  <c r="AX17" i="4"/>
  <c r="AZ17" i="4" s="1"/>
  <c r="AM17" i="4"/>
  <c r="AO17" i="4"/>
  <c r="AR17" i="4"/>
  <c r="CU17" i="4"/>
  <c r="CW17" i="4" s="1"/>
  <c r="CM17" i="4"/>
  <c r="CO17" i="4"/>
  <c r="CR17" i="4"/>
  <c r="DC75" i="4"/>
  <c r="DU74" i="4"/>
  <c r="DR74" i="4"/>
  <c r="DM53" i="4"/>
  <c r="AU108" i="4"/>
  <c r="AW108" i="4" s="1"/>
  <c r="AR108" i="4"/>
  <c r="DR40" i="4"/>
  <c r="DU40" i="4"/>
  <c r="DO40" i="4"/>
  <c r="DM40" i="4"/>
  <c r="DR31" i="4"/>
  <c r="DU31" i="4"/>
  <c r="DW31" i="4" s="1"/>
  <c r="DO31" i="4"/>
  <c r="DM31" i="4"/>
  <c r="AX115" i="4"/>
  <c r="AZ115" i="4" s="1"/>
  <c r="AU115" i="4"/>
  <c r="AW115" i="4" s="1"/>
  <c r="AR115" i="4"/>
  <c r="BR108" i="4"/>
  <c r="BU108" i="4"/>
  <c r="BW108" i="4" s="1"/>
  <c r="AC116" i="4"/>
  <c r="CU80" i="4"/>
  <c r="CW80" i="4" s="1"/>
  <c r="CR80" i="4"/>
  <c r="BR87" i="4"/>
  <c r="BU87" i="4"/>
  <c r="BW87" i="4" s="1"/>
  <c r="DR59" i="4"/>
  <c r="DU59" i="4"/>
  <c r="DW59" i="4" s="1"/>
  <c r="DM59" i="4"/>
  <c r="CO10" i="4"/>
  <c r="CU10" i="4"/>
  <c r="CW10" i="4" s="1"/>
  <c r="CR10" i="4"/>
  <c r="DC88" i="4"/>
  <c r="DX88" i="4" s="1"/>
  <c r="DZ88" i="4" s="1"/>
  <c r="AU66" i="4"/>
  <c r="AW66" i="4" s="1"/>
  <c r="AR66" i="4"/>
  <c r="CM40" i="4"/>
  <c r="C88" i="4"/>
  <c r="R88" i="4" s="1"/>
  <c r="DR39" i="4"/>
  <c r="DU39" i="4"/>
  <c r="DW39" i="4" s="1"/>
  <c r="DO39" i="4"/>
  <c r="DM39" i="4"/>
  <c r="CC54" i="4"/>
  <c r="CU53" i="4"/>
  <c r="CM53" i="4"/>
  <c r="CO53" i="4"/>
  <c r="CR53" i="4"/>
  <c r="G9" i="4"/>
  <c r="F10" i="4" s="1"/>
  <c r="N10" i="4" s="1"/>
  <c r="O43" i="4"/>
  <c r="C18" i="4"/>
  <c r="X18" i="4" s="1"/>
  <c r="Z18" i="4" s="1"/>
  <c r="X17" i="4"/>
  <c r="Z17" i="4" s="1"/>
  <c r="R17" i="4"/>
  <c r="O17" i="4"/>
  <c r="M17" i="4"/>
  <c r="CX87" i="4"/>
  <c r="CZ87" i="4" s="1"/>
  <c r="CC88" i="4"/>
  <c r="CX116" i="4"/>
  <c r="CZ116" i="4" s="1"/>
  <c r="CC117" i="4"/>
  <c r="DX115" i="4"/>
  <c r="DZ115" i="4" s="1"/>
  <c r="DC116" i="4"/>
  <c r="AX80" i="4"/>
  <c r="AZ80" i="4" s="1"/>
  <c r="AC81" i="4"/>
  <c r="CX31" i="4"/>
  <c r="CZ31" i="4" s="1"/>
  <c r="CC32" i="4"/>
  <c r="CX108" i="4"/>
  <c r="CZ108" i="4" s="1"/>
  <c r="CC109" i="4"/>
  <c r="C124" i="4"/>
  <c r="U123" i="4"/>
  <c r="W123" i="4" s="1"/>
  <c r="X123" i="4"/>
  <c r="Z123" i="4" s="1"/>
  <c r="R123" i="4"/>
  <c r="R73" i="4"/>
  <c r="C74" i="4"/>
  <c r="CW73" i="4"/>
  <c r="U73" i="4"/>
  <c r="W73" i="4" s="1"/>
  <c r="X73" i="4"/>
  <c r="Z73" i="4" s="1"/>
  <c r="DX80" i="4"/>
  <c r="DZ80" i="4" s="1"/>
  <c r="DC81" i="4"/>
  <c r="X80" i="4"/>
  <c r="Z80" i="4" s="1"/>
  <c r="R80" i="4"/>
  <c r="C81" i="4"/>
  <c r="U80" i="4"/>
  <c r="W80" i="4" s="1"/>
  <c r="BX115" i="4"/>
  <c r="BZ115" i="4" s="1"/>
  <c r="BC116" i="4"/>
  <c r="CX95" i="4"/>
  <c r="CZ95" i="4" s="1"/>
  <c r="C96" i="4"/>
  <c r="U95" i="4"/>
  <c r="W95" i="4" s="1"/>
  <c r="X95" i="4"/>
  <c r="Z95" i="4" s="1"/>
  <c r="R95" i="4"/>
  <c r="AX59" i="4"/>
  <c r="AZ59" i="4" s="1"/>
  <c r="AC60" i="4"/>
  <c r="CC25" i="4"/>
  <c r="CX24" i="4"/>
  <c r="CZ24" i="4" s="1"/>
  <c r="BC25" i="4"/>
  <c r="BX24" i="4"/>
  <c r="BZ24" i="4" s="1"/>
  <c r="BC11" i="4"/>
  <c r="AX45" i="4"/>
  <c r="AZ45" i="4" s="1"/>
  <c r="AC46" i="4"/>
  <c r="BC67" i="4"/>
  <c r="BX66" i="4"/>
  <c r="BZ66" i="4" s="1"/>
  <c r="AC40" i="4"/>
  <c r="CL9" i="4"/>
  <c r="DC67" i="4"/>
  <c r="DX66" i="4"/>
  <c r="DZ66" i="4" s="1"/>
  <c r="BX108" i="4"/>
  <c r="BZ108" i="4" s="1"/>
  <c r="BC109" i="4"/>
  <c r="AC131" i="4"/>
  <c r="C103" i="4"/>
  <c r="U102" i="4"/>
  <c r="W102" i="4" s="1"/>
  <c r="R102" i="4"/>
  <c r="X102" i="4"/>
  <c r="Z102" i="4" s="1"/>
  <c r="CX80" i="4"/>
  <c r="CZ80" i="4" s="1"/>
  <c r="CC81" i="4"/>
  <c r="R52" i="4"/>
  <c r="M52" i="4"/>
  <c r="C53" i="4"/>
  <c r="BW52" i="4"/>
  <c r="U52" i="4"/>
  <c r="W52" i="4" s="1"/>
  <c r="O52" i="4"/>
  <c r="X52" i="4"/>
  <c r="Z52" i="4" s="1"/>
  <c r="DX59" i="4"/>
  <c r="DZ59" i="4" s="1"/>
  <c r="DC60" i="4"/>
  <c r="X59" i="4"/>
  <c r="Z59" i="4" s="1"/>
  <c r="R59" i="4"/>
  <c r="M59" i="4"/>
  <c r="C60" i="4"/>
  <c r="U59" i="4"/>
  <c r="W59" i="4" s="1"/>
  <c r="BW45" i="4"/>
  <c r="R45" i="4"/>
  <c r="M45" i="4"/>
  <c r="U45" i="4"/>
  <c r="W45" i="4" s="1"/>
  <c r="O45" i="4"/>
  <c r="C46" i="4"/>
  <c r="X45" i="4"/>
  <c r="Z45" i="4" s="1"/>
  <c r="R39" i="4"/>
  <c r="M39" i="4"/>
  <c r="U39" i="4"/>
  <c r="W39" i="4" s="1"/>
  <c r="O39" i="4"/>
  <c r="X39" i="4"/>
  <c r="Z39" i="4" s="1"/>
  <c r="C40" i="4"/>
  <c r="DC41" i="4"/>
  <c r="DX40" i="4"/>
  <c r="DZ40" i="4" s="1"/>
  <c r="DC32" i="4"/>
  <c r="DX31" i="4"/>
  <c r="DZ31" i="4" s="1"/>
  <c r="BX31" i="4"/>
  <c r="BZ31" i="4" s="1"/>
  <c r="BC32" i="4"/>
  <c r="R24" i="4"/>
  <c r="M24" i="4"/>
  <c r="U24" i="4"/>
  <c r="W24" i="4" s="1"/>
  <c r="C25" i="4"/>
  <c r="O24" i="4"/>
  <c r="X24" i="4"/>
  <c r="Z24" i="4" s="1"/>
  <c r="DX108" i="4"/>
  <c r="DZ108" i="4" s="1"/>
  <c r="DC109" i="4"/>
  <c r="X108" i="4"/>
  <c r="Z108" i="4" s="1"/>
  <c r="R108" i="4"/>
  <c r="C109" i="4"/>
  <c r="U108" i="4"/>
  <c r="W108" i="4" s="1"/>
  <c r="BX59" i="4"/>
  <c r="BZ59" i="4" s="1"/>
  <c r="BC60" i="4"/>
  <c r="CC67" i="4"/>
  <c r="CX66" i="4"/>
  <c r="CZ66" i="4" s="1"/>
  <c r="CX10" i="4"/>
  <c r="CZ10" i="4" s="1"/>
  <c r="CC11" i="4"/>
  <c r="C11" i="4"/>
  <c r="X10" i="4"/>
  <c r="Z10" i="4" s="1"/>
  <c r="O10" i="4"/>
  <c r="C328" i="4"/>
  <c r="R129" i="4"/>
  <c r="C130" i="4"/>
  <c r="U129" i="4"/>
  <c r="W129" i="4" s="1"/>
  <c r="X129" i="4"/>
  <c r="Z129" i="4" s="1"/>
  <c r="AX108" i="4"/>
  <c r="AZ108" i="4" s="1"/>
  <c r="AC109" i="4"/>
  <c r="BX80" i="4"/>
  <c r="BZ80" i="4" s="1"/>
  <c r="BC81" i="4"/>
  <c r="DC96" i="4"/>
  <c r="BX87" i="4"/>
  <c r="BZ87" i="4" s="1"/>
  <c r="BC88" i="4"/>
  <c r="CX59" i="4"/>
  <c r="CZ59" i="4" s="1"/>
  <c r="CC60" i="4"/>
  <c r="R31" i="4"/>
  <c r="M31" i="4"/>
  <c r="U31" i="4"/>
  <c r="W31" i="4" s="1"/>
  <c r="C32" i="4"/>
  <c r="O31" i="4"/>
  <c r="X31" i="4"/>
  <c r="Z31" i="4" s="1"/>
  <c r="DC25" i="4"/>
  <c r="DX24" i="4"/>
  <c r="DZ24" i="4" s="1"/>
  <c r="DX10" i="4"/>
  <c r="DZ10" i="4" s="1"/>
  <c r="DC11" i="4"/>
  <c r="AX87" i="4"/>
  <c r="AZ87" i="4" s="1"/>
  <c r="AC88" i="4"/>
  <c r="AC11" i="4"/>
  <c r="AX10" i="4"/>
  <c r="AZ10" i="4" s="1"/>
  <c r="AC32" i="4"/>
  <c r="AX31" i="4"/>
  <c r="AZ31" i="4" s="1"/>
  <c r="C67" i="4"/>
  <c r="U66" i="4"/>
  <c r="W66" i="4" s="1"/>
  <c r="X66" i="4"/>
  <c r="Z66" i="4" s="1"/>
  <c r="R66" i="4"/>
  <c r="AC67" i="4"/>
  <c r="AX66" i="4"/>
  <c r="AZ66" i="4" s="1"/>
  <c r="AX24" i="4"/>
  <c r="AZ24" i="4" s="1"/>
  <c r="AC25" i="4"/>
  <c r="DG127" i="9" l="1"/>
  <c r="DK126" i="9"/>
  <c r="DB126" i="9"/>
  <c r="DA127" i="9" s="1"/>
  <c r="DN126" i="9"/>
  <c r="DO126" i="9" s="1"/>
  <c r="DI126" i="9"/>
  <c r="CL127" i="9"/>
  <c r="CH128" i="9"/>
  <c r="CO127" i="9"/>
  <c r="CP127" i="9" s="1"/>
  <c r="CC127" i="9"/>
  <c r="CB128" i="9" s="1"/>
  <c r="CJ127" i="9"/>
  <c r="BP126" i="9"/>
  <c r="BQ126" i="9" s="1"/>
  <c r="BD126" i="9"/>
  <c r="BC127" i="9" s="1"/>
  <c r="BK126" i="9"/>
  <c r="BI128" i="9"/>
  <c r="BM128" i="9" s="1"/>
  <c r="AJ127" i="9"/>
  <c r="AN126" i="9"/>
  <c r="AQ126" i="9"/>
  <c r="AR126" i="9" s="1"/>
  <c r="AE126" i="9"/>
  <c r="AD127" i="9" s="1"/>
  <c r="AL126" i="9"/>
  <c r="K126" i="9"/>
  <c r="O125" i="9"/>
  <c r="E160" i="9"/>
  <c r="M160" i="9" s="1"/>
  <c r="R111" i="9"/>
  <c r="S111" i="9" s="1"/>
  <c r="E112" i="9"/>
  <c r="F112" i="9" s="1"/>
  <c r="M111" i="9"/>
  <c r="S293" i="9"/>
  <c r="S327" i="9"/>
  <c r="S344" i="9" s="1"/>
  <c r="Q12" i="5" s="1"/>
  <c r="U175" i="9"/>
  <c r="U298" i="9" s="1"/>
  <c r="T192" i="9"/>
  <c r="AQ160" i="9"/>
  <c r="T205" i="9" s="1"/>
  <c r="AN160" i="9"/>
  <c r="T202" i="9" s="1"/>
  <c r="BC160" i="9"/>
  <c r="T241" i="9"/>
  <c r="CO160" i="9"/>
  <c r="T254" i="9" s="1"/>
  <c r="CP45" i="7"/>
  <c r="HJ74" i="7"/>
  <c r="HK74" i="7" s="1"/>
  <c r="HE74" i="7"/>
  <c r="GX74" i="7"/>
  <c r="GW75" i="7" s="1"/>
  <c r="HC75" i="7"/>
  <c r="HG74" i="7"/>
  <c r="GH73" i="7"/>
  <c r="GD74" i="7"/>
  <c r="GK74" i="7"/>
  <c r="GL74" i="7" s="1"/>
  <c r="FY74" i="7"/>
  <c r="FX75" i="7" s="1"/>
  <c r="GF74" i="7"/>
  <c r="EZ75" i="7"/>
  <c r="EY76" i="7" s="1"/>
  <c r="EY155" i="7" s="1"/>
  <c r="O312" i="7" s="1"/>
  <c r="FG75" i="7"/>
  <c r="FL75" i="7"/>
  <c r="FM75" i="7" s="1"/>
  <c r="FI74" i="7"/>
  <c r="FE75" i="7"/>
  <c r="EM75" i="7"/>
  <c r="EN75" i="7" s="1"/>
  <c r="EA75" i="7"/>
  <c r="DZ76" i="7" s="1"/>
  <c r="EH75" i="7"/>
  <c r="EF76" i="7"/>
  <c r="EJ75" i="7"/>
  <c r="DK74" i="7"/>
  <c r="DG75" i="7"/>
  <c r="DN75" i="7"/>
  <c r="DO75" i="7" s="1"/>
  <c r="DB75" i="7"/>
  <c r="DA76" i="7" s="1"/>
  <c r="DI75" i="7"/>
  <c r="AQ63" i="8"/>
  <c r="AE63" i="8"/>
  <c r="AD64" i="8" s="1"/>
  <c r="AL63" i="8"/>
  <c r="DG70" i="8"/>
  <c r="DK69" i="8"/>
  <c r="M175" i="8"/>
  <c r="M296" i="8" s="1"/>
  <c r="M192" i="8"/>
  <c r="AQ153" i="8"/>
  <c r="M205" i="8" s="1"/>
  <c r="AN153" i="8"/>
  <c r="M202" i="8" s="1"/>
  <c r="CO63" i="8"/>
  <c r="CC63" i="8"/>
  <c r="CB64" i="8" s="1"/>
  <c r="CJ63" i="8"/>
  <c r="CL63" i="8"/>
  <c r="AN71" i="8"/>
  <c r="AJ72" i="8"/>
  <c r="AR63" i="8"/>
  <c r="E153" i="8"/>
  <c r="O153" i="8" s="1"/>
  <c r="M179" i="8" s="1"/>
  <c r="R62" i="8"/>
  <c r="S62" i="8" s="1"/>
  <c r="F62" i="8"/>
  <c r="E63" i="8" s="1"/>
  <c r="M62" i="8"/>
  <c r="BC153" i="8"/>
  <c r="BP62" i="8"/>
  <c r="BQ62" i="8" s="1"/>
  <c r="BD62" i="8"/>
  <c r="BC63" i="8" s="1"/>
  <c r="BK62" i="8"/>
  <c r="CH72" i="8"/>
  <c r="DN70" i="8"/>
  <c r="DO70" i="8" s="1"/>
  <c r="DB70" i="8"/>
  <c r="DA71" i="8" s="1"/>
  <c r="DI70" i="8"/>
  <c r="BM70" i="8"/>
  <c r="BI71" i="8"/>
  <c r="K70" i="8"/>
  <c r="O69" i="8"/>
  <c r="L291" i="8"/>
  <c r="L325" i="8"/>
  <c r="CP62" i="8"/>
  <c r="CP63" i="8" s="1"/>
  <c r="AL48" i="1"/>
  <c r="AD151" i="1"/>
  <c r="K192" i="1" s="1"/>
  <c r="AE48" i="1"/>
  <c r="AD49" i="1" s="1"/>
  <c r="AE49" i="1" s="1"/>
  <c r="AD50" i="1" s="1"/>
  <c r="AE50" i="1" s="1"/>
  <c r="AD51" i="1" s="1"/>
  <c r="AR48" i="1"/>
  <c r="S46" i="7"/>
  <c r="AL50" i="7"/>
  <c r="AQ50" i="7"/>
  <c r="AR50" i="7" s="1"/>
  <c r="AE50" i="7"/>
  <c r="AD51" i="7" s="1"/>
  <c r="BI53" i="7"/>
  <c r="BM53" i="7" s="1"/>
  <c r="AJ51" i="7"/>
  <c r="AN51" i="7" s="1"/>
  <c r="CO46" i="7"/>
  <c r="CJ46" i="7"/>
  <c r="CC46" i="7"/>
  <c r="CB47" i="7" s="1"/>
  <c r="CL46" i="7"/>
  <c r="M47" i="7"/>
  <c r="R47" i="7"/>
  <c r="CH52" i="7"/>
  <c r="K52" i="7"/>
  <c r="O52" i="7" s="1"/>
  <c r="BP46" i="7"/>
  <c r="BQ46" i="7" s="1"/>
  <c r="BD46" i="7"/>
  <c r="BC47" i="7" s="1"/>
  <c r="BK46" i="7"/>
  <c r="AJ50" i="1"/>
  <c r="BQ42" i="1"/>
  <c r="BP43" i="1"/>
  <c r="BK43" i="1"/>
  <c r="BD43" i="1"/>
  <c r="BC44" i="1" s="1"/>
  <c r="BI44" i="1"/>
  <c r="DC103" i="4"/>
  <c r="DR53" i="4"/>
  <c r="DC54" i="4"/>
  <c r="DX123" i="4"/>
  <c r="DZ123" i="4" s="1"/>
  <c r="AC75" i="4"/>
  <c r="AC103" i="4"/>
  <c r="BM53" i="4"/>
  <c r="M335" i="4"/>
  <c r="DU130" i="4"/>
  <c r="DW130" i="4" s="1"/>
  <c r="DM46" i="4"/>
  <c r="DR123" i="4"/>
  <c r="CP9" i="4"/>
  <c r="DC124" i="4"/>
  <c r="DU124" i="4" s="1"/>
  <c r="DW124" i="4" s="1"/>
  <c r="CR74" i="4"/>
  <c r="CM46" i="4"/>
  <c r="BT9" i="4"/>
  <c r="BT10" i="4" s="1"/>
  <c r="R11" i="4"/>
  <c r="CC41" i="4"/>
  <c r="CR41" i="4" s="1"/>
  <c r="DX95" i="4"/>
  <c r="DZ95" i="4" s="1"/>
  <c r="DC47" i="4"/>
  <c r="DM47" i="4" s="1"/>
  <c r="CR39" i="4"/>
  <c r="BC54" i="4"/>
  <c r="BU54" i="4" s="1"/>
  <c r="DO53" i="4"/>
  <c r="DU53" i="4"/>
  <c r="DW53" i="4" s="1"/>
  <c r="BR46" i="4"/>
  <c r="L11" i="4"/>
  <c r="P10" i="4"/>
  <c r="CG9" i="4"/>
  <c r="CF10" i="4" s="1"/>
  <c r="CS10" i="4" s="1"/>
  <c r="CN9" i="4"/>
  <c r="DL10" i="4"/>
  <c r="DP9" i="4"/>
  <c r="AG9" i="4"/>
  <c r="BP11" i="4"/>
  <c r="CO59" i="4"/>
  <c r="DM57" i="4"/>
  <c r="CM57" i="4"/>
  <c r="BM57" i="4"/>
  <c r="AM57" i="4"/>
  <c r="M57" i="4"/>
  <c r="M58" i="4"/>
  <c r="CM58" i="4"/>
  <c r="DM58" i="4"/>
  <c r="BM58" i="4"/>
  <c r="AM58" i="4"/>
  <c r="DO59" i="4"/>
  <c r="AO59" i="4"/>
  <c r="BO59" i="4"/>
  <c r="CO39" i="4"/>
  <c r="CR130" i="4"/>
  <c r="CU40" i="4"/>
  <c r="CW40" i="4" s="1"/>
  <c r="AU130" i="4"/>
  <c r="AW130" i="4" s="1"/>
  <c r="CU123" i="4"/>
  <c r="CW123" i="4" s="1"/>
  <c r="AO39" i="4"/>
  <c r="CC124" i="4"/>
  <c r="CU39" i="4"/>
  <c r="CW39" i="4" s="1"/>
  <c r="CR40" i="4"/>
  <c r="AR130" i="4"/>
  <c r="AR39" i="4"/>
  <c r="CX40" i="4"/>
  <c r="CZ40" i="4" s="1"/>
  <c r="AX130" i="4"/>
  <c r="AZ130" i="4" s="1"/>
  <c r="AX39" i="4"/>
  <c r="AZ39" i="4" s="1"/>
  <c r="CM39" i="4"/>
  <c r="DO57" i="4"/>
  <c r="CO57" i="4"/>
  <c r="AO57" i="4"/>
  <c r="BO57" i="4"/>
  <c r="I12" i="3"/>
  <c r="CO58" i="4"/>
  <c r="BO58" i="4"/>
  <c r="AO58" i="4"/>
  <c r="DO58" i="4"/>
  <c r="BX123" i="4"/>
  <c r="BZ123" i="4" s="1"/>
  <c r="DC131" i="4"/>
  <c r="DU131" i="4" s="1"/>
  <c r="AU102" i="4"/>
  <c r="AW102" i="4" s="1"/>
  <c r="BC124" i="4"/>
  <c r="BR124" i="4" s="1"/>
  <c r="CX102" i="4"/>
  <c r="CZ102" i="4" s="1"/>
  <c r="AL10" i="4"/>
  <c r="DR102" i="4"/>
  <c r="CR123" i="4"/>
  <c r="BU123" i="4"/>
  <c r="BW123" i="4" s="1"/>
  <c r="AX102" i="4"/>
  <c r="AZ102" i="4" s="1"/>
  <c r="CX123" i="4"/>
  <c r="CZ123" i="4" s="1"/>
  <c r="CC103" i="4"/>
  <c r="DU102" i="4"/>
  <c r="DW102" i="4" s="1"/>
  <c r="DR130" i="4"/>
  <c r="CR102" i="4"/>
  <c r="CC96" i="4"/>
  <c r="BC96" i="4"/>
  <c r="BR96" i="4" s="1"/>
  <c r="CR95" i="4"/>
  <c r="R117" i="4"/>
  <c r="BU95" i="4"/>
  <c r="BW95" i="4" s="1"/>
  <c r="AC96" i="4"/>
  <c r="AU123" i="4"/>
  <c r="AW123" i="4" s="1"/>
  <c r="BU18" i="4"/>
  <c r="BW18" i="4" s="1"/>
  <c r="AC124" i="4"/>
  <c r="AU124" i="4" s="1"/>
  <c r="AW124" i="4" s="1"/>
  <c r="CC47" i="4"/>
  <c r="CO47" i="4" s="1"/>
  <c r="BX74" i="4"/>
  <c r="BZ74" i="4" s="1"/>
  <c r="DX46" i="4"/>
  <c r="DZ46" i="4" s="1"/>
  <c r="BO53" i="4"/>
  <c r="DR46" i="4"/>
  <c r="BR102" i="4"/>
  <c r="AR74" i="4"/>
  <c r="BC75" i="4"/>
  <c r="BR75" i="4" s="1"/>
  <c r="BR53" i="4"/>
  <c r="DO46" i="4"/>
  <c r="BR74" i="4"/>
  <c r="CU74" i="4"/>
  <c r="CW74" i="4" s="1"/>
  <c r="BU102" i="4"/>
  <c r="BW102" i="4" s="1"/>
  <c r="BU53" i="4"/>
  <c r="BW53" i="4" s="1"/>
  <c r="CC75" i="4"/>
  <c r="CC76" i="4" s="1"/>
  <c r="CR18" i="4"/>
  <c r="BC103" i="4"/>
  <c r="BU103" i="4" s="1"/>
  <c r="BW103" i="4" s="1"/>
  <c r="AU74" i="4"/>
  <c r="AW74" i="4" s="1"/>
  <c r="BC47" i="4"/>
  <c r="BM47" i="4" s="1"/>
  <c r="CX46" i="4"/>
  <c r="CZ46" i="4" s="1"/>
  <c r="CR46" i="4"/>
  <c r="BU130" i="4"/>
  <c r="BW130" i="4" s="1"/>
  <c r="BU46" i="4"/>
  <c r="BW46" i="4" s="1"/>
  <c r="BR18" i="4"/>
  <c r="X88" i="4"/>
  <c r="Z88" i="4" s="1"/>
  <c r="AU95" i="4"/>
  <c r="AW95" i="4" s="1"/>
  <c r="CO46" i="4"/>
  <c r="BR130" i="4"/>
  <c r="BC131" i="4"/>
  <c r="BU131" i="4" s="1"/>
  <c r="BM46" i="4"/>
  <c r="AR123" i="4"/>
  <c r="BM18" i="4"/>
  <c r="BX46" i="4"/>
  <c r="BZ46" i="4" s="1"/>
  <c r="AX123" i="4"/>
  <c r="AZ123" i="4" s="1"/>
  <c r="BX18" i="4"/>
  <c r="BZ18" i="4" s="1"/>
  <c r="BC19" i="4"/>
  <c r="BC20" i="4" s="1"/>
  <c r="BU20" i="4" s="1"/>
  <c r="CO18" i="4"/>
  <c r="BR95" i="4"/>
  <c r="CX18" i="4"/>
  <c r="CZ18" i="4" s="1"/>
  <c r="C19" i="4"/>
  <c r="U19" i="4" s="1"/>
  <c r="W19" i="4" s="1"/>
  <c r="CU130" i="4"/>
  <c r="CW130" i="4" s="1"/>
  <c r="CM18" i="4"/>
  <c r="BX95" i="4"/>
  <c r="BZ95" i="4" s="1"/>
  <c r="CC19" i="4"/>
  <c r="CU19" i="4" s="1"/>
  <c r="CW19" i="4" s="1"/>
  <c r="CC131" i="4"/>
  <c r="CR131" i="4" s="1"/>
  <c r="AR95" i="4"/>
  <c r="CL10" i="4"/>
  <c r="AX95" i="4"/>
  <c r="AZ95" i="4" s="1"/>
  <c r="U88" i="4"/>
  <c r="W88" i="4" s="1"/>
  <c r="CS9" i="4"/>
  <c r="U117" i="4"/>
  <c r="W117" i="4" s="1"/>
  <c r="X117" i="4"/>
  <c r="Z117" i="4" s="1"/>
  <c r="U18" i="4"/>
  <c r="W18" i="4" s="1"/>
  <c r="R18" i="4"/>
  <c r="O18" i="4"/>
  <c r="M18" i="4"/>
  <c r="C89" i="4"/>
  <c r="X89" i="4" s="1"/>
  <c r="Z89" i="4" s="1"/>
  <c r="DC89" i="4"/>
  <c r="DU89" i="4" s="1"/>
  <c r="DW89" i="4" s="1"/>
  <c r="DU25" i="4"/>
  <c r="DW25" i="4" s="1"/>
  <c r="DR25" i="4"/>
  <c r="DM25" i="4"/>
  <c r="DO25" i="4"/>
  <c r="DR96" i="4"/>
  <c r="DU96" i="4"/>
  <c r="DW96" i="4" s="1"/>
  <c r="AU46" i="4"/>
  <c r="AW46" i="4" s="1"/>
  <c r="AM46" i="4"/>
  <c r="AO46" i="4"/>
  <c r="AR46" i="4"/>
  <c r="AU116" i="4"/>
  <c r="AW116" i="4" s="1"/>
  <c r="AR116" i="4"/>
  <c r="AC76" i="4"/>
  <c r="AU75" i="4"/>
  <c r="AR75" i="4"/>
  <c r="AX75" i="4"/>
  <c r="AZ75" i="4" s="1"/>
  <c r="CO41" i="4"/>
  <c r="DR11" i="4"/>
  <c r="DU11" i="4"/>
  <c r="DW11" i="4" s="1"/>
  <c r="DO11" i="4"/>
  <c r="BU81" i="4"/>
  <c r="BW81" i="4" s="1"/>
  <c r="BR81" i="4"/>
  <c r="G10" i="4"/>
  <c r="F11" i="4" s="1"/>
  <c r="N11" i="4" s="1"/>
  <c r="BR32" i="4"/>
  <c r="BO32" i="4"/>
  <c r="BU32" i="4"/>
  <c r="BW32" i="4" s="1"/>
  <c r="BM32" i="4"/>
  <c r="AC117" i="4"/>
  <c r="AX117" i="4" s="1"/>
  <c r="AZ117" i="4" s="1"/>
  <c r="BR67" i="4"/>
  <c r="BU67" i="4"/>
  <c r="BW67" i="4" s="1"/>
  <c r="BM67" i="4"/>
  <c r="BU25" i="4"/>
  <c r="BW25" i="4" s="1"/>
  <c r="BO25" i="4"/>
  <c r="BM25" i="4"/>
  <c r="BR25" i="4"/>
  <c r="CU103" i="4"/>
  <c r="CW103" i="4" s="1"/>
  <c r="CR103" i="4"/>
  <c r="CU117" i="4"/>
  <c r="CW117" i="4" s="1"/>
  <c r="CR117" i="4"/>
  <c r="BC55" i="4"/>
  <c r="BR54" i="4"/>
  <c r="DC76" i="4"/>
  <c r="DR75" i="4"/>
  <c r="DU75" i="4"/>
  <c r="DX75" i="4"/>
  <c r="DZ75" i="4" s="1"/>
  <c r="AM32" i="4"/>
  <c r="AO32" i="4"/>
  <c r="AU32" i="4"/>
  <c r="AW32" i="4" s="1"/>
  <c r="AR32" i="4"/>
  <c r="BR60" i="4"/>
  <c r="BO60" i="4"/>
  <c r="BM60" i="4"/>
  <c r="BU60" i="4"/>
  <c r="BW60" i="4" s="1"/>
  <c r="DR32" i="4"/>
  <c r="DO32" i="4"/>
  <c r="DU32" i="4"/>
  <c r="DW32" i="4" s="1"/>
  <c r="DM32" i="4"/>
  <c r="DO47" i="4"/>
  <c r="CU32" i="4"/>
  <c r="CW32" i="4" s="1"/>
  <c r="CM32" i="4"/>
  <c r="CO32" i="4"/>
  <c r="CR32" i="4"/>
  <c r="DC55" i="4"/>
  <c r="DU54" i="4"/>
  <c r="DO54" i="4"/>
  <c r="DR54" i="4"/>
  <c r="DM54" i="4"/>
  <c r="DX54" i="4"/>
  <c r="DZ54" i="4" s="1"/>
  <c r="DS10" i="4"/>
  <c r="DG10" i="4"/>
  <c r="DF11" i="4" s="1"/>
  <c r="DN11" i="4" s="1"/>
  <c r="AU25" i="4"/>
  <c r="AW25" i="4" s="1"/>
  <c r="AM25" i="4"/>
  <c r="AO25" i="4"/>
  <c r="AR25" i="4"/>
  <c r="AO11" i="4"/>
  <c r="AX11" i="4"/>
  <c r="AZ11" i="4" s="1"/>
  <c r="AU11" i="4"/>
  <c r="AW11" i="4" s="1"/>
  <c r="AR11" i="4"/>
  <c r="AU103" i="4"/>
  <c r="AW103" i="4" s="1"/>
  <c r="AR103" i="4"/>
  <c r="AU109" i="4"/>
  <c r="AW109" i="4" s="1"/>
  <c r="AR109" i="4"/>
  <c r="CU124" i="4"/>
  <c r="CW124" i="4" s="1"/>
  <c r="CR124" i="4"/>
  <c r="DU41" i="4"/>
  <c r="DR41" i="4"/>
  <c r="DO41" i="4"/>
  <c r="DM41" i="4"/>
  <c r="DR60" i="4"/>
  <c r="DO60" i="4"/>
  <c r="DU60" i="4"/>
  <c r="DW60" i="4" s="1"/>
  <c r="DM60" i="4"/>
  <c r="CU81" i="4"/>
  <c r="CW81" i="4" s="1"/>
  <c r="CR81" i="4"/>
  <c r="AU131" i="4"/>
  <c r="AR131" i="4"/>
  <c r="AX116" i="4"/>
  <c r="AZ116" i="4" s="1"/>
  <c r="BO11" i="4"/>
  <c r="BX11" i="4"/>
  <c r="BZ11" i="4" s="1"/>
  <c r="BR11" i="4"/>
  <c r="BU11" i="4"/>
  <c r="BW11" i="4" s="1"/>
  <c r="AM60" i="4"/>
  <c r="AO60" i="4"/>
  <c r="AU60" i="4"/>
  <c r="AW60" i="4" s="1"/>
  <c r="AR60" i="4"/>
  <c r="CU96" i="4"/>
  <c r="CW96" i="4" s="1"/>
  <c r="CR96" i="4"/>
  <c r="DU81" i="4"/>
  <c r="DW81" i="4" s="1"/>
  <c r="DR81" i="4"/>
  <c r="AU81" i="4"/>
  <c r="AW81" i="4" s="1"/>
  <c r="AR81" i="4"/>
  <c r="DR116" i="4"/>
  <c r="DU116" i="4"/>
  <c r="DW116" i="4" s="1"/>
  <c r="AC55" i="4"/>
  <c r="AU54" i="4"/>
  <c r="AM54" i="4"/>
  <c r="AO54" i="4"/>
  <c r="AR54" i="4"/>
  <c r="AX54" i="4"/>
  <c r="AZ54" i="4" s="1"/>
  <c r="BR39" i="4"/>
  <c r="BO39" i="4"/>
  <c r="BU39" i="4"/>
  <c r="BW39" i="4" s="1"/>
  <c r="BM39" i="4"/>
  <c r="BX39" i="4"/>
  <c r="BZ39" i="4" s="1"/>
  <c r="BC40" i="4"/>
  <c r="CU11" i="4"/>
  <c r="CW11" i="4" s="1"/>
  <c r="CO11" i="4"/>
  <c r="CR11" i="4"/>
  <c r="CU109" i="4"/>
  <c r="CW109" i="4" s="1"/>
  <c r="CR109" i="4"/>
  <c r="CC55" i="4"/>
  <c r="CR54" i="4"/>
  <c r="CU54" i="4"/>
  <c r="CM54" i="4"/>
  <c r="CO54" i="4"/>
  <c r="CX54" i="4"/>
  <c r="CZ54" i="4" s="1"/>
  <c r="AU67" i="4"/>
  <c r="AW67" i="4" s="1"/>
  <c r="AM67" i="4"/>
  <c r="AR67" i="4"/>
  <c r="AR88" i="4"/>
  <c r="AU88" i="4"/>
  <c r="AW88" i="4" s="1"/>
  <c r="CU60" i="4"/>
  <c r="CW60" i="4" s="1"/>
  <c r="CM60" i="4"/>
  <c r="CO60" i="4"/>
  <c r="CR60" i="4"/>
  <c r="BR88" i="4"/>
  <c r="BU88" i="4"/>
  <c r="BW88" i="4" s="1"/>
  <c r="CU67" i="4"/>
  <c r="CW67" i="4" s="1"/>
  <c r="CR67" i="4"/>
  <c r="CM67" i="4"/>
  <c r="DU109" i="4"/>
  <c r="DW109" i="4" s="1"/>
  <c r="DR109" i="4"/>
  <c r="BU109" i="4"/>
  <c r="BW109" i="4" s="1"/>
  <c r="BR109" i="4"/>
  <c r="DR67" i="4"/>
  <c r="DU67" i="4"/>
  <c r="DW67" i="4" s="1"/>
  <c r="DM67" i="4"/>
  <c r="AM40" i="4"/>
  <c r="AO40" i="4"/>
  <c r="AU40" i="4"/>
  <c r="AW40" i="4" s="1"/>
  <c r="AR40" i="4"/>
  <c r="CU25" i="4"/>
  <c r="CW25" i="4" s="1"/>
  <c r="CM25" i="4"/>
  <c r="CO25" i="4"/>
  <c r="CR25" i="4"/>
  <c r="BR116" i="4"/>
  <c r="BU116" i="4"/>
  <c r="BW116" i="4" s="1"/>
  <c r="DR124" i="4"/>
  <c r="CU88" i="4"/>
  <c r="CW88" i="4" s="1"/>
  <c r="CR88" i="4"/>
  <c r="DR103" i="4"/>
  <c r="DU103" i="4"/>
  <c r="DW103" i="4" s="1"/>
  <c r="DX103" i="4"/>
  <c r="DZ103" i="4" s="1"/>
  <c r="DC104" i="4"/>
  <c r="DR88" i="4"/>
  <c r="DU88" i="4"/>
  <c r="DW88" i="4" s="1"/>
  <c r="AX18" i="4"/>
  <c r="AZ18" i="4" s="1"/>
  <c r="AU18" i="4"/>
  <c r="AW18" i="4" s="1"/>
  <c r="AM18" i="4"/>
  <c r="AO18" i="4"/>
  <c r="AR18" i="4"/>
  <c r="AC19" i="4"/>
  <c r="DC19" i="4"/>
  <c r="DU18" i="4"/>
  <c r="DW18" i="4" s="1"/>
  <c r="DO18" i="4"/>
  <c r="DR18" i="4"/>
  <c r="DM18" i="4"/>
  <c r="BG11" i="4"/>
  <c r="BF12" i="4" s="1"/>
  <c r="BN12" i="4" s="1"/>
  <c r="BS11" i="4"/>
  <c r="S10" i="4"/>
  <c r="O50" i="4"/>
  <c r="O51" i="4"/>
  <c r="CC118" i="4"/>
  <c r="CX117" i="4"/>
  <c r="CZ117" i="4" s="1"/>
  <c r="DX116" i="4"/>
  <c r="DZ116" i="4" s="1"/>
  <c r="DC117" i="4"/>
  <c r="CX88" i="4"/>
  <c r="CZ88" i="4" s="1"/>
  <c r="CC89" i="4"/>
  <c r="BX88" i="4"/>
  <c r="BZ88" i="4" s="1"/>
  <c r="BC89" i="4"/>
  <c r="X109" i="4"/>
  <c r="Z109" i="4" s="1"/>
  <c r="R109" i="4"/>
  <c r="C110" i="4"/>
  <c r="U109" i="4"/>
  <c r="W109" i="4" s="1"/>
  <c r="O25" i="4"/>
  <c r="C26" i="4"/>
  <c r="X25" i="4"/>
  <c r="Z25" i="4" s="1"/>
  <c r="M25" i="4"/>
  <c r="U25" i="4"/>
  <c r="W25" i="4" s="1"/>
  <c r="R25" i="4"/>
  <c r="CX109" i="4"/>
  <c r="CZ109" i="4" s="1"/>
  <c r="CC110" i="4"/>
  <c r="AC26" i="4"/>
  <c r="AX25" i="4"/>
  <c r="AZ25" i="4" s="1"/>
  <c r="AX88" i="4"/>
  <c r="AZ88" i="4" s="1"/>
  <c r="AC89" i="4"/>
  <c r="DX11" i="4"/>
  <c r="DZ11" i="4" s="1"/>
  <c r="DC12" i="4"/>
  <c r="DC26" i="4"/>
  <c r="DX25" i="4"/>
  <c r="DZ25" i="4" s="1"/>
  <c r="O32" i="4"/>
  <c r="C33" i="4"/>
  <c r="X32" i="4"/>
  <c r="Z32" i="4" s="1"/>
  <c r="M32" i="4"/>
  <c r="R32" i="4"/>
  <c r="U32" i="4"/>
  <c r="W32" i="4" s="1"/>
  <c r="DC97" i="4"/>
  <c r="DX96" i="4"/>
  <c r="DZ96" i="4" s="1"/>
  <c r="R130" i="4"/>
  <c r="C131" i="4"/>
  <c r="U130" i="4"/>
  <c r="W130" i="4" s="1"/>
  <c r="X130" i="4"/>
  <c r="Z130" i="4" s="1"/>
  <c r="C329" i="4"/>
  <c r="O40" i="4"/>
  <c r="C41" i="4"/>
  <c r="X40" i="4"/>
  <c r="Z40" i="4" s="1"/>
  <c r="DW40" i="4"/>
  <c r="R40" i="4"/>
  <c r="M40" i="4"/>
  <c r="U40" i="4"/>
  <c r="W40" i="4" s="1"/>
  <c r="BX109" i="4"/>
  <c r="BZ109" i="4" s="1"/>
  <c r="BC110" i="4"/>
  <c r="BC68" i="4"/>
  <c r="BX67" i="4"/>
  <c r="BZ67" i="4" s="1"/>
  <c r="R74" i="4"/>
  <c r="C75" i="4"/>
  <c r="DW74" i="4"/>
  <c r="BW74" i="4"/>
  <c r="U74" i="4"/>
  <c r="W74" i="4" s="1"/>
  <c r="X74" i="4"/>
  <c r="Z74" i="4" s="1"/>
  <c r="C125" i="4"/>
  <c r="U124" i="4"/>
  <c r="W124" i="4" s="1"/>
  <c r="X124" i="4"/>
  <c r="Z124" i="4" s="1"/>
  <c r="R124" i="4"/>
  <c r="AX81" i="4"/>
  <c r="AZ81" i="4" s="1"/>
  <c r="AC82" i="4"/>
  <c r="CX41" i="4"/>
  <c r="CZ41" i="4" s="1"/>
  <c r="C68" i="4"/>
  <c r="U67" i="4"/>
  <c r="W67" i="4" s="1"/>
  <c r="R67" i="4"/>
  <c r="X67" i="4"/>
  <c r="Z67" i="4" s="1"/>
  <c r="M67" i="4"/>
  <c r="AC33" i="4"/>
  <c r="AX32" i="4"/>
  <c r="AZ32" i="4" s="1"/>
  <c r="BX81" i="4"/>
  <c r="BZ81" i="4" s="1"/>
  <c r="BC82" i="4"/>
  <c r="DX109" i="4"/>
  <c r="DZ109" i="4" s="1"/>
  <c r="DC110" i="4"/>
  <c r="DX41" i="4"/>
  <c r="DZ41" i="4" s="1"/>
  <c r="DC42" i="4"/>
  <c r="R53" i="4"/>
  <c r="M53" i="4"/>
  <c r="C54" i="4"/>
  <c r="CW53" i="4"/>
  <c r="AW53" i="4"/>
  <c r="U53" i="4"/>
  <c r="W53" i="4" s="1"/>
  <c r="O53" i="4"/>
  <c r="X53" i="4"/>
  <c r="Z53" i="4" s="1"/>
  <c r="AC47" i="4"/>
  <c r="AR47" i="4" s="1"/>
  <c r="AX46" i="4"/>
  <c r="AZ46" i="4" s="1"/>
  <c r="CC26" i="4"/>
  <c r="CX25" i="4"/>
  <c r="CZ25" i="4" s="1"/>
  <c r="AX60" i="4"/>
  <c r="AZ60" i="4" s="1"/>
  <c r="AC61" i="4"/>
  <c r="AX109" i="4"/>
  <c r="AZ109" i="4" s="1"/>
  <c r="AC110" i="4"/>
  <c r="BC76" i="4"/>
  <c r="DC33" i="4"/>
  <c r="DX32" i="4"/>
  <c r="DZ32" i="4" s="1"/>
  <c r="O46" i="4"/>
  <c r="C47" i="4"/>
  <c r="X46" i="4"/>
  <c r="Z46" i="4" s="1"/>
  <c r="DW46" i="4"/>
  <c r="CW46" i="4"/>
  <c r="R46" i="4"/>
  <c r="M46" i="4"/>
  <c r="U46" i="4"/>
  <c r="W46" i="4" s="1"/>
  <c r="U103" i="4"/>
  <c r="W103" i="4" s="1"/>
  <c r="R103" i="4"/>
  <c r="X103" i="4"/>
  <c r="Z103" i="4" s="1"/>
  <c r="C104" i="4"/>
  <c r="BC26" i="4"/>
  <c r="BX25" i="4"/>
  <c r="BZ25" i="4" s="1"/>
  <c r="CX60" i="4"/>
  <c r="CZ60" i="4" s="1"/>
  <c r="CC61" i="4"/>
  <c r="U11" i="4"/>
  <c r="W11" i="4" s="1"/>
  <c r="C12" i="4"/>
  <c r="R12" i="4" s="1"/>
  <c r="O11" i="4"/>
  <c r="X11" i="4"/>
  <c r="Z11" i="4" s="1"/>
  <c r="BX60" i="4"/>
  <c r="BZ60" i="4" s="1"/>
  <c r="BC61" i="4"/>
  <c r="AC132" i="4"/>
  <c r="AX131" i="4"/>
  <c r="AZ131" i="4" s="1"/>
  <c r="BX116" i="4"/>
  <c r="BZ116" i="4" s="1"/>
  <c r="BC117" i="4"/>
  <c r="X81" i="4"/>
  <c r="Z81" i="4" s="1"/>
  <c r="R81" i="4"/>
  <c r="C82" i="4"/>
  <c r="U81" i="4"/>
  <c r="W81" i="4" s="1"/>
  <c r="DX81" i="4"/>
  <c r="DZ81" i="4" s="1"/>
  <c r="DC82" i="4"/>
  <c r="AC68" i="4"/>
  <c r="AX67" i="4"/>
  <c r="AZ67" i="4" s="1"/>
  <c r="AC12" i="4"/>
  <c r="AC104" i="4"/>
  <c r="AX103" i="4"/>
  <c r="AZ103" i="4" s="1"/>
  <c r="X118" i="4"/>
  <c r="Z118" i="4" s="1"/>
  <c r="C119" i="4"/>
  <c r="U118" i="4"/>
  <c r="W118" i="4" s="1"/>
  <c r="R118" i="4"/>
  <c r="CC12" i="4"/>
  <c r="CX11" i="4"/>
  <c r="CZ11" i="4" s="1"/>
  <c r="CC68" i="4"/>
  <c r="CX67" i="4"/>
  <c r="CZ67" i="4" s="1"/>
  <c r="CC125" i="4"/>
  <c r="CX124" i="4"/>
  <c r="CZ124" i="4" s="1"/>
  <c r="BC33" i="4"/>
  <c r="BX32" i="4"/>
  <c r="BZ32" i="4" s="1"/>
  <c r="X60" i="4"/>
  <c r="Z60" i="4" s="1"/>
  <c r="R60" i="4"/>
  <c r="M60" i="4"/>
  <c r="C61" i="4"/>
  <c r="U60" i="4"/>
  <c r="W60" i="4" s="1"/>
  <c r="O60" i="4"/>
  <c r="DX60" i="4"/>
  <c r="DZ60" i="4" s="1"/>
  <c r="DC61" i="4"/>
  <c r="CX81" i="4"/>
  <c r="CZ81" i="4" s="1"/>
  <c r="CC82" i="4"/>
  <c r="DX47" i="4"/>
  <c r="DZ47" i="4" s="1"/>
  <c r="DC68" i="4"/>
  <c r="DX67" i="4"/>
  <c r="DZ67" i="4" s="1"/>
  <c r="AC41" i="4"/>
  <c r="AX40" i="4"/>
  <c r="AZ40" i="4" s="1"/>
  <c r="BC12" i="4"/>
  <c r="CC104" i="4"/>
  <c r="CX103" i="4"/>
  <c r="CZ103" i="4" s="1"/>
  <c r="C97" i="4"/>
  <c r="U96" i="4"/>
  <c r="W96" i="4" s="1"/>
  <c r="X96" i="4"/>
  <c r="Z96" i="4" s="1"/>
  <c r="R96" i="4"/>
  <c r="CC97" i="4"/>
  <c r="CX96" i="4"/>
  <c r="CZ96" i="4" s="1"/>
  <c r="DX124" i="4"/>
  <c r="DZ124" i="4" s="1"/>
  <c r="CC33" i="4"/>
  <c r="CX32" i="4"/>
  <c r="CZ32" i="4" s="1"/>
  <c r="BY38" i="1"/>
  <c r="BY39" i="1" s="1"/>
  <c r="BY40" i="1" s="1"/>
  <c r="BY28" i="1"/>
  <c r="BY29" i="1" s="1"/>
  <c r="BY30" i="1" s="1"/>
  <c r="BY31" i="1" s="1"/>
  <c r="BY21" i="1"/>
  <c r="BY22" i="1" s="1"/>
  <c r="BY23" i="1" s="1"/>
  <c r="BY24" i="1" s="1"/>
  <c r="BY25" i="1" s="1"/>
  <c r="BY26" i="1" s="1"/>
  <c r="BY14" i="1"/>
  <c r="BY15" i="1" s="1"/>
  <c r="BY16" i="1" s="1"/>
  <c r="BY17" i="1" s="1"/>
  <c r="BY18" i="1" s="1"/>
  <c r="BY19" i="1" s="1"/>
  <c r="BY7" i="1"/>
  <c r="BY8" i="1" s="1"/>
  <c r="BY9" i="1" s="1"/>
  <c r="BY10" i="1" s="1"/>
  <c r="BY11" i="1" s="1"/>
  <c r="BY12" i="1" s="1"/>
  <c r="B35" i="1"/>
  <c r="B36" i="1" s="1"/>
  <c r="B37" i="1" s="1"/>
  <c r="B38" i="1" s="1"/>
  <c r="B39" i="1" s="1"/>
  <c r="B40" i="1" s="1"/>
  <c r="B21" i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DG128" i="9" l="1"/>
  <c r="DK127" i="9"/>
  <c r="DN127" i="9"/>
  <c r="DO127" i="9" s="1"/>
  <c r="DB127" i="9"/>
  <c r="DA128" i="9" s="1"/>
  <c r="DI127" i="9"/>
  <c r="CH129" i="9"/>
  <c r="CL128" i="9"/>
  <c r="CO128" i="9"/>
  <c r="CP128" i="9" s="1"/>
  <c r="CJ128" i="9"/>
  <c r="CC128" i="9"/>
  <c r="CB129" i="9" s="1"/>
  <c r="BK127" i="9"/>
  <c r="BP127" i="9"/>
  <c r="BQ127" i="9" s="1"/>
  <c r="BD127" i="9"/>
  <c r="BC128" i="9" s="1"/>
  <c r="BI129" i="9"/>
  <c r="BM129" i="9" s="1"/>
  <c r="AN127" i="9"/>
  <c r="AJ128" i="9"/>
  <c r="AE127" i="9"/>
  <c r="AD128" i="9" s="1"/>
  <c r="AL127" i="9"/>
  <c r="AQ127" i="9"/>
  <c r="AR127" i="9" s="1"/>
  <c r="T169" i="9"/>
  <c r="R160" i="9"/>
  <c r="T182" i="9" s="1"/>
  <c r="T177" i="9"/>
  <c r="O160" i="9"/>
  <c r="T179" i="9" s="1"/>
  <c r="T217" i="9"/>
  <c r="BP160" i="9"/>
  <c r="T230" i="9" s="1"/>
  <c r="U334" i="9"/>
  <c r="R112" i="9"/>
  <c r="S112" i="9" s="1"/>
  <c r="E113" i="9"/>
  <c r="F113" i="9" s="1"/>
  <c r="M112" i="9"/>
  <c r="O126" i="9"/>
  <c r="K127" i="9"/>
  <c r="CP46" i="7"/>
  <c r="HJ75" i="7"/>
  <c r="HK75" i="7" s="1"/>
  <c r="GX75" i="7"/>
  <c r="GW76" i="7" s="1"/>
  <c r="HE75" i="7"/>
  <c r="HC76" i="7"/>
  <c r="HG75" i="7"/>
  <c r="GD75" i="7"/>
  <c r="GH74" i="7"/>
  <c r="GK75" i="7"/>
  <c r="GL75" i="7" s="1"/>
  <c r="FY75" i="7"/>
  <c r="FX76" i="7" s="1"/>
  <c r="GF75" i="7"/>
  <c r="FE76" i="7"/>
  <c r="FI75" i="7"/>
  <c r="EZ76" i="7"/>
  <c r="EY77" i="7" s="1"/>
  <c r="FG76" i="7"/>
  <c r="FL76" i="7"/>
  <c r="FM76" i="7" s="1"/>
  <c r="EM76" i="7"/>
  <c r="EN76" i="7" s="1"/>
  <c r="EH76" i="7"/>
  <c r="EA76" i="7"/>
  <c r="DZ77" i="7" s="1"/>
  <c r="EF77" i="7"/>
  <c r="EJ76" i="7"/>
  <c r="DG76" i="7"/>
  <c r="DK75" i="7"/>
  <c r="DN76" i="7"/>
  <c r="DO76" i="7" s="1"/>
  <c r="DB76" i="7"/>
  <c r="DA77" i="7" s="1"/>
  <c r="DI76" i="7"/>
  <c r="O70" i="8"/>
  <c r="K71" i="8"/>
  <c r="DN71" i="8"/>
  <c r="DO71" i="8" s="1"/>
  <c r="DI71" i="8"/>
  <c r="DB71" i="8"/>
  <c r="DA72" i="8" s="1"/>
  <c r="BM71" i="8"/>
  <c r="BI72" i="8"/>
  <c r="BD63" i="8"/>
  <c r="BC64" i="8" s="1"/>
  <c r="BP63" i="8"/>
  <c r="BQ63" i="8" s="1"/>
  <c r="BK63" i="8"/>
  <c r="M169" i="8"/>
  <c r="R153" i="8"/>
  <c r="M182" i="8" s="1"/>
  <c r="M153" i="8"/>
  <c r="M177" i="8" s="1"/>
  <c r="M332" i="8"/>
  <c r="AL64" i="8"/>
  <c r="AQ64" i="8"/>
  <c r="AR64" i="8" s="1"/>
  <c r="AE64" i="8"/>
  <c r="AD65" i="8" s="1"/>
  <c r="CH73" i="8"/>
  <c r="M217" i="8"/>
  <c r="BP153" i="8"/>
  <c r="M230" i="8" s="1"/>
  <c r="R63" i="8"/>
  <c r="S63" i="8" s="1"/>
  <c r="M63" i="8"/>
  <c r="F63" i="8"/>
  <c r="E64" i="8" s="1"/>
  <c r="AJ73" i="8"/>
  <c r="AN72" i="8"/>
  <c r="CO64" i="8"/>
  <c r="CP64" i="8" s="1"/>
  <c r="CJ64" i="8"/>
  <c r="CC64" i="8"/>
  <c r="CB65" i="8" s="1"/>
  <c r="CL64" i="8"/>
  <c r="DK70" i="8"/>
  <c r="DG71" i="8"/>
  <c r="AL49" i="1"/>
  <c r="AQ49" i="1"/>
  <c r="AR49" i="1" s="1"/>
  <c r="AE51" i="7"/>
  <c r="AD52" i="7" s="1"/>
  <c r="AQ51" i="7"/>
  <c r="AR51" i="7" s="1"/>
  <c r="AL51" i="7"/>
  <c r="F150" i="7"/>
  <c r="J170" i="7" s="1"/>
  <c r="E48" i="7"/>
  <c r="F48" i="7" s="1"/>
  <c r="E49" i="7" s="1"/>
  <c r="BP47" i="7"/>
  <c r="BQ47" i="7" s="1"/>
  <c r="BK47" i="7"/>
  <c r="BD47" i="7"/>
  <c r="BC48" i="7" s="1"/>
  <c r="BM150" i="7"/>
  <c r="J227" i="7" s="1"/>
  <c r="AJ52" i="7"/>
  <c r="AN52" i="7" s="1"/>
  <c r="I182" i="7"/>
  <c r="G182" i="7"/>
  <c r="F182" i="7"/>
  <c r="H182" i="7"/>
  <c r="J182" i="7"/>
  <c r="CO47" i="7"/>
  <c r="CP47" i="7" s="1"/>
  <c r="CJ47" i="7"/>
  <c r="CC47" i="7"/>
  <c r="CL47" i="7"/>
  <c r="CH53" i="7"/>
  <c r="K53" i="7"/>
  <c r="O53" i="7" s="1"/>
  <c r="E177" i="7"/>
  <c r="I177" i="7"/>
  <c r="H177" i="7"/>
  <c r="G177" i="7"/>
  <c r="J177" i="7"/>
  <c r="F177" i="7"/>
  <c r="BI54" i="7"/>
  <c r="BM54" i="7" s="1"/>
  <c r="S47" i="7"/>
  <c r="AQ50" i="1"/>
  <c r="AL50" i="1"/>
  <c r="AJ51" i="1"/>
  <c r="BQ43" i="1"/>
  <c r="BP44" i="1"/>
  <c r="BK44" i="1"/>
  <c r="BI45" i="1"/>
  <c r="BD44" i="1"/>
  <c r="BC45" i="1" s="1"/>
  <c r="BM54" i="4"/>
  <c r="CM41" i="4"/>
  <c r="N335" i="4"/>
  <c r="R89" i="4"/>
  <c r="BO54" i="4"/>
  <c r="CU41" i="4"/>
  <c r="CW41" i="4" s="1"/>
  <c r="CC42" i="4"/>
  <c r="BU96" i="4"/>
  <c r="BW96" i="4" s="1"/>
  <c r="BX54" i="4"/>
  <c r="BZ54" i="4" s="1"/>
  <c r="BT11" i="4"/>
  <c r="AF10" i="4"/>
  <c r="AP10" i="4" s="1"/>
  <c r="C319" i="1"/>
  <c r="AG10" i="4"/>
  <c r="AF11" i="4" s="1"/>
  <c r="DC48" i="4"/>
  <c r="DU48" i="4" s="1"/>
  <c r="CC132" i="4"/>
  <c r="CR132" i="4" s="1"/>
  <c r="DU47" i="4"/>
  <c r="AS10" i="4"/>
  <c r="AT10" i="4" s="1"/>
  <c r="AL11" i="4"/>
  <c r="AL12" i="4" s="1"/>
  <c r="AL13" i="4" s="1"/>
  <c r="DC132" i="4"/>
  <c r="DU132" i="4" s="1"/>
  <c r="DR47" i="4"/>
  <c r="CP10" i="4"/>
  <c r="DC125" i="4"/>
  <c r="DU125" i="4" s="1"/>
  <c r="DW125" i="4" s="1"/>
  <c r="BX96" i="4"/>
  <c r="BZ96" i="4" s="1"/>
  <c r="U89" i="4"/>
  <c r="W89" i="4" s="1"/>
  <c r="BR131" i="4"/>
  <c r="T10" i="4"/>
  <c r="CT9" i="4"/>
  <c r="CT10" i="4" s="1"/>
  <c r="BC97" i="4"/>
  <c r="BU97" i="4" s="1"/>
  <c r="BW97" i="4" s="1"/>
  <c r="BX47" i="4"/>
  <c r="BZ47" i="4" s="1"/>
  <c r="C90" i="4"/>
  <c r="R90" i="4" s="1"/>
  <c r="BU47" i="4"/>
  <c r="BW47" i="4" s="1"/>
  <c r="CU47" i="4"/>
  <c r="DL11" i="4"/>
  <c r="DP11" i="4" s="1"/>
  <c r="DP10" i="4"/>
  <c r="CG10" i="4"/>
  <c r="CF11" i="4" s="1"/>
  <c r="CN10" i="4"/>
  <c r="L12" i="4"/>
  <c r="P11" i="4"/>
  <c r="BO67" i="4"/>
  <c r="AM64" i="4"/>
  <c r="DM64" i="4"/>
  <c r="CM64" i="4"/>
  <c r="BM64" i="4"/>
  <c r="M64" i="4"/>
  <c r="AM65" i="4"/>
  <c r="CM65" i="4"/>
  <c r="BM65" i="4"/>
  <c r="DM65" i="4"/>
  <c r="M65" i="4"/>
  <c r="DM66" i="4"/>
  <c r="AM66" i="4"/>
  <c r="BM66" i="4"/>
  <c r="CM66" i="4"/>
  <c r="M66" i="4"/>
  <c r="DO67" i="4"/>
  <c r="CO67" i="4"/>
  <c r="AO67" i="4"/>
  <c r="CX47" i="4"/>
  <c r="CZ47" i="4" s="1"/>
  <c r="R19" i="4"/>
  <c r="CM47" i="4"/>
  <c r="CR47" i="4"/>
  <c r="CC48" i="4"/>
  <c r="CM48" i="4" s="1"/>
  <c r="C20" i="4"/>
  <c r="U20" i="4" s="1"/>
  <c r="W20" i="4" s="1"/>
  <c r="O19" i="4"/>
  <c r="S11" i="4"/>
  <c r="BO64" i="4"/>
  <c r="DO64" i="4"/>
  <c r="CO64" i="4"/>
  <c r="AO64" i="4"/>
  <c r="I13" i="3"/>
  <c r="DO65" i="4"/>
  <c r="CO65" i="4"/>
  <c r="BO65" i="4"/>
  <c r="AO65" i="4"/>
  <c r="BO66" i="4"/>
  <c r="DO66" i="4"/>
  <c r="AO66" i="4"/>
  <c r="CO66" i="4"/>
  <c r="X19" i="4"/>
  <c r="Z19" i="4" s="1"/>
  <c r="BX124" i="4"/>
  <c r="BZ124" i="4" s="1"/>
  <c r="BX103" i="4"/>
  <c r="BZ103" i="4" s="1"/>
  <c r="BR103" i="4"/>
  <c r="CU131" i="4"/>
  <c r="CW131" i="4" s="1"/>
  <c r="DR131" i="4"/>
  <c r="BU124" i="4"/>
  <c r="BW124" i="4" s="1"/>
  <c r="BM75" i="4"/>
  <c r="M19" i="4"/>
  <c r="BX75" i="4"/>
  <c r="BZ75" i="4" s="1"/>
  <c r="BC125" i="4"/>
  <c r="BR125" i="4" s="1"/>
  <c r="BC104" i="4"/>
  <c r="BC105" i="4" s="1"/>
  <c r="BU75" i="4"/>
  <c r="BW75" i="4" s="1"/>
  <c r="CX131" i="4"/>
  <c r="CZ131" i="4" s="1"/>
  <c r="DX131" i="4"/>
  <c r="DZ131" i="4" s="1"/>
  <c r="BC48" i="4"/>
  <c r="BR48" i="4" s="1"/>
  <c r="BR47" i="4"/>
  <c r="AR96" i="4"/>
  <c r="AX96" i="4"/>
  <c r="AZ96" i="4" s="1"/>
  <c r="AR124" i="4"/>
  <c r="BO47" i="4"/>
  <c r="AU96" i="4"/>
  <c r="AW96" i="4" s="1"/>
  <c r="AX124" i="4"/>
  <c r="AZ124" i="4" s="1"/>
  <c r="AC125" i="4"/>
  <c r="AR125" i="4" s="1"/>
  <c r="AC97" i="4"/>
  <c r="AX97" i="4" s="1"/>
  <c r="AZ97" i="4" s="1"/>
  <c r="CR75" i="4"/>
  <c r="BX20" i="4"/>
  <c r="BZ20" i="4" s="1"/>
  <c r="CX75" i="4"/>
  <c r="CZ75" i="4" s="1"/>
  <c r="CU75" i="4"/>
  <c r="CW75" i="4" s="1"/>
  <c r="BX131" i="4"/>
  <c r="BZ131" i="4" s="1"/>
  <c r="BM20" i="4"/>
  <c r="CM75" i="4"/>
  <c r="BU19" i="4"/>
  <c r="BW19" i="4" s="1"/>
  <c r="BC132" i="4"/>
  <c r="BC133" i="4" s="1"/>
  <c r="BR20" i="4"/>
  <c r="BR19" i="4"/>
  <c r="BC21" i="4"/>
  <c r="BU21" i="4" s="1"/>
  <c r="BU182" i="4" s="1"/>
  <c r="G267" i="4" s="1"/>
  <c r="BX19" i="4"/>
  <c r="BZ19" i="4" s="1"/>
  <c r="BO20" i="4"/>
  <c r="BO19" i="4"/>
  <c r="DC90" i="4"/>
  <c r="DR90" i="4" s="1"/>
  <c r="BM19" i="4"/>
  <c r="CX19" i="4"/>
  <c r="CZ19" i="4" s="1"/>
  <c r="DX89" i="4"/>
  <c r="DZ89" i="4" s="1"/>
  <c r="CR19" i="4"/>
  <c r="CO19" i="4"/>
  <c r="CC20" i="4"/>
  <c r="CU20" i="4" s="1"/>
  <c r="CW20" i="4" s="1"/>
  <c r="DR89" i="4"/>
  <c r="CM19" i="4"/>
  <c r="AC118" i="4"/>
  <c r="AC119" i="4" s="1"/>
  <c r="DU82" i="4"/>
  <c r="DW82" i="4" s="1"/>
  <c r="DR82" i="4"/>
  <c r="AU132" i="4"/>
  <c r="AR132" i="4"/>
  <c r="DX42" i="4"/>
  <c r="DU42" i="4"/>
  <c r="DU185" i="4" s="1"/>
  <c r="DO42" i="4"/>
  <c r="DO185" i="4" s="1"/>
  <c r="J309" i="4" s="1"/>
  <c r="DR42" i="4"/>
  <c r="DR185" i="4" s="1"/>
  <c r="J312" i="4" s="1"/>
  <c r="DM42" i="4"/>
  <c r="DM185" i="4" s="1"/>
  <c r="J307" i="4" s="1"/>
  <c r="CC77" i="4"/>
  <c r="CU76" i="4"/>
  <c r="CM76" i="4"/>
  <c r="CR76" i="4"/>
  <c r="CX76" i="4"/>
  <c r="CZ76" i="4" s="1"/>
  <c r="CU33" i="4"/>
  <c r="CW33" i="4" s="1"/>
  <c r="CM33" i="4"/>
  <c r="CO33" i="4"/>
  <c r="CR33" i="4"/>
  <c r="CU104" i="4"/>
  <c r="CW104" i="4" s="1"/>
  <c r="CR104" i="4"/>
  <c r="DR68" i="4"/>
  <c r="DO68" i="4"/>
  <c r="DU68" i="4"/>
  <c r="DW68" i="4" s="1"/>
  <c r="DM68" i="4"/>
  <c r="BU33" i="4"/>
  <c r="BW33" i="4" s="1"/>
  <c r="BR33" i="4"/>
  <c r="BO33" i="4"/>
  <c r="BM33" i="4"/>
  <c r="CU125" i="4"/>
  <c r="CW125" i="4" s="1"/>
  <c r="CR125" i="4"/>
  <c r="CU12" i="4"/>
  <c r="CW12" i="4" s="1"/>
  <c r="CO12" i="4"/>
  <c r="CR12" i="4"/>
  <c r="AU104" i="4"/>
  <c r="AW104" i="4" s="1"/>
  <c r="AR104" i="4"/>
  <c r="BU61" i="4"/>
  <c r="BW61" i="4" s="1"/>
  <c r="BR61" i="4"/>
  <c r="BO61" i="4"/>
  <c r="BM61" i="4"/>
  <c r="CO48" i="4"/>
  <c r="AU110" i="4"/>
  <c r="AW110" i="4" s="1"/>
  <c r="AR110" i="4"/>
  <c r="AO47" i="4"/>
  <c r="AU47" i="4"/>
  <c r="AW47" i="4" s="1"/>
  <c r="AM47" i="4"/>
  <c r="CX42" i="4"/>
  <c r="CU42" i="4"/>
  <c r="CU185" i="4" s="1"/>
  <c r="CR42" i="4"/>
  <c r="CR185" i="4" s="1"/>
  <c r="J289" i="4" s="1"/>
  <c r="CM42" i="4"/>
  <c r="CM185" i="4" s="1"/>
  <c r="J284" i="4" s="1"/>
  <c r="CO42" i="4"/>
  <c r="CO185" i="4" s="1"/>
  <c r="J286" i="4" s="1"/>
  <c r="AU89" i="4"/>
  <c r="AW89" i="4" s="1"/>
  <c r="AR89" i="4"/>
  <c r="BU89" i="4"/>
  <c r="BW89" i="4" s="1"/>
  <c r="BR89" i="4"/>
  <c r="DU117" i="4"/>
  <c r="DW117" i="4" s="1"/>
  <c r="DR117" i="4"/>
  <c r="AO19" i="4"/>
  <c r="AU19" i="4"/>
  <c r="AW19" i="4" s="1"/>
  <c r="AM19" i="4"/>
  <c r="AR19" i="4"/>
  <c r="AC20" i="4"/>
  <c r="AX19" i="4"/>
  <c r="AZ19" i="4" s="1"/>
  <c r="CU82" i="4"/>
  <c r="CW82" i="4" s="1"/>
  <c r="CR82" i="4"/>
  <c r="BU82" i="4"/>
  <c r="BW82" i="4" s="1"/>
  <c r="BR82" i="4"/>
  <c r="BM48" i="4"/>
  <c r="CR110" i="4"/>
  <c r="CU110" i="4"/>
  <c r="CW110" i="4" s="1"/>
  <c r="BR40" i="4"/>
  <c r="BO40" i="4"/>
  <c r="BM40" i="4"/>
  <c r="BU40" i="4"/>
  <c r="BW40" i="4" s="1"/>
  <c r="BX40" i="4"/>
  <c r="BZ40" i="4" s="1"/>
  <c r="BC41" i="4"/>
  <c r="DR132" i="4"/>
  <c r="G11" i="4"/>
  <c r="F12" i="4" s="1"/>
  <c r="AO12" i="4"/>
  <c r="AR12" i="4"/>
  <c r="AU12" i="4"/>
  <c r="AW12" i="4" s="1"/>
  <c r="CU61" i="4"/>
  <c r="CW61" i="4" s="1"/>
  <c r="CM61" i="4"/>
  <c r="CO61" i="4"/>
  <c r="CR61" i="4"/>
  <c r="DU33" i="4"/>
  <c r="DW33" i="4" s="1"/>
  <c r="DR33" i="4"/>
  <c r="DO33" i="4"/>
  <c r="DM33" i="4"/>
  <c r="DU110" i="4"/>
  <c r="DW110" i="4" s="1"/>
  <c r="DR110" i="4"/>
  <c r="BR68" i="4"/>
  <c r="BO68" i="4"/>
  <c r="BM68" i="4"/>
  <c r="BU68" i="4"/>
  <c r="BW68" i="4" s="1"/>
  <c r="DU97" i="4"/>
  <c r="DW97" i="4" s="1"/>
  <c r="DR97" i="4"/>
  <c r="DU26" i="4"/>
  <c r="DW26" i="4" s="1"/>
  <c r="DR26" i="4"/>
  <c r="DO26" i="4"/>
  <c r="DM26" i="4"/>
  <c r="AU26" i="4"/>
  <c r="AW26" i="4" s="1"/>
  <c r="AM26" i="4"/>
  <c r="AR26" i="4"/>
  <c r="AO26" i="4"/>
  <c r="DR19" i="4"/>
  <c r="DU19" i="4"/>
  <c r="DW19" i="4" s="1"/>
  <c r="DO19" i="4"/>
  <c r="DM19" i="4"/>
  <c r="DC20" i="4"/>
  <c r="DX19" i="4"/>
  <c r="DZ19" i="4" s="1"/>
  <c r="DC56" i="4"/>
  <c r="DR55" i="4"/>
  <c r="DU55" i="4"/>
  <c r="DO55" i="4"/>
  <c r="DM55" i="4"/>
  <c r="DX55" i="4"/>
  <c r="DZ55" i="4" s="1"/>
  <c r="DC77" i="4"/>
  <c r="DR76" i="4"/>
  <c r="DU76" i="4"/>
  <c r="DM76" i="4"/>
  <c r="DX76" i="4"/>
  <c r="DZ76" i="4" s="1"/>
  <c r="BC56" i="4"/>
  <c r="BR55" i="4"/>
  <c r="BU55" i="4"/>
  <c r="BM55" i="4"/>
  <c r="BO55" i="4"/>
  <c r="BX55" i="4"/>
  <c r="BZ55" i="4" s="1"/>
  <c r="AC77" i="4"/>
  <c r="AM76" i="4"/>
  <c r="AR76" i="4"/>
  <c r="AU76" i="4"/>
  <c r="AX76" i="4"/>
  <c r="AZ76" i="4" s="1"/>
  <c r="BR76" i="4"/>
  <c r="BU76" i="4"/>
  <c r="BM76" i="4"/>
  <c r="AU61" i="4"/>
  <c r="AW61" i="4" s="1"/>
  <c r="AM61" i="4"/>
  <c r="AO61" i="4"/>
  <c r="AR61" i="4"/>
  <c r="CU118" i="4"/>
  <c r="CW118" i="4" s="1"/>
  <c r="CR118" i="4"/>
  <c r="CU97" i="4"/>
  <c r="CW97" i="4" s="1"/>
  <c r="CR97" i="4"/>
  <c r="BX12" i="4"/>
  <c r="BZ12" i="4" s="1"/>
  <c r="BU12" i="4"/>
  <c r="BW12" i="4" s="1"/>
  <c r="BR12" i="4"/>
  <c r="BO12" i="4"/>
  <c r="DU61" i="4"/>
  <c r="DW61" i="4" s="1"/>
  <c r="DR61" i="4"/>
  <c r="DO61" i="4"/>
  <c r="DM61" i="4"/>
  <c r="AU41" i="4"/>
  <c r="AW41" i="4" s="1"/>
  <c r="AM41" i="4"/>
  <c r="AO41" i="4"/>
  <c r="AR41" i="4"/>
  <c r="CU68" i="4"/>
  <c r="CW68" i="4" s="1"/>
  <c r="CM68" i="4"/>
  <c r="CR68" i="4"/>
  <c r="CO68" i="4"/>
  <c r="BR97" i="4"/>
  <c r="AM68" i="4"/>
  <c r="AO68" i="4"/>
  <c r="AU68" i="4"/>
  <c r="AW68" i="4" s="1"/>
  <c r="AR68" i="4"/>
  <c r="BU117" i="4"/>
  <c r="BW117" i="4" s="1"/>
  <c r="BR117" i="4"/>
  <c r="BR26" i="4"/>
  <c r="BU26" i="4"/>
  <c r="BW26" i="4" s="1"/>
  <c r="BO26" i="4"/>
  <c r="BM26" i="4"/>
  <c r="DG11" i="4"/>
  <c r="DF12" i="4" s="1"/>
  <c r="DN12" i="4" s="1"/>
  <c r="DS11" i="4"/>
  <c r="CR26" i="4"/>
  <c r="CU26" i="4"/>
  <c r="CW26" i="4" s="1"/>
  <c r="CM26" i="4"/>
  <c r="CO26" i="4"/>
  <c r="AU33" i="4"/>
  <c r="AW33" i="4" s="1"/>
  <c r="AM33" i="4"/>
  <c r="AO33" i="4"/>
  <c r="AR33" i="4"/>
  <c r="AU82" i="4"/>
  <c r="AW82" i="4" s="1"/>
  <c r="AR82" i="4"/>
  <c r="BU110" i="4"/>
  <c r="BW110" i="4" s="1"/>
  <c r="BR110" i="4"/>
  <c r="DR12" i="4"/>
  <c r="DU12" i="4"/>
  <c r="DW12" i="4" s="1"/>
  <c r="DO12" i="4"/>
  <c r="DU90" i="4"/>
  <c r="DW90" i="4" s="1"/>
  <c r="CU89" i="4"/>
  <c r="CW89" i="4" s="1"/>
  <c r="CR89" i="4"/>
  <c r="DR104" i="4"/>
  <c r="DU104" i="4"/>
  <c r="DW104" i="4" s="1"/>
  <c r="DX104" i="4"/>
  <c r="DZ104" i="4" s="1"/>
  <c r="DC105" i="4"/>
  <c r="CC56" i="4"/>
  <c r="CU55" i="4"/>
  <c r="CO55" i="4"/>
  <c r="CR55" i="4"/>
  <c r="CM55" i="4"/>
  <c r="CX55" i="4"/>
  <c r="CZ55" i="4" s="1"/>
  <c r="AC56" i="4"/>
  <c r="AO55" i="4"/>
  <c r="AU55" i="4"/>
  <c r="AM55" i="4"/>
  <c r="AR55" i="4"/>
  <c r="AX55" i="4"/>
  <c r="AZ55" i="4" s="1"/>
  <c r="CU132" i="4"/>
  <c r="AU117" i="4"/>
  <c r="AW117" i="4" s="1"/>
  <c r="AR117" i="4"/>
  <c r="DT10" i="4"/>
  <c r="BG12" i="4"/>
  <c r="BF13" i="4" s="1"/>
  <c r="BN13" i="4" s="1"/>
  <c r="BS12" i="4"/>
  <c r="BT12" i="4" s="1"/>
  <c r="AN11" i="4"/>
  <c r="O57" i="4"/>
  <c r="O58" i="4"/>
  <c r="O59" i="4"/>
  <c r="DX117" i="4"/>
  <c r="DZ117" i="4" s="1"/>
  <c r="DC118" i="4"/>
  <c r="CC90" i="4"/>
  <c r="CX89" i="4"/>
  <c r="CZ89" i="4" s="1"/>
  <c r="CC119" i="4"/>
  <c r="CX118" i="4"/>
  <c r="CZ118" i="4" s="1"/>
  <c r="C48" i="4"/>
  <c r="R47" i="4"/>
  <c r="M47" i="4"/>
  <c r="DW47" i="4"/>
  <c r="CW47" i="4"/>
  <c r="U47" i="4"/>
  <c r="W47" i="4" s="1"/>
  <c r="O47" i="4"/>
  <c r="X47" i="4"/>
  <c r="Z47" i="4" s="1"/>
  <c r="DC34" i="4"/>
  <c r="DX33" i="4"/>
  <c r="DZ33" i="4" s="1"/>
  <c r="BC77" i="4"/>
  <c r="BX76" i="4"/>
  <c r="BZ76" i="4" s="1"/>
  <c r="C69" i="4"/>
  <c r="U68" i="4"/>
  <c r="W68" i="4" s="1"/>
  <c r="R68" i="4"/>
  <c r="X68" i="4"/>
  <c r="Z68" i="4" s="1"/>
  <c r="M68" i="4"/>
  <c r="AX82" i="4"/>
  <c r="AZ82" i="4" s="1"/>
  <c r="AC83" i="4"/>
  <c r="AC27" i="4"/>
  <c r="AX26" i="4"/>
  <c r="AZ26" i="4" s="1"/>
  <c r="CX33" i="4"/>
  <c r="CZ33" i="4" s="1"/>
  <c r="CC34" i="4"/>
  <c r="CC98" i="4"/>
  <c r="CX97" i="4"/>
  <c r="CZ97" i="4" s="1"/>
  <c r="CC105" i="4"/>
  <c r="CX104" i="4"/>
  <c r="CZ104" i="4" s="1"/>
  <c r="BC13" i="4"/>
  <c r="DX61" i="4"/>
  <c r="DZ61" i="4" s="1"/>
  <c r="DC62" i="4"/>
  <c r="X61" i="4"/>
  <c r="Z61" i="4" s="1"/>
  <c r="R61" i="4"/>
  <c r="M61" i="4"/>
  <c r="C62" i="4"/>
  <c r="U61" i="4"/>
  <c r="W61" i="4" s="1"/>
  <c r="O61" i="4"/>
  <c r="CC69" i="4"/>
  <c r="CX68" i="4"/>
  <c r="CZ68" i="4" s="1"/>
  <c r="DX82" i="4"/>
  <c r="DZ82" i="4" s="1"/>
  <c r="DC83" i="4"/>
  <c r="X82" i="4"/>
  <c r="Z82" i="4" s="1"/>
  <c r="R82" i="4"/>
  <c r="C83" i="4"/>
  <c r="U82" i="4"/>
  <c r="W82" i="4" s="1"/>
  <c r="BX117" i="4"/>
  <c r="BZ117" i="4" s="1"/>
  <c r="BC118" i="4"/>
  <c r="AC133" i="4"/>
  <c r="AX132" i="4"/>
  <c r="AZ132" i="4" s="1"/>
  <c r="R104" i="4"/>
  <c r="C105" i="4"/>
  <c r="X104" i="4"/>
  <c r="Z104" i="4" s="1"/>
  <c r="U104" i="4"/>
  <c r="W104" i="4" s="1"/>
  <c r="AX61" i="4"/>
  <c r="AZ61" i="4" s="1"/>
  <c r="AC62" i="4"/>
  <c r="CX26" i="4"/>
  <c r="CZ26" i="4" s="1"/>
  <c r="CC27" i="4"/>
  <c r="DX110" i="4"/>
  <c r="DZ110" i="4" s="1"/>
  <c r="DC111" i="4"/>
  <c r="C126" i="4"/>
  <c r="U125" i="4"/>
  <c r="W125" i="4" s="1"/>
  <c r="X125" i="4"/>
  <c r="Z125" i="4" s="1"/>
  <c r="R125" i="4"/>
  <c r="R75" i="4"/>
  <c r="M75" i="4"/>
  <c r="C76" i="4"/>
  <c r="DW75" i="4"/>
  <c r="AW75" i="4"/>
  <c r="U75" i="4"/>
  <c r="W75" i="4" s="1"/>
  <c r="X75" i="4"/>
  <c r="Z75" i="4" s="1"/>
  <c r="DX12" i="4"/>
  <c r="DZ12" i="4" s="1"/>
  <c r="DC13" i="4"/>
  <c r="CX110" i="4"/>
  <c r="CZ110" i="4" s="1"/>
  <c r="CC111" i="4"/>
  <c r="R26" i="4"/>
  <c r="M26" i="4"/>
  <c r="U26" i="4"/>
  <c r="W26" i="4" s="1"/>
  <c r="C27" i="4"/>
  <c r="O26" i="4"/>
  <c r="X26" i="4"/>
  <c r="Z26" i="4" s="1"/>
  <c r="AC48" i="4"/>
  <c r="AX47" i="4"/>
  <c r="AZ47" i="4" s="1"/>
  <c r="DC27" i="4"/>
  <c r="DX26" i="4"/>
  <c r="DZ26" i="4" s="1"/>
  <c r="AX41" i="4"/>
  <c r="AZ41" i="4" s="1"/>
  <c r="AC42" i="4"/>
  <c r="DC69" i="4"/>
  <c r="DX68" i="4"/>
  <c r="DZ68" i="4" s="1"/>
  <c r="BX33" i="4"/>
  <c r="BZ33" i="4" s="1"/>
  <c r="BC34" i="4"/>
  <c r="X119" i="4"/>
  <c r="X196" i="4" s="1"/>
  <c r="U222" i="4" s="1"/>
  <c r="U119" i="4"/>
  <c r="U196" i="4" s="1"/>
  <c r="U219" i="4" s="1"/>
  <c r="R119" i="4"/>
  <c r="R196" i="4" s="1"/>
  <c r="U216" i="4" s="1"/>
  <c r="AC105" i="4"/>
  <c r="AX104" i="4"/>
  <c r="AZ104" i="4" s="1"/>
  <c r="AX12" i="4"/>
  <c r="AZ12" i="4" s="1"/>
  <c r="AC13" i="4"/>
  <c r="BX61" i="4"/>
  <c r="BZ61" i="4" s="1"/>
  <c r="BC62" i="4"/>
  <c r="CX61" i="4"/>
  <c r="CZ61" i="4" s="1"/>
  <c r="CC62" i="4"/>
  <c r="BX26" i="4"/>
  <c r="BZ26" i="4" s="1"/>
  <c r="BC27" i="4"/>
  <c r="BW20" i="4"/>
  <c r="R54" i="4"/>
  <c r="M54" i="4"/>
  <c r="C55" i="4"/>
  <c r="DW54" i="4"/>
  <c r="CW54" i="4"/>
  <c r="BW54" i="4"/>
  <c r="AW54" i="4"/>
  <c r="U54" i="4"/>
  <c r="W54" i="4" s="1"/>
  <c r="O54" i="4"/>
  <c r="X54" i="4"/>
  <c r="Z54" i="4" s="1"/>
  <c r="AX33" i="4"/>
  <c r="AZ33" i="4" s="1"/>
  <c r="AC34" i="4"/>
  <c r="BX110" i="4"/>
  <c r="BZ110" i="4" s="1"/>
  <c r="BC111" i="4"/>
  <c r="C330" i="4"/>
  <c r="R131" i="4"/>
  <c r="C132" i="4"/>
  <c r="DW131" i="4"/>
  <c r="BW131" i="4"/>
  <c r="AW131" i="4"/>
  <c r="U131" i="4"/>
  <c r="W131" i="4" s="1"/>
  <c r="X131" i="4"/>
  <c r="Z131" i="4" s="1"/>
  <c r="AC126" i="4"/>
  <c r="AC69" i="4"/>
  <c r="AX68" i="4"/>
  <c r="AZ68" i="4" s="1"/>
  <c r="DC98" i="4"/>
  <c r="DX97" i="4"/>
  <c r="DZ97" i="4" s="1"/>
  <c r="R33" i="4"/>
  <c r="M33" i="4"/>
  <c r="U33" i="4"/>
  <c r="W33" i="4" s="1"/>
  <c r="C34" i="4"/>
  <c r="O33" i="4"/>
  <c r="X33" i="4"/>
  <c r="Z33" i="4" s="1"/>
  <c r="C98" i="4"/>
  <c r="U97" i="4"/>
  <c r="W97" i="4" s="1"/>
  <c r="X97" i="4"/>
  <c r="Z97" i="4" s="1"/>
  <c r="R97" i="4"/>
  <c r="CX82" i="4"/>
  <c r="CZ82" i="4" s="1"/>
  <c r="CC83" i="4"/>
  <c r="CC126" i="4"/>
  <c r="CX125" i="4"/>
  <c r="CZ125" i="4" s="1"/>
  <c r="CX12" i="4"/>
  <c r="CZ12" i="4" s="1"/>
  <c r="CC13" i="4"/>
  <c r="O12" i="4"/>
  <c r="U12" i="4"/>
  <c r="W12" i="4" s="1"/>
  <c r="X12" i="4"/>
  <c r="Z12" i="4" s="1"/>
  <c r="C13" i="4"/>
  <c r="AX110" i="4"/>
  <c r="AZ110" i="4" s="1"/>
  <c r="AC111" i="4"/>
  <c r="BX82" i="4"/>
  <c r="BZ82" i="4" s="1"/>
  <c r="BC83" i="4"/>
  <c r="BC69" i="4"/>
  <c r="BX68" i="4"/>
  <c r="BZ68" i="4" s="1"/>
  <c r="CL11" i="4"/>
  <c r="DW41" i="4"/>
  <c r="R41" i="4"/>
  <c r="M41" i="4"/>
  <c r="U41" i="4"/>
  <c r="W41" i="4" s="1"/>
  <c r="O41" i="4"/>
  <c r="X41" i="4"/>
  <c r="Z41" i="4" s="1"/>
  <c r="C42" i="4"/>
  <c r="AX89" i="4"/>
  <c r="AZ89" i="4" s="1"/>
  <c r="AC90" i="4"/>
  <c r="X110" i="4"/>
  <c r="Z110" i="4" s="1"/>
  <c r="R110" i="4"/>
  <c r="C111" i="4"/>
  <c r="U110" i="4"/>
  <c r="W110" i="4" s="1"/>
  <c r="BX89" i="4"/>
  <c r="BZ89" i="4" s="1"/>
  <c r="BC90" i="4"/>
  <c r="CA147" i="1"/>
  <c r="CA148" i="1" s="1"/>
  <c r="CA149" i="1" s="1"/>
  <c r="CA150" i="1" s="1"/>
  <c r="CA151" i="1" s="1"/>
  <c r="CA152" i="1" s="1"/>
  <c r="CA153" i="1" s="1"/>
  <c r="CA154" i="1" s="1"/>
  <c r="CA155" i="1" s="1"/>
  <c r="CA156" i="1" s="1"/>
  <c r="CA157" i="1" s="1"/>
  <c r="CA158" i="1" s="1"/>
  <c r="CA159" i="1" s="1"/>
  <c r="CA160" i="1" s="1"/>
  <c r="CA161" i="1" s="1"/>
  <c r="CA162" i="1" s="1"/>
  <c r="CA163" i="1" s="1"/>
  <c r="BB147" i="1"/>
  <c r="BB148" i="1" s="1"/>
  <c r="BB149" i="1" s="1"/>
  <c r="BB150" i="1" s="1"/>
  <c r="BB151" i="1" s="1"/>
  <c r="BB152" i="1" s="1"/>
  <c r="BB153" i="1" s="1"/>
  <c r="BB154" i="1" s="1"/>
  <c r="BB155" i="1" s="1"/>
  <c r="BB156" i="1" s="1"/>
  <c r="BB157" i="1" s="1"/>
  <c r="BB158" i="1" s="1"/>
  <c r="BB159" i="1" s="1"/>
  <c r="BB160" i="1" s="1"/>
  <c r="BB161" i="1" s="1"/>
  <c r="BB162" i="1" s="1"/>
  <c r="BB163" i="1" s="1"/>
  <c r="T305" i="9" l="1"/>
  <c r="T330" i="9" s="1"/>
  <c r="DG129" i="9"/>
  <c r="DK128" i="9"/>
  <c r="DN128" i="9"/>
  <c r="DO128" i="9" s="1"/>
  <c r="DI128" i="9"/>
  <c r="DB128" i="9"/>
  <c r="DA129" i="9" s="1"/>
  <c r="CO129" i="9"/>
  <c r="CP129" i="9" s="1"/>
  <c r="CC129" i="9"/>
  <c r="CB130" i="9" s="1"/>
  <c r="CJ129" i="9"/>
  <c r="CL129" i="9"/>
  <c r="CH130" i="9"/>
  <c r="BP128" i="9"/>
  <c r="BQ128" i="9" s="1"/>
  <c r="BD128" i="9"/>
  <c r="BC129" i="9" s="1"/>
  <c r="BK128" i="9"/>
  <c r="BI130" i="9"/>
  <c r="BM130" i="9" s="1"/>
  <c r="AE128" i="9"/>
  <c r="AD129" i="9" s="1"/>
  <c r="AL128" i="9"/>
  <c r="AQ128" i="9"/>
  <c r="AR128" i="9" s="1"/>
  <c r="AN128" i="9"/>
  <c r="AJ129" i="9"/>
  <c r="K128" i="9"/>
  <c r="O127" i="9"/>
  <c r="R113" i="9"/>
  <c r="S113" i="9" s="1"/>
  <c r="E114" i="9"/>
  <c r="F114" i="9" s="1"/>
  <c r="M113" i="9"/>
  <c r="T292" i="9"/>
  <c r="T307" i="9" s="1"/>
  <c r="T317" i="9"/>
  <c r="T343" i="9" s="1"/>
  <c r="R11" i="5" s="1"/>
  <c r="DB150" i="7"/>
  <c r="GX150" i="7"/>
  <c r="J359" i="7" s="1"/>
  <c r="FY150" i="7"/>
  <c r="J336" i="7" s="1"/>
  <c r="EZ150" i="7"/>
  <c r="J313" i="7" s="1"/>
  <c r="EA150" i="7"/>
  <c r="DO150" i="7"/>
  <c r="J279" i="7" s="1"/>
  <c r="HK150" i="7"/>
  <c r="J372" i="7" s="1"/>
  <c r="FM150" i="7"/>
  <c r="J326" i="7" s="1"/>
  <c r="GL150" i="7"/>
  <c r="J349" i="7" s="1"/>
  <c r="EN150" i="7"/>
  <c r="J303" i="7" s="1"/>
  <c r="HG150" i="7"/>
  <c r="J368" i="7" s="1"/>
  <c r="GH150" i="7"/>
  <c r="J345" i="7" s="1"/>
  <c r="FI150" i="7"/>
  <c r="J322" i="7" s="1"/>
  <c r="EJ150" i="7"/>
  <c r="J299" i="7" s="1"/>
  <c r="GW155" i="7"/>
  <c r="O358" i="7" s="1"/>
  <c r="FX155" i="7"/>
  <c r="O335" i="7" s="1"/>
  <c r="GX76" i="7"/>
  <c r="GW77" i="7" s="1"/>
  <c r="HE76" i="7"/>
  <c r="HJ76" i="7"/>
  <c r="HK76" i="7" s="1"/>
  <c r="HC77" i="7"/>
  <c r="HG76" i="7"/>
  <c r="GD76" i="7"/>
  <c r="GH75" i="7"/>
  <c r="FY76" i="7"/>
  <c r="FX77" i="7" s="1"/>
  <c r="GK76" i="7"/>
  <c r="GL76" i="7" s="1"/>
  <c r="GF76" i="7"/>
  <c r="FI76" i="7"/>
  <c r="FE77" i="7"/>
  <c r="FL77" i="7"/>
  <c r="FM77" i="7" s="1"/>
  <c r="EZ77" i="7"/>
  <c r="EY78" i="7" s="1"/>
  <c r="FG77" i="7"/>
  <c r="EH77" i="7"/>
  <c r="EM77" i="7"/>
  <c r="EN77" i="7" s="1"/>
  <c r="EA77" i="7"/>
  <c r="DZ78" i="7" s="1"/>
  <c r="EJ77" i="7"/>
  <c r="EF78" i="7"/>
  <c r="DK76" i="7"/>
  <c r="DG77" i="7"/>
  <c r="DN77" i="7"/>
  <c r="DO77" i="7" s="1"/>
  <c r="DI77" i="7"/>
  <c r="DB77" i="7"/>
  <c r="DA78" i="7" s="1"/>
  <c r="CO65" i="8"/>
  <c r="CP65" i="8" s="1"/>
  <c r="CC65" i="8"/>
  <c r="CB66" i="8" s="1"/>
  <c r="CJ65" i="8"/>
  <c r="CL65" i="8"/>
  <c r="AN73" i="8"/>
  <c r="AJ74" i="8"/>
  <c r="DG72" i="8"/>
  <c r="DK71" i="8"/>
  <c r="R64" i="8"/>
  <c r="S64" i="8" s="1"/>
  <c r="F64" i="8"/>
  <c r="E65" i="8" s="1"/>
  <c r="M64" i="8"/>
  <c r="CH74" i="8"/>
  <c r="BP64" i="8"/>
  <c r="BQ64" i="8" s="1"/>
  <c r="BD64" i="8"/>
  <c r="BC65" i="8" s="1"/>
  <c r="BK64" i="8"/>
  <c r="K72" i="8"/>
  <c r="O71" i="8"/>
  <c r="M290" i="8"/>
  <c r="M315" i="8"/>
  <c r="BI73" i="8"/>
  <c r="BM72" i="8"/>
  <c r="DN72" i="8"/>
  <c r="DO72" i="8" s="1"/>
  <c r="DI72" i="8"/>
  <c r="DB72" i="8"/>
  <c r="DA73" i="8" s="1"/>
  <c r="AQ65" i="8"/>
  <c r="AR65" i="8" s="1"/>
  <c r="AE65" i="8"/>
  <c r="AD66" i="8" s="1"/>
  <c r="AL65" i="8"/>
  <c r="AR50" i="1"/>
  <c r="CL150" i="7"/>
  <c r="DK150" i="7"/>
  <c r="J275" i="7" s="1"/>
  <c r="AQ52" i="7"/>
  <c r="AR52" i="7" s="1"/>
  <c r="AL52" i="7"/>
  <c r="AE52" i="7"/>
  <c r="AD53" i="7" s="1"/>
  <c r="F49" i="7"/>
  <c r="E50" i="7" s="1"/>
  <c r="R49" i="7"/>
  <c r="M49" i="7"/>
  <c r="R48" i="7"/>
  <c r="S48" i="7" s="1"/>
  <c r="E151" i="7"/>
  <c r="R151" i="7" s="1"/>
  <c r="M48" i="7"/>
  <c r="CP150" i="7"/>
  <c r="BQ150" i="7"/>
  <c r="J231" i="7" s="1"/>
  <c r="CC150" i="7"/>
  <c r="CB48" i="7"/>
  <c r="S150" i="7"/>
  <c r="BI151" i="7"/>
  <c r="BI55" i="7"/>
  <c r="BM55" i="7" s="1"/>
  <c r="K54" i="7"/>
  <c r="O54" i="7" s="1"/>
  <c r="CH54" i="7"/>
  <c r="AJ53" i="7"/>
  <c r="AN53" i="7" s="1"/>
  <c r="BD150" i="7"/>
  <c r="AQ51" i="1"/>
  <c r="AE51" i="1"/>
  <c r="AD52" i="1" s="1"/>
  <c r="AL51" i="1"/>
  <c r="AJ52" i="1"/>
  <c r="BQ44" i="1"/>
  <c r="BP45" i="1"/>
  <c r="BK45" i="1"/>
  <c r="BI46" i="1"/>
  <c r="BD45" i="1"/>
  <c r="BC46" i="1" s="1"/>
  <c r="BX132" i="4"/>
  <c r="BZ132" i="4" s="1"/>
  <c r="U90" i="4"/>
  <c r="W90" i="4" s="1"/>
  <c r="DX48" i="4"/>
  <c r="DZ48" i="4" s="1"/>
  <c r="DR48" i="4"/>
  <c r="DR125" i="4"/>
  <c r="CC133" i="4"/>
  <c r="DC133" i="4"/>
  <c r="BR132" i="4"/>
  <c r="T11" i="4"/>
  <c r="CP11" i="4"/>
  <c r="CX132" i="4"/>
  <c r="CZ132" i="4" s="1"/>
  <c r="DX132" i="4"/>
  <c r="DZ132" i="4" s="1"/>
  <c r="BU125" i="4"/>
  <c r="BW125" i="4" s="1"/>
  <c r="O335" i="4"/>
  <c r="M20" i="4"/>
  <c r="DC49" i="4"/>
  <c r="DM48" i="4"/>
  <c r="DX125" i="4"/>
  <c r="DZ125" i="4" s="1"/>
  <c r="CX48" i="4"/>
  <c r="CZ48" i="4" s="1"/>
  <c r="DL12" i="4"/>
  <c r="DP12" i="4" s="1"/>
  <c r="DO48" i="4"/>
  <c r="BX21" i="4"/>
  <c r="BX182" i="4" s="1"/>
  <c r="G270" i="4" s="1"/>
  <c r="CU48" i="4"/>
  <c r="CW48" i="4" s="1"/>
  <c r="AN10" i="4"/>
  <c r="DC126" i="4"/>
  <c r="DX126" i="4" s="1"/>
  <c r="X20" i="4"/>
  <c r="Z20" i="4" s="1"/>
  <c r="DC91" i="4"/>
  <c r="X90" i="4"/>
  <c r="Z90" i="4" s="1"/>
  <c r="BC98" i="4"/>
  <c r="AU125" i="4"/>
  <c r="AW125" i="4" s="1"/>
  <c r="BU104" i="4"/>
  <c r="BW104" i="4" s="1"/>
  <c r="AX125" i="4"/>
  <c r="AZ125" i="4" s="1"/>
  <c r="O20" i="4"/>
  <c r="R20" i="4"/>
  <c r="C21" i="4"/>
  <c r="R21" i="4" s="1"/>
  <c r="R182" i="4" s="1"/>
  <c r="G216" i="4" s="1"/>
  <c r="C91" i="4"/>
  <c r="DX90" i="4"/>
  <c r="DZ90" i="4" s="1"/>
  <c r="BX97" i="4"/>
  <c r="BZ97" i="4" s="1"/>
  <c r="BR21" i="4"/>
  <c r="BR182" i="4" s="1"/>
  <c r="G264" i="4" s="1"/>
  <c r="CZ42" i="4"/>
  <c r="CX185" i="4"/>
  <c r="DZ42" i="4"/>
  <c r="DX185" i="4"/>
  <c r="DR198" i="4"/>
  <c r="W312" i="4" s="1"/>
  <c r="J292" i="4"/>
  <c r="CW185" i="4"/>
  <c r="J294" i="4" s="1"/>
  <c r="J315" i="4"/>
  <c r="DW185" i="4"/>
  <c r="J317" i="4" s="1"/>
  <c r="L13" i="4"/>
  <c r="P12" i="4"/>
  <c r="CN11" i="4"/>
  <c r="CS11" i="4"/>
  <c r="CG11" i="4"/>
  <c r="CF12" i="4" s="1"/>
  <c r="AP11" i="4"/>
  <c r="BX125" i="4"/>
  <c r="BZ125" i="4" s="1"/>
  <c r="CC49" i="4"/>
  <c r="CX49" i="4" s="1"/>
  <c r="S12" i="4"/>
  <c r="N12" i="4"/>
  <c r="BU132" i="4"/>
  <c r="BW132" i="4" s="1"/>
  <c r="CR48" i="4"/>
  <c r="DO76" i="4"/>
  <c r="CM71" i="4"/>
  <c r="BM71" i="4"/>
  <c r="AM71" i="4"/>
  <c r="DM71" i="4"/>
  <c r="M71" i="4"/>
  <c r="AM72" i="4"/>
  <c r="AM73" i="4"/>
  <c r="DM72" i="4"/>
  <c r="CM72" i="4"/>
  <c r="BM72" i="4"/>
  <c r="M72" i="4"/>
  <c r="DM74" i="4"/>
  <c r="M73" i="4"/>
  <c r="DM73" i="4"/>
  <c r="CM73" i="4"/>
  <c r="BM73" i="4"/>
  <c r="BM74" i="4"/>
  <c r="AM75" i="4"/>
  <c r="CM74" i="4"/>
  <c r="AM74" i="4"/>
  <c r="M74" i="4"/>
  <c r="DM75" i="4"/>
  <c r="AO76" i="4"/>
  <c r="CO76" i="4"/>
  <c r="BO76" i="4"/>
  <c r="R13" i="4"/>
  <c r="BM21" i="4"/>
  <c r="BM182" i="4" s="1"/>
  <c r="G259" i="4" s="1"/>
  <c r="BC126" i="4"/>
  <c r="BU126" i="4" s="1"/>
  <c r="BU197" i="4" s="1"/>
  <c r="V267" i="4" s="1"/>
  <c r="BX48" i="4"/>
  <c r="BZ48" i="4" s="1"/>
  <c r="BO21" i="4"/>
  <c r="BO182" i="4" s="1"/>
  <c r="G261" i="4" s="1"/>
  <c r="BR104" i="4"/>
  <c r="DT11" i="4"/>
  <c r="AU118" i="4"/>
  <c r="AW118" i="4" s="1"/>
  <c r="BX104" i="4"/>
  <c r="BZ104" i="4" s="1"/>
  <c r="DO71" i="4"/>
  <c r="CO71" i="4"/>
  <c r="AO71" i="4"/>
  <c r="BO71" i="4"/>
  <c r="BO72" i="4"/>
  <c r="DO72" i="4"/>
  <c r="AO72" i="4"/>
  <c r="CO72" i="4"/>
  <c r="DO73" i="4"/>
  <c r="AO73" i="4"/>
  <c r="AO74" i="4"/>
  <c r="DO74" i="4"/>
  <c r="CO73" i="4"/>
  <c r="BO73" i="4"/>
  <c r="BO74" i="4"/>
  <c r="CO74" i="4"/>
  <c r="AO75" i="4"/>
  <c r="BO75" i="4"/>
  <c r="CO75" i="4"/>
  <c r="DO75" i="4"/>
  <c r="BC49" i="4"/>
  <c r="BU49" i="4" s="1"/>
  <c r="BU186" i="4" s="1"/>
  <c r="K267" i="4" s="1"/>
  <c r="BU48" i="4"/>
  <c r="BW48" i="4" s="1"/>
  <c r="BO48" i="4"/>
  <c r="AX118" i="4"/>
  <c r="AZ118" i="4" s="1"/>
  <c r="AC98" i="4"/>
  <c r="AU97" i="4"/>
  <c r="AW97" i="4" s="1"/>
  <c r="AR97" i="4"/>
  <c r="AR118" i="4"/>
  <c r="CC21" i="4"/>
  <c r="CU21" i="4" s="1"/>
  <c r="CU182" i="4" s="1"/>
  <c r="CR20" i="4"/>
  <c r="CO20" i="4"/>
  <c r="CM20" i="4"/>
  <c r="CX20" i="4"/>
  <c r="CZ20" i="4" s="1"/>
  <c r="AS11" i="4"/>
  <c r="AG11" i="4"/>
  <c r="G12" i="4"/>
  <c r="F13" i="4" s="1"/>
  <c r="AU111" i="4"/>
  <c r="AW111" i="4" s="1"/>
  <c r="AR111" i="4"/>
  <c r="BR111" i="4"/>
  <c r="BU111" i="4"/>
  <c r="BW111" i="4" s="1"/>
  <c r="BX49" i="4"/>
  <c r="BX186" i="4" s="1"/>
  <c r="K270" i="4" s="1"/>
  <c r="BM49" i="4"/>
  <c r="BM186" i="4" s="1"/>
  <c r="K259" i="4" s="1"/>
  <c r="CO49" i="4"/>
  <c r="CO186" i="4" s="1"/>
  <c r="K286" i="4" s="1"/>
  <c r="CU27" i="4"/>
  <c r="CW27" i="4" s="1"/>
  <c r="CO27" i="4"/>
  <c r="CR27" i="4"/>
  <c r="CM27" i="4"/>
  <c r="AX133" i="4"/>
  <c r="AR133" i="4"/>
  <c r="AR198" i="4" s="1"/>
  <c r="W240" i="4" s="1"/>
  <c r="AU133" i="4"/>
  <c r="AU198" i="4" s="1"/>
  <c r="W243" i="4" s="1"/>
  <c r="CX98" i="4"/>
  <c r="CU98" i="4"/>
  <c r="CU193" i="4" s="1"/>
  <c r="CR98" i="4"/>
  <c r="CR193" i="4" s="1"/>
  <c r="R289" i="4" s="1"/>
  <c r="CX133" i="4"/>
  <c r="CX198" i="4" s="1"/>
  <c r="CU133" i="4"/>
  <c r="CU198" i="4" s="1"/>
  <c r="CR133" i="4"/>
  <c r="CR198" i="4" s="1"/>
  <c r="W289" i="4" s="1"/>
  <c r="DX56" i="4"/>
  <c r="DX187" i="4" s="1"/>
  <c r="DR56" i="4"/>
  <c r="DR187" i="4" s="1"/>
  <c r="L312" i="4" s="1"/>
  <c r="DU56" i="4"/>
  <c r="DU187" i="4" s="1"/>
  <c r="DO56" i="4"/>
  <c r="DO187" i="4" s="1"/>
  <c r="L309" i="4" s="1"/>
  <c r="DM56" i="4"/>
  <c r="DM187" i="4" s="1"/>
  <c r="L307" i="4" s="1"/>
  <c r="CX77" i="4"/>
  <c r="CX190" i="4" s="1"/>
  <c r="CU77" i="4"/>
  <c r="CU190" i="4" s="1"/>
  <c r="CM77" i="4"/>
  <c r="CM190" i="4" s="1"/>
  <c r="O284" i="4" s="1"/>
  <c r="CR77" i="4"/>
  <c r="CR190" i="4" s="1"/>
  <c r="O289" i="4" s="1"/>
  <c r="CO77" i="4"/>
  <c r="CO190" i="4" s="1"/>
  <c r="O286" i="4" s="1"/>
  <c r="DX98" i="4"/>
  <c r="DX193" i="4" s="1"/>
  <c r="DU98" i="4"/>
  <c r="DU193" i="4" s="1"/>
  <c r="DR98" i="4"/>
  <c r="DR193" i="4" s="1"/>
  <c r="R312" i="4" s="1"/>
  <c r="AU69" i="4"/>
  <c r="AW69" i="4" s="1"/>
  <c r="AM69" i="4"/>
  <c r="AO69" i="4"/>
  <c r="AR69" i="4"/>
  <c r="AX105" i="4"/>
  <c r="AX194" i="4" s="1"/>
  <c r="S246" i="4" s="1"/>
  <c r="AU105" i="4"/>
  <c r="AU194" i="4" s="1"/>
  <c r="S243" i="4" s="1"/>
  <c r="AR105" i="4"/>
  <c r="AR194" i="4" s="1"/>
  <c r="S240" i="4" s="1"/>
  <c r="DU69" i="4"/>
  <c r="DW69" i="4" s="1"/>
  <c r="DR69" i="4"/>
  <c r="DO69" i="4"/>
  <c r="DM69" i="4"/>
  <c r="DX91" i="4"/>
  <c r="DX192" i="4" s="1"/>
  <c r="DR91" i="4"/>
  <c r="DR192" i="4" s="1"/>
  <c r="Q312" i="4" s="1"/>
  <c r="DU91" i="4"/>
  <c r="DU192" i="4" s="1"/>
  <c r="BU118" i="4"/>
  <c r="BW118" i="4" s="1"/>
  <c r="BR118" i="4"/>
  <c r="CU34" i="4"/>
  <c r="CW34" i="4" s="1"/>
  <c r="CR34" i="4"/>
  <c r="CM34" i="4"/>
  <c r="CO34" i="4"/>
  <c r="AU83" i="4"/>
  <c r="AW83" i="4" s="1"/>
  <c r="AR83" i="4"/>
  <c r="BX77" i="4"/>
  <c r="BU77" i="4"/>
  <c r="BU190" i="4" s="1"/>
  <c r="O267" i="4" s="1"/>
  <c r="BR77" i="4"/>
  <c r="BR190" i="4" s="1"/>
  <c r="O264" i="4" s="1"/>
  <c r="BO77" i="4"/>
  <c r="BO190" i="4" s="1"/>
  <c r="O261" i="4" s="1"/>
  <c r="BM77" i="4"/>
  <c r="BM190" i="4" s="1"/>
  <c r="O259" i="4" s="1"/>
  <c r="DX105" i="4"/>
  <c r="DX194" i="4" s="1"/>
  <c r="DU105" i="4"/>
  <c r="DU194" i="4" s="1"/>
  <c r="DR105" i="4"/>
  <c r="DR194" i="4" s="1"/>
  <c r="S312" i="4" s="1"/>
  <c r="AM20" i="4"/>
  <c r="AO20" i="4"/>
  <c r="AR20" i="4"/>
  <c r="AU20" i="4"/>
  <c r="AW20" i="4" s="1"/>
  <c r="AC21" i="4"/>
  <c r="AX20" i="4"/>
  <c r="AZ20" i="4" s="1"/>
  <c r="AO27" i="4"/>
  <c r="AU27" i="4"/>
  <c r="AW27" i="4" s="1"/>
  <c r="AM27" i="4"/>
  <c r="AR27" i="4"/>
  <c r="BX56" i="4"/>
  <c r="BX187" i="4" s="1"/>
  <c r="L270" i="4" s="1"/>
  <c r="BR56" i="4"/>
  <c r="BR187" i="4" s="1"/>
  <c r="L264" i="4" s="1"/>
  <c r="BO56" i="4"/>
  <c r="BO187" i="4" s="1"/>
  <c r="L261" i="4" s="1"/>
  <c r="BU56" i="4"/>
  <c r="BU187" i="4" s="1"/>
  <c r="L267" i="4" s="1"/>
  <c r="BM56" i="4"/>
  <c r="BM187" i="4" s="1"/>
  <c r="L259" i="4" s="1"/>
  <c r="CU83" i="4"/>
  <c r="CW83" i="4" s="1"/>
  <c r="CR83" i="4"/>
  <c r="BU34" i="4"/>
  <c r="BW34" i="4" s="1"/>
  <c r="BM34" i="4"/>
  <c r="BR34" i="4"/>
  <c r="BO34" i="4"/>
  <c r="AX42" i="4"/>
  <c r="AX185" i="4" s="1"/>
  <c r="J246" i="4" s="1"/>
  <c r="AU42" i="4"/>
  <c r="AU185" i="4" s="1"/>
  <c r="J243" i="4" s="1"/>
  <c r="AM42" i="4"/>
  <c r="AM185" i="4" s="1"/>
  <c r="J235" i="4" s="1"/>
  <c r="AR42" i="4"/>
  <c r="AR185" i="4" s="1"/>
  <c r="J240" i="4" s="1"/>
  <c r="AO42" i="4"/>
  <c r="AO185" i="4" s="1"/>
  <c r="J237" i="4" s="1"/>
  <c r="DR27" i="4"/>
  <c r="DU27" i="4"/>
  <c r="DW27" i="4" s="1"/>
  <c r="DO27" i="4"/>
  <c r="DM27" i="4"/>
  <c r="AM48" i="4"/>
  <c r="AO48" i="4"/>
  <c r="AR48" i="4"/>
  <c r="AU48" i="4"/>
  <c r="AW48" i="4" s="1"/>
  <c r="AU62" i="4"/>
  <c r="AW62" i="4" s="1"/>
  <c r="AM62" i="4"/>
  <c r="AR62" i="4"/>
  <c r="AO62" i="4"/>
  <c r="CU69" i="4"/>
  <c r="CW69" i="4" s="1"/>
  <c r="CM69" i="4"/>
  <c r="CR69" i="4"/>
  <c r="CO69" i="4"/>
  <c r="DX49" i="4"/>
  <c r="DU49" i="4"/>
  <c r="DU186" i="4" s="1"/>
  <c r="DR49" i="4"/>
  <c r="DR186" i="4" s="1"/>
  <c r="K312" i="4" s="1"/>
  <c r="DO49" i="4"/>
  <c r="DO186" i="4" s="1"/>
  <c r="K309" i="4" s="1"/>
  <c r="DM49" i="4"/>
  <c r="DM186" i="4" s="1"/>
  <c r="K307" i="4" s="1"/>
  <c r="CX105" i="4"/>
  <c r="CU105" i="4"/>
  <c r="CU194" i="4" s="1"/>
  <c r="CR105" i="4"/>
  <c r="CR194" i="4" s="1"/>
  <c r="S289" i="4" s="1"/>
  <c r="CX119" i="4"/>
  <c r="CR119" i="4"/>
  <c r="CR196" i="4" s="1"/>
  <c r="U289" i="4" s="1"/>
  <c r="CU119" i="4"/>
  <c r="CU196" i="4" s="1"/>
  <c r="DU118" i="4"/>
  <c r="DW118" i="4" s="1"/>
  <c r="DR118" i="4"/>
  <c r="AX56" i="4"/>
  <c r="AX187" i="4" s="1"/>
  <c r="L246" i="4" s="1"/>
  <c r="AM56" i="4"/>
  <c r="AM187" i="4" s="1"/>
  <c r="L235" i="4" s="1"/>
  <c r="AO56" i="4"/>
  <c r="AO187" i="4" s="1"/>
  <c r="L237" i="4" s="1"/>
  <c r="AR56" i="4"/>
  <c r="AR187" i="4" s="1"/>
  <c r="L240" i="4" s="1"/>
  <c r="AU56" i="4"/>
  <c r="AU187" i="4" s="1"/>
  <c r="L243" i="4" s="1"/>
  <c r="AX77" i="4"/>
  <c r="AX190" i="4" s="1"/>
  <c r="O246" i="4" s="1"/>
  <c r="AU77" i="4"/>
  <c r="AU190" i="4" s="1"/>
  <c r="O243" i="4" s="1"/>
  <c r="AM77" i="4"/>
  <c r="AM190" i="4" s="1"/>
  <c r="O235" i="4" s="1"/>
  <c r="AO77" i="4"/>
  <c r="AO190" i="4" s="1"/>
  <c r="O237" i="4" s="1"/>
  <c r="AR77" i="4"/>
  <c r="AR190" i="4" s="1"/>
  <c r="O240" i="4" s="1"/>
  <c r="DX77" i="4"/>
  <c r="DX190" i="4" s="1"/>
  <c r="DU77" i="4"/>
  <c r="DU190" i="4" s="1"/>
  <c r="DR77" i="4"/>
  <c r="DR190" i="4" s="1"/>
  <c r="O312" i="4" s="1"/>
  <c r="DO77" i="4"/>
  <c r="DO190" i="4" s="1"/>
  <c r="O309" i="4" s="1"/>
  <c r="DM77" i="4"/>
  <c r="DM190" i="4" s="1"/>
  <c r="O307" i="4" s="1"/>
  <c r="DR20" i="4"/>
  <c r="DU20" i="4"/>
  <c r="DW20" i="4" s="1"/>
  <c r="DO20" i="4"/>
  <c r="DM20" i="4"/>
  <c r="DC21" i="4"/>
  <c r="DX20" i="4"/>
  <c r="DZ20" i="4" s="1"/>
  <c r="DX133" i="4"/>
  <c r="DX198" i="4" s="1"/>
  <c r="DR133" i="4"/>
  <c r="DU133" i="4"/>
  <c r="DU198" i="4" s="1"/>
  <c r="BX105" i="4"/>
  <c r="BX194" i="4" s="1"/>
  <c r="S270" i="4" s="1"/>
  <c r="BU105" i="4"/>
  <c r="BU194" i="4" s="1"/>
  <c r="S267" i="4" s="1"/>
  <c r="BR105" i="4"/>
  <c r="BR194" i="4" s="1"/>
  <c r="S264" i="4" s="1"/>
  <c r="CR62" i="4"/>
  <c r="CU62" i="4"/>
  <c r="CW62" i="4" s="1"/>
  <c r="CM62" i="4"/>
  <c r="CO62" i="4"/>
  <c r="AX119" i="4"/>
  <c r="AX196" i="4" s="1"/>
  <c r="U246" i="4" s="1"/>
  <c r="AU119" i="4"/>
  <c r="AU196" i="4" s="1"/>
  <c r="U243" i="4" s="1"/>
  <c r="AR119" i="4"/>
  <c r="AR196" i="4" s="1"/>
  <c r="U240" i="4" s="1"/>
  <c r="DR111" i="4"/>
  <c r="DU111" i="4"/>
  <c r="DW111" i="4" s="1"/>
  <c r="DR83" i="4"/>
  <c r="DU83" i="4"/>
  <c r="DW83" i="4" s="1"/>
  <c r="CU90" i="4"/>
  <c r="CW90" i="4" s="1"/>
  <c r="CR90" i="4"/>
  <c r="CX56" i="4"/>
  <c r="CX187" i="4" s="1"/>
  <c r="CU56" i="4"/>
  <c r="CU187" i="4" s="1"/>
  <c r="CM56" i="4"/>
  <c r="CM187" i="4" s="1"/>
  <c r="L284" i="4" s="1"/>
  <c r="CO56" i="4"/>
  <c r="CO187" i="4" s="1"/>
  <c r="L286" i="4" s="1"/>
  <c r="CR56" i="4"/>
  <c r="CR187" i="4" s="1"/>
  <c r="L289" i="4" s="1"/>
  <c r="BU69" i="4"/>
  <c r="BW69" i="4" s="1"/>
  <c r="BR69" i="4"/>
  <c r="BO69" i="4"/>
  <c r="BM69" i="4"/>
  <c r="DR126" i="4"/>
  <c r="DR197" i="4" s="1"/>
  <c r="V312" i="4" s="1"/>
  <c r="AU90" i="4"/>
  <c r="AW90" i="4" s="1"/>
  <c r="AR90" i="4"/>
  <c r="BR83" i="4"/>
  <c r="BU83" i="4"/>
  <c r="BW83" i="4" s="1"/>
  <c r="CX126" i="4"/>
  <c r="CX197" i="4" s="1"/>
  <c r="CU126" i="4"/>
  <c r="CU197" i="4" s="1"/>
  <c r="CR126" i="4"/>
  <c r="CR197" i="4" s="1"/>
  <c r="V289" i="4" s="1"/>
  <c r="AU34" i="4"/>
  <c r="AW34" i="4" s="1"/>
  <c r="AM34" i="4"/>
  <c r="AR34" i="4"/>
  <c r="AO34" i="4"/>
  <c r="BO27" i="4"/>
  <c r="BU27" i="4"/>
  <c r="BW27" i="4" s="1"/>
  <c r="BR27" i="4"/>
  <c r="BM27" i="4"/>
  <c r="BU62" i="4"/>
  <c r="BW62" i="4" s="1"/>
  <c r="BR62" i="4"/>
  <c r="BO62" i="4"/>
  <c r="BM62" i="4"/>
  <c r="AU13" i="4"/>
  <c r="AW13" i="4" s="1"/>
  <c r="AO13" i="4"/>
  <c r="AR13" i="4"/>
  <c r="BU90" i="4"/>
  <c r="BW90" i="4" s="1"/>
  <c r="BR90" i="4"/>
  <c r="CU13" i="4"/>
  <c r="CW13" i="4" s="1"/>
  <c r="CR13" i="4"/>
  <c r="CO13" i="4"/>
  <c r="DG12" i="4"/>
  <c r="DF13" i="4" s="1"/>
  <c r="DN13" i="4" s="1"/>
  <c r="DS12" i="4"/>
  <c r="AX126" i="4"/>
  <c r="AU126" i="4"/>
  <c r="AU197" i="4" s="1"/>
  <c r="V243" i="4" s="1"/>
  <c r="AR126" i="4"/>
  <c r="AR197" i="4" s="1"/>
  <c r="V240" i="4" s="1"/>
  <c r="CU111" i="4"/>
  <c r="CW111" i="4" s="1"/>
  <c r="CR111" i="4"/>
  <c r="DU13" i="4"/>
  <c r="DW13" i="4" s="1"/>
  <c r="DR13" i="4"/>
  <c r="DO13" i="4"/>
  <c r="AX98" i="4"/>
  <c r="AU98" i="4"/>
  <c r="AU193" i="4" s="1"/>
  <c r="R243" i="4" s="1"/>
  <c r="AR98" i="4"/>
  <c r="AR193" i="4" s="1"/>
  <c r="R240" i="4" s="1"/>
  <c r="DU62" i="4"/>
  <c r="DW62" i="4" s="1"/>
  <c r="DR62" i="4"/>
  <c r="DM62" i="4"/>
  <c r="DO62" i="4"/>
  <c r="BU13" i="4"/>
  <c r="BW13" i="4" s="1"/>
  <c r="BR13" i="4"/>
  <c r="BO13" i="4"/>
  <c r="BX13" i="4"/>
  <c r="BZ13" i="4" s="1"/>
  <c r="DU34" i="4"/>
  <c r="DW34" i="4" s="1"/>
  <c r="DO34" i="4"/>
  <c r="DR34" i="4"/>
  <c r="DM34" i="4"/>
  <c r="BX98" i="4"/>
  <c r="BX193" i="4" s="1"/>
  <c r="R270" i="4" s="1"/>
  <c r="BU98" i="4"/>
  <c r="BU193" i="4" s="1"/>
  <c r="R267" i="4" s="1"/>
  <c r="BR98" i="4"/>
  <c r="BR193" i="4" s="1"/>
  <c r="R264" i="4" s="1"/>
  <c r="BU41" i="4"/>
  <c r="BW41" i="4" s="1"/>
  <c r="BR41" i="4"/>
  <c r="BO41" i="4"/>
  <c r="BM41" i="4"/>
  <c r="BX41" i="4"/>
  <c r="BZ41" i="4" s="1"/>
  <c r="BC42" i="4"/>
  <c r="BX133" i="4"/>
  <c r="BX198" i="4" s="1"/>
  <c r="W270" i="4" s="1"/>
  <c r="BU133" i="4"/>
  <c r="BU198" i="4" s="1"/>
  <c r="W267" i="4" s="1"/>
  <c r="BR133" i="4"/>
  <c r="BR198" i="4" s="1"/>
  <c r="W264" i="4" s="1"/>
  <c r="BG13" i="4"/>
  <c r="BF14" i="4" s="1"/>
  <c r="BN14" i="4" s="1"/>
  <c r="BS13" i="4"/>
  <c r="O68" i="4"/>
  <c r="O64" i="4"/>
  <c r="O65" i="4"/>
  <c r="O66" i="4"/>
  <c r="O67" i="4"/>
  <c r="CC91" i="4"/>
  <c r="CX90" i="4"/>
  <c r="CZ90" i="4" s="1"/>
  <c r="DX118" i="4"/>
  <c r="DZ118" i="4" s="1"/>
  <c r="DC119" i="4"/>
  <c r="AX83" i="4"/>
  <c r="AZ83" i="4" s="1"/>
  <c r="AC84" i="4"/>
  <c r="BX90" i="4"/>
  <c r="BZ90" i="4" s="1"/>
  <c r="BC91" i="4"/>
  <c r="X111" i="4"/>
  <c r="Z111" i="4" s="1"/>
  <c r="R111" i="4"/>
  <c r="C112" i="4"/>
  <c r="U111" i="4"/>
  <c r="W111" i="4" s="1"/>
  <c r="CL12" i="4"/>
  <c r="BX83" i="4"/>
  <c r="BZ83" i="4" s="1"/>
  <c r="BC84" i="4"/>
  <c r="R132" i="4"/>
  <c r="C133" i="4"/>
  <c r="DW132" i="4"/>
  <c r="CW132" i="4"/>
  <c r="AW132" i="4"/>
  <c r="U132" i="4"/>
  <c r="W132" i="4" s="1"/>
  <c r="X132" i="4"/>
  <c r="Z132" i="4" s="1"/>
  <c r="BX111" i="4"/>
  <c r="BZ111" i="4" s="1"/>
  <c r="BC112" i="4"/>
  <c r="CX62" i="4"/>
  <c r="CZ62" i="4" s="1"/>
  <c r="CC63" i="4"/>
  <c r="X91" i="4"/>
  <c r="X192" i="4" s="1"/>
  <c r="Q222" i="4" s="1"/>
  <c r="R91" i="4"/>
  <c r="R192" i="4" s="1"/>
  <c r="Q216" i="4" s="1"/>
  <c r="U91" i="4"/>
  <c r="U192" i="4" s="1"/>
  <c r="Q219" i="4" s="1"/>
  <c r="AC49" i="4"/>
  <c r="AX48" i="4"/>
  <c r="AZ48" i="4" s="1"/>
  <c r="CX27" i="4"/>
  <c r="CZ27" i="4" s="1"/>
  <c r="CC28" i="4"/>
  <c r="BX118" i="4"/>
  <c r="BZ118" i="4" s="1"/>
  <c r="BC119" i="4"/>
  <c r="X83" i="4"/>
  <c r="Z83" i="4" s="1"/>
  <c r="R83" i="4"/>
  <c r="C84" i="4"/>
  <c r="U83" i="4"/>
  <c r="W83" i="4" s="1"/>
  <c r="DX83" i="4"/>
  <c r="DZ83" i="4" s="1"/>
  <c r="DC84" i="4"/>
  <c r="BL12" i="4"/>
  <c r="BP12" i="4" s="1"/>
  <c r="BC14" i="4"/>
  <c r="C49" i="4"/>
  <c r="DW48" i="4"/>
  <c r="U48" i="4"/>
  <c r="W48" i="4" s="1"/>
  <c r="O48" i="4"/>
  <c r="X48" i="4"/>
  <c r="Z48" i="4" s="1"/>
  <c r="R48" i="4"/>
  <c r="M48" i="4"/>
  <c r="AX13" i="4"/>
  <c r="AZ13" i="4" s="1"/>
  <c r="AC14" i="4"/>
  <c r="DX27" i="4"/>
  <c r="DZ27" i="4" s="1"/>
  <c r="DC28" i="4"/>
  <c r="DL13" i="4"/>
  <c r="DX62" i="4"/>
  <c r="DZ62" i="4" s="1"/>
  <c r="DC63" i="4"/>
  <c r="AL14" i="4"/>
  <c r="AL181" i="4" s="1"/>
  <c r="F234" i="4" s="1"/>
  <c r="AX111" i="4"/>
  <c r="AZ111" i="4" s="1"/>
  <c r="AC112" i="4"/>
  <c r="CX83" i="4"/>
  <c r="CZ83" i="4" s="1"/>
  <c r="CC84" i="4"/>
  <c r="AC70" i="4"/>
  <c r="AX69" i="4"/>
  <c r="AZ69" i="4" s="1"/>
  <c r="C331" i="4"/>
  <c r="AC35" i="4"/>
  <c r="AX34" i="4"/>
  <c r="AZ34" i="4" s="1"/>
  <c r="BX34" i="4"/>
  <c r="BZ34" i="4" s="1"/>
  <c r="BC35" i="4"/>
  <c r="DC70" i="4"/>
  <c r="DX69" i="4"/>
  <c r="DZ69" i="4" s="1"/>
  <c r="O27" i="4"/>
  <c r="C28" i="4"/>
  <c r="X27" i="4"/>
  <c r="Z27" i="4" s="1"/>
  <c r="M27" i="4"/>
  <c r="U27" i="4"/>
  <c r="W27" i="4" s="1"/>
  <c r="R27" i="4"/>
  <c r="CX111" i="4"/>
  <c r="CZ111" i="4" s="1"/>
  <c r="CC112" i="4"/>
  <c r="R76" i="4"/>
  <c r="M76" i="4"/>
  <c r="C77" i="4"/>
  <c r="DW76" i="4"/>
  <c r="CW76" i="4"/>
  <c r="BW76" i="4"/>
  <c r="AW76" i="4"/>
  <c r="U76" i="4"/>
  <c r="W76" i="4" s="1"/>
  <c r="O76" i="4"/>
  <c r="X76" i="4"/>
  <c r="Z76" i="4" s="1"/>
  <c r="U126" i="4"/>
  <c r="U197" i="4" s="1"/>
  <c r="V219" i="4" s="1"/>
  <c r="X126" i="4"/>
  <c r="X197" i="4" s="1"/>
  <c r="V222" i="4" s="1"/>
  <c r="R126" i="4"/>
  <c r="R197" i="4" s="1"/>
  <c r="V216" i="4" s="1"/>
  <c r="DX111" i="4"/>
  <c r="DZ111" i="4" s="1"/>
  <c r="DC112" i="4"/>
  <c r="X62" i="4"/>
  <c r="Z62" i="4" s="1"/>
  <c r="R62" i="4"/>
  <c r="M62" i="4"/>
  <c r="C63" i="4"/>
  <c r="U62" i="4"/>
  <c r="W62" i="4" s="1"/>
  <c r="O62" i="4"/>
  <c r="BC70" i="4"/>
  <c r="BX69" i="4"/>
  <c r="BZ69" i="4" s="1"/>
  <c r="AX90" i="4"/>
  <c r="AZ90" i="4" s="1"/>
  <c r="AC91" i="4"/>
  <c r="O42" i="4"/>
  <c r="O185" i="4" s="1"/>
  <c r="J213" i="4" s="1"/>
  <c r="X42" i="4"/>
  <c r="X185" i="4" s="1"/>
  <c r="J222" i="4" s="1"/>
  <c r="R42" i="4"/>
  <c r="R185" i="4" s="1"/>
  <c r="J216" i="4" s="1"/>
  <c r="M42" i="4"/>
  <c r="M185" i="4" s="1"/>
  <c r="J211" i="4" s="1"/>
  <c r="U42" i="4"/>
  <c r="U185" i="4" s="1"/>
  <c r="J219" i="4" s="1"/>
  <c r="X13" i="4"/>
  <c r="Z13" i="4" s="1"/>
  <c r="O13" i="4"/>
  <c r="C14" i="4"/>
  <c r="U13" i="4"/>
  <c r="W13" i="4" s="1"/>
  <c r="CX13" i="4"/>
  <c r="CZ13" i="4" s="1"/>
  <c r="CC14" i="4"/>
  <c r="CF181" i="4" s="1"/>
  <c r="F277" i="4" s="1"/>
  <c r="X98" i="4"/>
  <c r="X193" i="4" s="1"/>
  <c r="R222" i="4" s="1"/>
  <c r="U98" i="4"/>
  <c r="U193" i="4" s="1"/>
  <c r="R219" i="4" s="1"/>
  <c r="R98" i="4"/>
  <c r="R193" i="4" s="1"/>
  <c r="R216" i="4" s="1"/>
  <c r="O34" i="4"/>
  <c r="C35" i="4"/>
  <c r="X34" i="4"/>
  <c r="Z34" i="4" s="1"/>
  <c r="R34" i="4"/>
  <c r="U34" i="4"/>
  <c r="W34" i="4" s="1"/>
  <c r="M34" i="4"/>
  <c r="R55" i="4"/>
  <c r="M55" i="4"/>
  <c r="C56" i="4"/>
  <c r="DW55" i="4"/>
  <c r="CW55" i="4"/>
  <c r="BW55" i="4"/>
  <c r="AW55" i="4"/>
  <c r="U55" i="4"/>
  <c r="W55" i="4" s="1"/>
  <c r="O55" i="4"/>
  <c r="X55" i="4"/>
  <c r="Z55" i="4" s="1"/>
  <c r="BX27" i="4"/>
  <c r="BZ27" i="4" s="1"/>
  <c r="BC28" i="4"/>
  <c r="BX62" i="4"/>
  <c r="BZ62" i="4" s="1"/>
  <c r="BC63" i="4"/>
  <c r="W119" i="4"/>
  <c r="W196" i="4" s="1"/>
  <c r="U221" i="4" s="1"/>
  <c r="Z119" i="4"/>
  <c r="Z196" i="4" s="1"/>
  <c r="U224" i="4" s="1"/>
  <c r="DX13" i="4"/>
  <c r="DZ13" i="4" s="1"/>
  <c r="DC14" i="4"/>
  <c r="DF181" i="4" s="1"/>
  <c r="F300" i="4" s="1"/>
  <c r="AX62" i="4"/>
  <c r="AZ62" i="4" s="1"/>
  <c r="AC63" i="4"/>
  <c r="R105" i="4"/>
  <c r="R194" i="4" s="1"/>
  <c r="S216" i="4" s="1"/>
  <c r="U105" i="4"/>
  <c r="U194" i="4" s="1"/>
  <c r="S219" i="4" s="1"/>
  <c r="X105" i="4"/>
  <c r="X194" i="4" s="1"/>
  <c r="S222" i="4" s="1"/>
  <c r="CC70" i="4"/>
  <c r="CX69" i="4"/>
  <c r="CZ69" i="4" s="1"/>
  <c r="CX34" i="4"/>
  <c r="CZ34" i="4" s="1"/>
  <c r="CC35" i="4"/>
  <c r="AC28" i="4"/>
  <c r="AX27" i="4"/>
  <c r="AZ27" i="4" s="1"/>
  <c r="C70" i="4"/>
  <c r="U69" i="4"/>
  <c r="W69" i="4" s="1"/>
  <c r="O69" i="4"/>
  <c r="X69" i="4"/>
  <c r="Z69" i="4" s="1"/>
  <c r="M69" i="4"/>
  <c r="R69" i="4"/>
  <c r="DX34" i="4"/>
  <c r="DZ34" i="4" s="1"/>
  <c r="DC35" i="4"/>
  <c r="C268" i="1"/>
  <c r="DK129" i="9" l="1"/>
  <c r="DG130" i="9"/>
  <c r="DI129" i="9"/>
  <c r="DN129" i="9"/>
  <c r="DO129" i="9" s="1"/>
  <c r="DB129" i="9"/>
  <c r="DA130" i="9" s="1"/>
  <c r="CJ130" i="9"/>
  <c r="CO130" i="9"/>
  <c r="CP130" i="9" s="1"/>
  <c r="CC130" i="9"/>
  <c r="CB131" i="9" s="1"/>
  <c r="CL130" i="9"/>
  <c r="CH131" i="9"/>
  <c r="BP129" i="9"/>
  <c r="BQ129" i="9" s="1"/>
  <c r="BD129" i="9"/>
  <c r="BC130" i="9" s="1"/>
  <c r="BK129" i="9"/>
  <c r="BI131" i="9"/>
  <c r="BM131" i="9" s="1"/>
  <c r="AN129" i="9"/>
  <c r="AJ130" i="9"/>
  <c r="AQ129" i="9"/>
  <c r="AR129" i="9" s="1"/>
  <c r="AE129" i="9"/>
  <c r="AD130" i="9" s="1"/>
  <c r="AL129" i="9"/>
  <c r="T300" i="9"/>
  <c r="T328" i="9" s="1"/>
  <c r="T331" i="9"/>
  <c r="T302" i="9"/>
  <c r="T329" i="9" s="1"/>
  <c r="O128" i="9"/>
  <c r="K129" i="9"/>
  <c r="R114" i="9"/>
  <c r="S114" i="9" s="1"/>
  <c r="E115" i="9"/>
  <c r="F115" i="9" s="1"/>
  <c r="M114" i="9"/>
  <c r="J266" i="7"/>
  <c r="J290" i="7"/>
  <c r="J251" i="7"/>
  <c r="DG151" i="7"/>
  <c r="K271" i="7" s="1"/>
  <c r="HC151" i="7"/>
  <c r="K364" i="7" s="1"/>
  <c r="GD151" i="7"/>
  <c r="K341" i="7" s="1"/>
  <c r="FE151" i="7"/>
  <c r="K318" i="7" s="1"/>
  <c r="EF151" i="7"/>
  <c r="K295" i="7" s="1"/>
  <c r="DA151" i="7"/>
  <c r="K265" i="7" s="1"/>
  <c r="GW151" i="7"/>
  <c r="K358" i="7" s="1"/>
  <c r="FX151" i="7"/>
  <c r="K335" i="7" s="1"/>
  <c r="EY151" i="7"/>
  <c r="K312" i="7" s="1"/>
  <c r="DZ151" i="7"/>
  <c r="K289" i="7" s="1"/>
  <c r="HJ77" i="7"/>
  <c r="HK77" i="7" s="1"/>
  <c r="GX77" i="7"/>
  <c r="GW78" i="7" s="1"/>
  <c r="HE77" i="7"/>
  <c r="HG77" i="7"/>
  <c r="HC78" i="7"/>
  <c r="GF77" i="7"/>
  <c r="GK77" i="7"/>
  <c r="GL77" i="7" s="1"/>
  <c r="FY77" i="7"/>
  <c r="FX78" i="7" s="1"/>
  <c r="GD77" i="7"/>
  <c r="GH76" i="7"/>
  <c r="FE78" i="7"/>
  <c r="FI77" i="7"/>
  <c r="EZ78" i="7"/>
  <c r="EY79" i="7" s="1"/>
  <c r="FL78" i="7"/>
  <c r="FM78" i="7" s="1"/>
  <c r="FG78" i="7"/>
  <c r="EM78" i="7"/>
  <c r="EN78" i="7" s="1"/>
  <c r="EA78" i="7"/>
  <c r="DZ79" i="7" s="1"/>
  <c r="EH78" i="7"/>
  <c r="EJ78" i="7"/>
  <c r="EF79" i="7"/>
  <c r="DG78" i="7"/>
  <c r="DK77" i="7"/>
  <c r="DN78" i="7"/>
  <c r="DO78" i="7" s="1"/>
  <c r="DB78" i="7"/>
  <c r="DA79" i="7" s="1"/>
  <c r="DI78" i="7"/>
  <c r="DO73" i="8"/>
  <c r="DG73" i="8"/>
  <c r="DK72" i="8"/>
  <c r="DN73" i="8"/>
  <c r="DI73" i="8"/>
  <c r="DB73" i="8"/>
  <c r="DA74" i="8" s="1"/>
  <c r="BM73" i="8"/>
  <c r="BI74" i="8"/>
  <c r="O72" i="8"/>
  <c r="K73" i="8"/>
  <c r="M65" i="8"/>
  <c r="F65" i="8"/>
  <c r="E66" i="8" s="1"/>
  <c r="R65" i="8"/>
  <c r="S65" i="8" s="1"/>
  <c r="AN74" i="8"/>
  <c r="AJ75" i="8"/>
  <c r="CC66" i="8"/>
  <c r="CB67" i="8" s="1"/>
  <c r="CO66" i="8"/>
  <c r="CP66" i="8" s="1"/>
  <c r="CJ66" i="8"/>
  <c r="CL66" i="8"/>
  <c r="AQ66" i="8"/>
  <c r="AR66" i="8" s="1"/>
  <c r="AL66" i="8"/>
  <c r="AE66" i="8"/>
  <c r="AD67" i="8" s="1"/>
  <c r="M298" i="8"/>
  <c r="M326" i="8" s="1"/>
  <c r="M305" i="8"/>
  <c r="M329" i="8" s="1"/>
  <c r="M300" i="8"/>
  <c r="M327" i="8" s="1"/>
  <c r="BP65" i="8"/>
  <c r="BQ65" i="8" s="1"/>
  <c r="BK65" i="8"/>
  <c r="BD65" i="8"/>
  <c r="BC66" i="8" s="1"/>
  <c r="CH75" i="8"/>
  <c r="J183" i="7"/>
  <c r="J399" i="7" s="1"/>
  <c r="J423" i="7" s="1"/>
  <c r="J184" i="7"/>
  <c r="M151" i="7"/>
  <c r="K169" i="7"/>
  <c r="AR51" i="1"/>
  <c r="J255" i="7"/>
  <c r="J242" i="7"/>
  <c r="K223" i="7"/>
  <c r="J218" i="7"/>
  <c r="S49" i="7"/>
  <c r="AQ53" i="7"/>
  <c r="AR53" i="7" s="1"/>
  <c r="AL53" i="7"/>
  <c r="AE53" i="7"/>
  <c r="AD54" i="7" s="1"/>
  <c r="F50" i="7"/>
  <c r="E51" i="7" s="1"/>
  <c r="R50" i="7"/>
  <c r="M50" i="7"/>
  <c r="AJ54" i="7"/>
  <c r="AN54" i="7" s="1"/>
  <c r="CH151" i="7"/>
  <c r="CH55" i="7"/>
  <c r="BI56" i="7"/>
  <c r="BM56" i="7" s="1"/>
  <c r="BC151" i="7"/>
  <c r="BP151" i="7" s="1"/>
  <c r="BP48" i="7"/>
  <c r="BK48" i="7"/>
  <c r="BD48" i="7"/>
  <c r="BC49" i="7" s="1"/>
  <c r="CB151" i="7"/>
  <c r="CC48" i="7"/>
  <c r="CB49" i="7" s="1"/>
  <c r="CJ48" i="7"/>
  <c r="CO48" i="7"/>
  <c r="CL48" i="7"/>
  <c r="K151" i="7"/>
  <c r="O151" i="7" s="1"/>
  <c r="K55" i="7"/>
  <c r="O55" i="7" s="1"/>
  <c r="AQ52" i="1"/>
  <c r="AL52" i="1"/>
  <c r="AE52" i="1"/>
  <c r="AD53" i="1" s="1"/>
  <c r="AJ53" i="1"/>
  <c r="BQ45" i="1"/>
  <c r="BP46" i="1"/>
  <c r="BK46" i="1"/>
  <c r="BD46" i="1"/>
  <c r="BC47" i="1" s="1"/>
  <c r="BI47" i="1"/>
  <c r="BI150" i="1" s="1"/>
  <c r="J223" i="1" s="1"/>
  <c r="DP13" i="4"/>
  <c r="DU126" i="4"/>
  <c r="DU197" i="4" s="1"/>
  <c r="BX126" i="4"/>
  <c r="BZ126" i="4" s="1"/>
  <c r="BZ197" i="4" s="1"/>
  <c r="V272" i="4" s="1"/>
  <c r="X21" i="4"/>
  <c r="X182" i="4" s="1"/>
  <c r="G222" i="4" s="1"/>
  <c r="M21" i="4"/>
  <c r="M182" i="4" s="1"/>
  <c r="G211" i="4" s="1"/>
  <c r="BZ21" i="4"/>
  <c r="BZ182" i="4" s="1"/>
  <c r="G272" i="4" s="1"/>
  <c r="T12" i="4"/>
  <c r="T13" i="4" s="1"/>
  <c r="R14" i="4"/>
  <c r="R181" i="4" s="1"/>
  <c r="F216" i="4" s="1"/>
  <c r="F181" i="4"/>
  <c r="AF181" i="4"/>
  <c r="F228" i="4" s="1"/>
  <c r="AF12" i="4"/>
  <c r="AN12" i="4" s="1"/>
  <c r="CM49" i="4"/>
  <c r="CM186" i="4" s="1"/>
  <c r="K284" i="4" s="1"/>
  <c r="CU49" i="4"/>
  <c r="CU186" i="4" s="1"/>
  <c r="CW186" i="4" s="1"/>
  <c r="K294" i="4" s="1"/>
  <c r="BR126" i="4"/>
  <c r="BR197" i="4" s="1"/>
  <c r="V264" i="4" s="1"/>
  <c r="CR49" i="4"/>
  <c r="CR186" i="4" s="1"/>
  <c r="K289" i="4" s="1"/>
  <c r="O21" i="4"/>
  <c r="O182" i="4" s="1"/>
  <c r="G213" i="4" s="1"/>
  <c r="U21" i="4"/>
  <c r="U182" i="4" s="1"/>
  <c r="G219" i="4" s="1"/>
  <c r="AJ181" i="4"/>
  <c r="F232" i="4" s="1"/>
  <c r="BN181" i="4"/>
  <c r="F260" i="4" s="1"/>
  <c r="DJ181" i="4"/>
  <c r="F304" i="4" s="1"/>
  <c r="CH181" i="4"/>
  <c r="F279" i="4" s="1"/>
  <c r="K193" i="4"/>
  <c r="R209" i="4" s="1"/>
  <c r="V295" i="4"/>
  <c r="CZ197" i="4"/>
  <c r="V297" i="4" s="1"/>
  <c r="V315" i="4"/>
  <c r="DW197" i="4"/>
  <c r="V317" i="4" s="1"/>
  <c r="L295" i="4"/>
  <c r="CZ187" i="4"/>
  <c r="L297" i="4" s="1"/>
  <c r="O318" i="4"/>
  <c r="DZ190" i="4"/>
  <c r="O320" i="4" s="1"/>
  <c r="CZ105" i="4"/>
  <c r="CX194" i="4"/>
  <c r="K315" i="4"/>
  <c r="DW186" i="4"/>
  <c r="K317" i="4" s="1"/>
  <c r="S318" i="4"/>
  <c r="DZ194" i="4"/>
  <c r="S320" i="4" s="1"/>
  <c r="Q315" i="4"/>
  <c r="DW192" i="4"/>
  <c r="Q317" i="4" s="1"/>
  <c r="Q318" i="4"/>
  <c r="DZ192" i="4"/>
  <c r="Q320" i="4" s="1"/>
  <c r="R318" i="4"/>
  <c r="DZ193" i="4"/>
  <c r="R320" i="4" s="1"/>
  <c r="CW190" i="4"/>
  <c r="O294" i="4" s="1"/>
  <c r="O292" i="4"/>
  <c r="L315" i="4"/>
  <c r="DW187" i="4"/>
  <c r="L317" i="4" s="1"/>
  <c r="L318" i="4"/>
  <c r="DZ187" i="4"/>
  <c r="L320" i="4" s="1"/>
  <c r="CW198" i="4"/>
  <c r="W294" i="4" s="1"/>
  <c r="W292" i="4"/>
  <c r="CZ98" i="4"/>
  <c r="CX193" i="4"/>
  <c r="CZ49" i="4"/>
  <c r="CX186" i="4"/>
  <c r="AT11" i="4"/>
  <c r="DK181" i="4"/>
  <c r="F305" i="4" s="1"/>
  <c r="K196" i="4"/>
  <c r="U209" i="4" s="1"/>
  <c r="K184" i="4"/>
  <c r="I209" i="4" s="1"/>
  <c r="K187" i="4"/>
  <c r="L209" i="4" s="1"/>
  <c r="AK184" i="4"/>
  <c r="I233" i="4" s="1"/>
  <c r="BI182" i="4"/>
  <c r="G255" i="4" s="1"/>
  <c r="I182" i="4"/>
  <c r="G207" i="4" s="1"/>
  <c r="H181" i="4"/>
  <c r="F206" i="4" s="1"/>
  <c r="DH181" i="4"/>
  <c r="F302" i="4" s="1"/>
  <c r="AK183" i="4"/>
  <c r="H233" i="4" s="1"/>
  <c r="K195" i="4"/>
  <c r="T209" i="4" s="1"/>
  <c r="BQ181" i="4"/>
  <c r="F263" i="4" s="1"/>
  <c r="AQ181" i="4"/>
  <c r="F239" i="4" s="1"/>
  <c r="BI181" i="4"/>
  <c r="F255" i="4" s="1"/>
  <c r="K197" i="4"/>
  <c r="V209" i="4" s="1"/>
  <c r="AK185" i="4"/>
  <c r="J233" i="4" s="1"/>
  <c r="K185" i="4"/>
  <c r="J209" i="4" s="1"/>
  <c r="AH181" i="4"/>
  <c r="F230" i="4" s="1"/>
  <c r="BF181" i="4"/>
  <c r="F252" i="4" s="1"/>
  <c r="K182" i="4"/>
  <c r="G209" i="4" s="1"/>
  <c r="BK181" i="4"/>
  <c r="F257" i="4" s="1"/>
  <c r="AK182" i="4"/>
  <c r="G233" i="4" s="1"/>
  <c r="K181" i="4"/>
  <c r="F209" i="4" s="1"/>
  <c r="K194" i="4"/>
  <c r="S209" i="4" s="1"/>
  <c r="AZ98" i="4"/>
  <c r="AZ193" i="4" s="1"/>
  <c r="R248" i="4" s="1"/>
  <c r="AX193" i="4"/>
  <c r="R246" i="4" s="1"/>
  <c r="AZ126" i="4"/>
  <c r="AZ197" i="4" s="1"/>
  <c r="V248" i="4" s="1"/>
  <c r="AX197" i="4"/>
  <c r="V246" i="4" s="1"/>
  <c r="V292" i="4"/>
  <c r="CW197" i="4"/>
  <c r="V294" i="4" s="1"/>
  <c r="DZ126" i="4"/>
  <c r="DX197" i="4"/>
  <c r="CW187" i="4"/>
  <c r="L294" i="4" s="1"/>
  <c r="L292" i="4"/>
  <c r="W315" i="4"/>
  <c r="DW198" i="4"/>
  <c r="W317" i="4" s="1"/>
  <c r="W318" i="4"/>
  <c r="DZ198" i="4"/>
  <c r="W320" i="4" s="1"/>
  <c r="O315" i="4"/>
  <c r="DW190" i="4"/>
  <c r="O317" i="4" s="1"/>
  <c r="CW196" i="4"/>
  <c r="U294" i="4" s="1"/>
  <c r="U292" i="4"/>
  <c r="CZ119" i="4"/>
  <c r="CX196" i="4"/>
  <c r="CW194" i="4"/>
  <c r="S294" i="4" s="1"/>
  <c r="S292" i="4"/>
  <c r="DZ49" i="4"/>
  <c r="DX186" i="4"/>
  <c r="S315" i="4"/>
  <c r="DW194" i="4"/>
  <c r="S317" i="4" s="1"/>
  <c r="BZ77" i="4"/>
  <c r="BZ190" i="4" s="1"/>
  <c r="O272" i="4" s="1"/>
  <c r="BX190" i="4"/>
  <c r="O270" i="4" s="1"/>
  <c r="R315" i="4"/>
  <c r="DW193" i="4"/>
  <c r="R317" i="4" s="1"/>
  <c r="O295" i="4"/>
  <c r="CZ190" i="4"/>
  <c r="O297" i="4" s="1"/>
  <c r="W295" i="4"/>
  <c r="CZ198" i="4"/>
  <c r="W297" i="4" s="1"/>
  <c r="R292" i="4"/>
  <c r="CW193" i="4"/>
  <c r="R294" i="4" s="1"/>
  <c r="AZ133" i="4"/>
  <c r="AZ198" i="4" s="1"/>
  <c r="W248" i="4" s="1"/>
  <c r="AX198" i="4"/>
  <c r="W246" i="4" s="1"/>
  <c r="K292" i="4"/>
  <c r="CW182" i="4"/>
  <c r="G294" i="4" s="1"/>
  <c r="G292" i="4"/>
  <c r="CT11" i="4"/>
  <c r="P13" i="4"/>
  <c r="BJ181" i="4"/>
  <c r="F256" i="4" s="1"/>
  <c r="K183" i="4"/>
  <c r="H209" i="4" s="1"/>
  <c r="K192" i="4"/>
  <c r="Q209" i="4" s="1"/>
  <c r="F204" i="4"/>
  <c r="CK181" i="4"/>
  <c r="F282" i="4" s="1"/>
  <c r="BH181" i="4"/>
  <c r="F254" i="4" s="1"/>
  <c r="K190" i="4"/>
  <c r="O209" i="4" s="1"/>
  <c r="K191" i="4"/>
  <c r="P209" i="4" s="1"/>
  <c r="AH182" i="4"/>
  <c r="G230" i="4" s="1"/>
  <c r="K188" i="4"/>
  <c r="M209" i="4" s="1"/>
  <c r="K198" i="4"/>
  <c r="W209" i="4" s="1"/>
  <c r="Q181" i="4"/>
  <c r="F215" i="4" s="1"/>
  <c r="AK181" i="4"/>
  <c r="F233" i="4" s="1"/>
  <c r="K189" i="4"/>
  <c r="N209" i="4" s="1"/>
  <c r="AI181" i="4"/>
  <c r="F231" i="4" s="1"/>
  <c r="H182" i="4"/>
  <c r="G206" i="4" s="1"/>
  <c r="J182" i="4"/>
  <c r="G208" i="4" s="1"/>
  <c r="K186" i="4"/>
  <c r="K209" i="4" s="1"/>
  <c r="J318" i="4"/>
  <c r="DZ185" i="4"/>
  <c r="J320" i="4" s="1"/>
  <c r="J295" i="4"/>
  <c r="CZ185" i="4"/>
  <c r="J297" i="4" s="1"/>
  <c r="CQ181" i="4"/>
  <c r="F288" i="4" s="1"/>
  <c r="CG12" i="4"/>
  <c r="CF13" i="4" s="1"/>
  <c r="CN12" i="4"/>
  <c r="CS12" i="4"/>
  <c r="CP12" i="4"/>
  <c r="BR49" i="4"/>
  <c r="BR186" i="4" s="1"/>
  <c r="K264" i="4" s="1"/>
  <c r="S13" i="4"/>
  <c r="N13" i="4"/>
  <c r="AP12" i="4"/>
  <c r="AW119" i="4"/>
  <c r="AW196" i="4" s="1"/>
  <c r="U245" i="4" s="1"/>
  <c r="DZ98" i="4"/>
  <c r="AZ42" i="4"/>
  <c r="AZ185" i="4" s="1"/>
  <c r="J248" i="4" s="1"/>
  <c r="BO49" i="4"/>
  <c r="BO186" i="4" s="1"/>
  <c r="K261" i="4" s="1"/>
  <c r="CR21" i="4"/>
  <c r="CR182" i="4" s="1"/>
  <c r="G289" i="4" s="1"/>
  <c r="BZ98" i="4"/>
  <c r="BZ193" i="4" s="1"/>
  <c r="R272" i="4" s="1"/>
  <c r="CO21" i="4"/>
  <c r="CO182" i="4" s="1"/>
  <c r="G286" i="4" s="1"/>
  <c r="CX21" i="4"/>
  <c r="DT12" i="4"/>
  <c r="CM21" i="4"/>
  <c r="CM182" i="4" s="1"/>
  <c r="G284" i="4" s="1"/>
  <c r="AZ105" i="4"/>
  <c r="AZ194" i="4" s="1"/>
  <c r="S248" i="4" s="1"/>
  <c r="CW119" i="4"/>
  <c r="G13" i="4"/>
  <c r="F14" i="4" s="1"/>
  <c r="N14" i="4" s="1"/>
  <c r="BZ49" i="4"/>
  <c r="BZ186" i="4" s="1"/>
  <c r="K272" i="4" s="1"/>
  <c r="CZ126" i="4"/>
  <c r="AZ119" i="4"/>
  <c r="AZ196" i="4" s="1"/>
  <c r="U248" i="4" s="1"/>
  <c r="I189" i="4"/>
  <c r="N207" i="4" s="1"/>
  <c r="DX35" i="4"/>
  <c r="DR35" i="4"/>
  <c r="DR184" i="4" s="1"/>
  <c r="I312" i="4" s="1"/>
  <c r="DU35" i="4"/>
  <c r="DU184" i="4" s="1"/>
  <c r="DO35" i="4"/>
  <c r="DO184" i="4" s="1"/>
  <c r="I309" i="4" s="1"/>
  <c r="DM35" i="4"/>
  <c r="DM184" i="4" s="1"/>
  <c r="I307" i="4" s="1"/>
  <c r="AX63" i="4"/>
  <c r="AX188" i="4" s="1"/>
  <c r="M246" i="4" s="1"/>
  <c r="AO63" i="4"/>
  <c r="AO188" i="4" s="1"/>
  <c r="M237" i="4" s="1"/>
  <c r="AU63" i="4"/>
  <c r="AU188" i="4" s="1"/>
  <c r="M243" i="4" s="1"/>
  <c r="AM63" i="4"/>
  <c r="AM188" i="4" s="1"/>
  <c r="M235" i="4" s="1"/>
  <c r="AR63" i="4"/>
  <c r="AR188" i="4" s="1"/>
  <c r="M240" i="4" s="1"/>
  <c r="BX63" i="4"/>
  <c r="BX188" i="4" s="1"/>
  <c r="M270" i="4" s="1"/>
  <c r="BR63" i="4"/>
  <c r="BR188" i="4" s="1"/>
  <c r="M264" i="4" s="1"/>
  <c r="BU63" i="4"/>
  <c r="BU188" i="4" s="1"/>
  <c r="M267" i="4" s="1"/>
  <c r="BO63" i="4"/>
  <c r="BO188" i="4" s="1"/>
  <c r="M261" i="4" s="1"/>
  <c r="BM63" i="4"/>
  <c r="BM188" i="4" s="1"/>
  <c r="M259" i="4" s="1"/>
  <c r="CU14" i="4"/>
  <c r="CU181" i="4" s="1"/>
  <c r="CO14" i="4"/>
  <c r="CO181" i="4" s="1"/>
  <c r="F286" i="4" s="1"/>
  <c r="CR14" i="4"/>
  <c r="CR181" i="4" s="1"/>
  <c r="F289" i="4" s="1"/>
  <c r="BX119" i="4"/>
  <c r="BR119" i="4"/>
  <c r="BR196" i="4" s="1"/>
  <c r="U264" i="4" s="1"/>
  <c r="BU119" i="4"/>
  <c r="BU196" i="4" s="1"/>
  <c r="U267" i="4" s="1"/>
  <c r="CZ56" i="4"/>
  <c r="AZ56" i="4"/>
  <c r="AZ187" i="4" s="1"/>
  <c r="L248" i="4" s="1"/>
  <c r="DZ91" i="4"/>
  <c r="AX70" i="4"/>
  <c r="AX189" i="4" s="1"/>
  <c r="N246" i="4" s="1"/>
  <c r="AU70" i="4"/>
  <c r="AU189" i="4" s="1"/>
  <c r="N243" i="4" s="1"/>
  <c r="AM70" i="4"/>
  <c r="AM189" i="4" s="1"/>
  <c r="N235" i="4" s="1"/>
  <c r="AR70" i="4"/>
  <c r="AR189" i="4" s="1"/>
  <c r="N240" i="4" s="1"/>
  <c r="AO70" i="4"/>
  <c r="AO189" i="4" s="1"/>
  <c r="N237" i="4" s="1"/>
  <c r="DX84" i="4"/>
  <c r="DX191" i="4" s="1"/>
  <c r="DR84" i="4"/>
  <c r="DR191" i="4" s="1"/>
  <c r="P312" i="4" s="1"/>
  <c r="DU84" i="4"/>
  <c r="DU191" i="4" s="1"/>
  <c r="AX49" i="4"/>
  <c r="AX186" i="4" s="1"/>
  <c r="K246" i="4" s="1"/>
  <c r="AU49" i="4"/>
  <c r="AU186" i="4" s="1"/>
  <c r="K243" i="4" s="1"/>
  <c r="AM49" i="4"/>
  <c r="AM186" i="4" s="1"/>
  <c r="K235" i="4" s="1"/>
  <c r="AO49" i="4"/>
  <c r="AO186" i="4" s="1"/>
  <c r="K237" i="4" s="1"/>
  <c r="AR49" i="4"/>
  <c r="AR186" i="4" s="1"/>
  <c r="K240" i="4" s="1"/>
  <c r="BX84" i="4"/>
  <c r="BX191" i="4" s="1"/>
  <c r="P270" i="4" s="1"/>
  <c r="BR84" i="4"/>
  <c r="BR191" i="4" s="1"/>
  <c r="P264" i="4" s="1"/>
  <c r="BU84" i="4"/>
  <c r="BU191" i="4" s="1"/>
  <c r="P267" i="4" s="1"/>
  <c r="BX91" i="4"/>
  <c r="BR91" i="4"/>
  <c r="BR192" i="4" s="1"/>
  <c r="Q264" i="4" s="1"/>
  <c r="BU91" i="4"/>
  <c r="BU192" i="4" s="1"/>
  <c r="Q267" i="4" s="1"/>
  <c r="CX91" i="4"/>
  <c r="CR91" i="4"/>
  <c r="CR192" i="4" s="1"/>
  <c r="Q289" i="4" s="1"/>
  <c r="CU91" i="4"/>
  <c r="CU192" i="4" s="1"/>
  <c r="BX42" i="4"/>
  <c r="BX185" i="4" s="1"/>
  <c r="J270" i="4" s="1"/>
  <c r="BU42" i="4"/>
  <c r="BR42" i="4"/>
  <c r="BR185" i="4" s="1"/>
  <c r="J264" i="4" s="1"/>
  <c r="BO42" i="4"/>
  <c r="BO185" i="4" s="1"/>
  <c r="J261" i="4" s="1"/>
  <c r="BM42" i="4"/>
  <c r="BM185" i="4" s="1"/>
  <c r="J259" i="4" s="1"/>
  <c r="DX21" i="4"/>
  <c r="DX182" i="4" s="1"/>
  <c r="DU21" i="4"/>
  <c r="DU182" i="4" s="1"/>
  <c r="DR21" i="4"/>
  <c r="DR182" i="4" s="1"/>
  <c r="G312" i="4" s="1"/>
  <c r="DO21" i="4"/>
  <c r="DO182" i="4" s="1"/>
  <c r="G309" i="4" s="1"/>
  <c r="DM21" i="4"/>
  <c r="DM182" i="4" s="1"/>
  <c r="G307" i="4" s="1"/>
  <c r="DZ105" i="4"/>
  <c r="DZ56" i="4"/>
  <c r="AX112" i="4"/>
  <c r="AX195" i="4" s="1"/>
  <c r="T246" i="4" s="1"/>
  <c r="AU112" i="4"/>
  <c r="AU195" i="4" s="1"/>
  <c r="T243" i="4" s="1"/>
  <c r="AR112" i="4"/>
  <c r="AR195" i="4" s="1"/>
  <c r="T240" i="4" s="1"/>
  <c r="AU14" i="4"/>
  <c r="AU181" i="4" s="1"/>
  <c r="F243" i="4" s="1"/>
  <c r="AO14" i="4"/>
  <c r="AO181" i="4" s="1"/>
  <c r="F237" i="4" s="1"/>
  <c r="AR14" i="4"/>
  <c r="AR181" i="4" s="1"/>
  <c r="F240" i="4" s="1"/>
  <c r="DX119" i="4"/>
  <c r="DR119" i="4"/>
  <c r="DR196" i="4" s="1"/>
  <c r="U312" i="4" s="1"/>
  <c r="DU119" i="4"/>
  <c r="DU196" i="4" s="1"/>
  <c r="BZ133" i="4"/>
  <c r="BZ198" i="4" s="1"/>
  <c r="W272" i="4" s="1"/>
  <c r="AX21" i="4"/>
  <c r="AX182" i="4" s="1"/>
  <c r="G246" i="4" s="1"/>
  <c r="AU21" i="4"/>
  <c r="AU182" i="4" s="1"/>
  <c r="G243" i="4" s="1"/>
  <c r="AM21" i="4"/>
  <c r="AM182" i="4" s="1"/>
  <c r="G235" i="4" s="1"/>
  <c r="AO21" i="4"/>
  <c r="AO182" i="4" s="1"/>
  <c r="G237" i="4" s="1"/>
  <c r="AR21" i="4"/>
  <c r="AR182" i="4" s="1"/>
  <c r="G240" i="4" s="1"/>
  <c r="CZ77" i="4"/>
  <c r="CX35" i="4"/>
  <c r="CU35" i="4"/>
  <c r="CU184" i="4" s="1"/>
  <c r="CO35" i="4"/>
  <c r="CO184" i="4" s="1"/>
  <c r="I286" i="4" s="1"/>
  <c r="CR35" i="4"/>
  <c r="CR184" i="4" s="1"/>
  <c r="I289" i="4" s="1"/>
  <c r="CM35" i="4"/>
  <c r="CM184" i="4" s="1"/>
  <c r="I284" i="4" s="1"/>
  <c r="DU14" i="4"/>
  <c r="DU181" i="4" s="1"/>
  <c r="DO14" i="4"/>
  <c r="DO181" i="4" s="1"/>
  <c r="F309" i="4" s="1"/>
  <c r="DR14" i="4"/>
  <c r="DR181" i="4" s="1"/>
  <c r="F312" i="4" s="1"/>
  <c r="BX28" i="4"/>
  <c r="BR28" i="4"/>
  <c r="BR183" i="4" s="1"/>
  <c r="H264" i="4" s="1"/>
  <c r="BO28" i="4"/>
  <c r="BO183" i="4" s="1"/>
  <c r="H261" i="4" s="1"/>
  <c r="BU28" i="4"/>
  <c r="BM28" i="4"/>
  <c r="BM183" i="4" s="1"/>
  <c r="H259" i="4" s="1"/>
  <c r="BX70" i="4"/>
  <c r="BX189" i="4" s="1"/>
  <c r="N270" i="4" s="1"/>
  <c r="BU70" i="4"/>
  <c r="BU189" i="4" s="1"/>
  <c r="N267" i="4" s="1"/>
  <c r="BO70" i="4"/>
  <c r="BO189" i="4" s="1"/>
  <c r="N261" i="4" s="1"/>
  <c r="BR70" i="4"/>
  <c r="BR189" i="4" s="1"/>
  <c r="N264" i="4" s="1"/>
  <c r="BM70" i="4"/>
  <c r="BM189" i="4" s="1"/>
  <c r="N259" i="4" s="1"/>
  <c r="DX70" i="4"/>
  <c r="DX189" i="4" s="1"/>
  <c r="DU70" i="4"/>
  <c r="DU189" i="4" s="1"/>
  <c r="DR70" i="4"/>
  <c r="DR189" i="4" s="1"/>
  <c r="N312" i="4" s="1"/>
  <c r="DM70" i="4"/>
  <c r="DM189" i="4" s="1"/>
  <c r="N307" i="4" s="1"/>
  <c r="DO70" i="4"/>
  <c r="DO189" i="4" s="1"/>
  <c r="N309" i="4" s="1"/>
  <c r="AX35" i="4"/>
  <c r="AX184" i="4" s="1"/>
  <c r="I246" i="4" s="1"/>
  <c r="AO35" i="4"/>
  <c r="AO184" i="4" s="1"/>
  <c r="I237" i="4" s="1"/>
  <c r="AU35" i="4"/>
  <c r="AU184" i="4" s="1"/>
  <c r="I243" i="4" s="1"/>
  <c r="AM35" i="4"/>
  <c r="AM184" i="4" s="1"/>
  <c r="I235" i="4" s="1"/>
  <c r="AR35" i="4"/>
  <c r="AR184" i="4" s="1"/>
  <c r="I240" i="4" s="1"/>
  <c r="CX84" i="4"/>
  <c r="CX191" i="4" s="1"/>
  <c r="CU84" i="4"/>
  <c r="CU191" i="4" s="1"/>
  <c r="CR84" i="4"/>
  <c r="CR191" i="4" s="1"/>
  <c r="P289" i="4" s="1"/>
  <c r="CU28" i="4"/>
  <c r="CU183" i="4" s="1"/>
  <c r="CM28" i="4"/>
  <c r="CM183" i="4" s="1"/>
  <c r="H284" i="4" s="1"/>
  <c r="CO28" i="4"/>
  <c r="CO183" i="4" s="1"/>
  <c r="H286" i="4" s="1"/>
  <c r="CR28" i="4"/>
  <c r="CR183" i="4" s="1"/>
  <c r="H289" i="4" s="1"/>
  <c r="CX63" i="4"/>
  <c r="CX188" i="4" s="1"/>
  <c r="CU63" i="4"/>
  <c r="CU188" i="4" s="1"/>
  <c r="CO63" i="4"/>
  <c r="CO188" i="4" s="1"/>
  <c r="M286" i="4" s="1"/>
  <c r="CR63" i="4"/>
  <c r="CR188" i="4" s="1"/>
  <c r="M289" i="4" s="1"/>
  <c r="CM63" i="4"/>
  <c r="CM188" i="4" s="1"/>
  <c r="M284" i="4" s="1"/>
  <c r="BZ105" i="4"/>
  <c r="BZ194" i="4" s="1"/>
  <c r="S272" i="4" s="1"/>
  <c r="DZ77" i="4"/>
  <c r="BZ56" i="4"/>
  <c r="BZ187" i="4" s="1"/>
  <c r="L272" i="4" s="1"/>
  <c r="CZ133" i="4"/>
  <c r="DX28" i="4"/>
  <c r="DR28" i="4"/>
  <c r="DR183" i="4" s="1"/>
  <c r="H312" i="4" s="1"/>
  <c r="DU28" i="4"/>
  <c r="DU183" i="4" s="1"/>
  <c r="DO28" i="4"/>
  <c r="DO183" i="4" s="1"/>
  <c r="H309" i="4" s="1"/>
  <c r="DM28" i="4"/>
  <c r="DM183" i="4" s="1"/>
  <c r="H307" i="4" s="1"/>
  <c r="DG13" i="4"/>
  <c r="DF14" i="4" s="1"/>
  <c r="DN14" i="4" s="1"/>
  <c r="DS13" i="4"/>
  <c r="BX112" i="4"/>
  <c r="BR112" i="4"/>
  <c r="BR195" i="4" s="1"/>
  <c r="T264" i="4" s="1"/>
  <c r="BU112" i="4"/>
  <c r="BU195" i="4" s="1"/>
  <c r="T267" i="4" s="1"/>
  <c r="AX28" i="4"/>
  <c r="AX183" i="4" s="1"/>
  <c r="H246" i="4" s="1"/>
  <c r="AM28" i="4"/>
  <c r="AM183" i="4" s="1"/>
  <c r="H235" i="4" s="1"/>
  <c r="AO28" i="4"/>
  <c r="AO183" i="4" s="1"/>
  <c r="H237" i="4" s="1"/>
  <c r="AR28" i="4"/>
  <c r="AR183" i="4" s="1"/>
  <c r="H240" i="4" s="1"/>
  <c r="AU28" i="4"/>
  <c r="AU183" i="4" s="1"/>
  <c r="H243" i="4" s="1"/>
  <c r="CX70" i="4"/>
  <c r="CU70" i="4"/>
  <c r="CU189" i="4" s="1"/>
  <c r="CM70" i="4"/>
  <c r="CM189" i="4" s="1"/>
  <c r="N284" i="4" s="1"/>
  <c r="CR70" i="4"/>
  <c r="CR189" i="4" s="1"/>
  <c r="N289" i="4" s="1"/>
  <c r="CO70" i="4"/>
  <c r="CO189" i="4" s="1"/>
  <c r="N286" i="4" s="1"/>
  <c r="AX91" i="4"/>
  <c r="AX192" i="4" s="1"/>
  <c r="Q246" i="4" s="1"/>
  <c r="AU91" i="4"/>
  <c r="AR91" i="4"/>
  <c r="AR192" i="4" s="1"/>
  <c r="Q240" i="4" s="1"/>
  <c r="DX112" i="4"/>
  <c r="DX195" i="4" s="1"/>
  <c r="DR112" i="4"/>
  <c r="DR195" i="4" s="1"/>
  <c r="T312" i="4" s="1"/>
  <c r="DU112" i="4"/>
  <c r="DU195" i="4" s="1"/>
  <c r="CX112" i="4"/>
  <c r="CU112" i="4"/>
  <c r="CU195" i="4" s="1"/>
  <c r="CR112" i="4"/>
  <c r="CR195" i="4" s="1"/>
  <c r="T289" i="4" s="1"/>
  <c r="BX35" i="4"/>
  <c r="BX184" i="4" s="1"/>
  <c r="I270" i="4" s="1"/>
  <c r="BR35" i="4"/>
  <c r="BR184" i="4" s="1"/>
  <c r="I264" i="4" s="1"/>
  <c r="BO35" i="4"/>
  <c r="BO184" i="4" s="1"/>
  <c r="I261" i="4" s="1"/>
  <c r="BU35" i="4"/>
  <c r="BU184" i="4" s="1"/>
  <c r="I267" i="4" s="1"/>
  <c r="BM35" i="4"/>
  <c r="BM184" i="4" s="1"/>
  <c r="I259" i="4" s="1"/>
  <c r="DX63" i="4"/>
  <c r="DR63" i="4"/>
  <c r="DR188" i="4" s="1"/>
  <c r="M312" i="4" s="1"/>
  <c r="DU63" i="4"/>
  <c r="DU188" i="4" s="1"/>
  <c r="DO63" i="4"/>
  <c r="DO188" i="4" s="1"/>
  <c r="M309" i="4" s="1"/>
  <c r="DM63" i="4"/>
  <c r="DM188" i="4" s="1"/>
  <c r="M307" i="4" s="1"/>
  <c r="BX14" i="4"/>
  <c r="BX181" i="4" s="1"/>
  <c r="F270" i="4" s="1"/>
  <c r="BU14" i="4"/>
  <c r="BU181" i="4" s="1"/>
  <c r="F267" i="4" s="1"/>
  <c r="BR14" i="4"/>
  <c r="BR181" i="4" s="1"/>
  <c r="F264" i="4" s="1"/>
  <c r="BO14" i="4"/>
  <c r="BO181" i="4" s="1"/>
  <c r="F261" i="4" s="1"/>
  <c r="CL13" i="4"/>
  <c r="CP13" i="4" s="1"/>
  <c r="AX84" i="4"/>
  <c r="AX191" i="4" s="1"/>
  <c r="P246" i="4" s="1"/>
  <c r="AR84" i="4"/>
  <c r="AR191" i="4" s="1"/>
  <c r="P240" i="4" s="1"/>
  <c r="AU84" i="4"/>
  <c r="AU191" i="4" s="1"/>
  <c r="P243" i="4" s="1"/>
  <c r="AS12" i="4"/>
  <c r="AG12" i="4"/>
  <c r="AF13" i="4" s="1"/>
  <c r="DZ133" i="4"/>
  <c r="AZ77" i="4"/>
  <c r="AZ190" i="4" s="1"/>
  <c r="O248" i="4" s="1"/>
  <c r="BG14" i="4"/>
  <c r="BG181" i="4" s="1"/>
  <c r="F253" i="4" s="1"/>
  <c r="BS14" i="4"/>
  <c r="O71" i="4"/>
  <c r="I14" i="3"/>
  <c r="O72" i="4"/>
  <c r="O73" i="4"/>
  <c r="O74" i="4"/>
  <c r="O75" i="4"/>
  <c r="AI191" i="4"/>
  <c r="P231" i="4" s="1"/>
  <c r="H189" i="4"/>
  <c r="N206" i="4" s="1"/>
  <c r="DH196" i="4"/>
  <c r="U302" i="4" s="1"/>
  <c r="AH197" i="4"/>
  <c r="V230" i="4" s="1"/>
  <c r="Q194" i="4"/>
  <c r="S215" i="4" s="1"/>
  <c r="J196" i="4"/>
  <c r="U208" i="4" s="1"/>
  <c r="Q184" i="4"/>
  <c r="I215" i="4" s="1"/>
  <c r="DI182" i="4"/>
  <c r="G303" i="4" s="1"/>
  <c r="DQ193" i="4"/>
  <c r="R311" i="4" s="1"/>
  <c r="DJ198" i="4"/>
  <c r="W304" i="4" s="1"/>
  <c r="CK190" i="4"/>
  <c r="O282" i="4" s="1"/>
  <c r="H193" i="4"/>
  <c r="R206" i="4" s="1"/>
  <c r="AK192" i="4"/>
  <c r="Q233" i="4" s="1"/>
  <c r="AH198" i="4"/>
  <c r="W230" i="4" s="1"/>
  <c r="DQ188" i="4"/>
  <c r="M311" i="4" s="1"/>
  <c r="DJ195" i="4"/>
  <c r="T304" i="4" s="1"/>
  <c r="I183" i="4"/>
  <c r="H207" i="4" s="1"/>
  <c r="Q182" i="4"/>
  <c r="G215" i="4" s="1"/>
  <c r="AQ182" i="4"/>
  <c r="G239" i="4" s="1"/>
  <c r="AH184" i="4"/>
  <c r="I230" i="4" s="1"/>
  <c r="DK188" i="4"/>
  <c r="M305" i="4" s="1"/>
  <c r="DQ184" i="4"/>
  <c r="I311" i="4" s="1"/>
  <c r="DQ195" i="4"/>
  <c r="T311" i="4" s="1"/>
  <c r="DI195" i="4"/>
  <c r="T303" i="4" s="1"/>
  <c r="AH183" i="4"/>
  <c r="H230" i="4" s="1"/>
  <c r="AQ192" i="4"/>
  <c r="Q239" i="4" s="1"/>
  <c r="BK188" i="4"/>
  <c r="M257" i="4" s="1"/>
  <c r="CQ195" i="4"/>
  <c r="T288" i="4" s="1"/>
  <c r="CH191" i="4"/>
  <c r="P279" i="4" s="1"/>
  <c r="R28" i="4"/>
  <c r="R183" i="4" s="1"/>
  <c r="H216" i="4" s="1"/>
  <c r="M28" i="4"/>
  <c r="M183" i="4" s="1"/>
  <c r="H211" i="4" s="1"/>
  <c r="U28" i="4"/>
  <c r="U183" i="4" s="1"/>
  <c r="H219" i="4" s="1"/>
  <c r="X28" i="4"/>
  <c r="X183" i="4" s="1"/>
  <c r="H222" i="4" s="1"/>
  <c r="O28" i="4"/>
  <c r="O183" i="4" s="1"/>
  <c r="H213" i="4" s="1"/>
  <c r="CQ182" i="4"/>
  <c r="G288" i="4" s="1"/>
  <c r="AJ182" i="4"/>
  <c r="G232" i="4" s="1"/>
  <c r="AJ193" i="4"/>
  <c r="R232" i="4" s="1"/>
  <c r="BQ186" i="4"/>
  <c r="K263" i="4" s="1"/>
  <c r="CJ184" i="4"/>
  <c r="I281" i="4" s="1"/>
  <c r="Z91" i="4"/>
  <c r="Z192" i="4" s="1"/>
  <c r="Q224" i="4" s="1"/>
  <c r="AJ189" i="4"/>
  <c r="N232" i="4" s="1"/>
  <c r="H190" i="4"/>
  <c r="O206" i="4" s="1"/>
  <c r="U70" i="4"/>
  <c r="U189" i="4" s="1"/>
  <c r="N219" i="4" s="1"/>
  <c r="O70" i="4"/>
  <c r="O189" i="4" s="1"/>
  <c r="N213" i="4" s="1"/>
  <c r="M70" i="4"/>
  <c r="M189" i="4" s="1"/>
  <c r="N211" i="4" s="1"/>
  <c r="R70" i="4"/>
  <c r="R189" i="4" s="1"/>
  <c r="N216" i="4" s="1"/>
  <c r="X70" i="4"/>
  <c r="X189" i="4" s="1"/>
  <c r="N222" i="4" s="1"/>
  <c r="AW105" i="4"/>
  <c r="AW194" i="4" s="1"/>
  <c r="S245" i="4" s="1"/>
  <c r="H186" i="4"/>
  <c r="K206" i="4" s="1"/>
  <c r="J197" i="4"/>
  <c r="V208" i="4" s="1"/>
  <c r="DH191" i="4"/>
  <c r="P302" i="4" s="1"/>
  <c r="DH195" i="4"/>
  <c r="T302" i="4" s="1"/>
  <c r="DH183" i="4"/>
  <c r="H302" i="4" s="1"/>
  <c r="DJ184" i="4"/>
  <c r="I304" i="4" s="1"/>
  <c r="DQ182" i="4"/>
  <c r="G311" i="4" s="1"/>
  <c r="DJ185" i="4"/>
  <c r="J304" i="4" s="1"/>
  <c r="DI192" i="4"/>
  <c r="Q303" i="4" s="1"/>
  <c r="DK183" i="4"/>
  <c r="H305" i="4" s="1"/>
  <c r="DH190" i="4"/>
  <c r="O302" i="4" s="1"/>
  <c r="DH198" i="4"/>
  <c r="W302" i="4" s="1"/>
  <c r="DQ190" i="4"/>
  <c r="O311" i="4" s="1"/>
  <c r="DH186" i="4"/>
  <c r="K302" i="4" s="1"/>
  <c r="DJ197" i="4"/>
  <c r="V304" i="4" s="1"/>
  <c r="DJ182" i="4"/>
  <c r="G304" i="4" s="1"/>
  <c r="DH182" i="4"/>
  <c r="G302" i="4" s="1"/>
  <c r="I184" i="4"/>
  <c r="I207" i="4" s="1"/>
  <c r="AK191" i="4"/>
  <c r="P233" i="4" s="1"/>
  <c r="AJ190" i="4"/>
  <c r="O232" i="4" s="1"/>
  <c r="Z21" i="4"/>
  <c r="Z182" i="4" s="1"/>
  <c r="G224" i="4" s="1"/>
  <c r="CW21" i="4"/>
  <c r="I196" i="4"/>
  <c r="U207" i="4" s="1"/>
  <c r="CQ190" i="4"/>
  <c r="O288" i="4" s="1"/>
  <c r="R35" i="4"/>
  <c r="R184" i="4" s="1"/>
  <c r="I216" i="4" s="1"/>
  <c r="M35" i="4"/>
  <c r="M184" i="4" s="1"/>
  <c r="I211" i="4" s="1"/>
  <c r="U35" i="4"/>
  <c r="U184" i="4" s="1"/>
  <c r="I219" i="4" s="1"/>
  <c r="X35" i="4"/>
  <c r="X184" i="4" s="1"/>
  <c r="I222" i="4" s="1"/>
  <c r="O35" i="4"/>
  <c r="O184" i="4" s="1"/>
  <c r="I213" i="4" s="1"/>
  <c r="AW98" i="4"/>
  <c r="AW193" i="4" s="1"/>
  <c r="R245" i="4" s="1"/>
  <c r="CW98" i="4"/>
  <c r="CJ196" i="4"/>
  <c r="U281" i="4" s="1"/>
  <c r="CK191" i="4"/>
  <c r="P282" i="4" s="1"/>
  <c r="CI197" i="4"/>
  <c r="V280" i="4" s="1"/>
  <c r="CJ192" i="4"/>
  <c r="Q281" i="4" s="1"/>
  <c r="CK186" i="4"/>
  <c r="K282" i="4" s="1"/>
  <c r="I192" i="4"/>
  <c r="Q207" i="4" s="1"/>
  <c r="Q186" i="4"/>
  <c r="K215" i="4" s="1"/>
  <c r="J189" i="4"/>
  <c r="N208" i="4" s="1"/>
  <c r="J181" i="4"/>
  <c r="F208" i="4" s="1"/>
  <c r="H188" i="4"/>
  <c r="M206" i="4" s="1"/>
  <c r="Q191" i="4"/>
  <c r="P215" i="4" s="1"/>
  <c r="I191" i="4"/>
  <c r="P207" i="4" s="1"/>
  <c r="H194" i="4"/>
  <c r="S206" i="4" s="1"/>
  <c r="U14" i="4"/>
  <c r="U181" i="4" s="1"/>
  <c r="F219" i="4" s="1"/>
  <c r="X14" i="4"/>
  <c r="X181" i="4" s="1"/>
  <c r="F222" i="4" s="1"/>
  <c r="O14" i="4"/>
  <c r="O181" i="4" s="1"/>
  <c r="F213" i="4" s="1"/>
  <c r="H187" i="4"/>
  <c r="L206" i="4" s="1"/>
  <c r="H183" i="4"/>
  <c r="H206" i="4" s="1"/>
  <c r="Q189" i="4"/>
  <c r="N215" i="4" s="1"/>
  <c r="J190" i="4"/>
  <c r="O208" i="4" s="1"/>
  <c r="Q187" i="4"/>
  <c r="L215" i="4" s="1"/>
  <c r="J188" i="4"/>
  <c r="M208" i="4" s="1"/>
  <c r="I188" i="4"/>
  <c r="M207" i="4" s="1"/>
  <c r="I193" i="4"/>
  <c r="R207" i="4" s="1"/>
  <c r="J191" i="4"/>
  <c r="P208" i="4" s="1"/>
  <c r="Q183" i="4"/>
  <c r="H215" i="4" s="1"/>
  <c r="I187" i="4"/>
  <c r="L207" i="4" s="1"/>
  <c r="H197" i="4"/>
  <c r="V206" i="4" s="1"/>
  <c r="Q192" i="4"/>
  <c r="Q215" i="4" s="1"/>
  <c r="Q197" i="4"/>
  <c r="V215" i="4" s="1"/>
  <c r="Q198" i="4"/>
  <c r="W215" i="4" s="1"/>
  <c r="J183" i="4"/>
  <c r="H208" i="4" s="1"/>
  <c r="J198" i="4"/>
  <c r="W208" i="4" s="1"/>
  <c r="H191" i="4"/>
  <c r="P206" i="4" s="1"/>
  <c r="I195" i="4"/>
  <c r="T207" i="4" s="1"/>
  <c r="I185" i="4"/>
  <c r="J207" i="4" s="1"/>
  <c r="J192" i="4"/>
  <c r="Q208" i="4" s="1"/>
  <c r="W42" i="4"/>
  <c r="W185" i="4" s="1"/>
  <c r="J221" i="4" s="1"/>
  <c r="AI190" i="4"/>
  <c r="O231" i="4" s="1"/>
  <c r="X63" i="4"/>
  <c r="X188" i="4" s="1"/>
  <c r="M222" i="4" s="1"/>
  <c r="R63" i="4"/>
  <c r="R188" i="4" s="1"/>
  <c r="M216" i="4" s="1"/>
  <c r="M63" i="4"/>
  <c r="M188" i="4" s="1"/>
  <c r="M211" i="4" s="1"/>
  <c r="U63" i="4"/>
  <c r="U188" i="4" s="1"/>
  <c r="M219" i="4" s="1"/>
  <c r="O63" i="4"/>
  <c r="O188" i="4" s="1"/>
  <c r="M213" i="4" s="1"/>
  <c r="Z126" i="4"/>
  <c r="Z197" i="4" s="1"/>
  <c r="V224" i="4" s="1"/>
  <c r="BW126" i="4"/>
  <c r="BW197" i="4" s="1"/>
  <c r="V269" i="4" s="1"/>
  <c r="Q190" i="4"/>
  <c r="O215" i="4" s="1"/>
  <c r="AI193" i="4"/>
  <c r="R231" i="4" s="1"/>
  <c r="AI184" i="4"/>
  <c r="I231" i="4" s="1"/>
  <c r="DL14" i="4"/>
  <c r="AQ183" i="4"/>
  <c r="H239" i="4" s="1"/>
  <c r="AH192" i="4"/>
  <c r="Q230" i="4" s="1"/>
  <c r="AJ184" i="4"/>
  <c r="I232" i="4" s="1"/>
  <c r="AJ185" i="4"/>
  <c r="J232" i="4" s="1"/>
  <c r="AH195" i="4"/>
  <c r="T230" i="4" s="1"/>
  <c r="AI186" i="4"/>
  <c r="K231" i="4" s="1"/>
  <c r="AI192" i="4"/>
  <c r="Q231" i="4" s="1"/>
  <c r="U49" i="4"/>
  <c r="U186" i="4" s="1"/>
  <c r="K219" i="4" s="1"/>
  <c r="O49" i="4"/>
  <c r="O186" i="4" s="1"/>
  <c r="K213" i="4" s="1"/>
  <c r="X49" i="4"/>
  <c r="X186" i="4" s="1"/>
  <c r="K222" i="4" s="1"/>
  <c r="R49" i="4"/>
  <c r="R186" i="4" s="1"/>
  <c r="K216" i="4" s="1"/>
  <c r="M49" i="4"/>
  <c r="M186" i="4" s="1"/>
  <c r="K211" i="4" s="1"/>
  <c r="BK186" i="4"/>
  <c r="K257" i="4" s="1"/>
  <c r="BQ184" i="4"/>
  <c r="I263" i="4" s="1"/>
  <c r="BJ182" i="4"/>
  <c r="G256" i="4" s="1"/>
  <c r="BH182" i="4"/>
  <c r="G254" i="4" s="1"/>
  <c r="W91" i="4"/>
  <c r="W192" i="4" s="1"/>
  <c r="Q221" i="4" s="1"/>
  <c r="AH196" i="4"/>
  <c r="U230" i="4" s="1"/>
  <c r="AK194" i="4"/>
  <c r="S233" i="4" s="1"/>
  <c r="AK196" i="4"/>
  <c r="U233" i="4" s="1"/>
  <c r="R133" i="4"/>
  <c r="R198" i="4" s="1"/>
  <c r="W216" i="4" s="1"/>
  <c r="U133" i="4"/>
  <c r="U198" i="4" s="1"/>
  <c r="W219" i="4" s="1"/>
  <c r="X133" i="4"/>
  <c r="X198" i="4" s="1"/>
  <c r="W222" i="4" s="1"/>
  <c r="I197" i="4"/>
  <c r="V207" i="4" s="1"/>
  <c r="H192" i="4"/>
  <c r="Q206" i="4" s="1"/>
  <c r="AK190" i="4"/>
  <c r="O233" i="4" s="1"/>
  <c r="CI191" i="4"/>
  <c r="P280" i="4" s="1"/>
  <c r="W105" i="4"/>
  <c r="W194" i="4" s="1"/>
  <c r="S221" i="4" s="1"/>
  <c r="DW105" i="4"/>
  <c r="BW21" i="4"/>
  <c r="BW182" i="4" s="1"/>
  <c r="G269" i="4" s="1"/>
  <c r="Z98" i="4"/>
  <c r="Z193" i="4" s="1"/>
  <c r="R224" i="4" s="1"/>
  <c r="CI190" i="4"/>
  <c r="O280" i="4" s="1"/>
  <c r="CQ193" i="4"/>
  <c r="R288" i="4" s="1"/>
  <c r="CX14" i="4"/>
  <c r="CX181" i="4" s="1"/>
  <c r="CI192" i="4"/>
  <c r="Q280" i="4" s="1"/>
  <c r="CQ194" i="4"/>
  <c r="S288" i="4" s="1"/>
  <c r="CJ187" i="4"/>
  <c r="L281" i="4" s="1"/>
  <c r="CQ192" i="4"/>
  <c r="Q288" i="4" s="1"/>
  <c r="CJ195" i="4"/>
  <c r="T281" i="4" s="1"/>
  <c r="CQ183" i="4"/>
  <c r="H288" i="4" s="1"/>
  <c r="CJ190" i="4"/>
  <c r="O281" i="4" s="1"/>
  <c r="CH192" i="4"/>
  <c r="Q279" i="4" s="1"/>
  <c r="CJ194" i="4"/>
  <c r="S281" i="4" s="1"/>
  <c r="CK197" i="4"/>
  <c r="V282" i="4" s="1"/>
  <c r="CQ188" i="4"/>
  <c r="M288" i="4" s="1"/>
  <c r="CJ191" i="4"/>
  <c r="P281" i="4" s="1"/>
  <c r="CI185" i="4"/>
  <c r="J280" i="4" s="1"/>
  <c r="CH195" i="4"/>
  <c r="T279" i="4" s="1"/>
  <c r="CJ181" i="4"/>
  <c r="F281" i="4" s="1"/>
  <c r="CK188" i="4"/>
  <c r="M282" i="4" s="1"/>
  <c r="CQ191" i="4"/>
  <c r="P288" i="4" s="1"/>
  <c r="CI198" i="4"/>
  <c r="W280" i="4" s="1"/>
  <c r="CH186" i="4"/>
  <c r="K279" i="4" s="1"/>
  <c r="CI186" i="4"/>
  <c r="K280" i="4" s="1"/>
  <c r="CI194" i="4"/>
  <c r="S280" i="4" s="1"/>
  <c r="CH190" i="4"/>
  <c r="O279" i="4" s="1"/>
  <c r="CJ182" i="4"/>
  <c r="G281" i="4" s="1"/>
  <c r="CH184" i="4"/>
  <c r="I279" i="4" s="1"/>
  <c r="CH189" i="4"/>
  <c r="N279" i="4" s="1"/>
  <c r="CH182" i="4"/>
  <c r="G279" i="4" s="1"/>
  <c r="CJ197" i="4"/>
  <c r="V281" i="4" s="1"/>
  <c r="CH197" i="4"/>
  <c r="V279" i="4" s="1"/>
  <c r="CJ193" i="4"/>
  <c r="R281" i="4" s="1"/>
  <c r="CI193" i="4"/>
  <c r="R280" i="4" s="1"/>
  <c r="CI188" i="4"/>
  <c r="M280" i="4" s="1"/>
  <c r="CJ185" i="4"/>
  <c r="J281" i="4" s="1"/>
  <c r="CQ185" i="4"/>
  <c r="J288" i="4" s="1"/>
  <c r="CJ189" i="4"/>
  <c r="N281" i="4" s="1"/>
  <c r="CQ184" i="4"/>
  <c r="I288" i="4" s="1"/>
  <c r="CH194" i="4"/>
  <c r="S279" i="4" s="1"/>
  <c r="CH185" i="4"/>
  <c r="J279" i="4" s="1"/>
  <c r="CJ188" i="4"/>
  <c r="M281" i="4" s="1"/>
  <c r="CK184" i="4"/>
  <c r="I282" i="4" s="1"/>
  <c r="CQ187" i="4"/>
  <c r="L288" i="4" s="1"/>
  <c r="CK196" i="4"/>
  <c r="U282" i="4" s="1"/>
  <c r="CQ189" i="4"/>
  <c r="N288" i="4" s="1"/>
  <c r="CJ183" i="4"/>
  <c r="H281" i="4" s="1"/>
  <c r="CI187" i="4"/>
  <c r="L280" i="4" s="1"/>
  <c r="CI181" i="4"/>
  <c r="F280" i="4" s="1"/>
  <c r="CJ198" i="4"/>
  <c r="W281" i="4" s="1"/>
  <c r="CH193" i="4"/>
  <c r="R279" i="4" s="1"/>
  <c r="CI195" i="4"/>
  <c r="T280" i="4" s="1"/>
  <c r="CI196" i="4"/>
  <c r="U280" i="4" s="1"/>
  <c r="CK189" i="4"/>
  <c r="N282" i="4" s="1"/>
  <c r="CK185" i="4"/>
  <c r="J282" i="4" s="1"/>
  <c r="CJ186" i="4"/>
  <c r="K281" i="4" s="1"/>
  <c r="CI182" i="4"/>
  <c r="G280" i="4" s="1"/>
  <c r="AW42" i="4"/>
  <c r="AW185" i="4" s="1"/>
  <c r="J245" i="4" s="1"/>
  <c r="CW42" i="4"/>
  <c r="CK192" i="4"/>
  <c r="Q282" i="4" s="1"/>
  <c r="CK182" i="4"/>
  <c r="G282" i="4" s="1"/>
  <c r="J184" i="4"/>
  <c r="I208" i="4" s="1"/>
  <c r="AI197" i="4"/>
  <c r="V231" i="4" s="1"/>
  <c r="AJ186" i="4"/>
  <c r="K232" i="4" s="1"/>
  <c r="BQ194" i="4"/>
  <c r="S263" i="4" s="1"/>
  <c r="BK185" i="4"/>
  <c r="J257" i="4" s="1"/>
  <c r="BK191" i="4"/>
  <c r="P257" i="4" s="1"/>
  <c r="BI184" i="4"/>
  <c r="I255" i="4" s="1"/>
  <c r="BJ193" i="4"/>
  <c r="R256" i="4" s="1"/>
  <c r="BH184" i="4"/>
  <c r="I254" i="4" s="1"/>
  <c r="BH192" i="4"/>
  <c r="Q254" i="4" s="1"/>
  <c r="BJ188" i="4"/>
  <c r="M256" i="4" s="1"/>
  <c r="BQ187" i="4"/>
  <c r="L263" i="4" s="1"/>
  <c r="BH196" i="4"/>
  <c r="U254" i="4" s="1"/>
  <c r="BQ197" i="4"/>
  <c r="V263" i="4" s="1"/>
  <c r="BK189" i="4"/>
  <c r="N257" i="4" s="1"/>
  <c r="BK195" i="4"/>
  <c r="T257" i="4" s="1"/>
  <c r="BJ190" i="4"/>
  <c r="O256" i="4" s="1"/>
  <c r="BJ198" i="4"/>
  <c r="W256" i="4" s="1"/>
  <c r="BH187" i="4"/>
  <c r="L254" i="4" s="1"/>
  <c r="BJ189" i="4"/>
  <c r="N256" i="4" s="1"/>
  <c r="BH198" i="4"/>
  <c r="W254" i="4" s="1"/>
  <c r="BK187" i="4"/>
  <c r="L257" i="4" s="1"/>
  <c r="BJ192" i="4"/>
  <c r="Q256" i="4" s="1"/>
  <c r="BJ186" i="4"/>
  <c r="K256" i="4" s="1"/>
  <c r="BH188" i="4"/>
  <c r="M254" i="4" s="1"/>
  <c r="BI188" i="4"/>
  <c r="M255" i="4" s="1"/>
  <c r="BK192" i="4"/>
  <c r="Q257" i="4" s="1"/>
  <c r="BJ195" i="4"/>
  <c r="T256" i="4" s="1"/>
  <c r="BJ194" i="4"/>
  <c r="S256" i="4" s="1"/>
  <c r="BI183" i="4"/>
  <c r="H255" i="4" s="1"/>
  <c r="BQ191" i="4"/>
  <c r="P263" i="4" s="1"/>
  <c r="BI198" i="4"/>
  <c r="W255" i="4" s="1"/>
  <c r="BH195" i="4"/>
  <c r="T254" i="4" s="1"/>
  <c r="BI189" i="4"/>
  <c r="N255" i="4" s="1"/>
  <c r="BI196" i="4"/>
  <c r="U255" i="4" s="1"/>
  <c r="BI197" i="4"/>
  <c r="V255" i="4" s="1"/>
  <c r="BI185" i="4"/>
  <c r="J255" i="4" s="1"/>
  <c r="BQ193" i="4"/>
  <c r="R263" i="4" s="1"/>
  <c r="BI192" i="4"/>
  <c r="Q255" i="4" s="1"/>
  <c r="BI193" i="4"/>
  <c r="R255" i="4" s="1"/>
  <c r="BI190" i="4"/>
  <c r="O255" i="4" s="1"/>
  <c r="BI191" i="4"/>
  <c r="P255" i="4" s="1"/>
  <c r="BI187" i="4"/>
  <c r="L255" i="4" s="1"/>
  <c r="BQ195" i="4"/>
  <c r="T263" i="4" s="1"/>
  <c r="BQ189" i="4"/>
  <c r="N263" i="4" s="1"/>
  <c r="BK198" i="4"/>
  <c r="W257" i="4" s="1"/>
  <c r="BJ183" i="4"/>
  <c r="H256" i="4" s="1"/>
  <c r="BJ191" i="4"/>
  <c r="P256" i="4" s="1"/>
  <c r="BK193" i="4"/>
  <c r="R257" i="4" s="1"/>
  <c r="BI186" i="4"/>
  <c r="K255" i="4" s="1"/>
  <c r="BH186" i="4"/>
  <c r="K254" i="4" s="1"/>
  <c r="BI194" i="4"/>
  <c r="S255" i="4" s="1"/>
  <c r="BI195" i="4"/>
  <c r="T255" i="4" s="1"/>
  <c r="BH191" i="4"/>
  <c r="P254" i="4" s="1"/>
  <c r="BQ185" i="4"/>
  <c r="J263" i="4" s="1"/>
  <c r="BK194" i="4"/>
  <c r="S257" i="4" s="1"/>
  <c r="BK183" i="4"/>
  <c r="H257" i="4" s="1"/>
  <c r="BH197" i="4"/>
  <c r="V254" i="4" s="1"/>
  <c r="BH189" i="4"/>
  <c r="N254" i="4" s="1"/>
  <c r="BJ197" i="4"/>
  <c r="V256" i="4" s="1"/>
  <c r="BQ182" i="4"/>
  <c r="G263" i="4" s="1"/>
  <c r="BK196" i="4"/>
  <c r="U257" i="4" s="1"/>
  <c r="BJ187" i="4"/>
  <c r="L256" i="4" s="1"/>
  <c r="BQ183" i="4"/>
  <c r="H263" i="4" s="1"/>
  <c r="BH194" i="4"/>
  <c r="S254" i="4" s="1"/>
  <c r="BK197" i="4"/>
  <c r="V257" i="4" s="1"/>
  <c r="X84" i="4"/>
  <c r="X191" i="4" s="1"/>
  <c r="P222" i="4" s="1"/>
  <c r="R84" i="4"/>
  <c r="R191" i="4" s="1"/>
  <c r="P216" i="4" s="1"/>
  <c r="M84" i="4"/>
  <c r="M191" i="4" s="1"/>
  <c r="P211" i="4" s="1"/>
  <c r="U84" i="4"/>
  <c r="U191" i="4" s="1"/>
  <c r="P219" i="4" s="1"/>
  <c r="AQ195" i="4"/>
  <c r="T239" i="4" s="1"/>
  <c r="AH190" i="4"/>
  <c r="O230" i="4" s="1"/>
  <c r="BW105" i="4"/>
  <c r="BW194" i="4" s="1"/>
  <c r="S269" i="4" s="1"/>
  <c r="DK186" i="4"/>
  <c r="K305" i="4" s="1"/>
  <c r="DH188" i="4"/>
  <c r="M302" i="4" s="1"/>
  <c r="DI196" i="4"/>
  <c r="U303" i="4" s="1"/>
  <c r="DJ186" i="4"/>
  <c r="K304" i="4" s="1"/>
  <c r="DI181" i="4"/>
  <c r="F303" i="4" s="1"/>
  <c r="DJ190" i="4"/>
  <c r="O304" i="4" s="1"/>
  <c r="DK189" i="4"/>
  <c r="N305" i="4" s="1"/>
  <c r="DQ186" i="4"/>
  <c r="K311" i="4" s="1"/>
  <c r="DI187" i="4"/>
  <c r="L303" i="4" s="1"/>
  <c r="DJ192" i="4"/>
  <c r="Q304" i="4" s="1"/>
  <c r="DQ198" i="4"/>
  <c r="W311" i="4" s="1"/>
  <c r="DQ192" i="4"/>
  <c r="Q311" i="4" s="1"/>
  <c r="DK184" i="4"/>
  <c r="I305" i="4" s="1"/>
  <c r="AH188" i="4"/>
  <c r="M230" i="4" s="1"/>
  <c r="AK195" i="4"/>
  <c r="T233" i="4" s="1"/>
  <c r="Q193" i="4"/>
  <c r="R215" i="4" s="1"/>
  <c r="R56" i="4"/>
  <c r="R187" i="4" s="1"/>
  <c r="L216" i="4" s="1"/>
  <c r="M56" i="4"/>
  <c r="M187" i="4" s="1"/>
  <c r="L211" i="4" s="1"/>
  <c r="U56" i="4"/>
  <c r="U187" i="4" s="1"/>
  <c r="L219" i="4" s="1"/>
  <c r="O56" i="4"/>
  <c r="O187" i="4" s="1"/>
  <c r="L213" i="4" s="1"/>
  <c r="X56" i="4"/>
  <c r="X187" i="4" s="1"/>
  <c r="L222" i="4" s="1"/>
  <c r="CQ186" i="4"/>
  <c r="K288" i="4" s="1"/>
  <c r="CK187" i="4"/>
  <c r="L282" i="4" s="1"/>
  <c r="CK183" i="4"/>
  <c r="H282" i="4" s="1"/>
  <c r="CQ198" i="4"/>
  <c r="W288" i="4" s="1"/>
  <c r="CH198" i="4"/>
  <c r="W279" i="4" s="1"/>
  <c r="CI189" i="4"/>
  <c r="N280" i="4" s="1"/>
  <c r="Q196" i="4"/>
  <c r="U215" i="4" s="1"/>
  <c r="J187" i="4"/>
  <c r="L208" i="4" s="1"/>
  <c r="I186" i="4"/>
  <c r="K207" i="4" s="1"/>
  <c r="J194" i="4"/>
  <c r="S208" i="4" s="1"/>
  <c r="I190" i="4"/>
  <c r="O207" i="4" s="1"/>
  <c r="I194" i="4"/>
  <c r="S207" i="4" s="1"/>
  <c r="H184" i="4"/>
  <c r="I206" i="4" s="1"/>
  <c r="Q185" i="4"/>
  <c r="J215" i="4" s="1"/>
  <c r="J186" i="4"/>
  <c r="K208" i="4" s="1"/>
  <c r="DW42" i="4"/>
  <c r="CW126" i="4"/>
  <c r="AQ187" i="4"/>
  <c r="L239" i="4" s="1"/>
  <c r="AH191" i="4"/>
  <c r="P230" i="4" s="1"/>
  <c r="AQ189" i="4"/>
  <c r="N239" i="4" s="1"/>
  <c r="AH186" i="4"/>
  <c r="K230" i="4" s="1"/>
  <c r="AJ198" i="4"/>
  <c r="W232" i="4" s="1"/>
  <c r="AK189" i="4"/>
  <c r="N233" i="4" s="1"/>
  <c r="AQ196" i="4"/>
  <c r="U239" i="4" s="1"/>
  <c r="AH189" i="4"/>
  <c r="N230" i="4" s="1"/>
  <c r="AI195" i="4"/>
  <c r="T231" i="4" s="1"/>
  <c r="AJ197" i="4"/>
  <c r="V232" i="4" s="1"/>
  <c r="AI187" i="4"/>
  <c r="L231" i="4" s="1"/>
  <c r="BH185" i="4"/>
  <c r="J254" i="4" s="1"/>
  <c r="BH193" i="4"/>
  <c r="R254" i="4" s="1"/>
  <c r="BH190" i="4"/>
  <c r="O254" i="4" s="1"/>
  <c r="BJ184" i="4"/>
  <c r="I256" i="4" s="1"/>
  <c r="BK190" i="4"/>
  <c r="O257" i="4" s="1"/>
  <c r="BQ196" i="4"/>
  <c r="U263" i="4" s="1"/>
  <c r="BL13" i="4"/>
  <c r="BP13" i="4" s="1"/>
  <c r="CQ196" i="4"/>
  <c r="U288" i="4" s="1"/>
  <c r="CK195" i="4"/>
  <c r="T282" i="4" s="1"/>
  <c r="H196" i="4"/>
  <c r="U206" i="4" s="1"/>
  <c r="DW91" i="4"/>
  <c r="AQ190" i="4"/>
  <c r="O239" i="4" s="1"/>
  <c r="AI198" i="4"/>
  <c r="W231" i="4" s="1"/>
  <c r="AJ195" i="4"/>
  <c r="T232" i="4" s="1"/>
  <c r="H195" i="4"/>
  <c r="T206" i="4" s="1"/>
  <c r="AJ192" i="4"/>
  <c r="Q232" i="4" s="1"/>
  <c r="BT13" i="4"/>
  <c r="CH196" i="4"/>
  <c r="U279" i="4" s="1"/>
  <c r="CH187" i="4"/>
  <c r="L279" i="4" s="1"/>
  <c r="CH188" i="4"/>
  <c r="M279" i="4" s="1"/>
  <c r="CI184" i="4"/>
  <c r="I280" i="4" s="1"/>
  <c r="AW126" i="4"/>
  <c r="AW197" i="4" s="1"/>
  <c r="V245" i="4" s="1"/>
  <c r="AQ198" i="4"/>
  <c r="W239" i="4" s="1"/>
  <c r="AK187" i="4"/>
  <c r="L233" i="4" s="1"/>
  <c r="AX14" i="4"/>
  <c r="AX181" i="4" s="1"/>
  <c r="F246" i="4" s="1"/>
  <c r="AJ188" i="4"/>
  <c r="M232" i="4" s="1"/>
  <c r="AJ187" i="4"/>
  <c r="L232" i="4" s="1"/>
  <c r="AK193" i="4"/>
  <c r="R233" i="4" s="1"/>
  <c r="AQ188" i="4"/>
  <c r="M239" i="4" s="1"/>
  <c r="AJ196" i="4"/>
  <c r="U232" i="4" s="1"/>
  <c r="AJ194" i="4"/>
  <c r="S232" i="4" s="1"/>
  <c r="AI185" i="4"/>
  <c r="J231" i="4" s="1"/>
  <c r="AK197" i="4"/>
  <c r="V233" i="4" s="1"/>
  <c r="AQ184" i="4"/>
  <c r="I239" i="4" s="1"/>
  <c r="BQ190" i="4"/>
  <c r="O263" i="4" s="1"/>
  <c r="BH183" i="4"/>
  <c r="H254" i="4" s="1"/>
  <c r="BJ185" i="4"/>
  <c r="J256" i="4" s="1"/>
  <c r="AQ191" i="4"/>
  <c r="P239" i="4" s="1"/>
  <c r="Z105" i="4"/>
  <c r="Z194" i="4" s="1"/>
  <c r="S224" i="4" s="1"/>
  <c r="DK187" i="4"/>
  <c r="L305" i="4" s="1"/>
  <c r="DI185" i="4"/>
  <c r="J303" i="4" s="1"/>
  <c r="DH194" i="4"/>
  <c r="S302" i="4" s="1"/>
  <c r="CK194" i="4"/>
  <c r="S282" i="4" s="1"/>
  <c r="AI183" i="4"/>
  <c r="H231" i="4" s="1"/>
  <c r="CW105" i="4"/>
  <c r="CI183" i="4"/>
  <c r="H280" i="4" s="1"/>
  <c r="DQ196" i="4"/>
  <c r="U311" i="4" s="1"/>
  <c r="DQ191" i="4"/>
  <c r="P311" i="4" s="1"/>
  <c r="DH185" i="4"/>
  <c r="J302" i="4" s="1"/>
  <c r="DI189" i="4"/>
  <c r="N303" i="4" s="1"/>
  <c r="DH197" i="4"/>
  <c r="V302" i="4" s="1"/>
  <c r="DI197" i="4"/>
  <c r="V303" i="4" s="1"/>
  <c r="DJ196" i="4"/>
  <c r="U304" i="4" s="1"/>
  <c r="DI194" i="4"/>
  <c r="S303" i="4" s="1"/>
  <c r="DI191" i="4"/>
  <c r="P303" i="4" s="1"/>
  <c r="DJ191" i="4"/>
  <c r="P304" i="4" s="1"/>
  <c r="DH187" i="4"/>
  <c r="L302" i="4" s="1"/>
  <c r="DQ197" i="4"/>
  <c r="V311" i="4" s="1"/>
  <c r="DK182" i="4"/>
  <c r="G305" i="4" s="1"/>
  <c r="DX14" i="4"/>
  <c r="DX181" i="4" s="1"/>
  <c r="DK195" i="4"/>
  <c r="T305" i="4" s="1"/>
  <c r="DJ183" i="4"/>
  <c r="H304" i="4" s="1"/>
  <c r="DQ189" i="4"/>
  <c r="N311" i="4" s="1"/>
  <c r="DQ185" i="4"/>
  <c r="J311" i="4" s="1"/>
  <c r="DK192" i="4"/>
  <c r="Q305" i="4" s="1"/>
  <c r="DI183" i="4"/>
  <c r="H303" i="4" s="1"/>
  <c r="DI186" i="4"/>
  <c r="K303" i="4" s="1"/>
  <c r="DK191" i="4"/>
  <c r="P305" i="4" s="1"/>
  <c r="DI190" i="4"/>
  <c r="O303" i="4" s="1"/>
  <c r="DQ194" i="4"/>
  <c r="S311" i="4" s="1"/>
  <c r="DK197" i="4"/>
  <c r="V305" i="4" s="1"/>
  <c r="DH184" i="4"/>
  <c r="I302" i="4" s="1"/>
  <c r="DJ189" i="4"/>
  <c r="N304" i="4" s="1"/>
  <c r="DQ183" i="4"/>
  <c r="H311" i="4" s="1"/>
  <c r="DK190" i="4"/>
  <c r="O305" i="4" s="1"/>
  <c r="DH192" i="4"/>
  <c r="Q302" i="4" s="1"/>
  <c r="DQ181" i="4"/>
  <c r="F311" i="4" s="1"/>
  <c r="DJ194" i="4"/>
  <c r="S304" i="4" s="1"/>
  <c r="DI198" i="4"/>
  <c r="W303" i="4" s="1"/>
  <c r="DI188" i="4"/>
  <c r="M303" i="4" s="1"/>
  <c r="DJ188" i="4"/>
  <c r="M304" i="4" s="1"/>
  <c r="DK196" i="4"/>
  <c r="U305" i="4" s="1"/>
  <c r="DH193" i="4"/>
  <c r="R302" i="4" s="1"/>
  <c r="DK198" i="4"/>
  <c r="W305" i="4" s="1"/>
  <c r="DI184" i="4"/>
  <c r="I303" i="4" s="1"/>
  <c r="DJ193" i="4"/>
  <c r="R304" i="4" s="1"/>
  <c r="DI193" i="4"/>
  <c r="R303" i="4" s="1"/>
  <c r="DK193" i="4"/>
  <c r="R305" i="4" s="1"/>
  <c r="DQ187" i="4"/>
  <c r="L311" i="4" s="1"/>
  <c r="DK194" i="4"/>
  <c r="S305" i="4" s="1"/>
  <c r="DJ187" i="4"/>
  <c r="L304" i="4" s="1"/>
  <c r="DH189" i="4"/>
  <c r="N302" i="4" s="1"/>
  <c r="DK185" i="4"/>
  <c r="J305" i="4" s="1"/>
  <c r="AH185" i="4"/>
  <c r="J230" i="4" s="1"/>
  <c r="AK198" i="4"/>
  <c r="W233" i="4" s="1"/>
  <c r="AH194" i="4"/>
  <c r="S230" i="4" s="1"/>
  <c r="CK193" i="4"/>
  <c r="R282" i="4" s="1"/>
  <c r="AI182" i="4"/>
  <c r="G231" i="4" s="1"/>
  <c r="W98" i="4"/>
  <c r="W193" i="4" s="1"/>
  <c r="R221" i="4" s="1"/>
  <c r="BW98" i="4"/>
  <c r="BW193" i="4" s="1"/>
  <c r="R269" i="4" s="1"/>
  <c r="DW98" i="4"/>
  <c r="CH183" i="4"/>
  <c r="H279" i="4" s="1"/>
  <c r="CQ197" i="4"/>
  <c r="V288" i="4" s="1"/>
  <c r="CK198" i="4"/>
  <c r="W282" i="4" s="1"/>
  <c r="Q195" i="4"/>
  <c r="T215" i="4" s="1"/>
  <c r="J193" i="4"/>
  <c r="R208" i="4" s="1"/>
  <c r="J195" i="4"/>
  <c r="T208" i="4" s="1"/>
  <c r="Q188" i="4"/>
  <c r="M215" i="4" s="1"/>
  <c r="H198" i="4"/>
  <c r="W206" i="4" s="1"/>
  <c r="I181" i="4"/>
  <c r="F207" i="4" s="1"/>
  <c r="AI196" i="4"/>
  <c r="U231" i="4" s="1"/>
  <c r="Z42" i="4"/>
  <c r="Z185" i="4" s="1"/>
  <c r="J224" i="4" s="1"/>
  <c r="AQ185" i="4"/>
  <c r="J239" i="4" s="1"/>
  <c r="W126" i="4"/>
  <c r="W197" i="4" s="1"/>
  <c r="V221" i="4" s="1"/>
  <c r="DW126" i="4"/>
  <c r="R77" i="4"/>
  <c r="R190" i="4" s="1"/>
  <c r="O216" i="4" s="1"/>
  <c r="M77" i="4"/>
  <c r="M190" i="4" s="1"/>
  <c r="O211" i="4" s="1"/>
  <c r="U77" i="4"/>
  <c r="U190" i="4" s="1"/>
  <c r="O219" i="4" s="1"/>
  <c r="O77" i="4"/>
  <c r="O190" i="4" s="1"/>
  <c r="O213" i="4" s="1"/>
  <c r="X77" i="4"/>
  <c r="X190" i="4" s="1"/>
  <c r="O222" i="4" s="1"/>
  <c r="I198" i="4"/>
  <c r="W207" i="4" s="1"/>
  <c r="J185" i="4"/>
  <c r="J208" i="4" s="1"/>
  <c r="AH193" i="4"/>
  <c r="R230" i="4" s="1"/>
  <c r="AK188" i="4"/>
  <c r="M233" i="4" s="1"/>
  <c r="C332" i="4"/>
  <c r="AL15" i="4"/>
  <c r="AQ194" i="4"/>
  <c r="S239" i="4" s="1"/>
  <c r="AJ191" i="4"/>
  <c r="P232" i="4" s="1"/>
  <c r="AH187" i="4"/>
  <c r="L230" i="4" s="1"/>
  <c r="AK186" i="4"/>
  <c r="K233" i="4" s="1"/>
  <c r="AJ183" i="4"/>
  <c r="H232" i="4" s="1"/>
  <c r="AI189" i="4"/>
  <c r="N231" i="4" s="1"/>
  <c r="AI188" i="4"/>
  <c r="M231" i="4" s="1"/>
  <c r="AQ197" i="4"/>
  <c r="V239" i="4" s="1"/>
  <c r="AQ193" i="4"/>
  <c r="R239" i="4" s="1"/>
  <c r="BK184" i="4"/>
  <c r="I257" i="4" s="1"/>
  <c r="BQ198" i="4"/>
  <c r="W263" i="4" s="1"/>
  <c r="BK182" i="4"/>
  <c r="G257" i="4" s="1"/>
  <c r="BJ196" i="4"/>
  <c r="U256" i="4" s="1"/>
  <c r="BQ188" i="4"/>
  <c r="M263" i="4" s="1"/>
  <c r="BQ192" i="4"/>
  <c r="Q263" i="4" s="1"/>
  <c r="AI194" i="4"/>
  <c r="S231" i="4" s="1"/>
  <c r="CX28" i="4"/>
  <c r="CX183" i="4" s="1"/>
  <c r="AQ186" i="4"/>
  <c r="K239" i="4" s="1"/>
  <c r="H185" i="4"/>
  <c r="J206" i="4" s="1"/>
  <c r="L14" i="4"/>
  <c r="X112" i="4"/>
  <c r="X195" i="4" s="1"/>
  <c r="T222" i="4" s="1"/>
  <c r="R112" i="4"/>
  <c r="R195" i="4" s="1"/>
  <c r="T216" i="4" s="1"/>
  <c r="U112" i="4"/>
  <c r="U195" i="4" s="1"/>
  <c r="T219" i="4" s="1"/>
  <c r="C269" i="1"/>
  <c r="DK130" i="9" l="1"/>
  <c r="DG131" i="9"/>
  <c r="DN130" i="9"/>
  <c r="DO130" i="9" s="1"/>
  <c r="DB130" i="9"/>
  <c r="DA131" i="9" s="1"/>
  <c r="DI130" i="9"/>
  <c r="CO131" i="9"/>
  <c r="CP131" i="9" s="1"/>
  <c r="CC131" i="9"/>
  <c r="CB132" i="9" s="1"/>
  <c r="CJ131" i="9"/>
  <c r="CH132" i="9"/>
  <c r="CL131" i="9"/>
  <c r="BP130" i="9"/>
  <c r="BQ130" i="9" s="1"/>
  <c r="BD130" i="9"/>
  <c r="BC131" i="9" s="1"/>
  <c r="BK130" i="9"/>
  <c r="BI132" i="9"/>
  <c r="BM132" i="9" s="1"/>
  <c r="AJ131" i="9"/>
  <c r="AJ162" i="9" s="1"/>
  <c r="AN130" i="9"/>
  <c r="AQ130" i="9"/>
  <c r="AR130" i="9" s="1"/>
  <c r="AE130" i="9"/>
  <c r="AD131" i="9" s="1"/>
  <c r="AL130" i="9"/>
  <c r="DO161" i="9"/>
  <c r="U279" i="9" s="1"/>
  <c r="R115" i="9"/>
  <c r="S115" i="9" s="1"/>
  <c r="E116" i="9"/>
  <c r="F116" i="9" s="1"/>
  <c r="M115" i="9"/>
  <c r="DB161" i="9"/>
  <c r="O129" i="9"/>
  <c r="K130" i="9"/>
  <c r="J385" i="7"/>
  <c r="HJ78" i="7"/>
  <c r="HK78" i="7" s="1"/>
  <c r="GX78" i="7"/>
  <c r="GW79" i="7" s="1"/>
  <c r="HE78" i="7"/>
  <c r="HG78" i="7"/>
  <c r="HC79" i="7"/>
  <c r="GK78" i="7"/>
  <c r="GL78" i="7" s="1"/>
  <c r="FY78" i="7"/>
  <c r="FX79" i="7" s="1"/>
  <c r="GF78" i="7"/>
  <c r="GH77" i="7"/>
  <c r="GD78" i="7"/>
  <c r="EZ79" i="7"/>
  <c r="EY80" i="7" s="1"/>
  <c r="FG79" i="7"/>
  <c r="FL79" i="7"/>
  <c r="FM79" i="7" s="1"/>
  <c r="FI78" i="7"/>
  <c r="FE79" i="7"/>
  <c r="EM79" i="7"/>
  <c r="EN79" i="7" s="1"/>
  <c r="EA79" i="7"/>
  <c r="DZ80" i="7" s="1"/>
  <c r="EH79" i="7"/>
  <c r="EF80" i="7"/>
  <c r="EJ79" i="7"/>
  <c r="DK78" i="7"/>
  <c r="DG79" i="7"/>
  <c r="DN79" i="7"/>
  <c r="DO79" i="7" s="1"/>
  <c r="DI79" i="7"/>
  <c r="DB79" i="7"/>
  <c r="DA80" i="7" s="1"/>
  <c r="BX197" i="4"/>
  <c r="V270" i="4" s="1"/>
  <c r="BP66" i="8"/>
  <c r="BQ66" i="8" s="1"/>
  <c r="BD66" i="8"/>
  <c r="BC67" i="8" s="1"/>
  <c r="BK66" i="8"/>
  <c r="CO67" i="8"/>
  <c r="CP67" i="8" s="1"/>
  <c r="CC67" i="8"/>
  <c r="CB68" i="8" s="1"/>
  <c r="CJ67" i="8"/>
  <c r="CL67" i="8"/>
  <c r="R66" i="8"/>
  <c r="S66" i="8" s="1"/>
  <c r="F66" i="8"/>
  <c r="E67" i="8" s="1"/>
  <c r="M66" i="8"/>
  <c r="BI75" i="8"/>
  <c r="BM74" i="8"/>
  <c r="AJ154" i="8"/>
  <c r="AJ76" i="8"/>
  <c r="AN75" i="8"/>
  <c r="CH154" i="8"/>
  <c r="N247" i="8" s="1"/>
  <c r="DG154" i="8"/>
  <c r="N270" i="8" s="1"/>
  <c r="CH76" i="8"/>
  <c r="AQ67" i="8"/>
  <c r="AR67" i="8" s="1"/>
  <c r="AE67" i="8"/>
  <c r="AD68" i="8" s="1"/>
  <c r="AL67" i="8"/>
  <c r="K74" i="8"/>
  <c r="O73" i="8"/>
  <c r="DI74" i="8"/>
  <c r="DB74" i="8"/>
  <c r="DA75" i="8" s="1"/>
  <c r="DN74" i="8"/>
  <c r="DK73" i="8"/>
  <c r="DG74" i="8"/>
  <c r="DO74" i="8"/>
  <c r="K241" i="7"/>
  <c r="K247" i="7"/>
  <c r="J419" i="7"/>
  <c r="K217" i="7"/>
  <c r="S50" i="7"/>
  <c r="AE54" i="7"/>
  <c r="AQ54" i="7"/>
  <c r="AR54" i="7" s="1"/>
  <c r="AL54" i="7"/>
  <c r="F51" i="7"/>
  <c r="E52" i="7" s="1"/>
  <c r="R51" i="7"/>
  <c r="M51" i="7"/>
  <c r="K56" i="7"/>
  <c r="O56" i="7" s="1"/>
  <c r="BP49" i="7"/>
  <c r="BK49" i="7"/>
  <c r="BD49" i="7"/>
  <c r="BC50" i="7" s="1"/>
  <c r="CJ49" i="7"/>
  <c r="CO49" i="7"/>
  <c r="CC49" i="7"/>
  <c r="CB50" i="7" s="1"/>
  <c r="CL49" i="7"/>
  <c r="K175" i="7"/>
  <c r="K179" i="7"/>
  <c r="CP48" i="7"/>
  <c r="CP49" i="7" s="1"/>
  <c r="BI57" i="7"/>
  <c r="BM57" i="7" s="1"/>
  <c r="BQ48" i="7"/>
  <c r="CH56" i="7"/>
  <c r="AJ151" i="7"/>
  <c r="AJ55" i="7"/>
  <c r="AN55" i="7" s="1"/>
  <c r="BQ46" i="1"/>
  <c r="AR52" i="1"/>
  <c r="AQ53" i="1"/>
  <c r="AE53" i="1"/>
  <c r="AD54" i="1" s="1"/>
  <c r="AL53" i="1"/>
  <c r="AJ54" i="1"/>
  <c r="AJ151" i="1" s="1"/>
  <c r="AN151" i="1" s="1"/>
  <c r="BP47" i="1"/>
  <c r="BK47" i="1"/>
  <c r="BD47" i="1"/>
  <c r="BI48" i="1"/>
  <c r="BM150" i="1"/>
  <c r="CT12" i="4"/>
  <c r="AT12" i="4"/>
  <c r="W21" i="4"/>
  <c r="W182" i="4" s="1"/>
  <c r="G221" i="4" s="1"/>
  <c r="F329" i="4"/>
  <c r="F326" i="4"/>
  <c r="F331" i="4"/>
  <c r="F318" i="4"/>
  <c r="DZ181" i="4"/>
  <c r="F320" i="4" s="1"/>
  <c r="F330" i="4"/>
  <c r="CW195" i="4"/>
  <c r="T294" i="4" s="1"/>
  <c r="T292" i="4"/>
  <c r="T315" i="4"/>
  <c r="DW195" i="4"/>
  <c r="T317" i="4" s="1"/>
  <c r="T318" i="4"/>
  <c r="DZ195" i="4"/>
  <c r="T320" i="4" s="1"/>
  <c r="AW91" i="4"/>
  <c r="AW192" i="4" s="1"/>
  <c r="Q245" i="4" s="1"/>
  <c r="AU192" i="4"/>
  <c r="Q243" i="4" s="1"/>
  <c r="CZ70" i="4"/>
  <c r="CX189" i="4"/>
  <c r="BZ112" i="4"/>
  <c r="BZ195" i="4" s="1"/>
  <c r="T272" i="4" s="1"/>
  <c r="BX195" i="4"/>
  <c r="T270" i="4" s="1"/>
  <c r="M295" i="4"/>
  <c r="CZ188" i="4"/>
  <c r="M297" i="4" s="1"/>
  <c r="CW183" i="4"/>
  <c r="H294" i="4" s="1"/>
  <c r="H292" i="4"/>
  <c r="CW191" i="4"/>
  <c r="P294" i="4" s="1"/>
  <c r="P292" i="4"/>
  <c r="N315" i="4"/>
  <c r="DW189" i="4"/>
  <c r="N317" i="4" s="1"/>
  <c r="BW28" i="4"/>
  <c r="BW183" i="4" s="1"/>
  <c r="H269" i="4" s="1"/>
  <c r="BU183" i="4"/>
  <c r="H267" i="4" s="1"/>
  <c r="F315" i="4"/>
  <c r="DW181" i="4"/>
  <c r="F317" i="4" s="1"/>
  <c r="CW184" i="4"/>
  <c r="I294" i="4" s="1"/>
  <c r="I292" i="4"/>
  <c r="G318" i="4"/>
  <c r="DZ182" i="4"/>
  <c r="G320" i="4" s="1"/>
  <c r="BW42" i="4"/>
  <c r="BW185" i="4" s="1"/>
  <c r="J269" i="4" s="1"/>
  <c r="BU185" i="4"/>
  <c r="J267" i="4" s="1"/>
  <c r="CW192" i="4"/>
  <c r="Q294" i="4" s="1"/>
  <c r="Q292" i="4"/>
  <c r="CZ91" i="4"/>
  <c r="CX192" i="4"/>
  <c r="P315" i="4"/>
  <c r="DW191" i="4"/>
  <c r="P317" i="4" s="1"/>
  <c r="P318" i="4"/>
  <c r="DZ191" i="4"/>
  <c r="P320" i="4" s="1"/>
  <c r="F292" i="4"/>
  <c r="CW181" i="4"/>
  <c r="F294" i="4" s="1"/>
  <c r="K318" i="4"/>
  <c r="DZ186" i="4"/>
  <c r="K320" i="4" s="1"/>
  <c r="U295" i="4"/>
  <c r="CZ196" i="4"/>
  <c r="U297" i="4" s="1"/>
  <c r="V318" i="4"/>
  <c r="DZ197" i="4"/>
  <c r="V320" i="4" s="1"/>
  <c r="F328" i="4"/>
  <c r="H295" i="4"/>
  <c r="CZ183" i="4"/>
  <c r="H297" i="4" s="1"/>
  <c r="P14" i="4"/>
  <c r="P181" i="4" s="1"/>
  <c r="F214" i="4" s="1"/>
  <c r="L181" i="4"/>
  <c r="F210" i="4" s="1"/>
  <c r="F295" i="4"/>
  <c r="CZ181" i="4"/>
  <c r="F297" i="4" s="1"/>
  <c r="DP14" i="4"/>
  <c r="DP181" i="4" s="1"/>
  <c r="F310" i="4" s="1"/>
  <c r="DL181" i="4"/>
  <c r="F306" i="4" s="1"/>
  <c r="BM84" i="4"/>
  <c r="BM191" i="4" s="1"/>
  <c r="P259" i="4" s="1"/>
  <c r="P335" i="4"/>
  <c r="M315" i="4"/>
  <c r="DW188" i="4"/>
  <c r="M317" i="4" s="1"/>
  <c r="DZ63" i="4"/>
  <c r="DX188" i="4"/>
  <c r="CZ112" i="4"/>
  <c r="CX195" i="4"/>
  <c r="N292" i="4"/>
  <c r="CW189" i="4"/>
  <c r="N294" i="4" s="1"/>
  <c r="H315" i="4"/>
  <c r="DW183" i="4"/>
  <c r="H317" i="4" s="1"/>
  <c r="DZ28" i="4"/>
  <c r="DX183" i="4"/>
  <c r="CW188" i="4"/>
  <c r="M294" i="4" s="1"/>
  <c r="M292" i="4"/>
  <c r="P295" i="4"/>
  <c r="CZ191" i="4"/>
  <c r="P297" i="4" s="1"/>
  <c r="N318" i="4"/>
  <c r="DZ189" i="4"/>
  <c r="N320" i="4" s="1"/>
  <c r="BZ28" i="4"/>
  <c r="BZ183" i="4" s="1"/>
  <c r="H272" i="4" s="1"/>
  <c r="BX183" i="4"/>
  <c r="H270" i="4" s="1"/>
  <c r="CZ35" i="4"/>
  <c r="CX184" i="4"/>
  <c r="U315" i="4"/>
  <c r="DW196" i="4"/>
  <c r="U317" i="4" s="1"/>
  <c r="DZ119" i="4"/>
  <c r="DX196" i="4"/>
  <c r="G315" i="4"/>
  <c r="DW182" i="4"/>
  <c r="G317" i="4" s="1"/>
  <c r="BZ91" i="4"/>
  <c r="BZ192" i="4" s="1"/>
  <c r="Q272" i="4" s="1"/>
  <c r="BX192" i="4"/>
  <c r="Q270" i="4" s="1"/>
  <c r="BZ119" i="4"/>
  <c r="BZ196" i="4" s="1"/>
  <c r="U272" i="4" s="1"/>
  <c r="BX196" i="4"/>
  <c r="U270" i="4" s="1"/>
  <c r="I315" i="4"/>
  <c r="DW184" i="4"/>
  <c r="I317" i="4" s="1"/>
  <c r="DZ35" i="4"/>
  <c r="DX184" i="4"/>
  <c r="CZ21" i="4"/>
  <c r="CX182" i="4"/>
  <c r="K295" i="4"/>
  <c r="CZ186" i="4"/>
  <c r="K297" i="4" s="1"/>
  <c r="R295" i="4"/>
  <c r="CZ193" i="4"/>
  <c r="R297" i="4" s="1"/>
  <c r="S295" i="4"/>
  <c r="CZ194" i="4"/>
  <c r="S297" i="4" s="1"/>
  <c r="R331" i="4"/>
  <c r="J331" i="4"/>
  <c r="T331" i="4"/>
  <c r="K331" i="4"/>
  <c r="L331" i="4"/>
  <c r="N331" i="4"/>
  <c r="H330" i="4"/>
  <c r="M329" i="4"/>
  <c r="J329" i="4"/>
  <c r="S329" i="4"/>
  <c r="V329" i="4"/>
  <c r="L330" i="4"/>
  <c r="R330" i="4"/>
  <c r="G330" i="4"/>
  <c r="T329" i="4"/>
  <c r="Q329" i="4"/>
  <c r="P329" i="4"/>
  <c r="W329" i="4"/>
  <c r="L329" i="4"/>
  <c r="CN13" i="4"/>
  <c r="CS13" i="4"/>
  <c r="CG13" i="4"/>
  <c r="CF14" i="4" s="1"/>
  <c r="CM84" i="4"/>
  <c r="CM191" i="4" s="1"/>
  <c r="P284" i="4" s="1"/>
  <c r="O84" i="4"/>
  <c r="O191" i="4" s="1"/>
  <c r="P213" i="4" s="1"/>
  <c r="DM78" i="4"/>
  <c r="CM78" i="4"/>
  <c r="BM78" i="4"/>
  <c r="AM78" i="4"/>
  <c r="M78" i="4"/>
  <c r="AM79" i="4"/>
  <c r="BM79" i="4"/>
  <c r="CM79" i="4"/>
  <c r="M79" i="4"/>
  <c r="DM79" i="4"/>
  <c r="BM80" i="4"/>
  <c r="DM80" i="4"/>
  <c r="CM80" i="4"/>
  <c r="M80" i="4"/>
  <c r="AM80" i="4"/>
  <c r="BM81" i="4"/>
  <c r="DM81" i="4"/>
  <c r="CM81" i="4"/>
  <c r="AM81" i="4"/>
  <c r="M81" i="4"/>
  <c r="DM82" i="4"/>
  <c r="CM82" i="4"/>
  <c r="BM82" i="4"/>
  <c r="AM82" i="4"/>
  <c r="M82" i="4"/>
  <c r="BM83" i="4"/>
  <c r="CM83" i="4"/>
  <c r="DM83" i="4"/>
  <c r="M83" i="4"/>
  <c r="AM83" i="4"/>
  <c r="DM84" i="4"/>
  <c r="DM191" i="4" s="1"/>
  <c r="P307" i="4" s="1"/>
  <c r="AM84" i="4"/>
  <c r="AM191" i="4" s="1"/>
  <c r="P235" i="4" s="1"/>
  <c r="BZ63" i="4"/>
  <c r="BZ188" i="4" s="1"/>
  <c r="M272" i="4" s="1"/>
  <c r="AZ70" i="4"/>
  <c r="AZ189" i="4" s="1"/>
  <c r="N248" i="4" s="1"/>
  <c r="CZ84" i="4"/>
  <c r="DZ84" i="4"/>
  <c r="Q331" i="4"/>
  <c r="DT13" i="4"/>
  <c r="P331" i="4"/>
  <c r="S331" i="4"/>
  <c r="BO78" i="4"/>
  <c r="DO78" i="4"/>
  <c r="CO78" i="4"/>
  <c r="AO78" i="4"/>
  <c r="I15" i="3"/>
  <c r="BO79" i="4"/>
  <c r="DO79" i="4"/>
  <c r="CO79" i="4"/>
  <c r="AO79" i="4"/>
  <c r="BO80" i="4"/>
  <c r="AO80" i="4"/>
  <c r="DO80" i="4"/>
  <c r="CO80" i="4"/>
  <c r="BO81" i="4"/>
  <c r="DO81" i="4"/>
  <c r="AO81" i="4"/>
  <c r="CO81" i="4"/>
  <c r="BO82" i="4"/>
  <c r="AO82" i="4"/>
  <c r="DO82" i="4"/>
  <c r="CO82" i="4"/>
  <c r="AO83" i="4"/>
  <c r="CO83" i="4"/>
  <c r="DO83" i="4"/>
  <c r="BO83" i="4"/>
  <c r="DO84" i="4"/>
  <c r="DO191" i="4" s="1"/>
  <c r="P309" i="4" s="1"/>
  <c r="AO84" i="4"/>
  <c r="AO191" i="4" s="1"/>
  <c r="P237" i="4" s="1"/>
  <c r="CO84" i="4"/>
  <c r="CO191" i="4" s="1"/>
  <c r="P286" i="4" s="1"/>
  <c r="BO84" i="4"/>
  <c r="BO191" i="4" s="1"/>
  <c r="P261" i="4" s="1"/>
  <c r="BZ70" i="4"/>
  <c r="BZ189" i="4" s="1"/>
  <c r="N272" i="4" s="1"/>
  <c r="DW21" i="4"/>
  <c r="AZ63" i="4"/>
  <c r="AZ188" i="4" s="1"/>
  <c r="M248" i="4" s="1"/>
  <c r="CZ63" i="4"/>
  <c r="S14" i="4"/>
  <c r="AW21" i="4"/>
  <c r="AW182" i="4" s="1"/>
  <c r="G245" i="4" s="1"/>
  <c r="DZ70" i="4"/>
  <c r="BZ35" i="4"/>
  <c r="BZ184" i="4" s="1"/>
  <c r="I272" i="4" s="1"/>
  <c r="AZ91" i="4"/>
  <c r="AZ192" i="4" s="1"/>
  <c r="Q248" i="4" s="1"/>
  <c r="AZ84" i="4"/>
  <c r="AZ191" i="4" s="1"/>
  <c r="P248" i="4" s="1"/>
  <c r="DZ112" i="4"/>
  <c r="BZ84" i="4"/>
  <c r="BZ191" i="4" s="1"/>
  <c r="P272" i="4" s="1"/>
  <c r="CW91" i="4"/>
  <c r="AZ112" i="4"/>
  <c r="AZ195" i="4" s="1"/>
  <c r="T248" i="4" s="1"/>
  <c r="DS14" i="4"/>
  <c r="BZ42" i="4"/>
  <c r="BZ185" i="4" s="1"/>
  <c r="J272" i="4" s="1"/>
  <c r="BW91" i="4"/>
  <c r="BW192" i="4" s="1"/>
  <c r="Q269" i="4" s="1"/>
  <c r="AZ49" i="4"/>
  <c r="AZ186" i="4" s="1"/>
  <c r="K248" i="4" s="1"/>
  <c r="AZ28" i="4"/>
  <c r="AZ183" i="4" s="1"/>
  <c r="H248" i="4" s="1"/>
  <c r="AZ35" i="4"/>
  <c r="AZ184" i="4" s="1"/>
  <c r="I248" i="4" s="1"/>
  <c r="AZ21" i="4"/>
  <c r="AZ182" i="4" s="1"/>
  <c r="G248" i="4" s="1"/>
  <c r="BW119" i="4"/>
  <c r="BW196" i="4" s="1"/>
  <c r="U269" i="4" s="1"/>
  <c r="DW119" i="4"/>
  <c r="DZ21" i="4"/>
  <c r="W331" i="4"/>
  <c r="N329" i="4"/>
  <c r="M331" i="4"/>
  <c r="G331" i="4"/>
  <c r="V331" i="4"/>
  <c r="I331" i="4"/>
  <c r="O331" i="4"/>
  <c r="H331" i="4"/>
  <c r="I330" i="4"/>
  <c r="G329" i="4"/>
  <c r="O78" i="4"/>
  <c r="O79" i="4"/>
  <c r="O80" i="4"/>
  <c r="O81" i="4"/>
  <c r="O82" i="4"/>
  <c r="O83" i="4"/>
  <c r="U331" i="4"/>
  <c r="H329" i="4"/>
  <c r="V330" i="4"/>
  <c r="U329" i="4"/>
  <c r="I329" i="4"/>
  <c r="U330" i="4"/>
  <c r="Q330" i="4"/>
  <c r="P330" i="4"/>
  <c r="M330" i="4"/>
  <c r="K330" i="4"/>
  <c r="W330" i="4"/>
  <c r="DW112" i="4"/>
  <c r="Z112" i="4"/>
  <c r="Z195" i="4" s="1"/>
  <c r="T224" i="4" s="1"/>
  <c r="L15" i="4"/>
  <c r="CL14" i="4"/>
  <c r="Z77" i="4"/>
  <c r="Z190" i="4" s="1"/>
  <c r="O224" i="4" s="1"/>
  <c r="BW77" i="4"/>
  <c r="BW190" i="4" s="1"/>
  <c r="O269" i="4" s="1"/>
  <c r="DZ14" i="4"/>
  <c r="BL14" i="4"/>
  <c r="DG14" i="4"/>
  <c r="DG181" i="4" s="1"/>
  <c r="F301" i="4" s="1"/>
  <c r="CW56" i="4"/>
  <c r="W84" i="4"/>
  <c r="W191" i="4" s="1"/>
  <c r="P221" i="4" s="1"/>
  <c r="DW84" i="4"/>
  <c r="Z133" i="4"/>
  <c r="Z198" i="4" s="1"/>
  <c r="W224" i="4" s="1"/>
  <c r="BW133" i="4"/>
  <c r="BW198" i="4" s="1"/>
  <c r="W269" i="4" s="1"/>
  <c r="CW49" i="4"/>
  <c r="W63" i="4"/>
  <c r="W188" i="4" s="1"/>
  <c r="M221" i="4" s="1"/>
  <c r="DW63" i="4"/>
  <c r="Z14" i="4"/>
  <c r="Z181" i="4" s="1"/>
  <c r="F224" i="4" s="1"/>
  <c r="CW14" i="4"/>
  <c r="BW35" i="4"/>
  <c r="BW184" i="4" s="1"/>
  <c r="I269" i="4" s="1"/>
  <c r="BW70" i="4"/>
  <c r="BW189" i="4" s="1"/>
  <c r="N269" i="4" s="1"/>
  <c r="AL16" i="4"/>
  <c r="CW112" i="4"/>
  <c r="BW112" i="4"/>
  <c r="BW195" i="4" s="1"/>
  <c r="T269" i="4" s="1"/>
  <c r="C333" i="4"/>
  <c r="CW77" i="4"/>
  <c r="AZ14" i="4"/>
  <c r="AZ181" i="4" s="1"/>
  <c r="F248" i="4" s="1"/>
  <c r="W56" i="4"/>
  <c r="W187" i="4" s="1"/>
  <c r="L221" i="4" s="1"/>
  <c r="DW56" i="4"/>
  <c r="AW84" i="4"/>
  <c r="AW191" i="4" s="1"/>
  <c r="P245" i="4" s="1"/>
  <c r="BZ14" i="4"/>
  <c r="BZ181" i="4" s="1"/>
  <c r="F272" i="4" s="1"/>
  <c r="CW133" i="4"/>
  <c r="W49" i="4"/>
  <c r="W186" i="4" s="1"/>
  <c r="K221" i="4" s="1"/>
  <c r="DW49" i="4"/>
  <c r="AW63" i="4"/>
  <c r="AW188" i="4" s="1"/>
  <c r="M245" i="4" s="1"/>
  <c r="W14" i="4"/>
  <c r="W181" i="4" s="1"/>
  <c r="F221" i="4" s="1"/>
  <c r="DW14" i="4"/>
  <c r="Z35" i="4"/>
  <c r="Z184" i="4" s="1"/>
  <c r="I224" i="4" s="1"/>
  <c r="CW35" i="4"/>
  <c r="CW70" i="4"/>
  <c r="Z28" i="4"/>
  <c r="Z183" i="4" s="1"/>
  <c r="H224" i="4" s="1"/>
  <c r="CW28" i="4"/>
  <c r="AW56" i="4"/>
  <c r="AW187" i="4" s="1"/>
  <c r="L245" i="4" s="1"/>
  <c r="BW84" i="4"/>
  <c r="BW191" i="4" s="1"/>
  <c r="P269" i="4" s="1"/>
  <c r="W133" i="4"/>
  <c r="W198" i="4" s="1"/>
  <c r="W221" i="4" s="1"/>
  <c r="DW133" i="4"/>
  <c r="AW49" i="4"/>
  <c r="AW186" i="4" s="1"/>
  <c r="K245" i="4" s="1"/>
  <c r="BW63" i="4"/>
  <c r="BW188" i="4" s="1"/>
  <c r="M269" i="4" s="1"/>
  <c r="AW14" i="4"/>
  <c r="AW181" i="4" s="1"/>
  <c r="F245" i="4" s="1"/>
  <c r="W35" i="4"/>
  <c r="W184" i="4" s="1"/>
  <c r="I221" i="4" s="1"/>
  <c r="DW35" i="4"/>
  <c r="Z70" i="4"/>
  <c r="Z189" i="4" s="1"/>
  <c r="N224" i="4" s="1"/>
  <c r="W70" i="4"/>
  <c r="W189" i="4" s="1"/>
  <c r="N221" i="4" s="1"/>
  <c r="DW70" i="4"/>
  <c r="W28" i="4"/>
  <c r="W183" i="4" s="1"/>
  <c r="H221" i="4" s="1"/>
  <c r="DW28" i="4"/>
  <c r="AW112" i="4"/>
  <c r="AW195" i="4" s="1"/>
  <c r="T245" i="4" s="1"/>
  <c r="W77" i="4"/>
  <c r="W190" i="4" s="1"/>
  <c r="O221" i="4" s="1"/>
  <c r="DW77" i="4"/>
  <c r="W112" i="4"/>
  <c r="W195" i="4" s="1"/>
  <c r="T221" i="4" s="1"/>
  <c r="CZ28" i="4"/>
  <c r="AW77" i="4"/>
  <c r="AW190" i="4" s="1"/>
  <c r="O245" i="4" s="1"/>
  <c r="G14" i="4"/>
  <c r="G181" i="4" s="1"/>
  <c r="Z56" i="4"/>
  <c r="Z187" i="4" s="1"/>
  <c r="L224" i="4" s="1"/>
  <c r="BW56" i="4"/>
  <c r="BW187" i="4" s="1"/>
  <c r="L269" i="4" s="1"/>
  <c r="CW84" i="4"/>
  <c r="Z84" i="4"/>
  <c r="Z191" i="4" s="1"/>
  <c r="P224" i="4" s="1"/>
  <c r="CZ14" i="4"/>
  <c r="AW133" i="4"/>
  <c r="AW198" i="4" s="1"/>
  <c r="W245" i="4" s="1"/>
  <c r="Z49" i="4"/>
  <c r="Z186" i="4" s="1"/>
  <c r="K224" i="4" s="1"/>
  <c r="BW49" i="4"/>
  <c r="BW186" i="4" s="1"/>
  <c r="K269" i="4" s="1"/>
  <c r="DL15" i="4"/>
  <c r="CW63" i="4"/>
  <c r="Z63" i="4"/>
  <c r="Z188" i="4" s="1"/>
  <c r="M224" i="4" s="1"/>
  <c r="BW14" i="4"/>
  <c r="BW181" i="4" s="1"/>
  <c r="F269" i="4" s="1"/>
  <c r="AW35" i="4"/>
  <c r="AW184" i="4" s="1"/>
  <c r="I245" i="4" s="1"/>
  <c r="AW70" i="4"/>
  <c r="AW189" i="4" s="1"/>
  <c r="N245" i="4" s="1"/>
  <c r="AW28" i="4"/>
  <c r="AW183" i="4" s="1"/>
  <c r="H245" i="4" s="1"/>
  <c r="C270" i="1"/>
  <c r="DG132" i="9" l="1"/>
  <c r="DK131" i="9"/>
  <c r="DN131" i="9"/>
  <c r="DO131" i="9" s="1"/>
  <c r="DB131" i="9"/>
  <c r="DA132" i="9" s="1"/>
  <c r="DI131" i="9"/>
  <c r="CO132" i="9"/>
  <c r="CP132" i="9" s="1"/>
  <c r="CC132" i="9"/>
  <c r="CB133" i="9" s="1"/>
  <c r="CJ132" i="9"/>
  <c r="CH133" i="9"/>
  <c r="CL132" i="9"/>
  <c r="BD131" i="9"/>
  <c r="BC132" i="9" s="1"/>
  <c r="BK131" i="9"/>
  <c r="BP131" i="9"/>
  <c r="BQ131" i="9" s="1"/>
  <c r="BI133" i="9"/>
  <c r="BM133" i="9" s="1"/>
  <c r="AN131" i="9"/>
  <c r="AJ132" i="9"/>
  <c r="AE131" i="9"/>
  <c r="AD132" i="9" s="1"/>
  <c r="AL131" i="9"/>
  <c r="AQ131" i="9"/>
  <c r="AR131" i="9" s="1"/>
  <c r="U266" i="9"/>
  <c r="BI162" i="9"/>
  <c r="V223" i="9" s="1"/>
  <c r="BM162" i="9"/>
  <c r="V227" i="9" s="1"/>
  <c r="V198" i="9"/>
  <c r="K131" i="9"/>
  <c r="O130" i="9"/>
  <c r="R116" i="9"/>
  <c r="S116" i="9" s="1"/>
  <c r="M116" i="9"/>
  <c r="E117" i="9"/>
  <c r="F117" i="9" s="1"/>
  <c r="DA162" i="9"/>
  <c r="CH162" i="9"/>
  <c r="V247" i="9" s="1"/>
  <c r="CL162" i="9"/>
  <c r="V251" i="9" s="1"/>
  <c r="BQ49" i="7"/>
  <c r="K384" i="7"/>
  <c r="K392" i="7" s="1"/>
  <c r="K420" i="7" s="1"/>
  <c r="HJ79" i="7"/>
  <c r="HK79" i="7" s="1"/>
  <c r="GX79" i="7"/>
  <c r="GW80" i="7" s="1"/>
  <c r="HE79" i="7"/>
  <c r="HG79" i="7"/>
  <c r="HC80" i="7"/>
  <c r="GK79" i="7"/>
  <c r="GL79" i="7" s="1"/>
  <c r="FY79" i="7"/>
  <c r="FX80" i="7" s="1"/>
  <c r="GF79" i="7"/>
  <c r="GH78" i="7"/>
  <c r="GD79" i="7"/>
  <c r="FI79" i="7"/>
  <c r="FE80" i="7"/>
  <c r="FL80" i="7"/>
  <c r="FM80" i="7" s="1"/>
  <c r="EZ80" i="7"/>
  <c r="EY81" i="7" s="1"/>
  <c r="FG80" i="7"/>
  <c r="EM80" i="7"/>
  <c r="EN80" i="7" s="1"/>
  <c r="EA80" i="7"/>
  <c r="DZ81" i="7" s="1"/>
  <c r="EH80" i="7"/>
  <c r="EJ80" i="7"/>
  <c r="EF81" i="7"/>
  <c r="DG80" i="7"/>
  <c r="DK79" i="7"/>
  <c r="DN80" i="7"/>
  <c r="DO80" i="7" s="1"/>
  <c r="DB80" i="7"/>
  <c r="DA81" i="7" s="1"/>
  <c r="DI80" i="7"/>
  <c r="K409" i="7"/>
  <c r="K435" i="7" s="1"/>
  <c r="I8" i="5" s="1"/>
  <c r="I19" i="5" s="1"/>
  <c r="O74" i="8"/>
  <c r="K75" i="8"/>
  <c r="BI154" i="8"/>
  <c r="N223" i="8" s="1"/>
  <c r="BM75" i="8"/>
  <c r="BM154" i="8" s="1"/>
  <c r="N227" i="8" s="1"/>
  <c r="BI76" i="8"/>
  <c r="DN75" i="8"/>
  <c r="DO75" i="8" s="1"/>
  <c r="DB75" i="8"/>
  <c r="DA76" i="8" s="1"/>
  <c r="DI75" i="8"/>
  <c r="CH77" i="8"/>
  <c r="AJ77" i="8"/>
  <c r="AN76" i="8"/>
  <c r="BP67" i="8"/>
  <c r="BQ67" i="8" s="1"/>
  <c r="BD67" i="8"/>
  <c r="BC68" i="8" s="1"/>
  <c r="BK67" i="8"/>
  <c r="DK74" i="8"/>
  <c r="DG75" i="8"/>
  <c r="AE68" i="8"/>
  <c r="AQ68" i="8"/>
  <c r="AR68" i="8" s="1"/>
  <c r="AL68" i="8"/>
  <c r="N198" i="8"/>
  <c r="R67" i="8"/>
  <c r="S67" i="8" s="1"/>
  <c r="M67" i="8"/>
  <c r="F67" i="8"/>
  <c r="E68" i="8" s="1"/>
  <c r="CO68" i="8"/>
  <c r="CP68" i="8" s="1"/>
  <c r="CJ68" i="8"/>
  <c r="CC68" i="8"/>
  <c r="CL68" i="8"/>
  <c r="K198" i="7"/>
  <c r="K390" i="7" s="1"/>
  <c r="AN151" i="7"/>
  <c r="K202" i="7" s="1"/>
  <c r="AR151" i="7"/>
  <c r="K206" i="7" s="1"/>
  <c r="AD55" i="7"/>
  <c r="AE151" i="7"/>
  <c r="K193" i="7" s="1"/>
  <c r="F52" i="7"/>
  <c r="E53" i="7" s="1"/>
  <c r="R52" i="7"/>
  <c r="M52" i="7"/>
  <c r="S51" i="7"/>
  <c r="BI58" i="7"/>
  <c r="BM58" i="7" s="1"/>
  <c r="CH57" i="7"/>
  <c r="CO50" i="7"/>
  <c r="CP50" i="7" s="1"/>
  <c r="CC50" i="7"/>
  <c r="CB51" i="7" s="1"/>
  <c r="CJ50" i="7"/>
  <c r="CL50" i="7"/>
  <c r="BP50" i="7"/>
  <c r="BQ50" i="7" s="1"/>
  <c r="BD50" i="7"/>
  <c r="BC51" i="7" s="1"/>
  <c r="BK50" i="7"/>
  <c r="K57" i="7"/>
  <c r="O57" i="7" s="1"/>
  <c r="K198" i="1"/>
  <c r="AJ56" i="7"/>
  <c r="AN56" i="7" s="1"/>
  <c r="BQ47" i="1"/>
  <c r="BQ150" i="1" s="1"/>
  <c r="AR53" i="1"/>
  <c r="AJ55" i="1"/>
  <c r="AQ54" i="1"/>
  <c r="AQ151" i="1" s="1"/>
  <c r="K205" i="1" s="1"/>
  <c r="AE54" i="1"/>
  <c r="AL54" i="1"/>
  <c r="BC48" i="1"/>
  <c r="BC151" i="1" s="1"/>
  <c r="K217" i="1" s="1"/>
  <c r="BD150" i="1"/>
  <c r="J218" i="1" s="1"/>
  <c r="BI49" i="1"/>
  <c r="CT13" i="4"/>
  <c r="Q335" i="4"/>
  <c r="F334" i="4"/>
  <c r="F359" i="4" s="1"/>
  <c r="F15" i="4"/>
  <c r="N15" i="4" s="1"/>
  <c r="F205" i="4"/>
  <c r="G295" i="4"/>
  <c r="CZ182" i="4"/>
  <c r="G297" i="4" s="1"/>
  <c r="I318" i="4"/>
  <c r="DZ184" i="4"/>
  <c r="I320" i="4" s="1"/>
  <c r="U318" i="4"/>
  <c r="DZ196" i="4"/>
  <c r="U320" i="4" s="1"/>
  <c r="I295" i="4"/>
  <c r="CZ184" i="4"/>
  <c r="I297" i="4" s="1"/>
  <c r="H318" i="4"/>
  <c r="DZ183" i="4"/>
  <c r="H320" i="4" s="1"/>
  <c r="T295" i="4"/>
  <c r="CZ195" i="4"/>
  <c r="T297" i="4" s="1"/>
  <c r="M318" i="4"/>
  <c r="DZ188" i="4"/>
  <c r="M320" i="4" s="1"/>
  <c r="BP14" i="4"/>
  <c r="BP181" i="4" s="1"/>
  <c r="F262" i="4" s="1"/>
  <c r="BL181" i="4"/>
  <c r="F258" i="4" s="1"/>
  <c r="CP14" i="4"/>
  <c r="CP181" i="4" s="1"/>
  <c r="F287" i="4" s="1"/>
  <c r="CL181" i="4"/>
  <c r="F283" i="4" s="1"/>
  <c r="Q295" i="4"/>
  <c r="CZ192" i="4"/>
  <c r="Q297" i="4" s="1"/>
  <c r="N295" i="4"/>
  <c r="CZ189" i="4"/>
  <c r="N297" i="4" s="1"/>
  <c r="R329" i="4"/>
  <c r="T330" i="4"/>
  <c r="O330" i="4"/>
  <c r="S330" i="4"/>
  <c r="N330" i="4"/>
  <c r="O329" i="4"/>
  <c r="K329" i="4"/>
  <c r="J330" i="4"/>
  <c r="P15" i="4"/>
  <c r="AN13" i="4"/>
  <c r="AP13" i="4"/>
  <c r="CN14" i="4"/>
  <c r="CS14" i="4"/>
  <c r="CT14" i="4" s="1"/>
  <c r="CT181" i="4" s="1"/>
  <c r="F291" i="4" s="1"/>
  <c r="CG14" i="4"/>
  <c r="CG181" i="4" s="1"/>
  <c r="F278" i="4" s="1"/>
  <c r="DM85" i="4"/>
  <c r="AM85" i="4"/>
  <c r="CM85" i="4"/>
  <c r="BM85" i="4"/>
  <c r="M85" i="4"/>
  <c r="M86" i="4"/>
  <c r="CM86" i="4"/>
  <c r="DM86" i="4"/>
  <c r="BM86" i="4"/>
  <c r="AM86" i="4"/>
  <c r="M87" i="4"/>
  <c r="AM87" i="4"/>
  <c r="DM87" i="4"/>
  <c r="CM87" i="4"/>
  <c r="BM87" i="4"/>
  <c r="DM88" i="4"/>
  <c r="M88" i="4"/>
  <c r="AM88" i="4"/>
  <c r="M89" i="4"/>
  <c r="BM88" i="4"/>
  <c r="CM88" i="4"/>
  <c r="DM89" i="4"/>
  <c r="DM90" i="4"/>
  <c r="AM89" i="4"/>
  <c r="BM89" i="4"/>
  <c r="CM89" i="4"/>
  <c r="M90" i="4"/>
  <c r="CM90" i="4"/>
  <c r="AM90" i="4"/>
  <c r="M91" i="4"/>
  <c r="M192" i="4" s="1"/>
  <c r="Q211" i="4" s="1"/>
  <c r="DM91" i="4"/>
  <c r="DM192" i="4" s="1"/>
  <c r="Q307" i="4" s="1"/>
  <c r="BM90" i="4"/>
  <c r="BM91" i="4"/>
  <c r="BM192" i="4" s="1"/>
  <c r="Q259" i="4" s="1"/>
  <c r="CM91" i="4"/>
  <c r="CM192" i="4" s="1"/>
  <c r="Q284" i="4" s="1"/>
  <c r="AM91" i="4"/>
  <c r="AM192" i="4" s="1"/>
  <c r="Q235" i="4" s="1"/>
  <c r="DO85" i="4"/>
  <c r="CO85" i="4"/>
  <c r="AO85" i="4"/>
  <c r="BO85" i="4"/>
  <c r="I16" i="3"/>
  <c r="BO86" i="4"/>
  <c r="AO86" i="4"/>
  <c r="CO86" i="4"/>
  <c r="DO86" i="4"/>
  <c r="AO87" i="4"/>
  <c r="DO87" i="4"/>
  <c r="CO87" i="4"/>
  <c r="BO87" i="4"/>
  <c r="AO88" i="4"/>
  <c r="BO88" i="4"/>
  <c r="DO88" i="4"/>
  <c r="CO88" i="4"/>
  <c r="DO89" i="4"/>
  <c r="AO89" i="4"/>
  <c r="BO89" i="4"/>
  <c r="CO89" i="4"/>
  <c r="DO90" i="4"/>
  <c r="DO91" i="4"/>
  <c r="DO192" i="4" s="1"/>
  <c r="Q309" i="4" s="1"/>
  <c r="AO90" i="4"/>
  <c r="BO90" i="4"/>
  <c r="CO90" i="4"/>
  <c r="CO91" i="4"/>
  <c r="CO192" i="4" s="1"/>
  <c r="Q286" i="4" s="1"/>
  <c r="AO91" i="4"/>
  <c r="AO192" i="4" s="1"/>
  <c r="Q237" i="4" s="1"/>
  <c r="BO91" i="4"/>
  <c r="BO192" i="4" s="1"/>
  <c r="Q261" i="4" s="1"/>
  <c r="AS13" i="4"/>
  <c r="AG13" i="4"/>
  <c r="AF14" i="4" s="1"/>
  <c r="S15" i="4"/>
  <c r="O85" i="4"/>
  <c r="O87" i="4"/>
  <c r="O86" i="4"/>
  <c r="O88" i="4"/>
  <c r="O89" i="4"/>
  <c r="O90" i="4"/>
  <c r="O91" i="4"/>
  <c r="O192" i="4" s="1"/>
  <c r="Q213" i="4" s="1"/>
  <c r="AL17" i="4"/>
  <c r="C334" i="4"/>
  <c r="L16" i="4"/>
  <c r="CL15" i="4"/>
  <c r="T14" i="4"/>
  <c r="T181" i="4" s="1"/>
  <c r="F218" i="4" s="1"/>
  <c r="BF15" i="4"/>
  <c r="BN15" i="4" s="1"/>
  <c r="BT14" i="4"/>
  <c r="BT181" i="4" s="1"/>
  <c r="F266" i="4" s="1"/>
  <c r="BL15" i="4"/>
  <c r="DL16" i="4"/>
  <c r="DF15" i="4"/>
  <c r="DN15" i="4" s="1"/>
  <c r="DT14" i="4"/>
  <c r="DT181" i="4" s="1"/>
  <c r="F314" i="4" s="1"/>
  <c r="C271" i="1"/>
  <c r="DG133" i="9" l="1"/>
  <c r="DK132" i="9"/>
  <c r="DB132" i="9"/>
  <c r="DA133" i="9" s="1"/>
  <c r="DN132" i="9"/>
  <c r="DO132" i="9" s="1"/>
  <c r="DI132" i="9"/>
  <c r="CO133" i="9"/>
  <c r="CP133" i="9" s="1"/>
  <c r="CC133" i="9"/>
  <c r="CB134" i="9" s="1"/>
  <c r="CJ133" i="9"/>
  <c r="CL133" i="9"/>
  <c r="CH134" i="9"/>
  <c r="BI134" i="9"/>
  <c r="BM134" i="9" s="1"/>
  <c r="BP132" i="9"/>
  <c r="BQ132" i="9" s="1"/>
  <c r="BK132" i="9"/>
  <c r="BD132" i="9"/>
  <c r="BC133" i="9" s="1"/>
  <c r="AQ132" i="9"/>
  <c r="AR132" i="9" s="1"/>
  <c r="AL132" i="9"/>
  <c r="AE132" i="9"/>
  <c r="AD133" i="9" s="1"/>
  <c r="AJ133" i="9"/>
  <c r="AN132" i="9"/>
  <c r="CP160" i="9"/>
  <c r="T255" i="9" s="1"/>
  <c r="AR160" i="9"/>
  <c r="T206" i="9" s="1"/>
  <c r="V265" i="9"/>
  <c r="DN162" i="9"/>
  <c r="V278" i="9" s="1"/>
  <c r="AE160" i="9"/>
  <c r="T193" i="9" s="1"/>
  <c r="CC160" i="9"/>
  <c r="T242" i="9" s="1"/>
  <c r="K162" i="9"/>
  <c r="O131" i="9"/>
  <c r="K132" i="9"/>
  <c r="DG162" i="9"/>
  <c r="V271" i="9" s="1"/>
  <c r="DK162" i="9"/>
  <c r="V275" i="9" s="1"/>
  <c r="R117" i="9"/>
  <c r="S117" i="9" s="1"/>
  <c r="E118" i="9"/>
  <c r="F118" i="9" s="1"/>
  <c r="M117" i="9"/>
  <c r="HJ80" i="7"/>
  <c r="HK80" i="7" s="1"/>
  <c r="HE80" i="7"/>
  <c r="GX80" i="7"/>
  <c r="GW81" i="7" s="1"/>
  <c r="HC81" i="7"/>
  <c r="HG80" i="7"/>
  <c r="GK80" i="7"/>
  <c r="GL80" i="7" s="1"/>
  <c r="FY80" i="7"/>
  <c r="FX81" i="7" s="1"/>
  <c r="GF80" i="7"/>
  <c r="GD80" i="7"/>
  <c r="GH79" i="7"/>
  <c r="FI80" i="7"/>
  <c r="FE81" i="7"/>
  <c r="FL81" i="7"/>
  <c r="FM81" i="7" s="1"/>
  <c r="EZ81" i="7"/>
  <c r="EY82" i="7" s="1"/>
  <c r="FG81" i="7"/>
  <c r="EH81" i="7"/>
  <c r="EM81" i="7"/>
  <c r="EN81" i="7" s="1"/>
  <c r="EA81" i="7"/>
  <c r="DZ82" i="7" s="1"/>
  <c r="EJ81" i="7"/>
  <c r="EF82" i="7"/>
  <c r="DK80" i="7"/>
  <c r="DG81" i="7"/>
  <c r="DN81" i="7"/>
  <c r="DO81" i="7" s="1"/>
  <c r="DI81" i="7"/>
  <c r="DB81" i="7"/>
  <c r="DA82" i="7" s="1"/>
  <c r="DO153" i="8"/>
  <c r="M278" i="8" s="1"/>
  <c r="CP153" i="8"/>
  <c r="M255" i="8" s="1"/>
  <c r="AR153" i="8"/>
  <c r="M206" i="8" s="1"/>
  <c r="AN77" i="8"/>
  <c r="AJ78" i="8"/>
  <c r="DI76" i="8"/>
  <c r="DN76" i="8"/>
  <c r="DO76" i="8" s="1"/>
  <c r="DB76" i="8"/>
  <c r="DA77" i="8" s="1"/>
  <c r="AE153" i="8"/>
  <c r="M193" i="8" s="1"/>
  <c r="AD69" i="8"/>
  <c r="BP68" i="8"/>
  <c r="BQ68" i="8" s="1"/>
  <c r="BD68" i="8"/>
  <c r="BK68" i="8"/>
  <c r="DK153" i="8"/>
  <c r="M274" i="8" s="1"/>
  <c r="CL153" i="8"/>
  <c r="M251" i="8" s="1"/>
  <c r="R68" i="8"/>
  <c r="S68" i="8" s="1"/>
  <c r="M68" i="8"/>
  <c r="F68" i="8"/>
  <c r="DG76" i="8"/>
  <c r="DK75" i="8"/>
  <c r="CH78" i="8"/>
  <c r="K154" i="8"/>
  <c r="K76" i="8"/>
  <c r="O75" i="8"/>
  <c r="CC153" i="8"/>
  <c r="M242" i="8" s="1"/>
  <c r="DB153" i="8"/>
  <c r="M265" i="8" s="1"/>
  <c r="CB69" i="8"/>
  <c r="BI77" i="8"/>
  <c r="BM76" i="8"/>
  <c r="AD55" i="1"/>
  <c r="AD152" i="1" s="1"/>
  <c r="L192" i="1" s="1"/>
  <c r="AE151" i="1"/>
  <c r="K193" i="1" s="1"/>
  <c r="AE55" i="7"/>
  <c r="AD56" i="7" s="1"/>
  <c r="AL55" i="7"/>
  <c r="AQ55" i="7"/>
  <c r="AR55" i="7" s="1"/>
  <c r="AD152" i="7"/>
  <c r="AQ152" i="7" s="1"/>
  <c r="S52" i="7"/>
  <c r="F53" i="7"/>
  <c r="E54" i="7" s="1"/>
  <c r="R53" i="7"/>
  <c r="M53" i="7"/>
  <c r="K426" i="7"/>
  <c r="I34" i="5" s="1"/>
  <c r="K394" i="7"/>
  <c r="K421" i="7" s="1"/>
  <c r="CH58" i="7"/>
  <c r="AJ57" i="7"/>
  <c r="AN57" i="7" s="1"/>
  <c r="K58" i="7"/>
  <c r="O58" i="7" s="1"/>
  <c r="BP51" i="7"/>
  <c r="BQ51" i="7" s="1"/>
  <c r="BK51" i="7"/>
  <c r="BD51" i="7"/>
  <c r="BC52" i="7" s="1"/>
  <c r="CJ51" i="7"/>
  <c r="CC51" i="7"/>
  <c r="CB52" i="7" s="1"/>
  <c r="CO51" i="7"/>
  <c r="CP51" i="7" s="1"/>
  <c r="CL51" i="7"/>
  <c r="BI59" i="7"/>
  <c r="BM59" i="7" s="1"/>
  <c r="BD48" i="1"/>
  <c r="BC49" i="1" s="1"/>
  <c r="BK49" i="1" s="1"/>
  <c r="AR54" i="1"/>
  <c r="AR151" i="1" s="1"/>
  <c r="K206" i="1" s="1"/>
  <c r="BK48" i="1"/>
  <c r="AJ56" i="1"/>
  <c r="BP48" i="1"/>
  <c r="BQ48" i="1" s="1"/>
  <c r="BI50" i="1"/>
  <c r="R335" i="4"/>
  <c r="G15" i="4"/>
  <c r="F16" i="4" s="1"/>
  <c r="N16" i="4" s="1"/>
  <c r="CF15" i="4"/>
  <c r="DP15" i="4"/>
  <c r="BP15" i="4"/>
  <c r="AM92" i="4"/>
  <c r="CM92" i="4"/>
  <c r="DM92" i="4"/>
  <c r="BM92" i="4"/>
  <c r="M92" i="4"/>
  <c r="BM93" i="4"/>
  <c r="AM93" i="4"/>
  <c r="DM94" i="4"/>
  <c r="M94" i="4"/>
  <c r="DM93" i="4"/>
  <c r="M93" i="4"/>
  <c r="CM93" i="4"/>
  <c r="M95" i="4"/>
  <c r="BM94" i="4"/>
  <c r="AM94" i="4"/>
  <c r="DM95" i="4"/>
  <c r="CM94" i="4"/>
  <c r="AM95" i="4"/>
  <c r="DM96" i="4"/>
  <c r="BM96" i="4"/>
  <c r="CM95" i="4"/>
  <c r="CM96" i="4"/>
  <c r="BM95" i="4"/>
  <c r="AM96" i="4"/>
  <c r="M96" i="4"/>
  <c r="DM97" i="4"/>
  <c r="CM97" i="4"/>
  <c r="BM97" i="4"/>
  <c r="M97" i="4"/>
  <c r="AM97" i="4"/>
  <c r="AM98" i="4"/>
  <c r="AM193" i="4" s="1"/>
  <c r="R235" i="4" s="1"/>
  <c r="BM98" i="4"/>
  <c r="BM193" i="4" s="1"/>
  <c r="R259" i="4" s="1"/>
  <c r="DM98" i="4"/>
  <c r="DM193" i="4" s="1"/>
  <c r="R307" i="4" s="1"/>
  <c r="M98" i="4"/>
  <c r="M193" i="4" s="1"/>
  <c r="R211" i="4" s="1"/>
  <c r="CM98" i="4"/>
  <c r="CM193" i="4" s="1"/>
  <c r="R284" i="4" s="1"/>
  <c r="F332" i="4"/>
  <c r="F336" i="4" s="1"/>
  <c r="BO92" i="4"/>
  <c r="DO92" i="4"/>
  <c r="CO92" i="4"/>
  <c r="AO92" i="4"/>
  <c r="I17" i="3"/>
  <c r="BO93" i="4"/>
  <c r="DO93" i="4"/>
  <c r="AO93" i="4"/>
  <c r="DO94" i="4"/>
  <c r="CO93" i="4"/>
  <c r="AO94" i="4"/>
  <c r="BO94" i="4"/>
  <c r="DO95" i="4"/>
  <c r="CO94" i="4"/>
  <c r="CO95" i="4"/>
  <c r="AO95" i="4"/>
  <c r="DO96" i="4"/>
  <c r="BO96" i="4"/>
  <c r="BO95" i="4"/>
  <c r="CO96" i="4"/>
  <c r="AO96" i="4"/>
  <c r="DO97" i="4"/>
  <c r="CO97" i="4"/>
  <c r="BO97" i="4"/>
  <c r="CO98" i="4"/>
  <c r="CO193" i="4" s="1"/>
  <c r="R286" i="4" s="1"/>
  <c r="AO98" i="4"/>
  <c r="AO193" i="4" s="1"/>
  <c r="R237" i="4" s="1"/>
  <c r="AO97" i="4"/>
  <c r="DO98" i="4"/>
  <c r="DO193" i="4" s="1"/>
  <c r="R309" i="4" s="1"/>
  <c r="BO98" i="4"/>
  <c r="BO193" i="4" s="1"/>
  <c r="R261" i="4" s="1"/>
  <c r="DG15" i="4"/>
  <c r="DF16" i="4" s="1"/>
  <c r="DN16" i="4" s="1"/>
  <c r="DS15" i="4"/>
  <c r="BG15" i="4"/>
  <c r="BF16" i="4" s="1"/>
  <c r="BN16" i="4" s="1"/>
  <c r="BS15" i="4"/>
  <c r="AT13" i="4"/>
  <c r="O92" i="4"/>
  <c r="O93" i="4"/>
  <c r="O94" i="4"/>
  <c r="O95" i="4"/>
  <c r="O96" i="4"/>
  <c r="O97" i="4"/>
  <c r="O98" i="4"/>
  <c r="O193" i="4" s="1"/>
  <c r="R213" i="4" s="1"/>
  <c r="T15" i="4"/>
  <c r="CL16" i="4"/>
  <c r="AL18" i="4"/>
  <c r="BL16" i="4"/>
  <c r="DL17" i="4"/>
  <c r="L17" i="4"/>
  <c r="C335" i="4"/>
  <c r="C272" i="1"/>
  <c r="DG134" i="9" l="1"/>
  <c r="DK133" i="9"/>
  <c r="DN133" i="9"/>
  <c r="DO133" i="9" s="1"/>
  <c r="DB133" i="9"/>
  <c r="DA134" i="9" s="1"/>
  <c r="DI133" i="9"/>
  <c r="CO134" i="9"/>
  <c r="CP134" i="9" s="1"/>
  <c r="CC134" i="9"/>
  <c r="CB135" i="9" s="1"/>
  <c r="CJ134" i="9"/>
  <c r="CL134" i="9"/>
  <c r="CH135" i="9"/>
  <c r="BP133" i="9"/>
  <c r="BQ133" i="9" s="1"/>
  <c r="BD133" i="9"/>
  <c r="BC134" i="9" s="1"/>
  <c r="BK133" i="9"/>
  <c r="BI135" i="9"/>
  <c r="BM135" i="9" s="1"/>
  <c r="AQ133" i="9"/>
  <c r="AR133" i="9" s="1"/>
  <c r="AE133" i="9"/>
  <c r="AD134" i="9" s="1"/>
  <c r="AL133" i="9"/>
  <c r="AJ134" i="9"/>
  <c r="AN133" i="9"/>
  <c r="BQ160" i="9"/>
  <c r="T231" i="9" s="1"/>
  <c r="S160" i="9"/>
  <c r="T183" i="9" s="1"/>
  <c r="CB161" i="9"/>
  <c r="K133" i="9"/>
  <c r="O132" i="9"/>
  <c r="AD161" i="9"/>
  <c r="F160" i="9"/>
  <c r="T170" i="9" s="1"/>
  <c r="V175" i="9"/>
  <c r="V298" i="9" s="1"/>
  <c r="BD160" i="9"/>
  <c r="T218" i="9" s="1"/>
  <c r="HJ81" i="7"/>
  <c r="HK81" i="7" s="1"/>
  <c r="GX81" i="7"/>
  <c r="GW82" i="7" s="1"/>
  <c r="HE81" i="7"/>
  <c r="HG81" i="7"/>
  <c r="HC82" i="7"/>
  <c r="GF81" i="7"/>
  <c r="GK81" i="7"/>
  <c r="GL81" i="7" s="1"/>
  <c r="FY81" i="7"/>
  <c r="FX82" i="7" s="1"/>
  <c r="GH80" i="7"/>
  <c r="GD81" i="7"/>
  <c r="FE82" i="7"/>
  <c r="FI81" i="7"/>
  <c r="EZ82" i="7"/>
  <c r="FL82" i="7"/>
  <c r="FM82" i="7" s="1"/>
  <c r="FG82" i="7"/>
  <c r="EM82" i="7"/>
  <c r="EN82" i="7" s="1"/>
  <c r="EA82" i="7"/>
  <c r="DZ83" i="7" s="1"/>
  <c r="EH82" i="7"/>
  <c r="EF83" i="7"/>
  <c r="EJ82" i="7"/>
  <c r="DG82" i="7"/>
  <c r="DK81" i="7"/>
  <c r="DN82" i="7"/>
  <c r="DO82" i="7" s="1"/>
  <c r="DB82" i="7"/>
  <c r="DA83" i="7" s="1"/>
  <c r="DI82" i="7"/>
  <c r="S153" i="8"/>
  <c r="M183" i="8" s="1"/>
  <c r="BQ153" i="8"/>
  <c r="M231" i="8" s="1"/>
  <c r="N175" i="8"/>
  <c r="N296" i="8" s="1"/>
  <c r="DK76" i="8"/>
  <c r="DG77" i="8"/>
  <c r="F153" i="8"/>
  <c r="M170" i="8" s="1"/>
  <c r="E69" i="8"/>
  <c r="AD154" i="8"/>
  <c r="AQ69" i="8"/>
  <c r="AR69" i="8" s="1"/>
  <c r="AL69" i="8"/>
  <c r="AE69" i="8"/>
  <c r="AD70" i="8" s="1"/>
  <c r="BM77" i="8"/>
  <c r="BI78" i="8"/>
  <c r="CH79" i="8"/>
  <c r="AN78" i="8"/>
  <c r="AJ79" i="8"/>
  <c r="DA154" i="8"/>
  <c r="N264" i="8" s="1"/>
  <c r="CB154" i="8"/>
  <c r="N241" i="8" s="1"/>
  <c r="CO69" i="8"/>
  <c r="CC69" i="8"/>
  <c r="CB70" i="8" s="1"/>
  <c r="CJ69" i="8"/>
  <c r="CL69" i="8"/>
  <c r="K77" i="8"/>
  <c r="O76" i="8"/>
  <c r="BD153" i="8"/>
  <c r="M218" i="8" s="1"/>
  <c r="BC69" i="8"/>
  <c r="DN77" i="8"/>
  <c r="DO77" i="8" s="1"/>
  <c r="DB77" i="8"/>
  <c r="DA78" i="8" s="1"/>
  <c r="DI77" i="8"/>
  <c r="L192" i="7"/>
  <c r="BP49" i="1"/>
  <c r="BQ49" i="1" s="1"/>
  <c r="AE55" i="1"/>
  <c r="AL55" i="1"/>
  <c r="AQ55" i="1"/>
  <c r="AR55" i="1" s="1"/>
  <c r="AQ56" i="7"/>
  <c r="AR56" i="7" s="1"/>
  <c r="AE56" i="7"/>
  <c r="AD57" i="7" s="1"/>
  <c r="AL56" i="7"/>
  <c r="F54" i="7"/>
  <c r="R54" i="7"/>
  <c r="M54" i="7"/>
  <c r="S53" i="7"/>
  <c r="CO52" i="7"/>
  <c r="CP52" i="7" s="1"/>
  <c r="CC52" i="7"/>
  <c r="CB53" i="7" s="1"/>
  <c r="CJ52" i="7"/>
  <c r="CL52" i="7"/>
  <c r="BI60" i="7"/>
  <c r="BM60" i="7" s="1"/>
  <c r="CH59" i="7"/>
  <c r="BP52" i="7"/>
  <c r="BQ52" i="7" s="1"/>
  <c r="BD52" i="7"/>
  <c r="BC53" i="7" s="1"/>
  <c r="BK52" i="7"/>
  <c r="K59" i="7"/>
  <c r="O59" i="7" s="1"/>
  <c r="AJ58" i="7"/>
  <c r="AN58" i="7" s="1"/>
  <c r="BD49" i="1"/>
  <c r="BC50" i="1" s="1"/>
  <c r="BP50" i="1" s="1"/>
  <c r="AJ57" i="1"/>
  <c r="BI51" i="1"/>
  <c r="S335" i="4"/>
  <c r="S16" i="4"/>
  <c r="G16" i="4"/>
  <c r="F17" i="4" s="1"/>
  <c r="N17" i="4" s="1"/>
  <c r="F360" i="4"/>
  <c r="P16" i="4"/>
  <c r="BP16" i="4"/>
  <c r="CN15" i="4"/>
  <c r="CG15" i="4"/>
  <c r="CF16" i="4" s="1"/>
  <c r="CS15" i="4"/>
  <c r="CT15" i="4" s="1"/>
  <c r="CP15" i="4"/>
  <c r="AN14" i="4"/>
  <c r="AP14" i="4"/>
  <c r="AP181" i="4" s="1"/>
  <c r="F238" i="4" s="1"/>
  <c r="DP16" i="4"/>
  <c r="I18" i="3"/>
  <c r="CM99" i="4"/>
  <c r="BM99" i="4"/>
  <c r="AM99" i="4"/>
  <c r="DM99" i="4"/>
  <c r="M99" i="4"/>
  <c r="CM100" i="4"/>
  <c r="DM100" i="4"/>
  <c r="M101" i="4"/>
  <c r="BM100" i="4"/>
  <c r="AM100" i="4"/>
  <c r="M100" i="4"/>
  <c r="DM101" i="4"/>
  <c r="AM102" i="4"/>
  <c r="AM101" i="4"/>
  <c r="CM101" i="4"/>
  <c r="BM101" i="4"/>
  <c r="CM102" i="4"/>
  <c r="M102" i="4"/>
  <c r="AM103" i="4"/>
  <c r="M103" i="4"/>
  <c r="DM102" i="4"/>
  <c r="BM102" i="4"/>
  <c r="CM103" i="4"/>
  <c r="DM103" i="4"/>
  <c r="BM103" i="4"/>
  <c r="CM104" i="4"/>
  <c r="AM104" i="4"/>
  <c r="DM104" i="4"/>
  <c r="M104" i="4"/>
  <c r="BM104" i="4"/>
  <c r="AM105" i="4"/>
  <c r="AM194" i="4" s="1"/>
  <c r="S235" i="4" s="1"/>
  <c r="DM105" i="4"/>
  <c r="DM194" i="4" s="1"/>
  <c r="S307" i="4" s="1"/>
  <c r="BM105" i="4"/>
  <c r="BM194" i="4" s="1"/>
  <c r="S259" i="4" s="1"/>
  <c r="CM105" i="4"/>
  <c r="CM194" i="4" s="1"/>
  <c r="S284" i="4" s="1"/>
  <c r="M105" i="4"/>
  <c r="M194" i="4" s="1"/>
  <c r="S211" i="4" s="1"/>
  <c r="CO106" i="4"/>
  <c r="BO106" i="4"/>
  <c r="BO107" i="4"/>
  <c r="DO107" i="4"/>
  <c r="AO108" i="4"/>
  <c r="CO108" i="4"/>
  <c r="DO109" i="4"/>
  <c r="CO109" i="4"/>
  <c r="CO110" i="4"/>
  <c r="DO110" i="4"/>
  <c r="BO111" i="4"/>
  <c r="DO111" i="4"/>
  <c r="DO112" i="4"/>
  <c r="DO195" i="4" s="1"/>
  <c r="T309" i="4" s="1"/>
  <c r="AO112" i="4"/>
  <c r="AO195" i="4" s="1"/>
  <c r="T237" i="4" s="1"/>
  <c r="DO99" i="4"/>
  <c r="CO99" i="4"/>
  <c r="AO99" i="4"/>
  <c r="BO99" i="4"/>
  <c r="BO100" i="4"/>
  <c r="DO100" i="4"/>
  <c r="AO100" i="4"/>
  <c r="CO100" i="4"/>
  <c r="BO101" i="4"/>
  <c r="AO101" i="4"/>
  <c r="DO101" i="4"/>
  <c r="CO101" i="4"/>
  <c r="BO102" i="4"/>
  <c r="DO102" i="4"/>
  <c r="AO102" i="4"/>
  <c r="DO103" i="4"/>
  <c r="CO102" i="4"/>
  <c r="CO103" i="4"/>
  <c r="AO103" i="4"/>
  <c r="BO104" i="4"/>
  <c r="BO103" i="4"/>
  <c r="CO104" i="4"/>
  <c r="AO104" i="4"/>
  <c r="DO104" i="4"/>
  <c r="CO105" i="4"/>
  <c r="CO194" i="4" s="1"/>
  <c r="S286" i="4" s="1"/>
  <c r="AO105" i="4"/>
  <c r="AO194" i="4" s="1"/>
  <c r="S237" i="4" s="1"/>
  <c r="DO105" i="4"/>
  <c r="DO194" i="4" s="1"/>
  <c r="S309" i="4" s="1"/>
  <c r="BO105" i="4"/>
  <c r="BO194" i="4" s="1"/>
  <c r="S261" i="4" s="1"/>
  <c r="DG16" i="4"/>
  <c r="DF17" i="4" s="1"/>
  <c r="DN17" i="4" s="1"/>
  <c r="DS16" i="4"/>
  <c r="AG14" i="4"/>
  <c r="AG181" i="4" s="1"/>
  <c r="F229" i="4" s="1"/>
  <c r="F327" i="4" s="1"/>
  <c r="AS14" i="4"/>
  <c r="BG16" i="4"/>
  <c r="BF17" i="4" s="1"/>
  <c r="BN17" i="4" s="1"/>
  <c r="BS16" i="4"/>
  <c r="O99" i="4"/>
  <c r="O101" i="4"/>
  <c r="O100" i="4"/>
  <c r="O102" i="4"/>
  <c r="O103" i="4"/>
  <c r="O104" i="4"/>
  <c r="O105" i="4"/>
  <c r="O194" i="4" s="1"/>
  <c r="S213" i="4" s="1"/>
  <c r="L18" i="4"/>
  <c r="BL17" i="4"/>
  <c r="CL17" i="4"/>
  <c r="BT15" i="4"/>
  <c r="DL18" i="4"/>
  <c r="DT15" i="4"/>
  <c r="DT16" i="4" s="1"/>
  <c r="C336" i="4"/>
  <c r="AL19" i="4"/>
  <c r="T16" i="4"/>
  <c r="C273" i="1"/>
  <c r="DG135" i="9" l="1"/>
  <c r="DK134" i="9"/>
  <c r="DN134" i="9"/>
  <c r="DO134" i="9" s="1"/>
  <c r="DB134" i="9"/>
  <c r="DA135" i="9" s="1"/>
  <c r="DI134" i="9"/>
  <c r="CO135" i="9"/>
  <c r="CP135" i="9" s="1"/>
  <c r="CC135" i="9"/>
  <c r="CB136" i="9" s="1"/>
  <c r="CJ135" i="9"/>
  <c r="CL135" i="9"/>
  <c r="CH136" i="9"/>
  <c r="BP134" i="9"/>
  <c r="BQ134" i="9" s="1"/>
  <c r="BD134" i="9"/>
  <c r="BC135" i="9" s="1"/>
  <c r="BK134" i="9"/>
  <c r="BI136" i="9"/>
  <c r="BM136" i="9" s="1"/>
  <c r="AQ134" i="9"/>
  <c r="AR134" i="9" s="1"/>
  <c r="AE134" i="9"/>
  <c r="AD135" i="9" s="1"/>
  <c r="AL134" i="9"/>
  <c r="AJ135" i="9"/>
  <c r="AN134" i="9"/>
  <c r="BC161" i="9"/>
  <c r="E161" i="9"/>
  <c r="M161" i="9" s="1"/>
  <c r="R118" i="9"/>
  <c r="S118" i="9" s="1"/>
  <c r="M118" i="9"/>
  <c r="E119" i="9"/>
  <c r="F119" i="9" s="1"/>
  <c r="T293" i="9"/>
  <c r="T327" i="9"/>
  <c r="T344" i="9" s="1"/>
  <c r="R12" i="5" s="1"/>
  <c r="V334" i="9"/>
  <c r="U192" i="9"/>
  <c r="AQ161" i="9"/>
  <c r="U205" i="9" s="1"/>
  <c r="AN161" i="9"/>
  <c r="U202" i="9" s="1"/>
  <c r="U241" i="9"/>
  <c r="CO161" i="9"/>
  <c r="U254" i="9" s="1"/>
  <c r="K134" i="9"/>
  <c r="O133" i="9"/>
  <c r="EY83" i="7"/>
  <c r="EZ155" i="7"/>
  <c r="O313" i="7" s="1"/>
  <c r="HE82" i="7"/>
  <c r="HJ82" i="7"/>
  <c r="HK82" i="7" s="1"/>
  <c r="GX82" i="7"/>
  <c r="GW83" i="7" s="1"/>
  <c r="HC83" i="7"/>
  <c r="HG82" i="7"/>
  <c r="GK82" i="7"/>
  <c r="GL82" i="7" s="1"/>
  <c r="FY82" i="7"/>
  <c r="GF82" i="7"/>
  <c r="GH81" i="7"/>
  <c r="GD82" i="7"/>
  <c r="FL83" i="7"/>
  <c r="FM83" i="7" s="1"/>
  <c r="EZ83" i="7"/>
  <c r="EY84" i="7" s="1"/>
  <c r="FG83" i="7"/>
  <c r="FI82" i="7"/>
  <c r="FE83" i="7"/>
  <c r="EM83" i="7"/>
  <c r="EN83" i="7" s="1"/>
  <c r="EA83" i="7"/>
  <c r="DZ84" i="7" s="1"/>
  <c r="EH83" i="7"/>
  <c r="EF84" i="7"/>
  <c r="EJ83" i="7"/>
  <c r="DK82" i="7"/>
  <c r="DG83" i="7"/>
  <c r="DN83" i="7"/>
  <c r="DO83" i="7" s="1"/>
  <c r="DI83" i="7"/>
  <c r="DB83" i="7"/>
  <c r="DA84" i="7" s="1"/>
  <c r="K78" i="8"/>
  <c r="O77" i="8"/>
  <c r="CP69" i="8"/>
  <c r="N192" i="8"/>
  <c r="AQ154" i="8"/>
  <c r="N205" i="8" s="1"/>
  <c r="AN154" i="8"/>
  <c r="N202" i="8" s="1"/>
  <c r="BC154" i="8"/>
  <c r="BK69" i="8"/>
  <c r="BD69" i="8"/>
  <c r="BC70" i="8" s="1"/>
  <c r="BP69" i="8"/>
  <c r="BQ69" i="8" s="1"/>
  <c r="AQ70" i="8"/>
  <c r="AL70" i="8"/>
  <c r="AE70" i="8"/>
  <c r="AD71" i="8" s="1"/>
  <c r="E154" i="8"/>
  <c r="R69" i="8"/>
  <c r="S69" i="8" s="1"/>
  <c r="M69" i="8"/>
  <c r="F69" i="8"/>
  <c r="E70" i="8" s="1"/>
  <c r="N332" i="8"/>
  <c r="CH80" i="8"/>
  <c r="M291" i="8"/>
  <c r="M325" i="8"/>
  <c r="DB78" i="8"/>
  <c r="DA79" i="8" s="1"/>
  <c r="DI78" i="8"/>
  <c r="DN78" i="8"/>
  <c r="DO78" i="8" s="1"/>
  <c r="CJ70" i="8"/>
  <c r="CO70" i="8"/>
  <c r="CC70" i="8"/>
  <c r="CB71" i="8" s="1"/>
  <c r="CL70" i="8"/>
  <c r="AJ80" i="8"/>
  <c r="AN79" i="8"/>
  <c r="BI79" i="8"/>
  <c r="BM78" i="8"/>
  <c r="AR70" i="8"/>
  <c r="DG78" i="8"/>
  <c r="DK77" i="8"/>
  <c r="AD56" i="1"/>
  <c r="AE56" i="1" s="1"/>
  <c r="AD57" i="1" s="1"/>
  <c r="AL56" i="1"/>
  <c r="AE57" i="7"/>
  <c r="AD58" i="7" s="1"/>
  <c r="AL57" i="7"/>
  <c r="AQ57" i="7"/>
  <c r="AR57" i="7" s="1"/>
  <c r="S54" i="7"/>
  <c r="E55" i="7"/>
  <c r="F151" i="7"/>
  <c r="K170" i="7" s="1"/>
  <c r="AJ59" i="7"/>
  <c r="AN59" i="7" s="1"/>
  <c r="CO53" i="7"/>
  <c r="CP53" i="7" s="1"/>
  <c r="CJ53" i="7"/>
  <c r="CC53" i="7"/>
  <c r="CB54" i="7" s="1"/>
  <c r="CL53" i="7"/>
  <c r="CH60" i="7"/>
  <c r="K60" i="7"/>
  <c r="O60" i="7" s="1"/>
  <c r="BP53" i="7"/>
  <c r="BQ53" i="7" s="1"/>
  <c r="BK53" i="7"/>
  <c r="BD53" i="7"/>
  <c r="BC54" i="7" s="1"/>
  <c r="BI61" i="7"/>
  <c r="BM61" i="7" s="1"/>
  <c r="BD50" i="1"/>
  <c r="BC51" i="1" s="1"/>
  <c r="BP51" i="1" s="1"/>
  <c r="BK50" i="1"/>
  <c r="AJ58" i="1"/>
  <c r="BQ50" i="1"/>
  <c r="BI52" i="1"/>
  <c r="I19" i="3"/>
  <c r="T335" i="4"/>
  <c r="BP17" i="4"/>
  <c r="CS16" i="4"/>
  <c r="CT16" i="4" s="1"/>
  <c r="CN16" i="4"/>
  <c r="CG16" i="4"/>
  <c r="CF17" i="4" s="1"/>
  <c r="CP16" i="4"/>
  <c r="CO112" i="4"/>
  <c r="CO195" i="4" s="1"/>
  <c r="T286" i="4" s="1"/>
  <c r="BO112" i="4"/>
  <c r="BO195" i="4" s="1"/>
  <c r="T261" i="4" s="1"/>
  <c r="CO111" i="4"/>
  <c r="AO111" i="4"/>
  <c r="BO110" i="4"/>
  <c r="AO110" i="4"/>
  <c r="AO109" i="4"/>
  <c r="BO109" i="4"/>
  <c r="BO108" i="4"/>
  <c r="DO108" i="4"/>
  <c r="CO107" i="4"/>
  <c r="AO107" i="4"/>
  <c r="DO106" i="4"/>
  <c r="AO106" i="4"/>
  <c r="P17" i="4"/>
  <c r="DP17" i="4"/>
  <c r="DM113" i="4"/>
  <c r="AM113" i="4"/>
  <c r="CM113" i="4"/>
  <c r="BM113" i="4"/>
  <c r="M113" i="4"/>
  <c r="CM114" i="4"/>
  <c r="AM114" i="4"/>
  <c r="DM114" i="4"/>
  <c r="M114" i="4"/>
  <c r="BM114" i="4"/>
  <c r="CM116" i="4"/>
  <c r="AM115" i="4"/>
  <c r="M115" i="4"/>
  <c r="M116" i="4"/>
  <c r="CM115" i="4"/>
  <c r="BM115" i="4"/>
  <c r="DM115" i="4"/>
  <c r="CM117" i="4"/>
  <c r="M118" i="4"/>
  <c r="M117" i="4"/>
  <c r="BM116" i="4"/>
  <c r="AM116" i="4"/>
  <c r="DM116" i="4"/>
  <c r="AM117" i="4"/>
  <c r="CM118" i="4"/>
  <c r="M119" i="4"/>
  <c r="M196" i="4" s="1"/>
  <c r="U211" i="4" s="1"/>
  <c r="DM117" i="4"/>
  <c r="BM117" i="4"/>
  <c r="BM118" i="4"/>
  <c r="CM119" i="4"/>
  <c r="CM196" i="4" s="1"/>
  <c r="U284" i="4" s="1"/>
  <c r="AM118" i="4"/>
  <c r="DM118" i="4"/>
  <c r="AM119" i="4"/>
  <c r="AM196" i="4" s="1"/>
  <c r="U235" i="4" s="1"/>
  <c r="BM119" i="4"/>
  <c r="BM196" i="4" s="1"/>
  <c r="U259" i="4" s="1"/>
  <c r="DM119" i="4"/>
  <c r="DM196" i="4" s="1"/>
  <c r="U307" i="4" s="1"/>
  <c r="CM106" i="4"/>
  <c r="BM106" i="4"/>
  <c r="DM106" i="4"/>
  <c r="AM106" i="4"/>
  <c r="M106" i="4"/>
  <c r="BM107" i="4"/>
  <c r="DM107" i="4"/>
  <c r="AM107" i="4"/>
  <c r="M107" i="4"/>
  <c r="CM107" i="4"/>
  <c r="CM108" i="4"/>
  <c r="DM108" i="4"/>
  <c r="BM108" i="4"/>
  <c r="AM108" i="4"/>
  <c r="M108" i="4"/>
  <c r="BM109" i="4"/>
  <c r="DM109" i="4"/>
  <c r="M109" i="4"/>
  <c r="AM109" i="4"/>
  <c r="CM109" i="4"/>
  <c r="DM110" i="4"/>
  <c r="M110" i="4"/>
  <c r="AM110" i="4"/>
  <c r="CM110" i="4"/>
  <c r="BM110" i="4"/>
  <c r="CM111" i="4"/>
  <c r="AM111" i="4"/>
  <c r="BM111" i="4"/>
  <c r="DM111" i="4"/>
  <c r="M111" i="4"/>
  <c r="M112" i="4"/>
  <c r="M195" i="4" s="1"/>
  <c r="T211" i="4" s="1"/>
  <c r="AM112" i="4"/>
  <c r="AM195" i="4" s="1"/>
  <c r="T235" i="4" s="1"/>
  <c r="BM112" i="4"/>
  <c r="BM195" i="4" s="1"/>
  <c r="T259" i="4" s="1"/>
  <c r="CM112" i="4"/>
  <c r="CM195" i="4" s="1"/>
  <c r="T284" i="4" s="1"/>
  <c r="DM112" i="4"/>
  <c r="DM195" i="4" s="1"/>
  <c r="T307" i="4" s="1"/>
  <c r="I20" i="3"/>
  <c r="CO113" i="4"/>
  <c r="AO113" i="4"/>
  <c r="DO113" i="4"/>
  <c r="BO113" i="4"/>
  <c r="BO114" i="4"/>
  <c r="AO114" i="4"/>
  <c r="DO114" i="4"/>
  <c r="CO114" i="4"/>
  <c r="CO115" i="4"/>
  <c r="AO115" i="4"/>
  <c r="CO116" i="4"/>
  <c r="BO115" i="4"/>
  <c r="DO115" i="4"/>
  <c r="DO116" i="4"/>
  <c r="CO117" i="4"/>
  <c r="BO116" i="4"/>
  <c r="AO116" i="4"/>
  <c r="DO117" i="4"/>
  <c r="AO117" i="4"/>
  <c r="CO118" i="4"/>
  <c r="BO117" i="4"/>
  <c r="AO118" i="4"/>
  <c r="BO118" i="4"/>
  <c r="AO119" i="4"/>
  <c r="AO196" i="4" s="1"/>
  <c r="U237" i="4" s="1"/>
  <c r="CO119" i="4"/>
  <c r="CO196" i="4" s="1"/>
  <c r="U286" i="4" s="1"/>
  <c r="DO118" i="4"/>
  <c r="BO119" i="4"/>
  <c r="BO196" i="4" s="1"/>
  <c r="U261" i="4" s="1"/>
  <c r="DO119" i="4"/>
  <c r="DO196" i="4" s="1"/>
  <c r="U309" i="4" s="1"/>
  <c r="DG17" i="4"/>
  <c r="DF18" i="4" s="1"/>
  <c r="DN18" i="4" s="1"/>
  <c r="DS17" i="4"/>
  <c r="DT17" i="4" s="1"/>
  <c r="BG17" i="4"/>
  <c r="BF18" i="4" s="1"/>
  <c r="BN18" i="4" s="1"/>
  <c r="BS17" i="4"/>
  <c r="G17" i="4"/>
  <c r="F18" i="4" s="1"/>
  <c r="N18" i="4" s="1"/>
  <c r="S17" i="4"/>
  <c r="T17" i="4" s="1"/>
  <c r="AF15" i="4"/>
  <c r="AT14" i="4"/>
  <c r="AT181" i="4" s="1"/>
  <c r="F242" i="4" s="1"/>
  <c r="BT16" i="4"/>
  <c r="AL20" i="4"/>
  <c r="L19" i="4"/>
  <c r="DL19" i="4"/>
  <c r="C337" i="4"/>
  <c r="CL18" i="4"/>
  <c r="BL18" i="4"/>
  <c r="BP18" i="4" s="1"/>
  <c r="C274" i="1"/>
  <c r="DK135" i="9" l="1"/>
  <c r="DG136" i="9"/>
  <c r="DN135" i="9"/>
  <c r="DO135" i="9" s="1"/>
  <c r="DB135" i="9"/>
  <c r="DA136" i="9" s="1"/>
  <c r="DI135" i="9"/>
  <c r="CO136" i="9"/>
  <c r="CP136" i="9" s="1"/>
  <c r="CC136" i="9"/>
  <c r="CB137" i="9" s="1"/>
  <c r="CJ136" i="9"/>
  <c r="CH137" i="9"/>
  <c r="CL136" i="9"/>
  <c r="BD135" i="9"/>
  <c r="BC136" i="9" s="1"/>
  <c r="BK135" i="9"/>
  <c r="BP135" i="9"/>
  <c r="BQ135" i="9" s="1"/>
  <c r="BI137" i="9"/>
  <c r="BM137" i="9" s="1"/>
  <c r="AQ135" i="9"/>
  <c r="AR135" i="9" s="1"/>
  <c r="AE135" i="9"/>
  <c r="AD136" i="9" s="1"/>
  <c r="AL135" i="9"/>
  <c r="AN135" i="9"/>
  <c r="AJ136" i="9"/>
  <c r="O134" i="9"/>
  <c r="K135" i="9"/>
  <c r="U169" i="9"/>
  <c r="R161" i="9"/>
  <c r="U182" i="9" s="1"/>
  <c r="U177" i="9"/>
  <c r="O161" i="9"/>
  <c r="U179" i="9" s="1"/>
  <c r="U217" i="9"/>
  <c r="BP161" i="9"/>
  <c r="U230" i="9" s="1"/>
  <c r="R119" i="9"/>
  <c r="S119" i="9" s="1"/>
  <c r="E120" i="9"/>
  <c r="F120" i="9" s="1"/>
  <c r="M119" i="9"/>
  <c r="HK155" i="7"/>
  <c r="O372" i="7" s="1"/>
  <c r="GL155" i="7"/>
  <c r="O349" i="7" s="1"/>
  <c r="FX83" i="7"/>
  <c r="FY83" i="7" s="1"/>
  <c r="FX84" i="7" s="1"/>
  <c r="FY155" i="7"/>
  <c r="O336" i="7" s="1"/>
  <c r="GX155" i="7"/>
  <c r="O359" i="7" s="1"/>
  <c r="HJ83" i="7"/>
  <c r="HK83" i="7" s="1"/>
  <c r="GX83" i="7"/>
  <c r="GW84" i="7" s="1"/>
  <c r="HE83" i="7"/>
  <c r="HG83" i="7"/>
  <c r="HC84" i="7"/>
  <c r="GK83" i="7"/>
  <c r="GL83" i="7" s="1"/>
  <c r="GD83" i="7"/>
  <c r="GH82" i="7"/>
  <c r="FL84" i="7"/>
  <c r="FM84" i="7" s="1"/>
  <c r="EZ84" i="7"/>
  <c r="EY85" i="7" s="1"/>
  <c r="FG84" i="7"/>
  <c r="FE84" i="7"/>
  <c r="FI83" i="7"/>
  <c r="EM84" i="7"/>
  <c r="EN84" i="7" s="1"/>
  <c r="EA84" i="7"/>
  <c r="DZ85" i="7" s="1"/>
  <c r="EH84" i="7"/>
  <c r="EJ84" i="7"/>
  <c r="EF85" i="7"/>
  <c r="DG84" i="7"/>
  <c r="DK83" i="7"/>
  <c r="DN84" i="7"/>
  <c r="DO84" i="7" s="1"/>
  <c r="DB84" i="7"/>
  <c r="DA85" i="7" s="1"/>
  <c r="DI84" i="7"/>
  <c r="BI80" i="8"/>
  <c r="BM79" i="8"/>
  <c r="CO71" i="8"/>
  <c r="CC71" i="8"/>
  <c r="CB72" i="8" s="1"/>
  <c r="CJ71" i="8"/>
  <c r="CL71" i="8"/>
  <c r="CH81" i="8"/>
  <c r="N169" i="8"/>
  <c r="R154" i="8"/>
  <c r="N182" i="8" s="1"/>
  <c r="M154" i="8"/>
  <c r="N177" i="8" s="1"/>
  <c r="O154" i="8"/>
  <c r="N179" i="8" s="1"/>
  <c r="DK78" i="8"/>
  <c r="DG79" i="8"/>
  <c r="DI79" i="8"/>
  <c r="DN79" i="8"/>
  <c r="DO79" i="8" s="1"/>
  <c r="DB79" i="8"/>
  <c r="DA80" i="8" s="1"/>
  <c r="R70" i="8"/>
  <c r="S70" i="8" s="1"/>
  <c r="F70" i="8"/>
  <c r="E71" i="8" s="1"/>
  <c r="M70" i="8"/>
  <c r="AQ71" i="8"/>
  <c r="AR71" i="8" s="1"/>
  <c r="AL71" i="8"/>
  <c r="AE71" i="8"/>
  <c r="AD72" i="8" s="1"/>
  <c r="BP70" i="8"/>
  <c r="BQ70" i="8" s="1"/>
  <c r="BK70" i="8"/>
  <c r="BD70" i="8"/>
  <c r="BC71" i="8" s="1"/>
  <c r="AJ81" i="8"/>
  <c r="AN80" i="8"/>
  <c r="O78" i="8"/>
  <c r="K79" i="8"/>
  <c r="N217" i="8"/>
  <c r="BP154" i="8"/>
  <c r="N230" i="8" s="1"/>
  <c r="CP70" i="8"/>
  <c r="CP71" i="8" s="1"/>
  <c r="AQ56" i="1"/>
  <c r="AR56" i="1" s="1"/>
  <c r="AL57" i="1"/>
  <c r="AE57" i="1"/>
  <c r="AD58" i="1" s="1"/>
  <c r="AE58" i="1" s="1"/>
  <c r="AD59" i="1" s="1"/>
  <c r="AQ57" i="1"/>
  <c r="AQ58" i="7"/>
  <c r="AR58" i="7" s="1"/>
  <c r="AE58" i="7"/>
  <c r="AD59" i="7" s="1"/>
  <c r="AL58" i="7"/>
  <c r="F55" i="7"/>
  <c r="E56" i="7" s="1"/>
  <c r="E152" i="7"/>
  <c r="R152" i="7" s="1"/>
  <c r="M55" i="7"/>
  <c r="R55" i="7"/>
  <c r="S55" i="7" s="1"/>
  <c r="S151" i="7"/>
  <c r="BP54" i="7"/>
  <c r="BQ54" i="7" s="1"/>
  <c r="BD54" i="7"/>
  <c r="BC55" i="7" s="1"/>
  <c r="BK54" i="7"/>
  <c r="BM151" i="7"/>
  <c r="K227" i="7" s="1"/>
  <c r="K61" i="7"/>
  <c r="O61" i="7" s="1"/>
  <c r="CH61" i="7"/>
  <c r="CO54" i="7"/>
  <c r="CP54" i="7" s="1"/>
  <c r="CC54" i="7"/>
  <c r="CJ54" i="7"/>
  <c r="CL54" i="7"/>
  <c r="BI152" i="7"/>
  <c r="BI62" i="7"/>
  <c r="BM62" i="7" s="1"/>
  <c r="AJ60" i="7"/>
  <c r="AN60" i="7" s="1"/>
  <c r="BD51" i="1"/>
  <c r="BC52" i="1" s="1"/>
  <c r="BP52" i="1" s="1"/>
  <c r="BK51" i="1"/>
  <c r="AJ59" i="1"/>
  <c r="BQ51" i="1"/>
  <c r="BI53" i="1"/>
  <c r="V335" i="4"/>
  <c r="U335" i="4"/>
  <c r="DP18" i="4"/>
  <c r="P18" i="4"/>
  <c r="AS15" i="4"/>
  <c r="AN15" i="4"/>
  <c r="AP15" i="4"/>
  <c r="CN17" i="4"/>
  <c r="CG17" i="4"/>
  <c r="CF18" i="4" s="1"/>
  <c r="CP18" i="4" s="1"/>
  <c r="CS17" i="4"/>
  <c r="CT17" i="4" s="1"/>
  <c r="CP17" i="4"/>
  <c r="AM120" i="4"/>
  <c r="BM120" i="4"/>
  <c r="DM120" i="4"/>
  <c r="CM120" i="4"/>
  <c r="M120" i="4"/>
  <c r="DM121" i="4"/>
  <c r="CM121" i="4"/>
  <c r="BM121" i="4"/>
  <c r="M122" i="4"/>
  <c r="AM121" i="4"/>
  <c r="M121" i="4"/>
  <c r="AM122" i="4"/>
  <c r="DM122" i="4"/>
  <c r="DM123" i="4"/>
  <c r="CM122" i="4"/>
  <c r="BM122" i="4"/>
  <c r="BM123" i="4"/>
  <c r="M123" i="4"/>
  <c r="M124" i="4"/>
  <c r="AM123" i="4"/>
  <c r="DM124" i="4"/>
  <c r="CM123" i="4"/>
  <c r="BM124" i="4"/>
  <c r="CM124" i="4"/>
  <c r="M125" i="4"/>
  <c r="CM125" i="4"/>
  <c r="BM125" i="4"/>
  <c r="AM124" i="4"/>
  <c r="AM125" i="4"/>
  <c r="DM125" i="4"/>
  <c r="BM126" i="4"/>
  <c r="BM197" i="4" s="1"/>
  <c r="V259" i="4" s="1"/>
  <c r="DM126" i="4"/>
  <c r="DM197" i="4" s="1"/>
  <c r="V307" i="4" s="1"/>
  <c r="AM126" i="4"/>
  <c r="AM197" i="4" s="1"/>
  <c r="V235" i="4" s="1"/>
  <c r="CM126" i="4"/>
  <c r="CM197" i="4" s="1"/>
  <c r="V284" i="4" s="1"/>
  <c r="M126" i="4"/>
  <c r="M197" i="4" s="1"/>
  <c r="V211" i="4" s="1"/>
  <c r="I21" i="3"/>
  <c r="DO120" i="4"/>
  <c r="CO120" i="4"/>
  <c r="BO120" i="4"/>
  <c r="AO120" i="4"/>
  <c r="CO122" i="4"/>
  <c r="CO121" i="4"/>
  <c r="BO121" i="4"/>
  <c r="DO121" i="4"/>
  <c r="AO121" i="4"/>
  <c r="DO122" i="4"/>
  <c r="BO122" i="4"/>
  <c r="AO122" i="4"/>
  <c r="DO123" i="4"/>
  <c r="CO123" i="4"/>
  <c r="CO124" i="4"/>
  <c r="DO124" i="4"/>
  <c r="AO123" i="4"/>
  <c r="AO124" i="4"/>
  <c r="BO123" i="4"/>
  <c r="BO124" i="4"/>
  <c r="DO125" i="4"/>
  <c r="CO125" i="4"/>
  <c r="AO125" i="4"/>
  <c r="BO126" i="4"/>
  <c r="BO197" i="4" s="1"/>
  <c r="V261" i="4" s="1"/>
  <c r="CO126" i="4"/>
  <c r="CO197" i="4" s="1"/>
  <c r="V286" i="4" s="1"/>
  <c r="DO126" i="4"/>
  <c r="DO197" i="4" s="1"/>
  <c r="V309" i="4" s="1"/>
  <c r="AO126" i="4"/>
  <c r="AO197" i="4" s="1"/>
  <c r="V237" i="4" s="1"/>
  <c r="BO125" i="4"/>
  <c r="DG18" i="4"/>
  <c r="DS18" i="4"/>
  <c r="DT18" i="4" s="1"/>
  <c r="BG18" i="4"/>
  <c r="BF19" i="4" s="1"/>
  <c r="BN19" i="4" s="1"/>
  <c r="BS18" i="4"/>
  <c r="G18" i="4"/>
  <c r="F19" i="4" s="1"/>
  <c r="N19" i="4" s="1"/>
  <c r="S18" i="4"/>
  <c r="T18" i="4" s="1"/>
  <c r="AG15" i="4"/>
  <c r="BT17" i="4"/>
  <c r="AL21" i="4"/>
  <c r="AL182" i="4" s="1"/>
  <c r="G234" i="4" s="1"/>
  <c r="F337" i="4"/>
  <c r="C338" i="4"/>
  <c r="BL19" i="4"/>
  <c r="DL20" i="4"/>
  <c r="L20" i="4"/>
  <c r="CL19" i="4"/>
  <c r="DF19" i="4"/>
  <c r="DN19" i="4" s="1"/>
  <c r="C275" i="1"/>
  <c r="DG137" i="9" l="1"/>
  <c r="DK136" i="9"/>
  <c r="DN136" i="9"/>
  <c r="DO136" i="9" s="1"/>
  <c r="DI136" i="9"/>
  <c r="DB136" i="9"/>
  <c r="DA137" i="9" s="1"/>
  <c r="CO137" i="9"/>
  <c r="CP137" i="9" s="1"/>
  <c r="CC137" i="9"/>
  <c r="CB138" i="9" s="1"/>
  <c r="CJ137" i="9"/>
  <c r="CL137" i="9"/>
  <c r="CH138" i="9"/>
  <c r="CL138" i="9" s="1"/>
  <c r="BI138" i="9"/>
  <c r="BM138" i="9" s="1"/>
  <c r="BP136" i="9"/>
  <c r="BQ136" i="9" s="1"/>
  <c r="BD136" i="9"/>
  <c r="BC137" i="9" s="1"/>
  <c r="BK136" i="9"/>
  <c r="AQ136" i="9"/>
  <c r="AR136" i="9" s="1"/>
  <c r="AL136" i="9"/>
  <c r="AE136" i="9"/>
  <c r="AD137" i="9" s="1"/>
  <c r="AN136" i="9"/>
  <c r="AJ137" i="9"/>
  <c r="U292" i="9"/>
  <c r="U307" i="9" s="1"/>
  <c r="U317" i="9"/>
  <c r="U343" i="9" s="1"/>
  <c r="S11" i="5" s="1"/>
  <c r="K136" i="9"/>
  <c r="O135" i="9"/>
  <c r="R120" i="9"/>
  <c r="S120" i="9" s="1"/>
  <c r="M120" i="9"/>
  <c r="E121" i="9"/>
  <c r="F121" i="9" s="1"/>
  <c r="U305" i="9"/>
  <c r="U330" i="9" s="1"/>
  <c r="DO151" i="7"/>
  <c r="K279" i="7" s="1"/>
  <c r="HK151" i="7"/>
  <c r="K372" i="7" s="1"/>
  <c r="GL151" i="7"/>
  <c r="K349" i="7" s="1"/>
  <c r="FM151" i="7"/>
  <c r="K326" i="7" s="1"/>
  <c r="EN151" i="7"/>
  <c r="K303" i="7" s="1"/>
  <c r="GF83" i="7"/>
  <c r="HG151" i="7"/>
  <c r="K368" i="7" s="1"/>
  <c r="GH151" i="7"/>
  <c r="K345" i="7" s="1"/>
  <c r="FI151" i="7"/>
  <c r="K322" i="7" s="1"/>
  <c r="EJ151" i="7"/>
  <c r="K299" i="7" s="1"/>
  <c r="DG152" i="7"/>
  <c r="L271" i="7" s="1"/>
  <c r="HC152" i="7"/>
  <c r="L364" i="7" s="1"/>
  <c r="GD152" i="7"/>
  <c r="L341" i="7" s="1"/>
  <c r="FE152" i="7"/>
  <c r="L318" i="7" s="1"/>
  <c r="EF152" i="7"/>
  <c r="L295" i="7" s="1"/>
  <c r="DB151" i="7"/>
  <c r="GX151" i="7"/>
  <c r="K359" i="7" s="1"/>
  <c r="FY151" i="7"/>
  <c r="K336" i="7" s="1"/>
  <c r="EZ151" i="7"/>
  <c r="K313" i="7" s="1"/>
  <c r="EA151" i="7"/>
  <c r="HJ84" i="7"/>
  <c r="HK84" i="7" s="1"/>
  <c r="HE84" i="7"/>
  <c r="GX84" i="7"/>
  <c r="GW85" i="7" s="1"/>
  <c r="HC85" i="7"/>
  <c r="HG84" i="7"/>
  <c r="GK84" i="7"/>
  <c r="GL84" i="7" s="1"/>
  <c r="FY84" i="7"/>
  <c r="FX85" i="7" s="1"/>
  <c r="GF84" i="7"/>
  <c r="GD84" i="7"/>
  <c r="GH83" i="7"/>
  <c r="FL85" i="7"/>
  <c r="FM85" i="7" s="1"/>
  <c r="EZ85" i="7"/>
  <c r="EY86" i="7" s="1"/>
  <c r="FG85" i="7"/>
  <c r="FE85" i="7"/>
  <c r="FI84" i="7"/>
  <c r="EA85" i="7"/>
  <c r="DZ86" i="7" s="1"/>
  <c r="EH85" i="7"/>
  <c r="EM85" i="7"/>
  <c r="EN85" i="7" s="1"/>
  <c r="EJ85" i="7"/>
  <c r="EF86" i="7"/>
  <c r="DK84" i="7"/>
  <c r="DG85" i="7"/>
  <c r="DN85" i="7"/>
  <c r="DO85" i="7" s="1"/>
  <c r="DI85" i="7"/>
  <c r="DB85" i="7"/>
  <c r="DA86" i="7" s="1"/>
  <c r="BK71" i="8"/>
  <c r="BD71" i="8"/>
  <c r="BC72" i="8" s="1"/>
  <c r="BP71" i="8"/>
  <c r="BQ71" i="8" s="1"/>
  <c r="DK79" i="8"/>
  <c r="DG80" i="8"/>
  <c r="DN80" i="8"/>
  <c r="DO80" i="8" s="1"/>
  <c r="DB80" i="8"/>
  <c r="DA81" i="8" s="1"/>
  <c r="DI80" i="8"/>
  <c r="O79" i="8"/>
  <c r="K80" i="8"/>
  <c r="AN81" i="8"/>
  <c r="AJ82" i="8"/>
  <c r="N290" i="8"/>
  <c r="N315" i="8"/>
  <c r="BM80" i="8"/>
  <c r="BI81" i="8"/>
  <c r="AE72" i="8"/>
  <c r="AD73" i="8" s="1"/>
  <c r="AQ72" i="8"/>
  <c r="AR72" i="8" s="1"/>
  <c r="AL72" i="8"/>
  <c r="R71" i="8"/>
  <c r="S71" i="8" s="1"/>
  <c r="M71" i="8"/>
  <c r="F71" i="8"/>
  <c r="E72" i="8" s="1"/>
  <c r="CH82" i="8"/>
  <c r="CO72" i="8"/>
  <c r="CP72" i="8" s="1"/>
  <c r="CJ72" i="8"/>
  <c r="CC72" i="8"/>
  <c r="CB73" i="8" s="1"/>
  <c r="CL72" i="8"/>
  <c r="K183" i="7"/>
  <c r="K184" i="7"/>
  <c r="M152" i="7"/>
  <c r="L169" i="7"/>
  <c r="AL58" i="1"/>
  <c r="AR57" i="1"/>
  <c r="AQ58" i="1"/>
  <c r="AR58" i="1" s="1"/>
  <c r="L223" i="7"/>
  <c r="CL151" i="7"/>
  <c r="DK151" i="7"/>
  <c r="K275" i="7" s="1"/>
  <c r="AL59" i="7"/>
  <c r="AQ59" i="7"/>
  <c r="AR59" i="7" s="1"/>
  <c r="AE59" i="7"/>
  <c r="AD60" i="7" s="1"/>
  <c r="F56" i="7"/>
  <c r="E57" i="7" s="1"/>
  <c r="M56" i="7"/>
  <c r="R56" i="7"/>
  <c r="S56" i="7" s="1"/>
  <c r="BQ151" i="7"/>
  <c r="K231" i="7" s="1"/>
  <c r="CP151" i="7"/>
  <c r="K152" i="7"/>
  <c r="O152" i="7" s="1"/>
  <c r="K62" i="7"/>
  <c r="O62" i="7" s="1"/>
  <c r="BD151" i="7"/>
  <c r="BI63" i="7"/>
  <c r="BM63" i="7" s="1"/>
  <c r="CH152" i="7"/>
  <c r="CH62" i="7"/>
  <c r="CC151" i="7"/>
  <c r="CB55" i="7"/>
  <c r="AJ61" i="7"/>
  <c r="AN61" i="7" s="1"/>
  <c r="BK52" i="1"/>
  <c r="BD52" i="1"/>
  <c r="BC53" i="1" s="1"/>
  <c r="BK53" i="1" s="1"/>
  <c r="AL59" i="1"/>
  <c r="AQ59" i="1"/>
  <c r="AE59" i="1"/>
  <c r="AD60" i="1" s="1"/>
  <c r="AJ60" i="1"/>
  <c r="BQ52" i="1"/>
  <c r="BI54" i="1"/>
  <c r="BI151" i="1" s="1"/>
  <c r="K223" i="1" s="1"/>
  <c r="W335" i="4"/>
  <c r="BT18" i="4"/>
  <c r="BP19" i="4"/>
  <c r="DP19" i="4"/>
  <c r="CN18" i="4"/>
  <c r="CG18" i="4"/>
  <c r="CF19" i="4" s="1"/>
  <c r="CS18" i="4"/>
  <c r="CT18" i="4" s="1"/>
  <c r="P19" i="4"/>
  <c r="CM127" i="4"/>
  <c r="BM127" i="4"/>
  <c r="AM127" i="4"/>
  <c r="DM127" i="4"/>
  <c r="M127" i="4"/>
  <c r="DM128" i="4"/>
  <c r="BM128" i="4"/>
  <c r="CM128" i="4"/>
  <c r="M128" i="4"/>
  <c r="AM128" i="4"/>
  <c r="CM129" i="4"/>
  <c r="BM129" i="4"/>
  <c r="AM129" i="4"/>
  <c r="M129" i="4"/>
  <c r="DM129" i="4"/>
  <c r="AM130" i="4"/>
  <c r="AM131" i="4"/>
  <c r="CM131" i="4"/>
  <c r="BM130" i="4"/>
  <c r="CM130" i="4"/>
  <c r="M130" i="4"/>
  <c r="DM130" i="4"/>
  <c r="DM131" i="4"/>
  <c r="CM132" i="4"/>
  <c r="AM132" i="4"/>
  <c r="M131" i="4"/>
  <c r="BM131" i="4"/>
  <c r="BM132" i="4"/>
  <c r="DM132" i="4"/>
  <c r="DM133" i="4"/>
  <c r="DM198" i="4" s="1"/>
  <c r="W307" i="4" s="1"/>
  <c r="AM133" i="4"/>
  <c r="AM198" i="4" s="1"/>
  <c r="W235" i="4" s="1"/>
  <c r="CM133" i="4"/>
  <c r="CM198" i="4" s="1"/>
  <c r="W284" i="4" s="1"/>
  <c r="M132" i="4"/>
  <c r="BM133" i="4"/>
  <c r="BM198" i="4" s="1"/>
  <c r="W259" i="4" s="1"/>
  <c r="M133" i="4"/>
  <c r="M198" i="4" s="1"/>
  <c r="W211" i="4" s="1"/>
  <c r="K352" i="4"/>
  <c r="O352" i="4"/>
  <c r="S352" i="4"/>
  <c r="W352" i="4"/>
  <c r="M352" i="4"/>
  <c r="N352" i="4"/>
  <c r="H352" i="4"/>
  <c r="L352" i="4"/>
  <c r="P352" i="4"/>
  <c r="T352" i="4"/>
  <c r="G352" i="4"/>
  <c r="I352" i="4"/>
  <c r="Q352" i="4"/>
  <c r="U352" i="4"/>
  <c r="J352" i="4"/>
  <c r="R352" i="4"/>
  <c r="V352" i="4"/>
  <c r="AO127" i="4"/>
  <c r="DO127" i="4"/>
  <c r="BO127" i="4"/>
  <c r="CO127" i="4"/>
  <c r="AO128" i="4"/>
  <c r="BO128" i="4"/>
  <c r="DO128" i="4"/>
  <c r="CO128" i="4"/>
  <c r="DO129" i="4"/>
  <c r="AO129" i="4"/>
  <c r="CO129" i="4"/>
  <c r="BO129" i="4"/>
  <c r="AO130" i="4"/>
  <c r="CO130" i="4"/>
  <c r="AO131" i="4"/>
  <c r="BO130" i="4"/>
  <c r="DO130" i="4"/>
  <c r="DO131" i="4"/>
  <c r="BO132" i="4"/>
  <c r="BO131" i="4"/>
  <c r="CO131" i="4"/>
  <c r="AO132" i="4"/>
  <c r="DO132" i="4"/>
  <c r="CO132" i="4"/>
  <c r="CO133" i="4"/>
  <c r="CO198" i="4" s="1"/>
  <c r="W286" i="4" s="1"/>
  <c r="AO133" i="4"/>
  <c r="AO198" i="4" s="1"/>
  <c r="W237" i="4" s="1"/>
  <c r="DO133" i="4"/>
  <c r="DO198" i="4" s="1"/>
  <c r="W309" i="4" s="1"/>
  <c r="BO133" i="4"/>
  <c r="BO198" i="4" s="1"/>
  <c r="W261" i="4" s="1"/>
  <c r="DG19" i="4"/>
  <c r="DF20" i="4" s="1"/>
  <c r="DN20" i="4" s="1"/>
  <c r="DS19" i="4"/>
  <c r="BG19" i="4"/>
  <c r="BF20" i="4" s="1"/>
  <c r="BN20" i="4" s="1"/>
  <c r="BS19" i="4"/>
  <c r="BT19" i="4" s="1"/>
  <c r="G19" i="4"/>
  <c r="F20" i="4" s="1"/>
  <c r="N20" i="4" s="1"/>
  <c r="S19" i="4"/>
  <c r="T19" i="4" s="1"/>
  <c r="AF16" i="4"/>
  <c r="AT15" i="4"/>
  <c r="AL22" i="4"/>
  <c r="DT19" i="4"/>
  <c r="BL20" i="4"/>
  <c r="CL20" i="4"/>
  <c r="L21" i="4"/>
  <c r="L182" i="4" s="1"/>
  <c r="G210" i="4" s="1"/>
  <c r="DL21" i="4"/>
  <c r="DL182" i="4" s="1"/>
  <c r="G306" i="4" s="1"/>
  <c r="C339" i="4"/>
  <c r="C276" i="1"/>
  <c r="DK137" i="9" l="1"/>
  <c r="DG138" i="9"/>
  <c r="DK138" i="9" s="1"/>
  <c r="DN137" i="9"/>
  <c r="DO137" i="9" s="1"/>
  <c r="DB137" i="9"/>
  <c r="DA138" i="9" s="1"/>
  <c r="DI137" i="9"/>
  <c r="CC138" i="9"/>
  <c r="CJ138" i="9"/>
  <c r="CO138" i="9"/>
  <c r="CP138" i="9" s="1"/>
  <c r="BP137" i="9"/>
  <c r="BQ137" i="9" s="1"/>
  <c r="BD137" i="9"/>
  <c r="BC138" i="9" s="1"/>
  <c r="BK137" i="9"/>
  <c r="AQ137" i="9"/>
  <c r="AR137" i="9" s="1"/>
  <c r="AE137" i="9"/>
  <c r="AD138" i="9" s="1"/>
  <c r="AL137" i="9"/>
  <c r="AJ138" i="9"/>
  <c r="AN138" i="9" s="1"/>
  <c r="AN137" i="9"/>
  <c r="U300" i="9"/>
  <c r="U328" i="9" s="1"/>
  <c r="U331" i="9"/>
  <c r="U302" i="9"/>
  <c r="U329" i="9" s="1"/>
  <c r="K137" i="9"/>
  <c r="O136" i="9"/>
  <c r="R121" i="9"/>
  <c r="S121" i="9" s="1"/>
  <c r="E122" i="9"/>
  <c r="F122" i="9" s="1"/>
  <c r="M121" i="9"/>
  <c r="AJ163" i="9"/>
  <c r="K290" i="7"/>
  <c r="K266" i="7"/>
  <c r="K419" i="7" s="1"/>
  <c r="K251" i="7"/>
  <c r="DA152" i="7"/>
  <c r="L265" i="7" s="1"/>
  <c r="GW152" i="7"/>
  <c r="L358" i="7" s="1"/>
  <c r="FX152" i="7"/>
  <c r="L335" i="7" s="1"/>
  <c r="EY152" i="7"/>
  <c r="L312" i="7" s="1"/>
  <c r="DZ152" i="7"/>
  <c r="L289" i="7" s="1"/>
  <c r="HJ85" i="7"/>
  <c r="HK85" i="7" s="1"/>
  <c r="GX85" i="7"/>
  <c r="GW86" i="7" s="1"/>
  <c r="HE85" i="7"/>
  <c r="HG85" i="7"/>
  <c r="HC86" i="7"/>
  <c r="FY85" i="7"/>
  <c r="FX86" i="7" s="1"/>
  <c r="GF85" i="7"/>
  <c r="GK85" i="7"/>
  <c r="GL85" i="7" s="1"/>
  <c r="GH84" i="7"/>
  <c r="GD85" i="7"/>
  <c r="FL86" i="7"/>
  <c r="FM86" i="7" s="1"/>
  <c r="FG86" i="7"/>
  <c r="EZ86" i="7"/>
  <c r="EY87" i="7" s="1"/>
  <c r="FE86" i="7"/>
  <c r="FI85" i="7"/>
  <c r="EF87" i="7"/>
  <c r="EM86" i="7"/>
  <c r="EN86" i="7" s="1"/>
  <c r="EA86" i="7"/>
  <c r="DZ87" i="7" s="1"/>
  <c r="EH86" i="7"/>
  <c r="DG86" i="7"/>
  <c r="DK85" i="7"/>
  <c r="DN86" i="7"/>
  <c r="DO86" i="7" s="1"/>
  <c r="DB86" i="7"/>
  <c r="DA87" i="7" s="1"/>
  <c r="DA156" i="7" s="1"/>
  <c r="DI86" i="7"/>
  <c r="R72" i="8"/>
  <c r="S72" i="8" s="1"/>
  <c r="M72" i="8"/>
  <c r="F72" i="8"/>
  <c r="E73" i="8" s="1"/>
  <c r="K81" i="8"/>
  <c r="O80" i="8"/>
  <c r="DG81" i="8"/>
  <c r="DK80" i="8"/>
  <c r="N298" i="8"/>
  <c r="N326" i="8" s="1"/>
  <c r="N305" i="8"/>
  <c r="N329" i="8" s="1"/>
  <c r="N300" i="8"/>
  <c r="N327" i="8" s="1"/>
  <c r="DN81" i="8"/>
  <c r="DO81" i="8" s="1"/>
  <c r="DB81" i="8"/>
  <c r="DA82" i="8" s="1"/>
  <c r="DI81" i="8"/>
  <c r="AQ73" i="8"/>
  <c r="AR73" i="8" s="1"/>
  <c r="AL73" i="8"/>
  <c r="AE73" i="8"/>
  <c r="AD74" i="8" s="1"/>
  <c r="BM81" i="8"/>
  <c r="BI82" i="8"/>
  <c r="AJ155" i="8"/>
  <c r="AJ83" i="8"/>
  <c r="AN82" i="8"/>
  <c r="CO73" i="8"/>
  <c r="CP73" i="8" s="1"/>
  <c r="CJ73" i="8"/>
  <c r="CC73" i="8"/>
  <c r="CB74" i="8" s="1"/>
  <c r="CL73" i="8"/>
  <c r="DG155" i="8"/>
  <c r="O270" i="8" s="1"/>
  <c r="CH155" i="8"/>
  <c r="O247" i="8" s="1"/>
  <c r="CH83" i="8"/>
  <c r="BP72" i="8"/>
  <c r="BQ72" i="8" s="1"/>
  <c r="BD72" i="8"/>
  <c r="BC73" i="8" s="1"/>
  <c r="BK72" i="8"/>
  <c r="K399" i="7"/>
  <c r="BP53" i="1"/>
  <c r="L247" i="7"/>
  <c r="K242" i="7"/>
  <c r="K255" i="7"/>
  <c r="K218" i="7"/>
  <c r="AQ60" i="7"/>
  <c r="AR60" i="7" s="1"/>
  <c r="AE60" i="7"/>
  <c r="AD61" i="7" s="1"/>
  <c r="AL60" i="7"/>
  <c r="F57" i="7"/>
  <c r="E58" i="7" s="1"/>
  <c r="R57" i="7"/>
  <c r="M57" i="7"/>
  <c r="AJ152" i="7"/>
  <c r="AJ62" i="7"/>
  <c r="AN62" i="7" s="1"/>
  <c r="BI64" i="7"/>
  <c r="BM64" i="7" s="1"/>
  <c r="K63" i="7"/>
  <c r="O63" i="7" s="1"/>
  <c r="CB152" i="7"/>
  <c r="CO55" i="7"/>
  <c r="CC55" i="7"/>
  <c r="CB56" i="7" s="1"/>
  <c r="CJ55" i="7"/>
  <c r="CL55" i="7"/>
  <c r="CH63" i="7"/>
  <c r="BC152" i="7"/>
  <c r="BP152" i="7" s="1"/>
  <c r="BP55" i="7"/>
  <c r="BD55" i="7"/>
  <c r="BC56" i="7" s="1"/>
  <c r="BK55" i="7"/>
  <c r="L175" i="7"/>
  <c r="L179" i="7"/>
  <c r="BD53" i="1"/>
  <c r="BC54" i="1" s="1"/>
  <c r="BK54" i="1" s="1"/>
  <c r="AR59" i="1"/>
  <c r="AE60" i="1"/>
  <c r="AD61" i="1" s="1"/>
  <c r="AL60" i="1"/>
  <c r="AJ61" i="1"/>
  <c r="AJ152" i="1" s="1"/>
  <c r="AN152" i="1" s="1"/>
  <c r="BQ53" i="1"/>
  <c r="BP54" i="1"/>
  <c r="BI55" i="1"/>
  <c r="BP20" i="4"/>
  <c r="DP20" i="4"/>
  <c r="P20" i="4"/>
  <c r="AS16" i="4"/>
  <c r="AN16" i="4"/>
  <c r="AP16" i="4"/>
  <c r="CN19" i="4"/>
  <c r="CG19" i="4"/>
  <c r="CF20" i="4" s="1"/>
  <c r="CS19" i="4"/>
  <c r="CT19" i="4" s="1"/>
  <c r="CP19" i="4"/>
  <c r="DG20" i="4"/>
  <c r="DF21" i="4" s="1"/>
  <c r="DS20" i="4"/>
  <c r="DT20" i="4" s="1"/>
  <c r="BG20" i="4"/>
  <c r="BF21" i="4" s="1"/>
  <c r="BF182" i="4" s="1"/>
  <c r="BS20" i="4"/>
  <c r="BT20" i="4" s="1"/>
  <c r="G20" i="4"/>
  <c r="F21" i="4" s="1"/>
  <c r="F182" i="4" s="1"/>
  <c r="S20" i="4"/>
  <c r="T20" i="4" s="1"/>
  <c r="AG16" i="4"/>
  <c r="L22" i="4"/>
  <c r="C340" i="4"/>
  <c r="DL22" i="4"/>
  <c r="CL21" i="4"/>
  <c r="CL182" i="4" s="1"/>
  <c r="G283" i="4" s="1"/>
  <c r="BL21" i="4"/>
  <c r="BL182" i="4" s="1"/>
  <c r="G258" i="4" s="1"/>
  <c r="AL23" i="4"/>
  <c r="C277" i="1"/>
  <c r="DN138" i="9" l="1"/>
  <c r="DO138" i="9" s="1"/>
  <c r="DI138" i="9"/>
  <c r="DB138" i="9"/>
  <c r="BP138" i="9"/>
  <c r="BQ138" i="9" s="1"/>
  <c r="BD138" i="9"/>
  <c r="BK138" i="9"/>
  <c r="AQ138" i="9"/>
  <c r="AR138" i="9" s="1"/>
  <c r="AE138" i="9"/>
  <c r="AL138" i="9"/>
  <c r="DO162" i="9"/>
  <c r="V279" i="9" s="1"/>
  <c r="BI163" i="9"/>
  <c r="W223" i="9" s="1"/>
  <c r="BM163" i="9"/>
  <c r="W227" i="9" s="1"/>
  <c r="O137" i="9"/>
  <c r="K138" i="9"/>
  <c r="W198" i="9"/>
  <c r="R122" i="9"/>
  <c r="S122" i="9" s="1"/>
  <c r="M122" i="9"/>
  <c r="E123" i="9"/>
  <c r="F123" i="9" s="1"/>
  <c r="CH163" i="9"/>
  <c r="W247" i="9" s="1"/>
  <c r="CL163" i="9"/>
  <c r="W251" i="9" s="1"/>
  <c r="DB162" i="9"/>
  <c r="K385" i="7"/>
  <c r="DN156" i="7"/>
  <c r="P278" i="7" s="1"/>
  <c r="P265" i="7"/>
  <c r="DK86" i="7"/>
  <c r="GX86" i="7"/>
  <c r="GW87" i="7" s="1"/>
  <c r="HE86" i="7"/>
  <c r="HJ86" i="7"/>
  <c r="HK86" i="7" s="1"/>
  <c r="HC87" i="7"/>
  <c r="GH85" i="7"/>
  <c r="GD86" i="7"/>
  <c r="GK86" i="7"/>
  <c r="GL86" i="7" s="1"/>
  <c r="FY86" i="7"/>
  <c r="FX87" i="7" s="1"/>
  <c r="GF86" i="7"/>
  <c r="FL87" i="7"/>
  <c r="FM87" i="7" s="1"/>
  <c r="EZ87" i="7"/>
  <c r="EY88" i="7" s="1"/>
  <c r="FG87" i="7"/>
  <c r="FE87" i="7"/>
  <c r="EF88" i="7"/>
  <c r="EM87" i="7"/>
  <c r="EN87" i="7" s="1"/>
  <c r="EA87" i="7"/>
  <c r="DZ88" i="7" s="1"/>
  <c r="DZ156" i="7" s="1"/>
  <c r="EH87" i="7"/>
  <c r="DG87" i="7"/>
  <c r="DK87" i="7" s="1"/>
  <c r="DN87" i="7"/>
  <c r="DO87" i="7" s="1"/>
  <c r="DI87" i="7"/>
  <c r="DB87" i="7"/>
  <c r="DA88" i="7" s="1"/>
  <c r="BP73" i="8"/>
  <c r="BQ73" i="8" s="1"/>
  <c r="BD73" i="8"/>
  <c r="BC74" i="8" s="1"/>
  <c r="BK73" i="8"/>
  <c r="O198" i="8"/>
  <c r="R73" i="8"/>
  <c r="S73" i="8" s="1"/>
  <c r="F73" i="8"/>
  <c r="E74" i="8" s="1"/>
  <c r="M73" i="8"/>
  <c r="BI155" i="8"/>
  <c r="O223" i="8" s="1"/>
  <c r="BI83" i="8"/>
  <c r="BM82" i="8"/>
  <c r="BM155" i="8" s="1"/>
  <c r="O227" i="8" s="1"/>
  <c r="DG82" i="8"/>
  <c r="DK81" i="8"/>
  <c r="CH84" i="8"/>
  <c r="CO74" i="8"/>
  <c r="CP74" i="8" s="1"/>
  <c r="CJ74" i="8"/>
  <c r="CC74" i="8"/>
  <c r="CB75" i="8" s="1"/>
  <c r="CL74" i="8"/>
  <c r="AJ84" i="8"/>
  <c r="AN83" i="8"/>
  <c r="AQ74" i="8"/>
  <c r="AR74" i="8" s="1"/>
  <c r="AE74" i="8"/>
  <c r="AD75" i="8" s="1"/>
  <c r="AL74" i="8"/>
  <c r="DB82" i="8"/>
  <c r="DA83" i="8" s="1"/>
  <c r="DN82" i="8"/>
  <c r="DO82" i="8" s="1"/>
  <c r="DI82" i="8"/>
  <c r="K82" i="8"/>
  <c r="O81" i="8"/>
  <c r="L198" i="7"/>
  <c r="L390" i="7" s="1"/>
  <c r="AN152" i="7"/>
  <c r="L202" i="7" s="1"/>
  <c r="K423" i="7"/>
  <c r="BD54" i="1"/>
  <c r="BD151" i="1" s="1"/>
  <c r="K218" i="1" s="1"/>
  <c r="L241" i="7"/>
  <c r="L217" i="7"/>
  <c r="AQ61" i="7"/>
  <c r="AR61" i="7" s="1"/>
  <c r="AL61" i="7"/>
  <c r="AE61" i="7"/>
  <c r="F58" i="7"/>
  <c r="E59" i="7" s="1"/>
  <c r="R58" i="7"/>
  <c r="M58" i="7"/>
  <c r="S57" i="7"/>
  <c r="L198" i="1"/>
  <c r="BP56" i="7"/>
  <c r="BD56" i="7"/>
  <c r="BC57" i="7" s="1"/>
  <c r="BK56" i="7"/>
  <c r="CH64" i="7"/>
  <c r="CO56" i="7"/>
  <c r="CC56" i="7"/>
  <c r="CB57" i="7" s="1"/>
  <c r="CJ56" i="7"/>
  <c r="CL56" i="7"/>
  <c r="AJ63" i="7"/>
  <c r="AN63" i="7" s="1"/>
  <c r="K64" i="7"/>
  <c r="O64" i="7" s="1"/>
  <c r="BQ55" i="7"/>
  <c r="CP55" i="7"/>
  <c r="BI65" i="7"/>
  <c r="BM65" i="7" s="1"/>
  <c r="BM151" i="1"/>
  <c r="BQ54" i="1"/>
  <c r="BQ151" i="1" s="1"/>
  <c r="AJ62" i="1"/>
  <c r="AE61" i="1"/>
  <c r="AD62" i="1" s="1"/>
  <c r="AL61" i="1"/>
  <c r="AQ61" i="1"/>
  <c r="AQ152" i="1" s="1"/>
  <c r="L205" i="1" s="1"/>
  <c r="BC55" i="1"/>
  <c r="BC152" i="1" s="1"/>
  <c r="L217" i="1" s="1"/>
  <c r="BI56" i="1"/>
  <c r="N21" i="4"/>
  <c r="G204" i="4"/>
  <c r="DN21" i="4"/>
  <c r="DF182" i="4"/>
  <c r="G300" i="4" s="1"/>
  <c r="BN21" i="4"/>
  <c r="G252" i="4"/>
  <c r="BP21" i="4"/>
  <c r="BP182" i="4" s="1"/>
  <c r="G262" i="4" s="1"/>
  <c r="CN20" i="4"/>
  <c r="CS20" i="4"/>
  <c r="CT20" i="4" s="1"/>
  <c r="CG20" i="4"/>
  <c r="CF21" i="4" s="1"/>
  <c r="CF182" i="4" s="1"/>
  <c r="G277" i="4" s="1"/>
  <c r="DP21" i="4"/>
  <c r="DP182" i="4" s="1"/>
  <c r="G310" i="4" s="1"/>
  <c r="CP20" i="4"/>
  <c r="P21" i="4"/>
  <c r="P182" i="4" s="1"/>
  <c r="G214" i="4" s="1"/>
  <c r="DS21" i="4"/>
  <c r="BS21" i="4"/>
  <c r="S21" i="4"/>
  <c r="AF17" i="4"/>
  <c r="AT16" i="4"/>
  <c r="CL22" i="4"/>
  <c r="DL23" i="4"/>
  <c r="C341" i="4"/>
  <c r="AL24" i="4"/>
  <c r="BG21" i="4"/>
  <c r="BG182" i="4" s="1"/>
  <c r="G253" i="4" s="1"/>
  <c r="DG21" i="4"/>
  <c r="DG182" i="4" s="1"/>
  <c r="G301" i="4" s="1"/>
  <c r="BL22" i="4"/>
  <c r="L23" i="4"/>
  <c r="G21" i="4"/>
  <c r="G182" i="4" s="1"/>
  <c r="G205" i="4" s="1"/>
  <c r="C278" i="1"/>
  <c r="DA163" i="9" l="1"/>
  <c r="R123" i="9"/>
  <c r="S123" i="9" s="1"/>
  <c r="M123" i="9"/>
  <c r="E124" i="9"/>
  <c r="F124" i="9" s="1"/>
  <c r="DG163" i="9"/>
  <c r="W271" i="9" s="1"/>
  <c r="DK163" i="9"/>
  <c r="W275" i="9" s="1"/>
  <c r="V266" i="9"/>
  <c r="K163" i="9"/>
  <c r="O138" i="9"/>
  <c r="EM156" i="7"/>
  <c r="P289" i="7"/>
  <c r="L384" i="7"/>
  <c r="L392" i="7" s="1"/>
  <c r="L420" i="7" s="1"/>
  <c r="EJ88" i="7"/>
  <c r="EJ87" i="7"/>
  <c r="HC88" i="7"/>
  <c r="HJ87" i="7"/>
  <c r="HK87" i="7" s="1"/>
  <c r="GX87" i="7"/>
  <c r="GW88" i="7" s="1"/>
  <c r="HE87" i="7"/>
  <c r="GD87" i="7"/>
  <c r="GK87" i="7"/>
  <c r="GL87" i="7" s="1"/>
  <c r="FY87" i="7"/>
  <c r="FX88" i="7" s="1"/>
  <c r="GF87" i="7"/>
  <c r="FL88" i="7"/>
  <c r="FM88" i="7" s="1"/>
  <c r="EZ88" i="7"/>
  <c r="EY89" i="7" s="1"/>
  <c r="EY156" i="7" s="1"/>
  <c r="FG88" i="7"/>
  <c r="FE88" i="7"/>
  <c r="FI88" i="7" s="1"/>
  <c r="EF89" i="7"/>
  <c r="EM88" i="7"/>
  <c r="EN88" i="7" s="1"/>
  <c r="EA88" i="7"/>
  <c r="DZ89" i="7" s="1"/>
  <c r="EH88" i="7"/>
  <c r="DG88" i="7"/>
  <c r="DK88" i="7" s="1"/>
  <c r="DN88" i="7"/>
  <c r="DO88" i="7" s="1"/>
  <c r="DB88" i="7"/>
  <c r="DA89" i="7" s="1"/>
  <c r="DI88" i="7"/>
  <c r="CP75" i="8"/>
  <c r="AQ75" i="8"/>
  <c r="AR75" i="8" s="1"/>
  <c r="AL75" i="8"/>
  <c r="AE75" i="8"/>
  <c r="F74" i="8"/>
  <c r="E75" i="8" s="1"/>
  <c r="R74" i="8"/>
  <c r="S74" i="8" s="1"/>
  <c r="M74" i="8"/>
  <c r="CO75" i="8"/>
  <c r="CJ75" i="8"/>
  <c r="CC75" i="8"/>
  <c r="CL75" i="8"/>
  <c r="CH85" i="8"/>
  <c r="BI84" i="8"/>
  <c r="BM83" i="8"/>
  <c r="BP74" i="8"/>
  <c r="BQ74" i="8" s="1"/>
  <c r="BK74" i="8"/>
  <c r="BD74" i="8"/>
  <c r="BC75" i="8" s="1"/>
  <c r="DN83" i="8"/>
  <c r="DO83" i="8" s="1"/>
  <c r="DB83" i="8"/>
  <c r="DA84" i="8" s="1"/>
  <c r="DI83" i="8"/>
  <c r="K155" i="8"/>
  <c r="K83" i="8"/>
  <c r="O82" i="8"/>
  <c r="AN84" i="8"/>
  <c r="AJ85" i="8"/>
  <c r="DG83" i="8"/>
  <c r="DK82" i="8"/>
  <c r="L409" i="7"/>
  <c r="L435" i="7" s="1"/>
  <c r="J8" i="5" s="1"/>
  <c r="J19" i="5" s="1"/>
  <c r="AD153" i="1"/>
  <c r="M192" i="1" s="1"/>
  <c r="AE152" i="1"/>
  <c r="L193" i="1" s="1"/>
  <c r="BQ56" i="7"/>
  <c r="AR152" i="7"/>
  <c r="L206" i="7" s="1"/>
  <c r="AD62" i="7"/>
  <c r="AE152" i="7"/>
  <c r="L193" i="7" s="1"/>
  <c r="S58" i="7"/>
  <c r="F59" i="7"/>
  <c r="E60" i="7" s="1"/>
  <c r="R59" i="7"/>
  <c r="M59" i="7"/>
  <c r="L426" i="7"/>
  <c r="J34" i="5" s="1"/>
  <c r="AJ64" i="7"/>
  <c r="AN64" i="7" s="1"/>
  <c r="CC57" i="7"/>
  <c r="CB58" i="7" s="1"/>
  <c r="CO57" i="7"/>
  <c r="CJ57" i="7"/>
  <c r="CL57" i="7"/>
  <c r="BP57" i="7"/>
  <c r="BK57" i="7"/>
  <c r="BD57" i="7"/>
  <c r="BC58" i="7" s="1"/>
  <c r="BI66" i="7"/>
  <c r="BM66" i="7" s="1"/>
  <c r="CP56" i="7"/>
  <c r="K65" i="7"/>
  <c r="O65" i="7" s="1"/>
  <c r="CH65" i="7"/>
  <c r="AR61" i="1"/>
  <c r="AR152" i="1" s="1"/>
  <c r="L206" i="1" s="1"/>
  <c r="BD55" i="1"/>
  <c r="BC56" i="1" s="1"/>
  <c r="BK56" i="1" s="1"/>
  <c r="BK55" i="1"/>
  <c r="AE62" i="1"/>
  <c r="AD63" i="1" s="1"/>
  <c r="AL62" i="1"/>
  <c r="AQ62" i="1"/>
  <c r="AJ63" i="1"/>
  <c r="BP55" i="1"/>
  <c r="BQ55" i="1" s="1"/>
  <c r="BI57" i="1"/>
  <c r="CP21" i="4"/>
  <c r="CP182" i="4" s="1"/>
  <c r="G287" i="4" s="1"/>
  <c r="G350" i="4"/>
  <c r="AS17" i="4"/>
  <c r="AN17" i="4"/>
  <c r="AP17" i="4"/>
  <c r="CN21" i="4"/>
  <c r="CG21" i="4"/>
  <c r="CG182" i="4" s="1"/>
  <c r="G278" i="4" s="1"/>
  <c r="CS21" i="4"/>
  <c r="CT21" i="4" s="1"/>
  <c r="CT182" i="4" s="1"/>
  <c r="G291" i="4" s="1"/>
  <c r="AG17" i="4"/>
  <c r="L24" i="4"/>
  <c r="F22" i="4"/>
  <c r="T21" i="4"/>
  <c r="T182" i="4" s="1"/>
  <c r="G218" i="4" s="1"/>
  <c r="BL23" i="4"/>
  <c r="C342" i="4"/>
  <c r="CL23" i="4"/>
  <c r="DT21" i="4"/>
  <c r="DT182" i="4" s="1"/>
  <c r="G314" i="4" s="1"/>
  <c r="DF22" i="4"/>
  <c r="BF22" i="4"/>
  <c r="BN22" i="4" s="1"/>
  <c r="BT21" i="4"/>
  <c r="BT182" i="4" s="1"/>
  <c r="G266" i="4" s="1"/>
  <c r="AL25" i="4"/>
  <c r="DL24" i="4"/>
  <c r="C279" i="1"/>
  <c r="AR161" i="9" l="1"/>
  <c r="U206" i="9" s="1"/>
  <c r="CP161" i="9"/>
  <c r="U255" i="9" s="1"/>
  <c r="W175" i="9"/>
  <c r="W298" i="9" s="1"/>
  <c r="R124" i="9"/>
  <c r="S124" i="9" s="1"/>
  <c r="M124" i="9"/>
  <c r="E125" i="9"/>
  <c r="F125" i="9" s="1"/>
  <c r="CC161" i="9"/>
  <c r="U242" i="9" s="1"/>
  <c r="W265" i="9"/>
  <c r="DN163" i="9"/>
  <c r="W278" i="9" s="1"/>
  <c r="AE161" i="9"/>
  <c r="U193" i="9" s="1"/>
  <c r="P302" i="7"/>
  <c r="P371" i="7"/>
  <c r="FL156" i="7"/>
  <c r="P325" i="7" s="1"/>
  <c r="P312" i="7"/>
  <c r="L394" i="7"/>
  <c r="L421" i="7" s="1"/>
  <c r="CP57" i="7"/>
  <c r="EF156" i="7"/>
  <c r="P295" i="7" s="1"/>
  <c r="EJ89" i="7"/>
  <c r="EJ156" i="7" s="1"/>
  <c r="P299" i="7" s="1"/>
  <c r="HC89" i="7"/>
  <c r="HC156" i="7" s="1"/>
  <c r="P364" i="7" s="1"/>
  <c r="HJ88" i="7"/>
  <c r="HK88" i="7" s="1"/>
  <c r="HE88" i="7"/>
  <c r="GX88" i="7"/>
  <c r="GW89" i="7" s="1"/>
  <c r="GW156" i="7" s="1"/>
  <c r="GD88" i="7"/>
  <c r="GK88" i="7"/>
  <c r="GL88" i="7" s="1"/>
  <c r="FY88" i="7"/>
  <c r="FX89" i="7" s="1"/>
  <c r="FX156" i="7" s="1"/>
  <c r="P335" i="7" s="1"/>
  <c r="GF88" i="7"/>
  <c r="FL89" i="7"/>
  <c r="FM89" i="7" s="1"/>
  <c r="EZ89" i="7"/>
  <c r="FG89" i="7"/>
  <c r="FE89" i="7"/>
  <c r="EF90" i="7"/>
  <c r="EJ90" i="7" s="1"/>
  <c r="EH89" i="7"/>
  <c r="EM89" i="7"/>
  <c r="EN89" i="7" s="1"/>
  <c r="EA89" i="7"/>
  <c r="DN89" i="7"/>
  <c r="DO89" i="7" s="1"/>
  <c r="DI89" i="7"/>
  <c r="DB89" i="7"/>
  <c r="DG89" i="7"/>
  <c r="AR154" i="8"/>
  <c r="N206" i="8" s="1"/>
  <c r="DO84" i="8"/>
  <c r="DN84" i="8"/>
  <c r="DB84" i="8"/>
  <c r="DA85" i="8" s="1"/>
  <c r="DI84" i="8"/>
  <c r="AE154" i="8"/>
  <c r="N193" i="8" s="1"/>
  <c r="AD76" i="8"/>
  <c r="DK83" i="8"/>
  <c r="DG84" i="8"/>
  <c r="O83" i="8"/>
  <c r="K84" i="8"/>
  <c r="CL154" i="8"/>
  <c r="N251" i="8" s="1"/>
  <c r="DK154" i="8"/>
  <c r="N274" i="8" s="1"/>
  <c r="CP154" i="8"/>
  <c r="N255" i="8" s="1"/>
  <c r="DO154" i="8"/>
  <c r="N278" i="8" s="1"/>
  <c r="AN85" i="8"/>
  <c r="AJ86" i="8"/>
  <c r="O175" i="8"/>
  <c r="O296" i="8" s="1"/>
  <c r="BP75" i="8"/>
  <c r="BK75" i="8"/>
  <c r="BD75" i="8"/>
  <c r="BM84" i="8"/>
  <c r="BI85" i="8"/>
  <c r="DB154" i="8"/>
  <c r="N265" i="8" s="1"/>
  <c r="CC154" i="8"/>
  <c r="N242" i="8" s="1"/>
  <c r="CB76" i="8"/>
  <c r="CH86" i="8"/>
  <c r="R75" i="8"/>
  <c r="S75" i="8" s="1"/>
  <c r="F75" i="8"/>
  <c r="M75" i="8"/>
  <c r="BQ75" i="8"/>
  <c r="BQ57" i="7"/>
  <c r="AE62" i="7"/>
  <c r="AD63" i="7" s="1"/>
  <c r="AL62" i="7"/>
  <c r="AD153" i="7"/>
  <c r="AQ153" i="7" s="1"/>
  <c r="AQ62" i="7"/>
  <c r="AR62" i="7" s="1"/>
  <c r="F60" i="7"/>
  <c r="E61" i="7" s="1"/>
  <c r="R60" i="7"/>
  <c r="M60" i="7"/>
  <c r="S59" i="7"/>
  <c r="BP58" i="7"/>
  <c r="BD58" i="7"/>
  <c r="BC59" i="7" s="1"/>
  <c r="BK58" i="7"/>
  <c r="K66" i="7"/>
  <c r="O66" i="7" s="1"/>
  <c r="BI67" i="7"/>
  <c r="BM67" i="7" s="1"/>
  <c r="AJ65" i="7"/>
  <c r="AN65" i="7" s="1"/>
  <c r="CH66" i="7"/>
  <c r="CO58" i="7"/>
  <c r="CC58" i="7"/>
  <c r="CB59" i="7" s="1"/>
  <c r="CJ58" i="7"/>
  <c r="CL58" i="7"/>
  <c r="AR62" i="1"/>
  <c r="BP56" i="1"/>
  <c r="BQ56" i="1" s="1"/>
  <c r="BD56" i="1"/>
  <c r="BC57" i="1" s="1"/>
  <c r="BP57" i="1" s="1"/>
  <c r="AJ64" i="1"/>
  <c r="AQ63" i="1"/>
  <c r="AE63" i="1"/>
  <c r="AD64" i="1" s="1"/>
  <c r="AL63" i="1"/>
  <c r="BI58" i="1"/>
  <c r="F342" i="4"/>
  <c r="F363" i="4" s="1"/>
  <c r="S342" i="4"/>
  <c r="S363" i="4" s="1"/>
  <c r="I342" i="4"/>
  <c r="K342" i="4"/>
  <c r="L342" i="4"/>
  <c r="J342" i="4"/>
  <c r="M342" i="4"/>
  <c r="N342" i="4"/>
  <c r="V342" i="4"/>
  <c r="O342" i="4"/>
  <c r="W342" i="4"/>
  <c r="T342" i="4"/>
  <c r="R342" i="4"/>
  <c r="U342" i="4"/>
  <c r="Q342" i="4"/>
  <c r="P342" i="4"/>
  <c r="G342" i="4"/>
  <c r="H342" i="4"/>
  <c r="G332" i="4"/>
  <c r="BP22" i="4"/>
  <c r="DN22" i="4"/>
  <c r="DP22" i="4"/>
  <c r="N22" i="4"/>
  <c r="P22" i="4"/>
  <c r="CF22" i="4"/>
  <c r="DG22" i="4"/>
  <c r="DF23" i="4" s="1"/>
  <c r="DS22" i="4"/>
  <c r="DT22" i="4" s="1"/>
  <c r="BG22" i="4"/>
  <c r="BF23" i="4" s="1"/>
  <c r="BN23" i="4" s="1"/>
  <c r="BS22" i="4"/>
  <c r="BT22" i="4" s="1"/>
  <c r="G22" i="4"/>
  <c r="F23" i="4" s="1"/>
  <c r="S22" i="4"/>
  <c r="T22" i="4" s="1"/>
  <c r="AF18" i="4"/>
  <c r="AT17" i="4"/>
  <c r="CL24" i="4"/>
  <c r="DL25" i="4"/>
  <c r="BL24" i="4"/>
  <c r="C343" i="4"/>
  <c r="AL26" i="4"/>
  <c r="L25" i="4"/>
  <c r="C280" i="1"/>
  <c r="S161" i="9" l="1"/>
  <c r="U183" i="9" s="1"/>
  <c r="BQ161" i="9"/>
  <c r="U231" i="9" s="1"/>
  <c r="BD161" i="9"/>
  <c r="U218" i="9" s="1"/>
  <c r="F161" i="9"/>
  <c r="U170" i="9" s="1"/>
  <c r="CB162" i="9"/>
  <c r="AD162" i="9"/>
  <c r="W334" i="9"/>
  <c r="HJ156" i="7"/>
  <c r="P358" i="7"/>
  <c r="DK89" i="7"/>
  <c r="DK156" i="7" s="1"/>
  <c r="P275" i="7" s="1"/>
  <c r="DG156" i="7"/>
  <c r="P271" i="7" s="1"/>
  <c r="DZ90" i="7"/>
  <c r="EA90" i="7" s="1"/>
  <c r="DZ91" i="7" s="1"/>
  <c r="DZ157" i="7" s="1"/>
  <c r="EM157" i="7" s="1"/>
  <c r="EA156" i="7"/>
  <c r="FE156" i="7"/>
  <c r="P318" i="7" s="1"/>
  <c r="FI89" i="7"/>
  <c r="FI156" i="7" s="1"/>
  <c r="P322" i="7" s="1"/>
  <c r="CP58" i="7"/>
  <c r="DA90" i="7"/>
  <c r="DI90" i="7" s="1"/>
  <c r="DB156" i="7"/>
  <c r="FM156" i="7"/>
  <c r="P326" i="7" s="1"/>
  <c r="DO156" i="7"/>
  <c r="P279" i="7" s="1"/>
  <c r="EN156" i="7"/>
  <c r="P303" i="7" s="1"/>
  <c r="EY90" i="7"/>
  <c r="EZ90" i="7" s="1"/>
  <c r="EY91" i="7" s="1"/>
  <c r="EY157" i="7" s="1"/>
  <c r="FL157" i="7" s="1"/>
  <c r="EZ156" i="7"/>
  <c r="P313" i="7" s="1"/>
  <c r="HJ89" i="7"/>
  <c r="HK89" i="7" s="1"/>
  <c r="GX89" i="7"/>
  <c r="HE89" i="7"/>
  <c r="HC90" i="7"/>
  <c r="GD89" i="7"/>
  <c r="GD156" i="7" s="1"/>
  <c r="P341" i="7" s="1"/>
  <c r="GF89" i="7"/>
  <c r="GK89" i="7"/>
  <c r="GL89" i="7" s="1"/>
  <c r="FY89" i="7"/>
  <c r="FE90" i="7"/>
  <c r="EF91" i="7"/>
  <c r="EJ91" i="7" s="1"/>
  <c r="DG90" i="7"/>
  <c r="DK90" i="7" s="1"/>
  <c r="S154" i="8"/>
  <c r="N183" i="8" s="1"/>
  <c r="BQ154" i="8"/>
  <c r="N231" i="8" s="1"/>
  <c r="AN86" i="8"/>
  <c r="AJ87" i="8"/>
  <c r="BD154" i="8"/>
  <c r="N218" i="8" s="1"/>
  <c r="BC76" i="8"/>
  <c r="CH87" i="8"/>
  <c r="BM85" i="8"/>
  <c r="BI86" i="8"/>
  <c r="DG85" i="8"/>
  <c r="DK84" i="8"/>
  <c r="F154" i="8"/>
  <c r="N170" i="8" s="1"/>
  <c r="E76" i="8"/>
  <c r="CB155" i="8"/>
  <c r="O241" i="8" s="1"/>
  <c r="DA155" i="8"/>
  <c r="O264" i="8" s="1"/>
  <c r="CO76" i="8"/>
  <c r="CC76" i="8"/>
  <c r="CB77" i="8" s="1"/>
  <c r="CJ76" i="8"/>
  <c r="CL76" i="8"/>
  <c r="DN85" i="8"/>
  <c r="DO85" i="8" s="1"/>
  <c r="DI85" i="8"/>
  <c r="DB85" i="8"/>
  <c r="DA86" i="8" s="1"/>
  <c r="O332" i="8"/>
  <c r="K85" i="8"/>
  <c r="O84" i="8"/>
  <c r="AD155" i="8"/>
  <c r="AQ76" i="8"/>
  <c r="AR76" i="8" s="1"/>
  <c r="AE76" i="8"/>
  <c r="AD77" i="8" s="1"/>
  <c r="AL76" i="8"/>
  <c r="BQ58" i="7"/>
  <c r="M192" i="7"/>
  <c r="AE63" i="7"/>
  <c r="AD64" i="7" s="1"/>
  <c r="AQ63" i="7"/>
  <c r="AR63" i="7" s="1"/>
  <c r="AL63" i="7"/>
  <c r="S60" i="7"/>
  <c r="F61" i="7"/>
  <c r="R61" i="7"/>
  <c r="M61" i="7"/>
  <c r="BI68" i="7"/>
  <c r="BM68" i="7" s="1"/>
  <c r="BP59" i="7"/>
  <c r="BK59" i="7"/>
  <c r="BD59" i="7"/>
  <c r="BC60" i="7" s="1"/>
  <c r="AJ66" i="7"/>
  <c r="AN66" i="7" s="1"/>
  <c r="CH67" i="7"/>
  <c r="CC59" i="7"/>
  <c r="CB60" i="7" s="1"/>
  <c r="CJ59" i="7"/>
  <c r="CO59" i="7"/>
  <c r="CL59" i="7"/>
  <c r="K67" i="7"/>
  <c r="O67" i="7" s="1"/>
  <c r="AR63" i="1"/>
  <c r="BQ57" i="1"/>
  <c r="BD57" i="1"/>
  <c r="BC58" i="1" s="1"/>
  <c r="BD58" i="1" s="1"/>
  <c r="BC59" i="1" s="1"/>
  <c r="BK57" i="1"/>
  <c r="AJ65" i="1"/>
  <c r="AE64" i="1"/>
  <c r="AD65" i="1" s="1"/>
  <c r="AL64" i="1"/>
  <c r="AQ64" i="1"/>
  <c r="C281" i="1"/>
  <c r="C282" i="1" s="1"/>
  <c r="BI59" i="1"/>
  <c r="BI60" i="1" s="1"/>
  <c r="BI61" i="1" s="1"/>
  <c r="F343" i="4"/>
  <c r="DN23" i="4"/>
  <c r="DP23" i="4"/>
  <c r="AS18" i="4"/>
  <c r="AN18" i="4"/>
  <c r="AP18" i="4"/>
  <c r="N23" i="4"/>
  <c r="P23" i="4"/>
  <c r="CN22" i="4"/>
  <c r="CS22" i="4"/>
  <c r="CT22" i="4" s="1"/>
  <c r="CG22" i="4"/>
  <c r="CF23" i="4" s="1"/>
  <c r="CP22" i="4"/>
  <c r="BP23" i="4"/>
  <c r="DG23" i="4"/>
  <c r="DF24" i="4" s="1"/>
  <c r="DS23" i="4"/>
  <c r="DT23" i="4" s="1"/>
  <c r="BG23" i="4"/>
  <c r="BF24" i="4" s="1"/>
  <c r="BS23" i="4"/>
  <c r="BT23" i="4" s="1"/>
  <c r="G23" i="4"/>
  <c r="F24" i="4" s="1"/>
  <c r="S23" i="4"/>
  <c r="T23" i="4" s="1"/>
  <c r="AG18" i="4"/>
  <c r="L26" i="4"/>
  <c r="CL25" i="4"/>
  <c r="C344" i="4"/>
  <c r="DL26" i="4"/>
  <c r="AL27" i="4"/>
  <c r="BL25" i="4"/>
  <c r="V192" i="9" l="1"/>
  <c r="AQ162" i="9"/>
  <c r="V205" i="9" s="1"/>
  <c r="AN162" i="9"/>
  <c r="V202" i="9" s="1"/>
  <c r="E162" i="9"/>
  <c r="M162" i="9" s="1"/>
  <c r="R125" i="9"/>
  <c r="S125" i="9" s="1"/>
  <c r="E126" i="9"/>
  <c r="F126" i="9" s="1"/>
  <c r="M125" i="9"/>
  <c r="U293" i="9"/>
  <c r="U327" i="9"/>
  <c r="U344" i="9" s="1"/>
  <c r="S12" i="5" s="1"/>
  <c r="V241" i="9"/>
  <c r="CO162" i="9"/>
  <c r="V254" i="9" s="1"/>
  <c r="BC162" i="9"/>
  <c r="P266" i="7"/>
  <c r="P290" i="7"/>
  <c r="Q289" i="7"/>
  <c r="FL90" i="7"/>
  <c r="FM90" i="7" s="1"/>
  <c r="Q325" i="7"/>
  <c r="Q312" i="7"/>
  <c r="EM90" i="7"/>
  <c r="EN90" i="7" s="1"/>
  <c r="DB90" i="7"/>
  <c r="DA91" i="7" s="1"/>
  <c r="DA157" i="7" s="1"/>
  <c r="DN157" i="7" s="1"/>
  <c r="BQ59" i="7"/>
  <c r="DN90" i="7"/>
  <c r="DO90" i="7" s="1"/>
  <c r="CP59" i="7"/>
  <c r="FI90" i="7"/>
  <c r="FX90" i="7"/>
  <c r="GK156" i="7" s="1"/>
  <c r="P348" i="7" s="1"/>
  <c r="FY156" i="7"/>
  <c r="P336" i="7" s="1"/>
  <c r="GW90" i="7"/>
  <c r="GW157" i="7" s="1"/>
  <c r="HJ157" i="7" s="1"/>
  <c r="GX156" i="7"/>
  <c r="P359" i="7" s="1"/>
  <c r="EH90" i="7"/>
  <c r="FG90" i="7"/>
  <c r="HK156" i="7"/>
  <c r="P372" i="7" s="1"/>
  <c r="GL156" i="7"/>
  <c r="P349" i="7" s="1"/>
  <c r="HC91" i="7"/>
  <c r="GD90" i="7"/>
  <c r="GH90" i="7" s="1"/>
  <c r="FL91" i="7"/>
  <c r="EZ91" i="7"/>
  <c r="EY92" i="7" s="1"/>
  <c r="FG91" i="7"/>
  <c r="FE91" i="7"/>
  <c r="FI91" i="7" s="1"/>
  <c r="EM91" i="7"/>
  <c r="EN91" i="7" s="1"/>
  <c r="EA91" i="7"/>
  <c r="DZ92" i="7" s="1"/>
  <c r="EH91" i="7"/>
  <c r="EF92" i="7"/>
  <c r="EJ92" i="7" s="1"/>
  <c r="DN91" i="7"/>
  <c r="DB91" i="7"/>
  <c r="DA92" i="7" s="1"/>
  <c r="DI91" i="7"/>
  <c r="DG91" i="7"/>
  <c r="DK91" i="7" s="1"/>
  <c r="CP76" i="8"/>
  <c r="N291" i="8"/>
  <c r="N325" i="8"/>
  <c r="O192" i="8"/>
  <c r="AQ155" i="8"/>
  <c r="O205" i="8" s="1"/>
  <c r="AN155" i="8"/>
  <c r="O202" i="8" s="1"/>
  <c r="CH88" i="8"/>
  <c r="DK85" i="8"/>
  <c r="DG86" i="8"/>
  <c r="AJ88" i="8"/>
  <c r="AN87" i="8"/>
  <c r="DB86" i="8"/>
  <c r="DA87" i="8" s="1"/>
  <c r="DN86" i="8"/>
  <c r="DO86" i="8" s="1"/>
  <c r="DI86" i="8"/>
  <c r="AQ77" i="8"/>
  <c r="AR77" i="8" s="1"/>
  <c r="AE77" i="8"/>
  <c r="AD78" i="8" s="1"/>
  <c r="AL77" i="8"/>
  <c r="O85" i="8"/>
  <c r="K86" i="8"/>
  <c r="CO77" i="8"/>
  <c r="CC77" i="8"/>
  <c r="CB78" i="8" s="1"/>
  <c r="CJ77" i="8"/>
  <c r="CL77" i="8"/>
  <c r="E155" i="8"/>
  <c r="F76" i="8"/>
  <c r="E77" i="8" s="1"/>
  <c r="M76" i="8"/>
  <c r="R76" i="8"/>
  <c r="S76" i="8" s="1"/>
  <c r="BI87" i="8"/>
  <c r="BM86" i="8"/>
  <c r="BC155" i="8"/>
  <c r="BP76" i="8"/>
  <c r="BQ76" i="8" s="1"/>
  <c r="BK76" i="8"/>
  <c r="BD76" i="8"/>
  <c r="BC77" i="8" s="1"/>
  <c r="AL64" i="7"/>
  <c r="AQ64" i="7"/>
  <c r="AR64" i="7" s="1"/>
  <c r="AE64" i="7"/>
  <c r="AD65" i="7" s="1"/>
  <c r="E62" i="7"/>
  <c r="F152" i="7"/>
  <c r="L170" i="7" s="1"/>
  <c r="S61" i="7"/>
  <c r="BD60" i="7"/>
  <c r="BC61" i="7" s="1"/>
  <c r="BP60" i="7"/>
  <c r="BK60" i="7"/>
  <c r="BI153" i="7"/>
  <c r="BI69" i="7"/>
  <c r="BM69" i="7" s="1"/>
  <c r="K68" i="7"/>
  <c r="O68" i="7" s="1"/>
  <c r="CO60" i="7"/>
  <c r="CC60" i="7"/>
  <c r="CB61" i="7" s="1"/>
  <c r="CJ60" i="7"/>
  <c r="CL60" i="7"/>
  <c r="AJ67" i="7"/>
  <c r="AN67" i="7" s="1"/>
  <c r="CH68" i="7"/>
  <c r="C283" i="1"/>
  <c r="C284" i="1" s="1"/>
  <c r="BP58" i="1"/>
  <c r="BQ58" i="1" s="1"/>
  <c r="AR64" i="1"/>
  <c r="BK58" i="1"/>
  <c r="AJ66" i="1"/>
  <c r="AE65" i="1"/>
  <c r="AD66" i="1" s="1"/>
  <c r="AL65" i="1"/>
  <c r="AQ65" i="1"/>
  <c r="BP59" i="1"/>
  <c r="BK59" i="1"/>
  <c r="BD59" i="1"/>
  <c r="BC60" i="1" s="1"/>
  <c r="BN24" i="4"/>
  <c r="BP24" i="4"/>
  <c r="DN24" i="4"/>
  <c r="DP24" i="4"/>
  <c r="N24" i="4"/>
  <c r="P24" i="4"/>
  <c r="CN23" i="4"/>
  <c r="CP23" i="4"/>
  <c r="CS23" i="4"/>
  <c r="CT23" i="4" s="1"/>
  <c r="CG23" i="4"/>
  <c r="CF24" i="4" s="1"/>
  <c r="DG24" i="4"/>
  <c r="DS24" i="4"/>
  <c r="DT24" i="4" s="1"/>
  <c r="BG24" i="4"/>
  <c r="BS24" i="4"/>
  <c r="BT24" i="4" s="1"/>
  <c r="G24" i="4"/>
  <c r="S24" i="4"/>
  <c r="T24" i="4" s="1"/>
  <c r="AT18" i="4"/>
  <c r="AF19" i="4"/>
  <c r="C345" i="4"/>
  <c r="CL26" i="4"/>
  <c r="BL26" i="4"/>
  <c r="DL27" i="4"/>
  <c r="L27" i="4"/>
  <c r="AL28" i="4"/>
  <c r="AL183" i="4" s="1"/>
  <c r="H234" i="4" s="1"/>
  <c r="DF25" i="4"/>
  <c r="F25" i="4"/>
  <c r="BF25" i="4"/>
  <c r="BN25" i="4" s="1"/>
  <c r="V217" i="9" l="1"/>
  <c r="BP162" i="9"/>
  <c r="V230" i="9" s="1"/>
  <c r="V169" i="9"/>
  <c r="R162" i="9"/>
  <c r="V182" i="9" s="1"/>
  <c r="V305" i="9" s="1"/>
  <c r="V330" i="9" s="1"/>
  <c r="V177" i="9"/>
  <c r="O162" i="9"/>
  <c r="V179" i="9" s="1"/>
  <c r="R126" i="9"/>
  <c r="S126" i="9" s="1"/>
  <c r="M126" i="9"/>
  <c r="E127" i="9"/>
  <c r="F127" i="9" s="1"/>
  <c r="Q278" i="7"/>
  <c r="Q265" i="7"/>
  <c r="Q371" i="7"/>
  <c r="Q302" i="7"/>
  <c r="Q358" i="7"/>
  <c r="FM91" i="7"/>
  <c r="BQ60" i="7"/>
  <c r="GF90" i="7"/>
  <c r="DO91" i="7"/>
  <c r="FY90" i="7"/>
  <c r="FX91" i="7" s="1"/>
  <c r="GK90" i="7"/>
  <c r="GL90" i="7" s="1"/>
  <c r="HE90" i="7"/>
  <c r="CP60" i="7"/>
  <c r="HJ90" i="7"/>
  <c r="HK90" i="7" s="1"/>
  <c r="HG91" i="7"/>
  <c r="HG90" i="7"/>
  <c r="GX90" i="7"/>
  <c r="GW91" i="7" s="1"/>
  <c r="HJ91" i="7" s="1"/>
  <c r="DG153" i="7"/>
  <c r="M271" i="7" s="1"/>
  <c r="HC153" i="7"/>
  <c r="M364" i="7" s="1"/>
  <c r="GD153" i="7"/>
  <c r="M341" i="7" s="1"/>
  <c r="FE153" i="7"/>
  <c r="M318" i="7" s="1"/>
  <c r="EF153" i="7"/>
  <c r="M295" i="7" s="1"/>
  <c r="HC92" i="7"/>
  <c r="HG92" i="7" s="1"/>
  <c r="GD91" i="7"/>
  <c r="GH91" i="7" s="1"/>
  <c r="FL92" i="7"/>
  <c r="FM92" i="7" s="1"/>
  <c r="EZ92" i="7"/>
  <c r="EY93" i="7" s="1"/>
  <c r="FG92" i="7"/>
  <c r="FE92" i="7"/>
  <c r="FI92" i="7" s="1"/>
  <c r="EH92" i="7"/>
  <c r="EM92" i="7"/>
  <c r="EN92" i="7" s="1"/>
  <c r="EA92" i="7"/>
  <c r="DZ93" i="7" s="1"/>
  <c r="EF93" i="7"/>
  <c r="EJ93" i="7" s="1"/>
  <c r="DN92" i="7"/>
  <c r="DI92" i="7"/>
  <c r="DB92" i="7"/>
  <c r="DA93" i="7" s="1"/>
  <c r="DG92" i="7"/>
  <c r="DK92" i="7" s="1"/>
  <c r="BK77" i="8"/>
  <c r="BP77" i="8"/>
  <c r="BD77" i="8"/>
  <c r="BC78" i="8" s="1"/>
  <c r="R77" i="8"/>
  <c r="S77" i="8" s="1"/>
  <c r="F77" i="8"/>
  <c r="E78" i="8" s="1"/>
  <c r="M77" i="8"/>
  <c r="CO78" i="8"/>
  <c r="CC78" i="8"/>
  <c r="CB79" i="8" s="1"/>
  <c r="CJ78" i="8"/>
  <c r="CL78" i="8"/>
  <c r="DK86" i="8"/>
  <c r="DG87" i="8"/>
  <c r="BM87" i="8"/>
  <c r="BI88" i="8"/>
  <c r="DN87" i="8"/>
  <c r="DO87" i="8" s="1"/>
  <c r="DB87" i="8"/>
  <c r="DA88" i="8" s="1"/>
  <c r="DI87" i="8"/>
  <c r="O217" i="8"/>
  <c r="BP155" i="8"/>
  <c r="O230" i="8" s="1"/>
  <c r="AN88" i="8"/>
  <c r="AJ89" i="8"/>
  <c r="CH89" i="8"/>
  <c r="O169" i="8"/>
  <c r="R155" i="8"/>
  <c r="O182" i="8" s="1"/>
  <c r="M155" i="8"/>
  <c r="O177" i="8" s="1"/>
  <c r="O155" i="8"/>
  <c r="O179" i="8" s="1"/>
  <c r="AL78" i="8"/>
  <c r="AQ78" i="8"/>
  <c r="AR78" i="8" s="1"/>
  <c r="AE78" i="8"/>
  <c r="AD79" i="8" s="1"/>
  <c r="BQ77" i="8"/>
  <c r="O86" i="8"/>
  <c r="K87" i="8"/>
  <c r="CP77" i="8"/>
  <c r="CP78" i="8" s="1"/>
  <c r="F284" i="1"/>
  <c r="C285" i="1"/>
  <c r="C286" i="1" s="1"/>
  <c r="C287" i="1" s="1"/>
  <c r="E287" i="1" s="1"/>
  <c r="BQ59" i="1"/>
  <c r="M223" i="7"/>
  <c r="AE65" i="7"/>
  <c r="AD66" i="7" s="1"/>
  <c r="AQ65" i="7"/>
  <c r="AR65" i="7" s="1"/>
  <c r="AL65" i="7"/>
  <c r="S152" i="7"/>
  <c r="F62" i="7"/>
  <c r="E63" i="7" s="1"/>
  <c r="E153" i="7"/>
  <c r="R153" i="7" s="1"/>
  <c r="M62" i="7"/>
  <c r="R62" i="7"/>
  <c r="K153" i="7"/>
  <c r="K69" i="7"/>
  <c r="O69" i="7" s="1"/>
  <c r="BD61" i="7"/>
  <c r="BC62" i="7" s="1"/>
  <c r="BP61" i="7"/>
  <c r="BQ61" i="7" s="1"/>
  <c r="BK61" i="7"/>
  <c r="BM152" i="7"/>
  <c r="L227" i="7" s="1"/>
  <c r="CH153" i="7"/>
  <c r="CH69" i="7"/>
  <c r="BI70" i="7"/>
  <c r="BM70" i="7" s="1"/>
  <c r="AJ68" i="7"/>
  <c r="AN68" i="7" s="1"/>
  <c r="CO61" i="7"/>
  <c r="CC61" i="7"/>
  <c r="CJ61" i="7"/>
  <c r="CL61" i="7"/>
  <c r="E284" i="1"/>
  <c r="E285" i="1" s="1"/>
  <c r="AR65" i="1"/>
  <c r="AQ66" i="1"/>
  <c r="AE66" i="1"/>
  <c r="AD67" i="1" s="1"/>
  <c r="AL66" i="1"/>
  <c r="AJ67" i="1"/>
  <c r="BP60" i="1"/>
  <c r="BQ60" i="1" s="1"/>
  <c r="BK60" i="1"/>
  <c r="BD60" i="1"/>
  <c r="BC61" i="1" s="1"/>
  <c r="BI152" i="1"/>
  <c r="L223" i="1" s="1"/>
  <c r="F345" i="4"/>
  <c r="R345" i="4"/>
  <c r="R364" i="4" s="1"/>
  <c r="G345" i="4"/>
  <c r="G364" i="4" s="1"/>
  <c r="K345" i="4"/>
  <c r="K364" i="4" s="1"/>
  <c r="O345" i="4"/>
  <c r="O364" i="4" s="1"/>
  <c r="S345" i="4"/>
  <c r="S364" i="4" s="1"/>
  <c r="W345" i="4"/>
  <c r="W364" i="4" s="1"/>
  <c r="V345" i="4"/>
  <c r="V364" i="4" s="1"/>
  <c r="H345" i="4"/>
  <c r="H364" i="4" s="1"/>
  <c r="L345" i="4"/>
  <c r="L364" i="4" s="1"/>
  <c r="P345" i="4"/>
  <c r="P364" i="4" s="1"/>
  <c r="T345" i="4"/>
  <c r="T364" i="4" s="1"/>
  <c r="I345" i="4"/>
  <c r="I364" i="4" s="1"/>
  <c r="M345" i="4"/>
  <c r="M364" i="4" s="1"/>
  <c r="Q345" i="4"/>
  <c r="Q364" i="4" s="1"/>
  <c r="U345" i="4"/>
  <c r="U364" i="4" s="1"/>
  <c r="J345" i="4"/>
  <c r="J364" i="4" s="1"/>
  <c r="N345" i="4"/>
  <c r="N364" i="4" s="1"/>
  <c r="CN24" i="4"/>
  <c r="CP24" i="4"/>
  <c r="CS24" i="4"/>
  <c r="CT24" i="4" s="1"/>
  <c r="CG24" i="4"/>
  <c r="CF25" i="4" s="1"/>
  <c r="BP25" i="4"/>
  <c r="AS19" i="4"/>
  <c r="AN19" i="4"/>
  <c r="AP19" i="4"/>
  <c r="N25" i="4"/>
  <c r="P25" i="4"/>
  <c r="DN25" i="4"/>
  <c r="DP25" i="4"/>
  <c r="T354" i="4"/>
  <c r="S354" i="4"/>
  <c r="L354" i="4"/>
  <c r="U354" i="4"/>
  <c r="P354" i="4"/>
  <c r="M354" i="4"/>
  <c r="N354" i="4"/>
  <c r="O354" i="4"/>
  <c r="Q354" i="4"/>
  <c r="R354" i="4"/>
  <c r="V354" i="4"/>
  <c r="J354" i="4"/>
  <c r="H354" i="4"/>
  <c r="I354" i="4"/>
  <c r="K354" i="4"/>
  <c r="W354" i="4"/>
  <c r="G354" i="4"/>
  <c r="DG25" i="4"/>
  <c r="DF26" i="4" s="1"/>
  <c r="DS25" i="4"/>
  <c r="DT25" i="4" s="1"/>
  <c r="BG25" i="4"/>
  <c r="BF26" i="4" s="1"/>
  <c r="BN26" i="4" s="1"/>
  <c r="BS25" i="4"/>
  <c r="BT25" i="4" s="1"/>
  <c r="G25" i="4"/>
  <c r="F26" i="4" s="1"/>
  <c r="S25" i="4"/>
  <c r="T25" i="4" s="1"/>
  <c r="AG19" i="4"/>
  <c r="AL29" i="4"/>
  <c r="CL27" i="4"/>
  <c r="BL27" i="4"/>
  <c r="DL28" i="4"/>
  <c r="DL183" i="4" s="1"/>
  <c r="H306" i="4" s="1"/>
  <c r="C346" i="4"/>
  <c r="L28" i="4"/>
  <c r="L183" i="4" s="1"/>
  <c r="H210" i="4" s="1"/>
  <c r="R127" i="9" l="1"/>
  <c r="S127" i="9" s="1"/>
  <c r="E128" i="9"/>
  <c r="F128" i="9" s="1"/>
  <c r="M127" i="9"/>
  <c r="V292" i="9"/>
  <c r="V307" i="9" s="1"/>
  <c r="V317" i="9"/>
  <c r="V343" i="9" s="1"/>
  <c r="T11" i="5" s="1"/>
  <c r="Q348" i="7"/>
  <c r="Q335" i="7"/>
  <c r="FY91" i="7"/>
  <c r="FX92" i="7" s="1"/>
  <c r="FY92" i="7" s="1"/>
  <c r="FX93" i="7" s="1"/>
  <c r="GK91" i="7"/>
  <c r="GL91" i="7" s="1"/>
  <c r="DO92" i="7"/>
  <c r="GF91" i="7"/>
  <c r="HK91" i="7"/>
  <c r="CP61" i="7"/>
  <c r="HE91" i="7"/>
  <c r="GX91" i="7"/>
  <c r="GW92" i="7" s="1"/>
  <c r="HE92" i="7" s="1"/>
  <c r="DB152" i="7"/>
  <c r="GX152" i="7"/>
  <c r="L359" i="7" s="1"/>
  <c r="FY152" i="7"/>
  <c r="L336" i="7" s="1"/>
  <c r="EZ152" i="7"/>
  <c r="L313" i="7" s="1"/>
  <c r="EA152" i="7"/>
  <c r="DO152" i="7"/>
  <c r="L279" i="7" s="1"/>
  <c r="HK152" i="7"/>
  <c r="L372" i="7" s="1"/>
  <c r="GL152" i="7"/>
  <c r="L349" i="7" s="1"/>
  <c r="FM152" i="7"/>
  <c r="L326" i="7" s="1"/>
  <c r="EN152" i="7"/>
  <c r="L303" i="7" s="1"/>
  <c r="HG152" i="7"/>
  <c r="L368" i="7" s="1"/>
  <c r="GH152" i="7"/>
  <c r="L345" i="7" s="1"/>
  <c r="FI152" i="7"/>
  <c r="L322" i="7" s="1"/>
  <c r="EJ152" i="7"/>
  <c r="L299" i="7" s="1"/>
  <c r="HC93" i="7"/>
  <c r="HG93" i="7" s="1"/>
  <c r="HJ92" i="7"/>
  <c r="HK92" i="7" s="1"/>
  <c r="GD92" i="7"/>
  <c r="GH92" i="7" s="1"/>
  <c r="FG93" i="7"/>
  <c r="FL93" i="7"/>
  <c r="FM93" i="7" s="1"/>
  <c r="EZ93" i="7"/>
  <c r="EY94" i="7" s="1"/>
  <c r="FE93" i="7"/>
  <c r="FI93" i="7" s="1"/>
  <c r="EM93" i="7"/>
  <c r="EN93" i="7" s="1"/>
  <c r="EA93" i="7"/>
  <c r="DZ94" i="7" s="1"/>
  <c r="EH93" i="7"/>
  <c r="EF94" i="7"/>
  <c r="EJ94" i="7" s="1"/>
  <c r="DN93" i="7"/>
  <c r="DO93" i="7" s="1"/>
  <c r="DB93" i="7"/>
  <c r="DA94" i="7" s="1"/>
  <c r="DI93" i="7"/>
  <c r="DG93" i="7"/>
  <c r="DK93" i="7" s="1"/>
  <c r="BM88" i="8"/>
  <c r="BI89" i="8"/>
  <c r="O290" i="8"/>
  <c r="O315" i="8"/>
  <c r="AJ156" i="8"/>
  <c r="AJ90" i="8"/>
  <c r="AN89" i="8"/>
  <c r="F78" i="8"/>
  <c r="E79" i="8" s="1"/>
  <c r="M78" i="8"/>
  <c r="R78" i="8"/>
  <c r="S78" i="8" s="1"/>
  <c r="DN88" i="8"/>
  <c r="DO88" i="8" s="1"/>
  <c r="DB88" i="8"/>
  <c r="DA89" i="8" s="1"/>
  <c r="DI88" i="8"/>
  <c r="DK87" i="8"/>
  <c r="DG88" i="8"/>
  <c r="CC79" i="8"/>
  <c r="CB80" i="8" s="1"/>
  <c r="CJ79" i="8"/>
  <c r="CO79" i="8"/>
  <c r="CP79" i="8" s="1"/>
  <c r="CL79" i="8"/>
  <c r="O87" i="8"/>
  <c r="K88" i="8"/>
  <c r="AQ79" i="8"/>
  <c r="AR79" i="8" s="1"/>
  <c r="AE79" i="8"/>
  <c r="AD80" i="8" s="1"/>
  <c r="AL79" i="8"/>
  <c r="CH156" i="8"/>
  <c r="P247" i="8" s="1"/>
  <c r="DG156" i="8"/>
  <c r="P270" i="8" s="1"/>
  <c r="CH90" i="8"/>
  <c r="BP78" i="8"/>
  <c r="BQ78" i="8" s="1"/>
  <c r="BD78" i="8"/>
  <c r="BC79" i="8" s="1"/>
  <c r="BK78" i="8"/>
  <c r="O153" i="7"/>
  <c r="M179" i="7" s="1"/>
  <c r="L183" i="7"/>
  <c r="L399" i="7" s="1"/>
  <c r="L184" i="7"/>
  <c r="M153" i="7"/>
  <c r="C288" i="1"/>
  <c r="C291" i="1" s="1"/>
  <c r="M169" i="7"/>
  <c r="M247" i="7"/>
  <c r="CL152" i="7"/>
  <c r="DK152" i="7"/>
  <c r="L275" i="7" s="1"/>
  <c r="AQ66" i="7"/>
  <c r="AR66" i="7" s="1"/>
  <c r="AE66" i="7"/>
  <c r="AD67" i="7" s="1"/>
  <c r="AL66" i="7"/>
  <c r="F63" i="7"/>
  <c r="E64" i="7" s="1"/>
  <c r="R63" i="7"/>
  <c r="M63" i="7"/>
  <c r="S62" i="7"/>
  <c r="CP152" i="7"/>
  <c r="BQ152" i="7"/>
  <c r="L231" i="7" s="1"/>
  <c r="M175" i="7"/>
  <c r="BD152" i="7"/>
  <c r="AJ153" i="7"/>
  <c r="AJ69" i="7"/>
  <c r="AN69" i="7" s="1"/>
  <c r="CC152" i="7"/>
  <c r="CB62" i="7"/>
  <c r="CH70" i="7"/>
  <c r="BI71" i="7"/>
  <c r="BM71" i="7" s="1"/>
  <c r="K70" i="7"/>
  <c r="O70" i="7" s="1"/>
  <c r="AR66" i="1"/>
  <c r="AQ67" i="1"/>
  <c r="AE67" i="1"/>
  <c r="AD68" i="1" s="1"/>
  <c r="AL67" i="1"/>
  <c r="AJ68" i="1"/>
  <c r="AJ153" i="1" s="1"/>
  <c r="AN153" i="1" s="1"/>
  <c r="BP61" i="1"/>
  <c r="BQ61" i="1" s="1"/>
  <c r="BQ152" i="1" s="1"/>
  <c r="BK61" i="1"/>
  <c r="BD61" i="1"/>
  <c r="BI62" i="1"/>
  <c r="BM152" i="1"/>
  <c r="E306" i="1"/>
  <c r="F346" i="4"/>
  <c r="F364" i="4"/>
  <c r="BP26" i="4"/>
  <c r="DN26" i="4"/>
  <c r="DP26" i="4"/>
  <c r="N26" i="4"/>
  <c r="P26" i="4"/>
  <c r="CN25" i="4"/>
  <c r="CG25" i="4"/>
  <c r="CF26" i="4" s="1"/>
  <c r="CS25" i="4"/>
  <c r="CT25" i="4" s="1"/>
  <c r="CP25" i="4"/>
  <c r="V346" i="4"/>
  <c r="Q346" i="4"/>
  <c r="S346" i="4"/>
  <c r="N346" i="4"/>
  <c r="G346" i="4"/>
  <c r="K346" i="4"/>
  <c r="H346" i="4"/>
  <c r="P346" i="4"/>
  <c r="W346" i="4"/>
  <c r="I346" i="4"/>
  <c r="J346" i="4"/>
  <c r="R346" i="4"/>
  <c r="M346" i="4"/>
  <c r="U346" i="4"/>
  <c r="O346" i="4"/>
  <c r="L346" i="4"/>
  <c r="T346" i="4"/>
  <c r="DG26" i="4"/>
  <c r="DS26" i="4"/>
  <c r="DT26" i="4" s="1"/>
  <c r="BG26" i="4"/>
  <c r="BF27" i="4" s="1"/>
  <c r="BN27" i="4" s="1"/>
  <c r="BS26" i="4"/>
  <c r="BT26" i="4" s="1"/>
  <c r="G26" i="4"/>
  <c r="F27" i="4" s="1"/>
  <c r="S26" i="4"/>
  <c r="T26" i="4" s="1"/>
  <c r="AF20" i="4"/>
  <c r="AT19" i="4"/>
  <c r="L29" i="4"/>
  <c r="CL28" i="4"/>
  <c r="CL183" i="4" s="1"/>
  <c r="H283" i="4" s="1"/>
  <c r="C349" i="4"/>
  <c r="F349" i="4" s="1"/>
  <c r="F374" i="4" s="1"/>
  <c r="DL29" i="4"/>
  <c r="BL28" i="4"/>
  <c r="BL183" i="4" s="1"/>
  <c r="H258" i="4" s="1"/>
  <c r="DF27" i="4"/>
  <c r="AL30" i="4"/>
  <c r="V300" i="9" l="1"/>
  <c r="V328" i="9" s="1"/>
  <c r="V331" i="9"/>
  <c r="V302" i="9"/>
  <c r="V329" i="9" s="1"/>
  <c r="DO163" i="9"/>
  <c r="W279" i="9" s="1"/>
  <c r="DB163" i="9"/>
  <c r="R128" i="9"/>
  <c r="S128" i="9" s="1"/>
  <c r="M128" i="9"/>
  <c r="E129" i="9"/>
  <c r="F129" i="9" s="1"/>
  <c r="L266" i="7"/>
  <c r="L290" i="7"/>
  <c r="GK92" i="7"/>
  <c r="GL92" i="7" s="1"/>
  <c r="GF92" i="7"/>
  <c r="L251" i="7"/>
  <c r="GX92" i="7"/>
  <c r="GW93" i="7" s="1"/>
  <c r="HJ93" i="7" s="1"/>
  <c r="HK93" i="7" s="1"/>
  <c r="DA153" i="7"/>
  <c r="M265" i="7" s="1"/>
  <c r="GW153" i="7"/>
  <c r="M358" i="7" s="1"/>
  <c r="FX153" i="7"/>
  <c r="M335" i="7" s="1"/>
  <c r="EY153" i="7"/>
  <c r="M312" i="7" s="1"/>
  <c r="DZ153" i="7"/>
  <c r="M289" i="7" s="1"/>
  <c r="HC94" i="7"/>
  <c r="HG94" i="7" s="1"/>
  <c r="HE93" i="7"/>
  <c r="GD93" i="7"/>
  <c r="GH93" i="7" s="1"/>
  <c r="GK93" i="7"/>
  <c r="FY93" i="7"/>
  <c r="FX94" i="7" s="1"/>
  <c r="GF93" i="7"/>
  <c r="FL94" i="7"/>
  <c r="FM94" i="7" s="1"/>
  <c r="EZ94" i="7"/>
  <c r="EY95" i="7" s="1"/>
  <c r="FG94" i="7"/>
  <c r="FE94" i="7"/>
  <c r="FI94" i="7" s="1"/>
  <c r="EM94" i="7"/>
  <c r="EN94" i="7" s="1"/>
  <c r="EA94" i="7"/>
  <c r="DZ95" i="7" s="1"/>
  <c r="EH94" i="7"/>
  <c r="EF95" i="7"/>
  <c r="EJ95" i="7" s="1"/>
  <c r="DN94" i="7"/>
  <c r="DO94" i="7" s="1"/>
  <c r="DI94" i="7"/>
  <c r="DB94" i="7"/>
  <c r="DA95" i="7" s="1"/>
  <c r="DG94" i="7"/>
  <c r="DK94" i="7" s="1"/>
  <c r="M79" i="8"/>
  <c r="R79" i="8"/>
  <c r="S79" i="8" s="1"/>
  <c r="F79" i="8"/>
  <c r="E80" i="8" s="1"/>
  <c r="BP79" i="8"/>
  <c r="BQ79" i="8" s="1"/>
  <c r="BD79" i="8"/>
  <c r="BC80" i="8" s="1"/>
  <c r="BK79" i="8"/>
  <c r="K89" i="8"/>
  <c r="O88" i="8"/>
  <c r="O298" i="8"/>
  <c r="O326" i="8" s="1"/>
  <c r="O305" i="8"/>
  <c r="O329" i="8" s="1"/>
  <c r="O300" i="8"/>
  <c r="O327" i="8" s="1"/>
  <c r="CJ80" i="8"/>
  <c r="CO80" i="8"/>
  <c r="CP80" i="8" s="1"/>
  <c r="CC80" i="8"/>
  <c r="CB81" i="8" s="1"/>
  <c r="CL80" i="8"/>
  <c r="DN89" i="8"/>
  <c r="DO89" i="8" s="1"/>
  <c r="DI89" i="8"/>
  <c r="DB89" i="8"/>
  <c r="DA90" i="8" s="1"/>
  <c r="AJ91" i="8"/>
  <c r="AN90" i="8"/>
  <c r="CH91" i="8"/>
  <c r="AQ80" i="8"/>
  <c r="AR80" i="8" s="1"/>
  <c r="AE80" i="8"/>
  <c r="AD81" i="8" s="1"/>
  <c r="AL80" i="8"/>
  <c r="DG89" i="8"/>
  <c r="DK88" i="8"/>
  <c r="P198" i="8"/>
  <c r="BI156" i="8"/>
  <c r="P223" i="8" s="1"/>
  <c r="BI90" i="8"/>
  <c r="BM89" i="8"/>
  <c r="BM156" i="8" s="1"/>
  <c r="P227" i="8" s="1"/>
  <c r="M198" i="7"/>
  <c r="M390" i="7" s="1"/>
  <c r="AN153" i="7"/>
  <c r="M202" i="7" s="1"/>
  <c r="L423" i="7"/>
  <c r="L255" i="7"/>
  <c r="L242" i="7"/>
  <c r="L218" i="7"/>
  <c r="AL67" i="7"/>
  <c r="AQ67" i="7"/>
  <c r="AR67" i="7" s="1"/>
  <c r="AE67" i="7"/>
  <c r="AD68" i="7" s="1"/>
  <c r="S63" i="7"/>
  <c r="F64" i="7"/>
  <c r="E65" i="7" s="1"/>
  <c r="R64" i="7"/>
  <c r="M64" i="7"/>
  <c r="BI72" i="7"/>
  <c r="BM72" i="7" s="1"/>
  <c r="CB153" i="7"/>
  <c r="CO62" i="7"/>
  <c r="CC62" i="7"/>
  <c r="CB63" i="7" s="1"/>
  <c r="CJ62" i="7"/>
  <c r="CL62" i="7"/>
  <c r="M198" i="1"/>
  <c r="BC153" i="7"/>
  <c r="BP153" i="7" s="1"/>
  <c r="BP62" i="7"/>
  <c r="BD62" i="7"/>
  <c r="BC63" i="7" s="1"/>
  <c r="BK62" i="7"/>
  <c r="K71" i="7"/>
  <c r="O71" i="7" s="1"/>
  <c r="CH71" i="7"/>
  <c r="AJ70" i="7"/>
  <c r="AN70" i="7" s="1"/>
  <c r="AR67" i="1"/>
  <c r="AJ69" i="1"/>
  <c r="AE68" i="1"/>
  <c r="AD69" i="1" s="1"/>
  <c r="AL68" i="1"/>
  <c r="AQ68" i="1"/>
  <c r="BC62" i="1"/>
  <c r="BC153" i="1" s="1"/>
  <c r="M217" i="1" s="1"/>
  <c r="BD152" i="1"/>
  <c r="L218" i="1" s="1"/>
  <c r="BI63" i="1"/>
  <c r="DN27" i="4"/>
  <c r="DP27" i="4"/>
  <c r="N27" i="4"/>
  <c r="P27" i="4"/>
  <c r="AS20" i="4"/>
  <c r="AN20" i="4"/>
  <c r="AP20" i="4"/>
  <c r="CN26" i="4"/>
  <c r="CP26" i="4"/>
  <c r="CG26" i="4"/>
  <c r="CF27" i="4" s="1"/>
  <c r="CS26" i="4"/>
  <c r="CT26" i="4" s="1"/>
  <c r="BP27" i="4"/>
  <c r="C350" i="4"/>
  <c r="DG27" i="4"/>
  <c r="DF28" i="4" s="1"/>
  <c r="DF183" i="4" s="1"/>
  <c r="H300" i="4" s="1"/>
  <c r="DS27" i="4"/>
  <c r="DT27" i="4" s="1"/>
  <c r="BS27" i="4"/>
  <c r="BT27" i="4" s="1"/>
  <c r="BG27" i="4"/>
  <c r="BF28" i="4" s="1"/>
  <c r="G27" i="4"/>
  <c r="F28" i="4" s="1"/>
  <c r="F183" i="4" s="1"/>
  <c r="H204" i="4" s="1"/>
  <c r="S27" i="4"/>
  <c r="T27" i="4" s="1"/>
  <c r="AG20" i="4"/>
  <c r="DL30" i="4"/>
  <c r="CL29" i="4"/>
  <c r="AL31" i="4"/>
  <c r="BL29" i="4"/>
  <c r="L30" i="4"/>
  <c r="R129" i="9" l="1"/>
  <c r="S129" i="9" s="1"/>
  <c r="E130" i="9"/>
  <c r="F130" i="9" s="1"/>
  <c r="M129" i="9"/>
  <c r="DI156" i="9"/>
  <c r="P273" i="9" s="1"/>
  <c r="DI157" i="9"/>
  <c r="Q273" i="9" s="1"/>
  <c r="DI158" i="9"/>
  <c r="R273" i="9" s="1"/>
  <c r="DI159" i="9"/>
  <c r="S273" i="9" s="1"/>
  <c r="DI160" i="9"/>
  <c r="T273" i="9" s="1"/>
  <c r="DI161" i="9"/>
  <c r="U273" i="9" s="1"/>
  <c r="DI162" i="9"/>
  <c r="V273" i="9" s="1"/>
  <c r="DI163" i="9"/>
  <c r="W273" i="9" s="1"/>
  <c r="W266" i="9"/>
  <c r="GL93" i="7"/>
  <c r="L385" i="7"/>
  <c r="GX93" i="7"/>
  <c r="GW94" i="7" s="1"/>
  <c r="HJ94" i="7" s="1"/>
  <c r="HK94" i="7" s="1"/>
  <c r="GX94" i="7"/>
  <c r="GW95" i="7" s="1"/>
  <c r="HE94" i="7"/>
  <c r="HC95" i="7"/>
  <c r="HG95" i="7" s="1"/>
  <c r="GD94" i="7"/>
  <c r="GH94" i="7" s="1"/>
  <c r="GK94" i="7"/>
  <c r="GL94" i="7" s="1"/>
  <c r="GF94" i="7"/>
  <c r="FY94" i="7"/>
  <c r="FX95" i="7" s="1"/>
  <c r="FG95" i="7"/>
  <c r="FL95" i="7"/>
  <c r="FM95" i="7" s="1"/>
  <c r="EZ95" i="7"/>
  <c r="EY96" i="7" s="1"/>
  <c r="FE95" i="7"/>
  <c r="FI95" i="7" s="1"/>
  <c r="EM95" i="7"/>
  <c r="EN95" i="7" s="1"/>
  <c r="EA95" i="7"/>
  <c r="DZ96" i="7" s="1"/>
  <c r="EH95" i="7"/>
  <c r="EF96" i="7"/>
  <c r="DN95" i="7"/>
  <c r="DO95" i="7" s="1"/>
  <c r="DB95" i="7"/>
  <c r="DA96" i="7" s="1"/>
  <c r="DI95" i="7"/>
  <c r="DG95" i="7"/>
  <c r="DK95" i="7" s="1"/>
  <c r="L419" i="7"/>
  <c r="BI91" i="8"/>
  <c r="BM90" i="8"/>
  <c r="AJ92" i="8"/>
  <c r="AN91" i="8"/>
  <c r="K156" i="8"/>
  <c r="O89" i="8"/>
  <c r="K90" i="8"/>
  <c r="R80" i="8"/>
  <c r="S80" i="8" s="1"/>
  <c r="F80" i="8"/>
  <c r="E81" i="8" s="1"/>
  <c r="M80" i="8"/>
  <c r="DK89" i="8"/>
  <c r="DG90" i="8"/>
  <c r="CH92" i="8"/>
  <c r="DN90" i="8"/>
  <c r="DO90" i="8" s="1"/>
  <c r="DB90" i="8"/>
  <c r="DA91" i="8" s="1"/>
  <c r="DI90" i="8"/>
  <c r="CO81" i="8"/>
  <c r="CP81" i="8" s="1"/>
  <c r="CC81" i="8"/>
  <c r="CB82" i="8" s="1"/>
  <c r="CJ81" i="8"/>
  <c r="CL81" i="8"/>
  <c r="BD80" i="8"/>
  <c r="BC81" i="8" s="1"/>
  <c r="BK80" i="8"/>
  <c r="BP80" i="8"/>
  <c r="BQ80" i="8" s="1"/>
  <c r="AE81" i="8"/>
  <c r="AD82" i="8" s="1"/>
  <c r="AL81" i="8"/>
  <c r="AQ81" i="8"/>
  <c r="AR81" i="8" s="1"/>
  <c r="AD154" i="1"/>
  <c r="N192" i="1" s="1"/>
  <c r="AE153" i="1"/>
  <c r="M193" i="1" s="1"/>
  <c r="M241" i="7"/>
  <c r="M217" i="7"/>
  <c r="AL68" i="7"/>
  <c r="AE68" i="7"/>
  <c r="AQ68" i="7"/>
  <c r="AR68" i="7" s="1"/>
  <c r="F65" i="7"/>
  <c r="E66" i="7" s="1"/>
  <c r="R65" i="7"/>
  <c r="M65" i="7"/>
  <c r="S64" i="7"/>
  <c r="AJ71" i="7"/>
  <c r="AN71" i="7" s="1"/>
  <c r="BD63" i="7"/>
  <c r="BC64" i="7" s="1"/>
  <c r="BP63" i="7"/>
  <c r="BK63" i="7"/>
  <c r="K72" i="7"/>
  <c r="O72" i="7" s="1"/>
  <c r="CH72" i="7"/>
  <c r="BQ62" i="7"/>
  <c r="CO63" i="7"/>
  <c r="CC63" i="7"/>
  <c r="CB64" i="7" s="1"/>
  <c r="CJ63" i="7"/>
  <c r="CL63" i="7"/>
  <c r="BI73" i="7"/>
  <c r="BM73" i="7" s="1"/>
  <c r="M426" i="7"/>
  <c r="K34" i="5" s="1"/>
  <c r="CP62" i="7"/>
  <c r="AR68" i="1"/>
  <c r="AR153" i="1" s="1"/>
  <c r="M206" i="1" s="1"/>
  <c r="BD62" i="1"/>
  <c r="BC63" i="1" s="1"/>
  <c r="BD63" i="1" s="1"/>
  <c r="BC64" i="1" s="1"/>
  <c r="BK62" i="1"/>
  <c r="AJ70" i="1"/>
  <c r="AQ69" i="1"/>
  <c r="AE69" i="1"/>
  <c r="AD70" i="1" s="1"/>
  <c r="BP62" i="1"/>
  <c r="BQ62" i="1" s="1"/>
  <c r="BI64" i="1"/>
  <c r="BN28" i="4"/>
  <c r="BF183" i="4"/>
  <c r="H252" i="4" s="1"/>
  <c r="H332" i="4"/>
  <c r="H350" i="4"/>
  <c r="N28" i="4"/>
  <c r="P28" i="4"/>
  <c r="P183" i="4" s="1"/>
  <c r="H214" i="4" s="1"/>
  <c r="DN28" i="4"/>
  <c r="DP28" i="4"/>
  <c r="DP183" i="4" s="1"/>
  <c r="H310" i="4" s="1"/>
  <c r="BP28" i="4"/>
  <c r="BP183" i="4" s="1"/>
  <c r="H262" i="4" s="1"/>
  <c r="CN27" i="4"/>
  <c r="CS27" i="4"/>
  <c r="CT27" i="4" s="1"/>
  <c r="CP27" i="4"/>
  <c r="CG27" i="4"/>
  <c r="CF28" i="4" s="1"/>
  <c r="CF183" i="4" s="1"/>
  <c r="H277" i="4" s="1"/>
  <c r="DS28" i="4"/>
  <c r="BS28" i="4"/>
  <c r="S28" i="4"/>
  <c r="AT20" i="4"/>
  <c r="AF21" i="4"/>
  <c r="AF182" i="4" s="1"/>
  <c r="G228" i="4" s="1"/>
  <c r="DL31" i="4"/>
  <c r="BG28" i="4"/>
  <c r="BG183" i="4" s="1"/>
  <c r="H253" i="4" s="1"/>
  <c r="L31" i="4"/>
  <c r="G28" i="4"/>
  <c r="G183" i="4" s="1"/>
  <c r="H205" i="4" s="1"/>
  <c r="CL30" i="4"/>
  <c r="BL30" i="4"/>
  <c r="AL32" i="4"/>
  <c r="DG28" i="4"/>
  <c r="DG183" i="4" s="1"/>
  <c r="H301" i="4" s="1"/>
  <c r="E288" i="1"/>
  <c r="R130" i="9" l="1"/>
  <c r="S130" i="9" s="1"/>
  <c r="E131" i="9"/>
  <c r="F131" i="9" s="1"/>
  <c r="M130" i="9"/>
  <c r="CP63" i="7"/>
  <c r="EF157" i="7"/>
  <c r="Q295" i="7" s="1"/>
  <c r="EJ96" i="7"/>
  <c r="EJ157" i="7" s="1"/>
  <c r="Q299" i="7" s="1"/>
  <c r="M409" i="7"/>
  <c r="M435" i="7" s="1"/>
  <c r="K8" i="5" s="1"/>
  <c r="K19" i="5" s="1"/>
  <c r="HJ95" i="7"/>
  <c r="HK95" i="7" s="1"/>
  <c r="GX95" i="7"/>
  <c r="GW96" i="7" s="1"/>
  <c r="HE95" i="7"/>
  <c r="HC96" i="7"/>
  <c r="GD95" i="7"/>
  <c r="GH95" i="7" s="1"/>
  <c r="GK95" i="7"/>
  <c r="GL95" i="7" s="1"/>
  <c r="FY95" i="7"/>
  <c r="FX96" i="7" s="1"/>
  <c r="GF95" i="7"/>
  <c r="FL96" i="7"/>
  <c r="FM96" i="7" s="1"/>
  <c r="FM157" i="7" s="1"/>
  <c r="Q326" i="7" s="1"/>
  <c r="EZ96" i="7"/>
  <c r="FG96" i="7"/>
  <c r="FE96" i="7"/>
  <c r="EH96" i="7"/>
  <c r="EM96" i="7"/>
  <c r="EN96" i="7" s="1"/>
  <c r="EN157" i="7" s="1"/>
  <c r="Q303" i="7" s="1"/>
  <c r="EA96" i="7"/>
  <c r="EF97" i="7"/>
  <c r="EJ97" i="7" s="1"/>
  <c r="DN96" i="7"/>
  <c r="DO96" i="7" s="1"/>
  <c r="DO157" i="7" s="1"/>
  <c r="Q279" i="7" s="1"/>
  <c r="DI96" i="7"/>
  <c r="DB96" i="7"/>
  <c r="DG96" i="7"/>
  <c r="M384" i="7"/>
  <c r="M392" i="7" s="1"/>
  <c r="M420" i="7" s="1"/>
  <c r="DB91" i="8"/>
  <c r="DA92" i="8" s="1"/>
  <c r="DN91" i="8"/>
  <c r="DO91" i="8" s="1"/>
  <c r="DI91" i="8"/>
  <c r="DG91" i="8"/>
  <c r="DK90" i="8"/>
  <c r="CO82" i="8"/>
  <c r="CP82" i="8" s="1"/>
  <c r="CC82" i="8"/>
  <c r="CJ82" i="8"/>
  <c r="CL82" i="8"/>
  <c r="O90" i="8"/>
  <c r="K91" i="8"/>
  <c r="AN92" i="8"/>
  <c r="AJ93" i="8"/>
  <c r="AL82" i="8"/>
  <c r="AQ82" i="8"/>
  <c r="AR82" i="8" s="1"/>
  <c r="AE82" i="8"/>
  <c r="BK81" i="8"/>
  <c r="BP81" i="8"/>
  <c r="BQ81" i="8" s="1"/>
  <c r="BD81" i="8"/>
  <c r="BC82" i="8" s="1"/>
  <c r="CH93" i="8"/>
  <c r="R81" i="8"/>
  <c r="S81" i="8" s="1"/>
  <c r="F81" i="8"/>
  <c r="E82" i="8" s="1"/>
  <c r="M81" i="8"/>
  <c r="P175" i="8"/>
  <c r="P296" i="8" s="1"/>
  <c r="BI92" i="8"/>
  <c r="BM91" i="8"/>
  <c r="BP63" i="1"/>
  <c r="BQ63" i="1" s="1"/>
  <c r="AL69" i="1"/>
  <c r="BQ63" i="7"/>
  <c r="AE153" i="7"/>
  <c r="M193" i="7" s="1"/>
  <c r="AD69" i="7"/>
  <c r="AR153" i="7"/>
  <c r="M206" i="7" s="1"/>
  <c r="S65" i="7"/>
  <c r="F66" i="7"/>
  <c r="E67" i="7" s="1"/>
  <c r="R66" i="7"/>
  <c r="M66" i="7"/>
  <c r="K73" i="7"/>
  <c r="O73" i="7" s="1"/>
  <c r="AJ72" i="7"/>
  <c r="AN72" i="7" s="1"/>
  <c r="CH73" i="7"/>
  <c r="BI74" i="7"/>
  <c r="BM74" i="7" s="1"/>
  <c r="CC64" i="7"/>
  <c r="CB65" i="7" s="1"/>
  <c r="CO64" i="7"/>
  <c r="CJ64" i="7"/>
  <c r="CL64" i="7"/>
  <c r="BK64" i="7"/>
  <c r="BD64" i="7"/>
  <c r="BC65" i="7" s="1"/>
  <c r="BP64" i="7"/>
  <c r="BK63" i="1"/>
  <c r="AR69" i="1"/>
  <c r="AQ70" i="1"/>
  <c r="AE70" i="1"/>
  <c r="AD71" i="1" s="1"/>
  <c r="AL70" i="1"/>
  <c r="AJ71" i="1"/>
  <c r="BP64" i="1"/>
  <c r="BK64" i="1"/>
  <c r="BI65" i="1"/>
  <c r="BD64" i="1"/>
  <c r="BC65" i="1" s="1"/>
  <c r="E307" i="1"/>
  <c r="AS21" i="4"/>
  <c r="AN21" i="4"/>
  <c r="AP21" i="4"/>
  <c r="AP182" i="4" s="1"/>
  <c r="G238" i="4" s="1"/>
  <c r="CN28" i="4"/>
  <c r="CP28" i="4"/>
  <c r="CP183" i="4" s="1"/>
  <c r="H287" i="4" s="1"/>
  <c r="CS28" i="4"/>
  <c r="CT28" i="4" s="1"/>
  <c r="CT183" i="4" s="1"/>
  <c r="H291" i="4" s="1"/>
  <c r="CG28" i="4"/>
  <c r="CG183" i="4" s="1"/>
  <c r="H278" i="4" s="1"/>
  <c r="C351" i="4"/>
  <c r="AG21" i="4"/>
  <c r="AG182" i="4" s="1"/>
  <c r="G229" i="4" s="1"/>
  <c r="L32" i="4"/>
  <c r="DL32" i="4"/>
  <c r="AL33" i="4"/>
  <c r="CL31" i="4"/>
  <c r="DF29" i="4"/>
  <c r="DT28" i="4"/>
  <c r="DT183" i="4" s="1"/>
  <c r="H314" i="4" s="1"/>
  <c r="F29" i="4"/>
  <c r="T28" i="4"/>
  <c r="T183" i="4" s="1"/>
  <c r="H218" i="4" s="1"/>
  <c r="BF29" i="4"/>
  <c r="BT28" i="4"/>
  <c r="BT183" i="4" s="1"/>
  <c r="H266" i="4" s="1"/>
  <c r="BL31" i="4"/>
  <c r="AR162" i="9" l="1"/>
  <c r="V206" i="9" s="1"/>
  <c r="AE162" i="9"/>
  <c r="V193" i="9" s="1"/>
  <c r="DN146" i="9"/>
  <c r="F278" i="9" s="1"/>
  <c r="CO146" i="9"/>
  <c r="F254" i="9" s="1"/>
  <c r="CO147" i="9"/>
  <c r="G254" i="9" s="1"/>
  <c r="DN147" i="9"/>
  <c r="G278" i="9" s="1"/>
  <c r="DN148" i="9"/>
  <c r="H278" i="9" s="1"/>
  <c r="CO148" i="9"/>
  <c r="H254" i="9" s="1"/>
  <c r="DN149" i="9"/>
  <c r="I278" i="9" s="1"/>
  <c r="CO149" i="9"/>
  <c r="I254" i="9" s="1"/>
  <c r="CO150" i="9"/>
  <c r="J254" i="9" s="1"/>
  <c r="DN150" i="9"/>
  <c r="J278" i="9" s="1"/>
  <c r="DN151" i="9"/>
  <c r="K278" i="9" s="1"/>
  <c r="CO151" i="9"/>
  <c r="K254" i="9" s="1"/>
  <c r="DN152" i="9"/>
  <c r="L278" i="9" s="1"/>
  <c r="CO152" i="9"/>
  <c r="L254" i="9" s="1"/>
  <c r="DN153" i="9"/>
  <c r="M278" i="9" s="1"/>
  <c r="CO153" i="9"/>
  <c r="M254" i="9" s="1"/>
  <c r="CO154" i="9"/>
  <c r="N254" i="9" s="1"/>
  <c r="DN154" i="9"/>
  <c r="N278" i="9" s="1"/>
  <c r="DN155" i="9"/>
  <c r="O278" i="9" s="1"/>
  <c r="R131" i="9"/>
  <c r="S131" i="9" s="1"/>
  <c r="E132" i="9"/>
  <c r="F132" i="9" s="1"/>
  <c r="M131" i="9"/>
  <c r="CC162" i="9"/>
  <c r="V242" i="9" s="1"/>
  <c r="DK96" i="7"/>
  <c r="DK157" i="7" s="1"/>
  <c r="Q275" i="7" s="1"/>
  <c r="DG157" i="7"/>
  <c r="Q271" i="7" s="1"/>
  <c r="FE157" i="7"/>
  <c r="Q318" i="7" s="1"/>
  <c r="FI96" i="7"/>
  <c r="FI157" i="7" s="1"/>
  <c r="Q322" i="7" s="1"/>
  <c r="HC157" i="7"/>
  <c r="Q364" i="7" s="1"/>
  <c r="HG96" i="7"/>
  <c r="HG157" i="7" s="1"/>
  <c r="Q368" i="7" s="1"/>
  <c r="DA97" i="7"/>
  <c r="DA158" i="7" s="1"/>
  <c r="DB157" i="7"/>
  <c r="DZ97" i="7"/>
  <c r="DZ158" i="7" s="1"/>
  <c r="EA157" i="7"/>
  <c r="EY97" i="7"/>
  <c r="EY158" i="7" s="1"/>
  <c r="EZ157" i="7"/>
  <c r="Q313" i="7" s="1"/>
  <c r="HC97" i="7"/>
  <c r="HG97" i="7" s="1"/>
  <c r="HJ96" i="7"/>
  <c r="HK96" i="7" s="1"/>
  <c r="HK157" i="7" s="1"/>
  <c r="Q372" i="7" s="1"/>
  <c r="HE96" i="7"/>
  <c r="GX96" i="7"/>
  <c r="GD96" i="7"/>
  <c r="GK96" i="7"/>
  <c r="GL96" i="7" s="1"/>
  <c r="GL157" i="7" s="1"/>
  <c r="Q349" i="7" s="1"/>
  <c r="FY96" i="7"/>
  <c r="GF96" i="7"/>
  <c r="FE97" i="7"/>
  <c r="FI97" i="7" s="1"/>
  <c r="EH97" i="7"/>
  <c r="EM97" i="7"/>
  <c r="EN97" i="7" s="1"/>
  <c r="EA97" i="7"/>
  <c r="DZ98" i="7" s="1"/>
  <c r="EF98" i="7"/>
  <c r="EJ98" i="7" s="1"/>
  <c r="DI97" i="7"/>
  <c r="DG97" i="7"/>
  <c r="DK97" i="7" s="1"/>
  <c r="M394" i="7"/>
  <c r="M421" i="7" s="1"/>
  <c r="AR155" i="8"/>
  <c r="O206" i="8" s="1"/>
  <c r="DO155" i="8"/>
  <c r="O278" i="8" s="1"/>
  <c r="CP155" i="8"/>
  <c r="O255" i="8" s="1"/>
  <c r="BQ82" i="8"/>
  <c r="BM92" i="8"/>
  <c r="BI93" i="8"/>
  <c r="F82" i="8"/>
  <c r="M82" i="8"/>
  <c r="R82" i="8"/>
  <c r="S82" i="8" s="1"/>
  <c r="BP82" i="8"/>
  <c r="BD82" i="8"/>
  <c r="BK82" i="8"/>
  <c r="O91" i="8"/>
  <c r="K92" i="8"/>
  <c r="CC155" i="8"/>
  <c r="O242" i="8" s="1"/>
  <c r="DB155" i="8"/>
  <c r="O265" i="8" s="1"/>
  <c r="CB83" i="8"/>
  <c r="P332" i="8"/>
  <c r="CH94" i="8"/>
  <c r="AN93" i="8"/>
  <c r="AJ94" i="8"/>
  <c r="DK155" i="8"/>
  <c r="O274" i="8" s="1"/>
  <c r="CL155" i="8"/>
  <c r="O251" i="8" s="1"/>
  <c r="DN92" i="8"/>
  <c r="DO92" i="8" s="1"/>
  <c r="DB92" i="8"/>
  <c r="DA93" i="8" s="1"/>
  <c r="DI92" i="8"/>
  <c r="AE155" i="8"/>
  <c r="O193" i="8" s="1"/>
  <c r="AD83" i="8"/>
  <c r="DK91" i="8"/>
  <c r="DG92" i="8"/>
  <c r="BQ64" i="7"/>
  <c r="CP64" i="7"/>
  <c r="AL69" i="7"/>
  <c r="AD154" i="7"/>
  <c r="AQ154" i="7" s="1"/>
  <c r="AQ69" i="7"/>
  <c r="AR69" i="7" s="1"/>
  <c r="AE69" i="7"/>
  <c r="AD70" i="7" s="1"/>
  <c r="F67" i="7"/>
  <c r="E68" i="7" s="1"/>
  <c r="M67" i="7"/>
  <c r="R67" i="7"/>
  <c r="S66" i="7"/>
  <c r="BK65" i="7"/>
  <c r="BP65" i="7"/>
  <c r="BD65" i="7"/>
  <c r="BC66" i="7" s="1"/>
  <c r="BI75" i="7"/>
  <c r="BM75" i="7" s="1"/>
  <c r="CH74" i="7"/>
  <c r="AJ73" i="7"/>
  <c r="AN73" i="7" s="1"/>
  <c r="CO65" i="7"/>
  <c r="CC65" i="7"/>
  <c r="CB66" i="7" s="1"/>
  <c r="CJ65" i="7"/>
  <c r="CL65" i="7"/>
  <c r="K74" i="7"/>
  <c r="O74" i="7" s="1"/>
  <c r="BQ64" i="1"/>
  <c r="AR70" i="1"/>
  <c r="AQ71" i="1"/>
  <c r="AE71" i="1"/>
  <c r="AD72" i="1" s="1"/>
  <c r="AL71" i="1"/>
  <c r="AJ72" i="1"/>
  <c r="BP65" i="1"/>
  <c r="BK65" i="1"/>
  <c r="BI66" i="1"/>
  <c r="BD65" i="1"/>
  <c r="BC66" i="1" s="1"/>
  <c r="C292" i="1"/>
  <c r="G337" i="4"/>
  <c r="BN29" i="4"/>
  <c r="BP29" i="4"/>
  <c r="N29" i="4"/>
  <c r="P29" i="4"/>
  <c r="DN29" i="4"/>
  <c r="DP29" i="4"/>
  <c r="CF29" i="4"/>
  <c r="G326" i="4"/>
  <c r="G349" i="4"/>
  <c r="C352" i="4"/>
  <c r="DG29" i="4"/>
  <c r="DS29" i="4"/>
  <c r="BG29" i="4"/>
  <c r="BF30" i="4" s="1"/>
  <c r="BS29" i="4"/>
  <c r="BT29" i="4" s="1"/>
  <c r="G29" i="4"/>
  <c r="F30" i="4" s="1"/>
  <c r="S29" i="4"/>
  <c r="T29" i="4" s="1"/>
  <c r="AT21" i="4"/>
  <c r="AT182" i="4" s="1"/>
  <c r="G242" i="4" s="1"/>
  <c r="AF22" i="4"/>
  <c r="AL34" i="4"/>
  <c r="DL33" i="4"/>
  <c r="DF30" i="4"/>
  <c r="CL32" i="4"/>
  <c r="L33" i="4"/>
  <c r="BL32" i="4"/>
  <c r="S162" i="9" l="1"/>
  <c r="V183" i="9" s="1"/>
  <c r="S163" i="9"/>
  <c r="W183" i="9" s="1"/>
  <c r="CP162" i="9"/>
  <c r="V255" i="9" s="1"/>
  <c r="BQ162" i="9"/>
  <c r="V231" i="9" s="1"/>
  <c r="M305" i="9"/>
  <c r="M330" i="9" s="1"/>
  <c r="M344" i="9" s="1"/>
  <c r="K12" i="5" s="1"/>
  <c r="J305" i="9"/>
  <c r="J330" i="9" s="1"/>
  <c r="J344" i="9" s="1"/>
  <c r="H12" i="5" s="1"/>
  <c r="CB163" i="9"/>
  <c r="BD162" i="9"/>
  <c r="V218" i="9" s="1"/>
  <c r="F162" i="9"/>
  <c r="V170" i="9" s="1"/>
  <c r="N305" i="9"/>
  <c r="N330" i="9" s="1"/>
  <c r="N344" i="9" s="1"/>
  <c r="L12" i="5" s="1"/>
  <c r="K305" i="9"/>
  <c r="K330" i="9" s="1"/>
  <c r="K344" i="9" s="1"/>
  <c r="I12" i="5" s="1"/>
  <c r="I305" i="9"/>
  <c r="I330" i="9" s="1"/>
  <c r="I344" i="9" s="1"/>
  <c r="G12" i="5" s="1"/>
  <c r="AD163" i="9"/>
  <c r="Q266" i="7"/>
  <c r="Q290" i="7"/>
  <c r="DN158" i="7"/>
  <c r="R278" i="7" s="1"/>
  <c r="R265" i="7"/>
  <c r="EM158" i="7"/>
  <c r="R289" i="7"/>
  <c r="FL158" i="7"/>
  <c r="R325" i="7" s="1"/>
  <c r="R312" i="7"/>
  <c r="FG97" i="7"/>
  <c r="DB97" i="7"/>
  <c r="DA98" i="7" s="1"/>
  <c r="DI98" i="7" s="1"/>
  <c r="FL97" i="7"/>
  <c r="FM97" i="7" s="1"/>
  <c r="DN97" i="7"/>
  <c r="DO97" i="7" s="1"/>
  <c r="EZ97" i="7"/>
  <c r="EY98" i="7" s="1"/>
  <c r="FG98" i="7" s="1"/>
  <c r="BQ65" i="7"/>
  <c r="FX97" i="7"/>
  <c r="FX158" i="7" s="1"/>
  <c r="FY157" i="7"/>
  <c r="Q336" i="7" s="1"/>
  <c r="GD157" i="7"/>
  <c r="Q341" i="7" s="1"/>
  <c r="GH96" i="7"/>
  <c r="GH157" i="7" s="1"/>
  <c r="Q345" i="7" s="1"/>
  <c r="GW97" i="7"/>
  <c r="GW158" i="7" s="1"/>
  <c r="GX157" i="7"/>
  <c r="Q359" i="7" s="1"/>
  <c r="HC98" i="7"/>
  <c r="HG98" i="7" s="1"/>
  <c r="GD97" i="7"/>
  <c r="GH97" i="7" s="1"/>
  <c r="GK97" i="7"/>
  <c r="GL97" i="7" s="1"/>
  <c r="FE98" i="7"/>
  <c r="FI98" i="7" s="1"/>
  <c r="EM98" i="7"/>
  <c r="EN98" i="7" s="1"/>
  <c r="EH98" i="7"/>
  <c r="EA98" i="7"/>
  <c r="DZ99" i="7" s="1"/>
  <c r="EF99" i="7"/>
  <c r="EJ99" i="7" s="1"/>
  <c r="DB98" i="7"/>
  <c r="DA99" i="7" s="1"/>
  <c r="DN98" i="7"/>
  <c r="DG98" i="7"/>
  <c r="DK98" i="7" s="1"/>
  <c r="S155" i="8"/>
  <c r="O183" i="8" s="1"/>
  <c r="DG93" i="8"/>
  <c r="DK92" i="8"/>
  <c r="CH95" i="8"/>
  <c r="DN93" i="8"/>
  <c r="DO93" i="8" s="1"/>
  <c r="DI93" i="8"/>
  <c r="DB93" i="8"/>
  <c r="DA94" i="8" s="1"/>
  <c r="AN94" i="8"/>
  <c r="AJ95" i="8"/>
  <c r="BD155" i="8"/>
  <c r="O218" i="8" s="1"/>
  <c r="BC83" i="8"/>
  <c r="F155" i="8"/>
  <c r="O170" i="8" s="1"/>
  <c r="E83" i="8"/>
  <c r="BQ155" i="8"/>
  <c r="O231" i="8" s="1"/>
  <c r="AD156" i="8"/>
  <c r="AL83" i="8"/>
  <c r="AQ83" i="8"/>
  <c r="AR83" i="8" s="1"/>
  <c r="AE83" i="8"/>
  <c r="AD84" i="8" s="1"/>
  <c r="K93" i="8"/>
  <c r="O92" i="8"/>
  <c r="BM93" i="8"/>
  <c r="BI94" i="8"/>
  <c r="DA156" i="8"/>
  <c r="P264" i="8" s="1"/>
  <c r="CB156" i="8"/>
  <c r="P241" i="8" s="1"/>
  <c r="CO83" i="8"/>
  <c r="CC83" i="8"/>
  <c r="CB84" i="8" s="1"/>
  <c r="CJ83" i="8"/>
  <c r="CL83" i="8"/>
  <c r="N192" i="7"/>
  <c r="CP65" i="7"/>
  <c r="AL70" i="7"/>
  <c r="AQ70" i="7"/>
  <c r="AR70" i="7" s="1"/>
  <c r="AE70" i="7"/>
  <c r="AD71" i="7" s="1"/>
  <c r="S67" i="7"/>
  <c r="F68" i="7"/>
  <c r="R68" i="7"/>
  <c r="M68" i="7"/>
  <c r="K75" i="7"/>
  <c r="O75" i="7" s="1"/>
  <c r="CO66" i="7"/>
  <c r="CC66" i="7"/>
  <c r="CB67" i="7" s="1"/>
  <c r="CJ66" i="7"/>
  <c r="CL66" i="7"/>
  <c r="AJ74" i="7"/>
  <c r="AN74" i="7" s="1"/>
  <c r="BI154" i="7"/>
  <c r="BI76" i="7"/>
  <c r="BM76" i="7" s="1"/>
  <c r="CH75" i="7"/>
  <c r="BP66" i="7"/>
  <c r="BQ66" i="7" s="1"/>
  <c r="BD66" i="7"/>
  <c r="BC67" i="7" s="1"/>
  <c r="BK66" i="7"/>
  <c r="BQ65" i="1"/>
  <c r="AR71" i="1"/>
  <c r="AJ73" i="1"/>
  <c r="AQ72" i="1"/>
  <c r="AL72" i="1"/>
  <c r="AE72" i="1"/>
  <c r="AD73" i="1" s="1"/>
  <c r="BP66" i="1"/>
  <c r="BK66" i="1"/>
  <c r="BI67" i="1"/>
  <c r="BD66" i="1"/>
  <c r="BC67" i="1" s="1"/>
  <c r="G363" i="4"/>
  <c r="G327" i="4"/>
  <c r="G328" i="4"/>
  <c r="DN30" i="4"/>
  <c r="DP30" i="4"/>
  <c r="AS22" i="4"/>
  <c r="AN22" i="4"/>
  <c r="AP22" i="4"/>
  <c r="N30" i="4"/>
  <c r="P30" i="4"/>
  <c r="BN30" i="4"/>
  <c r="BP30" i="4"/>
  <c r="CN29" i="4"/>
  <c r="CP29" i="4"/>
  <c r="CG29" i="4"/>
  <c r="CF30" i="4" s="1"/>
  <c r="CS29" i="4"/>
  <c r="CT29" i="4" s="1"/>
  <c r="G334" i="4"/>
  <c r="G359" i="4" s="1"/>
  <c r="G336" i="4"/>
  <c r="G360" i="4" s="1"/>
  <c r="C353" i="4"/>
  <c r="DG30" i="4"/>
  <c r="DF31" i="4" s="1"/>
  <c r="DS30" i="4"/>
  <c r="BG30" i="4"/>
  <c r="BF31" i="4" s="1"/>
  <c r="BS30" i="4"/>
  <c r="BT30" i="4" s="1"/>
  <c r="G30" i="4"/>
  <c r="F31" i="4" s="1"/>
  <c r="S30" i="4"/>
  <c r="T30" i="4" s="1"/>
  <c r="AG22" i="4"/>
  <c r="AL35" i="4"/>
  <c r="AL184" i="4" s="1"/>
  <c r="I234" i="4" s="1"/>
  <c r="L34" i="4"/>
  <c r="DT29" i="4"/>
  <c r="BL33" i="4"/>
  <c r="CL33" i="4"/>
  <c r="DL34" i="4"/>
  <c r="C293" i="1"/>
  <c r="C294" i="1" s="1"/>
  <c r="C295" i="1" s="1"/>
  <c r="C296" i="1" s="1"/>
  <c r="C297" i="1" s="1"/>
  <c r="C301" i="1" s="1"/>
  <c r="C302" i="1" s="1"/>
  <c r="CV150" i="1"/>
  <c r="J261" i="1" s="1"/>
  <c r="CV160" i="1"/>
  <c r="T261" i="1" s="1"/>
  <c r="CV158" i="1"/>
  <c r="R261" i="1" s="1"/>
  <c r="CV156" i="1"/>
  <c r="P261" i="1" s="1"/>
  <c r="CV154" i="1"/>
  <c r="N261" i="1" s="1"/>
  <c r="CV153" i="1"/>
  <c r="M261" i="1" s="1"/>
  <c r="CV152" i="1"/>
  <c r="L261" i="1" s="1"/>
  <c r="CV149" i="1"/>
  <c r="I261" i="1" s="1"/>
  <c r="CV148" i="1"/>
  <c r="H261" i="1" s="1"/>
  <c r="CV147" i="1"/>
  <c r="G261" i="1" s="1"/>
  <c r="CS161" i="1"/>
  <c r="U258" i="1" s="1"/>
  <c r="CS159" i="1"/>
  <c r="S258" i="1" s="1"/>
  <c r="CS158" i="1"/>
  <c r="R258" i="1" s="1"/>
  <c r="CS157" i="1"/>
  <c r="Q258" i="1" s="1"/>
  <c r="CS155" i="1"/>
  <c r="O258" i="1" s="1"/>
  <c r="CS154" i="1"/>
  <c r="N258" i="1" s="1"/>
  <c r="CS153" i="1"/>
  <c r="M258" i="1" s="1"/>
  <c r="CS151" i="1"/>
  <c r="K258" i="1" s="1"/>
  <c r="CS150" i="1"/>
  <c r="J258" i="1" s="1"/>
  <c r="CS149" i="1"/>
  <c r="I258" i="1" s="1"/>
  <c r="CS148" i="1"/>
  <c r="H258" i="1" s="1"/>
  <c r="CS147" i="1"/>
  <c r="G258" i="1" s="1"/>
  <c r="CS146" i="1"/>
  <c r="F258" i="1" s="1"/>
  <c r="W236" i="1"/>
  <c r="W287" i="1" s="1"/>
  <c r="V236" i="1"/>
  <c r="V287" i="1" s="1"/>
  <c r="U236" i="1"/>
  <c r="U287" i="1" s="1"/>
  <c r="T236" i="1"/>
  <c r="T287" i="1" s="1"/>
  <c r="S236" i="1"/>
  <c r="S287" i="1" s="1"/>
  <c r="R236" i="1"/>
  <c r="R287" i="1" s="1"/>
  <c r="Q236" i="1"/>
  <c r="Q287" i="1" s="1"/>
  <c r="P236" i="1"/>
  <c r="P287" i="1" s="1"/>
  <c r="O236" i="1"/>
  <c r="O287" i="1" s="1"/>
  <c r="N236" i="1"/>
  <c r="N287" i="1" s="1"/>
  <c r="M236" i="1"/>
  <c r="M287" i="1" s="1"/>
  <c r="L236" i="1"/>
  <c r="L287" i="1" s="1"/>
  <c r="K236" i="1"/>
  <c r="K287" i="1" s="1"/>
  <c r="J236" i="1"/>
  <c r="J287" i="1" s="1"/>
  <c r="I236" i="1"/>
  <c r="I287" i="1" s="1"/>
  <c r="H236" i="1"/>
  <c r="G236" i="1"/>
  <c r="F236" i="1"/>
  <c r="W233" i="1"/>
  <c r="W284" i="1" s="1"/>
  <c r="V233" i="1"/>
  <c r="V284" i="1" s="1"/>
  <c r="U233" i="1"/>
  <c r="U284" i="1" s="1"/>
  <c r="T233" i="1"/>
  <c r="T284" i="1" s="1"/>
  <c r="S233" i="1"/>
  <c r="S284" i="1" s="1"/>
  <c r="R233" i="1"/>
  <c r="R284" i="1" s="1"/>
  <c r="Q233" i="1"/>
  <c r="Q284" i="1" s="1"/>
  <c r="P233" i="1"/>
  <c r="P284" i="1" s="1"/>
  <c r="O233" i="1"/>
  <c r="O284" i="1" s="1"/>
  <c r="N233" i="1"/>
  <c r="N284" i="1" s="1"/>
  <c r="M233" i="1"/>
  <c r="M284" i="1" s="1"/>
  <c r="L233" i="1"/>
  <c r="L284" i="1" s="1"/>
  <c r="K233" i="1"/>
  <c r="K284" i="1" s="1"/>
  <c r="J233" i="1"/>
  <c r="J284" i="1" s="1"/>
  <c r="I233" i="1"/>
  <c r="I284" i="1" s="1"/>
  <c r="H233" i="1"/>
  <c r="G233" i="1"/>
  <c r="F233" i="1"/>
  <c r="Y162" i="1"/>
  <c r="Y161" i="1"/>
  <c r="Y160" i="1"/>
  <c r="Y159" i="1"/>
  <c r="Y158" i="1"/>
  <c r="Y157" i="1"/>
  <c r="Y156" i="1"/>
  <c r="Y155" i="1"/>
  <c r="Y154" i="1"/>
  <c r="Y153" i="1"/>
  <c r="E163" i="9" l="1"/>
  <c r="M163" i="9" s="1"/>
  <c r="R132" i="9"/>
  <c r="S132" i="9" s="1"/>
  <c r="M132" i="9"/>
  <c r="E133" i="9"/>
  <c r="F133" i="9" s="1"/>
  <c r="V293" i="9"/>
  <c r="V327" i="9"/>
  <c r="V344" i="9" s="1"/>
  <c r="T12" i="5" s="1"/>
  <c r="BC163" i="9"/>
  <c r="W192" i="9"/>
  <c r="AQ163" i="9"/>
  <c r="W205" i="9" s="1"/>
  <c r="AN163" i="9"/>
  <c r="W202" i="9" s="1"/>
  <c r="W241" i="9"/>
  <c r="CO163" i="9"/>
  <c r="W254" i="9" s="1"/>
  <c r="R302" i="7"/>
  <c r="R371" i="7"/>
  <c r="HJ158" i="7"/>
  <c r="R358" i="7"/>
  <c r="GK158" i="7"/>
  <c r="R348" i="7" s="1"/>
  <c r="R335" i="7"/>
  <c r="EZ98" i="7"/>
  <c r="EY99" i="7" s="1"/>
  <c r="FL99" i="7" s="1"/>
  <c r="DO98" i="7"/>
  <c r="GF97" i="7"/>
  <c r="FY97" i="7"/>
  <c r="FX98" i="7" s="1"/>
  <c r="GK98" i="7" s="1"/>
  <c r="GL98" i="7" s="1"/>
  <c r="HE97" i="7"/>
  <c r="FL98" i="7"/>
  <c r="FM98" i="7" s="1"/>
  <c r="DG154" i="7"/>
  <c r="N271" i="7" s="1"/>
  <c r="HC154" i="7"/>
  <c r="N364" i="7" s="1"/>
  <c r="FE154" i="7"/>
  <c r="N318" i="7" s="1"/>
  <c r="GD154" i="7"/>
  <c r="N341" i="7" s="1"/>
  <c r="EF154" i="7"/>
  <c r="N295" i="7" s="1"/>
  <c r="GX97" i="7"/>
  <c r="GW98" i="7" s="1"/>
  <c r="HJ98" i="7" s="1"/>
  <c r="HJ97" i="7"/>
  <c r="HK97" i="7" s="1"/>
  <c r="CP66" i="7"/>
  <c r="HC99" i="7"/>
  <c r="HG99" i="7" s="1"/>
  <c r="GD98" i="7"/>
  <c r="GH98" i="7" s="1"/>
  <c r="FE99" i="7"/>
  <c r="FI99" i="7" s="1"/>
  <c r="EM99" i="7"/>
  <c r="EN99" i="7" s="1"/>
  <c r="EA99" i="7"/>
  <c r="DZ100" i="7" s="1"/>
  <c r="EH99" i="7"/>
  <c r="EF100" i="7"/>
  <c r="EJ100" i="7" s="1"/>
  <c r="DN99" i="7"/>
  <c r="DB99" i="7"/>
  <c r="DA100" i="7" s="1"/>
  <c r="DI99" i="7"/>
  <c r="DG99" i="7"/>
  <c r="DK99" i="7" s="1"/>
  <c r="E156" i="8"/>
  <c r="R83" i="8"/>
  <c r="S83" i="8" s="1"/>
  <c r="F83" i="8"/>
  <c r="E84" i="8" s="1"/>
  <c r="M83" i="8"/>
  <c r="AJ96" i="8"/>
  <c r="AN95" i="8"/>
  <c r="DK93" i="8"/>
  <c r="DG94" i="8"/>
  <c r="O93" i="8"/>
  <c r="K94" i="8"/>
  <c r="P192" i="8"/>
  <c r="AQ156" i="8"/>
  <c r="P205" i="8" s="1"/>
  <c r="AN156" i="8"/>
  <c r="P202" i="8" s="1"/>
  <c r="O291" i="8"/>
  <c r="O325" i="8"/>
  <c r="CH96" i="8"/>
  <c r="CO84" i="8"/>
  <c r="CC84" i="8"/>
  <c r="CB85" i="8" s="1"/>
  <c r="CJ84" i="8"/>
  <c r="CL84" i="8"/>
  <c r="BI95" i="8"/>
  <c r="BM94" i="8"/>
  <c r="AQ84" i="8"/>
  <c r="AR84" i="8" s="1"/>
  <c r="AE84" i="8"/>
  <c r="AD85" i="8" s="1"/>
  <c r="AL84" i="8"/>
  <c r="BC156" i="8"/>
  <c r="BP83" i="8"/>
  <c r="BQ83" i="8" s="1"/>
  <c r="BD83" i="8"/>
  <c r="BC84" i="8" s="1"/>
  <c r="BK83" i="8"/>
  <c r="DB94" i="8"/>
  <c r="DA95" i="8" s="1"/>
  <c r="DN94" i="8"/>
  <c r="DO94" i="8" s="1"/>
  <c r="DI94" i="8"/>
  <c r="CP83" i="8"/>
  <c r="N223" i="7"/>
  <c r="AE71" i="7"/>
  <c r="AD72" i="7" s="1"/>
  <c r="AL71" i="7"/>
  <c r="AQ71" i="7"/>
  <c r="AR71" i="7" s="1"/>
  <c r="E69" i="7"/>
  <c r="F153" i="7"/>
  <c r="M170" i="7" s="1"/>
  <c r="S68" i="7"/>
  <c r="BP67" i="7"/>
  <c r="BQ67" i="7" s="1"/>
  <c r="BD67" i="7"/>
  <c r="BC68" i="7" s="1"/>
  <c r="BK67" i="7"/>
  <c r="BI77" i="7"/>
  <c r="BM77" i="7" s="1"/>
  <c r="CH154" i="7"/>
  <c r="CH76" i="7"/>
  <c r="K154" i="7"/>
  <c r="K76" i="7"/>
  <c r="O76" i="7" s="1"/>
  <c r="AJ75" i="7"/>
  <c r="AN75" i="7" s="1"/>
  <c r="CO67" i="7"/>
  <c r="CC67" i="7"/>
  <c r="CB68" i="7" s="1"/>
  <c r="CJ67" i="7"/>
  <c r="CL67" i="7"/>
  <c r="N189" i="1"/>
  <c r="AR72" i="1"/>
  <c r="BQ66" i="1"/>
  <c r="AQ73" i="1"/>
  <c r="AE73" i="1"/>
  <c r="AD74" i="1" s="1"/>
  <c r="AL73" i="1"/>
  <c r="AJ74" i="1"/>
  <c r="BP67" i="1"/>
  <c r="BK67" i="1"/>
  <c r="BI68" i="1"/>
  <c r="BI153" i="1" s="1"/>
  <c r="M223" i="1" s="1"/>
  <c r="BD67" i="1"/>
  <c r="BC68" i="1" s="1"/>
  <c r="CS162" i="1"/>
  <c r="V258" i="1" s="1"/>
  <c r="CV157" i="1"/>
  <c r="Q261" i="1" s="1"/>
  <c r="CV161" i="1"/>
  <c r="U261" i="1" s="1"/>
  <c r="CV162" i="1"/>
  <c r="V261" i="1" s="1"/>
  <c r="CS152" i="1"/>
  <c r="L258" i="1" s="1"/>
  <c r="CS156" i="1"/>
  <c r="P258" i="1" s="1"/>
  <c r="CS160" i="1"/>
  <c r="T258" i="1" s="1"/>
  <c r="CV146" i="1"/>
  <c r="F261" i="1" s="1"/>
  <c r="CV151" i="1"/>
  <c r="K261" i="1" s="1"/>
  <c r="CV155" i="1"/>
  <c r="O261" i="1" s="1"/>
  <c r="CV159" i="1"/>
  <c r="S261" i="1" s="1"/>
  <c r="G353" i="4"/>
  <c r="G343" i="4"/>
  <c r="N31" i="4"/>
  <c r="P31" i="4"/>
  <c r="BN31" i="4"/>
  <c r="BP31" i="4"/>
  <c r="DN31" i="4"/>
  <c r="DP31" i="4"/>
  <c r="CN30" i="4"/>
  <c r="CP30" i="4"/>
  <c r="CG30" i="4"/>
  <c r="CF31" i="4" s="1"/>
  <c r="CS30" i="4"/>
  <c r="CT30" i="4" s="1"/>
  <c r="C354" i="4"/>
  <c r="DG31" i="4"/>
  <c r="DF32" i="4" s="1"/>
  <c r="DS31" i="4"/>
  <c r="BG31" i="4"/>
  <c r="BF32" i="4" s="1"/>
  <c r="BS31" i="4"/>
  <c r="BT31" i="4" s="1"/>
  <c r="G31" i="4"/>
  <c r="F32" i="4" s="1"/>
  <c r="S31" i="4"/>
  <c r="T31" i="4" s="1"/>
  <c r="AF23" i="4"/>
  <c r="AT22" i="4"/>
  <c r="DT30" i="4"/>
  <c r="L35" i="4"/>
  <c r="L184" i="4" s="1"/>
  <c r="I210" i="4" s="1"/>
  <c r="DL35" i="4"/>
  <c r="DL184" i="4" s="1"/>
  <c r="I306" i="4" s="1"/>
  <c r="CL34" i="4"/>
  <c r="BL34" i="4"/>
  <c r="AL36" i="4"/>
  <c r="CG131" i="1"/>
  <c r="CG130" i="1"/>
  <c r="CG129" i="1"/>
  <c r="CG128" i="1"/>
  <c r="CG127" i="1"/>
  <c r="CG126" i="1"/>
  <c r="BZ126" i="1"/>
  <c r="CV125" i="1"/>
  <c r="CS125" i="1"/>
  <c r="CG125" i="1"/>
  <c r="CG124" i="1"/>
  <c r="CG123" i="1"/>
  <c r="CG122" i="1"/>
  <c r="CG121" i="1"/>
  <c r="CG120" i="1"/>
  <c r="CG119" i="1"/>
  <c r="BZ119" i="1"/>
  <c r="CV118" i="1"/>
  <c r="CS118" i="1"/>
  <c r="CG118" i="1"/>
  <c r="CG117" i="1"/>
  <c r="CG116" i="1"/>
  <c r="CG115" i="1"/>
  <c r="CG114" i="1"/>
  <c r="CG113" i="1"/>
  <c r="CG112" i="1"/>
  <c r="BZ112" i="1"/>
  <c r="CV111" i="1"/>
  <c r="CS111" i="1"/>
  <c r="CG111" i="1"/>
  <c r="CG110" i="1"/>
  <c r="CG109" i="1"/>
  <c r="CG108" i="1"/>
  <c r="CG107" i="1"/>
  <c r="CG106" i="1"/>
  <c r="CG105" i="1"/>
  <c r="BZ105" i="1"/>
  <c r="CV104" i="1"/>
  <c r="CS104" i="1"/>
  <c r="CG104" i="1"/>
  <c r="CG103" i="1"/>
  <c r="CG102" i="1"/>
  <c r="CG101" i="1"/>
  <c r="CG100" i="1"/>
  <c r="CG99" i="1"/>
  <c r="CG98" i="1"/>
  <c r="BZ98" i="1"/>
  <c r="CV97" i="1"/>
  <c r="CS97" i="1"/>
  <c r="CG97" i="1"/>
  <c r="CG96" i="1"/>
  <c r="CG95" i="1"/>
  <c r="CG94" i="1"/>
  <c r="CG93" i="1"/>
  <c r="CG92" i="1"/>
  <c r="CG91" i="1"/>
  <c r="BZ91" i="1"/>
  <c r="CV90" i="1"/>
  <c r="CS90" i="1"/>
  <c r="CG90" i="1"/>
  <c r="CG89" i="1"/>
  <c r="CG88" i="1"/>
  <c r="CG87" i="1"/>
  <c r="CG86" i="1"/>
  <c r="CG85" i="1"/>
  <c r="CG84" i="1"/>
  <c r="BZ84" i="1"/>
  <c r="CV83" i="1"/>
  <c r="CS83" i="1"/>
  <c r="CG83" i="1"/>
  <c r="CG82" i="1"/>
  <c r="CG81" i="1"/>
  <c r="CG80" i="1"/>
  <c r="CG79" i="1"/>
  <c r="CG78" i="1"/>
  <c r="CG77" i="1"/>
  <c r="BZ77" i="1"/>
  <c r="CV76" i="1"/>
  <c r="CS76" i="1"/>
  <c r="CG76" i="1"/>
  <c r="CG75" i="1"/>
  <c r="CG74" i="1"/>
  <c r="CG73" i="1"/>
  <c r="CG72" i="1"/>
  <c r="CG71" i="1"/>
  <c r="CG70" i="1"/>
  <c r="BZ70" i="1"/>
  <c r="CV69" i="1"/>
  <c r="CS69" i="1"/>
  <c r="CG69" i="1"/>
  <c r="CG68" i="1"/>
  <c r="CG67" i="1"/>
  <c r="CG66" i="1"/>
  <c r="CG65" i="1"/>
  <c r="CG64" i="1"/>
  <c r="CG63" i="1"/>
  <c r="BZ63" i="1"/>
  <c r="CV62" i="1"/>
  <c r="CS62" i="1"/>
  <c r="CG62" i="1"/>
  <c r="CG61" i="1"/>
  <c r="CG60" i="1"/>
  <c r="CG59" i="1"/>
  <c r="CG58" i="1"/>
  <c r="CG57" i="1"/>
  <c r="CG56" i="1"/>
  <c r="BZ56" i="1"/>
  <c r="CV55" i="1"/>
  <c r="CS55" i="1"/>
  <c r="CG55" i="1"/>
  <c r="CG54" i="1"/>
  <c r="CG53" i="1"/>
  <c r="CG52" i="1"/>
  <c r="CG51" i="1"/>
  <c r="CG50" i="1"/>
  <c r="CG49" i="1"/>
  <c r="BZ49" i="1"/>
  <c r="CV48" i="1"/>
  <c r="CS48" i="1"/>
  <c r="CG48" i="1"/>
  <c r="CG47" i="1"/>
  <c r="CG46" i="1"/>
  <c r="CG45" i="1"/>
  <c r="CG44" i="1"/>
  <c r="CG43" i="1"/>
  <c r="CG42" i="1"/>
  <c r="BZ42" i="1"/>
  <c r="CV41" i="1"/>
  <c r="CS41" i="1"/>
  <c r="CG41" i="1"/>
  <c r="CG40" i="1"/>
  <c r="CG39" i="1"/>
  <c r="CG38" i="1"/>
  <c r="CG37" i="1"/>
  <c r="CG36" i="1"/>
  <c r="CG35" i="1"/>
  <c r="BZ35" i="1"/>
  <c r="CV34" i="1"/>
  <c r="CS34" i="1"/>
  <c r="CG34" i="1"/>
  <c r="CG33" i="1"/>
  <c r="CG32" i="1"/>
  <c r="CG31" i="1"/>
  <c r="CG30" i="1"/>
  <c r="CG29" i="1"/>
  <c r="CG28" i="1"/>
  <c r="BZ28" i="1"/>
  <c r="CV27" i="1"/>
  <c r="CS27" i="1"/>
  <c r="CG27" i="1"/>
  <c r="CG26" i="1"/>
  <c r="CG25" i="1"/>
  <c r="CG24" i="1"/>
  <c r="CG23" i="1"/>
  <c r="CG22" i="1"/>
  <c r="CG21" i="1"/>
  <c r="BZ21" i="1"/>
  <c r="CV20" i="1"/>
  <c r="CS20" i="1"/>
  <c r="CG20" i="1"/>
  <c r="CG19" i="1"/>
  <c r="CG18" i="1"/>
  <c r="CG17" i="1"/>
  <c r="CG16" i="1"/>
  <c r="CG15" i="1"/>
  <c r="CG14" i="1"/>
  <c r="BZ14" i="1"/>
  <c r="CV13" i="1"/>
  <c r="CS13" i="1"/>
  <c r="CG13" i="1"/>
  <c r="CG12" i="1"/>
  <c r="CG11" i="1"/>
  <c r="CG10" i="1"/>
  <c r="CG9" i="1"/>
  <c r="CH9" i="1" s="1"/>
  <c r="BZ7" i="1"/>
  <c r="CV6" i="1"/>
  <c r="W169" i="9" l="1"/>
  <c r="R163" i="9"/>
  <c r="W182" i="9" s="1"/>
  <c r="W177" i="9"/>
  <c r="O163" i="9"/>
  <c r="W179" i="9" s="1"/>
  <c r="W217" i="9"/>
  <c r="BP163" i="9"/>
  <c r="W230" i="9" s="1"/>
  <c r="R133" i="9"/>
  <c r="S133" i="9" s="1"/>
  <c r="E134" i="9"/>
  <c r="F134" i="9" s="1"/>
  <c r="M133" i="9"/>
  <c r="DO99" i="7"/>
  <c r="FM99" i="7"/>
  <c r="GF98" i="7"/>
  <c r="EZ99" i="7"/>
  <c r="EY100" i="7" s="1"/>
  <c r="EZ100" i="7" s="1"/>
  <c r="EY101" i="7" s="1"/>
  <c r="FG99" i="7"/>
  <c r="FY98" i="7"/>
  <c r="FX99" i="7" s="1"/>
  <c r="GK99" i="7" s="1"/>
  <c r="GL99" i="7" s="1"/>
  <c r="GX98" i="7"/>
  <c r="GW99" i="7" s="1"/>
  <c r="HE99" i="7" s="1"/>
  <c r="HE98" i="7"/>
  <c r="CP67" i="7"/>
  <c r="HK98" i="7"/>
  <c r="HC100" i="7"/>
  <c r="HG100" i="7" s="1"/>
  <c r="GD99" i="7"/>
  <c r="GH99" i="7" s="1"/>
  <c r="FE100" i="7"/>
  <c r="FI100" i="7" s="1"/>
  <c r="EM100" i="7"/>
  <c r="EN100" i="7" s="1"/>
  <c r="EA100" i="7"/>
  <c r="DZ101" i="7" s="1"/>
  <c r="EH100" i="7"/>
  <c r="EF101" i="7"/>
  <c r="EJ101" i="7" s="1"/>
  <c r="DN100" i="7"/>
  <c r="DO100" i="7" s="1"/>
  <c r="DB100" i="7"/>
  <c r="DA101" i="7" s="1"/>
  <c r="DI100" i="7"/>
  <c r="DG100" i="7"/>
  <c r="DK100" i="7" s="1"/>
  <c r="CO85" i="8"/>
  <c r="CC85" i="8"/>
  <c r="CB86" i="8" s="1"/>
  <c r="CJ85" i="8"/>
  <c r="CL85" i="8"/>
  <c r="BM95" i="8"/>
  <c r="BI96" i="8"/>
  <c r="BD84" i="8"/>
  <c r="BC85" i="8" s="1"/>
  <c r="BP84" i="8"/>
  <c r="BQ84" i="8" s="1"/>
  <c r="BK84" i="8"/>
  <c r="AE85" i="8"/>
  <c r="AD86" i="8" s="1"/>
  <c r="AQ85" i="8"/>
  <c r="AR85" i="8" s="1"/>
  <c r="AL85" i="8"/>
  <c r="DG157" i="8"/>
  <c r="Q270" i="8" s="1"/>
  <c r="CH157" i="8"/>
  <c r="Q247" i="8" s="1"/>
  <c r="CH97" i="8"/>
  <c r="DN95" i="8"/>
  <c r="DO95" i="8" s="1"/>
  <c r="DB95" i="8"/>
  <c r="DA96" i="8" s="1"/>
  <c r="DI95" i="8"/>
  <c r="P217" i="8"/>
  <c r="BP156" i="8"/>
  <c r="P230" i="8" s="1"/>
  <c r="CP84" i="8"/>
  <c r="CP85" i="8" s="1"/>
  <c r="AJ157" i="8"/>
  <c r="AN96" i="8"/>
  <c r="AJ97" i="8"/>
  <c r="P169" i="8"/>
  <c r="R156" i="8"/>
  <c r="P182" i="8" s="1"/>
  <c r="M156" i="8"/>
  <c r="P177" i="8" s="1"/>
  <c r="O156" i="8"/>
  <c r="P179" i="8" s="1"/>
  <c r="DK94" i="8"/>
  <c r="DG95" i="8"/>
  <c r="O94" i="8"/>
  <c r="K95" i="8"/>
  <c r="R84" i="8"/>
  <c r="S84" i="8" s="1"/>
  <c r="F84" i="8"/>
  <c r="E85" i="8" s="1"/>
  <c r="M84" i="8"/>
  <c r="BQ67" i="1"/>
  <c r="N247" i="7"/>
  <c r="AL72" i="7"/>
  <c r="AQ72" i="7"/>
  <c r="AR72" i="7" s="1"/>
  <c r="AE72" i="7"/>
  <c r="AD73" i="7" s="1"/>
  <c r="S153" i="7"/>
  <c r="F69" i="7"/>
  <c r="E70" i="7" s="1"/>
  <c r="E154" i="7"/>
  <c r="R69" i="7"/>
  <c r="M69" i="7"/>
  <c r="AJ154" i="7"/>
  <c r="AJ76" i="7"/>
  <c r="AN76" i="7" s="1"/>
  <c r="CH77" i="7"/>
  <c r="BK68" i="7"/>
  <c r="BP68" i="7"/>
  <c r="BQ68" i="7" s="1"/>
  <c r="BD68" i="7"/>
  <c r="BM153" i="7"/>
  <c r="M227" i="7" s="1"/>
  <c r="BI78" i="7"/>
  <c r="BM78" i="7" s="1"/>
  <c r="CO68" i="7"/>
  <c r="CC68" i="7"/>
  <c r="CJ68" i="7"/>
  <c r="CL68" i="7"/>
  <c r="N175" i="7"/>
  <c r="K77" i="7"/>
  <c r="O77" i="7" s="1"/>
  <c r="AR73" i="1"/>
  <c r="AQ74" i="1"/>
  <c r="AE74" i="1"/>
  <c r="AD75" i="1" s="1"/>
  <c r="AL74" i="1"/>
  <c r="AJ75" i="1"/>
  <c r="AJ154" i="1" s="1"/>
  <c r="AN154" i="1" s="1"/>
  <c r="BP68" i="1"/>
  <c r="BK68" i="1"/>
  <c r="BI69" i="1"/>
  <c r="BM153" i="1"/>
  <c r="BD68" i="1"/>
  <c r="F285" i="1"/>
  <c r="CT7" i="1"/>
  <c r="CV7" i="1" s="1"/>
  <c r="BZ15" i="1"/>
  <c r="CT15" i="1" s="1"/>
  <c r="CV15" i="1" s="1"/>
  <c r="CT14" i="1"/>
  <c r="CV14" i="1" s="1"/>
  <c r="BZ29" i="1"/>
  <c r="CT29" i="1" s="1"/>
  <c r="CV29" i="1" s="1"/>
  <c r="CT28" i="1"/>
  <c r="CV28" i="1" s="1"/>
  <c r="CT42" i="1"/>
  <c r="CV42" i="1" s="1"/>
  <c r="BZ57" i="1"/>
  <c r="CT57" i="1" s="1"/>
  <c r="CV57" i="1" s="1"/>
  <c r="CT56" i="1"/>
  <c r="CV56" i="1" s="1"/>
  <c r="CT70" i="1"/>
  <c r="CV70" i="1" s="1"/>
  <c r="BZ85" i="1"/>
  <c r="CT84" i="1"/>
  <c r="CV84" i="1" s="1"/>
  <c r="CT98" i="1"/>
  <c r="CV98" i="1" s="1"/>
  <c r="CT112" i="1"/>
  <c r="CV112" i="1" s="1"/>
  <c r="BZ127" i="1"/>
  <c r="CT126" i="1"/>
  <c r="CV126" i="1" s="1"/>
  <c r="BZ22" i="1"/>
  <c r="CT22" i="1" s="1"/>
  <c r="CV22" i="1" s="1"/>
  <c r="CT21" i="1"/>
  <c r="CV21" i="1" s="1"/>
  <c r="BZ36" i="1"/>
  <c r="CT36" i="1" s="1"/>
  <c r="CV36" i="1" s="1"/>
  <c r="CT35" i="1"/>
  <c r="CV35" i="1" s="1"/>
  <c r="CT49" i="1"/>
  <c r="CV49" i="1" s="1"/>
  <c r="BZ64" i="1"/>
  <c r="CT63" i="1"/>
  <c r="CV63" i="1" s="1"/>
  <c r="BZ78" i="1"/>
  <c r="CT78" i="1" s="1"/>
  <c r="CV78" i="1" s="1"/>
  <c r="CT77" i="1"/>
  <c r="CV77" i="1" s="1"/>
  <c r="CT91" i="1"/>
  <c r="CV91" i="1" s="1"/>
  <c r="BZ106" i="1"/>
  <c r="CT106" i="1" s="1"/>
  <c r="CV106" i="1" s="1"/>
  <c r="CT105" i="1"/>
  <c r="CV105" i="1" s="1"/>
  <c r="BZ120" i="1"/>
  <c r="CT120" i="1" s="1"/>
  <c r="CV120" i="1" s="1"/>
  <c r="CT119" i="1"/>
  <c r="CV119" i="1" s="1"/>
  <c r="C303" i="1"/>
  <c r="C304" i="1" s="1"/>
  <c r="C305" i="1" s="1"/>
  <c r="C306" i="1" s="1"/>
  <c r="C307" i="1" s="1"/>
  <c r="AL37" i="4"/>
  <c r="CN31" i="4"/>
  <c r="CP31" i="4"/>
  <c r="CS31" i="4"/>
  <c r="CT31" i="4" s="1"/>
  <c r="CG31" i="4"/>
  <c r="CF32" i="4" s="1"/>
  <c r="AS23" i="4"/>
  <c r="AN23" i="4"/>
  <c r="AP23" i="4"/>
  <c r="N32" i="4"/>
  <c r="P32" i="4"/>
  <c r="BN32" i="4"/>
  <c r="BP32" i="4"/>
  <c r="DN32" i="4"/>
  <c r="DP32" i="4"/>
  <c r="C358" i="4"/>
  <c r="DG32" i="4"/>
  <c r="DF33" i="4" s="1"/>
  <c r="DS32" i="4"/>
  <c r="BG32" i="4"/>
  <c r="BF33" i="4" s="1"/>
  <c r="BS32" i="4"/>
  <c r="BT32" i="4" s="1"/>
  <c r="G32" i="4"/>
  <c r="F33" i="4" s="1"/>
  <c r="S32" i="4"/>
  <c r="T32" i="4" s="1"/>
  <c r="AG23" i="4"/>
  <c r="DT31" i="4"/>
  <c r="CL35" i="4"/>
  <c r="CL184" i="4" s="1"/>
  <c r="I283" i="4" s="1"/>
  <c r="DL36" i="4"/>
  <c r="BL35" i="4"/>
  <c r="BL184" i="4" s="1"/>
  <c r="I258" i="4" s="1"/>
  <c r="L36" i="4"/>
  <c r="BZ16" i="1"/>
  <c r="CT16" i="1" s="1"/>
  <c r="BZ8" i="1"/>
  <c r="BZ43" i="1"/>
  <c r="CT43" i="1" s="1"/>
  <c r="BZ50" i="1"/>
  <c r="CT50" i="1" s="1"/>
  <c r="BZ99" i="1"/>
  <c r="CT99" i="1" s="1"/>
  <c r="BZ71" i="1"/>
  <c r="CT71" i="1" s="1"/>
  <c r="BZ92" i="1"/>
  <c r="CT92" i="1" s="1"/>
  <c r="BZ113" i="1"/>
  <c r="CT113" i="1" s="1"/>
  <c r="W305" i="9" l="1"/>
  <c r="W330" i="9" s="1"/>
  <c r="W292" i="9"/>
  <c r="W307" i="9" s="1"/>
  <c r="W317" i="9"/>
  <c r="W343" i="9" s="1"/>
  <c r="U11" i="5" s="1"/>
  <c r="R134" i="9"/>
  <c r="S134" i="9" s="1"/>
  <c r="E135" i="9"/>
  <c r="F135" i="9" s="1"/>
  <c r="M134" i="9"/>
  <c r="O154" i="7"/>
  <c r="R154" i="7"/>
  <c r="FL100" i="7"/>
  <c r="FM100" i="7" s="1"/>
  <c r="FG100" i="7"/>
  <c r="GF99" i="7"/>
  <c r="FY99" i="7"/>
  <c r="FX100" i="7" s="1"/>
  <c r="GK100" i="7" s="1"/>
  <c r="GL100" i="7" s="1"/>
  <c r="GX99" i="7"/>
  <c r="GW100" i="7" s="1"/>
  <c r="GX100" i="7" s="1"/>
  <c r="GW101" i="7" s="1"/>
  <c r="CP68" i="7"/>
  <c r="HJ99" i="7"/>
  <c r="HK99" i="7" s="1"/>
  <c r="DB153" i="7"/>
  <c r="GX153" i="7"/>
  <c r="M359" i="7" s="1"/>
  <c r="FY153" i="7"/>
  <c r="M336" i="7" s="1"/>
  <c r="EZ153" i="7"/>
  <c r="M313" i="7" s="1"/>
  <c r="EA153" i="7"/>
  <c r="DO153" i="7"/>
  <c r="M279" i="7" s="1"/>
  <c r="HK153" i="7"/>
  <c r="M372" i="7" s="1"/>
  <c r="GL153" i="7"/>
  <c r="M349" i="7" s="1"/>
  <c r="FM153" i="7"/>
  <c r="M326" i="7" s="1"/>
  <c r="EN153" i="7"/>
  <c r="M303" i="7" s="1"/>
  <c r="HG153" i="7"/>
  <c r="M368" i="7" s="1"/>
  <c r="GH153" i="7"/>
  <c r="M345" i="7" s="1"/>
  <c r="FI153" i="7"/>
  <c r="M322" i="7" s="1"/>
  <c r="EJ153" i="7"/>
  <c r="M299" i="7" s="1"/>
  <c r="HC101" i="7"/>
  <c r="HG101" i="7" s="1"/>
  <c r="HJ100" i="7"/>
  <c r="HE100" i="7"/>
  <c r="GD100" i="7"/>
  <c r="GH100" i="7" s="1"/>
  <c r="FL101" i="7"/>
  <c r="FM101" i="7" s="1"/>
  <c r="EZ101" i="7"/>
  <c r="EY102" i="7" s="1"/>
  <c r="FG101" i="7"/>
  <c r="FE101" i="7"/>
  <c r="FI101" i="7" s="1"/>
  <c r="EM101" i="7"/>
  <c r="EN101" i="7" s="1"/>
  <c r="EA101" i="7"/>
  <c r="DZ102" i="7" s="1"/>
  <c r="EH101" i="7"/>
  <c r="EF102" i="7"/>
  <c r="EJ102" i="7" s="1"/>
  <c r="DN101" i="7"/>
  <c r="DO101" i="7" s="1"/>
  <c r="DB101" i="7"/>
  <c r="DA102" i="7" s="1"/>
  <c r="DI101" i="7"/>
  <c r="DG101" i="7"/>
  <c r="DK101" i="7" s="1"/>
  <c r="Q198" i="8"/>
  <c r="P290" i="8"/>
  <c r="P315" i="8"/>
  <c r="R85" i="8"/>
  <c r="S85" i="8" s="1"/>
  <c r="F85" i="8"/>
  <c r="E86" i="8" s="1"/>
  <c r="M85" i="8"/>
  <c r="O95" i="8"/>
  <c r="K96" i="8"/>
  <c r="AJ98" i="8"/>
  <c r="AN97" i="8"/>
  <c r="CP86" i="8"/>
  <c r="DN96" i="8"/>
  <c r="DO96" i="8" s="1"/>
  <c r="DB96" i="8"/>
  <c r="DA97" i="8" s="1"/>
  <c r="DI96" i="8"/>
  <c r="CH98" i="8"/>
  <c r="BP85" i="8"/>
  <c r="BQ85" i="8" s="1"/>
  <c r="BD85" i="8"/>
  <c r="BC86" i="8" s="1"/>
  <c r="BK85" i="8"/>
  <c r="DK95" i="8"/>
  <c r="DG96" i="8"/>
  <c r="AQ86" i="8"/>
  <c r="AR86" i="8" s="1"/>
  <c r="AE86" i="8"/>
  <c r="AD87" i="8" s="1"/>
  <c r="AL86" i="8"/>
  <c r="BI157" i="8"/>
  <c r="Q223" i="8" s="1"/>
  <c r="BI97" i="8"/>
  <c r="BM96" i="8"/>
  <c r="BM157" i="8" s="1"/>
  <c r="Q227" i="8" s="1"/>
  <c r="CO86" i="8"/>
  <c r="CC86" i="8"/>
  <c r="CB87" i="8" s="1"/>
  <c r="CJ86" i="8"/>
  <c r="CL86" i="8"/>
  <c r="N198" i="7"/>
  <c r="N390" i="7" s="1"/>
  <c r="AN154" i="7"/>
  <c r="N202" i="7" s="1"/>
  <c r="M183" i="7"/>
  <c r="M399" i="7" s="1"/>
  <c r="M184" i="7"/>
  <c r="M154" i="7"/>
  <c r="N169" i="7"/>
  <c r="BQ68" i="1"/>
  <c r="BQ153" i="1" s="1"/>
  <c r="CL153" i="7"/>
  <c r="DK153" i="7"/>
  <c r="M275" i="7" s="1"/>
  <c r="AL73" i="7"/>
  <c r="AE73" i="7"/>
  <c r="AD74" i="7" s="1"/>
  <c r="AQ73" i="7"/>
  <c r="AR73" i="7" s="1"/>
  <c r="F70" i="7"/>
  <c r="E71" i="7" s="1"/>
  <c r="R70" i="7"/>
  <c r="M70" i="7"/>
  <c r="N179" i="7"/>
  <c r="S69" i="7"/>
  <c r="CP153" i="7"/>
  <c r="BQ153" i="7"/>
  <c r="M231" i="7" s="1"/>
  <c r="K78" i="7"/>
  <c r="O78" i="7" s="1"/>
  <c r="AJ77" i="7"/>
  <c r="AN77" i="7" s="1"/>
  <c r="N198" i="1"/>
  <c r="BI79" i="7"/>
  <c r="BM79" i="7" s="1"/>
  <c r="CC153" i="7"/>
  <c r="CB69" i="7"/>
  <c r="CH78" i="7"/>
  <c r="BD153" i="7"/>
  <c r="BC69" i="7"/>
  <c r="BZ79" i="1"/>
  <c r="CT79" i="1" s="1"/>
  <c r="CV79" i="1" s="1"/>
  <c r="AR74" i="1"/>
  <c r="AQ75" i="1"/>
  <c r="AE75" i="1"/>
  <c r="AD76" i="1" s="1"/>
  <c r="AL75" i="1"/>
  <c r="AJ76" i="1"/>
  <c r="BC69" i="1"/>
  <c r="BC154" i="1" s="1"/>
  <c r="N217" i="1" s="1"/>
  <c r="BD153" i="1"/>
  <c r="M218" i="1" s="1"/>
  <c r="CT8" i="1"/>
  <c r="CV8" i="1" s="1"/>
  <c r="BI70" i="1"/>
  <c r="BZ107" i="1"/>
  <c r="CT107" i="1" s="1"/>
  <c r="CV107" i="1" s="1"/>
  <c r="BZ37" i="1"/>
  <c r="CT37" i="1" s="1"/>
  <c r="CV37" i="1" s="1"/>
  <c r="BZ23" i="1"/>
  <c r="CT23" i="1" s="1"/>
  <c r="BZ121" i="1"/>
  <c r="CT121" i="1" s="1"/>
  <c r="BZ58" i="1"/>
  <c r="CT58" i="1" s="1"/>
  <c r="CV58" i="1" s="1"/>
  <c r="BZ30" i="1"/>
  <c r="CT30" i="1" s="1"/>
  <c r="CV30" i="1" s="1"/>
  <c r="BZ128" i="1"/>
  <c r="CT127" i="1"/>
  <c r="CV127" i="1" s="1"/>
  <c r="BZ65" i="1"/>
  <c r="CT64" i="1"/>
  <c r="CV64" i="1" s="1"/>
  <c r="BZ86" i="1"/>
  <c r="CT85" i="1"/>
  <c r="CV85" i="1" s="1"/>
  <c r="G358" i="4"/>
  <c r="F358" i="4"/>
  <c r="N33" i="4"/>
  <c r="P33" i="4"/>
  <c r="BN33" i="4"/>
  <c r="BP33" i="4"/>
  <c r="DN33" i="4"/>
  <c r="DP33" i="4"/>
  <c r="CN32" i="4"/>
  <c r="CP32" i="4"/>
  <c r="CG32" i="4"/>
  <c r="CF33" i="4" s="1"/>
  <c r="CS32" i="4"/>
  <c r="CT32" i="4" s="1"/>
  <c r="BM8" i="4"/>
  <c r="M8" i="4"/>
  <c r="DM8" i="4"/>
  <c r="CM8" i="4"/>
  <c r="AM8" i="4"/>
  <c r="AM9" i="4"/>
  <c r="CM9" i="4"/>
  <c r="M9" i="4"/>
  <c r="BM9" i="4"/>
  <c r="DM9" i="4"/>
  <c r="BM10" i="4"/>
  <c r="AM10" i="4"/>
  <c r="CM10" i="4"/>
  <c r="M10" i="4"/>
  <c r="DM10" i="4"/>
  <c r="AM11" i="4"/>
  <c r="CM11" i="4"/>
  <c r="M11" i="4"/>
  <c r="DM11" i="4"/>
  <c r="BM11" i="4"/>
  <c r="AM12" i="4"/>
  <c r="BM12" i="4"/>
  <c r="DM12" i="4"/>
  <c r="M12" i="4"/>
  <c r="CM12" i="4"/>
  <c r="AM13" i="4"/>
  <c r="DM13" i="4"/>
  <c r="M13" i="4"/>
  <c r="CM13" i="4"/>
  <c r="BM13" i="4"/>
  <c r="CM14" i="4"/>
  <c r="CM181" i="4" s="1"/>
  <c r="F284" i="4" s="1"/>
  <c r="DM14" i="4"/>
  <c r="DM181" i="4" s="1"/>
  <c r="F307" i="4" s="1"/>
  <c r="BM14" i="4"/>
  <c r="BM181" i="4" s="1"/>
  <c r="F259" i="4" s="1"/>
  <c r="M14" i="4"/>
  <c r="M181" i="4" s="1"/>
  <c r="F211" i="4" s="1"/>
  <c r="AM14" i="4"/>
  <c r="AM181" i="4" s="1"/>
  <c r="F235" i="4" s="1"/>
  <c r="G374" i="4"/>
  <c r="C359" i="4"/>
  <c r="C360" i="4" s="1"/>
  <c r="C361" i="4" s="1"/>
  <c r="C362" i="4" s="1"/>
  <c r="C363" i="4" s="1"/>
  <c r="C364" i="4" s="1"/>
  <c r="DG33" i="4"/>
  <c r="DF34" i="4" s="1"/>
  <c r="DS33" i="4"/>
  <c r="DT32" i="4"/>
  <c r="BG33" i="4"/>
  <c r="BF34" i="4" s="1"/>
  <c r="BS33" i="4"/>
  <c r="BT33" i="4" s="1"/>
  <c r="G33" i="4"/>
  <c r="F34" i="4" s="1"/>
  <c r="S33" i="4"/>
  <c r="T33" i="4" s="1"/>
  <c r="AF24" i="4"/>
  <c r="AT23" i="4"/>
  <c r="O106" i="4"/>
  <c r="O107" i="4"/>
  <c r="O108" i="4"/>
  <c r="O109" i="4"/>
  <c r="O110" i="4"/>
  <c r="O111" i="4"/>
  <c r="O112" i="4"/>
  <c r="O195" i="4" s="1"/>
  <c r="T213" i="4" s="1"/>
  <c r="DL37" i="4"/>
  <c r="CL36" i="4"/>
  <c r="BL36" i="4"/>
  <c r="L37" i="4"/>
  <c r="AL38" i="4"/>
  <c r="CC7" i="1"/>
  <c r="BZ100" i="1"/>
  <c r="CT100" i="1" s="1"/>
  <c r="CV99" i="1"/>
  <c r="BZ17" i="1"/>
  <c r="CT17" i="1" s="1"/>
  <c r="CV16" i="1"/>
  <c r="CV113" i="1"/>
  <c r="BZ114" i="1"/>
  <c r="CT114" i="1" s="1"/>
  <c r="CV71" i="1"/>
  <c r="BZ72" i="1"/>
  <c r="CT72" i="1" s="1"/>
  <c r="CV121" i="1"/>
  <c r="BZ38" i="1"/>
  <c r="CT38" i="1" s="1"/>
  <c r="CV50" i="1"/>
  <c r="BZ51" i="1"/>
  <c r="CT51" i="1" s="1"/>
  <c r="BZ9" i="1"/>
  <c r="BZ80" i="1"/>
  <c r="CT80" i="1" s="1"/>
  <c r="CV23" i="1"/>
  <c r="CV92" i="1"/>
  <c r="BZ93" i="1"/>
  <c r="CT93" i="1" s="1"/>
  <c r="BZ44" i="1"/>
  <c r="CT44" i="1" s="1"/>
  <c r="CV43" i="1"/>
  <c r="W300" i="9" l="1"/>
  <c r="W328" i="9" s="1"/>
  <c r="W331" i="9"/>
  <c r="W302" i="9"/>
  <c r="W329" i="9" s="1"/>
  <c r="E136" i="9"/>
  <c r="F136" i="9" s="1"/>
  <c r="M135" i="9"/>
  <c r="R135" i="9"/>
  <c r="S135" i="9" s="1"/>
  <c r="M266" i="7"/>
  <c r="M290" i="7"/>
  <c r="HK100" i="7"/>
  <c r="GF100" i="7"/>
  <c r="FY100" i="7"/>
  <c r="FX101" i="7" s="1"/>
  <c r="GF101" i="7" s="1"/>
  <c r="M251" i="7"/>
  <c r="DA154" i="7"/>
  <c r="N265" i="7" s="1"/>
  <c r="GW154" i="7"/>
  <c r="N358" i="7" s="1"/>
  <c r="FX154" i="7"/>
  <c r="N335" i="7" s="1"/>
  <c r="EY154" i="7"/>
  <c r="N312" i="7" s="1"/>
  <c r="DZ154" i="7"/>
  <c r="N289" i="7" s="1"/>
  <c r="HJ101" i="7"/>
  <c r="GX101" i="7"/>
  <c r="GW102" i="7" s="1"/>
  <c r="HE101" i="7"/>
  <c r="HC102" i="7"/>
  <c r="HG102" i="7" s="1"/>
  <c r="GD101" i="7"/>
  <c r="GH101" i="7" s="1"/>
  <c r="FL102" i="7"/>
  <c r="FM102" i="7" s="1"/>
  <c r="EZ102" i="7"/>
  <c r="EY103" i="7" s="1"/>
  <c r="FG102" i="7"/>
  <c r="FE102" i="7"/>
  <c r="FI102" i="7" s="1"/>
  <c r="EM102" i="7"/>
  <c r="EN102" i="7" s="1"/>
  <c r="EH102" i="7"/>
  <c r="EA102" i="7"/>
  <c r="DZ103" i="7" s="1"/>
  <c r="EF103" i="7"/>
  <c r="DI102" i="7"/>
  <c r="DN102" i="7"/>
  <c r="DO102" i="7" s="1"/>
  <c r="DB102" i="7"/>
  <c r="DA103" i="7" s="1"/>
  <c r="DG102" i="7"/>
  <c r="DK102" i="7" s="1"/>
  <c r="DG97" i="8"/>
  <c r="DK96" i="8"/>
  <c r="DN97" i="8"/>
  <c r="DO97" i="8" s="1"/>
  <c r="DB97" i="8"/>
  <c r="DA98" i="8" s="1"/>
  <c r="DI97" i="8"/>
  <c r="AN98" i="8"/>
  <c r="AJ99" i="8"/>
  <c r="M86" i="8"/>
  <c r="F86" i="8"/>
  <c r="E87" i="8" s="1"/>
  <c r="R86" i="8"/>
  <c r="S86" i="8" s="1"/>
  <c r="P298" i="8"/>
  <c r="P326" i="8" s="1"/>
  <c r="P305" i="8"/>
  <c r="P329" i="8" s="1"/>
  <c r="P300" i="8"/>
  <c r="P327" i="8" s="1"/>
  <c r="BM97" i="8"/>
  <c r="BI98" i="8"/>
  <c r="BP86" i="8"/>
  <c r="BQ86" i="8" s="1"/>
  <c r="BD86" i="8"/>
  <c r="BC87" i="8" s="1"/>
  <c r="BK86" i="8"/>
  <c r="CJ87" i="8"/>
  <c r="CC87" i="8"/>
  <c r="CB88" i="8" s="1"/>
  <c r="CO87" i="8"/>
  <c r="CL87" i="8"/>
  <c r="K157" i="8"/>
  <c r="K97" i="8"/>
  <c r="O96" i="8"/>
  <c r="AQ87" i="8"/>
  <c r="AR87" i="8" s="1"/>
  <c r="AE87" i="8"/>
  <c r="AD88" i="8" s="1"/>
  <c r="AL87" i="8"/>
  <c r="CH99" i="8"/>
  <c r="CP87" i="8"/>
  <c r="AD155" i="1"/>
  <c r="O192" i="1" s="1"/>
  <c r="AE154" i="1"/>
  <c r="N193" i="1" s="1"/>
  <c r="M242" i="7"/>
  <c r="M423" i="7"/>
  <c r="M255" i="7"/>
  <c r="S70" i="7"/>
  <c r="M218" i="7"/>
  <c r="AL74" i="7"/>
  <c r="AQ74" i="7"/>
  <c r="AR74" i="7" s="1"/>
  <c r="AE74" i="7"/>
  <c r="AD75" i="7" s="1"/>
  <c r="F71" i="7"/>
  <c r="E72" i="7" s="1"/>
  <c r="R71" i="7"/>
  <c r="M71" i="7"/>
  <c r="N426" i="7"/>
  <c r="L34" i="5" s="1"/>
  <c r="BI80" i="7"/>
  <c r="BM80" i="7" s="1"/>
  <c r="AJ78" i="7"/>
  <c r="AN78" i="7" s="1"/>
  <c r="BC154" i="7"/>
  <c r="BP154" i="7" s="1"/>
  <c r="BP69" i="7"/>
  <c r="BQ69" i="7" s="1"/>
  <c r="BD69" i="7"/>
  <c r="BC70" i="7" s="1"/>
  <c r="BK69" i="7"/>
  <c r="CH79" i="7"/>
  <c r="K79" i="7"/>
  <c r="O79" i="7" s="1"/>
  <c r="CB154" i="7"/>
  <c r="CC69" i="7"/>
  <c r="CB70" i="7" s="1"/>
  <c r="CO69" i="7"/>
  <c r="CJ69" i="7"/>
  <c r="CL69" i="7"/>
  <c r="BZ108" i="1"/>
  <c r="CT108" i="1" s="1"/>
  <c r="CV108" i="1" s="1"/>
  <c r="AR75" i="1"/>
  <c r="AR154" i="1" s="1"/>
  <c r="N206" i="1" s="1"/>
  <c r="BK69" i="1"/>
  <c r="BD69" i="1"/>
  <c r="BC70" i="1" s="1"/>
  <c r="BK70" i="1" s="1"/>
  <c r="AQ76" i="1"/>
  <c r="AE76" i="1"/>
  <c r="AD77" i="1" s="1"/>
  <c r="AL76" i="1"/>
  <c r="AJ77" i="1"/>
  <c r="BP69" i="1"/>
  <c r="BQ69" i="1" s="1"/>
  <c r="BZ24" i="1"/>
  <c r="CT24" i="1" s="1"/>
  <c r="CV24" i="1" s="1"/>
  <c r="BI71" i="1"/>
  <c r="BZ122" i="1"/>
  <c r="CT122" i="1" s="1"/>
  <c r="CV122" i="1" s="1"/>
  <c r="BZ59" i="1"/>
  <c r="CT59" i="1" s="1"/>
  <c r="CV59" i="1" s="1"/>
  <c r="CT9" i="1"/>
  <c r="CV9" i="1" s="1"/>
  <c r="BZ31" i="1"/>
  <c r="CT31" i="1" s="1"/>
  <c r="CV31" i="1" s="1"/>
  <c r="BZ66" i="1"/>
  <c r="CT65" i="1"/>
  <c r="CV65" i="1" s="1"/>
  <c r="BZ87" i="1"/>
  <c r="CT86" i="1"/>
  <c r="CV86" i="1" s="1"/>
  <c r="BZ129" i="1"/>
  <c r="CT128" i="1"/>
  <c r="CV128" i="1" s="1"/>
  <c r="CB8" i="1"/>
  <c r="I350" i="4"/>
  <c r="DN34" i="4"/>
  <c r="DP34" i="4"/>
  <c r="AS24" i="4"/>
  <c r="AN24" i="4"/>
  <c r="AP24" i="4"/>
  <c r="N34" i="4"/>
  <c r="P34" i="4"/>
  <c r="BN34" i="4"/>
  <c r="BP34" i="4"/>
  <c r="CN33" i="4"/>
  <c r="CP33" i="4"/>
  <c r="CS33" i="4"/>
  <c r="CT33" i="4" s="1"/>
  <c r="CG33" i="4"/>
  <c r="CF34" i="4" s="1"/>
  <c r="DT33" i="4"/>
  <c r="DG34" i="4"/>
  <c r="DS34" i="4"/>
  <c r="BG34" i="4"/>
  <c r="BF35" i="4" s="1"/>
  <c r="BF184" i="4" s="1"/>
  <c r="I252" i="4" s="1"/>
  <c r="BS34" i="4"/>
  <c r="BT34" i="4" s="1"/>
  <c r="G34" i="4"/>
  <c r="F35" i="4" s="1"/>
  <c r="F184" i="4" s="1"/>
  <c r="I204" i="4" s="1"/>
  <c r="S34" i="4"/>
  <c r="T34" i="4" s="1"/>
  <c r="AG24" i="4"/>
  <c r="O113" i="4"/>
  <c r="O116" i="4"/>
  <c r="O114" i="4"/>
  <c r="O115" i="4"/>
  <c r="O117" i="4"/>
  <c r="O118" i="4"/>
  <c r="O119" i="4"/>
  <c r="O196" i="4" s="1"/>
  <c r="U213" i="4" s="1"/>
  <c r="DF35" i="4"/>
  <c r="DF184" i="4" s="1"/>
  <c r="I300" i="4" s="1"/>
  <c r="AL39" i="4"/>
  <c r="CL37" i="4"/>
  <c r="BL37" i="4"/>
  <c r="L38" i="4"/>
  <c r="DL38" i="4"/>
  <c r="CV114" i="1"/>
  <c r="BZ115" i="1"/>
  <c r="CT115" i="1" s="1"/>
  <c r="CV44" i="1"/>
  <c r="BZ45" i="1"/>
  <c r="CT45" i="1" s="1"/>
  <c r="CV72" i="1"/>
  <c r="BZ73" i="1"/>
  <c r="CT73" i="1" s="1"/>
  <c r="CV93" i="1"/>
  <c r="BZ94" i="1"/>
  <c r="CT94" i="1" s="1"/>
  <c r="BZ81" i="1"/>
  <c r="CT81" i="1" s="1"/>
  <c r="CV80" i="1"/>
  <c r="CV51" i="1"/>
  <c r="BZ52" i="1"/>
  <c r="CT52" i="1" s="1"/>
  <c r="BZ18" i="1"/>
  <c r="CT18" i="1" s="1"/>
  <c r="CV17" i="1"/>
  <c r="BZ25" i="1"/>
  <c r="CT25" i="1" s="1"/>
  <c r="BZ10" i="1"/>
  <c r="CV38" i="1"/>
  <c r="BZ39" i="1"/>
  <c r="CT39" i="1" s="1"/>
  <c r="BZ101" i="1"/>
  <c r="CT101" i="1" s="1"/>
  <c r="CV100" i="1"/>
  <c r="R136" i="9" l="1"/>
  <c r="S136" i="9" s="1"/>
  <c r="E137" i="9"/>
  <c r="F137" i="9" s="1"/>
  <c r="M136" i="9"/>
  <c r="M385" i="7"/>
  <c r="HK101" i="7"/>
  <c r="FY101" i="7"/>
  <c r="FX102" i="7" s="1"/>
  <c r="GK102" i="7" s="1"/>
  <c r="GK101" i="7"/>
  <c r="GL101" i="7" s="1"/>
  <c r="CP69" i="7"/>
  <c r="EF158" i="7"/>
  <c r="R295" i="7" s="1"/>
  <c r="EJ103" i="7"/>
  <c r="EJ158" i="7" s="1"/>
  <c r="R299" i="7" s="1"/>
  <c r="HJ102" i="7"/>
  <c r="HE102" i="7"/>
  <c r="GX102" i="7"/>
  <c r="GW103" i="7" s="1"/>
  <c r="HC103" i="7"/>
  <c r="GD102" i="7"/>
  <c r="GH102" i="7" s="1"/>
  <c r="FL103" i="7"/>
  <c r="FM103" i="7" s="1"/>
  <c r="FM158" i="7" s="1"/>
  <c r="R326" i="7" s="1"/>
  <c r="FG103" i="7"/>
  <c r="EZ103" i="7"/>
  <c r="FE103" i="7"/>
  <c r="EA103" i="7"/>
  <c r="EH103" i="7"/>
  <c r="EM103" i="7"/>
  <c r="EN103" i="7" s="1"/>
  <c r="EN158" i="7" s="1"/>
  <c r="R303" i="7" s="1"/>
  <c r="EF104" i="7"/>
  <c r="EJ104" i="7" s="1"/>
  <c r="DN103" i="7"/>
  <c r="DO103" i="7" s="1"/>
  <c r="DO158" i="7" s="1"/>
  <c r="R279" i="7" s="1"/>
  <c r="DB103" i="7"/>
  <c r="DI103" i="7"/>
  <c r="DG103" i="7"/>
  <c r="K98" i="8"/>
  <c r="O97" i="8"/>
  <c r="CO88" i="8"/>
  <c r="CC88" i="8"/>
  <c r="CB89" i="8" s="1"/>
  <c r="CJ88" i="8"/>
  <c r="CL88" i="8"/>
  <c r="DN98" i="8"/>
  <c r="DO98" i="8" s="1"/>
  <c r="DB98" i="8"/>
  <c r="DA99" i="8" s="1"/>
  <c r="DI98" i="8"/>
  <c r="CP88" i="8"/>
  <c r="AQ88" i="8"/>
  <c r="AR88" i="8" s="1"/>
  <c r="AL88" i="8"/>
  <c r="AE88" i="8"/>
  <c r="AD89" i="8" s="1"/>
  <c r="Q175" i="8"/>
  <c r="Q296" i="8" s="1"/>
  <c r="BI99" i="8"/>
  <c r="BM98" i="8"/>
  <c r="AJ100" i="8"/>
  <c r="AN99" i="8"/>
  <c r="CH100" i="8"/>
  <c r="BP87" i="8"/>
  <c r="BQ87" i="8" s="1"/>
  <c r="BD87" i="8"/>
  <c r="BC88" i="8" s="1"/>
  <c r="BK87" i="8"/>
  <c r="R87" i="8"/>
  <c r="S87" i="8" s="1"/>
  <c r="F87" i="8"/>
  <c r="E88" i="8" s="1"/>
  <c r="M87" i="8"/>
  <c r="DG98" i="8"/>
  <c r="DK97" i="8"/>
  <c r="M419" i="7"/>
  <c r="BZ109" i="1"/>
  <c r="CT109" i="1" s="1"/>
  <c r="BP70" i="1"/>
  <c r="BQ70" i="1" s="1"/>
  <c r="N241" i="7"/>
  <c r="N217" i="7"/>
  <c r="AQ75" i="7"/>
  <c r="AR75" i="7" s="1"/>
  <c r="AL75" i="7"/>
  <c r="AE75" i="7"/>
  <c r="F72" i="7"/>
  <c r="E73" i="7" s="1"/>
  <c r="R72" i="7"/>
  <c r="M72" i="7"/>
  <c r="S71" i="7"/>
  <c r="BI81" i="7"/>
  <c r="BM81" i="7" s="1"/>
  <c r="AJ79" i="7"/>
  <c r="AN79" i="7" s="1"/>
  <c r="K80" i="7"/>
  <c r="O80" i="7" s="1"/>
  <c r="CJ70" i="7"/>
  <c r="CC70" i="7"/>
  <c r="CB71" i="7" s="1"/>
  <c r="CO70" i="7"/>
  <c r="CP70" i="7" s="1"/>
  <c r="CL70" i="7"/>
  <c r="CH80" i="7"/>
  <c r="BP70" i="7"/>
  <c r="BQ70" i="7" s="1"/>
  <c r="BK70" i="7"/>
  <c r="BD70" i="7"/>
  <c r="BC71" i="7" s="1"/>
  <c r="AR76" i="1"/>
  <c r="BD70" i="1"/>
  <c r="BC71" i="1" s="1"/>
  <c r="AQ77" i="1"/>
  <c r="AE77" i="1"/>
  <c r="AD78" i="1" s="1"/>
  <c r="AL77" i="1"/>
  <c r="AJ78" i="1"/>
  <c r="BZ32" i="1"/>
  <c r="CT32" i="1" s="1"/>
  <c r="CV32" i="1" s="1"/>
  <c r="BZ123" i="1"/>
  <c r="CT123" i="1" s="1"/>
  <c r="CV123" i="1" s="1"/>
  <c r="BI72" i="1"/>
  <c r="BZ60" i="1"/>
  <c r="CT60" i="1" s="1"/>
  <c r="CV60" i="1" s="1"/>
  <c r="CT10" i="1"/>
  <c r="CV10" i="1" s="1"/>
  <c r="BZ130" i="1"/>
  <c r="CT129" i="1"/>
  <c r="CV129" i="1" s="1"/>
  <c r="BZ88" i="1"/>
  <c r="CT87" i="1"/>
  <c r="CV87" i="1" s="1"/>
  <c r="BZ67" i="1"/>
  <c r="CT66" i="1"/>
  <c r="CV66" i="1" s="1"/>
  <c r="CJ8" i="1"/>
  <c r="CO8" i="1"/>
  <c r="CL8" i="1"/>
  <c r="CC8" i="1"/>
  <c r="CB9" i="1" s="1"/>
  <c r="CC9" i="1" s="1"/>
  <c r="I332" i="4"/>
  <c r="DN35" i="4"/>
  <c r="DP35" i="4"/>
  <c r="DP184" i="4" s="1"/>
  <c r="I310" i="4" s="1"/>
  <c r="N35" i="4"/>
  <c r="P35" i="4"/>
  <c r="P184" i="4" s="1"/>
  <c r="I214" i="4" s="1"/>
  <c r="BN35" i="4"/>
  <c r="BP35" i="4"/>
  <c r="BP184" i="4" s="1"/>
  <c r="I262" i="4" s="1"/>
  <c r="CN34" i="4"/>
  <c r="CP34" i="4"/>
  <c r="CG34" i="4"/>
  <c r="CF35" i="4" s="1"/>
  <c r="CF184" i="4" s="1"/>
  <c r="I277" i="4" s="1"/>
  <c r="CS34" i="4"/>
  <c r="CT34" i="4" s="1"/>
  <c r="DT34" i="4"/>
  <c r="DS35" i="4"/>
  <c r="BS35" i="4"/>
  <c r="S35" i="4"/>
  <c r="AF25" i="4"/>
  <c r="AT24" i="4"/>
  <c r="O120" i="4"/>
  <c r="O121" i="4"/>
  <c r="O122" i="4"/>
  <c r="O123" i="4"/>
  <c r="O124" i="4"/>
  <c r="O125" i="4"/>
  <c r="O126" i="4"/>
  <c r="O197" i="4" s="1"/>
  <c r="V213" i="4" s="1"/>
  <c r="DL39" i="4"/>
  <c r="G35" i="4"/>
  <c r="G184" i="4" s="1"/>
  <c r="I205" i="4" s="1"/>
  <c r="L39" i="4"/>
  <c r="AL40" i="4"/>
  <c r="DG35" i="4"/>
  <c r="DG184" i="4" s="1"/>
  <c r="I301" i="4" s="1"/>
  <c r="CL38" i="4"/>
  <c r="BG35" i="4"/>
  <c r="BG184" i="4" s="1"/>
  <c r="I253" i="4" s="1"/>
  <c r="BL38" i="4"/>
  <c r="BZ82" i="1"/>
  <c r="CT82" i="1" s="1"/>
  <c r="CV81" i="1"/>
  <c r="CH10" i="1"/>
  <c r="BZ11" i="1"/>
  <c r="CV52" i="1"/>
  <c r="BZ53" i="1"/>
  <c r="CT53" i="1" s="1"/>
  <c r="CV94" i="1"/>
  <c r="BZ95" i="1"/>
  <c r="CT95" i="1" s="1"/>
  <c r="CV73" i="1"/>
  <c r="BZ74" i="1"/>
  <c r="CT74" i="1" s="1"/>
  <c r="CV115" i="1"/>
  <c r="BZ116" i="1"/>
  <c r="CT116" i="1" s="1"/>
  <c r="BZ61" i="1"/>
  <c r="CT61" i="1" s="1"/>
  <c r="BZ19" i="1"/>
  <c r="CT19" i="1" s="1"/>
  <c r="CV18" i="1"/>
  <c r="BZ102" i="1"/>
  <c r="CT102" i="1" s="1"/>
  <c r="CV101" i="1"/>
  <c r="CV39" i="1"/>
  <c r="BZ40" i="1"/>
  <c r="CT40" i="1" s="1"/>
  <c r="BZ26" i="1"/>
  <c r="CT26" i="1" s="1"/>
  <c r="CV25" i="1"/>
  <c r="CV109" i="1"/>
  <c r="BZ110" i="1"/>
  <c r="CT110" i="1" s="1"/>
  <c r="BZ46" i="1"/>
  <c r="CT46" i="1" s="1"/>
  <c r="CV45" i="1"/>
  <c r="CP163" i="9" l="1"/>
  <c r="W255" i="9" s="1"/>
  <c r="R137" i="9"/>
  <c r="S137" i="9" s="1"/>
  <c r="M137" i="9"/>
  <c r="E138" i="9"/>
  <c r="F138" i="9" s="1"/>
  <c r="AR163" i="9"/>
  <c r="W206" i="9" s="1"/>
  <c r="AE163" i="9"/>
  <c r="W193" i="9" s="1"/>
  <c r="CO155" i="9"/>
  <c r="O254" i="9" s="1"/>
  <c r="O305" i="9" s="1"/>
  <c r="O330" i="9" s="1"/>
  <c r="O344" i="9" s="1"/>
  <c r="M12" i="5" s="1"/>
  <c r="CC163" i="9"/>
  <c r="W242" i="9" s="1"/>
  <c r="HK102" i="7"/>
  <c r="GL102" i="7"/>
  <c r="GF102" i="7"/>
  <c r="FY102" i="7"/>
  <c r="FX103" i="7" s="1"/>
  <c r="GK103" i="7" s="1"/>
  <c r="N409" i="7"/>
  <c r="N435" i="7" s="1"/>
  <c r="L8" i="5" s="1"/>
  <c r="L19" i="5" s="1"/>
  <c r="DA104" i="7"/>
  <c r="DA159" i="7" s="1"/>
  <c r="DB158" i="7"/>
  <c r="EY104" i="7"/>
  <c r="EY159" i="7" s="1"/>
  <c r="EZ158" i="7"/>
  <c r="R313" i="7" s="1"/>
  <c r="DZ104" i="7"/>
  <c r="DZ159" i="7" s="1"/>
  <c r="EA158" i="7"/>
  <c r="DG158" i="7"/>
  <c r="R271" i="7" s="1"/>
  <c r="DK103" i="7"/>
  <c r="DK158" i="7" s="1"/>
  <c r="R275" i="7" s="1"/>
  <c r="FE158" i="7"/>
  <c r="R318" i="7" s="1"/>
  <c r="FI103" i="7"/>
  <c r="FI158" i="7" s="1"/>
  <c r="R322" i="7" s="1"/>
  <c r="HC158" i="7"/>
  <c r="R364" i="7" s="1"/>
  <c r="HG103" i="7"/>
  <c r="HG158" i="7" s="1"/>
  <c r="R368" i="7" s="1"/>
  <c r="HJ103" i="7"/>
  <c r="HK103" i="7" s="1"/>
  <c r="HK158" i="7" s="1"/>
  <c r="R372" i="7" s="1"/>
  <c r="GX103" i="7"/>
  <c r="HE103" i="7"/>
  <c r="HC104" i="7"/>
  <c r="HG104" i="7" s="1"/>
  <c r="GD103" i="7"/>
  <c r="FE104" i="7"/>
  <c r="FI104" i="7" s="1"/>
  <c r="EM104" i="7"/>
  <c r="EN104" i="7" s="1"/>
  <c r="EH104" i="7"/>
  <c r="EA104" i="7"/>
  <c r="DZ105" i="7" s="1"/>
  <c r="EF105" i="7"/>
  <c r="EJ105" i="7" s="1"/>
  <c r="DB104" i="7"/>
  <c r="DA105" i="7" s="1"/>
  <c r="DN104" i="7"/>
  <c r="DO104" i="7" s="1"/>
  <c r="DI104" i="7"/>
  <c r="DG104" i="7"/>
  <c r="DK104" i="7" s="1"/>
  <c r="DO99" i="8"/>
  <c r="DK98" i="8"/>
  <c r="DG99" i="8"/>
  <c r="BM99" i="8"/>
  <c r="BI100" i="8"/>
  <c r="DN99" i="8"/>
  <c r="DB99" i="8"/>
  <c r="DA100" i="8" s="1"/>
  <c r="DI99" i="8"/>
  <c r="CO89" i="8"/>
  <c r="CC89" i="8"/>
  <c r="CJ89" i="8"/>
  <c r="CL89" i="8"/>
  <c r="N384" i="7"/>
  <c r="N392" i="7" s="1"/>
  <c r="N420" i="7" s="1"/>
  <c r="BD88" i="8"/>
  <c r="BC89" i="8" s="1"/>
  <c r="BP88" i="8"/>
  <c r="BQ88" i="8" s="1"/>
  <c r="BK88" i="8"/>
  <c r="R88" i="8"/>
  <c r="S88" i="8" s="1"/>
  <c r="F88" i="8"/>
  <c r="E89" i="8" s="1"/>
  <c r="M88" i="8"/>
  <c r="AN100" i="8"/>
  <c r="AJ101" i="8"/>
  <c r="Q332" i="8"/>
  <c r="CP89" i="8"/>
  <c r="CH101" i="8"/>
  <c r="AL89" i="8"/>
  <c r="AE89" i="8"/>
  <c r="AQ89" i="8"/>
  <c r="AR89" i="8" s="1"/>
  <c r="O98" i="8"/>
  <c r="K99" i="8"/>
  <c r="BD71" i="1"/>
  <c r="BC72" i="1" s="1"/>
  <c r="BK72" i="1" s="1"/>
  <c r="BK71" i="1"/>
  <c r="BP71" i="1"/>
  <c r="BQ71" i="1" s="1"/>
  <c r="AR77" i="1"/>
  <c r="AR154" i="7"/>
  <c r="N206" i="7" s="1"/>
  <c r="AE154" i="7"/>
  <c r="N193" i="7" s="1"/>
  <c r="AD76" i="7"/>
  <c r="S72" i="7"/>
  <c r="F73" i="7"/>
  <c r="E74" i="7" s="1"/>
  <c r="R73" i="7"/>
  <c r="M73" i="7"/>
  <c r="BP71" i="7"/>
  <c r="BQ71" i="7" s="1"/>
  <c r="BD71" i="7"/>
  <c r="BC72" i="7" s="1"/>
  <c r="BK71" i="7"/>
  <c r="CH81" i="7"/>
  <c r="K81" i="7"/>
  <c r="O81" i="7" s="1"/>
  <c r="AJ80" i="7"/>
  <c r="AN80" i="7" s="1"/>
  <c r="CO71" i="7"/>
  <c r="CP71" i="7" s="1"/>
  <c r="CC71" i="7"/>
  <c r="CB72" i="7" s="1"/>
  <c r="CJ71" i="7"/>
  <c r="CL71" i="7"/>
  <c r="BI82" i="7"/>
  <c r="BM82" i="7" s="1"/>
  <c r="BZ124" i="1"/>
  <c r="CT124" i="1" s="1"/>
  <c r="CV124" i="1" s="1"/>
  <c r="BZ33" i="1"/>
  <c r="CT33" i="1" s="1"/>
  <c r="CV33" i="1" s="1"/>
  <c r="AQ78" i="1"/>
  <c r="AE78" i="1"/>
  <c r="AD79" i="1" s="1"/>
  <c r="AL78" i="1"/>
  <c r="AJ79" i="1"/>
  <c r="BI73" i="1"/>
  <c r="CT11" i="1"/>
  <c r="CV11" i="1" s="1"/>
  <c r="BZ89" i="1"/>
  <c r="CT89" i="1" s="1"/>
  <c r="CT88" i="1"/>
  <c r="CV88" i="1" s="1"/>
  <c r="BZ68" i="1"/>
  <c r="CT68" i="1" s="1"/>
  <c r="CT67" i="1"/>
  <c r="CV67" i="1" s="1"/>
  <c r="BZ131" i="1"/>
  <c r="CT130" i="1"/>
  <c r="CV130" i="1" s="1"/>
  <c r="T235" i="1"/>
  <c r="CP8" i="1"/>
  <c r="CJ9" i="1"/>
  <c r="CO9" i="1"/>
  <c r="CL9" i="1"/>
  <c r="CB10" i="1"/>
  <c r="AS25" i="4"/>
  <c r="AN25" i="4"/>
  <c r="AP25" i="4"/>
  <c r="CN35" i="4"/>
  <c r="CP35" i="4"/>
  <c r="CP184" i="4" s="1"/>
  <c r="I287" i="4" s="1"/>
  <c r="CS35" i="4"/>
  <c r="CT35" i="4" s="1"/>
  <c r="CT184" i="4" s="1"/>
  <c r="I291" i="4" s="1"/>
  <c r="CG35" i="4"/>
  <c r="CG184" i="4" s="1"/>
  <c r="I278" i="4" s="1"/>
  <c r="AG25" i="4"/>
  <c r="O127" i="4"/>
  <c r="O128" i="4"/>
  <c r="O129" i="4"/>
  <c r="O130" i="4"/>
  <c r="O131" i="4"/>
  <c r="O132" i="4"/>
  <c r="O133" i="4"/>
  <c r="O198" i="4" s="1"/>
  <c r="W213" i="4" s="1"/>
  <c r="BF36" i="4"/>
  <c r="BT35" i="4"/>
  <c r="BT184" i="4" s="1"/>
  <c r="I266" i="4" s="1"/>
  <c r="AL41" i="4"/>
  <c r="L40" i="4"/>
  <c r="BL39" i="4"/>
  <c r="CL39" i="4"/>
  <c r="DF36" i="4"/>
  <c r="DT35" i="4"/>
  <c r="DT184" i="4" s="1"/>
  <c r="I314" i="4" s="1"/>
  <c r="F36" i="4"/>
  <c r="T35" i="4"/>
  <c r="T184" i="4" s="1"/>
  <c r="I218" i="4" s="1"/>
  <c r="DL40" i="4"/>
  <c r="CV110" i="1"/>
  <c r="CV40" i="1"/>
  <c r="CV82" i="1"/>
  <c r="CV26" i="1"/>
  <c r="CV61" i="1"/>
  <c r="CV19" i="1"/>
  <c r="CV116" i="1"/>
  <c r="BZ117" i="1"/>
  <c r="CT117" i="1" s="1"/>
  <c r="CV95" i="1"/>
  <c r="BZ96" i="1"/>
  <c r="CT96" i="1" s="1"/>
  <c r="CV74" i="1"/>
  <c r="BZ75" i="1"/>
  <c r="CT75" i="1" s="1"/>
  <c r="CV53" i="1"/>
  <c r="BZ54" i="1"/>
  <c r="CT54" i="1" s="1"/>
  <c r="BZ47" i="1"/>
  <c r="CT47" i="1" s="1"/>
  <c r="CV46" i="1"/>
  <c r="BZ103" i="1"/>
  <c r="CT103" i="1" s="1"/>
  <c r="CV102" i="1"/>
  <c r="BZ12" i="1"/>
  <c r="CH11" i="1"/>
  <c r="J8" i="1"/>
  <c r="M8" i="1" s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2" i="1"/>
  <c r="Y6" i="1"/>
  <c r="Y13" i="1"/>
  <c r="Y20" i="1"/>
  <c r="Y27" i="1"/>
  <c r="Y34" i="1"/>
  <c r="Y41" i="1"/>
  <c r="Y48" i="1"/>
  <c r="Y55" i="1"/>
  <c r="Y62" i="1"/>
  <c r="Y69" i="1"/>
  <c r="Y76" i="1"/>
  <c r="Y83" i="1"/>
  <c r="Y90" i="1"/>
  <c r="Y97" i="1"/>
  <c r="Y104" i="1"/>
  <c r="Y111" i="1"/>
  <c r="Y118" i="1"/>
  <c r="Y125" i="1"/>
  <c r="V125" i="1"/>
  <c r="V118" i="1"/>
  <c r="V111" i="1"/>
  <c r="V90" i="1"/>
  <c r="V83" i="1"/>
  <c r="V62" i="1"/>
  <c r="V55" i="1"/>
  <c r="V48" i="1"/>
  <c r="V34" i="1"/>
  <c r="V27" i="1"/>
  <c r="V20" i="1"/>
  <c r="V13" i="1"/>
  <c r="V41" i="1"/>
  <c r="V69" i="1"/>
  <c r="V76" i="1"/>
  <c r="V97" i="1"/>
  <c r="V104" i="1"/>
  <c r="C126" i="1"/>
  <c r="C119" i="1"/>
  <c r="C112" i="1"/>
  <c r="C105" i="1"/>
  <c r="C98" i="1"/>
  <c r="C91" i="1"/>
  <c r="AL145" i="9" l="1"/>
  <c r="E200" i="9" s="1"/>
  <c r="AL146" i="9"/>
  <c r="F200" i="9" s="1"/>
  <c r="AL147" i="9"/>
  <c r="G200" i="9" s="1"/>
  <c r="AL148" i="9"/>
  <c r="H200" i="9" s="1"/>
  <c r="AL149" i="9"/>
  <c r="I200" i="9" s="1"/>
  <c r="AL150" i="9"/>
  <c r="J200" i="9" s="1"/>
  <c r="AL151" i="9"/>
  <c r="K200" i="9" s="1"/>
  <c r="AL152" i="9"/>
  <c r="L200" i="9" s="1"/>
  <c r="AL153" i="9"/>
  <c r="M200" i="9" s="1"/>
  <c r="AL154" i="9"/>
  <c r="N200" i="9" s="1"/>
  <c r="AL155" i="9"/>
  <c r="O200" i="9" s="1"/>
  <c r="AL156" i="9"/>
  <c r="P200" i="9" s="1"/>
  <c r="AL157" i="9"/>
  <c r="Q200" i="9" s="1"/>
  <c r="AL158" i="9"/>
  <c r="R200" i="9" s="1"/>
  <c r="AL159" i="9"/>
  <c r="S200" i="9" s="1"/>
  <c r="AL160" i="9"/>
  <c r="T200" i="9" s="1"/>
  <c r="AL161" i="9"/>
  <c r="U200" i="9" s="1"/>
  <c r="AL162" i="9"/>
  <c r="V200" i="9" s="1"/>
  <c r="AL163" i="9"/>
  <c r="W200" i="9" s="1"/>
  <c r="F305" i="9"/>
  <c r="F330" i="9" s="1"/>
  <c r="F344" i="9" s="1"/>
  <c r="D12" i="5" s="1"/>
  <c r="CJ146" i="9"/>
  <c r="F249" i="9" s="1"/>
  <c r="DI146" i="9"/>
  <c r="F273" i="9" s="1"/>
  <c r="DI147" i="9"/>
  <c r="G273" i="9" s="1"/>
  <c r="CJ147" i="9"/>
  <c r="G249" i="9" s="1"/>
  <c r="G305" i="9"/>
  <c r="G330" i="9" s="1"/>
  <c r="G344" i="9" s="1"/>
  <c r="E12" i="5" s="1"/>
  <c r="H305" i="9"/>
  <c r="H330" i="9" s="1"/>
  <c r="H344" i="9" s="1"/>
  <c r="F12" i="5" s="1"/>
  <c r="CJ148" i="9"/>
  <c r="H249" i="9" s="1"/>
  <c r="DI148" i="9"/>
  <c r="H273" i="9" s="1"/>
  <c r="DI149" i="9"/>
  <c r="I273" i="9" s="1"/>
  <c r="CJ149" i="9"/>
  <c r="I249" i="9" s="1"/>
  <c r="DI150" i="9"/>
  <c r="J273" i="9" s="1"/>
  <c r="CJ150" i="9"/>
  <c r="J249" i="9" s="1"/>
  <c r="DI151" i="9"/>
  <c r="K273" i="9" s="1"/>
  <c r="CJ151" i="9"/>
  <c r="K249" i="9" s="1"/>
  <c r="DI152" i="9"/>
  <c r="L273" i="9" s="1"/>
  <c r="L305" i="9"/>
  <c r="L330" i="9" s="1"/>
  <c r="L344" i="9" s="1"/>
  <c r="J12" i="5" s="1"/>
  <c r="CJ152" i="9"/>
  <c r="L249" i="9" s="1"/>
  <c r="DI153" i="9"/>
  <c r="M273" i="9" s="1"/>
  <c r="CJ153" i="9"/>
  <c r="M249" i="9" s="1"/>
  <c r="CJ154" i="9"/>
  <c r="N249" i="9" s="1"/>
  <c r="DI154" i="9"/>
  <c r="N273" i="9" s="1"/>
  <c r="CJ155" i="9"/>
  <c r="O249" i="9" s="1"/>
  <c r="DI155" i="9"/>
  <c r="O273" i="9" s="1"/>
  <c r="CJ156" i="9"/>
  <c r="P249" i="9" s="1"/>
  <c r="CJ157" i="9"/>
  <c r="Q249" i="9" s="1"/>
  <c r="CJ158" i="9"/>
  <c r="R249" i="9" s="1"/>
  <c r="CJ159" i="9"/>
  <c r="S249" i="9" s="1"/>
  <c r="CJ160" i="9"/>
  <c r="T249" i="9" s="1"/>
  <c r="CJ161" i="9"/>
  <c r="U249" i="9" s="1"/>
  <c r="CJ162" i="9"/>
  <c r="V249" i="9" s="1"/>
  <c r="CJ163" i="9"/>
  <c r="W249" i="9" s="1"/>
  <c r="R138" i="9"/>
  <c r="S138" i="9" s="1"/>
  <c r="F163" i="9"/>
  <c r="W170" i="9" s="1"/>
  <c r="M138" i="9"/>
  <c r="BQ163" i="9"/>
  <c r="W231" i="9" s="1"/>
  <c r="BD163" i="9"/>
  <c r="W218" i="9" s="1"/>
  <c r="R266" i="7"/>
  <c r="R290" i="7"/>
  <c r="DN159" i="7"/>
  <c r="S278" i="7" s="1"/>
  <c r="S265" i="7"/>
  <c r="EM159" i="7"/>
  <c r="S289" i="7"/>
  <c r="GL103" i="7"/>
  <c r="GL158" i="7" s="1"/>
  <c r="R349" i="7" s="1"/>
  <c r="GF103" i="7"/>
  <c r="FY103" i="7"/>
  <c r="FX104" i="7" s="1"/>
  <c r="FL159" i="7"/>
  <c r="S325" i="7" s="1"/>
  <c r="S312" i="7"/>
  <c r="EZ104" i="7"/>
  <c r="EY105" i="7" s="1"/>
  <c r="EZ105" i="7" s="1"/>
  <c r="EY106" i="7" s="1"/>
  <c r="FL104" i="7"/>
  <c r="FM104" i="7" s="1"/>
  <c r="GW104" i="7"/>
  <c r="GW159" i="7" s="1"/>
  <c r="GX158" i="7"/>
  <c r="R359" i="7" s="1"/>
  <c r="GD158" i="7"/>
  <c r="R341" i="7" s="1"/>
  <c r="GH103" i="7"/>
  <c r="GH158" i="7" s="1"/>
  <c r="R345" i="7" s="1"/>
  <c r="FG104" i="7"/>
  <c r="HC105" i="7"/>
  <c r="HG105" i="7" s="1"/>
  <c r="GD104" i="7"/>
  <c r="GH104" i="7" s="1"/>
  <c r="FE105" i="7"/>
  <c r="FI105" i="7" s="1"/>
  <c r="EM105" i="7"/>
  <c r="EN105" i="7" s="1"/>
  <c r="EA105" i="7"/>
  <c r="DZ106" i="7" s="1"/>
  <c r="EH105" i="7"/>
  <c r="EF106" i="7"/>
  <c r="EJ106" i="7" s="1"/>
  <c r="DN105" i="7"/>
  <c r="DO105" i="7" s="1"/>
  <c r="DB105" i="7"/>
  <c r="DA106" i="7" s="1"/>
  <c r="DI105" i="7"/>
  <c r="DG105" i="7"/>
  <c r="DK105" i="7" s="1"/>
  <c r="AR156" i="8"/>
  <c r="P206" i="8" s="1"/>
  <c r="BM100" i="8"/>
  <c r="BI101" i="8"/>
  <c r="AE156" i="8"/>
  <c r="P193" i="8" s="1"/>
  <c r="AD90" i="8"/>
  <c r="CP156" i="8"/>
  <c r="P255" i="8" s="1"/>
  <c r="DO156" i="8"/>
  <c r="P278" i="8" s="1"/>
  <c r="CL156" i="8"/>
  <c r="P251" i="8" s="1"/>
  <c r="DK156" i="8"/>
  <c r="P274" i="8" s="1"/>
  <c r="AJ102" i="8"/>
  <c r="AN101" i="8"/>
  <c r="N394" i="7"/>
  <c r="N421" i="7" s="1"/>
  <c r="O99" i="8"/>
  <c r="K100" i="8"/>
  <c r="DN100" i="8"/>
  <c r="DO100" i="8" s="1"/>
  <c r="DB100" i="8"/>
  <c r="DA101" i="8" s="1"/>
  <c r="DI100" i="8"/>
  <c r="DK99" i="8"/>
  <c r="DG100" i="8"/>
  <c r="CH102" i="8"/>
  <c r="R89" i="8"/>
  <c r="S89" i="8" s="1"/>
  <c r="M89" i="8"/>
  <c r="F89" i="8"/>
  <c r="BP89" i="8"/>
  <c r="BQ89" i="8" s="1"/>
  <c r="BD89" i="8"/>
  <c r="BK89" i="8"/>
  <c r="DB156" i="8"/>
  <c r="P265" i="8" s="1"/>
  <c r="CC156" i="8"/>
  <c r="P242" i="8" s="1"/>
  <c r="CB90" i="8"/>
  <c r="BD72" i="1"/>
  <c r="BC73" i="1" s="1"/>
  <c r="BP72" i="1"/>
  <c r="BQ72" i="1" s="1"/>
  <c r="AE76" i="7"/>
  <c r="AD77" i="7" s="1"/>
  <c r="AL76" i="7"/>
  <c r="AQ76" i="7"/>
  <c r="AR76" i="7" s="1"/>
  <c r="AD155" i="7"/>
  <c r="F74" i="7"/>
  <c r="E75" i="7" s="1"/>
  <c r="R74" i="7"/>
  <c r="M74" i="7"/>
  <c r="S73" i="7"/>
  <c r="BI155" i="7"/>
  <c r="O223" i="7" s="1"/>
  <c r="BI83" i="7"/>
  <c r="BM83" i="7" s="1"/>
  <c r="K82" i="7"/>
  <c r="O82" i="7" s="1"/>
  <c r="CH82" i="7"/>
  <c r="BP72" i="7"/>
  <c r="BQ72" i="7" s="1"/>
  <c r="BK72" i="7"/>
  <c r="BD72" i="7"/>
  <c r="BC73" i="7" s="1"/>
  <c r="CC72" i="7"/>
  <c r="CB73" i="7" s="1"/>
  <c r="CO72" i="7"/>
  <c r="CJ72" i="7"/>
  <c r="CL72" i="7"/>
  <c r="AJ81" i="7"/>
  <c r="AN81" i="7" s="1"/>
  <c r="CE149" i="1"/>
  <c r="I244" i="1" s="1"/>
  <c r="AR78" i="1"/>
  <c r="AM112" i="1"/>
  <c r="AK112" i="1"/>
  <c r="AS112" i="1"/>
  <c r="AU112" i="1" s="1"/>
  <c r="AP112" i="1"/>
  <c r="AS91" i="1"/>
  <c r="AU91" i="1" s="1"/>
  <c r="AP91" i="1"/>
  <c r="AM91" i="1"/>
  <c r="AK91" i="1"/>
  <c r="AM119" i="1"/>
  <c r="AS119" i="1"/>
  <c r="AU119" i="1" s="1"/>
  <c r="AP119" i="1"/>
  <c r="AK119" i="1"/>
  <c r="AM98" i="1"/>
  <c r="AK98" i="1"/>
  <c r="AS98" i="1"/>
  <c r="AU98" i="1" s="1"/>
  <c r="AP98" i="1"/>
  <c r="AM126" i="1"/>
  <c r="AS126" i="1"/>
  <c r="AU126" i="1" s="1"/>
  <c r="AP126" i="1"/>
  <c r="AK126" i="1"/>
  <c r="CF149" i="1"/>
  <c r="I245" i="1" s="1"/>
  <c r="CM149" i="1"/>
  <c r="I252" i="1" s="1"/>
  <c r="AP105" i="1"/>
  <c r="AM105" i="1"/>
  <c r="AK105" i="1"/>
  <c r="AS105" i="1"/>
  <c r="AU105" i="1" s="1"/>
  <c r="CF147" i="1"/>
  <c r="G245" i="1" s="1"/>
  <c r="CD149" i="1"/>
  <c r="AQ79" i="1"/>
  <c r="AE79" i="1"/>
  <c r="AD80" i="1" s="1"/>
  <c r="AL79" i="1"/>
  <c r="AJ80" i="1"/>
  <c r="BL112" i="1"/>
  <c r="BR112" i="1"/>
  <c r="BT112" i="1" s="1"/>
  <c r="BJ112" i="1"/>
  <c r="BO112" i="1"/>
  <c r="BL105" i="1"/>
  <c r="BR105" i="1"/>
  <c r="BT105" i="1" s="1"/>
  <c r="BJ105" i="1"/>
  <c r="BO105" i="1"/>
  <c r="BR119" i="1"/>
  <c r="BT119" i="1" s="1"/>
  <c r="BL119" i="1"/>
  <c r="BO119" i="1"/>
  <c r="BJ119" i="1"/>
  <c r="BR91" i="1"/>
  <c r="BT91" i="1" s="1"/>
  <c r="BO91" i="1"/>
  <c r="BJ91" i="1"/>
  <c r="BL91" i="1"/>
  <c r="BR98" i="1"/>
  <c r="BT98" i="1" s="1"/>
  <c r="BO98" i="1"/>
  <c r="BJ98" i="1"/>
  <c r="BL98" i="1"/>
  <c r="BL126" i="1"/>
  <c r="BR126" i="1"/>
  <c r="BT126" i="1" s="1"/>
  <c r="BJ126" i="1"/>
  <c r="BO126" i="1"/>
  <c r="CF157" i="1"/>
  <c r="Q245" i="1" s="1"/>
  <c r="CE152" i="1"/>
  <c r="L244" i="1" s="1"/>
  <c r="CE154" i="1"/>
  <c r="N244" i="1" s="1"/>
  <c r="CF161" i="1"/>
  <c r="U245" i="1" s="1"/>
  <c r="CE156" i="1"/>
  <c r="P244" i="1" s="1"/>
  <c r="CM148" i="1"/>
  <c r="H252" i="1" s="1"/>
  <c r="CE163" i="1"/>
  <c r="W244" i="1" s="1"/>
  <c r="CE161" i="1"/>
  <c r="U244" i="1" s="1"/>
  <c r="CM163" i="1"/>
  <c r="W252" i="1" s="1"/>
  <c r="CD158" i="1"/>
  <c r="R243" i="1" s="1"/>
  <c r="CE151" i="1"/>
  <c r="K244" i="1" s="1"/>
  <c r="CF155" i="1"/>
  <c r="O245" i="1" s="1"/>
  <c r="CD148" i="1"/>
  <c r="H243" i="1" s="1"/>
  <c r="CM154" i="1"/>
  <c r="N252" i="1" s="1"/>
  <c r="CM152" i="1"/>
  <c r="L252" i="1" s="1"/>
  <c r="CD146" i="1"/>
  <c r="F243" i="1" s="1"/>
  <c r="CD163" i="1"/>
  <c r="W243" i="1" s="1"/>
  <c r="CD156" i="1"/>
  <c r="P243" i="1" s="1"/>
  <c r="CD147" i="1"/>
  <c r="G243" i="1" s="1"/>
  <c r="CF146" i="1"/>
  <c r="F245" i="1" s="1"/>
  <c r="CM160" i="1"/>
  <c r="T252" i="1" s="1"/>
  <c r="CM155" i="1"/>
  <c r="O252" i="1" s="1"/>
  <c r="CF148" i="1"/>
  <c r="H245" i="1" s="1"/>
  <c r="CE153" i="1"/>
  <c r="M244" i="1" s="1"/>
  <c r="CF163" i="1"/>
  <c r="W245" i="1" s="1"/>
  <c r="CE148" i="1"/>
  <c r="H244" i="1" s="1"/>
  <c r="CF158" i="1"/>
  <c r="R245" i="1" s="1"/>
  <c r="CM162" i="1"/>
  <c r="V252" i="1" s="1"/>
  <c r="I243" i="1"/>
  <c r="CE145" i="1"/>
  <c r="E244" i="1" s="1"/>
  <c r="CM146" i="1"/>
  <c r="F252" i="1" s="1"/>
  <c r="CF162" i="1"/>
  <c r="V245" i="1" s="1"/>
  <c r="CM157" i="1"/>
  <c r="Q252" i="1" s="1"/>
  <c r="CM156" i="1"/>
  <c r="P252" i="1" s="1"/>
  <c r="CF153" i="1"/>
  <c r="M245" i="1" s="1"/>
  <c r="CF152" i="1"/>
  <c r="L245" i="1" s="1"/>
  <c r="CM158" i="1"/>
  <c r="R252" i="1" s="1"/>
  <c r="CD153" i="1"/>
  <c r="M243" i="1" s="1"/>
  <c r="CM150" i="1"/>
  <c r="J252" i="1" s="1"/>
  <c r="CD154" i="1"/>
  <c r="CE159" i="1"/>
  <c r="S244" i="1" s="1"/>
  <c r="CM145" i="1"/>
  <c r="E252" i="1" s="1"/>
  <c r="CM153" i="1"/>
  <c r="M252" i="1" s="1"/>
  <c r="CF156" i="1"/>
  <c r="P245" i="1" s="1"/>
  <c r="CF151" i="1"/>
  <c r="K245" i="1" s="1"/>
  <c r="CM147" i="1"/>
  <c r="G252" i="1" s="1"/>
  <c r="CE155" i="1"/>
  <c r="O244" i="1" s="1"/>
  <c r="CD159" i="1"/>
  <c r="S243" i="1" s="1"/>
  <c r="CD155" i="1"/>
  <c r="O243" i="1" s="1"/>
  <c r="CD152" i="1"/>
  <c r="CE162" i="1"/>
  <c r="V244" i="1" s="1"/>
  <c r="CD157" i="1"/>
  <c r="Q243" i="1" s="1"/>
  <c r="CE147" i="1"/>
  <c r="G244" i="1" s="1"/>
  <c r="CF160" i="1"/>
  <c r="T245" i="1" s="1"/>
  <c r="CE158" i="1"/>
  <c r="R244" i="1" s="1"/>
  <c r="CF154" i="1"/>
  <c r="N245" i="1" s="1"/>
  <c r="CD145" i="1"/>
  <c r="E243" i="1" s="1"/>
  <c r="CT131" i="1"/>
  <c r="CV131" i="1" s="1"/>
  <c r="CM159" i="1"/>
  <c r="S252" i="1" s="1"/>
  <c r="BP73" i="1"/>
  <c r="BQ73" i="1" s="1"/>
  <c r="BK73" i="1"/>
  <c r="CE160" i="1"/>
  <c r="T244" i="1" s="1"/>
  <c r="CD162" i="1"/>
  <c r="CD161" i="1"/>
  <c r="U243" i="1" s="1"/>
  <c r="CM161" i="1"/>
  <c r="U252" i="1" s="1"/>
  <c r="CF159" i="1"/>
  <c r="S245" i="1" s="1"/>
  <c r="CE157" i="1"/>
  <c r="Q244" i="1" s="1"/>
  <c r="CD151" i="1"/>
  <c r="K243" i="1" s="1"/>
  <c r="CE150" i="1"/>
  <c r="J244" i="1" s="1"/>
  <c r="CF145" i="1"/>
  <c r="E245" i="1" s="1"/>
  <c r="CD150" i="1"/>
  <c r="J243" i="1" s="1"/>
  <c r="CD160" i="1"/>
  <c r="T243" i="1" s="1"/>
  <c r="CF150" i="1"/>
  <c r="J245" i="1" s="1"/>
  <c r="CM151" i="1"/>
  <c r="K252" i="1" s="1"/>
  <c r="CE146" i="1"/>
  <c r="F244" i="1" s="1"/>
  <c r="BD73" i="1"/>
  <c r="BC74" i="1" s="1"/>
  <c r="BI74" i="1"/>
  <c r="N91" i="1"/>
  <c r="W91" i="1"/>
  <c r="Y91" i="1" s="1"/>
  <c r="L91" i="1"/>
  <c r="N119" i="1"/>
  <c r="W119" i="1"/>
  <c r="Y119" i="1" s="1"/>
  <c r="L119" i="1"/>
  <c r="W98" i="1"/>
  <c r="Y98" i="1" s="1"/>
  <c r="N98" i="1"/>
  <c r="L98" i="1"/>
  <c r="W126" i="1"/>
  <c r="Y126" i="1" s="1"/>
  <c r="N126" i="1"/>
  <c r="L126" i="1"/>
  <c r="W105" i="1"/>
  <c r="Y105" i="1" s="1"/>
  <c r="N105" i="1"/>
  <c r="L105" i="1"/>
  <c r="CT12" i="1"/>
  <c r="CV12" i="1" s="1"/>
  <c r="W112" i="1"/>
  <c r="Y112" i="1" s="1"/>
  <c r="N112" i="1"/>
  <c r="L112" i="1"/>
  <c r="CV68" i="1"/>
  <c r="CV89" i="1"/>
  <c r="CK126" i="1"/>
  <c r="CI126" i="1"/>
  <c r="CQ126" i="1"/>
  <c r="Q126" i="1"/>
  <c r="CN126" i="1"/>
  <c r="T126" i="1"/>
  <c r="V126" i="1" s="1"/>
  <c r="CI119" i="1"/>
  <c r="CK119" i="1"/>
  <c r="Q119" i="1"/>
  <c r="T119" i="1"/>
  <c r="V119" i="1" s="1"/>
  <c r="CN119" i="1"/>
  <c r="CQ119" i="1"/>
  <c r="CS119" i="1" s="1"/>
  <c r="CK112" i="1"/>
  <c r="CI112" i="1"/>
  <c r="CN112" i="1"/>
  <c r="CQ112" i="1"/>
  <c r="CS112" i="1" s="1"/>
  <c r="Q112" i="1"/>
  <c r="T112" i="1"/>
  <c r="V112" i="1" s="1"/>
  <c r="CK105" i="1"/>
  <c r="CI105" i="1"/>
  <c r="CQ105" i="1"/>
  <c r="CS105" i="1" s="1"/>
  <c r="T105" i="1"/>
  <c r="V105" i="1" s="1"/>
  <c r="CN105" i="1"/>
  <c r="Q105" i="1"/>
  <c r="CK98" i="1"/>
  <c r="CI98" i="1"/>
  <c r="CQ98" i="1"/>
  <c r="CS98" i="1" s="1"/>
  <c r="Q98" i="1"/>
  <c r="CN98" i="1"/>
  <c r="T98" i="1"/>
  <c r="V98" i="1" s="1"/>
  <c r="CI91" i="1"/>
  <c r="CK91" i="1"/>
  <c r="Q91" i="1"/>
  <c r="T91" i="1"/>
  <c r="V91" i="1" s="1"/>
  <c r="CN91" i="1"/>
  <c r="CQ91" i="1"/>
  <c r="CS91" i="1" s="1"/>
  <c r="BW160" i="1"/>
  <c r="T237" i="1" s="1"/>
  <c r="F228" i="1"/>
  <c r="CP9" i="1"/>
  <c r="I235" i="1"/>
  <c r="K8" i="1"/>
  <c r="CO10" i="1"/>
  <c r="CJ10" i="1"/>
  <c r="CL10" i="1"/>
  <c r="CC10" i="1"/>
  <c r="N36" i="4"/>
  <c r="P36" i="4"/>
  <c r="DN36" i="4"/>
  <c r="DP36" i="4"/>
  <c r="BN36" i="4"/>
  <c r="BP36" i="4"/>
  <c r="CF36" i="4"/>
  <c r="DG36" i="4"/>
  <c r="DS36" i="4"/>
  <c r="DT36" i="4" s="1"/>
  <c r="BG36" i="4"/>
  <c r="BF37" i="4" s="1"/>
  <c r="BS36" i="4"/>
  <c r="G36" i="4"/>
  <c r="F37" i="4" s="1"/>
  <c r="S36" i="4"/>
  <c r="T36" i="4" s="1"/>
  <c r="AT25" i="4"/>
  <c r="AF26" i="4"/>
  <c r="DF37" i="4"/>
  <c r="AL42" i="4"/>
  <c r="AL185" i="4" s="1"/>
  <c r="J234" i="4" s="1"/>
  <c r="L41" i="4"/>
  <c r="DL41" i="4"/>
  <c r="BL40" i="4"/>
  <c r="CL40" i="4"/>
  <c r="CS126" i="1"/>
  <c r="G228" i="1"/>
  <c r="H228" i="1"/>
  <c r="O228" i="1"/>
  <c r="K228" i="1"/>
  <c r="S228" i="1"/>
  <c r="W228" i="1"/>
  <c r="N228" i="1"/>
  <c r="CV103" i="1"/>
  <c r="CV117" i="1"/>
  <c r="M228" i="1"/>
  <c r="U228" i="1"/>
  <c r="T228" i="1"/>
  <c r="J228" i="1"/>
  <c r="CV75" i="1"/>
  <c r="CV47" i="1"/>
  <c r="CV54" i="1"/>
  <c r="CV96" i="1"/>
  <c r="P228" i="1"/>
  <c r="L228" i="1"/>
  <c r="V228" i="1"/>
  <c r="I228" i="1"/>
  <c r="Q228" i="1"/>
  <c r="R228" i="1"/>
  <c r="CH12" i="1"/>
  <c r="C120" i="1"/>
  <c r="C99" i="1"/>
  <c r="C92" i="1"/>
  <c r="C106" i="1"/>
  <c r="C127" i="1"/>
  <c r="C113" i="1"/>
  <c r="BK145" i="9" l="1"/>
  <c r="E225" i="9" s="1"/>
  <c r="BK146" i="9"/>
  <c r="F225" i="9" s="1"/>
  <c r="BK147" i="9"/>
  <c r="G225" i="9" s="1"/>
  <c r="BK148" i="9"/>
  <c r="H225" i="9" s="1"/>
  <c r="BK149" i="9"/>
  <c r="I225" i="9" s="1"/>
  <c r="BK150" i="9"/>
  <c r="J225" i="9" s="1"/>
  <c r="BK151" i="9"/>
  <c r="K225" i="9" s="1"/>
  <c r="BK152" i="9"/>
  <c r="L225" i="9" s="1"/>
  <c r="BK153" i="9"/>
  <c r="M225" i="9" s="1"/>
  <c r="BK154" i="9"/>
  <c r="N225" i="9" s="1"/>
  <c r="BK155" i="9"/>
  <c r="O225" i="9" s="1"/>
  <c r="BK156" i="9"/>
  <c r="P225" i="9" s="1"/>
  <c r="BK157" i="9"/>
  <c r="Q225" i="9" s="1"/>
  <c r="BK158" i="9"/>
  <c r="R225" i="9" s="1"/>
  <c r="BK159" i="9"/>
  <c r="S225" i="9" s="1"/>
  <c r="BK160" i="9"/>
  <c r="T225" i="9" s="1"/>
  <c r="BK161" i="9"/>
  <c r="U225" i="9" s="1"/>
  <c r="BK162" i="9"/>
  <c r="V225" i="9" s="1"/>
  <c r="BK163" i="9"/>
  <c r="W225" i="9" s="1"/>
  <c r="W293" i="9"/>
  <c r="W327" i="9"/>
  <c r="W344" i="9" s="1"/>
  <c r="U12" i="5" s="1"/>
  <c r="FY158" i="7"/>
  <c r="R336" i="7" s="1"/>
  <c r="FG105" i="7"/>
  <c r="FL105" i="7"/>
  <c r="FM105" i="7" s="1"/>
  <c r="O192" i="7"/>
  <c r="AQ155" i="7"/>
  <c r="S302" i="7"/>
  <c r="S371" i="7"/>
  <c r="HJ159" i="7"/>
  <c r="S358" i="7"/>
  <c r="FX159" i="7"/>
  <c r="GK159" i="7" s="1"/>
  <c r="S348" i="7" s="1"/>
  <c r="FY104" i="7"/>
  <c r="FX105" i="7" s="1"/>
  <c r="GF105" i="7" s="1"/>
  <c r="GF104" i="7"/>
  <c r="GK104" i="7"/>
  <c r="GL104" i="7" s="1"/>
  <c r="GX104" i="7"/>
  <c r="GW105" i="7" s="1"/>
  <c r="HE105" i="7" s="1"/>
  <c r="HE104" i="7"/>
  <c r="HJ104" i="7"/>
  <c r="HK104" i="7" s="1"/>
  <c r="DG155" i="7"/>
  <c r="O271" i="7" s="1"/>
  <c r="HC155" i="7"/>
  <c r="O364" i="7" s="1"/>
  <c r="GD155" i="7"/>
  <c r="O341" i="7" s="1"/>
  <c r="FE155" i="7"/>
  <c r="O318" i="7" s="1"/>
  <c r="EF155" i="7"/>
  <c r="O295" i="7" s="1"/>
  <c r="CP72" i="7"/>
  <c r="HC106" i="7"/>
  <c r="HG106" i="7" s="1"/>
  <c r="GD105" i="7"/>
  <c r="GH105" i="7" s="1"/>
  <c r="FL106" i="7"/>
  <c r="EZ106" i="7"/>
  <c r="EY107" i="7" s="1"/>
  <c r="FG106" i="7"/>
  <c r="FE106" i="7"/>
  <c r="FI106" i="7" s="1"/>
  <c r="EM106" i="7"/>
  <c r="EN106" i="7" s="1"/>
  <c r="EH106" i="7"/>
  <c r="EA106" i="7"/>
  <c r="DZ107" i="7" s="1"/>
  <c r="EF107" i="7"/>
  <c r="EJ107" i="7" s="1"/>
  <c r="DB106" i="7"/>
  <c r="DA107" i="7" s="1"/>
  <c r="DN106" i="7"/>
  <c r="DO106" i="7" s="1"/>
  <c r="DI106" i="7"/>
  <c r="DG106" i="7"/>
  <c r="DK106" i="7" s="1"/>
  <c r="BQ156" i="8"/>
  <c r="P231" i="8" s="1"/>
  <c r="S156" i="8"/>
  <c r="P183" i="8" s="1"/>
  <c r="DG101" i="8"/>
  <c r="DK100" i="8"/>
  <c r="CB157" i="8"/>
  <c r="Q241" i="8" s="1"/>
  <c r="DA157" i="8"/>
  <c r="Q264" i="8" s="1"/>
  <c r="CO90" i="8"/>
  <c r="CP90" i="8" s="1"/>
  <c r="CC90" i="8"/>
  <c r="CB91" i="8" s="1"/>
  <c r="CJ90" i="8"/>
  <c r="CL90" i="8"/>
  <c r="BD156" i="8"/>
  <c r="P218" i="8" s="1"/>
  <c r="BC90" i="8"/>
  <c r="K101" i="8"/>
  <c r="O100" i="8"/>
  <c r="AN102" i="8"/>
  <c r="AJ103" i="8"/>
  <c r="BI102" i="8"/>
  <c r="BM101" i="8"/>
  <c r="F156" i="8"/>
  <c r="P170" i="8" s="1"/>
  <c r="E90" i="8"/>
  <c r="CH103" i="8"/>
  <c r="DN101" i="8"/>
  <c r="DO101" i="8" s="1"/>
  <c r="DB101" i="8"/>
  <c r="DA102" i="8" s="1"/>
  <c r="DI101" i="8"/>
  <c r="AD157" i="8"/>
  <c r="AQ90" i="8"/>
  <c r="AR90" i="8" s="1"/>
  <c r="AL90" i="8"/>
  <c r="AE90" i="8"/>
  <c r="AD91" i="8" s="1"/>
  <c r="O205" i="7"/>
  <c r="AE77" i="7"/>
  <c r="AD78" i="7" s="1"/>
  <c r="AQ77" i="7"/>
  <c r="AR77" i="7" s="1"/>
  <c r="AL77" i="7"/>
  <c r="S74" i="7"/>
  <c r="F75" i="7"/>
  <c r="R75" i="7"/>
  <c r="M75" i="7"/>
  <c r="BP73" i="7"/>
  <c r="BQ73" i="7" s="1"/>
  <c r="BD73" i="7"/>
  <c r="BC74" i="7" s="1"/>
  <c r="BK73" i="7"/>
  <c r="CH155" i="7"/>
  <c r="CH83" i="7"/>
  <c r="AJ82" i="7"/>
  <c r="AN82" i="7" s="1"/>
  <c r="K155" i="7"/>
  <c r="K83" i="7"/>
  <c r="O83" i="7" s="1"/>
  <c r="CO73" i="7"/>
  <c r="CC73" i="7"/>
  <c r="CB74" i="7" s="1"/>
  <c r="CJ73" i="7"/>
  <c r="CL73" i="7"/>
  <c r="BI84" i="7"/>
  <c r="BM84" i="7" s="1"/>
  <c r="CG149" i="1"/>
  <c r="I246" i="1" s="1"/>
  <c r="AR79" i="1"/>
  <c r="AK113" i="1"/>
  <c r="AS113" i="1"/>
  <c r="AU113" i="1" s="1"/>
  <c r="AP113" i="1"/>
  <c r="AM113" i="1"/>
  <c r="AS99" i="1"/>
  <c r="AU99" i="1" s="1"/>
  <c r="AP99" i="1"/>
  <c r="AM99" i="1"/>
  <c r="AK99" i="1"/>
  <c r="AP127" i="1"/>
  <c r="AK127" i="1"/>
  <c r="AS127" i="1"/>
  <c r="AU127" i="1" s="1"/>
  <c r="AM127" i="1"/>
  <c r="AS120" i="1"/>
  <c r="AU120" i="1" s="1"/>
  <c r="AM120" i="1"/>
  <c r="AK120" i="1"/>
  <c r="AP120" i="1"/>
  <c r="AP106" i="1"/>
  <c r="AM106" i="1"/>
  <c r="AK106" i="1"/>
  <c r="AS106" i="1"/>
  <c r="AU106" i="1" s="1"/>
  <c r="AS92" i="1"/>
  <c r="AU92" i="1" s="1"/>
  <c r="AP92" i="1"/>
  <c r="AM92" i="1"/>
  <c r="AK92" i="1"/>
  <c r="AQ80" i="1"/>
  <c r="AL80" i="1"/>
  <c r="AE80" i="1"/>
  <c r="AD81" i="1" s="1"/>
  <c r="AJ81" i="1"/>
  <c r="CG162" i="1"/>
  <c r="V246" i="1" s="1"/>
  <c r="V243" i="1"/>
  <c r="CG154" i="1"/>
  <c r="N246" i="1" s="1"/>
  <c r="N243" i="1"/>
  <c r="CG152" i="1"/>
  <c r="L246" i="1" s="1"/>
  <c r="L243" i="1"/>
  <c r="CG161" i="1"/>
  <c r="U246" i="1" s="1"/>
  <c r="CG160" i="1"/>
  <c r="T246" i="1" s="1"/>
  <c r="CG153" i="1"/>
  <c r="M246" i="1" s="1"/>
  <c r="CG151" i="1"/>
  <c r="K246" i="1" s="1"/>
  <c r="CG146" i="1"/>
  <c r="F246" i="1" s="1"/>
  <c r="CG148" i="1"/>
  <c r="H246" i="1" s="1"/>
  <c r="BO92" i="1"/>
  <c r="BL92" i="1"/>
  <c r="BJ92" i="1"/>
  <c r="BR92" i="1"/>
  <c r="BT92" i="1" s="1"/>
  <c r="BP74" i="1"/>
  <c r="BQ74" i="1" s="1"/>
  <c r="BK74" i="1"/>
  <c r="CG145" i="1"/>
  <c r="E246" i="1" s="1"/>
  <c r="CG155" i="1"/>
  <c r="O246" i="1" s="1"/>
  <c r="CG147" i="1"/>
  <c r="G246" i="1" s="1"/>
  <c r="BR106" i="1"/>
  <c r="BT106" i="1" s="1"/>
  <c r="BO106" i="1"/>
  <c r="BL106" i="1"/>
  <c r="BJ106" i="1"/>
  <c r="CH145" i="1"/>
  <c r="BJ113" i="1"/>
  <c r="BR113" i="1"/>
  <c r="BT113" i="1" s="1"/>
  <c r="BO113" i="1"/>
  <c r="BL113" i="1"/>
  <c r="BJ99" i="1"/>
  <c r="BR99" i="1"/>
  <c r="BT99" i="1" s="1"/>
  <c r="BO99" i="1"/>
  <c r="BL99" i="1"/>
  <c r="CG150" i="1"/>
  <c r="J246" i="1" s="1"/>
  <c r="CG157" i="1"/>
  <c r="Q246" i="1" s="1"/>
  <c r="CG159" i="1"/>
  <c r="S246" i="1" s="1"/>
  <c r="CG156" i="1"/>
  <c r="P246" i="1" s="1"/>
  <c r="BJ127" i="1"/>
  <c r="BR127" i="1"/>
  <c r="BT127" i="1" s="1"/>
  <c r="BO127" i="1"/>
  <c r="BL127" i="1"/>
  <c r="BR120" i="1"/>
  <c r="BT120" i="1" s="1"/>
  <c r="BO120" i="1"/>
  <c r="BL120" i="1"/>
  <c r="BJ120" i="1"/>
  <c r="CG163" i="1"/>
  <c r="W246" i="1" s="1"/>
  <c r="CG158" i="1"/>
  <c r="R246" i="1" s="1"/>
  <c r="BD74" i="1"/>
  <c r="BC75" i="1" s="1"/>
  <c r="BI75" i="1"/>
  <c r="BI154" i="1" s="1"/>
  <c r="N223" i="1" s="1"/>
  <c r="CP10" i="1"/>
  <c r="W235" i="1"/>
  <c r="W106" i="1"/>
  <c r="Y106" i="1" s="1"/>
  <c r="N106" i="1"/>
  <c r="L106" i="1"/>
  <c r="W120" i="1"/>
  <c r="Y120" i="1" s="1"/>
  <c r="N120" i="1"/>
  <c r="L120" i="1"/>
  <c r="W92" i="1"/>
  <c r="Y92" i="1" s="1"/>
  <c r="L92" i="1"/>
  <c r="N92" i="1"/>
  <c r="W113" i="1"/>
  <c r="Y113" i="1" s="1"/>
  <c r="N113" i="1"/>
  <c r="L113" i="1"/>
  <c r="N127" i="1"/>
  <c r="W127" i="1"/>
  <c r="Y127" i="1" s="1"/>
  <c r="L127" i="1"/>
  <c r="N99" i="1"/>
  <c r="W99" i="1"/>
  <c r="Y99" i="1" s="1"/>
  <c r="L99" i="1"/>
  <c r="CK127" i="1"/>
  <c r="CI127" i="1"/>
  <c r="CK120" i="1"/>
  <c r="CI120" i="1"/>
  <c r="CK113" i="1"/>
  <c r="CI113" i="1"/>
  <c r="CK106" i="1"/>
  <c r="CI106" i="1"/>
  <c r="CK99" i="1"/>
  <c r="CI99" i="1"/>
  <c r="CI92" i="1"/>
  <c r="CK92" i="1"/>
  <c r="I237" i="1"/>
  <c r="CQ92" i="1"/>
  <c r="CS92" i="1" s="1"/>
  <c r="CN92" i="1"/>
  <c r="Q92" i="1"/>
  <c r="T92" i="1"/>
  <c r="V92" i="1" s="1"/>
  <c r="T106" i="1"/>
  <c r="V106" i="1" s="1"/>
  <c r="CQ106" i="1"/>
  <c r="CS106" i="1" s="1"/>
  <c r="CN106" i="1"/>
  <c r="Q106" i="1"/>
  <c r="CN120" i="1"/>
  <c r="Q120" i="1"/>
  <c r="CQ120" i="1"/>
  <c r="CS120" i="1" s="1"/>
  <c r="T120" i="1"/>
  <c r="V120" i="1" s="1"/>
  <c r="CN113" i="1"/>
  <c r="Q113" i="1"/>
  <c r="CQ113" i="1"/>
  <c r="CS113" i="1" s="1"/>
  <c r="T113" i="1"/>
  <c r="V113" i="1" s="1"/>
  <c r="CQ127" i="1"/>
  <c r="CS127" i="1" s="1"/>
  <c r="T127" i="1"/>
  <c r="V127" i="1" s="1"/>
  <c r="CN127" i="1"/>
  <c r="Q127" i="1"/>
  <c r="CQ99" i="1"/>
  <c r="CS99" i="1" s="1"/>
  <c r="T99" i="1"/>
  <c r="V99" i="1" s="1"/>
  <c r="CN99" i="1"/>
  <c r="Q99" i="1"/>
  <c r="O235" i="1"/>
  <c r="BW155" i="1"/>
  <c r="O237" i="1" s="1"/>
  <c r="G235" i="1"/>
  <c r="G237" i="1"/>
  <c r="L235" i="1"/>
  <c r="BW152" i="1"/>
  <c r="L237" i="1" s="1"/>
  <c r="U235" i="1"/>
  <c r="BW161" i="1"/>
  <c r="U237" i="1" s="1"/>
  <c r="S235" i="1"/>
  <c r="BW159" i="1"/>
  <c r="R235" i="1"/>
  <c r="BW158" i="1"/>
  <c r="H235" i="1"/>
  <c r="H237" i="1"/>
  <c r="M235" i="1"/>
  <c r="BW153" i="1"/>
  <c r="M237" i="1" s="1"/>
  <c r="F235" i="1"/>
  <c r="F237" i="1"/>
  <c r="CB11" i="1"/>
  <c r="AS26" i="4"/>
  <c r="AN26" i="4"/>
  <c r="AP26" i="4"/>
  <c r="CN36" i="4"/>
  <c r="CP36" i="4"/>
  <c r="CG36" i="4"/>
  <c r="CF37" i="4" s="1"/>
  <c r="CS36" i="4"/>
  <c r="CT36" i="4" s="1"/>
  <c r="N37" i="4"/>
  <c r="P37" i="4"/>
  <c r="DN37" i="4"/>
  <c r="DP37" i="4"/>
  <c r="BN37" i="4"/>
  <c r="BP37" i="4"/>
  <c r="DG37" i="4"/>
  <c r="DF38" i="4" s="1"/>
  <c r="DS37" i="4"/>
  <c r="DT37" i="4" s="1"/>
  <c r="BG37" i="4"/>
  <c r="BF38" i="4" s="1"/>
  <c r="BS37" i="4"/>
  <c r="G37" i="4"/>
  <c r="F38" i="4" s="1"/>
  <c r="S37" i="4"/>
  <c r="T37" i="4" s="1"/>
  <c r="AG26" i="4"/>
  <c r="CL41" i="4"/>
  <c r="BL41" i="4"/>
  <c r="DL42" i="4"/>
  <c r="DL185" i="4" s="1"/>
  <c r="J306" i="4" s="1"/>
  <c r="AL43" i="4"/>
  <c r="L42" i="4"/>
  <c r="L185" i="4" s="1"/>
  <c r="J210" i="4" s="1"/>
  <c r="BT36" i="4"/>
  <c r="C121" i="1"/>
  <c r="CH13" i="1"/>
  <c r="C114" i="1"/>
  <c r="C128" i="1"/>
  <c r="C93" i="1"/>
  <c r="C107" i="1"/>
  <c r="C100" i="1"/>
  <c r="FM106" i="7" l="1"/>
  <c r="FY105" i="7"/>
  <c r="FX106" i="7" s="1"/>
  <c r="GK105" i="7"/>
  <c r="GL105" i="7" s="1"/>
  <c r="GX105" i="7"/>
  <c r="GW106" i="7" s="1"/>
  <c r="HJ106" i="7" s="1"/>
  <c r="S335" i="7"/>
  <c r="O247" i="7"/>
  <c r="HJ105" i="7"/>
  <c r="HK105" i="7" s="1"/>
  <c r="CP73" i="7"/>
  <c r="HC107" i="7"/>
  <c r="HG107" i="7" s="1"/>
  <c r="GF106" i="7"/>
  <c r="GK106" i="7"/>
  <c r="FY106" i="7"/>
  <c r="FX107" i="7" s="1"/>
  <c r="GD106" i="7"/>
  <c r="GH106" i="7" s="1"/>
  <c r="FL107" i="7"/>
  <c r="EZ107" i="7"/>
  <c r="EY108" i="7" s="1"/>
  <c r="FG107" i="7"/>
  <c r="FE107" i="7"/>
  <c r="FI107" i="7" s="1"/>
  <c r="EA107" i="7"/>
  <c r="DZ108" i="7" s="1"/>
  <c r="EH107" i="7"/>
  <c r="EM107" i="7"/>
  <c r="EN107" i="7" s="1"/>
  <c r="EF108" i="7"/>
  <c r="EJ108" i="7" s="1"/>
  <c r="DG107" i="7"/>
  <c r="DK107" i="7" s="1"/>
  <c r="DN107" i="7"/>
  <c r="DO107" i="7" s="1"/>
  <c r="DB107" i="7"/>
  <c r="DA108" i="7" s="1"/>
  <c r="DI107" i="7"/>
  <c r="AQ91" i="8"/>
  <c r="AL91" i="8"/>
  <c r="AE91" i="8"/>
  <c r="AD92" i="8" s="1"/>
  <c r="BI103" i="8"/>
  <c r="BM102" i="8"/>
  <c r="O101" i="8"/>
  <c r="K102" i="8"/>
  <c r="DI102" i="8"/>
  <c r="DN102" i="8"/>
  <c r="DO102" i="8" s="1"/>
  <c r="DB102" i="8"/>
  <c r="DA103" i="8" s="1"/>
  <c r="R90" i="8"/>
  <c r="S90" i="8" s="1"/>
  <c r="F90" i="8"/>
  <c r="E91" i="8" s="1"/>
  <c r="E157" i="8"/>
  <c r="M90" i="8"/>
  <c r="AJ158" i="8"/>
  <c r="AJ104" i="8"/>
  <c r="AN103" i="8"/>
  <c r="BC157" i="8"/>
  <c r="BK90" i="8"/>
  <c r="BP90" i="8"/>
  <c r="BQ90" i="8" s="1"/>
  <c r="BD90" i="8"/>
  <c r="BC91" i="8" s="1"/>
  <c r="CO91" i="8"/>
  <c r="CP91" i="8" s="1"/>
  <c r="CC91" i="8"/>
  <c r="CB92" i="8" s="1"/>
  <c r="CJ91" i="8"/>
  <c r="CL91" i="8"/>
  <c r="AR91" i="8"/>
  <c r="P291" i="8"/>
  <c r="P325" i="8"/>
  <c r="DK101" i="8"/>
  <c r="DG102" i="8"/>
  <c r="Q192" i="8"/>
  <c r="AQ157" i="8"/>
  <c r="Q205" i="8" s="1"/>
  <c r="AN157" i="8"/>
  <c r="Q202" i="8" s="1"/>
  <c r="CH158" i="8"/>
  <c r="R247" i="8" s="1"/>
  <c r="DG158" i="8"/>
  <c r="R270" i="8" s="1"/>
  <c r="CH104" i="8"/>
  <c r="O175" i="7"/>
  <c r="E247" i="1"/>
  <c r="AE78" i="7"/>
  <c r="AD79" i="7" s="1"/>
  <c r="AE79" i="7" s="1"/>
  <c r="AL78" i="7"/>
  <c r="AQ78" i="7"/>
  <c r="AR78" i="7" s="1"/>
  <c r="E76" i="7"/>
  <c r="F154" i="7"/>
  <c r="N170" i="7" s="1"/>
  <c r="S75" i="7"/>
  <c r="CJ74" i="7"/>
  <c r="CC74" i="7"/>
  <c r="CB75" i="7" s="1"/>
  <c r="CO74" i="7"/>
  <c r="CL74" i="7"/>
  <c r="K84" i="7"/>
  <c r="O84" i="7" s="1"/>
  <c r="CH84" i="7"/>
  <c r="BP74" i="7"/>
  <c r="BQ74" i="7" s="1"/>
  <c r="BK74" i="7"/>
  <c r="BD74" i="7"/>
  <c r="BC75" i="7" s="1"/>
  <c r="BI85" i="7"/>
  <c r="BM85" i="7" s="1"/>
  <c r="AJ155" i="7"/>
  <c r="AN155" i="7" s="1"/>
  <c r="AJ83" i="7"/>
  <c r="AN83" i="7" s="1"/>
  <c r="AR80" i="1"/>
  <c r="AK128" i="1"/>
  <c r="AP128" i="1"/>
  <c r="AS128" i="1"/>
  <c r="AU128" i="1" s="1"/>
  <c r="AM128" i="1"/>
  <c r="AK93" i="1"/>
  <c r="AS93" i="1"/>
  <c r="AU93" i="1" s="1"/>
  <c r="AP93" i="1"/>
  <c r="AM93" i="1"/>
  <c r="AM114" i="1"/>
  <c r="AK114" i="1"/>
  <c r="AS114" i="1"/>
  <c r="AU114" i="1" s="1"/>
  <c r="AP114" i="1"/>
  <c r="AM121" i="1"/>
  <c r="AS121" i="1"/>
  <c r="AU121" i="1" s="1"/>
  <c r="AK121" i="1"/>
  <c r="AP121" i="1"/>
  <c r="AS107" i="1"/>
  <c r="AU107" i="1" s="1"/>
  <c r="AP107" i="1"/>
  <c r="AM107" i="1"/>
  <c r="AK107" i="1"/>
  <c r="AK100" i="1"/>
  <c r="AS100" i="1"/>
  <c r="AU100" i="1" s="1"/>
  <c r="AP100" i="1"/>
  <c r="AM100" i="1"/>
  <c r="AQ81" i="1"/>
  <c r="AL81" i="1"/>
  <c r="AE81" i="1"/>
  <c r="AD82" i="1" s="1"/>
  <c r="AJ82" i="1"/>
  <c r="AJ155" i="1" s="1"/>
  <c r="AN155" i="1" s="1"/>
  <c r="BP75" i="1"/>
  <c r="BQ75" i="1" s="1"/>
  <c r="BQ154" i="1" s="1"/>
  <c r="BK75" i="1"/>
  <c r="BO100" i="1"/>
  <c r="BL100" i="1"/>
  <c r="BJ100" i="1"/>
  <c r="BR100" i="1"/>
  <c r="BT100" i="1" s="1"/>
  <c r="BJ107" i="1"/>
  <c r="BR107" i="1"/>
  <c r="BT107" i="1" s="1"/>
  <c r="BO107" i="1"/>
  <c r="BL107" i="1"/>
  <c r="BL128" i="1"/>
  <c r="BJ128" i="1"/>
  <c r="BR128" i="1"/>
  <c r="BT128" i="1" s="1"/>
  <c r="BO128" i="1"/>
  <c r="BR93" i="1"/>
  <c r="BT93" i="1" s="1"/>
  <c r="BO93" i="1"/>
  <c r="BL93" i="1"/>
  <c r="BJ93" i="1"/>
  <c r="BO114" i="1"/>
  <c r="BL114" i="1"/>
  <c r="BJ114" i="1"/>
  <c r="BR114" i="1"/>
  <c r="BT114" i="1" s="1"/>
  <c r="BJ121" i="1"/>
  <c r="BR121" i="1"/>
  <c r="BT121" i="1" s="1"/>
  <c r="BO121" i="1"/>
  <c r="BL121" i="1"/>
  <c r="BM154" i="1"/>
  <c r="BI76" i="1"/>
  <c r="BD75" i="1"/>
  <c r="R237" i="1"/>
  <c r="S237" i="1"/>
  <c r="BW163" i="1"/>
  <c r="W100" i="1"/>
  <c r="Y100" i="1" s="1"/>
  <c r="N100" i="1"/>
  <c r="L100" i="1"/>
  <c r="W93" i="1"/>
  <c r="Y93" i="1" s="1"/>
  <c r="N93" i="1"/>
  <c r="L93" i="1"/>
  <c r="W121" i="1"/>
  <c r="N121" i="1"/>
  <c r="L121" i="1"/>
  <c r="W114" i="1"/>
  <c r="Y114" i="1" s="1"/>
  <c r="N114" i="1"/>
  <c r="L114" i="1"/>
  <c r="N107" i="1"/>
  <c r="W107" i="1"/>
  <c r="Y107" i="1" s="1"/>
  <c r="L107" i="1"/>
  <c r="W128" i="1"/>
  <c r="Y128" i="1" s="1"/>
  <c r="L128" i="1"/>
  <c r="N128" i="1"/>
  <c r="CK128" i="1"/>
  <c r="CI128" i="1"/>
  <c r="CK121" i="1"/>
  <c r="CI121" i="1"/>
  <c r="CK114" i="1"/>
  <c r="CI114" i="1"/>
  <c r="CI107" i="1"/>
  <c r="CK107" i="1"/>
  <c r="CK100" i="1"/>
  <c r="CI100" i="1"/>
  <c r="CK93" i="1"/>
  <c r="CI93" i="1"/>
  <c r="CN128" i="1"/>
  <c r="Q128" i="1"/>
  <c r="CQ128" i="1"/>
  <c r="CS128" i="1" s="1"/>
  <c r="T128" i="1"/>
  <c r="V128" i="1" s="1"/>
  <c r="CN93" i="1"/>
  <c r="Q93" i="1"/>
  <c r="CQ93" i="1"/>
  <c r="CS93" i="1" s="1"/>
  <c r="T93" i="1"/>
  <c r="V93" i="1" s="1"/>
  <c r="Y121" i="1"/>
  <c r="CQ121" i="1"/>
  <c r="CS121" i="1" s="1"/>
  <c r="CN121" i="1"/>
  <c r="Q121" i="1"/>
  <c r="T121" i="1"/>
  <c r="V121" i="1" s="1"/>
  <c r="CQ107" i="1"/>
  <c r="CS107" i="1" s="1"/>
  <c r="CN107" i="1"/>
  <c r="T107" i="1"/>
  <c r="V107" i="1" s="1"/>
  <c r="Q107" i="1"/>
  <c r="CQ100" i="1"/>
  <c r="CS100" i="1" s="1"/>
  <c r="CN100" i="1"/>
  <c r="Q100" i="1"/>
  <c r="T100" i="1"/>
  <c r="V100" i="1" s="1"/>
  <c r="CQ114" i="1"/>
  <c r="CS114" i="1" s="1"/>
  <c r="T114" i="1"/>
  <c r="V114" i="1" s="1"/>
  <c r="CN114" i="1"/>
  <c r="Q114" i="1"/>
  <c r="V235" i="1"/>
  <c r="BW162" i="1"/>
  <c r="P235" i="1"/>
  <c r="BW156" i="1"/>
  <c r="K235" i="1"/>
  <c r="BW151" i="1"/>
  <c r="N235" i="1"/>
  <c r="BW154" i="1"/>
  <c r="J235" i="1"/>
  <c r="BW150" i="1"/>
  <c r="Q235" i="1"/>
  <c r="BW157" i="1"/>
  <c r="Q237" i="1" s="1"/>
  <c r="CO11" i="1"/>
  <c r="CL11" i="1"/>
  <c r="CC11" i="1"/>
  <c r="CJ11" i="1"/>
  <c r="N38" i="4"/>
  <c r="P38" i="4"/>
  <c r="BN38" i="4"/>
  <c r="BP38" i="4"/>
  <c r="DN38" i="4"/>
  <c r="DP38" i="4"/>
  <c r="CN37" i="4"/>
  <c r="CP37" i="4"/>
  <c r="CG37" i="4"/>
  <c r="CF38" i="4" s="1"/>
  <c r="CS37" i="4"/>
  <c r="CT37" i="4" s="1"/>
  <c r="DG38" i="4"/>
  <c r="DF39" i="4" s="1"/>
  <c r="DS38" i="4"/>
  <c r="DT38" i="4" s="1"/>
  <c r="BG38" i="4"/>
  <c r="BF39" i="4" s="1"/>
  <c r="BS38" i="4"/>
  <c r="G38" i="4"/>
  <c r="F39" i="4" s="1"/>
  <c r="S38" i="4"/>
  <c r="T38" i="4" s="1"/>
  <c r="AF27" i="4"/>
  <c r="AT26" i="4"/>
  <c r="BT37" i="4"/>
  <c r="CL42" i="4"/>
  <c r="CL185" i="4" s="1"/>
  <c r="J283" i="4" s="1"/>
  <c r="DL43" i="4"/>
  <c r="AL44" i="4"/>
  <c r="L43" i="4"/>
  <c r="BL42" i="4"/>
  <c r="BL185" i="4" s="1"/>
  <c r="J258" i="4" s="1"/>
  <c r="C122" i="1"/>
  <c r="CH14" i="1"/>
  <c r="C129" i="1"/>
  <c r="C108" i="1"/>
  <c r="C115" i="1"/>
  <c r="C101" i="1"/>
  <c r="C94" i="1"/>
  <c r="GX106" i="7" l="1"/>
  <c r="GW107" i="7" s="1"/>
  <c r="HJ107" i="7" s="1"/>
  <c r="HE106" i="7"/>
  <c r="FM107" i="7"/>
  <c r="GL106" i="7"/>
  <c r="CP74" i="7"/>
  <c r="HK106" i="7"/>
  <c r="HE107" i="7"/>
  <c r="HC108" i="7"/>
  <c r="HG108" i="7" s="1"/>
  <c r="GK107" i="7"/>
  <c r="FY107" i="7"/>
  <c r="FX108" i="7" s="1"/>
  <c r="GF107" i="7"/>
  <c r="GD107" i="7"/>
  <c r="GH107" i="7" s="1"/>
  <c r="FL108" i="7"/>
  <c r="EZ108" i="7"/>
  <c r="EY109" i="7" s="1"/>
  <c r="FG108" i="7"/>
  <c r="FE108" i="7"/>
  <c r="FI108" i="7" s="1"/>
  <c r="EF109" i="7"/>
  <c r="EJ109" i="7" s="1"/>
  <c r="EM108" i="7"/>
  <c r="EN108" i="7" s="1"/>
  <c r="EA108" i="7"/>
  <c r="DZ109" i="7" s="1"/>
  <c r="EH108" i="7"/>
  <c r="DG108" i="7"/>
  <c r="DK108" i="7" s="1"/>
  <c r="DN108" i="7"/>
  <c r="DO108" i="7" s="1"/>
  <c r="DB108" i="7"/>
  <c r="DA109" i="7" s="1"/>
  <c r="DI108" i="7"/>
  <c r="DG103" i="8"/>
  <c r="DK102" i="8"/>
  <c r="CH105" i="8"/>
  <c r="BK91" i="8"/>
  <c r="BD91" i="8"/>
  <c r="BC92" i="8" s="1"/>
  <c r="BP91" i="8"/>
  <c r="BQ91" i="8" s="1"/>
  <c r="Q169" i="8"/>
  <c r="R157" i="8"/>
  <c r="Q182" i="8" s="1"/>
  <c r="M157" i="8"/>
  <c r="Q177" i="8" s="1"/>
  <c r="O157" i="8"/>
  <c r="Q179" i="8" s="1"/>
  <c r="K103" i="8"/>
  <c r="O102" i="8"/>
  <c r="AQ92" i="8"/>
  <c r="AL92" i="8"/>
  <c r="AE92" i="8"/>
  <c r="AD93" i="8" s="1"/>
  <c r="AN104" i="8"/>
  <c r="AJ105" i="8"/>
  <c r="R91" i="8"/>
  <c r="F91" i="8"/>
  <c r="E92" i="8" s="1"/>
  <c r="M91" i="8"/>
  <c r="CO92" i="8"/>
  <c r="CP92" i="8" s="1"/>
  <c r="CC92" i="8"/>
  <c r="CB93" i="8" s="1"/>
  <c r="CJ92" i="8"/>
  <c r="CL92" i="8"/>
  <c r="R198" i="8"/>
  <c r="S91" i="8"/>
  <c r="AR92" i="8"/>
  <c r="Q217" i="8"/>
  <c r="BP157" i="8"/>
  <c r="Q230" i="8" s="1"/>
  <c r="DN103" i="8"/>
  <c r="DO103" i="8" s="1"/>
  <c r="DB103" i="8"/>
  <c r="DA104" i="8" s="1"/>
  <c r="DI103" i="8"/>
  <c r="BI158" i="8"/>
  <c r="R223" i="8" s="1"/>
  <c r="BM103" i="8"/>
  <c r="BM158" i="8" s="1"/>
  <c r="R227" i="8" s="1"/>
  <c r="BI104" i="8"/>
  <c r="O198" i="7"/>
  <c r="O390" i="7" s="1"/>
  <c r="O202" i="7"/>
  <c r="AL79" i="7"/>
  <c r="AD80" i="7"/>
  <c r="AQ79" i="7"/>
  <c r="AR79" i="7" s="1"/>
  <c r="S154" i="7"/>
  <c r="F76" i="7"/>
  <c r="E77" i="7" s="1"/>
  <c r="R76" i="7"/>
  <c r="E155" i="7"/>
  <c r="R155" i="7" s="1"/>
  <c r="M76" i="7"/>
  <c r="BI86" i="7"/>
  <c r="BM86" i="7" s="1"/>
  <c r="CO75" i="7"/>
  <c r="CP75" i="7" s="1"/>
  <c r="CC75" i="7"/>
  <c r="CJ75" i="7"/>
  <c r="CL75" i="7"/>
  <c r="K85" i="7"/>
  <c r="O85" i="7" s="1"/>
  <c r="AJ84" i="7"/>
  <c r="AN84" i="7" s="1"/>
  <c r="O198" i="1"/>
  <c r="BP75" i="7"/>
  <c r="BQ75" i="7" s="1"/>
  <c r="BD75" i="7"/>
  <c r="BK75" i="7"/>
  <c r="BM154" i="7"/>
  <c r="N227" i="7" s="1"/>
  <c r="CH85" i="7"/>
  <c r="AR81" i="1"/>
  <c r="AP101" i="1"/>
  <c r="AM101" i="1"/>
  <c r="AK101" i="1"/>
  <c r="AS101" i="1"/>
  <c r="AU101" i="1" s="1"/>
  <c r="AP129" i="1"/>
  <c r="AK129" i="1"/>
  <c r="AM129" i="1"/>
  <c r="AS129" i="1"/>
  <c r="AU129" i="1" s="1"/>
  <c r="AM94" i="1"/>
  <c r="AK94" i="1"/>
  <c r="AS94" i="1"/>
  <c r="AU94" i="1" s="1"/>
  <c r="AP94" i="1"/>
  <c r="AM108" i="1"/>
  <c r="AK108" i="1"/>
  <c r="AS108" i="1"/>
  <c r="AU108" i="1" s="1"/>
  <c r="AP108" i="1"/>
  <c r="AS115" i="1"/>
  <c r="AU115" i="1" s="1"/>
  <c r="AP115" i="1"/>
  <c r="AM115" i="1"/>
  <c r="AK115" i="1"/>
  <c r="AP122" i="1"/>
  <c r="AK122" i="1"/>
  <c r="AM122" i="1"/>
  <c r="AS122" i="1"/>
  <c r="AU122" i="1" s="1"/>
  <c r="AQ82" i="1"/>
  <c r="AL82" i="1"/>
  <c r="AE82" i="1"/>
  <c r="AD83" i="1" s="1"/>
  <c r="AJ83" i="1"/>
  <c r="BC76" i="1"/>
  <c r="BC155" i="1" s="1"/>
  <c r="O217" i="1" s="1"/>
  <c r="BD154" i="1"/>
  <c r="N218" i="1" s="1"/>
  <c r="BJ101" i="1"/>
  <c r="BR101" i="1"/>
  <c r="BT101" i="1" s="1"/>
  <c r="BO101" i="1"/>
  <c r="BL101" i="1"/>
  <c r="BO94" i="1"/>
  <c r="BL94" i="1"/>
  <c r="BJ94" i="1"/>
  <c r="BR94" i="1"/>
  <c r="BT94" i="1" s="1"/>
  <c r="BL108" i="1"/>
  <c r="BJ108" i="1"/>
  <c r="BR108" i="1"/>
  <c r="BT108" i="1" s="1"/>
  <c r="BO108" i="1"/>
  <c r="BR122" i="1"/>
  <c r="BT122" i="1" s="1"/>
  <c r="BO122" i="1"/>
  <c r="BL122" i="1"/>
  <c r="BJ122" i="1"/>
  <c r="BR129" i="1"/>
  <c r="BT129" i="1" s="1"/>
  <c r="BO129" i="1"/>
  <c r="BL129" i="1"/>
  <c r="BJ129" i="1"/>
  <c r="BL115" i="1"/>
  <c r="BJ115" i="1"/>
  <c r="BR115" i="1"/>
  <c r="BT115" i="1" s="1"/>
  <c r="BO115" i="1"/>
  <c r="BI77" i="1"/>
  <c r="N237" i="1"/>
  <c r="P237" i="1"/>
  <c r="J237" i="1"/>
  <c r="K237" i="1"/>
  <c r="V237" i="1"/>
  <c r="W237" i="1"/>
  <c r="N115" i="1"/>
  <c r="W115" i="1"/>
  <c r="Y115" i="1" s="1"/>
  <c r="L115" i="1"/>
  <c r="W101" i="1"/>
  <c r="Y101" i="1" s="1"/>
  <c r="N101" i="1"/>
  <c r="L101" i="1"/>
  <c r="W108" i="1"/>
  <c r="Y108" i="1" s="1"/>
  <c r="L108" i="1"/>
  <c r="N108" i="1"/>
  <c r="W94" i="1"/>
  <c r="Y94" i="1" s="1"/>
  <c r="N94" i="1"/>
  <c r="L94" i="1"/>
  <c r="W129" i="1"/>
  <c r="Y129" i="1" s="1"/>
  <c r="N129" i="1"/>
  <c r="L129" i="1"/>
  <c r="W122" i="1"/>
  <c r="Y122" i="1" s="1"/>
  <c r="N122" i="1"/>
  <c r="L122" i="1"/>
  <c r="CK129" i="1"/>
  <c r="CI129" i="1"/>
  <c r="CK122" i="1"/>
  <c r="CI122" i="1"/>
  <c r="CK115" i="1"/>
  <c r="CI115" i="1"/>
  <c r="CK108" i="1"/>
  <c r="CI108" i="1"/>
  <c r="CK101" i="1"/>
  <c r="CI101" i="1"/>
  <c r="CI94" i="1"/>
  <c r="CK94" i="1"/>
  <c r="T94" i="1"/>
  <c r="V94" i="1" s="1"/>
  <c r="CQ94" i="1"/>
  <c r="CS94" i="1" s="1"/>
  <c r="CN94" i="1"/>
  <c r="Q94" i="1"/>
  <c r="CQ108" i="1"/>
  <c r="CS108" i="1" s="1"/>
  <c r="CN108" i="1"/>
  <c r="Q108" i="1"/>
  <c r="T108" i="1"/>
  <c r="V108" i="1" s="1"/>
  <c r="CQ122" i="1"/>
  <c r="CS122" i="1" s="1"/>
  <c r="T122" i="1"/>
  <c r="V122" i="1" s="1"/>
  <c r="CN122" i="1"/>
  <c r="Q122" i="1"/>
  <c r="CQ115" i="1"/>
  <c r="CS115" i="1" s="1"/>
  <c r="T115" i="1"/>
  <c r="V115" i="1" s="1"/>
  <c r="CN115" i="1"/>
  <c r="Q115" i="1"/>
  <c r="CN129" i="1"/>
  <c r="Q129" i="1"/>
  <c r="CQ129" i="1"/>
  <c r="CS129" i="1" s="1"/>
  <c r="T129" i="1"/>
  <c r="V129" i="1" s="1"/>
  <c r="CN101" i="1"/>
  <c r="Q101" i="1"/>
  <c r="CQ101" i="1"/>
  <c r="CS101" i="1" s="1"/>
  <c r="T101" i="1"/>
  <c r="V101" i="1" s="1"/>
  <c r="S7" i="1"/>
  <c r="CP11" i="1"/>
  <c r="CB12" i="1"/>
  <c r="DN39" i="4"/>
  <c r="DP39" i="4"/>
  <c r="N39" i="4"/>
  <c r="P39" i="4"/>
  <c r="AS27" i="4"/>
  <c r="AN27" i="4"/>
  <c r="AP27" i="4"/>
  <c r="BN39" i="4"/>
  <c r="BP39" i="4"/>
  <c r="CN38" i="4"/>
  <c r="CP38" i="4"/>
  <c r="CS38" i="4"/>
  <c r="CT38" i="4" s="1"/>
  <c r="CG38" i="4"/>
  <c r="CF39" i="4" s="1"/>
  <c r="F227" i="1"/>
  <c r="DG39" i="4"/>
  <c r="DF40" i="4" s="1"/>
  <c r="DS39" i="4"/>
  <c r="DT39" i="4" s="1"/>
  <c r="BG39" i="4"/>
  <c r="BF40" i="4" s="1"/>
  <c r="BS39" i="4"/>
  <c r="G39" i="4"/>
  <c r="F40" i="4" s="1"/>
  <c r="S39" i="4"/>
  <c r="T39" i="4" s="1"/>
  <c r="AG27" i="4"/>
  <c r="BT38" i="4"/>
  <c r="CL43" i="4"/>
  <c r="AL45" i="4"/>
  <c r="DL44" i="4"/>
  <c r="BL43" i="4"/>
  <c r="L44" i="4"/>
  <c r="C123" i="1"/>
  <c r="CH15" i="1"/>
  <c r="C102" i="1"/>
  <c r="C116" i="1"/>
  <c r="C95" i="1"/>
  <c r="C109" i="1"/>
  <c r="C130" i="1"/>
  <c r="FM108" i="7" l="1"/>
  <c r="GX107" i="7"/>
  <c r="GW108" i="7" s="1"/>
  <c r="GX108" i="7" s="1"/>
  <c r="GW109" i="7" s="1"/>
  <c r="HK107" i="7"/>
  <c r="GL107" i="7"/>
  <c r="HG154" i="7"/>
  <c r="N368" i="7" s="1"/>
  <c r="GH154" i="7"/>
  <c r="N345" i="7" s="1"/>
  <c r="FI154" i="7"/>
  <c r="N322" i="7" s="1"/>
  <c r="EJ154" i="7"/>
  <c r="N299" i="7" s="1"/>
  <c r="DB154" i="7"/>
  <c r="GX154" i="7"/>
  <c r="N359" i="7" s="1"/>
  <c r="EZ154" i="7"/>
  <c r="N313" i="7" s="1"/>
  <c r="FY154" i="7"/>
  <c r="N336" i="7" s="1"/>
  <c r="EA154" i="7"/>
  <c r="DO154" i="7"/>
  <c r="N279" i="7" s="1"/>
  <c r="GL154" i="7"/>
  <c r="N349" i="7" s="1"/>
  <c r="HK154" i="7"/>
  <c r="N372" i="7" s="1"/>
  <c r="FM154" i="7"/>
  <c r="N326" i="7" s="1"/>
  <c r="EN154" i="7"/>
  <c r="N303" i="7" s="1"/>
  <c r="HE108" i="7"/>
  <c r="HJ108" i="7"/>
  <c r="HC109" i="7"/>
  <c r="HG109" i="7" s="1"/>
  <c r="GK108" i="7"/>
  <c r="GF108" i="7"/>
  <c r="FY108" i="7"/>
  <c r="FX109" i="7" s="1"/>
  <c r="GD108" i="7"/>
  <c r="GH108" i="7" s="1"/>
  <c r="FL109" i="7"/>
  <c r="EZ109" i="7"/>
  <c r="EY110" i="7" s="1"/>
  <c r="FG109" i="7"/>
  <c r="FE109" i="7"/>
  <c r="FI109" i="7" s="1"/>
  <c r="EF110" i="7"/>
  <c r="EM109" i="7"/>
  <c r="EN109" i="7" s="1"/>
  <c r="EA109" i="7"/>
  <c r="DZ110" i="7" s="1"/>
  <c r="EH109" i="7"/>
  <c r="DG109" i="7"/>
  <c r="DK109" i="7" s="1"/>
  <c r="DN109" i="7"/>
  <c r="DO109" i="7" s="1"/>
  <c r="DB109" i="7"/>
  <c r="DA110" i="7" s="1"/>
  <c r="DI109" i="7"/>
  <c r="BD92" i="8"/>
  <c r="BC93" i="8" s="1"/>
  <c r="BP92" i="8"/>
  <c r="BQ92" i="8" s="1"/>
  <c r="BK92" i="8"/>
  <c r="R92" i="8"/>
  <c r="S92" i="8" s="1"/>
  <c r="F92" i="8"/>
  <c r="E93" i="8" s="1"/>
  <c r="M92" i="8"/>
  <c r="DK103" i="8"/>
  <c r="DG104" i="8"/>
  <c r="CO93" i="8"/>
  <c r="CP93" i="8" s="1"/>
  <c r="CC93" i="8"/>
  <c r="CB94" i="8" s="1"/>
  <c r="CJ93" i="8"/>
  <c r="CL93" i="8"/>
  <c r="AE93" i="8"/>
  <c r="AD94" i="8" s="1"/>
  <c r="AQ93" i="8"/>
  <c r="AL93" i="8"/>
  <c r="K158" i="8"/>
  <c r="O103" i="8"/>
  <c r="K104" i="8"/>
  <c r="Q290" i="8"/>
  <c r="Q315" i="8"/>
  <c r="CH106" i="8"/>
  <c r="BI105" i="8"/>
  <c r="BM104" i="8"/>
  <c r="DN104" i="8"/>
  <c r="DO104" i="8" s="1"/>
  <c r="DI104" i="8"/>
  <c r="DB104" i="8"/>
  <c r="DA105" i="8" s="1"/>
  <c r="AR93" i="8"/>
  <c r="AJ106" i="8"/>
  <c r="AN105" i="8"/>
  <c r="O169" i="7"/>
  <c r="O155" i="7"/>
  <c r="O179" i="7" s="1"/>
  <c r="N183" i="7"/>
  <c r="N399" i="7" s="1"/>
  <c r="N184" i="7"/>
  <c r="O182" i="7"/>
  <c r="M155" i="7"/>
  <c r="O177" i="7" s="1"/>
  <c r="BP76" i="1"/>
  <c r="BQ76" i="1" s="1"/>
  <c r="AD156" i="1"/>
  <c r="P192" i="1" s="1"/>
  <c r="AE155" i="1"/>
  <c r="O193" i="1" s="1"/>
  <c r="CL154" i="7"/>
  <c r="DK154" i="7"/>
  <c r="N275" i="7" s="1"/>
  <c r="AQ80" i="7"/>
  <c r="AR80" i="7" s="1"/>
  <c r="AE80" i="7"/>
  <c r="AD81" i="7" s="1"/>
  <c r="AL80" i="7"/>
  <c r="F77" i="7"/>
  <c r="E78" i="7" s="1"/>
  <c r="R77" i="7"/>
  <c r="M77" i="7"/>
  <c r="S76" i="7"/>
  <c r="BQ154" i="7"/>
  <c r="N231" i="7" s="1"/>
  <c r="O426" i="7"/>
  <c r="CP154" i="7"/>
  <c r="CH86" i="7"/>
  <c r="BD154" i="7"/>
  <c r="BC76" i="7"/>
  <c r="K86" i="7"/>
  <c r="O86" i="7" s="1"/>
  <c r="BI87" i="7"/>
  <c r="BM87" i="7" s="1"/>
  <c r="AJ85" i="7"/>
  <c r="AN85" i="7" s="1"/>
  <c r="CC154" i="7"/>
  <c r="CB76" i="7"/>
  <c r="BD76" i="1"/>
  <c r="BC77" i="1" s="1"/>
  <c r="BD77" i="1" s="1"/>
  <c r="BC78" i="1" s="1"/>
  <c r="AR82" i="1"/>
  <c r="AR155" i="1" s="1"/>
  <c r="O206" i="1" s="1"/>
  <c r="BK76" i="1"/>
  <c r="AM130" i="1"/>
  <c r="AS130" i="1"/>
  <c r="AU130" i="1" s="1"/>
  <c r="AP130" i="1"/>
  <c r="AK130" i="1"/>
  <c r="AM123" i="1"/>
  <c r="AS123" i="1"/>
  <c r="AU123" i="1" s="1"/>
  <c r="AP123" i="1"/>
  <c r="AK123" i="1"/>
  <c r="AK95" i="1"/>
  <c r="AS95" i="1"/>
  <c r="AU95" i="1" s="1"/>
  <c r="AP95" i="1"/>
  <c r="AM95" i="1"/>
  <c r="AK109" i="1"/>
  <c r="AS109" i="1"/>
  <c r="AU109" i="1" s="1"/>
  <c r="AP109" i="1"/>
  <c r="AM109" i="1"/>
  <c r="AP116" i="1"/>
  <c r="AM116" i="1"/>
  <c r="AK116" i="1"/>
  <c r="AS116" i="1"/>
  <c r="AU116" i="1" s="1"/>
  <c r="AM102" i="1"/>
  <c r="AK102" i="1"/>
  <c r="AS102" i="1"/>
  <c r="AU102" i="1" s="1"/>
  <c r="AP102" i="1"/>
  <c r="AQ83" i="1"/>
  <c r="AE83" i="1"/>
  <c r="AD84" i="1" s="1"/>
  <c r="AL83" i="1"/>
  <c r="AJ84" i="1"/>
  <c r="BR102" i="1"/>
  <c r="BT102" i="1" s="1"/>
  <c r="BO102" i="1"/>
  <c r="BL102" i="1"/>
  <c r="BJ102" i="1"/>
  <c r="BL130" i="1"/>
  <c r="BJ130" i="1"/>
  <c r="BR130" i="1"/>
  <c r="BT130" i="1" s="1"/>
  <c r="BO130" i="1"/>
  <c r="BL95" i="1"/>
  <c r="BJ95" i="1"/>
  <c r="BR95" i="1"/>
  <c r="BT95" i="1" s="1"/>
  <c r="BO95" i="1"/>
  <c r="BP77" i="1"/>
  <c r="BO123" i="1"/>
  <c r="BL123" i="1"/>
  <c r="BJ123" i="1"/>
  <c r="BR123" i="1"/>
  <c r="BT123" i="1" s="1"/>
  <c r="BJ109" i="1"/>
  <c r="BR109" i="1"/>
  <c r="BT109" i="1" s="1"/>
  <c r="BO109" i="1"/>
  <c r="BL109" i="1"/>
  <c r="BJ116" i="1"/>
  <c r="BR116" i="1"/>
  <c r="BT116" i="1" s="1"/>
  <c r="BO116" i="1"/>
  <c r="BL116" i="1"/>
  <c r="BI78" i="1"/>
  <c r="N95" i="1"/>
  <c r="W95" i="1"/>
  <c r="Y95" i="1" s="1"/>
  <c r="L95" i="1"/>
  <c r="W102" i="1"/>
  <c r="Y102" i="1" s="1"/>
  <c r="N102" i="1"/>
  <c r="L102" i="1"/>
  <c r="W109" i="1"/>
  <c r="N109" i="1"/>
  <c r="L109" i="1"/>
  <c r="W130" i="1"/>
  <c r="Y130" i="1" s="1"/>
  <c r="N130" i="1"/>
  <c r="L130" i="1"/>
  <c r="W116" i="1"/>
  <c r="Y116" i="1" s="1"/>
  <c r="L116" i="1"/>
  <c r="N116" i="1"/>
  <c r="N123" i="1"/>
  <c r="W123" i="1"/>
  <c r="Y123" i="1" s="1"/>
  <c r="L123" i="1"/>
  <c r="CK130" i="1"/>
  <c r="CI130" i="1"/>
  <c r="CI123" i="1"/>
  <c r="CK123" i="1"/>
  <c r="CK116" i="1"/>
  <c r="CI116" i="1"/>
  <c r="CK109" i="1"/>
  <c r="CI109" i="1"/>
  <c r="CK102" i="1"/>
  <c r="CI102" i="1"/>
  <c r="CI95" i="1"/>
  <c r="CK95" i="1"/>
  <c r="CQ130" i="1"/>
  <c r="CS130" i="1" s="1"/>
  <c r="T130" i="1"/>
  <c r="V130" i="1" s="1"/>
  <c r="CN130" i="1"/>
  <c r="Q130" i="1"/>
  <c r="T102" i="1"/>
  <c r="V102" i="1" s="1"/>
  <c r="CQ102" i="1"/>
  <c r="CS102" i="1" s="1"/>
  <c r="CN102" i="1"/>
  <c r="Q102" i="1"/>
  <c r="CN116" i="1"/>
  <c r="Q116" i="1"/>
  <c r="CQ116" i="1"/>
  <c r="CS116" i="1" s="1"/>
  <c r="T116" i="1"/>
  <c r="V116" i="1" s="1"/>
  <c r="CQ95" i="1"/>
  <c r="CS95" i="1" s="1"/>
  <c r="T95" i="1"/>
  <c r="V95" i="1" s="1"/>
  <c r="CN95" i="1"/>
  <c r="Q95" i="1"/>
  <c r="CQ109" i="1"/>
  <c r="CS109" i="1" s="1"/>
  <c r="CN109" i="1"/>
  <c r="Q109" i="1"/>
  <c r="T109" i="1"/>
  <c r="V109" i="1" s="1"/>
  <c r="CQ123" i="1"/>
  <c r="CS123" i="1" s="1"/>
  <c r="T123" i="1"/>
  <c r="V123" i="1" s="1"/>
  <c r="CN123" i="1"/>
  <c r="Q123" i="1"/>
  <c r="CO12" i="1"/>
  <c r="CL12" i="1"/>
  <c r="CJ12" i="1"/>
  <c r="CC12" i="1"/>
  <c r="BG40" i="4"/>
  <c r="BF41" i="4" s="1"/>
  <c r="J332" i="4"/>
  <c r="J350" i="4"/>
  <c r="N40" i="4"/>
  <c r="P40" i="4"/>
  <c r="DN40" i="4"/>
  <c r="DP40" i="4"/>
  <c r="CN39" i="4"/>
  <c r="CP39" i="4"/>
  <c r="CG39" i="4"/>
  <c r="CF40" i="4" s="1"/>
  <c r="CS39" i="4"/>
  <c r="CT39" i="4" s="1"/>
  <c r="BN40" i="4"/>
  <c r="BP40" i="4"/>
  <c r="F231" i="1"/>
  <c r="DG40" i="4"/>
  <c r="DF41" i="4" s="1"/>
  <c r="DS40" i="4"/>
  <c r="BS40" i="4"/>
  <c r="G40" i="4"/>
  <c r="F41" i="4" s="1"/>
  <c r="S40" i="4"/>
  <c r="T40" i="4" s="1"/>
  <c r="AT27" i="4"/>
  <c r="AF28" i="4"/>
  <c r="AF183" i="4" s="1"/>
  <c r="H228" i="4" s="1"/>
  <c r="BT39" i="4"/>
  <c r="AL46" i="4"/>
  <c r="DT40" i="4"/>
  <c r="L45" i="4"/>
  <c r="BL44" i="4"/>
  <c r="CL44" i="4"/>
  <c r="DL45" i="4"/>
  <c r="C124" i="1"/>
  <c r="V229" i="1"/>
  <c r="CH16" i="1"/>
  <c r="C110" i="1"/>
  <c r="Y109" i="1"/>
  <c r="C96" i="1"/>
  <c r="C131" i="1"/>
  <c r="C117" i="1"/>
  <c r="C103" i="1"/>
  <c r="FM109" i="7" l="1"/>
  <c r="M34" i="5"/>
  <c r="P20" i="2" s="1"/>
  <c r="HK108" i="7"/>
  <c r="N266" i="7"/>
  <c r="N290" i="7"/>
  <c r="GL108" i="7"/>
  <c r="N251" i="7"/>
  <c r="EF159" i="7"/>
  <c r="S295" i="7" s="1"/>
  <c r="EJ110" i="7"/>
  <c r="EJ159" i="7" s="1"/>
  <c r="S299" i="7" s="1"/>
  <c r="DA155" i="7"/>
  <c r="O265" i="7" s="1"/>
  <c r="DZ155" i="7"/>
  <c r="O289" i="7" s="1"/>
  <c r="HJ109" i="7"/>
  <c r="HK109" i="7" s="1"/>
  <c r="GX109" i="7"/>
  <c r="GW110" i="7" s="1"/>
  <c r="HE109" i="7"/>
  <c r="HC110" i="7"/>
  <c r="GK109" i="7"/>
  <c r="FY109" i="7"/>
  <c r="FX110" i="7" s="1"/>
  <c r="GF109" i="7"/>
  <c r="GD109" i="7"/>
  <c r="GH109" i="7" s="1"/>
  <c r="FL110" i="7"/>
  <c r="FM110" i="7" s="1"/>
  <c r="FM159" i="7" s="1"/>
  <c r="S326" i="7" s="1"/>
  <c r="EZ110" i="7"/>
  <c r="FG110" i="7"/>
  <c r="FE110" i="7"/>
  <c r="EF111" i="7"/>
  <c r="EJ111" i="7" s="1"/>
  <c r="EM110" i="7"/>
  <c r="EN110" i="7" s="1"/>
  <c r="EN159" i="7" s="1"/>
  <c r="S303" i="7" s="1"/>
  <c r="EH110" i="7"/>
  <c r="EA110" i="7"/>
  <c r="DG110" i="7"/>
  <c r="DN110" i="7"/>
  <c r="DO110" i="7" s="1"/>
  <c r="DO159" i="7" s="1"/>
  <c r="S279" i="7" s="1"/>
  <c r="DB110" i="7"/>
  <c r="DI110" i="7"/>
  <c r="DN105" i="8"/>
  <c r="DO105" i="8" s="1"/>
  <c r="DB105" i="8"/>
  <c r="DA106" i="8" s="1"/>
  <c r="DI105" i="8"/>
  <c r="BM105" i="8"/>
  <c r="BI106" i="8"/>
  <c r="Q298" i="8"/>
  <c r="Q326" i="8" s="1"/>
  <c r="Q305" i="8"/>
  <c r="Q329" i="8" s="1"/>
  <c r="Q300" i="8"/>
  <c r="Q327" i="8" s="1"/>
  <c r="R93" i="8"/>
  <c r="S93" i="8" s="1"/>
  <c r="M93" i="8"/>
  <c r="F93" i="8"/>
  <c r="E94" i="8" s="1"/>
  <c r="BP93" i="8"/>
  <c r="BQ93" i="8" s="1"/>
  <c r="BD93" i="8"/>
  <c r="BC94" i="8" s="1"/>
  <c r="BK93" i="8"/>
  <c r="K105" i="8"/>
  <c r="O104" i="8"/>
  <c r="CO94" i="8"/>
  <c r="CP94" i="8" s="1"/>
  <c r="CJ94" i="8"/>
  <c r="CC94" i="8"/>
  <c r="CB95" i="8" s="1"/>
  <c r="CL94" i="8"/>
  <c r="AN106" i="8"/>
  <c r="AJ107" i="8"/>
  <c r="CH107" i="8"/>
  <c r="AQ94" i="8"/>
  <c r="AE94" i="8"/>
  <c r="AD95" i="8" s="1"/>
  <c r="AL94" i="8"/>
  <c r="AR94" i="8"/>
  <c r="R175" i="8"/>
  <c r="R296" i="8" s="1"/>
  <c r="DG105" i="8"/>
  <c r="DK104" i="8"/>
  <c r="BQ77" i="1"/>
  <c r="BK77" i="1"/>
  <c r="N242" i="7"/>
  <c r="N423" i="7"/>
  <c r="N255" i="7"/>
  <c r="N218" i="7"/>
  <c r="N385" i="7" s="1"/>
  <c r="AL81" i="7"/>
  <c r="AE81" i="7"/>
  <c r="AD82" i="7" s="1"/>
  <c r="AQ81" i="7"/>
  <c r="AR81" i="7" s="1"/>
  <c r="S77" i="7"/>
  <c r="F78" i="7"/>
  <c r="E79" i="7" s="1"/>
  <c r="R78" i="7"/>
  <c r="M78" i="7"/>
  <c r="CB155" i="7"/>
  <c r="CO76" i="7"/>
  <c r="CC76" i="7"/>
  <c r="CB77" i="7" s="1"/>
  <c r="CJ76" i="7"/>
  <c r="CL76" i="7"/>
  <c r="AJ86" i="7"/>
  <c r="AN86" i="7" s="1"/>
  <c r="K87" i="7"/>
  <c r="O87" i="7" s="1"/>
  <c r="CH87" i="7"/>
  <c r="BI88" i="7"/>
  <c r="BM88" i="7" s="1"/>
  <c r="BC155" i="7"/>
  <c r="BP76" i="7"/>
  <c r="BQ76" i="7" s="1"/>
  <c r="BD76" i="7"/>
  <c r="BC77" i="7" s="1"/>
  <c r="BK76" i="7"/>
  <c r="AR83" i="1"/>
  <c r="AP110" i="1"/>
  <c r="AM110" i="1"/>
  <c r="AK110" i="1"/>
  <c r="AS110" i="1"/>
  <c r="AU110" i="1" s="1"/>
  <c r="AK131" i="1"/>
  <c r="AP131" i="1"/>
  <c r="AS131" i="1"/>
  <c r="AU131" i="1" s="1"/>
  <c r="AM131" i="1"/>
  <c r="AS96" i="1"/>
  <c r="AU96" i="1" s="1"/>
  <c r="AP96" i="1"/>
  <c r="AM96" i="1"/>
  <c r="AK96" i="1"/>
  <c r="AM117" i="1"/>
  <c r="AK117" i="1"/>
  <c r="AS117" i="1"/>
  <c r="AU117" i="1" s="1"/>
  <c r="AP117" i="1"/>
  <c r="AK103" i="1"/>
  <c r="AS103" i="1"/>
  <c r="AU103" i="1" s="1"/>
  <c r="AP103" i="1"/>
  <c r="AM103" i="1"/>
  <c r="AS124" i="1"/>
  <c r="AU124" i="1" s="1"/>
  <c r="AM124" i="1"/>
  <c r="AP124" i="1"/>
  <c r="AK124" i="1"/>
  <c r="AQ84" i="1"/>
  <c r="AL84" i="1"/>
  <c r="AE84" i="1"/>
  <c r="AD85" i="1" s="1"/>
  <c r="AJ85" i="1"/>
  <c r="AN85" i="1" s="1"/>
  <c r="BO103" i="1"/>
  <c r="BL103" i="1"/>
  <c r="BJ103" i="1"/>
  <c r="BR103" i="1"/>
  <c r="BT103" i="1" s="1"/>
  <c r="BR117" i="1"/>
  <c r="BT117" i="1" s="1"/>
  <c r="BO117" i="1"/>
  <c r="BL117" i="1"/>
  <c r="BJ117" i="1"/>
  <c r="BR110" i="1"/>
  <c r="BT110" i="1" s="1"/>
  <c r="BO110" i="1"/>
  <c r="BL110" i="1"/>
  <c r="BJ110" i="1"/>
  <c r="BJ96" i="1"/>
  <c r="BR96" i="1"/>
  <c r="BT96" i="1" s="1"/>
  <c r="BO96" i="1"/>
  <c r="BL96" i="1"/>
  <c r="BR131" i="1"/>
  <c r="BT131" i="1" s="1"/>
  <c r="BO131" i="1"/>
  <c r="BL131" i="1"/>
  <c r="BJ131" i="1"/>
  <c r="CC145" i="1"/>
  <c r="E242" i="1" s="1"/>
  <c r="E251" i="1"/>
  <c r="BJ124" i="1"/>
  <c r="BR124" i="1"/>
  <c r="BT124" i="1" s="1"/>
  <c r="BO124" i="1"/>
  <c r="BL124" i="1"/>
  <c r="BP78" i="1"/>
  <c r="BK78" i="1"/>
  <c r="BD78" i="1"/>
  <c r="BC79" i="1" s="1"/>
  <c r="BI79" i="1"/>
  <c r="W124" i="1"/>
  <c r="Y124" i="1" s="1"/>
  <c r="N124" i="1"/>
  <c r="L124" i="1"/>
  <c r="N103" i="1"/>
  <c r="W103" i="1"/>
  <c r="L103" i="1"/>
  <c r="N131" i="1"/>
  <c r="W131" i="1"/>
  <c r="L131" i="1"/>
  <c r="W110" i="1"/>
  <c r="N110" i="1"/>
  <c r="L110" i="1"/>
  <c r="W117" i="1"/>
  <c r="N117" i="1"/>
  <c r="L117" i="1"/>
  <c r="W96" i="1"/>
  <c r="L96" i="1"/>
  <c r="N96" i="1"/>
  <c r="CK131" i="1"/>
  <c r="CI131" i="1"/>
  <c r="CI124" i="1"/>
  <c r="CK124" i="1"/>
  <c r="CK117" i="1"/>
  <c r="CI117" i="1"/>
  <c r="CI110" i="1"/>
  <c r="CK110" i="1"/>
  <c r="CK103" i="1"/>
  <c r="CI103" i="1"/>
  <c r="CI96" i="1"/>
  <c r="CK96" i="1"/>
  <c r="CQ117" i="1"/>
  <c r="CN117" i="1"/>
  <c r="Q117" i="1"/>
  <c r="U181" i="1" s="1"/>
  <c r="T117" i="1"/>
  <c r="CQ131" i="1"/>
  <c r="T131" i="1"/>
  <c r="CN131" i="1"/>
  <c r="Q131" i="1"/>
  <c r="CN124" i="1"/>
  <c r="Q124" i="1"/>
  <c r="V181" i="1" s="1"/>
  <c r="CQ124" i="1"/>
  <c r="CS124" i="1" s="1"/>
  <c r="T124" i="1"/>
  <c r="V124" i="1" s="1"/>
  <c r="V186" i="1" s="1"/>
  <c r="CQ103" i="1"/>
  <c r="T103" i="1"/>
  <c r="CN103" i="1"/>
  <c r="Q103" i="1"/>
  <c r="CQ110" i="1"/>
  <c r="T110" i="1"/>
  <c r="CN110" i="1"/>
  <c r="Q110" i="1"/>
  <c r="CQ96" i="1"/>
  <c r="CN96" i="1"/>
  <c r="Q96" i="1"/>
  <c r="T96" i="1"/>
  <c r="CB13" i="1"/>
  <c r="CB146" i="1" s="1"/>
  <c r="F241" i="1" s="1"/>
  <c r="CP12" i="1"/>
  <c r="CP145" i="1" s="1"/>
  <c r="E255" i="1" s="1"/>
  <c r="AS28" i="4"/>
  <c r="AN28" i="4"/>
  <c r="AP28" i="4"/>
  <c r="AP183" i="4" s="1"/>
  <c r="H238" i="4" s="1"/>
  <c r="N41" i="4"/>
  <c r="P41" i="4"/>
  <c r="BN41" i="4"/>
  <c r="BP41" i="4"/>
  <c r="DN41" i="4"/>
  <c r="DP41" i="4"/>
  <c r="CN40" i="4"/>
  <c r="CP40" i="4"/>
  <c r="CG40" i="4"/>
  <c r="CF41" i="4" s="1"/>
  <c r="CS40" i="4"/>
  <c r="CT40" i="4" s="1"/>
  <c r="DG41" i="4"/>
  <c r="DF42" i="4" s="1"/>
  <c r="DF185" i="4" s="1"/>
  <c r="J300" i="4" s="1"/>
  <c r="DS41" i="4"/>
  <c r="DT41" i="4" s="1"/>
  <c r="BG41" i="4"/>
  <c r="BS41" i="4"/>
  <c r="BT40" i="4"/>
  <c r="G41" i="4"/>
  <c r="F42" i="4" s="1"/>
  <c r="S41" i="4"/>
  <c r="T41" i="4" s="1"/>
  <c r="AG28" i="4"/>
  <c r="AG183" i="4" s="1"/>
  <c r="H229" i="4" s="1"/>
  <c r="AL47" i="4"/>
  <c r="BL45" i="4"/>
  <c r="DL46" i="4"/>
  <c r="CL45" i="4"/>
  <c r="L46" i="4"/>
  <c r="V178" i="1"/>
  <c r="V226" i="1"/>
  <c r="V224" i="1"/>
  <c r="V294" i="1"/>
  <c r="U229" i="1"/>
  <c r="U226" i="1"/>
  <c r="U224" i="1"/>
  <c r="U178" i="1"/>
  <c r="R224" i="1"/>
  <c r="R178" i="1"/>
  <c r="R229" i="1"/>
  <c r="R226" i="1"/>
  <c r="W224" i="1"/>
  <c r="W229" i="1"/>
  <c r="W226" i="1"/>
  <c r="W178" i="1"/>
  <c r="T224" i="1"/>
  <c r="T229" i="1"/>
  <c r="T226" i="1"/>
  <c r="T178" i="1"/>
  <c r="S224" i="1"/>
  <c r="S229" i="1"/>
  <c r="S226" i="1"/>
  <c r="S178" i="1"/>
  <c r="CH17" i="1"/>
  <c r="W181" i="1"/>
  <c r="R181" i="1"/>
  <c r="S181" i="1"/>
  <c r="T181" i="1"/>
  <c r="GL109" i="7" l="1"/>
  <c r="O241" i="7"/>
  <c r="DA111" i="7"/>
  <c r="DA160" i="7" s="1"/>
  <c r="DB159" i="7"/>
  <c r="EY111" i="7"/>
  <c r="EY160" i="7" s="1"/>
  <c r="EZ159" i="7"/>
  <c r="S313" i="7" s="1"/>
  <c r="DG159" i="7"/>
  <c r="S271" i="7" s="1"/>
  <c r="DK110" i="7"/>
  <c r="DK159" i="7" s="1"/>
  <c r="S275" i="7" s="1"/>
  <c r="DZ111" i="7"/>
  <c r="DZ160" i="7" s="1"/>
  <c r="EA159" i="7"/>
  <c r="FE159" i="7"/>
  <c r="S318" i="7" s="1"/>
  <c r="FI110" i="7"/>
  <c r="FI159" i="7" s="1"/>
  <c r="S322" i="7" s="1"/>
  <c r="HC159" i="7"/>
  <c r="S364" i="7" s="1"/>
  <c r="HG110" i="7"/>
  <c r="HG159" i="7" s="1"/>
  <c r="S368" i="7" s="1"/>
  <c r="HJ110" i="7"/>
  <c r="HK110" i="7" s="1"/>
  <c r="HK159" i="7" s="1"/>
  <c r="S372" i="7" s="1"/>
  <c r="HE110" i="7"/>
  <c r="GX110" i="7"/>
  <c r="HC111" i="7"/>
  <c r="HG111" i="7" s="1"/>
  <c r="FY110" i="7"/>
  <c r="GF110" i="7"/>
  <c r="GK110" i="7"/>
  <c r="GL110" i="7" s="1"/>
  <c r="GL159" i="7" s="1"/>
  <c r="S349" i="7" s="1"/>
  <c r="GD110" i="7"/>
  <c r="FE111" i="7"/>
  <c r="FI111" i="7" s="1"/>
  <c r="EF112" i="7"/>
  <c r="EJ112" i="7" s="1"/>
  <c r="DG111" i="7"/>
  <c r="DK111" i="7" s="1"/>
  <c r="BP94" i="8"/>
  <c r="BQ94" i="8" s="1"/>
  <c r="BD94" i="8"/>
  <c r="BC95" i="8" s="1"/>
  <c r="BK94" i="8"/>
  <c r="BI107" i="8"/>
  <c r="BM106" i="8"/>
  <c r="DK105" i="8"/>
  <c r="DG106" i="8"/>
  <c r="CH108" i="8"/>
  <c r="CJ95" i="8"/>
  <c r="CC95" i="8"/>
  <c r="CB96" i="8" s="1"/>
  <c r="CO95" i="8"/>
  <c r="CP95" i="8" s="1"/>
  <c r="CL95" i="8"/>
  <c r="O105" i="8"/>
  <c r="K106" i="8"/>
  <c r="M94" i="8"/>
  <c r="F94" i="8"/>
  <c r="E95" i="8" s="1"/>
  <c r="R94" i="8"/>
  <c r="S94" i="8" s="1"/>
  <c r="R332" i="8"/>
  <c r="AQ95" i="8"/>
  <c r="AR95" i="8" s="1"/>
  <c r="AE95" i="8"/>
  <c r="AD96" i="8" s="1"/>
  <c r="AL95" i="8"/>
  <c r="AJ108" i="8"/>
  <c r="AN107" i="8"/>
  <c r="DI106" i="8"/>
  <c r="DB106" i="8"/>
  <c r="DA107" i="8" s="1"/>
  <c r="DN106" i="8"/>
  <c r="DO106" i="8" s="1"/>
  <c r="BP155" i="7"/>
  <c r="O230" i="7" s="1"/>
  <c r="O217" i="7"/>
  <c r="O384" i="7" s="1"/>
  <c r="N419" i="7"/>
  <c r="BQ78" i="1"/>
  <c r="AE82" i="7"/>
  <c r="AL82" i="7"/>
  <c r="AQ82" i="7"/>
  <c r="AR82" i="7" s="1"/>
  <c r="F79" i="7"/>
  <c r="E80" i="7" s="1"/>
  <c r="R79" i="7"/>
  <c r="M79" i="7"/>
  <c r="S78" i="7"/>
  <c r="CO77" i="7"/>
  <c r="CC77" i="7"/>
  <c r="CB78" i="7" s="1"/>
  <c r="CJ77" i="7"/>
  <c r="CL77" i="7"/>
  <c r="BP77" i="7"/>
  <c r="BQ77" i="7" s="1"/>
  <c r="BD77" i="7"/>
  <c r="BC78" i="7" s="1"/>
  <c r="BK77" i="7"/>
  <c r="BI89" i="7"/>
  <c r="K88" i="7"/>
  <c r="O88" i="7" s="1"/>
  <c r="CP76" i="7"/>
  <c r="CH88" i="7"/>
  <c r="AJ87" i="7"/>
  <c r="AN87" i="7" s="1"/>
  <c r="AR84" i="1"/>
  <c r="AQ85" i="1"/>
  <c r="AE85" i="1"/>
  <c r="AD86" i="1" s="1"/>
  <c r="AL85" i="1"/>
  <c r="AJ86" i="1"/>
  <c r="AN86" i="1" s="1"/>
  <c r="BP79" i="1"/>
  <c r="BK79" i="1"/>
  <c r="BD79" i="1"/>
  <c r="BC80" i="1" s="1"/>
  <c r="BI80" i="1"/>
  <c r="V189" i="1"/>
  <c r="F185" i="4"/>
  <c r="J204" i="4" s="1"/>
  <c r="CO13" i="1"/>
  <c r="CL13" i="1"/>
  <c r="CC13" i="1"/>
  <c r="CJ13" i="1"/>
  <c r="BF42" i="4"/>
  <c r="BF185" i="4" s="1"/>
  <c r="J252" i="4" s="1"/>
  <c r="H337" i="4"/>
  <c r="N42" i="4"/>
  <c r="P42" i="4"/>
  <c r="P185" i="4" s="1"/>
  <c r="J214" i="4" s="1"/>
  <c r="BN42" i="4"/>
  <c r="BN185" i="4" s="1"/>
  <c r="J260" i="4" s="1"/>
  <c r="BP42" i="4"/>
  <c r="BP185" i="4" s="1"/>
  <c r="J262" i="4" s="1"/>
  <c r="DN42" i="4"/>
  <c r="DP42" i="4"/>
  <c r="DP185" i="4" s="1"/>
  <c r="J310" i="4" s="1"/>
  <c r="CN41" i="4"/>
  <c r="CP41" i="4"/>
  <c r="CG41" i="4"/>
  <c r="CF42" i="4" s="1"/>
  <c r="CF185" i="4" s="1"/>
  <c r="J277" i="4" s="1"/>
  <c r="CS41" i="4"/>
  <c r="CT41" i="4" s="1"/>
  <c r="V293" i="1"/>
  <c r="H326" i="4"/>
  <c r="H334" i="4" s="1"/>
  <c r="H349" i="4"/>
  <c r="DS42" i="4"/>
  <c r="BS42" i="4"/>
  <c r="BT41" i="4"/>
  <c r="S42" i="4"/>
  <c r="AT28" i="4"/>
  <c r="AT183" i="4" s="1"/>
  <c r="H242" i="4" s="1"/>
  <c r="AF29" i="4"/>
  <c r="DL47" i="4"/>
  <c r="G42" i="4"/>
  <c r="G185" i="4" s="1"/>
  <c r="J205" i="4" s="1"/>
  <c r="CL46" i="4"/>
  <c r="AL48" i="4"/>
  <c r="L47" i="4"/>
  <c r="BG42" i="4"/>
  <c r="BF43" i="4" s="1"/>
  <c r="DG42" i="4"/>
  <c r="DG185" i="4" s="1"/>
  <c r="J301" i="4" s="1"/>
  <c r="BL46" i="4"/>
  <c r="V187" i="1"/>
  <c r="V297" i="1" s="1"/>
  <c r="V188" i="1"/>
  <c r="V185" i="1"/>
  <c r="S294" i="1"/>
  <c r="W293" i="1"/>
  <c r="R294" i="1"/>
  <c r="U293" i="1"/>
  <c r="W294" i="1"/>
  <c r="S293" i="1"/>
  <c r="R293" i="1"/>
  <c r="T293" i="1"/>
  <c r="T294" i="1"/>
  <c r="U294" i="1"/>
  <c r="Y117" i="1"/>
  <c r="CS96" i="1"/>
  <c r="V110" i="1"/>
  <c r="T186" i="1" s="1"/>
  <c r="Y131" i="1"/>
  <c r="CS110" i="1"/>
  <c r="CS117" i="1"/>
  <c r="V131" i="1"/>
  <c r="W186" i="1" s="1"/>
  <c r="CS131" i="1"/>
  <c r="CS103" i="1"/>
  <c r="V96" i="1"/>
  <c r="R186" i="1" s="1"/>
  <c r="V103" i="1"/>
  <c r="S186" i="1" s="1"/>
  <c r="Y110" i="1"/>
  <c r="Y103" i="1"/>
  <c r="Y96" i="1"/>
  <c r="V117" i="1"/>
  <c r="U186" i="1" s="1"/>
  <c r="CH18" i="1"/>
  <c r="C84" i="1"/>
  <c r="C77" i="1"/>
  <c r="C70" i="1"/>
  <c r="C63" i="1"/>
  <c r="C49" i="1"/>
  <c r="C42" i="1"/>
  <c r="DB111" i="7" l="1"/>
  <c r="DA112" i="7" s="1"/>
  <c r="DI112" i="7" s="1"/>
  <c r="DN111" i="7"/>
  <c r="DO111" i="7" s="1"/>
  <c r="O409" i="7"/>
  <c r="O435" i="7" s="1"/>
  <c r="M8" i="5" s="1"/>
  <c r="M19" i="5" s="1"/>
  <c r="S290" i="7"/>
  <c r="S266" i="7"/>
  <c r="DN160" i="7"/>
  <c r="T278" i="7" s="1"/>
  <c r="T265" i="7"/>
  <c r="EM160" i="7"/>
  <c r="T289" i="7"/>
  <c r="O399" i="7"/>
  <c r="O392" i="7"/>
  <c r="O420" i="7" s="1"/>
  <c r="O394" i="7"/>
  <c r="O421" i="7" s="1"/>
  <c r="FL160" i="7"/>
  <c r="T325" i="7" s="1"/>
  <c r="T312" i="7"/>
  <c r="DI111" i="7"/>
  <c r="FG111" i="7"/>
  <c r="EA111" i="7"/>
  <c r="DZ112" i="7" s="1"/>
  <c r="EH112" i="7" s="1"/>
  <c r="EZ111" i="7"/>
  <c r="EY112" i="7" s="1"/>
  <c r="EZ112" i="7" s="1"/>
  <c r="EY113" i="7" s="1"/>
  <c r="FL111" i="7"/>
  <c r="FM111" i="7" s="1"/>
  <c r="GW111" i="7"/>
  <c r="GW160" i="7" s="1"/>
  <c r="GX159" i="7"/>
  <c r="S359" i="7" s="1"/>
  <c r="EM111" i="7"/>
  <c r="EN111" i="7" s="1"/>
  <c r="BM89" i="7"/>
  <c r="BM156" i="7" s="1"/>
  <c r="BI90" i="7"/>
  <c r="BM90" i="7" s="1"/>
  <c r="FX111" i="7"/>
  <c r="FX160" i="7" s="1"/>
  <c r="FY159" i="7"/>
  <c r="S336" i="7" s="1"/>
  <c r="EH111" i="7"/>
  <c r="GD159" i="7"/>
  <c r="S341" i="7" s="1"/>
  <c r="GH110" i="7"/>
  <c r="GH159" i="7" s="1"/>
  <c r="S345" i="7" s="1"/>
  <c r="HC112" i="7"/>
  <c r="HG112" i="7" s="1"/>
  <c r="GD111" i="7"/>
  <c r="GH111" i="7" s="1"/>
  <c r="FE112" i="7"/>
  <c r="FI112" i="7" s="1"/>
  <c r="EF113" i="7"/>
  <c r="EJ113" i="7" s="1"/>
  <c r="DN112" i="7"/>
  <c r="DO112" i="7" s="1"/>
  <c r="DB112" i="7"/>
  <c r="DA113" i="7" s="1"/>
  <c r="DG112" i="7"/>
  <c r="DK112" i="7" s="1"/>
  <c r="DN107" i="8"/>
  <c r="DO107" i="8" s="1"/>
  <c r="DB107" i="8"/>
  <c r="DA108" i="8" s="1"/>
  <c r="DI107" i="8"/>
  <c r="O106" i="8"/>
  <c r="K107" i="8"/>
  <c r="CO96" i="8"/>
  <c r="CP96" i="8" s="1"/>
  <c r="CC96" i="8"/>
  <c r="CJ96" i="8"/>
  <c r="CL96" i="8"/>
  <c r="BM107" i="8"/>
  <c r="BI108" i="8"/>
  <c r="AQ96" i="8"/>
  <c r="AR96" i="8" s="1"/>
  <c r="AL96" i="8"/>
  <c r="AE96" i="8"/>
  <c r="DK106" i="8"/>
  <c r="DG107" i="8"/>
  <c r="R95" i="8"/>
  <c r="S95" i="8" s="1"/>
  <c r="F95" i="8"/>
  <c r="E96" i="8" s="1"/>
  <c r="M95" i="8"/>
  <c r="CH109" i="8"/>
  <c r="BP95" i="8"/>
  <c r="BQ95" i="8" s="1"/>
  <c r="BK95" i="8"/>
  <c r="BD95" i="8"/>
  <c r="BC96" i="8" s="1"/>
  <c r="AN108" i="8"/>
  <c r="AJ109" i="8"/>
  <c r="BQ79" i="1"/>
  <c r="CP77" i="7"/>
  <c r="AR155" i="7"/>
  <c r="O206" i="7" s="1"/>
  <c r="AE155" i="7"/>
  <c r="O193" i="7" s="1"/>
  <c r="AD83" i="7"/>
  <c r="S79" i="7"/>
  <c r="F80" i="7"/>
  <c r="E81" i="7" s="1"/>
  <c r="R80" i="7"/>
  <c r="M80" i="7"/>
  <c r="BI156" i="7"/>
  <c r="BP78" i="7"/>
  <c r="BQ78" i="7" s="1"/>
  <c r="BK78" i="7"/>
  <c r="BD78" i="7"/>
  <c r="BC79" i="7" s="1"/>
  <c r="CC78" i="7"/>
  <c r="CB79" i="7" s="1"/>
  <c r="CO78" i="7"/>
  <c r="CJ78" i="7"/>
  <c r="CL78" i="7"/>
  <c r="AJ88" i="7"/>
  <c r="AN88" i="7" s="1"/>
  <c r="CH89" i="7"/>
  <c r="K89" i="7"/>
  <c r="O89" i="7" s="1"/>
  <c r="AR85" i="1"/>
  <c r="AS84" i="1"/>
  <c r="AU84" i="1" s="1"/>
  <c r="AP84" i="1"/>
  <c r="AM84" i="1"/>
  <c r="AK84" i="1"/>
  <c r="AS49" i="1"/>
  <c r="AU49" i="1" s="1"/>
  <c r="AP49" i="1"/>
  <c r="AK49" i="1"/>
  <c r="AM49" i="1"/>
  <c r="AM63" i="1"/>
  <c r="AK63" i="1"/>
  <c r="AP63" i="1"/>
  <c r="AS63" i="1"/>
  <c r="AU63" i="1" s="1"/>
  <c r="AM42" i="1"/>
  <c r="AK42" i="1"/>
  <c r="AS42" i="1"/>
  <c r="AU42" i="1" s="1"/>
  <c r="AP42" i="1"/>
  <c r="AM77" i="1"/>
  <c r="AS77" i="1"/>
  <c r="AU77" i="1" s="1"/>
  <c r="AP77" i="1"/>
  <c r="AK77" i="1"/>
  <c r="AS70" i="1"/>
  <c r="AU70" i="1" s="1"/>
  <c r="AM70" i="1"/>
  <c r="AK70" i="1"/>
  <c r="AP70" i="1"/>
  <c r="AQ86" i="1"/>
  <c r="AL86" i="1"/>
  <c r="AE86" i="1"/>
  <c r="AD87" i="1" s="1"/>
  <c r="AJ87" i="1"/>
  <c r="AN87" i="1" s="1"/>
  <c r="BJ49" i="1"/>
  <c r="BO49" i="1"/>
  <c r="BR49" i="1"/>
  <c r="BT49" i="1" s="1"/>
  <c r="BL49" i="1"/>
  <c r="BJ84" i="1"/>
  <c r="BR84" i="1"/>
  <c r="BT84" i="1" s="1"/>
  <c r="BL84" i="1"/>
  <c r="BO84" i="1"/>
  <c r="BO63" i="1"/>
  <c r="BL63" i="1"/>
  <c r="BR63" i="1"/>
  <c r="BT63" i="1" s="1"/>
  <c r="BJ63" i="1"/>
  <c r="BJ42" i="1"/>
  <c r="BR42" i="1"/>
  <c r="BT42" i="1" s="1"/>
  <c r="BL42" i="1"/>
  <c r="BO42" i="1"/>
  <c r="BR77" i="1"/>
  <c r="BT77" i="1" s="1"/>
  <c r="BO77" i="1"/>
  <c r="BL77" i="1"/>
  <c r="BJ77" i="1"/>
  <c r="BL70" i="1"/>
  <c r="BR70" i="1"/>
  <c r="BT70" i="1" s="1"/>
  <c r="BJ70" i="1"/>
  <c r="BO70" i="1"/>
  <c r="BP80" i="1"/>
  <c r="BQ80" i="1" s="1"/>
  <c r="BK80" i="1"/>
  <c r="BD80" i="1"/>
  <c r="BC81" i="1" s="1"/>
  <c r="BI81" i="1"/>
  <c r="W70" i="1"/>
  <c r="Y70" i="1" s="1"/>
  <c r="N70" i="1"/>
  <c r="L70" i="1"/>
  <c r="W77" i="1"/>
  <c r="Y77" i="1" s="1"/>
  <c r="N77" i="1"/>
  <c r="L77" i="1"/>
  <c r="W49" i="1"/>
  <c r="L49" i="1"/>
  <c r="N49" i="1"/>
  <c r="W84" i="1"/>
  <c r="Y84" i="1" s="1"/>
  <c r="L84" i="1"/>
  <c r="N84" i="1"/>
  <c r="W42" i="1"/>
  <c r="Y42" i="1" s="1"/>
  <c r="N42" i="1"/>
  <c r="L42" i="1"/>
  <c r="N63" i="1"/>
  <c r="W63" i="1"/>
  <c r="Y63" i="1" s="1"/>
  <c r="L63" i="1"/>
  <c r="CK84" i="1"/>
  <c r="CI84" i="1"/>
  <c r="T84" i="1"/>
  <c r="V84" i="1" s="1"/>
  <c r="CQ84" i="1"/>
  <c r="CS84" i="1" s="1"/>
  <c r="Q84" i="1"/>
  <c r="CN84" i="1"/>
  <c r="CK77" i="1"/>
  <c r="CI77" i="1"/>
  <c r="CQ77" i="1"/>
  <c r="T77" i="1"/>
  <c r="V77" i="1" s="1"/>
  <c r="CN77" i="1"/>
  <c r="Q77" i="1"/>
  <c r="CK70" i="1"/>
  <c r="CI70" i="1"/>
  <c r="CQ70" i="1"/>
  <c r="CS70" i="1" s="1"/>
  <c r="Q70" i="1"/>
  <c r="CN70" i="1"/>
  <c r="T70" i="1"/>
  <c r="V70" i="1" s="1"/>
  <c r="CI63" i="1"/>
  <c r="CK63" i="1"/>
  <c r="CQ63" i="1"/>
  <c r="Q63" i="1"/>
  <c r="T63" i="1"/>
  <c r="V63" i="1" s="1"/>
  <c r="CN63" i="1"/>
  <c r="CK49" i="1"/>
  <c r="CI49" i="1"/>
  <c r="CQ49" i="1"/>
  <c r="CS49" i="1" s="1"/>
  <c r="Q49" i="1"/>
  <c r="CN49" i="1"/>
  <c r="T49" i="1"/>
  <c r="V49" i="1" s="1"/>
  <c r="CK42" i="1"/>
  <c r="CI42" i="1"/>
  <c r="CQ42" i="1"/>
  <c r="T42" i="1"/>
  <c r="V42" i="1" s="1"/>
  <c r="CN42" i="1"/>
  <c r="Q42" i="1"/>
  <c r="S189" i="1"/>
  <c r="U189" i="1"/>
  <c r="R189" i="1"/>
  <c r="T189" i="1"/>
  <c r="W189" i="1"/>
  <c r="R232" i="1"/>
  <c r="BT158" i="1"/>
  <c r="R234" i="1" s="1"/>
  <c r="W232" i="1"/>
  <c r="BT163" i="1"/>
  <c r="W234" i="1" s="1"/>
  <c r="V232" i="1"/>
  <c r="BT162" i="1"/>
  <c r="T232" i="1"/>
  <c r="BT160" i="1"/>
  <c r="T234" i="1" s="1"/>
  <c r="U232" i="1"/>
  <c r="BT161" i="1"/>
  <c r="U234" i="1" s="1"/>
  <c r="S232" i="1"/>
  <c r="BT159" i="1"/>
  <c r="S234" i="1" s="1"/>
  <c r="V285" i="1"/>
  <c r="V288" i="1"/>
  <c r="CP13" i="1"/>
  <c r="CB14" i="1"/>
  <c r="BG185" i="4"/>
  <c r="J253" i="4" s="1"/>
  <c r="H363" i="4"/>
  <c r="H358" i="4"/>
  <c r="H328" i="4"/>
  <c r="AS29" i="4"/>
  <c r="AN29" i="4"/>
  <c r="AP29" i="4"/>
  <c r="CN42" i="4"/>
  <c r="CP42" i="4"/>
  <c r="CP185" i="4" s="1"/>
  <c r="J287" i="4" s="1"/>
  <c r="CS42" i="4"/>
  <c r="CT42" i="4" s="1"/>
  <c r="CT185" i="4" s="1"/>
  <c r="J291" i="4" s="1"/>
  <c r="CG42" i="4"/>
  <c r="CG185" i="4" s="1"/>
  <c r="J278" i="4" s="1"/>
  <c r="H359" i="4"/>
  <c r="H336" i="4"/>
  <c r="H360" i="4" s="1"/>
  <c r="AG29" i="4"/>
  <c r="BL47" i="4"/>
  <c r="BT42" i="4"/>
  <c r="BT185" i="4" s="1"/>
  <c r="J266" i="4" s="1"/>
  <c r="CL47" i="4"/>
  <c r="L48" i="4"/>
  <c r="AL49" i="4"/>
  <c r="AL186" i="4" s="1"/>
  <c r="K234" i="4" s="1"/>
  <c r="DL48" i="4"/>
  <c r="DT42" i="4"/>
  <c r="DT185" i="4" s="1"/>
  <c r="J314" i="4" s="1"/>
  <c r="DF43" i="4"/>
  <c r="T42" i="4"/>
  <c r="T185" i="4" s="1"/>
  <c r="J218" i="4" s="1"/>
  <c r="F43" i="4"/>
  <c r="W185" i="1"/>
  <c r="U185" i="1"/>
  <c r="S185" i="1"/>
  <c r="R187" i="1"/>
  <c r="R297" i="1" s="1"/>
  <c r="R188" i="1"/>
  <c r="S187" i="1"/>
  <c r="S188" i="1"/>
  <c r="T185" i="1"/>
  <c r="U187" i="1"/>
  <c r="U297" i="1" s="1"/>
  <c r="U188" i="1"/>
  <c r="T187" i="1"/>
  <c r="T297" i="1" s="1"/>
  <c r="T188" i="1"/>
  <c r="R185" i="1"/>
  <c r="W187" i="1"/>
  <c r="W297" i="1" s="1"/>
  <c r="W188" i="1"/>
  <c r="CS63" i="1"/>
  <c r="C43" i="1"/>
  <c r="CS42" i="1"/>
  <c r="CS77" i="1"/>
  <c r="CH19" i="1"/>
  <c r="CH146" i="1" s="1"/>
  <c r="C71" i="1"/>
  <c r="Y49" i="1"/>
  <c r="C78" i="1"/>
  <c r="C50" i="1"/>
  <c r="C85" i="1"/>
  <c r="C64" i="1"/>
  <c r="C35" i="1"/>
  <c r="C28" i="1"/>
  <c r="EM112" i="7" l="1"/>
  <c r="EN112" i="7" s="1"/>
  <c r="EA112" i="7"/>
  <c r="DZ113" i="7" s="1"/>
  <c r="EH113" i="7" s="1"/>
  <c r="T302" i="7"/>
  <c r="T371" i="7"/>
  <c r="HJ160" i="7"/>
  <c r="T358" i="7"/>
  <c r="GK160" i="7"/>
  <c r="T348" i="7" s="1"/>
  <c r="T335" i="7"/>
  <c r="FL112" i="7"/>
  <c r="GF111" i="7"/>
  <c r="FY111" i="7"/>
  <c r="FX112" i="7" s="1"/>
  <c r="GK112" i="7" s="1"/>
  <c r="GK111" i="7"/>
  <c r="GL111" i="7" s="1"/>
  <c r="FM112" i="7"/>
  <c r="FG112" i="7"/>
  <c r="GX111" i="7"/>
  <c r="GW112" i="7" s="1"/>
  <c r="GX112" i="7" s="1"/>
  <c r="GW113" i="7" s="1"/>
  <c r="HJ111" i="7"/>
  <c r="HK111" i="7" s="1"/>
  <c r="HE111" i="7"/>
  <c r="CH156" i="7"/>
  <c r="P247" i="7" s="1"/>
  <c r="HC113" i="7"/>
  <c r="HG113" i="7" s="1"/>
  <c r="GD112" i="7"/>
  <c r="GH112" i="7" s="1"/>
  <c r="FL113" i="7"/>
  <c r="EZ113" i="7"/>
  <c r="EY114" i="7" s="1"/>
  <c r="FG113" i="7"/>
  <c r="FE113" i="7"/>
  <c r="FI113" i="7" s="1"/>
  <c r="EF114" i="7"/>
  <c r="EJ114" i="7" s="1"/>
  <c r="EM113" i="7"/>
  <c r="EA113" i="7"/>
  <c r="DZ114" i="7" s="1"/>
  <c r="DN113" i="7"/>
  <c r="DO113" i="7" s="1"/>
  <c r="DB113" i="7"/>
  <c r="DA114" i="7" s="1"/>
  <c r="DI113" i="7"/>
  <c r="DG113" i="7"/>
  <c r="DK113" i="7" s="1"/>
  <c r="AR157" i="8"/>
  <c r="Q206" i="8" s="1"/>
  <c r="DO157" i="8"/>
  <c r="Q278" i="8" s="1"/>
  <c r="CP157" i="8"/>
  <c r="Q255" i="8" s="1"/>
  <c r="BM108" i="8"/>
  <c r="BI109" i="8"/>
  <c r="CC157" i="8"/>
  <c r="Q242" i="8" s="1"/>
  <c r="DB157" i="8"/>
  <c r="Q265" i="8" s="1"/>
  <c r="CB97" i="8"/>
  <c r="AN109" i="8"/>
  <c r="AJ110" i="8"/>
  <c r="R96" i="8"/>
  <c r="S96" i="8" s="1"/>
  <c r="F96" i="8"/>
  <c r="M96" i="8"/>
  <c r="AE157" i="8"/>
  <c r="Q193" i="8" s="1"/>
  <c r="AD97" i="8"/>
  <c r="DN108" i="8"/>
  <c r="DO108" i="8" s="1"/>
  <c r="DI108" i="8"/>
  <c r="DB108" i="8"/>
  <c r="DA109" i="8" s="1"/>
  <c r="CH110" i="8"/>
  <c r="DK157" i="8"/>
  <c r="Q274" i="8" s="1"/>
  <c r="CL157" i="8"/>
  <c r="Q251" i="8" s="1"/>
  <c r="O107" i="8"/>
  <c r="K108" i="8"/>
  <c r="BD96" i="8"/>
  <c r="BP96" i="8"/>
  <c r="BQ96" i="8" s="1"/>
  <c r="BK96" i="8"/>
  <c r="DK107" i="8"/>
  <c r="DG108" i="8"/>
  <c r="F247" i="1"/>
  <c r="P223" i="7"/>
  <c r="AL83" i="7"/>
  <c r="AE83" i="7"/>
  <c r="AD84" i="7" s="1"/>
  <c r="AQ83" i="7"/>
  <c r="AR83" i="7" s="1"/>
  <c r="F81" i="7"/>
  <c r="E82" i="7" s="1"/>
  <c r="R81" i="7"/>
  <c r="M81" i="7"/>
  <c r="S80" i="7"/>
  <c r="AJ89" i="7"/>
  <c r="AN89" i="7" s="1"/>
  <c r="CP78" i="7"/>
  <c r="K156" i="7"/>
  <c r="K90" i="7"/>
  <c r="O90" i="7" s="1"/>
  <c r="CO79" i="7"/>
  <c r="CC79" i="7"/>
  <c r="CB80" i="7" s="1"/>
  <c r="CJ79" i="7"/>
  <c r="CL79" i="7"/>
  <c r="CH90" i="7"/>
  <c r="BP79" i="7"/>
  <c r="BQ79" i="7" s="1"/>
  <c r="BD79" i="7"/>
  <c r="BC80" i="7" s="1"/>
  <c r="BK79" i="7"/>
  <c r="BI91" i="7"/>
  <c r="BM91" i="7" s="1"/>
  <c r="AR86" i="1"/>
  <c r="AS28" i="1"/>
  <c r="AU28" i="1" s="1"/>
  <c r="AP28" i="1"/>
  <c r="AM28" i="1"/>
  <c r="AK28" i="1"/>
  <c r="AP85" i="1"/>
  <c r="AM85" i="1"/>
  <c r="AK85" i="1"/>
  <c r="AS85" i="1"/>
  <c r="AU85" i="1" s="1"/>
  <c r="AK71" i="1"/>
  <c r="AP71" i="1"/>
  <c r="AS71" i="1"/>
  <c r="AU71" i="1" s="1"/>
  <c r="AM71" i="1"/>
  <c r="AP43" i="1"/>
  <c r="AM43" i="1"/>
  <c r="AK43" i="1"/>
  <c r="AS43" i="1"/>
  <c r="AU43" i="1" s="1"/>
  <c r="AM35" i="1"/>
  <c r="AK35" i="1"/>
  <c r="AS35" i="1"/>
  <c r="AU35" i="1" s="1"/>
  <c r="AP35" i="1"/>
  <c r="AM50" i="1"/>
  <c r="AK50" i="1"/>
  <c r="AP50" i="1"/>
  <c r="AS50" i="1"/>
  <c r="AU50" i="1" s="1"/>
  <c r="AP64" i="1"/>
  <c r="AM64" i="1"/>
  <c r="AK64" i="1"/>
  <c r="AS64" i="1"/>
  <c r="AU64" i="1" s="1"/>
  <c r="AS78" i="1"/>
  <c r="AU78" i="1" s="1"/>
  <c r="AM78" i="1"/>
  <c r="AK78" i="1"/>
  <c r="AP78" i="1"/>
  <c r="AQ87" i="1"/>
  <c r="AE87" i="1"/>
  <c r="AD88" i="1" s="1"/>
  <c r="AL87" i="1"/>
  <c r="AJ88" i="1"/>
  <c r="AN88" i="1" s="1"/>
  <c r="BL35" i="1"/>
  <c r="BJ35" i="1"/>
  <c r="BR35" i="1"/>
  <c r="BT35" i="1" s="1"/>
  <c r="BO35" i="1"/>
  <c r="BL28" i="1"/>
  <c r="BJ28" i="1"/>
  <c r="BR28" i="1"/>
  <c r="BT28" i="1" s="1"/>
  <c r="BO28" i="1"/>
  <c r="BR43" i="1"/>
  <c r="BT43" i="1" s="1"/>
  <c r="BO43" i="1"/>
  <c r="BL43" i="1"/>
  <c r="BJ43" i="1"/>
  <c r="BL85" i="1"/>
  <c r="BJ85" i="1"/>
  <c r="BR85" i="1"/>
  <c r="BT85" i="1" s="1"/>
  <c r="BO85" i="1"/>
  <c r="BR64" i="1"/>
  <c r="BT64" i="1" s="1"/>
  <c r="BO64" i="1"/>
  <c r="BL64" i="1"/>
  <c r="BJ64" i="1"/>
  <c r="BL50" i="1"/>
  <c r="BJ50" i="1"/>
  <c r="BR50" i="1"/>
  <c r="BT50" i="1" s="1"/>
  <c r="BO50" i="1"/>
  <c r="BR71" i="1"/>
  <c r="BT71" i="1" s="1"/>
  <c r="BO71" i="1"/>
  <c r="BL71" i="1"/>
  <c r="BJ71" i="1"/>
  <c r="BO78" i="1"/>
  <c r="BL78" i="1"/>
  <c r="BJ78" i="1"/>
  <c r="BR78" i="1"/>
  <c r="BT78" i="1" s="1"/>
  <c r="BP81" i="1"/>
  <c r="BQ81" i="1" s="1"/>
  <c r="BK81" i="1"/>
  <c r="BI82" i="1"/>
  <c r="BI155" i="1" s="1"/>
  <c r="O223" i="1" s="1"/>
  <c r="BD81" i="1"/>
  <c r="BC82" i="1" s="1"/>
  <c r="V234" i="1"/>
  <c r="W50" i="1"/>
  <c r="Y50" i="1" s="1"/>
  <c r="N50" i="1"/>
  <c r="L50" i="1"/>
  <c r="N71" i="1"/>
  <c r="W71" i="1"/>
  <c r="Y71" i="1" s="1"/>
  <c r="L71" i="1"/>
  <c r="N28" i="1"/>
  <c r="W28" i="1"/>
  <c r="Y28" i="1" s="1"/>
  <c r="L28" i="1"/>
  <c r="W64" i="1"/>
  <c r="Y64" i="1" s="1"/>
  <c r="N64" i="1"/>
  <c r="L64" i="1"/>
  <c r="N43" i="1"/>
  <c r="W43" i="1"/>
  <c r="Y43" i="1" s="1"/>
  <c r="L43" i="1"/>
  <c r="N35" i="1"/>
  <c r="W35" i="1"/>
  <c r="Y35" i="1" s="1"/>
  <c r="L35" i="1"/>
  <c r="W85" i="1"/>
  <c r="Y85" i="1" s="1"/>
  <c r="N85" i="1"/>
  <c r="L85" i="1"/>
  <c r="W78" i="1"/>
  <c r="Y78" i="1" s="1"/>
  <c r="N78" i="1"/>
  <c r="L78" i="1"/>
  <c r="CK85" i="1"/>
  <c r="CI85" i="1"/>
  <c r="CK78" i="1"/>
  <c r="CI78" i="1"/>
  <c r="CK71" i="1"/>
  <c r="CI71" i="1"/>
  <c r="CI64" i="1"/>
  <c r="CK64" i="1"/>
  <c r="CI50" i="1"/>
  <c r="CK50" i="1"/>
  <c r="CK43" i="1"/>
  <c r="CI43" i="1"/>
  <c r="CI35" i="1"/>
  <c r="CK35" i="1"/>
  <c r="CQ35" i="1"/>
  <c r="CS35" i="1" s="1"/>
  <c r="CN35" i="1"/>
  <c r="T35" i="1"/>
  <c r="V35" i="1" s="1"/>
  <c r="Q35" i="1"/>
  <c r="CK28" i="1"/>
  <c r="CI28" i="1"/>
  <c r="Q28" i="1"/>
  <c r="T28" i="1"/>
  <c r="V28" i="1" s="1"/>
  <c r="CQ28" i="1"/>
  <c r="CS28" i="1" s="1"/>
  <c r="CN28" i="1"/>
  <c r="CQ64" i="1"/>
  <c r="CS64" i="1" s="1"/>
  <c r="CN64" i="1"/>
  <c r="Q64" i="1"/>
  <c r="T64" i="1"/>
  <c r="V64" i="1" s="1"/>
  <c r="CQ43" i="1"/>
  <c r="CS43" i="1" s="1"/>
  <c r="T43" i="1"/>
  <c r="V43" i="1" s="1"/>
  <c r="CN43" i="1"/>
  <c r="Q43" i="1"/>
  <c r="T50" i="1"/>
  <c r="V50" i="1" s="1"/>
  <c r="CQ50" i="1"/>
  <c r="CS50" i="1" s="1"/>
  <c r="CN50" i="1"/>
  <c r="Q50" i="1"/>
  <c r="CQ71" i="1"/>
  <c r="CS71" i="1" s="1"/>
  <c r="CN71" i="1"/>
  <c r="T71" i="1"/>
  <c r="V71" i="1" s="1"/>
  <c r="Q71" i="1"/>
  <c r="CQ85" i="1"/>
  <c r="CS85" i="1" s="1"/>
  <c r="CN85" i="1"/>
  <c r="Q85" i="1"/>
  <c r="T85" i="1"/>
  <c r="V85" i="1" s="1"/>
  <c r="CQ78" i="1"/>
  <c r="CS78" i="1" s="1"/>
  <c r="T78" i="1"/>
  <c r="V78" i="1" s="1"/>
  <c r="CN78" i="1"/>
  <c r="Q78" i="1"/>
  <c r="U288" i="1"/>
  <c r="U306" i="1"/>
  <c r="W285" i="1"/>
  <c r="T288" i="1"/>
  <c r="T285" i="1"/>
  <c r="V307" i="1"/>
  <c r="R285" i="1"/>
  <c r="R307" i="1"/>
  <c r="W288" i="1"/>
  <c r="S288" i="1"/>
  <c r="S306" i="1"/>
  <c r="V306" i="1"/>
  <c r="CO14" i="1"/>
  <c r="CL14" i="1"/>
  <c r="CC14" i="1"/>
  <c r="CJ14" i="1"/>
  <c r="H327" i="4"/>
  <c r="H343" i="4"/>
  <c r="H353" i="4"/>
  <c r="H374" i="4" s="1"/>
  <c r="N43" i="4"/>
  <c r="P43" i="4"/>
  <c r="DN43" i="4"/>
  <c r="DP43" i="4"/>
  <c r="BN43" i="4"/>
  <c r="BP43" i="4"/>
  <c r="CF43" i="4"/>
  <c r="DG43" i="4"/>
  <c r="DF44" i="4" s="1"/>
  <c r="DS43" i="4"/>
  <c r="BG43" i="4"/>
  <c r="BF44" i="4" s="1"/>
  <c r="BS43" i="4"/>
  <c r="BT43" i="4" s="1"/>
  <c r="G43" i="4"/>
  <c r="F44" i="4" s="1"/>
  <c r="S43" i="4"/>
  <c r="AT29" i="4"/>
  <c r="AF30" i="4"/>
  <c r="DL49" i="4"/>
  <c r="DL186" i="4" s="1"/>
  <c r="K306" i="4" s="1"/>
  <c r="CL48" i="4"/>
  <c r="AL50" i="4"/>
  <c r="L49" i="4"/>
  <c r="L186" i="4" s="1"/>
  <c r="K210" i="4" s="1"/>
  <c r="BL48" i="4"/>
  <c r="S297" i="1"/>
  <c r="U307" i="1"/>
  <c r="S307" i="1"/>
  <c r="C44" i="1"/>
  <c r="CH20" i="1"/>
  <c r="C51" i="1"/>
  <c r="C29" i="1"/>
  <c r="C36" i="1"/>
  <c r="C79" i="1"/>
  <c r="C65" i="1"/>
  <c r="C72" i="1"/>
  <c r="C86" i="1"/>
  <c r="C21" i="1"/>
  <c r="C14" i="1"/>
  <c r="C7" i="1"/>
  <c r="GL112" i="7" l="1"/>
  <c r="GF112" i="7"/>
  <c r="FM113" i="7"/>
  <c r="FY112" i="7"/>
  <c r="FX113" i="7" s="1"/>
  <c r="GK113" i="7" s="1"/>
  <c r="EN113" i="7"/>
  <c r="HJ112" i="7"/>
  <c r="HK112" i="7" s="1"/>
  <c r="HE112" i="7"/>
  <c r="HC114" i="7"/>
  <c r="HG114" i="7" s="1"/>
  <c r="HJ113" i="7"/>
  <c r="HE113" i="7"/>
  <c r="GX113" i="7"/>
  <c r="GW114" i="7" s="1"/>
  <c r="GD113" i="7"/>
  <c r="GH113" i="7" s="1"/>
  <c r="FL114" i="7"/>
  <c r="FG114" i="7"/>
  <c r="EZ114" i="7"/>
  <c r="EY115" i="7" s="1"/>
  <c r="FE114" i="7"/>
  <c r="FI114" i="7" s="1"/>
  <c r="EF115" i="7"/>
  <c r="EJ115" i="7" s="1"/>
  <c r="EM114" i="7"/>
  <c r="EA114" i="7"/>
  <c r="DZ115" i="7" s="1"/>
  <c r="EH114" i="7"/>
  <c r="DG114" i="7"/>
  <c r="DK114" i="7" s="1"/>
  <c r="DN114" i="7"/>
  <c r="DO114" i="7" s="1"/>
  <c r="DB114" i="7"/>
  <c r="DA115" i="7" s="1"/>
  <c r="DI114" i="7"/>
  <c r="S157" i="8"/>
  <c r="Q183" i="8" s="1"/>
  <c r="BQ157" i="8"/>
  <c r="Q231" i="8" s="1"/>
  <c r="DG159" i="8"/>
  <c r="S270" i="8" s="1"/>
  <c r="CH159" i="8"/>
  <c r="S247" i="8" s="1"/>
  <c r="CH111" i="8"/>
  <c r="AD158" i="8"/>
  <c r="AQ97" i="8"/>
  <c r="AR97" i="8" s="1"/>
  <c r="AE97" i="8"/>
  <c r="AD98" i="8" s="1"/>
  <c r="AL97" i="8"/>
  <c r="K109" i="8"/>
  <c r="O108" i="8"/>
  <c r="F157" i="8"/>
  <c r="Q170" i="8" s="1"/>
  <c r="E97" i="8"/>
  <c r="DA158" i="8"/>
  <c r="R264" i="8" s="1"/>
  <c r="CB158" i="8"/>
  <c r="R241" i="8" s="1"/>
  <c r="CJ97" i="8"/>
  <c r="CO97" i="8"/>
  <c r="CC97" i="8"/>
  <c r="CB98" i="8" s="1"/>
  <c r="CL97" i="8"/>
  <c r="DN109" i="8"/>
  <c r="DO109" i="8" s="1"/>
  <c r="DB109" i="8"/>
  <c r="DA110" i="8" s="1"/>
  <c r="DI109" i="8"/>
  <c r="AJ159" i="8"/>
  <c r="AJ111" i="8"/>
  <c r="AN110" i="8"/>
  <c r="DG109" i="8"/>
  <c r="DK108" i="8"/>
  <c r="BD157" i="8"/>
  <c r="Q218" i="8" s="1"/>
  <c r="BC97" i="8"/>
  <c r="BM109" i="8"/>
  <c r="BI110" i="8"/>
  <c r="AL84" i="7"/>
  <c r="AQ84" i="7"/>
  <c r="AR84" i="7" s="1"/>
  <c r="AE84" i="7"/>
  <c r="AD85" i="7" s="1"/>
  <c r="S81" i="7"/>
  <c r="F82" i="7"/>
  <c r="R82" i="7"/>
  <c r="M82" i="7"/>
  <c r="CO80" i="7"/>
  <c r="CJ80" i="7"/>
  <c r="CC80" i="7"/>
  <c r="CB81" i="7" s="1"/>
  <c r="CL80" i="7"/>
  <c r="CP79" i="7"/>
  <c r="CP80" i="7" s="1"/>
  <c r="BI92" i="7"/>
  <c r="BM92" i="7" s="1"/>
  <c r="CH91" i="7"/>
  <c r="P175" i="7"/>
  <c r="BP80" i="7"/>
  <c r="BQ80" i="7" s="1"/>
  <c r="BK80" i="7"/>
  <c r="BD80" i="7"/>
  <c r="BC81" i="7" s="1"/>
  <c r="K91" i="7"/>
  <c r="O91" i="7" s="1"/>
  <c r="AJ156" i="7"/>
  <c r="AJ90" i="7"/>
  <c r="AN90" i="7" s="1"/>
  <c r="AR87" i="1"/>
  <c r="AK29" i="1"/>
  <c r="AS29" i="1"/>
  <c r="AU29" i="1" s="1"/>
  <c r="AP29" i="1"/>
  <c r="AM29" i="1"/>
  <c r="AK21" i="1"/>
  <c r="AS21" i="1"/>
  <c r="AU21" i="1" s="1"/>
  <c r="AP21" i="1"/>
  <c r="AM21" i="1"/>
  <c r="AK65" i="1"/>
  <c r="AS65" i="1"/>
  <c r="AU65" i="1" s="1"/>
  <c r="AM65" i="1"/>
  <c r="AP65" i="1"/>
  <c r="AP7" i="1"/>
  <c r="AM7" i="1"/>
  <c r="AK7" i="1"/>
  <c r="AS7" i="1"/>
  <c r="AU7" i="1" s="1"/>
  <c r="AS86" i="1"/>
  <c r="AU86" i="1" s="1"/>
  <c r="AP86" i="1"/>
  <c r="AM86" i="1"/>
  <c r="AK86" i="1"/>
  <c r="AM79" i="1"/>
  <c r="AS79" i="1"/>
  <c r="AU79" i="1" s="1"/>
  <c r="AK79" i="1"/>
  <c r="AP79" i="1"/>
  <c r="AS51" i="1"/>
  <c r="AU51" i="1" s="1"/>
  <c r="AP51" i="1"/>
  <c r="AK51" i="1"/>
  <c r="AM51" i="1"/>
  <c r="AK44" i="1"/>
  <c r="AS44" i="1"/>
  <c r="AU44" i="1" s="1"/>
  <c r="AP44" i="1"/>
  <c r="AM44" i="1"/>
  <c r="AP72" i="1"/>
  <c r="AK72" i="1"/>
  <c r="AM72" i="1"/>
  <c r="AS72" i="1"/>
  <c r="AU72" i="1" s="1"/>
  <c r="AK14" i="1"/>
  <c r="AS14" i="1"/>
  <c r="AU14" i="1" s="1"/>
  <c r="AP14" i="1"/>
  <c r="AM14" i="1"/>
  <c r="AP36" i="1"/>
  <c r="AM36" i="1"/>
  <c r="AS36" i="1"/>
  <c r="AU36" i="1" s="1"/>
  <c r="AK36" i="1"/>
  <c r="AQ88" i="1"/>
  <c r="AE88" i="1"/>
  <c r="AD89" i="1" s="1"/>
  <c r="AL88" i="1"/>
  <c r="AJ89" i="1"/>
  <c r="BL7" i="1"/>
  <c r="BJ7" i="1"/>
  <c r="BO7" i="1"/>
  <c r="BR7" i="1"/>
  <c r="BT7" i="1" s="1"/>
  <c r="BJ14" i="1"/>
  <c r="BR14" i="1"/>
  <c r="BT14" i="1" s="1"/>
  <c r="BO14" i="1"/>
  <c r="BL14" i="1"/>
  <c r="BL21" i="1"/>
  <c r="BJ21" i="1"/>
  <c r="BO21" i="1"/>
  <c r="BR21" i="1"/>
  <c r="BT21" i="1" s="1"/>
  <c r="BR29" i="1"/>
  <c r="BT29" i="1" s="1"/>
  <c r="BO29" i="1"/>
  <c r="BL29" i="1"/>
  <c r="BJ29" i="1"/>
  <c r="BO44" i="1"/>
  <c r="BL44" i="1"/>
  <c r="BJ44" i="1"/>
  <c r="BR44" i="1"/>
  <c r="BT44" i="1" s="1"/>
  <c r="BR72" i="1"/>
  <c r="BT72" i="1" s="1"/>
  <c r="BO72" i="1"/>
  <c r="BL72" i="1"/>
  <c r="BJ72" i="1"/>
  <c r="BJ79" i="1"/>
  <c r="BR79" i="1"/>
  <c r="BT79" i="1" s="1"/>
  <c r="BO79" i="1"/>
  <c r="BL79" i="1"/>
  <c r="BR86" i="1"/>
  <c r="BT86" i="1" s="1"/>
  <c r="BO86" i="1"/>
  <c r="BL86" i="1"/>
  <c r="BJ86" i="1"/>
  <c r="BL65" i="1"/>
  <c r="BJ65" i="1"/>
  <c r="BR65" i="1"/>
  <c r="BT65" i="1" s="1"/>
  <c r="BO65" i="1"/>
  <c r="BL36" i="1"/>
  <c r="BJ36" i="1"/>
  <c r="BR36" i="1"/>
  <c r="BT36" i="1" s="1"/>
  <c r="BO36" i="1"/>
  <c r="BR51" i="1"/>
  <c r="BT51" i="1" s="1"/>
  <c r="BO51" i="1"/>
  <c r="BL51" i="1"/>
  <c r="BJ51" i="1"/>
  <c r="BP82" i="1"/>
  <c r="BQ82" i="1" s="1"/>
  <c r="BQ155" i="1" s="1"/>
  <c r="BK82" i="1"/>
  <c r="BD82" i="1"/>
  <c r="BI83" i="1"/>
  <c r="BM155" i="1"/>
  <c r="W21" i="1"/>
  <c r="Y21" i="1" s="1"/>
  <c r="L21" i="1"/>
  <c r="N21" i="1"/>
  <c r="W36" i="1"/>
  <c r="Y36" i="1" s="1"/>
  <c r="L36" i="1"/>
  <c r="N36" i="1"/>
  <c r="N7" i="1"/>
  <c r="W7" i="1"/>
  <c r="Y7" i="1" s="1"/>
  <c r="L7" i="1"/>
  <c r="W86" i="1"/>
  <c r="Y86" i="1" s="1"/>
  <c r="N86" i="1"/>
  <c r="L86" i="1"/>
  <c r="N79" i="1"/>
  <c r="W79" i="1"/>
  <c r="Y79" i="1" s="1"/>
  <c r="L79" i="1"/>
  <c r="N51" i="1"/>
  <c r="W51" i="1"/>
  <c r="Y51" i="1" s="1"/>
  <c r="L51" i="1"/>
  <c r="W44" i="1"/>
  <c r="Y44" i="1" s="1"/>
  <c r="L44" i="1"/>
  <c r="N44" i="1"/>
  <c r="W72" i="1"/>
  <c r="Y72" i="1" s="1"/>
  <c r="L72" i="1"/>
  <c r="N72" i="1"/>
  <c r="W14" i="1"/>
  <c r="Y14" i="1" s="1"/>
  <c r="N14" i="1"/>
  <c r="L14" i="1"/>
  <c r="W65" i="1"/>
  <c r="Y65" i="1" s="1"/>
  <c r="N65" i="1"/>
  <c r="L65" i="1"/>
  <c r="W29" i="1"/>
  <c r="Y29" i="1" s="1"/>
  <c r="L29" i="1"/>
  <c r="N29" i="1"/>
  <c r="CI86" i="1"/>
  <c r="CK86" i="1"/>
  <c r="CI79" i="1"/>
  <c r="CK79" i="1"/>
  <c r="CK72" i="1"/>
  <c r="CI72" i="1"/>
  <c r="CK65" i="1"/>
  <c r="CI65" i="1"/>
  <c r="CI51" i="1"/>
  <c r="CK51" i="1"/>
  <c r="CK44" i="1"/>
  <c r="CI44" i="1"/>
  <c r="CK36" i="1"/>
  <c r="CI36" i="1"/>
  <c r="CK29" i="1"/>
  <c r="CI29" i="1"/>
  <c r="CK21" i="1"/>
  <c r="CI21" i="1"/>
  <c r="CQ21" i="1"/>
  <c r="CS21" i="1" s="1"/>
  <c r="Q21" i="1"/>
  <c r="CN21" i="1"/>
  <c r="T21" i="1"/>
  <c r="V21" i="1" s="1"/>
  <c r="CK14" i="1"/>
  <c r="CI14" i="1"/>
  <c r="CQ14" i="1"/>
  <c r="T14" i="1"/>
  <c r="V14" i="1" s="1"/>
  <c r="CN14" i="1"/>
  <c r="Q14" i="1"/>
  <c r="CI7" i="1"/>
  <c r="CK7" i="1"/>
  <c r="CN7" i="1"/>
  <c r="CQ7" i="1"/>
  <c r="CS7" i="1" s="1"/>
  <c r="T7" i="1"/>
  <c r="V7" i="1" s="1"/>
  <c r="Q7" i="1"/>
  <c r="CQ29" i="1"/>
  <c r="CS29" i="1" s="1"/>
  <c r="CN29" i="1"/>
  <c r="Q29" i="1"/>
  <c r="T29" i="1"/>
  <c r="V29" i="1" s="1"/>
  <c r="CQ65" i="1"/>
  <c r="CS65" i="1" s="1"/>
  <c r="CN65" i="1"/>
  <c r="Q65" i="1"/>
  <c r="T65" i="1"/>
  <c r="V65" i="1" s="1"/>
  <c r="CQ72" i="1"/>
  <c r="CS72" i="1" s="1"/>
  <c r="CN72" i="1"/>
  <c r="Q72" i="1"/>
  <c r="T72" i="1"/>
  <c r="V72" i="1" s="1"/>
  <c r="T86" i="1"/>
  <c r="V86" i="1" s="1"/>
  <c r="CQ86" i="1"/>
  <c r="CS86" i="1" s="1"/>
  <c r="CN86" i="1"/>
  <c r="Q86" i="1"/>
  <c r="CQ36" i="1"/>
  <c r="CS36" i="1" s="1"/>
  <c r="CN36" i="1"/>
  <c r="Q36" i="1"/>
  <c r="T36" i="1"/>
  <c r="V36" i="1" s="1"/>
  <c r="CQ44" i="1"/>
  <c r="CS44" i="1" s="1"/>
  <c r="CN44" i="1"/>
  <c r="Q44" i="1"/>
  <c r="T44" i="1"/>
  <c r="V44" i="1" s="1"/>
  <c r="CQ51" i="1"/>
  <c r="CS51" i="1" s="1"/>
  <c r="T51" i="1"/>
  <c r="V51" i="1" s="1"/>
  <c r="CN51" i="1"/>
  <c r="Q51" i="1"/>
  <c r="CQ79" i="1"/>
  <c r="CS79" i="1" s="1"/>
  <c r="CN79" i="1"/>
  <c r="T79" i="1"/>
  <c r="V79" i="1" s="1"/>
  <c r="Q79" i="1"/>
  <c r="W307" i="1"/>
  <c r="T306" i="1"/>
  <c r="W306" i="1"/>
  <c r="R306" i="1"/>
  <c r="S285" i="1"/>
  <c r="U285" i="1"/>
  <c r="T307" i="1"/>
  <c r="R288" i="1"/>
  <c r="CB15" i="1"/>
  <c r="CC15" i="1" s="1"/>
  <c r="CP14" i="1"/>
  <c r="N44" i="4"/>
  <c r="P44" i="4"/>
  <c r="BN44" i="4"/>
  <c r="BP44" i="4"/>
  <c r="DN44" i="4"/>
  <c r="DP44" i="4"/>
  <c r="AS30" i="4"/>
  <c r="AN30" i="4"/>
  <c r="AP30" i="4"/>
  <c r="CN43" i="4"/>
  <c r="CP43" i="4"/>
  <c r="CG43" i="4"/>
  <c r="CF44" i="4" s="1"/>
  <c r="CS43" i="4"/>
  <c r="CT43" i="4" s="1"/>
  <c r="C45" i="1"/>
  <c r="DG44" i="4"/>
  <c r="DF45" i="4" s="1"/>
  <c r="DS44" i="4"/>
  <c r="BG44" i="4"/>
  <c r="BF45" i="4" s="1"/>
  <c r="BS44" i="4"/>
  <c r="BT44" i="4" s="1"/>
  <c r="G44" i="4"/>
  <c r="F45" i="4" s="1"/>
  <c r="S44" i="4"/>
  <c r="AG30" i="4"/>
  <c r="DT43" i="4"/>
  <c r="T43" i="4"/>
  <c r="DL50" i="4"/>
  <c r="L50" i="4"/>
  <c r="BL49" i="4"/>
  <c r="BL186" i="4" s="1"/>
  <c r="K258" i="4" s="1"/>
  <c r="AL51" i="4"/>
  <c r="CL49" i="4"/>
  <c r="CL186" i="4" s="1"/>
  <c r="K283" i="4" s="1"/>
  <c r="CS14" i="1"/>
  <c r="CH21" i="1"/>
  <c r="C8" i="1"/>
  <c r="C80" i="1"/>
  <c r="C87" i="1"/>
  <c r="C37" i="1"/>
  <c r="C15" i="1"/>
  <c r="C73" i="1"/>
  <c r="C30" i="1"/>
  <c r="C22" i="1"/>
  <c r="C66" i="1"/>
  <c r="C52" i="1"/>
  <c r="J9" i="1"/>
  <c r="J10" i="1"/>
  <c r="J11" i="1"/>
  <c r="EN114" i="7" l="1"/>
  <c r="GL113" i="7"/>
  <c r="FM114" i="7"/>
  <c r="FY113" i="7"/>
  <c r="FX114" i="7" s="1"/>
  <c r="FY114" i="7" s="1"/>
  <c r="FX115" i="7" s="1"/>
  <c r="GF113" i="7"/>
  <c r="HK113" i="7"/>
  <c r="HJ114" i="7"/>
  <c r="GX114" i="7"/>
  <c r="GW115" i="7" s="1"/>
  <c r="HE114" i="7"/>
  <c r="HC115" i="7"/>
  <c r="HG115" i="7" s="1"/>
  <c r="GD114" i="7"/>
  <c r="GH114" i="7" s="1"/>
  <c r="FL115" i="7"/>
  <c r="FM115" i="7" s="1"/>
  <c r="EZ115" i="7"/>
  <c r="EY116" i="7" s="1"/>
  <c r="FG115" i="7"/>
  <c r="FE115" i="7"/>
  <c r="FI115" i="7" s="1"/>
  <c r="EF116" i="7"/>
  <c r="EJ116" i="7" s="1"/>
  <c r="EM115" i="7"/>
  <c r="EN115" i="7" s="1"/>
  <c r="EA115" i="7"/>
  <c r="DZ116" i="7" s="1"/>
  <c r="EH115" i="7"/>
  <c r="DG115" i="7"/>
  <c r="DK115" i="7" s="1"/>
  <c r="DI115" i="7"/>
  <c r="DN115" i="7"/>
  <c r="DO115" i="7" s="1"/>
  <c r="DB115" i="7"/>
  <c r="DA116" i="7" s="1"/>
  <c r="AJ112" i="8"/>
  <c r="AN111" i="8"/>
  <c r="Q291" i="8"/>
  <c r="Q325" i="8"/>
  <c r="AQ98" i="8"/>
  <c r="AE98" i="8"/>
  <c r="AD99" i="8" s="1"/>
  <c r="AL98" i="8"/>
  <c r="BI159" i="8"/>
  <c r="S223" i="8" s="1"/>
  <c r="BI111" i="8"/>
  <c r="BM110" i="8"/>
  <c r="BM159" i="8" s="1"/>
  <c r="S227" i="8" s="1"/>
  <c r="S198" i="8"/>
  <c r="AR98" i="8"/>
  <c r="DK109" i="8"/>
  <c r="DG110" i="8"/>
  <c r="CO98" i="8"/>
  <c r="CJ98" i="8"/>
  <c r="CC98" i="8"/>
  <c r="CB99" i="8" s="1"/>
  <c r="CL98" i="8"/>
  <c r="O109" i="8"/>
  <c r="K110" i="8"/>
  <c r="R192" i="8"/>
  <c r="AQ158" i="8"/>
  <c r="R205" i="8" s="1"/>
  <c r="AN158" i="8"/>
  <c r="R202" i="8" s="1"/>
  <c r="BC158" i="8"/>
  <c r="BP97" i="8"/>
  <c r="BQ97" i="8" s="1"/>
  <c r="BK97" i="8"/>
  <c r="BD97" i="8"/>
  <c r="BC98" i="8" s="1"/>
  <c r="DN110" i="8"/>
  <c r="DO110" i="8" s="1"/>
  <c r="DI110" i="8"/>
  <c r="DB110" i="8"/>
  <c r="DA111" i="8" s="1"/>
  <c r="CP97" i="8"/>
  <c r="E158" i="8"/>
  <c r="R97" i="8"/>
  <c r="S97" i="8" s="1"/>
  <c r="F97" i="8"/>
  <c r="E98" i="8" s="1"/>
  <c r="M97" i="8"/>
  <c r="CH112" i="8"/>
  <c r="P198" i="7"/>
  <c r="P390" i="7" s="1"/>
  <c r="AJ156" i="1"/>
  <c r="P198" i="1" s="1"/>
  <c r="AN89" i="1"/>
  <c r="AL85" i="7"/>
  <c r="AE85" i="7"/>
  <c r="AD86" i="7" s="1"/>
  <c r="AQ85" i="7"/>
  <c r="AR85" i="7" s="1"/>
  <c r="E83" i="7"/>
  <c r="F155" i="7"/>
  <c r="O170" i="7" s="1"/>
  <c r="S82" i="7"/>
  <c r="K92" i="7"/>
  <c r="O92" i="7" s="1"/>
  <c r="CH92" i="7"/>
  <c r="AJ91" i="7"/>
  <c r="AN91" i="7" s="1"/>
  <c r="BP81" i="7"/>
  <c r="BQ81" i="7" s="1"/>
  <c r="BD81" i="7"/>
  <c r="BC82" i="7" s="1"/>
  <c r="BK81" i="7"/>
  <c r="BI93" i="7"/>
  <c r="BM93" i="7" s="1"/>
  <c r="CO81" i="7"/>
  <c r="CP81" i="7" s="1"/>
  <c r="CC81" i="7"/>
  <c r="CB82" i="7" s="1"/>
  <c r="CJ81" i="7"/>
  <c r="CL81" i="7"/>
  <c r="AR88" i="1"/>
  <c r="AP87" i="1"/>
  <c r="AM87" i="1"/>
  <c r="AK87" i="1"/>
  <c r="AS87" i="1"/>
  <c r="AU87" i="1" s="1"/>
  <c r="AS66" i="1"/>
  <c r="AU66" i="1" s="1"/>
  <c r="AP66" i="1"/>
  <c r="AM66" i="1"/>
  <c r="AK66" i="1"/>
  <c r="AM15" i="1"/>
  <c r="AK15" i="1"/>
  <c r="AS15" i="1"/>
  <c r="AU15" i="1" s="1"/>
  <c r="AP15" i="1"/>
  <c r="AK80" i="1"/>
  <c r="AP80" i="1"/>
  <c r="AS80" i="1"/>
  <c r="AU80" i="1" s="1"/>
  <c r="AM80" i="1"/>
  <c r="AM73" i="1"/>
  <c r="AS73" i="1"/>
  <c r="AU73" i="1" s="1"/>
  <c r="AP73" i="1"/>
  <c r="AK73" i="1"/>
  <c r="AS22" i="1"/>
  <c r="AU22" i="1" s="1"/>
  <c r="AP22" i="1"/>
  <c r="AM22" i="1"/>
  <c r="AK22" i="1"/>
  <c r="AP52" i="1"/>
  <c r="AM52" i="1"/>
  <c r="AS52" i="1"/>
  <c r="AU52" i="1" s="1"/>
  <c r="AK52" i="1"/>
  <c r="AM37" i="1"/>
  <c r="AK37" i="1"/>
  <c r="AS37" i="1"/>
  <c r="AU37" i="1" s="1"/>
  <c r="AP37" i="1"/>
  <c r="AS8" i="1"/>
  <c r="AU8" i="1" s="1"/>
  <c r="AP8" i="1"/>
  <c r="AM8" i="1"/>
  <c r="AK8" i="1"/>
  <c r="AP30" i="1"/>
  <c r="AM30" i="1"/>
  <c r="AK30" i="1"/>
  <c r="AS30" i="1"/>
  <c r="AU30" i="1" s="1"/>
  <c r="AS45" i="1"/>
  <c r="AU45" i="1" s="1"/>
  <c r="AP45" i="1"/>
  <c r="AM45" i="1"/>
  <c r="AK45" i="1"/>
  <c r="AQ89" i="1"/>
  <c r="AE89" i="1"/>
  <c r="AD90" i="1" s="1"/>
  <c r="AL89" i="1"/>
  <c r="AJ90" i="1"/>
  <c r="AN90" i="1" s="1"/>
  <c r="BC83" i="1"/>
  <c r="BC156" i="1" s="1"/>
  <c r="P217" i="1" s="1"/>
  <c r="BD155" i="1"/>
  <c r="O218" i="1" s="1"/>
  <c r="BR8" i="1"/>
  <c r="BT8" i="1" s="1"/>
  <c r="BO8" i="1"/>
  <c r="BL8" i="1"/>
  <c r="BJ8" i="1"/>
  <c r="BO52" i="1"/>
  <c r="BL52" i="1"/>
  <c r="BJ52" i="1"/>
  <c r="BR52" i="1"/>
  <c r="BT52" i="1" s="1"/>
  <c r="BJ22" i="1"/>
  <c r="BR22" i="1"/>
  <c r="BT22" i="1" s="1"/>
  <c r="BO22" i="1"/>
  <c r="BL22" i="1"/>
  <c r="BL15" i="1"/>
  <c r="BJ15" i="1"/>
  <c r="BR15" i="1"/>
  <c r="BT15" i="1" s="1"/>
  <c r="BO15" i="1"/>
  <c r="BO87" i="1"/>
  <c r="BL87" i="1"/>
  <c r="BJ87" i="1"/>
  <c r="BR87" i="1"/>
  <c r="BT87" i="1" s="1"/>
  <c r="BR80" i="1"/>
  <c r="BT80" i="1" s="1"/>
  <c r="BO80" i="1"/>
  <c r="BL80" i="1"/>
  <c r="BJ80" i="1"/>
  <c r="BL45" i="1"/>
  <c r="BJ45" i="1"/>
  <c r="BR45" i="1"/>
  <c r="BT45" i="1" s="1"/>
  <c r="BO45" i="1"/>
  <c r="BO73" i="1"/>
  <c r="BL73" i="1"/>
  <c r="BR73" i="1"/>
  <c r="BT73" i="1" s="1"/>
  <c r="BJ73" i="1"/>
  <c r="BJ66" i="1"/>
  <c r="BR66" i="1"/>
  <c r="BT66" i="1" s="1"/>
  <c r="BO66" i="1"/>
  <c r="BL66" i="1"/>
  <c r="BL30" i="1"/>
  <c r="BJ30" i="1"/>
  <c r="BR30" i="1"/>
  <c r="BT30" i="1" s="1"/>
  <c r="BO30" i="1"/>
  <c r="BR37" i="1"/>
  <c r="BT37" i="1" s="1"/>
  <c r="BO37" i="1"/>
  <c r="BL37" i="1"/>
  <c r="BJ37" i="1"/>
  <c r="K9" i="1"/>
  <c r="K10" i="1" s="1"/>
  <c r="K11" i="1" s="1"/>
  <c r="K12" i="1" s="1"/>
  <c r="K145" i="1" s="1"/>
  <c r="BI84" i="1"/>
  <c r="W22" i="1"/>
  <c r="N22" i="1"/>
  <c r="L22" i="1"/>
  <c r="W73" i="1"/>
  <c r="Y73" i="1" s="1"/>
  <c r="N73" i="1"/>
  <c r="L73" i="1"/>
  <c r="W37" i="1"/>
  <c r="Y37" i="1" s="1"/>
  <c r="L37" i="1"/>
  <c r="N37" i="1"/>
  <c r="W80" i="1"/>
  <c r="Y80" i="1" s="1"/>
  <c r="N80" i="1"/>
  <c r="L80" i="1"/>
  <c r="W52" i="1"/>
  <c r="Y52" i="1" s="1"/>
  <c r="L52" i="1"/>
  <c r="N52" i="1"/>
  <c r="W66" i="1"/>
  <c r="Y66" i="1" s="1"/>
  <c r="N66" i="1"/>
  <c r="L66" i="1"/>
  <c r="W30" i="1"/>
  <c r="Y30" i="1" s="1"/>
  <c r="N30" i="1"/>
  <c r="L30" i="1"/>
  <c r="N15" i="1"/>
  <c r="W15" i="1"/>
  <c r="Y15" i="1" s="1"/>
  <c r="L15" i="1"/>
  <c r="N87" i="1"/>
  <c r="W87" i="1"/>
  <c r="Y87" i="1" s="1"/>
  <c r="L87" i="1"/>
  <c r="W45" i="1"/>
  <c r="L45" i="1"/>
  <c r="N45" i="1"/>
  <c r="N8" i="1"/>
  <c r="W8" i="1"/>
  <c r="Y8" i="1" s="1"/>
  <c r="L8" i="1"/>
  <c r="CK87" i="1"/>
  <c r="CI87" i="1"/>
  <c r="CI80" i="1"/>
  <c r="CK80" i="1"/>
  <c r="CK73" i="1"/>
  <c r="CI73" i="1"/>
  <c r="CK66" i="1"/>
  <c r="CI66" i="1"/>
  <c r="CI52" i="1"/>
  <c r="CK52" i="1"/>
  <c r="CK45" i="1"/>
  <c r="CI45" i="1"/>
  <c r="CK37" i="1"/>
  <c r="CI37" i="1"/>
  <c r="CK30" i="1"/>
  <c r="CI30" i="1"/>
  <c r="CK22" i="1"/>
  <c r="CI22" i="1"/>
  <c r="CK15" i="1"/>
  <c r="CI15" i="1"/>
  <c r="CI8" i="1"/>
  <c r="CK8" i="1"/>
  <c r="T22" i="1"/>
  <c r="V22" i="1" s="1"/>
  <c r="CQ22" i="1"/>
  <c r="CS22" i="1" s="1"/>
  <c r="CN22" i="1"/>
  <c r="Q22" i="1"/>
  <c r="CQ37" i="1"/>
  <c r="CS37" i="1" s="1"/>
  <c r="CN37" i="1"/>
  <c r="Q37" i="1"/>
  <c r="T37" i="1"/>
  <c r="V37" i="1" s="1"/>
  <c r="T66" i="1"/>
  <c r="V66" i="1" s="1"/>
  <c r="CQ66" i="1"/>
  <c r="CS66" i="1" s="1"/>
  <c r="CN66" i="1"/>
  <c r="Q66" i="1"/>
  <c r="CQ15" i="1"/>
  <c r="CS15" i="1" s="1"/>
  <c r="T15" i="1"/>
  <c r="V15" i="1" s="1"/>
  <c r="CN15" i="1"/>
  <c r="Q15" i="1"/>
  <c r="CQ8" i="1"/>
  <c r="CS8" i="1" s="1"/>
  <c r="CN8" i="1"/>
  <c r="T8" i="1"/>
  <c r="V8" i="1" s="1"/>
  <c r="Q8" i="1"/>
  <c r="CQ52" i="1"/>
  <c r="CS52" i="1" s="1"/>
  <c r="CN52" i="1"/>
  <c r="Q52" i="1"/>
  <c r="T52" i="1"/>
  <c r="V52" i="1" s="1"/>
  <c r="CQ73" i="1"/>
  <c r="CS73" i="1" s="1"/>
  <c r="CN73" i="1"/>
  <c r="Q73" i="1"/>
  <c r="T73" i="1"/>
  <c r="V73" i="1" s="1"/>
  <c r="CQ80" i="1"/>
  <c r="CS80" i="1" s="1"/>
  <c r="CN80" i="1"/>
  <c r="Q80" i="1"/>
  <c r="T80" i="1"/>
  <c r="V80" i="1" s="1"/>
  <c r="CQ45" i="1"/>
  <c r="CS45" i="1" s="1"/>
  <c r="CN45" i="1"/>
  <c r="Q45" i="1"/>
  <c r="T45" i="1"/>
  <c r="V45" i="1" s="1"/>
  <c r="T30" i="1"/>
  <c r="V30" i="1" s="1"/>
  <c r="CQ30" i="1"/>
  <c r="CS30" i="1" s="1"/>
  <c r="CN30" i="1"/>
  <c r="Q30" i="1"/>
  <c r="CQ87" i="1"/>
  <c r="CS87" i="1" s="1"/>
  <c r="T87" i="1"/>
  <c r="V87" i="1" s="1"/>
  <c r="CN87" i="1"/>
  <c r="Q87" i="1"/>
  <c r="Y45" i="1"/>
  <c r="CO15" i="1"/>
  <c r="CL15" i="1"/>
  <c r="C46" i="1"/>
  <c r="CJ15" i="1"/>
  <c r="N45" i="4"/>
  <c r="P45" i="4"/>
  <c r="BN45" i="4"/>
  <c r="BP45" i="4"/>
  <c r="DN45" i="4"/>
  <c r="DP45" i="4"/>
  <c r="CN44" i="4"/>
  <c r="CP44" i="4"/>
  <c r="CS44" i="4"/>
  <c r="CT44" i="4" s="1"/>
  <c r="CG44" i="4"/>
  <c r="CF45" i="4" s="1"/>
  <c r="DG45" i="4"/>
  <c r="DF46" i="4" s="1"/>
  <c r="DS45" i="4"/>
  <c r="BG45" i="4"/>
  <c r="BS45" i="4"/>
  <c r="BT45" i="4" s="1"/>
  <c r="G45" i="4"/>
  <c r="F46" i="4" s="1"/>
  <c r="S45" i="4"/>
  <c r="AT30" i="4"/>
  <c r="AF31" i="4"/>
  <c r="T44" i="4"/>
  <c r="BL50" i="4"/>
  <c r="DL51" i="4"/>
  <c r="AL52" i="4"/>
  <c r="L51" i="4"/>
  <c r="CL50" i="4"/>
  <c r="DT44" i="4"/>
  <c r="CH22" i="1"/>
  <c r="C31" i="1"/>
  <c r="C88" i="1"/>
  <c r="C53" i="1"/>
  <c r="C74" i="1"/>
  <c r="C81" i="1"/>
  <c r="C67" i="1"/>
  <c r="C16" i="1"/>
  <c r="C23" i="1"/>
  <c r="Y22" i="1"/>
  <c r="C38" i="1"/>
  <c r="C9" i="1"/>
  <c r="F8" i="1"/>
  <c r="HK114" i="7" l="1"/>
  <c r="GK114" i="7"/>
  <c r="GL114" i="7" s="1"/>
  <c r="GF114" i="7"/>
  <c r="HJ115" i="7"/>
  <c r="HK115" i="7" s="1"/>
  <c r="HE115" i="7"/>
  <c r="GX115" i="7"/>
  <c r="GW116" i="7" s="1"/>
  <c r="HC116" i="7"/>
  <c r="HG116" i="7" s="1"/>
  <c r="GD115" i="7"/>
  <c r="GH115" i="7" s="1"/>
  <c r="GF115" i="7"/>
  <c r="GK115" i="7"/>
  <c r="GL115" i="7" s="1"/>
  <c r="FY115" i="7"/>
  <c r="FX116" i="7" s="1"/>
  <c r="FL116" i="7"/>
  <c r="FM116" i="7" s="1"/>
  <c r="EZ116" i="7"/>
  <c r="EY117" i="7" s="1"/>
  <c r="FG116" i="7"/>
  <c r="FE116" i="7"/>
  <c r="FI116" i="7" s="1"/>
  <c r="EF117" i="7"/>
  <c r="EM116" i="7"/>
  <c r="EN116" i="7" s="1"/>
  <c r="EA116" i="7"/>
  <c r="DZ117" i="7" s="1"/>
  <c r="EH116" i="7"/>
  <c r="DI116" i="7"/>
  <c r="DN116" i="7"/>
  <c r="DO116" i="7" s="1"/>
  <c r="DB116" i="7"/>
  <c r="DA117" i="7" s="1"/>
  <c r="DG116" i="7"/>
  <c r="DK116" i="7" s="1"/>
  <c r="CP98" i="8"/>
  <c r="CP99" i="8" s="1"/>
  <c r="CJ99" i="8"/>
  <c r="CO99" i="8"/>
  <c r="CC99" i="8"/>
  <c r="CB100" i="8" s="1"/>
  <c r="CL99" i="8"/>
  <c r="AQ99" i="8"/>
  <c r="AR99" i="8" s="1"/>
  <c r="AE99" i="8"/>
  <c r="AD100" i="8" s="1"/>
  <c r="AL99" i="8"/>
  <c r="M98" i="8"/>
  <c r="R98" i="8"/>
  <c r="S98" i="8" s="1"/>
  <c r="F98" i="8"/>
  <c r="E99" i="8" s="1"/>
  <c r="R217" i="8"/>
  <c r="BP158" i="8"/>
  <c r="R230" i="8" s="1"/>
  <c r="K159" i="8"/>
  <c r="K111" i="8"/>
  <c r="O110" i="8"/>
  <c r="BI112" i="8"/>
  <c r="BM111" i="8"/>
  <c r="CH113" i="8"/>
  <c r="BP98" i="8"/>
  <c r="BQ98" i="8" s="1"/>
  <c r="BD98" i="8"/>
  <c r="BC99" i="8" s="1"/>
  <c r="BK98" i="8"/>
  <c r="AN112" i="8"/>
  <c r="AJ113" i="8"/>
  <c r="R169" i="8"/>
  <c r="R158" i="8"/>
  <c r="R182" i="8" s="1"/>
  <c r="M158" i="8"/>
  <c r="R177" i="8" s="1"/>
  <c r="O158" i="8"/>
  <c r="R179" i="8" s="1"/>
  <c r="DN111" i="8"/>
  <c r="DO111" i="8" s="1"/>
  <c r="DB111" i="8"/>
  <c r="DA112" i="8" s="1"/>
  <c r="DI111" i="8"/>
  <c r="DG111" i="8"/>
  <c r="DK110" i="8"/>
  <c r="BD83" i="1"/>
  <c r="BC84" i="1" s="1"/>
  <c r="AD157" i="1"/>
  <c r="Q192" i="1" s="1"/>
  <c r="AE156" i="1"/>
  <c r="P193" i="1" s="1"/>
  <c r="AL86" i="7"/>
  <c r="AE86" i="7"/>
  <c r="AQ86" i="7"/>
  <c r="AR86" i="7" s="1"/>
  <c r="S155" i="7"/>
  <c r="O183" i="7" s="1"/>
  <c r="F83" i="7"/>
  <c r="E84" i="7" s="1"/>
  <c r="R83" i="7"/>
  <c r="S83" i="7" s="1"/>
  <c r="M83" i="7"/>
  <c r="BI94" i="7"/>
  <c r="BM94" i="7" s="1"/>
  <c r="CC82" i="7"/>
  <c r="CO82" i="7"/>
  <c r="CP82" i="7" s="1"/>
  <c r="CJ82" i="7"/>
  <c r="CL82" i="7"/>
  <c r="AJ92" i="7"/>
  <c r="AN92" i="7" s="1"/>
  <c r="CH93" i="7"/>
  <c r="K93" i="7"/>
  <c r="O93" i="7" s="1"/>
  <c r="P426" i="7"/>
  <c r="N34" i="5" s="1"/>
  <c r="BP82" i="7"/>
  <c r="BQ82" i="7" s="1"/>
  <c r="BK82" i="7"/>
  <c r="BD82" i="7"/>
  <c r="BM155" i="7"/>
  <c r="O227" i="7" s="1"/>
  <c r="AR89" i="1"/>
  <c r="AR156" i="1" s="1"/>
  <c r="P206" i="1" s="1"/>
  <c r="BP83" i="1"/>
  <c r="BQ83" i="1" s="1"/>
  <c r="AK38" i="1"/>
  <c r="AS38" i="1"/>
  <c r="AU38" i="1" s="1"/>
  <c r="AP38" i="1"/>
  <c r="AM38" i="1"/>
  <c r="AP67" i="1"/>
  <c r="AM67" i="1"/>
  <c r="AK67" i="1"/>
  <c r="AS67" i="1"/>
  <c r="AU67" i="1" s="1"/>
  <c r="AM53" i="1"/>
  <c r="AK53" i="1"/>
  <c r="AP53" i="1"/>
  <c r="AS53" i="1"/>
  <c r="AU53" i="1" s="1"/>
  <c r="AM9" i="1"/>
  <c r="AK9" i="1"/>
  <c r="AS9" i="1"/>
  <c r="AU9" i="1" s="1"/>
  <c r="AP9" i="1"/>
  <c r="AS16" i="1"/>
  <c r="AU16" i="1" s="1"/>
  <c r="AP16" i="1"/>
  <c r="AK16" i="1"/>
  <c r="AM16" i="1"/>
  <c r="AS81" i="1"/>
  <c r="AU81" i="1" s="1"/>
  <c r="AM81" i="1"/>
  <c r="AP81" i="1"/>
  <c r="AK81" i="1"/>
  <c r="AM88" i="1"/>
  <c r="AK88" i="1"/>
  <c r="AS88" i="1"/>
  <c r="AU88" i="1" s="1"/>
  <c r="AP88" i="1"/>
  <c r="AP23" i="1"/>
  <c r="AM23" i="1"/>
  <c r="AK23" i="1"/>
  <c r="AS23" i="1"/>
  <c r="AU23" i="1" s="1"/>
  <c r="AK74" i="1"/>
  <c r="AP74" i="1"/>
  <c r="AS74" i="1"/>
  <c r="AU74" i="1" s="1"/>
  <c r="AM74" i="1"/>
  <c r="AM31" i="1"/>
  <c r="AK31" i="1"/>
  <c r="AS31" i="1"/>
  <c r="AU31" i="1" s="1"/>
  <c r="AP31" i="1"/>
  <c r="AP46" i="1"/>
  <c r="AM46" i="1"/>
  <c r="AK46" i="1"/>
  <c r="AS46" i="1"/>
  <c r="AU46" i="1" s="1"/>
  <c r="BK83" i="1"/>
  <c r="AQ90" i="1"/>
  <c r="AL90" i="1"/>
  <c r="AE90" i="1"/>
  <c r="AD91" i="1" s="1"/>
  <c r="AJ91" i="1"/>
  <c r="AN91" i="1" s="1"/>
  <c r="BO9" i="1"/>
  <c r="BL9" i="1"/>
  <c r="BJ9" i="1"/>
  <c r="BR9" i="1"/>
  <c r="BT9" i="1" s="1"/>
  <c r="BR23" i="1"/>
  <c r="BT23" i="1" s="1"/>
  <c r="BO23" i="1"/>
  <c r="BL23" i="1"/>
  <c r="BJ23" i="1"/>
  <c r="BL53" i="1"/>
  <c r="BJ53" i="1"/>
  <c r="BR53" i="1"/>
  <c r="BT53" i="1" s="1"/>
  <c r="BO53" i="1"/>
  <c r="BR31" i="1"/>
  <c r="BT31" i="1" s="1"/>
  <c r="BO31" i="1"/>
  <c r="BL31" i="1"/>
  <c r="BJ31" i="1"/>
  <c r="R9" i="1"/>
  <c r="BR67" i="1"/>
  <c r="BT67" i="1" s="1"/>
  <c r="BO67" i="1"/>
  <c r="BL67" i="1"/>
  <c r="BJ67" i="1"/>
  <c r="BO81" i="1"/>
  <c r="BL81" i="1"/>
  <c r="BJ81" i="1"/>
  <c r="BR81" i="1"/>
  <c r="BT81" i="1" s="1"/>
  <c r="BP84" i="1"/>
  <c r="BO38" i="1"/>
  <c r="BL38" i="1"/>
  <c r="BJ38" i="1"/>
  <c r="BR38" i="1"/>
  <c r="BT38" i="1" s="1"/>
  <c r="BR16" i="1"/>
  <c r="BT16" i="1" s="1"/>
  <c r="BO16" i="1"/>
  <c r="BL16" i="1"/>
  <c r="BJ16" i="1"/>
  <c r="BO74" i="1"/>
  <c r="BL74" i="1"/>
  <c r="BJ74" i="1"/>
  <c r="BR74" i="1"/>
  <c r="BT74" i="1" s="1"/>
  <c r="BL88" i="1"/>
  <c r="BJ88" i="1"/>
  <c r="BR88" i="1"/>
  <c r="BT88" i="1" s="1"/>
  <c r="BO88" i="1"/>
  <c r="BR46" i="1"/>
  <c r="BT46" i="1" s="1"/>
  <c r="BO46" i="1"/>
  <c r="BL46" i="1"/>
  <c r="BJ46" i="1"/>
  <c r="M9" i="1"/>
  <c r="BI85" i="1"/>
  <c r="BM85" i="1" s="1"/>
  <c r="N23" i="1"/>
  <c r="W23" i="1"/>
  <c r="Y23" i="1" s="1"/>
  <c r="L23" i="1"/>
  <c r="N67" i="1"/>
  <c r="W67" i="1"/>
  <c r="L67" i="1"/>
  <c r="W88" i="1"/>
  <c r="Y88" i="1" s="1"/>
  <c r="N88" i="1"/>
  <c r="L88" i="1"/>
  <c r="W46" i="1"/>
  <c r="Y46" i="1" s="1"/>
  <c r="N46" i="1"/>
  <c r="L46" i="1"/>
  <c r="W38" i="1"/>
  <c r="Y38" i="1" s="1"/>
  <c r="N38" i="1"/>
  <c r="L38" i="1"/>
  <c r="W81" i="1"/>
  <c r="Y81" i="1" s="1"/>
  <c r="N81" i="1"/>
  <c r="L81" i="1"/>
  <c r="N31" i="1"/>
  <c r="W31" i="1"/>
  <c r="Y31" i="1" s="1"/>
  <c r="L31" i="1"/>
  <c r="N16" i="1"/>
  <c r="W16" i="1"/>
  <c r="Y16" i="1" s="1"/>
  <c r="L16" i="1"/>
  <c r="W53" i="1"/>
  <c r="Y53" i="1" s="1"/>
  <c r="L53" i="1"/>
  <c r="N53" i="1"/>
  <c r="W9" i="1"/>
  <c r="L9" i="1"/>
  <c r="N9" i="1"/>
  <c r="W74" i="1"/>
  <c r="Y74" i="1" s="1"/>
  <c r="N74" i="1"/>
  <c r="L74" i="1"/>
  <c r="CK88" i="1"/>
  <c r="CI88" i="1"/>
  <c r="CK81" i="1"/>
  <c r="CI81" i="1"/>
  <c r="CI74" i="1"/>
  <c r="CK74" i="1"/>
  <c r="CI67" i="1"/>
  <c r="CK67" i="1"/>
  <c r="CK53" i="1"/>
  <c r="CI53" i="1"/>
  <c r="CI46" i="1"/>
  <c r="CK46" i="1"/>
  <c r="CK38" i="1"/>
  <c r="CI38" i="1"/>
  <c r="CK31" i="1"/>
  <c r="CI31" i="1"/>
  <c r="CI23" i="1"/>
  <c r="CK23" i="1"/>
  <c r="CK16" i="1"/>
  <c r="CI16" i="1"/>
  <c r="CK9" i="1"/>
  <c r="CI9" i="1"/>
  <c r="CQ16" i="1"/>
  <c r="CS16" i="1" s="1"/>
  <c r="CN16" i="1"/>
  <c r="Q16" i="1"/>
  <c r="T16" i="1"/>
  <c r="V16" i="1" s="1"/>
  <c r="CQ53" i="1"/>
  <c r="CS53" i="1" s="1"/>
  <c r="CN53" i="1"/>
  <c r="Q53" i="1"/>
  <c r="T53" i="1"/>
  <c r="V53" i="1" s="1"/>
  <c r="CQ9" i="1"/>
  <c r="CS9" i="1" s="1"/>
  <c r="CN9" i="1"/>
  <c r="T9" i="1"/>
  <c r="V9" i="1" s="1"/>
  <c r="Q9" i="1"/>
  <c r="CQ23" i="1"/>
  <c r="CS23" i="1" s="1"/>
  <c r="CN23" i="1"/>
  <c r="T23" i="1"/>
  <c r="V23" i="1" s="1"/>
  <c r="Q23" i="1"/>
  <c r="T74" i="1"/>
  <c r="V74" i="1" s="1"/>
  <c r="CQ74" i="1"/>
  <c r="CS74" i="1" s="1"/>
  <c r="CN74" i="1"/>
  <c r="Q74" i="1"/>
  <c r="T38" i="1"/>
  <c r="V38" i="1" s="1"/>
  <c r="CQ38" i="1"/>
  <c r="CN38" i="1"/>
  <c r="Q38" i="1"/>
  <c r="CQ81" i="1"/>
  <c r="CS81" i="1" s="1"/>
  <c r="CN81" i="1"/>
  <c r="Q81" i="1"/>
  <c r="T81" i="1"/>
  <c r="V81" i="1" s="1"/>
  <c r="CQ31" i="1"/>
  <c r="CS31" i="1" s="1"/>
  <c r="T31" i="1"/>
  <c r="V31" i="1" s="1"/>
  <c r="CN31" i="1"/>
  <c r="Q31" i="1"/>
  <c r="CQ46" i="1"/>
  <c r="CS46" i="1" s="1"/>
  <c r="T46" i="1"/>
  <c r="V46" i="1" s="1"/>
  <c r="CN46" i="1"/>
  <c r="Q46" i="1"/>
  <c r="CQ67" i="1"/>
  <c r="CS67" i="1" s="1"/>
  <c r="CN67" i="1"/>
  <c r="T67" i="1"/>
  <c r="V67" i="1" s="1"/>
  <c r="Q67" i="1"/>
  <c r="CQ88" i="1"/>
  <c r="CS88" i="1" s="1"/>
  <c r="CN88" i="1"/>
  <c r="Q88" i="1"/>
  <c r="T88" i="1"/>
  <c r="V88" i="1" s="1"/>
  <c r="K13" i="1"/>
  <c r="K14" i="1" s="1"/>
  <c r="C47" i="1"/>
  <c r="CP15" i="1"/>
  <c r="CB16" i="1"/>
  <c r="CC16" i="1" s="1"/>
  <c r="BF46" i="4"/>
  <c r="BG46" i="4" s="1"/>
  <c r="BF47" i="4" s="1"/>
  <c r="K332" i="4"/>
  <c r="K350" i="4"/>
  <c r="N46" i="4"/>
  <c r="P46" i="4"/>
  <c r="AS31" i="4"/>
  <c r="AN31" i="4"/>
  <c r="AP31" i="4"/>
  <c r="BN46" i="4"/>
  <c r="BP46" i="4"/>
  <c r="DN46" i="4"/>
  <c r="DP46" i="4"/>
  <c r="CN45" i="4"/>
  <c r="CP45" i="4"/>
  <c r="CG45" i="4"/>
  <c r="CF46" i="4" s="1"/>
  <c r="CS45" i="4"/>
  <c r="CT45" i="4" s="1"/>
  <c r="DG46" i="4"/>
  <c r="DF47" i="4" s="1"/>
  <c r="DS46" i="4"/>
  <c r="BS46" i="4"/>
  <c r="BT46" i="4" s="1"/>
  <c r="G46" i="4"/>
  <c r="F47" i="4" s="1"/>
  <c r="S46" i="4"/>
  <c r="AG31" i="4"/>
  <c r="T45" i="4"/>
  <c r="DT45" i="4"/>
  <c r="L52" i="4"/>
  <c r="CL51" i="4"/>
  <c r="DL52" i="4"/>
  <c r="AL53" i="4"/>
  <c r="BL51" i="4"/>
  <c r="CS38" i="1"/>
  <c r="K229" i="1"/>
  <c r="K226" i="1"/>
  <c r="K224" i="1"/>
  <c r="CH23" i="1"/>
  <c r="C39" i="1"/>
  <c r="C68" i="1"/>
  <c r="Y67" i="1"/>
  <c r="C89" i="1"/>
  <c r="C24" i="1"/>
  <c r="C82" i="1"/>
  <c r="C32" i="1"/>
  <c r="C75" i="1"/>
  <c r="C10" i="1"/>
  <c r="C17" i="1"/>
  <c r="C54" i="1"/>
  <c r="DO155" i="7" l="1"/>
  <c r="O279" i="7" s="1"/>
  <c r="FM155" i="7"/>
  <c r="O326" i="7" s="1"/>
  <c r="EN155" i="7"/>
  <c r="O303" i="7" s="1"/>
  <c r="DB155" i="7"/>
  <c r="EA155" i="7"/>
  <c r="HG155" i="7"/>
  <c r="O368" i="7" s="1"/>
  <c r="GH155" i="7"/>
  <c r="O345" i="7" s="1"/>
  <c r="FI155" i="7"/>
  <c r="O322" i="7" s="1"/>
  <c r="EJ155" i="7"/>
  <c r="O299" i="7" s="1"/>
  <c r="EF160" i="7"/>
  <c r="T295" i="7" s="1"/>
  <c r="EJ117" i="7"/>
  <c r="EJ160" i="7" s="1"/>
  <c r="T299" i="7" s="1"/>
  <c r="HC117" i="7"/>
  <c r="HJ116" i="7"/>
  <c r="HK116" i="7" s="1"/>
  <c r="GX116" i="7"/>
  <c r="GW117" i="7" s="1"/>
  <c r="HE116" i="7"/>
  <c r="GD116" i="7"/>
  <c r="GH116" i="7" s="1"/>
  <c r="GK116" i="7"/>
  <c r="GL116" i="7" s="1"/>
  <c r="FY116" i="7"/>
  <c r="FX117" i="7" s="1"/>
  <c r="GF116" i="7"/>
  <c r="FL117" i="7"/>
  <c r="FM117" i="7" s="1"/>
  <c r="FM160" i="7" s="1"/>
  <c r="T326" i="7" s="1"/>
  <c r="EZ117" i="7"/>
  <c r="FG117" i="7"/>
  <c r="FE117" i="7"/>
  <c r="EF118" i="7"/>
  <c r="EJ118" i="7" s="1"/>
  <c r="EM117" i="7"/>
  <c r="EN117" i="7" s="1"/>
  <c r="EN160" i="7" s="1"/>
  <c r="T303" i="7" s="1"/>
  <c r="EA117" i="7"/>
  <c r="EH117" i="7"/>
  <c r="DN117" i="7"/>
  <c r="DO117" i="7" s="1"/>
  <c r="DO160" i="7" s="1"/>
  <c r="T279" i="7" s="1"/>
  <c r="DB117" i="7"/>
  <c r="DI117" i="7"/>
  <c r="DG117" i="7"/>
  <c r="DO112" i="8"/>
  <c r="BM112" i="8"/>
  <c r="BI113" i="8"/>
  <c r="S175" i="8"/>
  <c r="S296" i="8" s="1"/>
  <c r="DN112" i="8"/>
  <c r="DI112" i="8"/>
  <c r="DB112" i="8"/>
  <c r="DA113" i="8" s="1"/>
  <c r="CH114" i="8"/>
  <c r="DK111" i="8"/>
  <c r="DG112" i="8"/>
  <c r="R290" i="8"/>
  <c r="R315" i="8"/>
  <c r="BP99" i="8"/>
  <c r="BQ99" i="8" s="1"/>
  <c r="BK99" i="8"/>
  <c r="BD99" i="8"/>
  <c r="BC100" i="8" s="1"/>
  <c r="CO100" i="8"/>
  <c r="CC100" i="8"/>
  <c r="CB101" i="8" s="1"/>
  <c r="CJ100" i="8"/>
  <c r="CL100" i="8"/>
  <c r="CP100" i="8"/>
  <c r="AN113" i="8"/>
  <c r="AJ114" i="8"/>
  <c r="O111" i="8"/>
  <c r="K112" i="8"/>
  <c r="R99" i="8"/>
  <c r="S99" i="8" s="1"/>
  <c r="F99" i="8"/>
  <c r="E100" i="8" s="1"/>
  <c r="M99" i="8"/>
  <c r="AQ100" i="8"/>
  <c r="AR100" i="8" s="1"/>
  <c r="AL100" i="8"/>
  <c r="AE100" i="8"/>
  <c r="AD101" i="8" s="1"/>
  <c r="BD84" i="1"/>
  <c r="BC85" i="1" s="1"/>
  <c r="BK84" i="1"/>
  <c r="BQ84" i="1"/>
  <c r="CL155" i="7"/>
  <c r="DK155" i="7"/>
  <c r="O275" i="7" s="1"/>
  <c r="AL87" i="7"/>
  <c r="AE87" i="7"/>
  <c r="AQ87" i="7"/>
  <c r="AR87" i="7" s="1"/>
  <c r="F84" i="7"/>
  <c r="E85" i="7" s="1"/>
  <c r="R84" i="7"/>
  <c r="S84" i="7" s="1"/>
  <c r="M84" i="7"/>
  <c r="BQ155" i="7"/>
  <c r="O231" i="7" s="1"/>
  <c r="CP155" i="7"/>
  <c r="BI95" i="7"/>
  <c r="BM95" i="7" s="1"/>
  <c r="K94" i="7"/>
  <c r="O94" i="7" s="1"/>
  <c r="CH94" i="7"/>
  <c r="CC155" i="7"/>
  <c r="CB83" i="7"/>
  <c r="AJ93" i="7"/>
  <c r="AN93" i="7" s="1"/>
  <c r="BD155" i="7"/>
  <c r="O218" i="7" s="1"/>
  <c r="BC83" i="7"/>
  <c r="E175" i="1"/>
  <c r="E273" i="1" s="1"/>
  <c r="AR90" i="1"/>
  <c r="AS75" i="1"/>
  <c r="AU75" i="1" s="1"/>
  <c r="AM75" i="1"/>
  <c r="AP75" i="1"/>
  <c r="AK75" i="1"/>
  <c r="AM24" i="1"/>
  <c r="AK24" i="1"/>
  <c r="AS24" i="1"/>
  <c r="AU24" i="1" s="1"/>
  <c r="AP24" i="1"/>
  <c r="AP82" i="1"/>
  <c r="AK82" i="1"/>
  <c r="AS82" i="1"/>
  <c r="AU82" i="1" s="1"/>
  <c r="AM82" i="1"/>
  <c r="AK10" i="1"/>
  <c r="AS10" i="1"/>
  <c r="AU10" i="1" s="1"/>
  <c r="AM10" i="1"/>
  <c r="AP10" i="1"/>
  <c r="AM68" i="1"/>
  <c r="AK68" i="1"/>
  <c r="AS68" i="1"/>
  <c r="AU68" i="1" s="1"/>
  <c r="AP68" i="1"/>
  <c r="AK54" i="1"/>
  <c r="AS54" i="1"/>
  <c r="AU54" i="1" s="1"/>
  <c r="AM54" i="1"/>
  <c r="AP54" i="1"/>
  <c r="AK89" i="1"/>
  <c r="AS89" i="1"/>
  <c r="AU89" i="1" s="1"/>
  <c r="AP89" i="1"/>
  <c r="AM89" i="1"/>
  <c r="AS39" i="1"/>
  <c r="AU39" i="1" s="1"/>
  <c r="AP39" i="1"/>
  <c r="AM39" i="1"/>
  <c r="AK39" i="1"/>
  <c r="AP17" i="1"/>
  <c r="AM17" i="1"/>
  <c r="AK17" i="1"/>
  <c r="AS17" i="1"/>
  <c r="AU17" i="1" s="1"/>
  <c r="AK32" i="1"/>
  <c r="AS32" i="1"/>
  <c r="AU32" i="1" s="1"/>
  <c r="AP32" i="1"/>
  <c r="AM32" i="1"/>
  <c r="AM47" i="1"/>
  <c r="AK47" i="1"/>
  <c r="AS47" i="1"/>
  <c r="AU47" i="1" s="1"/>
  <c r="AP47" i="1"/>
  <c r="AQ91" i="1"/>
  <c r="AE91" i="1"/>
  <c r="AD92" i="1" s="1"/>
  <c r="AL91" i="1"/>
  <c r="AJ92" i="1"/>
  <c r="AN92" i="1" s="1"/>
  <c r="BL10" i="1"/>
  <c r="BJ10" i="1"/>
  <c r="BR10" i="1"/>
  <c r="BT10" i="1" s="1"/>
  <c r="BO10" i="1"/>
  <c r="BL82" i="1"/>
  <c r="BJ82" i="1"/>
  <c r="BR82" i="1"/>
  <c r="BT82" i="1" s="1"/>
  <c r="BO82" i="1"/>
  <c r="BO47" i="1"/>
  <c r="BL47" i="1"/>
  <c r="BJ47" i="1"/>
  <c r="BR47" i="1"/>
  <c r="BT47" i="1" s="1"/>
  <c r="BJ75" i="1"/>
  <c r="BR75" i="1"/>
  <c r="BT75" i="1" s="1"/>
  <c r="BO75" i="1"/>
  <c r="BL75" i="1"/>
  <c r="BO68" i="1"/>
  <c r="BL68" i="1"/>
  <c r="BJ68" i="1"/>
  <c r="BR68" i="1"/>
  <c r="BT68" i="1" s="1"/>
  <c r="BJ39" i="1"/>
  <c r="BR39" i="1"/>
  <c r="BT39" i="1" s="1"/>
  <c r="BO39" i="1"/>
  <c r="BL39" i="1"/>
  <c r="BJ54" i="1"/>
  <c r="BR54" i="1"/>
  <c r="BT54" i="1" s="1"/>
  <c r="BO54" i="1"/>
  <c r="BL54" i="1"/>
  <c r="BO24" i="1"/>
  <c r="BL24" i="1"/>
  <c r="BJ24" i="1"/>
  <c r="BR24" i="1"/>
  <c r="BT24" i="1" s="1"/>
  <c r="BP85" i="1"/>
  <c r="BK85" i="1"/>
  <c r="BO17" i="1"/>
  <c r="BL17" i="1"/>
  <c r="BJ17" i="1"/>
  <c r="BR17" i="1"/>
  <c r="BT17" i="1" s="1"/>
  <c r="BO32" i="1"/>
  <c r="BL32" i="1"/>
  <c r="BJ32" i="1"/>
  <c r="BR32" i="1"/>
  <c r="BT32" i="1" s="1"/>
  <c r="BR89" i="1"/>
  <c r="BT89" i="1" s="1"/>
  <c r="BO89" i="1"/>
  <c r="BL89" i="1"/>
  <c r="BJ89" i="1"/>
  <c r="BD85" i="1"/>
  <c r="BC86" i="1" s="1"/>
  <c r="BI86" i="1"/>
  <c r="BM86" i="1" s="1"/>
  <c r="G227" i="1"/>
  <c r="G231" i="1"/>
  <c r="W54" i="1"/>
  <c r="N54" i="1"/>
  <c r="L54" i="1"/>
  <c r="W89" i="1"/>
  <c r="N89" i="1"/>
  <c r="L89" i="1"/>
  <c r="N47" i="1"/>
  <c r="W47" i="1"/>
  <c r="Y47" i="1" s="1"/>
  <c r="L47" i="1"/>
  <c r="N32" i="1"/>
  <c r="W32" i="1"/>
  <c r="Y32" i="1" s="1"/>
  <c r="L32" i="1"/>
  <c r="N39" i="1"/>
  <c r="W39" i="1"/>
  <c r="Y39" i="1" s="1"/>
  <c r="L39" i="1"/>
  <c r="W10" i="1"/>
  <c r="Y10" i="1" s="1"/>
  <c r="N10" i="1"/>
  <c r="L10" i="1"/>
  <c r="N24" i="1"/>
  <c r="W24" i="1"/>
  <c r="Y24" i="1" s="1"/>
  <c r="L24" i="1"/>
  <c r="W17" i="1"/>
  <c r="Y17" i="1" s="1"/>
  <c r="L17" i="1"/>
  <c r="N17" i="1"/>
  <c r="N75" i="1"/>
  <c r="W75" i="1"/>
  <c r="L75" i="1"/>
  <c r="W68" i="1"/>
  <c r="N68" i="1"/>
  <c r="L68" i="1"/>
  <c r="W82" i="1"/>
  <c r="N82" i="1"/>
  <c r="L82" i="1"/>
  <c r="CK89" i="1"/>
  <c r="CI89" i="1"/>
  <c r="CI82" i="1"/>
  <c r="CK82" i="1"/>
  <c r="CK75" i="1"/>
  <c r="CI75" i="1"/>
  <c r="CK68" i="1"/>
  <c r="CI68" i="1"/>
  <c r="CK54" i="1"/>
  <c r="CI54" i="1"/>
  <c r="CK47" i="1"/>
  <c r="CI47" i="1"/>
  <c r="CI39" i="1"/>
  <c r="CK39" i="1"/>
  <c r="CK32" i="1"/>
  <c r="CI32" i="1"/>
  <c r="CI24" i="1"/>
  <c r="CK24" i="1"/>
  <c r="CK17" i="1"/>
  <c r="CI17" i="1"/>
  <c r="CI10" i="1"/>
  <c r="CK10" i="1"/>
  <c r="CQ54" i="1"/>
  <c r="T54" i="1"/>
  <c r="CN54" i="1"/>
  <c r="Q54" i="1"/>
  <c r="L181" i="1" s="1"/>
  <c r="CQ10" i="1"/>
  <c r="CS10" i="1" s="1"/>
  <c r="CN10" i="1"/>
  <c r="T10" i="1"/>
  <c r="V10" i="1" s="1"/>
  <c r="Q10" i="1"/>
  <c r="CQ32" i="1"/>
  <c r="CS32" i="1" s="1"/>
  <c r="CN32" i="1"/>
  <c r="Q32" i="1"/>
  <c r="T32" i="1"/>
  <c r="V32" i="1" s="1"/>
  <c r="CQ68" i="1"/>
  <c r="CN68" i="1"/>
  <c r="Q68" i="1"/>
  <c r="N181" i="1" s="1"/>
  <c r="T68" i="1"/>
  <c r="CQ17" i="1"/>
  <c r="CS17" i="1" s="1"/>
  <c r="CN17" i="1"/>
  <c r="Q17" i="1"/>
  <c r="T17" i="1"/>
  <c r="V17" i="1" s="1"/>
  <c r="CQ75" i="1"/>
  <c r="T75" i="1"/>
  <c r="CN75" i="1"/>
  <c r="Q75" i="1"/>
  <c r="O181" i="1" s="1"/>
  <c r="CQ89" i="1"/>
  <c r="CN89" i="1"/>
  <c r="Q89" i="1"/>
  <c r="T89" i="1"/>
  <c r="T82" i="1"/>
  <c r="CQ82" i="1"/>
  <c r="CN82" i="1"/>
  <c r="Q82" i="1"/>
  <c r="P181" i="1" s="1"/>
  <c r="CQ39" i="1"/>
  <c r="CS39" i="1" s="1"/>
  <c r="T39" i="1"/>
  <c r="V39" i="1" s="1"/>
  <c r="CN39" i="1"/>
  <c r="Q39" i="1"/>
  <c r="CQ47" i="1"/>
  <c r="T47" i="1"/>
  <c r="V47" i="1" s="1"/>
  <c r="K186" i="1" s="1"/>
  <c r="CN47" i="1"/>
  <c r="Q47" i="1"/>
  <c r="K181" i="1" s="1"/>
  <c r="CQ24" i="1"/>
  <c r="CS24" i="1" s="1"/>
  <c r="CN24" i="1"/>
  <c r="Q24" i="1"/>
  <c r="T24" i="1"/>
  <c r="V24" i="1" s="1"/>
  <c r="K178" i="1"/>
  <c r="S8" i="1"/>
  <c r="CO16" i="1"/>
  <c r="CL16" i="1"/>
  <c r="CJ16" i="1"/>
  <c r="F9" i="1"/>
  <c r="DT46" i="4"/>
  <c r="N47" i="4"/>
  <c r="P47" i="4"/>
  <c r="BN47" i="4"/>
  <c r="BP47" i="4"/>
  <c r="DN47" i="4"/>
  <c r="DP47" i="4"/>
  <c r="CN46" i="4"/>
  <c r="CP46" i="4"/>
  <c r="CG46" i="4"/>
  <c r="CF47" i="4" s="1"/>
  <c r="CS46" i="4"/>
  <c r="CT46" i="4" s="1"/>
  <c r="T46" i="4"/>
  <c r="DG47" i="4"/>
  <c r="DF48" i="4" s="1"/>
  <c r="DS47" i="4"/>
  <c r="BG47" i="4"/>
  <c r="BF48" i="4" s="1"/>
  <c r="BS47" i="4"/>
  <c r="BT47" i="4" s="1"/>
  <c r="G47" i="4"/>
  <c r="F48" i="4" s="1"/>
  <c r="S47" i="4"/>
  <c r="AF32" i="4"/>
  <c r="AT31" i="4"/>
  <c r="DL53" i="4"/>
  <c r="L53" i="4"/>
  <c r="CL52" i="4"/>
  <c r="AL54" i="4"/>
  <c r="BL52" i="4"/>
  <c r="K294" i="1"/>
  <c r="K293" i="1"/>
  <c r="L226" i="1"/>
  <c r="L224" i="1"/>
  <c r="L229" i="1"/>
  <c r="L178" i="1"/>
  <c r="O226" i="1"/>
  <c r="O224" i="1"/>
  <c r="O229" i="1"/>
  <c r="O178" i="1"/>
  <c r="P229" i="1"/>
  <c r="P226" i="1"/>
  <c r="P224" i="1"/>
  <c r="P178" i="1"/>
  <c r="Q229" i="1"/>
  <c r="Q178" i="1"/>
  <c r="Q226" i="1"/>
  <c r="Q224" i="1"/>
  <c r="N178" i="1"/>
  <c r="N229" i="1"/>
  <c r="N226" i="1"/>
  <c r="N224" i="1"/>
  <c r="CH24" i="1"/>
  <c r="Y9" i="1"/>
  <c r="C11" i="1"/>
  <c r="C25" i="1"/>
  <c r="Q181" i="1"/>
  <c r="C56" i="1"/>
  <c r="C33" i="1"/>
  <c r="C18" i="1"/>
  <c r="C40" i="1"/>
  <c r="O290" i="7" l="1"/>
  <c r="O266" i="7"/>
  <c r="O242" i="7"/>
  <c r="O255" i="7"/>
  <c r="O251" i="7"/>
  <c r="DG160" i="7"/>
  <c r="T271" i="7" s="1"/>
  <c r="DK117" i="7"/>
  <c r="DK160" i="7" s="1"/>
  <c r="T275" i="7" s="1"/>
  <c r="FE160" i="7"/>
  <c r="T318" i="7" s="1"/>
  <c r="FI117" i="7"/>
  <c r="FI160" i="7" s="1"/>
  <c r="T322" i="7" s="1"/>
  <c r="DZ118" i="7"/>
  <c r="DZ161" i="7" s="1"/>
  <c r="EA160" i="7"/>
  <c r="DA118" i="7"/>
  <c r="DA161" i="7" s="1"/>
  <c r="DB160" i="7"/>
  <c r="EY118" i="7"/>
  <c r="EY161" i="7" s="1"/>
  <c r="EZ160" i="7"/>
  <c r="T313" i="7" s="1"/>
  <c r="HC160" i="7"/>
  <c r="T364" i="7" s="1"/>
  <c r="HG117" i="7"/>
  <c r="HG160" i="7" s="1"/>
  <c r="T368" i="7" s="1"/>
  <c r="HC118" i="7"/>
  <c r="HG118" i="7" s="1"/>
  <c r="HJ117" i="7"/>
  <c r="HK117" i="7" s="1"/>
  <c r="HK160" i="7" s="1"/>
  <c r="T372" i="7" s="1"/>
  <c r="HE117" i="7"/>
  <c r="GX117" i="7"/>
  <c r="GD117" i="7"/>
  <c r="GK117" i="7"/>
  <c r="GL117" i="7" s="1"/>
  <c r="GL160" i="7" s="1"/>
  <c r="T349" i="7" s="1"/>
  <c r="GF117" i="7"/>
  <c r="FY117" i="7"/>
  <c r="FL118" i="7"/>
  <c r="FM118" i="7" s="1"/>
  <c r="FE118" i="7"/>
  <c r="FI118" i="7" s="1"/>
  <c r="EF119" i="7"/>
  <c r="EJ119" i="7" s="1"/>
  <c r="DG118" i="7"/>
  <c r="DK118" i="7" s="1"/>
  <c r="AQ101" i="8"/>
  <c r="AR101" i="8" s="1"/>
  <c r="AL101" i="8"/>
  <c r="AE101" i="8"/>
  <c r="AD102" i="8" s="1"/>
  <c r="R100" i="8"/>
  <c r="S100" i="8" s="1"/>
  <c r="F100" i="8"/>
  <c r="E101" i="8" s="1"/>
  <c r="M100" i="8"/>
  <c r="AN114" i="8"/>
  <c r="AJ115" i="8"/>
  <c r="DG113" i="8"/>
  <c r="DK112" i="8"/>
  <c r="CH115" i="8"/>
  <c r="CJ101" i="8"/>
  <c r="CO101" i="8"/>
  <c r="CC101" i="8"/>
  <c r="CB102" i="8" s="1"/>
  <c r="CL101" i="8"/>
  <c r="K113" i="8"/>
  <c r="O112" i="8"/>
  <c r="CP101" i="8"/>
  <c r="DN113" i="8"/>
  <c r="DB113" i="8"/>
  <c r="DA114" i="8" s="1"/>
  <c r="DI113" i="8"/>
  <c r="S332" i="8"/>
  <c r="BD100" i="8"/>
  <c r="BC101" i="8" s="1"/>
  <c r="BP100" i="8"/>
  <c r="BQ100" i="8" s="1"/>
  <c r="BK100" i="8"/>
  <c r="R298" i="8"/>
  <c r="R326" i="8" s="1"/>
  <c r="R305" i="8"/>
  <c r="R329" i="8" s="1"/>
  <c r="R300" i="8"/>
  <c r="R327" i="8" s="1"/>
  <c r="BM113" i="8"/>
  <c r="BI114" i="8"/>
  <c r="DO113" i="8"/>
  <c r="BQ85" i="1"/>
  <c r="E308" i="1"/>
  <c r="C29" i="5" s="1"/>
  <c r="O423" i="7"/>
  <c r="AQ88" i="7"/>
  <c r="AR88" i="7" s="1"/>
  <c r="AE88" i="7"/>
  <c r="AD89" i="7" s="1"/>
  <c r="AL88" i="7"/>
  <c r="F85" i="7"/>
  <c r="E86" i="7" s="1"/>
  <c r="M85" i="7"/>
  <c r="R85" i="7"/>
  <c r="CH95" i="7"/>
  <c r="BI96" i="7"/>
  <c r="BM96" i="7" s="1"/>
  <c r="K95" i="7"/>
  <c r="O95" i="7" s="1"/>
  <c r="AJ94" i="7"/>
  <c r="AN94" i="7" s="1"/>
  <c r="BP156" i="7"/>
  <c r="BP83" i="7"/>
  <c r="BK83" i="7"/>
  <c r="BD83" i="7"/>
  <c r="BC84" i="7" s="1"/>
  <c r="CO83" i="7"/>
  <c r="CC83" i="7"/>
  <c r="CB84" i="7" s="1"/>
  <c r="CJ83" i="7"/>
  <c r="CL83" i="7"/>
  <c r="AR91" i="1"/>
  <c r="AP56" i="1"/>
  <c r="AM56" i="1"/>
  <c r="AS56" i="1"/>
  <c r="AU56" i="1" s="1"/>
  <c r="AK56" i="1"/>
  <c r="AP40" i="1"/>
  <c r="AM40" i="1"/>
  <c r="AK40" i="1"/>
  <c r="AS40" i="1"/>
  <c r="AU40" i="1" s="1"/>
  <c r="AS33" i="1"/>
  <c r="AU33" i="1" s="1"/>
  <c r="AP33" i="1"/>
  <c r="AM33" i="1"/>
  <c r="AK33" i="1"/>
  <c r="AS11" i="1"/>
  <c r="AU11" i="1" s="1"/>
  <c r="AP11" i="1"/>
  <c r="AK11" i="1"/>
  <c r="AM11" i="1"/>
  <c r="AP18" i="1"/>
  <c r="AM18" i="1"/>
  <c r="AK18" i="1"/>
  <c r="AS18" i="1"/>
  <c r="AU18" i="1" s="1"/>
  <c r="AK25" i="1"/>
  <c r="AS25" i="1"/>
  <c r="AU25" i="1" s="1"/>
  <c r="AP25" i="1"/>
  <c r="AM25" i="1"/>
  <c r="AQ92" i="1"/>
  <c r="AL92" i="1"/>
  <c r="AE92" i="1"/>
  <c r="AD93" i="1" s="1"/>
  <c r="AJ93" i="1"/>
  <c r="AN93" i="1" s="1"/>
  <c r="BJ11" i="1"/>
  <c r="BR11" i="1"/>
  <c r="BT11" i="1" s="1"/>
  <c r="BO11" i="1"/>
  <c r="BL11" i="1"/>
  <c r="BR56" i="1"/>
  <c r="BT56" i="1" s="1"/>
  <c r="BO56" i="1"/>
  <c r="BL56" i="1"/>
  <c r="BJ56" i="1"/>
  <c r="BL33" i="1"/>
  <c r="BJ33" i="1"/>
  <c r="BR33" i="1"/>
  <c r="BT33" i="1" s="1"/>
  <c r="BO33" i="1"/>
  <c r="BP86" i="1"/>
  <c r="BQ86" i="1" s="1"/>
  <c r="BK86" i="1"/>
  <c r="M10" i="1"/>
  <c r="R10" i="1"/>
  <c r="BL18" i="1"/>
  <c r="BJ18" i="1"/>
  <c r="BR18" i="1"/>
  <c r="BT18" i="1" s="1"/>
  <c r="BO18" i="1"/>
  <c r="BR40" i="1"/>
  <c r="BT40" i="1" s="1"/>
  <c r="BO40" i="1"/>
  <c r="BL40" i="1"/>
  <c r="BJ40" i="1"/>
  <c r="BL25" i="1"/>
  <c r="BJ25" i="1"/>
  <c r="BR25" i="1"/>
  <c r="BT25" i="1" s="1"/>
  <c r="BO25" i="1"/>
  <c r="BI87" i="1"/>
  <c r="BM87" i="1" s="1"/>
  <c r="BD86" i="1"/>
  <c r="BC87" i="1" s="1"/>
  <c r="W33" i="1"/>
  <c r="L33" i="1"/>
  <c r="N33" i="1"/>
  <c r="W25" i="1"/>
  <c r="Y25" i="1" s="1"/>
  <c r="L25" i="1"/>
  <c r="N25" i="1"/>
  <c r="W56" i="1"/>
  <c r="Y56" i="1" s="1"/>
  <c r="L56" i="1"/>
  <c r="N56" i="1"/>
  <c r="W18" i="1"/>
  <c r="Y18" i="1" s="1"/>
  <c r="N18" i="1"/>
  <c r="L18" i="1"/>
  <c r="W40" i="1"/>
  <c r="L40" i="1"/>
  <c r="N40" i="1"/>
  <c r="N11" i="1"/>
  <c r="W11" i="1"/>
  <c r="L11" i="1"/>
  <c r="CK56" i="1"/>
  <c r="CI56" i="1"/>
  <c r="CI40" i="1"/>
  <c r="CK40" i="1"/>
  <c r="CK33" i="1"/>
  <c r="CI33" i="1"/>
  <c r="CK25" i="1"/>
  <c r="CI25" i="1"/>
  <c r="CI18" i="1"/>
  <c r="CK18" i="1"/>
  <c r="CI11" i="1"/>
  <c r="CK11" i="1"/>
  <c r="CS47" i="1"/>
  <c r="CQ11" i="1"/>
  <c r="Q11" i="1"/>
  <c r="CN11" i="1"/>
  <c r="T11" i="1"/>
  <c r="CQ40" i="1"/>
  <c r="CN40" i="1"/>
  <c r="Q40" i="1"/>
  <c r="J181" i="1" s="1"/>
  <c r="T40" i="1"/>
  <c r="CQ25" i="1"/>
  <c r="CS25" i="1" s="1"/>
  <c r="CN25" i="1"/>
  <c r="Q25" i="1"/>
  <c r="T25" i="1"/>
  <c r="V25" i="1" s="1"/>
  <c r="T18" i="1"/>
  <c r="V18" i="1" s="1"/>
  <c r="CQ18" i="1"/>
  <c r="CS18" i="1" s="1"/>
  <c r="CN18" i="1"/>
  <c r="Q18" i="1"/>
  <c r="CQ56" i="1"/>
  <c r="CS56" i="1" s="1"/>
  <c r="CN56" i="1"/>
  <c r="Q56" i="1"/>
  <c r="T56" i="1"/>
  <c r="V56" i="1" s="1"/>
  <c r="CQ33" i="1"/>
  <c r="CN33" i="1"/>
  <c r="Q33" i="1"/>
  <c r="T33" i="1"/>
  <c r="K189" i="1"/>
  <c r="K232" i="1"/>
  <c r="BT151" i="1"/>
  <c r="K234" i="1" s="1"/>
  <c r="DT47" i="4"/>
  <c r="CB17" i="1"/>
  <c r="CC17" i="1" s="1"/>
  <c r="CP16" i="1"/>
  <c r="CN47" i="4"/>
  <c r="CP47" i="4"/>
  <c r="CS47" i="4"/>
  <c r="CT47" i="4" s="1"/>
  <c r="CG47" i="4"/>
  <c r="CF48" i="4" s="1"/>
  <c r="AS32" i="4"/>
  <c r="AN32" i="4"/>
  <c r="AP32" i="4"/>
  <c r="N48" i="4"/>
  <c r="P48" i="4"/>
  <c r="BN48" i="4"/>
  <c r="BP48" i="4"/>
  <c r="DN48" i="4"/>
  <c r="DP48" i="4"/>
  <c r="T47" i="4"/>
  <c r="DG48" i="4"/>
  <c r="DS48" i="4"/>
  <c r="DT48" i="4" s="1"/>
  <c r="BG48" i="4"/>
  <c r="BF49" i="4" s="1"/>
  <c r="BF186" i="4" s="1"/>
  <c r="K252" i="4" s="1"/>
  <c r="BS48" i="4"/>
  <c r="BT48" i="4" s="1"/>
  <c r="G48" i="4"/>
  <c r="F49" i="4" s="1"/>
  <c r="F186" i="4" s="1"/>
  <c r="K204" i="4" s="1"/>
  <c r="S48" i="4"/>
  <c r="AG32" i="4"/>
  <c r="L54" i="4"/>
  <c r="BL53" i="4"/>
  <c r="CL53" i="4"/>
  <c r="AL55" i="4"/>
  <c r="DL54" i="4"/>
  <c r="DF49" i="4"/>
  <c r="DF186" i="4" s="1"/>
  <c r="K300" i="4" s="1"/>
  <c r="K187" i="1"/>
  <c r="K297" i="1" s="1"/>
  <c r="K188" i="1"/>
  <c r="K185" i="1"/>
  <c r="O293" i="1"/>
  <c r="L293" i="1"/>
  <c r="L294" i="1"/>
  <c r="N293" i="1"/>
  <c r="Q294" i="1"/>
  <c r="P293" i="1"/>
  <c r="N294" i="1"/>
  <c r="Q293" i="1"/>
  <c r="P294" i="1"/>
  <c r="O294" i="1"/>
  <c r="V82" i="1"/>
  <c r="P186" i="1" s="1"/>
  <c r="CS11" i="1"/>
  <c r="J224" i="1"/>
  <c r="J178" i="1"/>
  <c r="J229" i="1"/>
  <c r="J226" i="1"/>
  <c r="Y54" i="1"/>
  <c r="Y82" i="1"/>
  <c r="Y68" i="1"/>
  <c r="I224" i="1"/>
  <c r="I178" i="1"/>
  <c r="I229" i="1"/>
  <c r="I226" i="1"/>
  <c r="V75" i="1"/>
  <c r="O186" i="1" s="1"/>
  <c r="CS82" i="1"/>
  <c r="CS75" i="1"/>
  <c r="CS54" i="1"/>
  <c r="V68" i="1"/>
  <c r="N186" i="1" s="1"/>
  <c r="CS68" i="1"/>
  <c r="Y89" i="1"/>
  <c r="V54" i="1"/>
  <c r="L186" i="1" s="1"/>
  <c r="V89" i="1"/>
  <c r="Q186" i="1" s="1"/>
  <c r="Y75" i="1"/>
  <c r="CS89" i="1"/>
  <c r="CH25" i="1"/>
  <c r="C19" i="1"/>
  <c r="C26" i="1"/>
  <c r="C57" i="1"/>
  <c r="C12" i="1"/>
  <c r="F10" i="1"/>
  <c r="O419" i="7" l="1"/>
  <c r="O385" i="7"/>
  <c r="T266" i="7"/>
  <c r="T290" i="7"/>
  <c r="DN161" i="7"/>
  <c r="U278" i="7" s="1"/>
  <c r="U265" i="7"/>
  <c r="EM161" i="7"/>
  <c r="U289" i="7"/>
  <c r="P192" i="7"/>
  <c r="AN156" i="7"/>
  <c r="P202" i="7" s="1"/>
  <c r="FL161" i="7"/>
  <c r="U325" i="7" s="1"/>
  <c r="U312" i="7"/>
  <c r="EH118" i="7"/>
  <c r="EA118" i="7"/>
  <c r="DZ119" i="7" s="1"/>
  <c r="EM119" i="7" s="1"/>
  <c r="FG118" i="7"/>
  <c r="EM118" i="7"/>
  <c r="EN118" i="7" s="1"/>
  <c r="EZ118" i="7"/>
  <c r="EY119" i="7" s="1"/>
  <c r="FL119" i="7" s="1"/>
  <c r="FM119" i="7" s="1"/>
  <c r="DI118" i="7"/>
  <c r="DN118" i="7"/>
  <c r="DO118" i="7" s="1"/>
  <c r="DB118" i="7"/>
  <c r="DA119" i="7" s="1"/>
  <c r="DI119" i="7" s="1"/>
  <c r="GD160" i="7"/>
  <c r="T341" i="7" s="1"/>
  <c r="GH117" i="7"/>
  <c r="GH160" i="7" s="1"/>
  <c r="T345" i="7" s="1"/>
  <c r="FX118" i="7"/>
  <c r="FX161" i="7" s="1"/>
  <c r="FY160" i="7"/>
  <c r="T336" i="7" s="1"/>
  <c r="GW118" i="7"/>
  <c r="GW161" i="7" s="1"/>
  <c r="GX160" i="7"/>
  <c r="T359" i="7" s="1"/>
  <c r="HC119" i="7"/>
  <c r="HG119" i="7" s="1"/>
  <c r="GD118" i="7"/>
  <c r="GH118" i="7" s="1"/>
  <c r="FE119" i="7"/>
  <c r="FI119" i="7" s="1"/>
  <c r="EF120" i="7"/>
  <c r="EJ120" i="7" s="1"/>
  <c r="DG119" i="7"/>
  <c r="DK119" i="7" s="1"/>
  <c r="BP101" i="8"/>
  <c r="BQ101" i="8" s="1"/>
  <c r="BD101" i="8"/>
  <c r="BC102" i="8" s="1"/>
  <c r="BK101" i="8"/>
  <c r="DB114" i="8"/>
  <c r="DA115" i="8" s="1"/>
  <c r="DN114" i="8"/>
  <c r="DO114" i="8" s="1"/>
  <c r="DI114" i="8"/>
  <c r="O113" i="8"/>
  <c r="K114" i="8"/>
  <c r="DK113" i="8"/>
  <c r="DG114" i="8"/>
  <c r="R101" i="8"/>
  <c r="S101" i="8" s="1"/>
  <c r="M101" i="8"/>
  <c r="F101" i="8"/>
  <c r="E102" i="8" s="1"/>
  <c r="BI115" i="8"/>
  <c r="BM114" i="8"/>
  <c r="CH116" i="8"/>
  <c r="AJ116" i="8"/>
  <c r="AN115" i="8"/>
  <c r="CO102" i="8"/>
  <c r="CP102" i="8" s="1"/>
  <c r="CC102" i="8"/>
  <c r="CB103" i="8" s="1"/>
  <c r="CJ102" i="8"/>
  <c r="CL102" i="8"/>
  <c r="AQ102" i="8"/>
  <c r="AR102" i="8" s="1"/>
  <c r="AE102" i="8"/>
  <c r="AD103" i="8" s="1"/>
  <c r="AL102" i="8"/>
  <c r="K288" i="1"/>
  <c r="P217" i="7"/>
  <c r="AQ89" i="7"/>
  <c r="AR89" i="7" s="1"/>
  <c r="AE89" i="7"/>
  <c r="AL89" i="7"/>
  <c r="F86" i="7"/>
  <c r="E156" i="7" s="1"/>
  <c r="R156" i="7" s="1"/>
  <c r="R86" i="7"/>
  <c r="M86" i="7"/>
  <c r="S85" i="7"/>
  <c r="BQ83" i="7"/>
  <c r="K96" i="7"/>
  <c r="O96" i="7" s="1"/>
  <c r="BI157" i="7"/>
  <c r="BI97" i="7"/>
  <c r="BM97" i="7" s="1"/>
  <c r="CO84" i="7"/>
  <c r="CC84" i="7"/>
  <c r="CB85" i="7" s="1"/>
  <c r="CJ84" i="7"/>
  <c r="CL84" i="7"/>
  <c r="BP84" i="7"/>
  <c r="BK84" i="7"/>
  <c r="BD84" i="7"/>
  <c r="BC85" i="7" s="1"/>
  <c r="CP83" i="7"/>
  <c r="AJ95" i="7"/>
  <c r="AN95" i="7" s="1"/>
  <c r="CH96" i="7"/>
  <c r="AR92" i="1"/>
  <c r="AK57" i="1"/>
  <c r="AS57" i="1"/>
  <c r="AU57" i="1" s="1"/>
  <c r="AM57" i="1"/>
  <c r="AP57" i="1"/>
  <c r="AM19" i="1"/>
  <c r="AK19" i="1"/>
  <c r="AS19" i="1"/>
  <c r="AU19" i="1" s="1"/>
  <c r="AP19" i="1"/>
  <c r="AP12" i="1"/>
  <c r="AM12" i="1"/>
  <c r="AS12" i="1"/>
  <c r="AU12" i="1" s="1"/>
  <c r="AK12" i="1"/>
  <c r="AS26" i="1"/>
  <c r="AU26" i="1" s="1"/>
  <c r="AP26" i="1"/>
  <c r="AM26" i="1"/>
  <c r="AK26" i="1"/>
  <c r="AQ93" i="1"/>
  <c r="AE93" i="1"/>
  <c r="AD94" i="1" s="1"/>
  <c r="AL93" i="1"/>
  <c r="AJ94" i="1"/>
  <c r="AN94" i="1" s="1"/>
  <c r="BO57" i="1"/>
  <c r="BL57" i="1"/>
  <c r="BJ57" i="1"/>
  <c r="BR57" i="1"/>
  <c r="BT57" i="1" s="1"/>
  <c r="BP87" i="1"/>
  <c r="BQ87" i="1" s="1"/>
  <c r="BK87" i="1"/>
  <c r="BJ19" i="1"/>
  <c r="BR19" i="1"/>
  <c r="BT19" i="1" s="1"/>
  <c r="BO19" i="1"/>
  <c r="BL19" i="1"/>
  <c r="BR12" i="1"/>
  <c r="BT12" i="1" s="1"/>
  <c r="BO12" i="1"/>
  <c r="BL12" i="1"/>
  <c r="BJ12" i="1"/>
  <c r="BJ26" i="1"/>
  <c r="BR26" i="1"/>
  <c r="BT26" i="1" s="1"/>
  <c r="BO26" i="1"/>
  <c r="BL26" i="1"/>
  <c r="M11" i="1"/>
  <c r="R11" i="1"/>
  <c r="BD87" i="1"/>
  <c r="BC88" i="1" s="1"/>
  <c r="BI88" i="1"/>
  <c r="BM88" i="1" s="1"/>
  <c r="N12" i="1"/>
  <c r="W12" i="1"/>
  <c r="L12" i="1"/>
  <c r="W26" i="1"/>
  <c r="N26" i="1"/>
  <c r="L26" i="1"/>
  <c r="N19" i="1"/>
  <c r="W19" i="1"/>
  <c r="L19" i="1"/>
  <c r="W57" i="1"/>
  <c r="L57" i="1"/>
  <c r="N57" i="1"/>
  <c r="CK57" i="1"/>
  <c r="CI57" i="1"/>
  <c r="CI26" i="1"/>
  <c r="CK26" i="1"/>
  <c r="CK19" i="1"/>
  <c r="CI19" i="1"/>
  <c r="CI12" i="1"/>
  <c r="CK12" i="1"/>
  <c r="CQ12" i="1"/>
  <c r="CN12" i="1"/>
  <c r="Q12" i="1"/>
  <c r="T12" i="1"/>
  <c r="T26" i="1"/>
  <c r="CQ26" i="1"/>
  <c r="CN26" i="1"/>
  <c r="Q26" i="1"/>
  <c r="H181" i="1" s="1"/>
  <c r="CQ19" i="1"/>
  <c r="T19" i="1"/>
  <c r="CN19" i="1"/>
  <c r="Q19" i="1"/>
  <c r="G181" i="1" s="1"/>
  <c r="CQ57" i="1"/>
  <c r="CS57" i="1" s="1"/>
  <c r="CN57" i="1"/>
  <c r="Q57" i="1"/>
  <c r="T57" i="1"/>
  <c r="V57" i="1" s="1"/>
  <c r="P189" i="1"/>
  <c r="Q189" i="1"/>
  <c r="L189" i="1"/>
  <c r="O189" i="1"/>
  <c r="O232" i="1"/>
  <c r="BT155" i="1"/>
  <c r="O234" i="1" s="1"/>
  <c r="L232" i="1"/>
  <c r="BT152" i="1"/>
  <c r="L234" i="1" s="1"/>
  <c r="P232" i="1"/>
  <c r="BT156" i="1"/>
  <c r="P234" i="1" s="1"/>
  <c r="Q232" i="1"/>
  <c r="BT157" i="1"/>
  <c r="Q234" i="1" s="1"/>
  <c r="N232" i="1"/>
  <c r="BT154" i="1"/>
  <c r="N234" i="1" s="1"/>
  <c r="K285" i="1"/>
  <c r="CO17" i="1"/>
  <c r="CL17" i="1"/>
  <c r="CJ17" i="1"/>
  <c r="T48" i="4"/>
  <c r="DN49" i="4"/>
  <c r="DP49" i="4"/>
  <c r="DP186" i="4" s="1"/>
  <c r="K310" i="4" s="1"/>
  <c r="N49" i="4"/>
  <c r="P49" i="4"/>
  <c r="P186" i="4" s="1"/>
  <c r="K214" i="4" s="1"/>
  <c r="BN49" i="4"/>
  <c r="BP49" i="4"/>
  <c r="BP186" i="4" s="1"/>
  <c r="K262" i="4" s="1"/>
  <c r="CN48" i="4"/>
  <c r="CP48" i="4"/>
  <c r="CG48" i="4"/>
  <c r="CF49" i="4" s="1"/>
  <c r="CF186" i="4" s="1"/>
  <c r="K277" i="4" s="1"/>
  <c r="CS48" i="4"/>
  <c r="CT48" i="4" s="1"/>
  <c r="DS49" i="4"/>
  <c r="BS49" i="4"/>
  <c r="S49" i="4"/>
  <c r="AT32" i="4"/>
  <c r="AF33" i="4"/>
  <c r="DG49" i="4"/>
  <c r="DG186" i="4" s="1"/>
  <c r="K301" i="4" s="1"/>
  <c r="BG49" i="4"/>
  <c r="BF50" i="4" s="1"/>
  <c r="DL55" i="4"/>
  <c r="AL56" i="4"/>
  <c r="AL187" i="4" s="1"/>
  <c r="L234" i="4" s="1"/>
  <c r="L55" i="4"/>
  <c r="G49" i="4"/>
  <c r="G186" i="4" s="1"/>
  <c r="K205" i="4" s="1"/>
  <c r="CL54" i="4"/>
  <c r="BL54" i="4"/>
  <c r="O187" i="1"/>
  <c r="O297" i="1" s="1"/>
  <c r="O188" i="1"/>
  <c r="L185" i="1"/>
  <c r="Q187" i="1"/>
  <c r="Q297" i="1" s="1"/>
  <c r="Q188" i="1"/>
  <c r="N185" i="1"/>
  <c r="N187" i="1"/>
  <c r="N297" i="1" s="1"/>
  <c r="N188" i="1"/>
  <c r="L187" i="1"/>
  <c r="L297" i="1" s="1"/>
  <c r="L188" i="1"/>
  <c r="P185" i="1"/>
  <c r="Q185" i="1"/>
  <c r="O185" i="1"/>
  <c r="P187" i="1"/>
  <c r="P188" i="1"/>
  <c r="I293" i="1"/>
  <c r="J293" i="1"/>
  <c r="P297" i="1"/>
  <c r="I294" i="1"/>
  <c r="J294" i="1"/>
  <c r="Y40" i="1"/>
  <c r="V40" i="1"/>
  <c r="J186" i="1" s="1"/>
  <c r="Y33" i="1"/>
  <c r="F229" i="1"/>
  <c r="F226" i="1"/>
  <c r="F224" i="1"/>
  <c r="H226" i="1"/>
  <c r="H224" i="1"/>
  <c r="H229" i="1"/>
  <c r="H178" i="1"/>
  <c r="G229" i="1"/>
  <c r="G226" i="1"/>
  <c r="G224" i="1"/>
  <c r="G178" i="1"/>
  <c r="V33" i="1"/>
  <c r="I186" i="1" s="1"/>
  <c r="CS33" i="1"/>
  <c r="CS40" i="1"/>
  <c r="CH26" i="1"/>
  <c r="CH147" i="1" s="1"/>
  <c r="V11" i="1"/>
  <c r="Y11" i="1"/>
  <c r="C58" i="1"/>
  <c r="Y57" i="1"/>
  <c r="EA119" i="7" l="1"/>
  <c r="DZ120" i="7" s="1"/>
  <c r="EH119" i="7"/>
  <c r="DB119" i="7"/>
  <c r="DA120" i="7" s="1"/>
  <c r="DN120" i="7" s="1"/>
  <c r="EN119" i="7"/>
  <c r="U371" i="7"/>
  <c r="U302" i="7"/>
  <c r="EZ119" i="7"/>
  <c r="EY120" i="7" s="1"/>
  <c r="FL120" i="7" s="1"/>
  <c r="FM120" i="7" s="1"/>
  <c r="FG119" i="7"/>
  <c r="HJ161" i="7"/>
  <c r="U358" i="7"/>
  <c r="GF118" i="7"/>
  <c r="FY118" i="7"/>
  <c r="FX119" i="7" s="1"/>
  <c r="GK119" i="7" s="1"/>
  <c r="O156" i="7"/>
  <c r="P179" i="7" s="1"/>
  <c r="M156" i="7"/>
  <c r="P169" i="7"/>
  <c r="GK161" i="7"/>
  <c r="U348" i="7" s="1"/>
  <c r="U335" i="7"/>
  <c r="DN119" i="7"/>
  <c r="DO119" i="7" s="1"/>
  <c r="HE118" i="7"/>
  <c r="HJ118" i="7"/>
  <c r="HK118" i="7" s="1"/>
  <c r="CP84" i="7"/>
  <c r="GK118" i="7"/>
  <c r="GL118" i="7" s="1"/>
  <c r="GX118" i="7"/>
  <c r="GW119" i="7" s="1"/>
  <c r="HJ119" i="7" s="1"/>
  <c r="HC120" i="7"/>
  <c r="HG120" i="7" s="1"/>
  <c r="GD119" i="7"/>
  <c r="GH119" i="7" s="1"/>
  <c r="FE120" i="7"/>
  <c r="FI120" i="7" s="1"/>
  <c r="EF121" i="7"/>
  <c r="EJ121" i="7" s="1"/>
  <c r="EM120" i="7"/>
  <c r="EA120" i="7"/>
  <c r="DZ121" i="7" s="1"/>
  <c r="EH120" i="7"/>
  <c r="DG120" i="7"/>
  <c r="DK120" i="7" s="1"/>
  <c r="O114" i="8"/>
  <c r="K115" i="8"/>
  <c r="DN115" i="8"/>
  <c r="DO115" i="8" s="1"/>
  <c r="DB115" i="8"/>
  <c r="DA116" i="8" s="1"/>
  <c r="DI115" i="8"/>
  <c r="AL103" i="8"/>
  <c r="AQ103" i="8"/>
  <c r="AR103" i="8" s="1"/>
  <c r="AE103" i="8"/>
  <c r="CJ103" i="8"/>
  <c r="CO103" i="8"/>
  <c r="CP103" i="8" s="1"/>
  <c r="CC103" i="8"/>
  <c r="CL103" i="8"/>
  <c r="AN116" i="8"/>
  <c r="AJ117" i="8"/>
  <c r="BM115" i="8"/>
  <c r="BI116" i="8"/>
  <c r="DK114" i="8"/>
  <c r="DG115" i="8"/>
  <c r="BK102" i="8"/>
  <c r="BP102" i="8"/>
  <c r="BQ102" i="8" s="1"/>
  <c r="BD102" i="8"/>
  <c r="BC103" i="8" s="1"/>
  <c r="CH117" i="8"/>
  <c r="M102" i="8"/>
  <c r="R102" i="8"/>
  <c r="S102" i="8" s="1"/>
  <c r="F102" i="8"/>
  <c r="E103" i="8" s="1"/>
  <c r="G247" i="1"/>
  <c r="AR93" i="1"/>
  <c r="Q223" i="7"/>
  <c r="AD90" i="7"/>
  <c r="AE156" i="7"/>
  <c r="P193" i="7" s="1"/>
  <c r="AR156" i="7"/>
  <c r="P206" i="7" s="1"/>
  <c r="BQ84" i="7"/>
  <c r="S86" i="7"/>
  <c r="F87" i="7"/>
  <c r="E88" i="7" s="1"/>
  <c r="M87" i="7"/>
  <c r="R87" i="7"/>
  <c r="CH157" i="7"/>
  <c r="CH97" i="7"/>
  <c r="CO85" i="7"/>
  <c r="CC85" i="7"/>
  <c r="CB86" i="7" s="1"/>
  <c r="CL96" i="7" s="1"/>
  <c r="CJ85" i="7"/>
  <c r="CL85" i="7"/>
  <c r="K157" i="7"/>
  <c r="K97" i="7"/>
  <c r="O97" i="7" s="1"/>
  <c r="AJ96" i="7"/>
  <c r="AN96" i="7" s="1"/>
  <c r="BP85" i="7"/>
  <c r="BD85" i="7"/>
  <c r="BC86" i="7" s="1"/>
  <c r="BP86" i="7" s="1"/>
  <c r="BK85" i="7"/>
  <c r="BI98" i="7"/>
  <c r="BM98" i="7" s="1"/>
  <c r="AP58" i="1"/>
  <c r="AM58" i="1"/>
  <c r="AK58" i="1"/>
  <c r="AS58" i="1"/>
  <c r="AU58" i="1" s="1"/>
  <c r="AQ94" i="1"/>
  <c r="AE94" i="1"/>
  <c r="AD95" i="1" s="1"/>
  <c r="AL94" i="1"/>
  <c r="AJ95" i="1"/>
  <c r="AN95" i="1" s="1"/>
  <c r="BP88" i="1"/>
  <c r="BQ88" i="1" s="1"/>
  <c r="BK88" i="1"/>
  <c r="BJ58" i="1"/>
  <c r="BR58" i="1"/>
  <c r="BT58" i="1" s="1"/>
  <c r="BO58" i="1"/>
  <c r="BL58" i="1"/>
  <c r="BD88" i="1"/>
  <c r="BC89" i="1" s="1"/>
  <c r="BI89" i="1"/>
  <c r="W58" i="1"/>
  <c r="Y58" i="1" s="1"/>
  <c r="N58" i="1"/>
  <c r="L58" i="1"/>
  <c r="CK58" i="1"/>
  <c r="CI58" i="1"/>
  <c r="T58" i="1"/>
  <c r="V58" i="1" s="1"/>
  <c r="CQ58" i="1"/>
  <c r="CS58" i="1" s="1"/>
  <c r="CN58" i="1"/>
  <c r="Q58" i="1"/>
  <c r="J189" i="1"/>
  <c r="F187" i="1"/>
  <c r="I189" i="1"/>
  <c r="J232" i="1"/>
  <c r="BT150" i="1"/>
  <c r="J234" i="1" s="1"/>
  <c r="I232" i="1"/>
  <c r="BT149" i="1"/>
  <c r="I234" i="1" s="1"/>
  <c r="K306" i="1"/>
  <c r="P288" i="1"/>
  <c r="P306" i="1"/>
  <c r="L285" i="1"/>
  <c r="K307" i="1"/>
  <c r="O285" i="1"/>
  <c r="Q288" i="1"/>
  <c r="Q285" i="1"/>
  <c r="N288" i="1"/>
  <c r="L307" i="1"/>
  <c r="N285" i="1"/>
  <c r="O288" i="1"/>
  <c r="F178" i="1"/>
  <c r="F181" i="1"/>
  <c r="CP17" i="1"/>
  <c r="CB18" i="1"/>
  <c r="CC18" i="1" s="1"/>
  <c r="BG186" i="4"/>
  <c r="K253" i="4" s="1"/>
  <c r="AS33" i="4"/>
  <c r="AN33" i="4"/>
  <c r="AP33" i="4"/>
  <c r="CN49" i="4"/>
  <c r="CP49" i="4"/>
  <c r="CP186" i="4" s="1"/>
  <c r="K287" i="4" s="1"/>
  <c r="CS49" i="4"/>
  <c r="CT49" i="4" s="1"/>
  <c r="CT186" i="4" s="1"/>
  <c r="K291" i="4" s="1"/>
  <c r="CG49" i="4"/>
  <c r="CG186" i="4" s="1"/>
  <c r="K278" i="4" s="1"/>
  <c r="AG33" i="4"/>
  <c r="BT49" i="4"/>
  <c r="BT186" i="4" s="1"/>
  <c r="K266" i="4" s="1"/>
  <c r="DF50" i="4"/>
  <c r="DT49" i="4"/>
  <c r="DT186" i="4" s="1"/>
  <c r="K314" i="4" s="1"/>
  <c r="CL55" i="4"/>
  <c r="L56" i="4"/>
  <c r="L187" i="4" s="1"/>
  <c r="L210" i="4" s="1"/>
  <c r="DL56" i="4"/>
  <c r="DL187" i="4" s="1"/>
  <c r="L306" i="4" s="1"/>
  <c r="F50" i="4"/>
  <c r="T49" i="4"/>
  <c r="T186" i="4" s="1"/>
  <c r="K218" i="4" s="1"/>
  <c r="BL55" i="4"/>
  <c r="AL57" i="4"/>
  <c r="P307" i="1"/>
  <c r="I187" i="1"/>
  <c r="I297" i="1" s="1"/>
  <c r="I188" i="1"/>
  <c r="J185" i="1"/>
  <c r="J187" i="1"/>
  <c r="J297" i="1" s="1"/>
  <c r="J188" i="1"/>
  <c r="I185" i="1"/>
  <c r="H293" i="1"/>
  <c r="G293" i="1"/>
  <c r="G294" i="1"/>
  <c r="H294" i="1"/>
  <c r="Y19" i="1"/>
  <c r="F232" i="1"/>
  <c r="Y12" i="1"/>
  <c r="V26" i="1"/>
  <c r="H186" i="1" s="1"/>
  <c r="CS26" i="1"/>
  <c r="V19" i="1"/>
  <c r="G186" i="1" s="1"/>
  <c r="V12" i="1"/>
  <c r="Y26" i="1"/>
  <c r="CS19" i="1"/>
  <c r="CS12" i="1"/>
  <c r="CH27" i="1"/>
  <c r="S9" i="1"/>
  <c r="F11" i="1"/>
  <c r="C59" i="1"/>
  <c r="K15" i="1"/>
  <c r="DB120" i="7" l="1"/>
  <c r="DA121" i="7" s="1"/>
  <c r="FG120" i="7"/>
  <c r="EZ120" i="7"/>
  <c r="EY121" i="7" s="1"/>
  <c r="EZ121" i="7" s="1"/>
  <c r="EY122" i="7" s="1"/>
  <c r="EN120" i="7"/>
  <c r="DO120" i="7"/>
  <c r="DI120" i="7"/>
  <c r="GF119" i="7"/>
  <c r="FY119" i="7"/>
  <c r="FX120" i="7" s="1"/>
  <c r="FY120" i="7" s="1"/>
  <c r="FX121" i="7" s="1"/>
  <c r="GX119" i="7"/>
  <c r="GW120" i="7" s="1"/>
  <c r="GX120" i="7" s="1"/>
  <c r="GW121" i="7" s="1"/>
  <c r="CP85" i="7"/>
  <c r="CL97" i="7"/>
  <c r="GL119" i="7"/>
  <c r="HK119" i="7"/>
  <c r="HE119" i="7"/>
  <c r="CO86" i="7"/>
  <c r="CJ86" i="7"/>
  <c r="EJ86" i="7"/>
  <c r="HG86" i="7"/>
  <c r="FI86" i="7"/>
  <c r="GH86" i="7"/>
  <c r="FI87" i="7"/>
  <c r="HG87" i="7"/>
  <c r="GH87" i="7"/>
  <c r="HG88" i="7"/>
  <c r="HG89" i="7"/>
  <c r="GH88" i="7"/>
  <c r="GH89" i="7"/>
  <c r="CL86" i="7"/>
  <c r="CL87" i="7"/>
  <c r="CL88" i="7"/>
  <c r="CL89" i="7"/>
  <c r="CL156" i="7" s="1"/>
  <c r="P251" i="7" s="1"/>
  <c r="CL90" i="7"/>
  <c r="CL91" i="7"/>
  <c r="CL92" i="7"/>
  <c r="CL93" i="7"/>
  <c r="CL94" i="7"/>
  <c r="CL95" i="7"/>
  <c r="HC121" i="7"/>
  <c r="HG121" i="7" s="1"/>
  <c r="GD120" i="7"/>
  <c r="GH120" i="7" s="1"/>
  <c r="FE121" i="7"/>
  <c r="FI121" i="7" s="1"/>
  <c r="EF122" i="7"/>
  <c r="EJ122" i="7" s="1"/>
  <c r="EM121" i="7"/>
  <c r="EA121" i="7"/>
  <c r="DZ122" i="7" s="1"/>
  <c r="EH121" i="7"/>
  <c r="DG121" i="7"/>
  <c r="DK121" i="7" s="1"/>
  <c r="DN121" i="7"/>
  <c r="DO121" i="7" s="1"/>
  <c r="DB121" i="7"/>
  <c r="DA122" i="7" s="1"/>
  <c r="DI121" i="7"/>
  <c r="AR158" i="8"/>
  <c r="R206" i="8" s="1"/>
  <c r="CP158" i="8"/>
  <c r="R255" i="8" s="1"/>
  <c r="DO158" i="8"/>
  <c r="R278" i="8" s="1"/>
  <c r="CH160" i="8"/>
  <c r="T247" i="8" s="1"/>
  <c r="DG160" i="8"/>
  <c r="T270" i="8" s="1"/>
  <c r="CH118" i="8"/>
  <c r="DB158" i="8"/>
  <c r="R265" i="8" s="1"/>
  <c r="CC158" i="8"/>
  <c r="R242" i="8" s="1"/>
  <c r="CB104" i="8"/>
  <c r="R103" i="8"/>
  <c r="S103" i="8" s="1"/>
  <c r="F103" i="8"/>
  <c r="M103" i="8"/>
  <c r="DK115" i="8"/>
  <c r="DG116" i="8"/>
  <c r="AJ160" i="8"/>
  <c r="AJ118" i="8"/>
  <c r="AN117" i="8"/>
  <c r="O115" i="8"/>
  <c r="K116" i="8"/>
  <c r="BP103" i="8"/>
  <c r="BQ103" i="8" s="1"/>
  <c r="BD103" i="8"/>
  <c r="BK103" i="8"/>
  <c r="BM116" i="8"/>
  <c r="BI117" i="8"/>
  <c r="CL158" i="8"/>
  <c r="R251" i="8" s="1"/>
  <c r="DK158" i="8"/>
  <c r="R274" i="8" s="1"/>
  <c r="AE158" i="8"/>
  <c r="R193" i="8" s="1"/>
  <c r="AD104" i="8"/>
  <c r="DN116" i="8"/>
  <c r="DO116" i="8" s="1"/>
  <c r="DI116" i="8"/>
  <c r="DB116" i="8"/>
  <c r="DA117" i="8" s="1"/>
  <c r="BI156" i="1"/>
  <c r="P223" i="1" s="1"/>
  <c r="BM89" i="1"/>
  <c r="Q247" i="7"/>
  <c r="BQ85" i="7"/>
  <c r="AD157" i="7"/>
  <c r="AQ157" i="7" s="1"/>
  <c r="AQ90" i="7"/>
  <c r="AR90" i="7" s="1"/>
  <c r="AL90" i="7"/>
  <c r="AE90" i="7"/>
  <c r="AD91" i="7" s="1"/>
  <c r="S87" i="7"/>
  <c r="F88" i="7"/>
  <c r="E89" i="7" s="1"/>
  <c r="R88" i="7"/>
  <c r="M88" i="7"/>
  <c r="BK86" i="7"/>
  <c r="BD86" i="7"/>
  <c r="BC87" i="7" s="1"/>
  <c r="AJ157" i="7"/>
  <c r="AJ97" i="7"/>
  <c r="AN97" i="7" s="1"/>
  <c r="K98" i="7"/>
  <c r="O98" i="7" s="1"/>
  <c r="CH98" i="7"/>
  <c r="CL98" i="7" s="1"/>
  <c r="BI99" i="7"/>
  <c r="BM99" i="7" s="1"/>
  <c r="Q175" i="7"/>
  <c r="CC86" i="7"/>
  <c r="CB87" i="7" s="1"/>
  <c r="AR94" i="1"/>
  <c r="AM59" i="1"/>
  <c r="AK59" i="1"/>
  <c r="AS59" i="1"/>
  <c r="AU59" i="1" s="1"/>
  <c r="AP59" i="1"/>
  <c r="E169" i="1"/>
  <c r="AQ95" i="1"/>
  <c r="AE95" i="1"/>
  <c r="AD96" i="1" s="1"/>
  <c r="AL95" i="1"/>
  <c r="AJ96" i="1"/>
  <c r="BR59" i="1"/>
  <c r="BT59" i="1" s="1"/>
  <c r="BO59" i="1"/>
  <c r="BL59" i="1"/>
  <c r="BJ59" i="1"/>
  <c r="BP89" i="1"/>
  <c r="BQ89" i="1" s="1"/>
  <c r="BQ156" i="1" s="1"/>
  <c r="BK89" i="1"/>
  <c r="M12" i="1"/>
  <c r="R12" i="1"/>
  <c r="BI90" i="1"/>
  <c r="BM90" i="1" s="1"/>
  <c r="BM156" i="1"/>
  <c r="BD89" i="1"/>
  <c r="N59" i="1"/>
  <c r="W59" i="1"/>
  <c r="Y59" i="1" s="1"/>
  <c r="L59" i="1"/>
  <c r="CK59" i="1"/>
  <c r="CI59" i="1"/>
  <c r="CQ59" i="1"/>
  <c r="CS59" i="1" s="1"/>
  <c r="CN59" i="1"/>
  <c r="T59" i="1"/>
  <c r="V59" i="1" s="1"/>
  <c r="Q59" i="1"/>
  <c r="H189" i="1"/>
  <c r="G189" i="1"/>
  <c r="H232" i="1"/>
  <c r="BT148" i="1"/>
  <c r="H234" i="1" s="1"/>
  <c r="G232" i="1"/>
  <c r="BT147" i="1"/>
  <c r="G234" i="1" s="1"/>
  <c r="O306" i="1"/>
  <c r="N307" i="1"/>
  <c r="O307" i="1"/>
  <c r="L288" i="1"/>
  <c r="Q307" i="1"/>
  <c r="N306" i="1"/>
  <c r="Q306" i="1"/>
  <c r="L306" i="1"/>
  <c r="J285" i="1"/>
  <c r="I285" i="1"/>
  <c r="I288" i="1"/>
  <c r="P285" i="1"/>
  <c r="J307" i="1"/>
  <c r="F186" i="1"/>
  <c r="F189" i="1"/>
  <c r="F234" i="1"/>
  <c r="CO18" i="1"/>
  <c r="CL18" i="1"/>
  <c r="CJ18" i="1"/>
  <c r="N50" i="4"/>
  <c r="P50" i="4"/>
  <c r="DN50" i="4"/>
  <c r="DP50" i="4"/>
  <c r="BN50" i="4"/>
  <c r="BP50" i="4"/>
  <c r="CF50" i="4"/>
  <c r="DG50" i="4"/>
  <c r="DF51" i="4" s="1"/>
  <c r="DS50" i="4"/>
  <c r="DT50" i="4" s="1"/>
  <c r="BG50" i="4"/>
  <c r="BF51" i="4" s="1"/>
  <c r="BS50" i="4"/>
  <c r="BT50" i="4" s="1"/>
  <c r="G50" i="4"/>
  <c r="F51" i="4" s="1"/>
  <c r="S50" i="4"/>
  <c r="T50" i="4" s="1"/>
  <c r="AF34" i="4"/>
  <c r="AT33" i="4"/>
  <c r="L57" i="4"/>
  <c r="AL58" i="4"/>
  <c r="BL56" i="4"/>
  <c r="BL187" i="4" s="1"/>
  <c r="L258" i="4" s="1"/>
  <c r="DL57" i="4"/>
  <c r="CL56" i="4"/>
  <c r="CL187" i="4" s="1"/>
  <c r="L283" i="4" s="1"/>
  <c r="H185" i="1"/>
  <c r="H284" i="1" s="1"/>
  <c r="F306" i="1"/>
  <c r="G187" i="1"/>
  <c r="G297" i="1" s="1"/>
  <c r="G188" i="1"/>
  <c r="G287" i="1" s="1"/>
  <c r="F188" i="1"/>
  <c r="F287" i="1" s="1"/>
  <c r="H187" i="1"/>
  <c r="H188" i="1"/>
  <c r="H287" i="1" s="1"/>
  <c r="G185" i="1"/>
  <c r="G284" i="1" s="1"/>
  <c r="CH28" i="1"/>
  <c r="S10" i="1"/>
  <c r="K16" i="1"/>
  <c r="C60" i="1"/>
  <c r="FL121" i="7" l="1"/>
  <c r="FM121" i="7" s="1"/>
  <c r="FG121" i="7"/>
  <c r="EN121" i="7"/>
  <c r="GF120" i="7"/>
  <c r="GK120" i="7"/>
  <c r="GL120" i="7" s="1"/>
  <c r="HJ120" i="7"/>
  <c r="HK120" i="7" s="1"/>
  <c r="HE120" i="7"/>
  <c r="CO87" i="7"/>
  <c r="CP87" i="7" s="1"/>
  <c r="CJ87" i="7"/>
  <c r="HG156" i="7"/>
  <c r="P368" i="7" s="1"/>
  <c r="GH156" i="7"/>
  <c r="P345" i="7" s="1"/>
  <c r="HJ121" i="7"/>
  <c r="HE121" i="7"/>
  <c r="GX121" i="7"/>
  <c r="GW122" i="7" s="1"/>
  <c r="HC122" i="7"/>
  <c r="HG122" i="7" s="1"/>
  <c r="GD121" i="7"/>
  <c r="GH121" i="7" s="1"/>
  <c r="GK121" i="7"/>
  <c r="GF121" i="7"/>
  <c r="FY121" i="7"/>
  <c r="FX122" i="7" s="1"/>
  <c r="FL122" i="7"/>
  <c r="FM122" i="7" s="1"/>
  <c r="FG122" i="7"/>
  <c r="EZ122" i="7"/>
  <c r="EY123" i="7" s="1"/>
  <c r="FE122" i="7"/>
  <c r="FI122" i="7" s="1"/>
  <c r="EF123" i="7"/>
  <c r="EJ123" i="7" s="1"/>
  <c r="EM122" i="7"/>
  <c r="EN122" i="7" s="1"/>
  <c r="EA122" i="7"/>
  <c r="DZ123" i="7" s="1"/>
  <c r="EH122" i="7"/>
  <c r="DG122" i="7"/>
  <c r="DK122" i="7" s="1"/>
  <c r="DN122" i="7"/>
  <c r="DO122" i="7" s="1"/>
  <c r="DB122" i="7"/>
  <c r="DA123" i="7" s="1"/>
  <c r="DI122" i="7"/>
  <c r="CP86" i="7"/>
  <c r="BQ158" i="8"/>
  <c r="R231" i="8" s="1"/>
  <c r="S158" i="8"/>
  <c r="R183" i="8" s="1"/>
  <c r="DG117" i="8"/>
  <c r="DK116" i="8"/>
  <c r="BD158" i="8"/>
  <c r="R218" i="8" s="1"/>
  <c r="BC104" i="8"/>
  <c r="CB159" i="8"/>
  <c r="S241" i="8" s="1"/>
  <c r="DA159" i="8"/>
  <c r="S264" i="8" s="1"/>
  <c r="CO104" i="8"/>
  <c r="CC104" i="8"/>
  <c r="CB105" i="8" s="1"/>
  <c r="CJ104" i="8"/>
  <c r="CL104" i="8"/>
  <c r="CH119" i="8"/>
  <c r="AD159" i="8"/>
  <c r="AQ104" i="8"/>
  <c r="AR104" i="8" s="1"/>
  <c r="AE104" i="8"/>
  <c r="AD105" i="8" s="1"/>
  <c r="AL104" i="8"/>
  <c r="BI160" i="8"/>
  <c r="T223" i="8" s="1"/>
  <c r="BI118" i="8"/>
  <c r="BM117" i="8"/>
  <c r="BM160" i="8" s="1"/>
  <c r="T227" i="8" s="1"/>
  <c r="AN118" i="8"/>
  <c r="AJ119" i="8"/>
  <c r="DN117" i="8"/>
  <c r="DO117" i="8" s="1"/>
  <c r="DB117" i="8"/>
  <c r="DA118" i="8" s="1"/>
  <c r="DI117" i="8"/>
  <c r="K117" i="8"/>
  <c r="O116" i="8"/>
  <c r="T198" i="8"/>
  <c r="F158" i="8"/>
  <c r="R170" i="8" s="1"/>
  <c r="E104" i="8"/>
  <c r="Q198" i="7"/>
  <c r="Q390" i="7" s="1"/>
  <c r="AN157" i="7"/>
  <c r="Q202" i="7" s="1"/>
  <c r="AJ157" i="1"/>
  <c r="Q198" i="1" s="1"/>
  <c r="AN96" i="1"/>
  <c r="Q192" i="7"/>
  <c r="BQ86" i="7"/>
  <c r="AE91" i="7"/>
  <c r="AD92" i="7" s="1"/>
  <c r="AQ91" i="7"/>
  <c r="AR91" i="7" s="1"/>
  <c r="AL91" i="7"/>
  <c r="S88" i="7"/>
  <c r="F89" i="7"/>
  <c r="F156" i="7" s="1"/>
  <c r="R89" i="7"/>
  <c r="M89" i="7"/>
  <c r="BP87" i="7"/>
  <c r="BD87" i="7"/>
  <c r="BK87" i="7"/>
  <c r="CC87" i="7"/>
  <c r="CB88" i="7" s="1"/>
  <c r="CH99" i="7"/>
  <c r="CL99" i="7" s="1"/>
  <c r="AJ98" i="7"/>
  <c r="AN98" i="7" s="1"/>
  <c r="BI100" i="7"/>
  <c r="BM100" i="7" s="1"/>
  <c r="K99" i="7"/>
  <c r="O99" i="7" s="1"/>
  <c r="AR95" i="1"/>
  <c r="O145" i="1"/>
  <c r="AK60" i="1"/>
  <c r="AS60" i="1"/>
  <c r="AU60" i="1" s="1"/>
  <c r="AP60" i="1"/>
  <c r="AM60" i="1"/>
  <c r="AQ96" i="1"/>
  <c r="AL96" i="1"/>
  <c r="AE96" i="1"/>
  <c r="AD97" i="1" s="1"/>
  <c r="AJ97" i="1"/>
  <c r="AN97" i="1" s="1"/>
  <c r="BC90" i="1"/>
  <c r="BC157" i="1" s="1"/>
  <c r="Q217" i="1" s="1"/>
  <c r="BD156" i="1"/>
  <c r="P218" i="1" s="1"/>
  <c r="BO60" i="1"/>
  <c r="BL60" i="1"/>
  <c r="BJ60" i="1"/>
  <c r="BR60" i="1"/>
  <c r="BT60" i="1" s="1"/>
  <c r="BI91" i="1"/>
  <c r="BM91" i="1" s="1"/>
  <c r="W60" i="1"/>
  <c r="Y60" i="1" s="1"/>
  <c r="L60" i="1"/>
  <c r="N60" i="1"/>
  <c r="CK60" i="1"/>
  <c r="CI60" i="1"/>
  <c r="CQ60" i="1"/>
  <c r="CS60" i="1" s="1"/>
  <c r="CN60" i="1"/>
  <c r="Q60" i="1"/>
  <c r="T60" i="1"/>
  <c r="V60" i="1" s="1"/>
  <c r="J306" i="1"/>
  <c r="I306" i="1"/>
  <c r="J288" i="1"/>
  <c r="I307" i="1"/>
  <c r="G285" i="1"/>
  <c r="G288" i="1"/>
  <c r="H285" i="1"/>
  <c r="H307" i="1"/>
  <c r="F307" i="1"/>
  <c r="F288" i="1"/>
  <c r="CB19" i="1"/>
  <c r="CC19" i="1" s="1"/>
  <c r="CC146" i="1" s="1"/>
  <c r="F242" i="1" s="1"/>
  <c r="CP18" i="1"/>
  <c r="DN51" i="4"/>
  <c r="DP51" i="4"/>
  <c r="AS34" i="4"/>
  <c r="AN34" i="4"/>
  <c r="AP34" i="4"/>
  <c r="N51" i="4"/>
  <c r="P51" i="4"/>
  <c r="BN51" i="4"/>
  <c r="BP51" i="4"/>
  <c r="CN50" i="4"/>
  <c r="CP50" i="4"/>
  <c r="CS50" i="4"/>
  <c r="CT50" i="4" s="1"/>
  <c r="CG50" i="4"/>
  <c r="CF51" i="4" s="1"/>
  <c r="DG51" i="4"/>
  <c r="DF52" i="4" s="1"/>
  <c r="DS51" i="4"/>
  <c r="DT51" i="4" s="1"/>
  <c r="BG51" i="4"/>
  <c r="BF52" i="4" s="1"/>
  <c r="BS51" i="4"/>
  <c r="BT51" i="4" s="1"/>
  <c r="G51" i="4"/>
  <c r="F52" i="4" s="1"/>
  <c r="S51" i="4"/>
  <c r="T51" i="4" s="1"/>
  <c r="AG34" i="4"/>
  <c r="DL58" i="4"/>
  <c r="L58" i="4"/>
  <c r="CL57" i="4"/>
  <c r="BL57" i="4"/>
  <c r="AL59" i="4"/>
  <c r="H297" i="1"/>
  <c r="CH29" i="1"/>
  <c r="S11" i="1"/>
  <c r="F12" i="1"/>
  <c r="C61" i="1"/>
  <c r="K17" i="1"/>
  <c r="GL121" i="7" l="1"/>
  <c r="HK121" i="7"/>
  <c r="CO88" i="7"/>
  <c r="CJ88" i="7"/>
  <c r="CO156" i="7"/>
  <c r="P254" i="7" s="1"/>
  <c r="P241" i="7"/>
  <c r="P384" i="7" s="1"/>
  <c r="P399" i="7" s="1"/>
  <c r="HC123" i="7"/>
  <c r="HG123" i="7" s="1"/>
  <c r="HJ122" i="7"/>
  <c r="GX122" i="7"/>
  <c r="GW123" i="7" s="1"/>
  <c r="HE122" i="7"/>
  <c r="GD122" i="7"/>
  <c r="GH122" i="7" s="1"/>
  <c r="GK122" i="7"/>
  <c r="FY122" i="7"/>
  <c r="FX123" i="7" s="1"/>
  <c r="GF122" i="7"/>
  <c r="FL123" i="7"/>
  <c r="FM123" i="7" s="1"/>
  <c r="EZ123" i="7"/>
  <c r="EY124" i="7" s="1"/>
  <c r="FG123" i="7"/>
  <c r="FE123" i="7"/>
  <c r="FI123" i="7" s="1"/>
  <c r="EF124" i="7"/>
  <c r="EM123" i="7"/>
  <c r="EN123" i="7" s="1"/>
  <c r="EA123" i="7"/>
  <c r="DZ124" i="7" s="1"/>
  <c r="EH123" i="7"/>
  <c r="DG123" i="7"/>
  <c r="DK123" i="7" s="1"/>
  <c r="DI123" i="7"/>
  <c r="DN123" i="7"/>
  <c r="DO123" i="7" s="1"/>
  <c r="DB123" i="7"/>
  <c r="DA124" i="7" s="1"/>
  <c r="DN118" i="8"/>
  <c r="DO118" i="8" s="1"/>
  <c r="DI118" i="8"/>
  <c r="DB118" i="8"/>
  <c r="DA119" i="8" s="1"/>
  <c r="AQ105" i="8"/>
  <c r="AR105" i="8" s="1"/>
  <c r="AE105" i="8"/>
  <c r="AD106" i="8" s="1"/>
  <c r="AL105" i="8"/>
  <c r="CH120" i="8"/>
  <c r="CP104" i="8"/>
  <c r="E159" i="8"/>
  <c r="R104" i="8"/>
  <c r="S104" i="8" s="1"/>
  <c r="M104" i="8"/>
  <c r="F104" i="8"/>
  <c r="E105" i="8" s="1"/>
  <c r="BI119" i="8"/>
  <c r="BM118" i="8"/>
  <c r="R291" i="8"/>
  <c r="R325" i="8"/>
  <c r="O117" i="8"/>
  <c r="K160" i="8"/>
  <c r="K118" i="8"/>
  <c r="AJ120" i="8"/>
  <c r="AN119" i="8"/>
  <c r="S192" i="8"/>
  <c r="AQ159" i="8"/>
  <c r="S205" i="8" s="1"/>
  <c r="AN159" i="8"/>
  <c r="S202" i="8" s="1"/>
  <c r="DK117" i="8"/>
  <c r="DG118" i="8"/>
  <c r="CO105" i="8"/>
  <c r="CJ105" i="8"/>
  <c r="CC105" i="8"/>
  <c r="CB106" i="8" s="1"/>
  <c r="CL105" i="8"/>
  <c r="BC159" i="8"/>
  <c r="BP104" i="8"/>
  <c r="BQ104" i="8" s="1"/>
  <c r="BD104" i="8"/>
  <c r="BC105" i="8" s="1"/>
  <c r="BK104" i="8"/>
  <c r="H146" i="1"/>
  <c r="H145" i="1"/>
  <c r="E291" i="1"/>
  <c r="E317" i="1" s="1"/>
  <c r="C5" i="5" s="1"/>
  <c r="E267" i="1"/>
  <c r="E277" i="1" s="1"/>
  <c r="AD158" i="1"/>
  <c r="R192" i="1" s="1"/>
  <c r="AE157" i="1"/>
  <c r="Q193" i="1" s="1"/>
  <c r="BQ87" i="7"/>
  <c r="AL92" i="7"/>
  <c r="AE92" i="7"/>
  <c r="AD93" i="7" s="1"/>
  <c r="AQ92" i="7"/>
  <c r="AR92" i="7" s="1"/>
  <c r="S89" i="7"/>
  <c r="S156" i="7" s="1"/>
  <c r="E90" i="7"/>
  <c r="P170" i="7"/>
  <c r="Q426" i="7"/>
  <c r="O34" i="5" s="1"/>
  <c r="K100" i="7"/>
  <c r="O100" i="7" s="1"/>
  <c r="BI101" i="7"/>
  <c r="BM101" i="7" s="1"/>
  <c r="BP88" i="7"/>
  <c r="BK88" i="7"/>
  <c r="BD88" i="7"/>
  <c r="CH100" i="7"/>
  <c r="CL100" i="7" s="1"/>
  <c r="CC88" i="7"/>
  <c r="CB89" i="7" s="1"/>
  <c r="CP88" i="7"/>
  <c r="AJ99" i="7"/>
  <c r="AN99" i="7" s="1"/>
  <c r="E179" i="1"/>
  <c r="AR96" i="1"/>
  <c r="AR157" i="1" s="1"/>
  <c r="Q206" i="1" s="1"/>
  <c r="F145" i="1"/>
  <c r="BK90" i="1"/>
  <c r="AS61" i="1"/>
  <c r="AU61" i="1" s="1"/>
  <c r="AP61" i="1"/>
  <c r="AM61" i="1"/>
  <c r="AK61" i="1"/>
  <c r="AQ97" i="1"/>
  <c r="AE97" i="1"/>
  <c r="AD98" i="1" s="1"/>
  <c r="AJ98" i="1"/>
  <c r="AN98" i="1" s="1"/>
  <c r="BD90" i="1"/>
  <c r="BC91" i="1" s="1"/>
  <c r="BP91" i="1" s="1"/>
  <c r="BP90" i="1"/>
  <c r="BQ90" i="1" s="1"/>
  <c r="BJ61" i="1"/>
  <c r="BR61" i="1"/>
  <c r="BT61" i="1" s="1"/>
  <c r="BO61" i="1"/>
  <c r="BL61" i="1"/>
  <c r="H151" i="1"/>
  <c r="G157" i="1"/>
  <c r="G146" i="1"/>
  <c r="G161" i="1"/>
  <c r="G156" i="1"/>
  <c r="H154" i="1"/>
  <c r="I159" i="1"/>
  <c r="I152" i="1"/>
  <c r="G160" i="1"/>
  <c r="P156" i="1"/>
  <c r="G149" i="1"/>
  <c r="I153" i="1"/>
  <c r="I154" i="1"/>
  <c r="G163" i="1"/>
  <c r="I161" i="1"/>
  <c r="H162" i="1"/>
  <c r="G155" i="1"/>
  <c r="P150" i="1"/>
  <c r="P149" i="1"/>
  <c r="I148" i="1"/>
  <c r="H163" i="1"/>
  <c r="I151" i="1"/>
  <c r="G147" i="1"/>
  <c r="H152" i="1"/>
  <c r="G162" i="1"/>
  <c r="H148" i="1"/>
  <c r="G150" i="1"/>
  <c r="P157" i="1"/>
  <c r="P154" i="1"/>
  <c r="P163" i="1"/>
  <c r="H158" i="1"/>
  <c r="G151" i="1"/>
  <c r="I147" i="1"/>
  <c r="I149" i="1"/>
  <c r="I145" i="1"/>
  <c r="P158" i="1"/>
  <c r="G148" i="1"/>
  <c r="P151" i="1"/>
  <c r="P159" i="1"/>
  <c r="H147" i="1"/>
  <c r="I162" i="1"/>
  <c r="I157" i="1"/>
  <c r="H159" i="1"/>
  <c r="I163" i="1"/>
  <c r="P153" i="1"/>
  <c r="G145" i="1"/>
  <c r="J145" i="1" s="1"/>
  <c r="H161" i="1"/>
  <c r="I146" i="1"/>
  <c r="P160" i="1"/>
  <c r="I155" i="1"/>
  <c r="I156" i="1"/>
  <c r="P152" i="1"/>
  <c r="G158" i="1"/>
  <c r="H153" i="1"/>
  <c r="I150" i="1"/>
  <c r="G154" i="1"/>
  <c r="P148" i="1"/>
  <c r="G153" i="1"/>
  <c r="I160" i="1"/>
  <c r="H149" i="1"/>
  <c r="P161" i="1"/>
  <c r="P145" i="1"/>
  <c r="H155" i="1"/>
  <c r="P162" i="1"/>
  <c r="I158" i="1"/>
  <c r="H160" i="1"/>
  <c r="P147" i="1"/>
  <c r="G159" i="1"/>
  <c r="P155" i="1"/>
  <c r="P146" i="1"/>
  <c r="H156" i="1"/>
  <c r="G152" i="1"/>
  <c r="H157" i="1"/>
  <c r="H150" i="1"/>
  <c r="BI92" i="1"/>
  <c r="BM92" i="1" s="1"/>
  <c r="W61" i="1"/>
  <c r="N61" i="1"/>
  <c r="L61" i="1"/>
  <c r="W172" i="1"/>
  <c r="W270" i="1" s="1"/>
  <c r="CK61" i="1"/>
  <c r="CI61" i="1"/>
  <c r="CQ61" i="1"/>
  <c r="CN61" i="1"/>
  <c r="Q61" i="1"/>
  <c r="T61" i="1"/>
  <c r="G306" i="1"/>
  <c r="G307" i="1"/>
  <c r="H288" i="1"/>
  <c r="H306" i="1"/>
  <c r="CO19" i="1"/>
  <c r="CL19" i="1"/>
  <c r="F251" i="1" s="1"/>
  <c r="CJ19" i="1"/>
  <c r="L350" i="4"/>
  <c r="DN52" i="4"/>
  <c r="DP52" i="4"/>
  <c r="CN51" i="4"/>
  <c r="CP51" i="4"/>
  <c r="CS51" i="4"/>
  <c r="CT51" i="4" s="1"/>
  <c r="CG51" i="4"/>
  <c r="CF52" i="4" s="1"/>
  <c r="N52" i="4"/>
  <c r="P52" i="4"/>
  <c r="BN52" i="4"/>
  <c r="BP52" i="4"/>
  <c r="L332" i="4"/>
  <c r="DG52" i="4"/>
  <c r="DF53" i="4" s="1"/>
  <c r="DS52" i="4"/>
  <c r="DT52" i="4" s="1"/>
  <c r="BG52" i="4"/>
  <c r="BF53" i="4" s="1"/>
  <c r="BS52" i="4"/>
  <c r="BT52" i="4" s="1"/>
  <c r="G52" i="4"/>
  <c r="F53" i="4" s="1"/>
  <c r="S52" i="4"/>
  <c r="AF35" i="4"/>
  <c r="AF184" i="4" s="1"/>
  <c r="I228" i="4" s="1"/>
  <c r="AT34" i="4"/>
  <c r="AL60" i="4"/>
  <c r="L59" i="4"/>
  <c r="BL58" i="4"/>
  <c r="CL58" i="4"/>
  <c r="DL59" i="4"/>
  <c r="M229" i="1"/>
  <c r="M178" i="1"/>
  <c r="M226" i="1"/>
  <c r="M224" i="1"/>
  <c r="V173" i="1"/>
  <c r="V271" i="1" s="1"/>
  <c r="U173" i="1"/>
  <c r="U271" i="1" s="1"/>
  <c r="CH30" i="1"/>
  <c r="K18" i="1"/>
  <c r="M181" i="1"/>
  <c r="GL122" i="7" l="1"/>
  <c r="HK122" i="7"/>
  <c r="P409" i="7"/>
  <c r="P435" i="7" s="1"/>
  <c r="N8" i="5" s="1"/>
  <c r="N19" i="5" s="1"/>
  <c r="CO89" i="7"/>
  <c r="CP89" i="7" s="1"/>
  <c r="CJ89" i="7"/>
  <c r="EF161" i="7"/>
  <c r="U295" i="7" s="1"/>
  <c r="EJ124" i="7"/>
  <c r="EJ161" i="7" s="1"/>
  <c r="U299" i="7" s="1"/>
  <c r="HC124" i="7"/>
  <c r="GX123" i="7"/>
  <c r="GW124" i="7" s="1"/>
  <c r="HE123" i="7"/>
  <c r="HJ123" i="7"/>
  <c r="HK123" i="7" s="1"/>
  <c r="GD123" i="7"/>
  <c r="GH123" i="7" s="1"/>
  <c r="FY123" i="7"/>
  <c r="FX124" i="7" s="1"/>
  <c r="GF123" i="7"/>
  <c r="GK123" i="7"/>
  <c r="GL123" i="7" s="1"/>
  <c r="FL124" i="7"/>
  <c r="FM124" i="7" s="1"/>
  <c r="FM161" i="7" s="1"/>
  <c r="U326" i="7" s="1"/>
  <c r="EZ124" i="7"/>
  <c r="FG124" i="7"/>
  <c r="FE124" i="7"/>
  <c r="EF125" i="7"/>
  <c r="EJ125" i="7" s="1"/>
  <c r="EM124" i="7"/>
  <c r="EN124" i="7" s="1"/>
  <c r="EN161" i="7" s="1"/>
  <c r="U303" i="7" s="1"/>
  <c r="EA124" i="7"/>
  <c r="EH124" i="7"/>
  <c r="DN124" i="7"/>
  <c r="DO124" i="7" s="1"/>
  <c r="DO161" i="7" s="1"/>
  <c r="U279" i="7" s="1"/>
  <c r="DB124" i="7"/>
  <c r="DI124" i="7"/>
  <c r="DG124" i="7"/>
  <c r="DG119" i="8"/>
  <c r="DK118" i="8"/>
  <c r="K119" i="8"/>
  <c r="O118" i="8"/>
  <c r="R105" i="8"/>
  <c r="F105" i="8"/>
  <c r="E106" i="8" s="1"/>
  <c r="M105" i="8"/>
  <c r="CP105" i="8"/>
  <c r="DN119" i="8"/>
  <c r="DO119" i="8" s="1"/>
  <c r="DB119" i="8"/>
  <c r="DA120" i="8" s="1"/>
  <c r="DI119" i="8"/>
  <c r="BP105" i="8"/>
  <c r="BQ105" i="8" s="1"/>
  <c r="BD105" i="8"/>
  <c r="BC106" i="8" s="1"/>
  <c r="BK105" i="8"/>
  <c r="CO106" i="8"/>
  <c r="CC106" i="8"/>
  <c r="CB107" i="8" s="1"/>
  <c r="CJ106" i="8"/>
  <c r="CL106" i="8"/>
  <c r="T175" i="8"/>
  <c r="T296" i="8" s="1"/>
  <c r="S105" i="8"/>
  <c r="AQ106" i="8"/>
  <c r="AR106" i="8" s="1"/>
  <c r="AE106" i="8"/>
  <c r="AD107" i="8" s="1"/>
  <c r="AL106" i="8"/>
  <c r="S217" i="8"/>
  <c r="BP159" i="8"/>
  <c r="S230" i="8" s="1"/>
  <c r="AN120" i="8"/>
  <c r="AJ121" i="8"/>
  <c r="BM119" i="8"/>
  <c r="BI120" i="8"/>
  <c r="S169" i="8"/>
  <c r="R159" i="8"/>
  <c r="S182" i="8" s="1"/>
  <c r="M159" i="8"/>
  <c r="S177" i="8" s="1"/>
  <c r="O159" i="8"/>
  <c r="S179" i="8" s="1"/>
  <c r="CH121" i="8"/>
  <c r="BQ88" i="7"/>
  <c r="P183" i="7"/>
  <c r="P184" i="7"/>
  <c r="E303" i="1"/>
  <c r="AL97" i="1"/>
  <c r="AL93" i="7"/>
  <c r="AE93" i="7"/>
  <c r="AD94" i="7" s="1"/>
  <c r="AQ93" i="7"/>
  <c r="AR93" i="7" s="1"/>
  <c r="F90" i="7"/>
  <c r="E91" i="7" s="1"/>
  <c r="E157" i="7"/>
  <c r="M90" i="7"/>
  <c r="R90" i="7"/>
  <c r="CH101" i="7"/>
  <c r="CL101" i="7" s="1"/>
  <c r="AJ100" i="7"/>
  <c r="AN100" i="7" s="1"/>
  <c r="BI102" i="7"/>
  <c r="BM102" i="7" s="1"/>
  <c r="BP89" i="7"/>
  <c r="BD89" i="7"/>
  <c r="BK89" i="7"/>
  <c r="P227" i="7"/>
  <c r="CC89" i="7"/>
  <c r="K101" i="7"/>
  <c r="O101" i="7" s="1"/>
  <c r="J156" i="1"/>
  <c r="O172" i="1"/>
  <c r="O270" i="1" s="1"/>
  <c r="T173" i="1"/>
  <c r="T271" i="1" s="1"/>
  <c r="J173" i="1"/>
  <c r="J271" i="1" s="1"/>
  <c r="P173" i="1"/>
  <c r="P271" i="1" s="1"/>
  <c r="U172" i="1"/>
  <c r="U270" i="1" s="1"/>
  <c r="S172" i="1"/>
  <c r="S270" i="1" s="1"/>
  <c r="E173" i="1"/>
  <c r="E271" i="1" s="1"/>
  <c r="L172" i="1"/>
  <c r="L270" i="1" s="1"/>
  <c r="N173" i="1"/>
  <c r="N271" i="1" s="1"/>
  <c r="T197" i="1"/>
  <c r="P197" i="1"/>
  <c r="K172" i="1"/>
  <c r="K270" i="1" s="1"/>
  <c r="F173" i="1"/>
  <c r="F271" i="1" s="1"/>
  <c r="W173" i="1"/>
  <c r="W271" i="1" s="1"/>
  <c r="F180" i="1"/>
  <c r="F278" i="1" s="1"/>
  <c r="E180" i="1"/>
  <c r="E278" i="1" s="1"/>
  <c r="M172" i="1"/>
  <c r="M270" i="1" s="1"/>
  <c r="O173" i="1"/>
  <c r="O271" i="1" s="1"/>
  <c r="O197" i="1"/>
  <c r="E171" i="1"/>
  <c r="E269" i="1" s="1"/>
  <c r="Q173" i="1"/>
  <c r="Q271" i="1" s="1"/>
  <c r="J171" i="1"/>
  <c r="J197" i="1"/>
  <c r="H173" i="1"/>
  <c r="H271" i="1" s="1"/>
  <c r="M173" i="1"/>
  <c r="M271" i="1" s="1"/>
  <c r="L173" i="1"/>
  <c r="L271" i="1" s="1"/>
  <c r="L197" i="1"/>
  <c r="U197" i="1"/>
  <c r="E170" i="1"/>
  <c r="E268" i="1" s="1"/>
  <c r="G173" i="1"/>
  <c r="G271" i="1" s="1"/>
  <c r="Q172" i="1"/>
  <c r="Q270" i="1" s="1"/>
  <c r="Q197" i="1"/>
  <c r="R173" i="1"/>
  <c r="R271" i="1" s="1"/>
  <c r="R197" i="1"/>
  <c r="I173" i="1"/>
  <c r="I271" i="1" s="1"/>
  <c r="H172" i="1"/>
  <c r="H270" i="1" s="1"/>
  <c r="G171" i="1"/>
  <c r="G197" i="1"/>
  <c r="I197" i="1"/>
  <c r="S173" i="1"/>
  <c r="S271" i="1" s="1"/>
  <c r="S197" i="1"/>
  <c r="F171" i="1"/>
  <c r="F269" i="1" s="1"/>
  <c r="V197" i="1"/>
  <c r="K173" i="1"/>
  <c r="K271" i="1" s="1"/>
  <c r="K197" i="1"/>
  <c r="W197" i="1"/>
  <c r="N172" i="1"/>
  <c r="N270" i="1" s="1"/>
  <c r="N197" i="1"/>
  <c r="J149" i="1"/>
  <c r="J147" i="1"/>
  <c r="J158" i="1"/>
  <c r="AR97" i="1"/>
  <c r="BQ91" i="1"/>
  <c r="J160" i="1"/>
  <c r="P172" i="1"/>
  <c r="P270" i="1" s="1"/>
  <c r="BK91" i="1"/>
  <c r="BD91" i="1"/>
  <c r="BC92" i="1" s="1"/>
  <c r="BP92" i="1" s="1"/>
  <c r="BQ92" i="1" s="1"/>
  <c r="J150" i="1"/>
  <c r="AJ99" i="1"/>
  <c r="AN99" i="1" s="1"/>
  <c r="AE98" i="1"/>
  <c r="AD99" i="1" s="1"/>
  <c r="AL98" i="1"/>
  <c r="AQ98" i="1"/>
  <c r="J146" i="1"/>
  <c r="J162" i="1"/>
  <c r="I172" i="1"/>
  <c r="I270" i="1" s="1"/>
  <c r="G172" i="1"/>
  <c r="G270" i="1" s="1"/>
  <c r="J153" i="1"/>
  <c r="J157" i="1"/>
  <c r="J148" i="1"/>
  <c r="V172" i="1"/>
  <c r="V270" i="1" s="1"/>
  <c r="T172" i="1"/>
  <c r="T270" i="1" s="1"/>
  <c r="J172" i="1"/>
  <c r="J270" i="1" s="1"/>
  <c r="E172" i="1"/>
  <c r="E270" i="1" s="1"/>
  <c r="R172" i="1"/>
  <c r="R270" i="1" s="1"/>
  <c r="J154" i="1"/>
  <c r="F172" i="1"/>
  <c r="J155" i="1"/>
  <c r="J161" i="1"/>
  <c r="J159" i="1"/>
  <c r="J152" i="1"/>
  <c r="J163" i="1"/>
  <c r="J151" i="1"/>
  <c r="BI93" i="1"/>
  <c r="BM93" i="1" s="1"/>
  <c r="CB20" i="1"/>
  <c r="CB147" i="1" s="1"/>
  <c r="CP19" i="1"/>
  <c r="CP146" i="1" s="1"/>
  <c r="F255" i="1" s="1"/>
  <c r="CN52" i="4"/>
  <c r="CP52" i="4"/>
  <c r="CG52" i="4"/>
  <c r="CF53" i="4" s="1"/>
  <c r="CS52" i="4"/>
  <c r="CT52" i="4" s="1"/>
  <c r="AS35" i="4"/>
  <c r="AN35" i="4"/>
  <c r="AP35" i="4"/>
  <c r="AP184" i="4" s="1"/>
  <c r="I238" i="4" s="1"/>
  <c r="N53" i="4"/>
  <c r="P53" i="4"/>
  <c r="BN53" i="4"/>
  <c r="BP53" i="4"/>
  <c r="DN53" i="4"/>
  <c r="DP53" i="4"/>
  <c r="DG53" i="4"/>
  <c r="DF54" i="4" s="1"/>
  <c r="DS53" i="4"/>
  <c r="DT53" i="4" s="1"/>
  <c r="BG53" i="4"/>
  <c r="BF54" i="4" s="1"/>
  <c r="BS53" i="4"/>
  <c r="BT53" i="4" s="1"/>
  <c r="G53" i="4"/>
  <c r="F54" i="4" s="1"/>
  <c r="S53" i="4"/>
  <c r="AG35" i="4"/>
  <c r="AG184" i="4" s="1"/>
  <c r="I229" i="4" s="1"/>
  <c r="BL59" i="4"/>
  <c r="DL60" i="4"/>
  <c r="AL61" i="4"/>
  <c r="CL59" i="4"/>
  <c r="L60" i="4"/>
  <c r="T52" i="4"/>
  <c r="M293" i="1"/>
  <c r="M294" i="1"/>
  <c r="Y61" i="1"/>
  <c r="V61" i="1"/>
  <c r="M186" i="1" s="1"/>
  <c r="CS61" i="1"/>
  <c r="CH31" i="1"/>
  <c r="K19" i="1"/>
  <c r="S12" i="1"/>
  <c r="O157" i="7" l="1"/>
  <c r="Q179" i="7" s="1"/>
  <c r="R157" i="7"/>
  <c r="Q182" i="7" s="1"/>
  <c r="DG161" i="7"/>
  <c r="U271" i="7" s="1"/>
  <c r="DK124" i="7"/>
  <c r="DK161" i="7" s="1"/>
  <c r="U275" i="7" s="1"/>
  <c r="BP90" i="7"/>
  <c r="BK90" i="7"/>
  <c r="DZ125" i="7"/>
  <c r="DZ162" i="7" s="1"/>
  <c r="EA161" i="7"/>
  <c r="BQ89" i="7"/>
  <c r="BQ90" i="7" s="1"/>
  <c r="DA125" i="7"/>
  <c r="DA162" i="7" s="1"/>
  <c r="DB161" i="7"/>
  <c r="EY125" i="7"/>
  <c r="EY162" i="7" s="1"/>
  <c r="EZ161" i="7"/>
  <c r="U313" i="7" s="1"/>
  <c r="FE161" i="7"/>
  <c r="U318" i="7" s="1"/>
  <c r="FI124" i="7"/>
  <c r="FI161" i="7" s="1"/>
  <c r="U322" i="7" s="1"/>
  <c r="HC161" i="7"/>
  <c r="U364" i="7" s="1"/>
  <c r="HG124" i="7"/>
  <c r="HG161" i="7" s="1"/>
  <c r="U368" i="7" s="1"/>
  <c r="P392" i="7"/>
  <c r="P420" i="7" s="1"/>
  <c r="P394" i="7"/>
  <c r="P421" i="7" s="1"/>
  <c r="HJ124" i="7"/>
  <c r="HK124" i="7" s="1"/>
  <c r="HK161" i="7" s="1"/>
  <c r="U372" i="7" s="1"/>
  <c r="GX124" i="7"/>
  <c r="HE124" i="7"/>
  <c r="HC125" i="7"/>
  <c r="HG125" i="7" s="1"/>
  <c r="GK124" i="7"/>
  <c r="GL124" i="7" s="1"/>
  <c r="GL161" i="7" s="1"/>
  <c r="U349" i="7" s="1"/>
  <c r="FY124" i="7"/>
  <c r="GF124" i="7"/>
  <c r="GD124" i="7"/>
  <c r="FE125" i="7"/>
  <c r="FI125" i="7" s="1"/>
  <c r="EF126" i="7"/>
  <c r="EJ126" i="7" s="1"/>
  <c r="DG125" i="7"/>
  <c r="DK125" i="7" s="1"/>
  <c r="T332" i="8"/>
  <c r="O119" i="8"/>
  <c r="K120" i="8"/>
  <c r="CH122" i="8"/>
  <c r="AN121" i="8"/>
  <c r="AJ122" i="8"/>
  <c r="DN120" i="8"/>
  <c r="DO120" i="8" s="1"/>
  <c r="DI120" i="8"/>
  <c r="DB120" i="8"/>
  <c r="DA121" i="8" s="1"/>
  <c r="F106" i="8"/>
  <c r="E107" i="8" s="1"/>
  <c r="R106" i="8"/>
  <c r="S106" i="8" s="1"/>
  <c r="M106" i="8"/>
  <c r="S290" i="8"/>
  <c r="S315" i="8"/>
  <c r="AQ107" i="8"/>
  <c r="AL107" i="8"/>
  <c r="AE107" i="8"/>
  <c r="AD108" i="8" s="1"/>
  <c r="AR107" i="8"/>
  <c r="BP106" i="8"/>
  <c r="BQ106" i="8" s="1"/>
  <c r="BK106" i="8"/>
  <c r="BD106" i="8"/>
  <c r="BC107" i="8" s="1"/>
  <c r="DK119" i="8"/>
  <c r="DG120" i="8"/>
  <c r="BM120" i="8"/>
  <c r="BI121" i="8"/>
  <c r="CO107" i="8"/>
  <c r="CJ107" i="8"/>
  <c r="CC107" i="8"/>
  <c r="CB108" i="8" s="1"/>
  <c r="CL107" i="8"/>
  <c r="CP106" i="8"/>
  <c r="CP107" i="8" s="1"/>
  <c r="G241" i="1"/>
  <c r="M157" i="7"/>
  <c r="Q169" i="7"/>
  <c r="E301" i="1"/>
  <c r="AQ94" i="7"/>
  <c r="AR94" i="7" s="1"/>
  <c r="AL94" i="7"/>
  <c r="AE94" i="7"/>
  <c r="AD95" i="7" s="1"/>
  <c r="S90" i="7"/>
  <c r="F91" i="7"/>
  <c r="E92" i="7" s="1"/>
  <c r="M91" i="7"/>
  <c r="R91" i="7"/>
  <c r="CP156" i="7"/>
  <c r="P255" i="7" s="1"/>
  <c r="BI103" i="7"/>
  <c r="BM103" i="7" s="1"/>
  <c r="CH102" i="7"/>
  <c r="CL102" i="7" s="1"/>
  <c r="CC156" i="7"/>
  <c r="CB90" i="7"/>
  <c r="BD156" i="7"/>
  <c r="AJ101" i="7"/>
  <c r="AN101" i="7" s="1"/>
  <c r="K102" i="7"/>
  <c r="O102" i="7" s="1"/>
  <c r="F174" i="1"/>
  <c r="F272" i="1" s="1"/>
  <c r="M197" i="1"/>
  <c r="H197" i="1"/>
  <c r="BD92" i="1"/>
  <c r="BC93" i="1" s="1"/>
  <c r="BP93" i="1" s="1"/>
  <c r="BQ93" i="1" s="1"/>
  <c r="BK92" i="1"/>
  <c r="AR98" i="1"/>
  <c r="E146" i="1"/>
  <c r="AQ99" i="1"/>
  <c r="AE99" i="1"/>
  <c r="AD100" i="1" s="1"/>
  <c r="AL99" i="1"/>
  <c r="AJ100" i="1"/>
  <c r="AN100" i="1" s="1"/>
  <c r="E174" i="1"/>
  <c r="E272" i="1" s="1"/>
  <c r="G174" i="1"/>
  <c r="G272" i="1" s="1"/>
  <c r="J174" i="1"/>
  <c r="J272" i="1" s="1"/>
  <c r="F270" i="1"/>
  <c r="M13" i="1"/>
  <c r="R13" i="1"/>
  <c r="BI94" i="1"/>
  <c r="BM94" i="1" s="1"/>
  <c r="H227" i="1"/>
  <c r="H231" i="1"/>
  <c r="S145" i="1"/>
  <c r="K146" i="1"/>
  <c r="M189" i="1"/>
  <c r="M232" i="1"/>
  <c r="BT153" i="1"/>
  <c r="M234" i="1" s="1"/>
  <c r="CO20" i="1"/>
  <c r="CL20" i="1"/>
  <c r="CC20" i="1"/>
  <c r="CJ20" i="1"/>
  <c r="I337" i="4"/>
  <c r="BN54" i="4"/>
  <c r="BP54" i="4"/>
  <c r="N54" i="4"/>
  <c r="P54" i="4"/>
  <c r="DN54" i="4"/>
  <c r="DP54" i="4"/>
  <c r="CN53" i="4"/>
  <c r="CP53" i="4"/>
  <c r="CG53" i="4"/>
  <c r="CF54" i="4" s="1"/>
  <c r="CS53" i="4"/>
  <c r="CT53" i="4" s="1"/>
  <c r="I326" i="4"/>
  <c r="I334" i="4" s="1"/>
  <c r="I349" i="4"/>
  <c r="F13" i="1"/>
  <c r="E14" i="1" s="1"/>
  <c r="DG54" i="4"/>
  <c r="DF55" i="4" s="1"/>
  <c r="DS54" i="4"/>
  <c r="DT54" i="4" s="1"/>
  <c r="BG54" i="4"/>
  <c r="BF55" i="4" s="1"/>
  <c r="BS54" i="4"/>
  <c r="BT54" i="4" s="1"/>
  <c r="G54" i="4"/>
  <c r="F55" i="4" s="1"/>
  <c r="S54" i="4"/>
  <c r="AT35" i="4"/>
  <c r="AT184" i="4" s="1"/>
  <c r="I242" i="4" s="1"/>
  <c r="AF36" i="4"/>
  <c r="T53" i="4"/>
  <c r="CL60" i="4"/>
  <c r="DL61" i="4"/>
  <c r="BL60" i="4"/>
  <c r="L61" i="4"/>
  <c r="AL62" i="4"/>
  <c r="M187" i="1"/>
  <c r="M188" i="1"/>
  <c r="M185" i="1"/>
  <c r="CH32" i="1"/>
  <c r="K20" i="1"/>
  <c r="EZ125" i="7" l="1"/>
  <c r="EY126" i="7" s="1"/>
  <c r="FL125" i="7"/>
  <c r="FM125" i="7" s="1"/>
  <c r="FG125" i="7"/>
  <c r="EM125" i="7"/>
  <c r="EN125" i="7" s="1"/>
  <c r="EH125" i="7"/>
  <c r="EA125" i="7"/>
  <c r="DZ126" i="7" s="1"/>
  <c r="EA126" i="7" s="1"/>
  <c r="DZ127" i="7" s="1"/>
  <c r="DN162" i="7"/>
  <c r="V278" i="7" s="1"/>
  <c r="V265" i="7"/>
  <c r="U266" i="7"/>
  <c r="U290" i="7"/>
  <c r="EM162" i="7"/>
  <c r="V289" i="7"/>
  <c r="FL162" i="7"/>
  <c r="V325" i="7" s="1"/>
  <c r="V312" i="7"/>
  <c r="DB125" i="7"/>
  <c r="DA126" i="7" s="1"/>
  <c r="DN126" i="7" s="1"/>
  <c r="BQ156" i="7"/>
  <c r="P231" i="7" s="1"/>
  <c r="DN125" i="7"/>
  <c r="DO125" i="7" s="1"/>
  <c r="DI125" i="7"/>
  <c r="FX125" i="7"/>
  <c r="FX162" i="7" s="1"/>
  <c r="FY161" i="7"/>
  <c r="U336" i="7" s="1"/>
  <c r="GW125" i="7"/>
  <c r="GW162" i="7" s="1"/>
  <c r="GX161" i="7"/>
  <c r="U359" i="7" s="1"/>
  <c r="CO90" i="7"/>
  <c r="CJ90" i="7"/>
  <c r="GD161" i="7"/>
  <c r="U341" i="7" s="1"/>
  <c r="GH124" i="7"/>
  <c r="GH161" i="7" s="1"/>
  <c r="U345" i="7" s="1"/>
  <c r="HC126" i="7"/>
  <c r="HG126" i="7" s="1"/>
  <c r="HJ125" i="7"/>
  <c r="HK125" i="7" s="1"/>
  <c r="GD125" i="7"/>
  <c r="GH125" i="7" s="1"/>
  <c r="FL126" i="7"/>
  <c r="FM126" i="7" s="1"/>
  <c r="FG126" i="7"/>
  <c r="EZ126" i="7"/>
  <c r="EY127" i="7" s="1"/>
  <c r="FE126" i="7"/>
  <c r="FI126" i="7" s="1"/>
  <c r="EF127" i="7"/>
  <c r="EJ127" i="7" s="1"/>
  <c r="DG126" i="7"/>
  <c r="DK126" i="7" s="1"/>
  <c r="DO121" i="8"/>
  <c r="R107" i="8"/>
  <c r="S107" i="8" s="1"/>
  <c r="F107" i="8"/>
  <c r="E108" i="8" s="1"/>
  <c r="M107" i="8"/>
  <c r="BM121" i="8"/>
  <c r="BI122" i="8"/>
  <c r="BP107" i="8"/>
  <c r="BQ107" i="8" s="1"/>
  <c r="BD107" i="8"/>
  <c r="BC108" i="8" s="1"/>
  <c r="BK107" i="8"/>
  <c r="AQ108" i="8"/>
  <c r="AR108" i="8" s="1"/>
  <c r="AE108" i="8"/>
  <c r="AD109" i="8" s="1"/>
  <c r="AL108" i="8"/>
  <c r="S298" i="8"/>
  <c r="S326" i="8" s="1"/>
  <c r="S305" i="8"/>
  <c r="S329" i="8" s="1"/>
  <c r="S300" i="8"/>
  <c r="S327" i="8" s="1"/>
  <c r="DN121" i="8"/>
  <c r="DB121" i="8"/>
  <c r="DA122" i="8" s="1"/>
  <c r="DI121" i="8"/>
  <c r="AJ123" i="8"/>
  <c r="AN122" i="8"/>
  <c r="CH123" i="8"/>
  <c r="CO108" i="8"/>
  <c r="CP108" i="8" s="1"/>
  <c r="CC108" i="8"/>
  <c r="CB109" i="8" s="1"/>
  <c r="CJ108" i="8"/>
  <c r="CL108" i="8"/>
  <c r="K121" i="8"/>
  <c r="O120" i="8"/>
  <c r="DG121" i="8"/>
  <c r="DK120" i="8"/>
  <c r="P242" i="7"/>
  <c r="P423" i="7"/>
  <c r="P218" i="7"/>
  <c r="P385" i="7" s="1"/>
  <c r="AL95" i="7"/>
  <c r="AQ95" i="7"/>
  <c r="AR95" i="7" s="1"/>
  <c r="AE95" i="7"/>
  <c r="AD96" i="7" s="1"/>
  <c r="F92" i="7"/>
  <c r="E93" i="7" s="1"/>
  <c r="R92" i="7"/>
  <c r="M92" i="7"/>
  <c r="S91" i="7"/>
  <c r="K103" i="7"/>
  <c r="O103" i="7" s="1"/>
  <c r="CB157" i="7"/>
  <c r="CC90" i="7"/>
  <c r="CB91" i="7" s="1"/>
  <c r="BI158" i="7"/>
  <c r="BI104" i="7"/>
  <c r="BM104" i="7" s="1"/>
  <c r="AJ102" i="7"/>
  <c r="AN102" i="7" s="1"/>
  <c r="BC157" i="7"/>
  <c r="BP157" i="7" s="1"/>
  <c r="BD90" i="7"/>
  <c r="BC91" i="7" s="1"/>
  <c r="CH103" i="7"/>
  <c r="CL103" i="7" s="1"/>
  <c r="E275" i="1"/>
  <c r="E302" i="1" s="1"/>
  <c r="BK93" i="1"/>
  <c r="BD93" i="1"/>
  <c r="BC94" i="1" s="1"/>
  <c r="BP94" i="1" s="1"/>
  <c r="BQ94" i="1" s="1"/>
  <c r="E183" i="1"/>
  <c r="F175" i="1"/>
  <c r="F273" i="1" s="1"/>
  <c r="AR99" i="1"/>
  <c r="AJ101" i="1"/>
  <c r="AN101" i="1" s="1"/>
  <c r="AQ100" i="1"/>
  <c r="AL100" i="1"/>
  <c r="AE100" i="1"/>
  <c r="AD101" i="1" s="1"/>
  <c r="BK94" i="1"/>
  <c r="M14" i="1"/>
  <c r="R14" i="1"/>
  <c r="BI95" i="1"/>
  <c r="BM95" i="1" s="1"/>
  <c r="M285" i="1"/>
  <c r="M288" i="1"/>
  <c r="CP20" i="1"/>
  <c r="CB21" i="1"/>
  <c r="I363" i="4"/>
  <c r="I358" i="4"/>
  <c r="I328" i="4"/>
  <c r="DN55" i="4"/>
  <c r="DP55" i="4"/>
  <c r="AS36" i="4"/>
  <c r="AN36" i="4"/>
  <c r="AP36" i="4"/>
  <c r="N55" i="4"/>
  <c r="P55" i="4"/>
  <c r="BN55" i="4"/>
  <c r="BP55" i="4"/>
  <c r="CN54" i="4"/>
  <c r="CP54" i="4"/>
  <c r="CS54" i="4"/>
  <c r="CT54" i="4" s="1"/>
  <c r="CG54" i="4"/>
  <c r="CF55" i="4" s="1"/>
  <c r="I359" i="4"/>
  <c r="I336" i="4"/>
  <c r="I360" i="4" s="1"/>
  <c r="M297" i="1"/>
  <c r="F14" i="1"/>
  <c r="E15" i="1" s="1"/>
  <c r="K21" i="1"/>
  <c r="K22" i="1" s="1"/>
  <c r="DG55" i="4"/>
  <c r="DF56" i="4" s="1"/>
  <c r="DF187" i="4" s="1"/>
  <c r="L300" i="4" s="1"/>
  <c r="DS55" i="4"/>
  <c r="DT55" i="4" s="1"/>
  <c r="BG55" i="4"/>
  <c r="BF56" i="4" s="1"/>
  <c r="BF187" i="4" s="1"/>
  <c r="L252" i="4" s="1"/>
  <c r="BS55" i="4"/>
  <c r="BT55" i="4" s="1"/>
  <c r="G55" i="4"/>
  <c r="F56" i="4" s="1"/>
  <c r="F187" i="4" s="1"/>
  <c r="L204" i="4" s="1"/>
  <c r="S55" i="4"/>
  <c r="AG36" i="4"/>
  <c r="T54" i="4"/>
  <c r="L62" i="4"/>
  <c r="DL62" i="4"/>
  <c r="AL63" i="4"/>
  <c r="AL188" i="4" s="1"/>
  <c r="M234" i="4" s="1"/>
  <c r="BL61" i="4"/>
  <c r="CL61" i="4"/>
  <c r="CH33" i="1"/>
  <c r="CH148" i="1" s="1"/>
  <c r="S13" i="1"/>
  <c r="HE125" i="7" l="1"/>
  <c r="EM126" i="7"/>
  <c r="EN126" i="7"/>
  <c r="DI126" i="7"/>
  <c r="DB126" i="7"/>
  <c r="DA127" i="7" s="1"/>
  <c r="EH126" i="7"/>
  <c r="CO157" i="7"/>
  <c r="Q254" i="7" s="1"/>
  <c r="DO126" i="7"/>
  <c r="V371" i="7"/>
  <c r="V302" i="7"/>
  <c r="GF125" i="7"/>
  <c r="HJ162" i="7"/>
  <c r="V358" i="7"/>
  <c r="FY125" i="7"/>
  <c r="FX126" i="7" s="1"/>
  <c r="FY126" i="7" s="1"/>
  <c r="FX127" i="7" s="1"/>
  <c r="GK162" i="7"/>
  <c r="V348" i="7" s="1"/>
  <c r="V335" i="7"/>
  <c r="P419" i="7"/>
  <c r="GX125" i="7"/>
  <c r="GW126" i="7" s="1"/>
  <c r="HE126" i="7" s="1"/>
  <c r="GK125" i="7"/>
  <c r="GL125" i="7" s="1"/>
  <c r="CO91" i="7"/>
  <c r="CJ91" i="7"/>
  <c r="HJ126" i="7"/>
  <c r="HK126" i="7" s="1"/>
  <c r="HC127" i="7"/>
  <c r="HG127" i="7" s="1"/>
  <c r="GD126" i="7"/>
  <c r="GH126" i="7" s="1"/>
  <c r="EZ127" i="7"/>
  <c r="EY128" i="7" s="1"/>
  <c r="FG127" i="7"/>
  <c r="FL127" i="7"/>
  <c r="FM127" i="7" s="1"/>
  <c r="FE127" i="7"/>
  <c r="FI127" i="7" s="1"/>
  <c r="EA127" i="7"/>
  <c r="DZ128" i="7" s="1"/>
  <c r="EH127" i="7"/>
  <c r="EM127" i="7"/>
  <c r="EN127" i="7" s="1"/>
  <c r="EF128" i="7"/>
  <c r="EJ128" i="7" s="1"/>
  <c r="DB127" i="7"/>
  <c r="DA128" i="7" s="1"/>
  <c r="DI127" i="7"/>
  <c r="DN127" i="7"/>
  <c r="DG127" i="7"/>
  <c r="DK127" i="7" s="1"/>
  <c r="CO109" i="8"/>
  <c r="CP109" i="8" s="1"/>
  <c r="CJ109" i="8"/>
  <c r="CC109" i="8"/>
  <c r="CB110" i="8" s="1"/>
  <c r="CL109" i="8"/>
  <c r="BD108" i="8"/>
  <c r="BC109" i="8" s="1"/>
  <c r="BP108" i="8"/>
  <c r="BQ108" i="8" s="1"/>
  <c r="BK108" i="8"/>
  <c r="O121" i="8"/>
  <c r="K122" i="8"/>
  <c r="AN123" i="8"/>
  <c r="AJ124" i="8"/>
  <c r="AQ109" i="8"/>
  <c r="AR109" i="8" s="1"/>
  <c r="AL109" i="8"/>
  <c r="AE109" i="8"/>
  <c r="AD110" i="8" s="1"/>
  <c r="R108" i="8"/>
  <c r="S108" i="8" s="1"/>
  <c r="M108" i="8"/>
  <c r="F108" i="8"/>
  <c r="E109" i="8" s="1"/>
  <c r="CH124" i="8"/>
  <c r="BI123" i="8"/>
  <c r="BM122" i="8"/>
  <c r="DK121" i="8"/>
  <c r="DG122" i="8"/>
  <c r="DI122" i="8"/>
  <c r="DB122" i="8"/>
  <c r="DA123" i="8" s="1"/>
  <c r="DN122" i="8"/>
  <c r="DO122" i="8" s="1"/>
  <c r="E282" i="1"/>
  <c r="E305" i="1" s="1"/>
  <c r="H247" i="1"/>
  <c r="BD94" i="1"/>
  <c r="BC95" i="1" s="1"/>
  <c r="BK95" i="1" s="1"/>
  <c r="F308" i="1"/>
  <c r="D29" i="5" s="1"/>
  <c r="Q241" i="7"/>
  <c r="Q217" i="7"/>
  <c r="R223" i="7"/>
  <c r="AE96" i="7"/>
  <c r="AL96" i="7"/>
  <c r="AQ96" i="7"/>
  <c r="AR96" i="7" s="1"/>
  <c r="S92" i="7"/>
  <c r="F93" i="7"/>
  <c r="E94" i="7" s="1"/>
  <c r="R93" i="7"/>
  <c r="M93" i="7"/>
  <c r="BI105" i="7"/>
  <c r="BM105" i="7" s="1"/>
  <c r="CC91" i="7"/>
  <c r="CB92" i="7" s="1"/>
  <c r="CP90" i="7"/>
  <c r="K158" i="7"/>
  <c r="K104" i="7"/>
  <c r="O104" i="7" s="1"/>
  <c r="CH158" i="7"/>
  <c r="CH104" i="7"/>
  <c r="CL104" i="7" s="1"/>
  <c r="BD91" i="7"/>
  <c r="BC92" i="7" s="1"/>
  <c r="BP91" i="7"/>
  <c r="BQ91" i="7" s="1"/>
  <c r="BK91" i="7"/>
  <c r="AJ103" i="7"/>
  <c r="AN103" i="7" s="1"/>
  <c r="AR100" i="1"/>
  <c r="AQ101" i="1"/>
  <c r="AE101" i="1"/>
  <c r="AD102" i="1" s="1"/>
  <c r="AL101" i="1"/>
  <c r="AJ102" i="1"/>
  <c r="AN102" i="1" s="1"/>
  <c r="M15" i="1"/>
  <c r="R15" i="1"/>
  <c r="BI96" i="1"/>
  <c r="BD95" i="1"/>
  <c r="BC96" i="1" s="1"/>
  <c r="M306" i="1"/>
  <c r="M307" i="1"/>
  <c r="CO21" i="1"/>
  <c r="CL21" i="1"/>
  <c r="CC21" i="1"/>
  <c r="CJ21" i="1"/>
  <c r="I327" i="4"/>
  <c r="I353" i="4"/>
  <c r="I374" i="4" s="1"/>
  <c r="I343" i="4"/>
  <c r="N56" i="4"/>
  <c r="P56" i="4"/>
  <c r="P187" i="4" s="1"/>
  <c r="L214" i="4" s="1"/>
  <c r="BN56" i="4"/>
  <c r="BP56" i="4"/>
  <c r="BP187" i="4" s="1"/>
  <c r="L262" i="4" s="1"/>
  <c r="CN55" i="4"/>
  <c r="CP55" i="4"/>
  <c r="CG55" i="4"/>
  <c r="CF56" i="4" s="1"/>
  <c r="CF187" i="4" s="1"/>
  <c r="L277" i="4" s="1"/>
  <c r="CS55" i="4"/>
  <c r="CT55" i="4" s="1"/>
  <c r="DN56" i="4"/>
  <c r="DP56" i="4"/>
  <c r="DP187" i="4" s="1"/>
  <c r="L310" i="4" s="1"/>
  <c r="F15" i="1"/>
  <c r="E16" i="1" s="1"/>
  <c r="DS56" i="4"/>
  <c r="BS56" i="4"/>
  <c r="S56" i="4"/>
  <c r="AF37" i="4"/>
  <c r="AT36" i="4"/>
  <c r="T55" i="4"/>
  <c r="DG56" i="4"/>
  <c r="DG187" i="4" s="1"/>
  <c r="L301" i="4" s="1"/>
  <c r="BL62" i="4"/>
  <c r="DL63" i="4"/>
  <c r="DL188" i="4" s="1"/>
  <c r="M306" i="4" s="1"/>
  <c r="G56" i="4"/>
  <c r="G187" i="4" s="1"/>
  <c r="L205" i="4" s="1"/>
  <c r="L63" i="4"/>
  <c r="L188" i="4" s="1"/>
  <c r="M210" i="4" s="1"/>
  <c r="CL62" i="4"/>
  <c r="AL64" i="4"/>
  <c r="BG56" i="4"/>
  <c r="BG187" i="4" s="1"/>
  <c r="L253" i="4" s="1"/>
  <c r="G292" i="1"/>
  <c r="CH34" i="1"/>
  <c r="S14" i="1"/>
  <c r="DO127" i="7" l="1"/>
  <c r="GF126" i="7"/>
  <c r="GK126" i="7"/>
  <c r="GL126" i="7" s="1"/>
  <c r="GX126" i="7"/>
  <c r="GW127" i="7" s="1"/>
  <c r="HJ127" i="7" s="1"/>
  <c r="HK127" i="7" s="1"/>
  <c r="Q384" i="7"/>
  <c r="Q394" i="7" s="1"/>
  <c r="Q421" i="7" s="1"/>
  <c r="CO92" i="7"/>
  <c r="CJ92" i="7"/>
  <c r="HC128" i="7"/>
  <c r="HG128" i="7" s="1"/>
  <c r="FY127" i="7"/>
  <c r="FX128" i="7" s="1"/>
  <c r="GF127" i="7"/>
  <c r="GK127" i="7"/>
  <c r="GD127" i="7"/>
  <c r="GH127" i="7" s="1"/>
  <c r="FE128" i="7"/>
  <c r="FI128" i="7" s="1"/>
  <c r="FL128" i="7"/>
  <c r="FM128" i="7" s="1"/>
  <c r="EZ128" i="7"/>
  <c r="EY129" i="7" s="1"/>
  <c r="FG128" i="7"/>
  <c r="EF129" i="7"/>
  <c r="EJ129" i="7" s="1"/>
  <c r="EM128" i="7"/>
  <c r="EN128" i="7" s="1"/>
  <c r="EA128" i="7"/>
  <c r="DZ129" i="7" s="1"/>
  <c r="EH128" i="7"/>
  <c r="DG128" i="7"/>
  <c r="DK128" i="7" s="1"/>
  <c r="DN128" i="7"/>
  <c r="DB128" i="7"/>
  <c r="DA129" i="7" s="1"/>
  <c r="DI128" i="7"/>
  <c r="Q409" i="7"/>
  <c r="Q435" i="7" s="1"/>
  <c r="O8" i="5" s="1"/>
  <c r="O19" i="5" s="1"/>
  <c r="DO123" i="8"/>
  <c r="DN123" i="8"/>
  <c r="DB123" i="8"/>
  <c r="DA124" i="8" s="1"/>
  <c r="DI123" i="8"/>
  <c r="AQ110" i="8"/>
  <c r="AE110" i="8"/>
  <c r="AL110" i="8"/>
  <c r="BM123" i="8"/>
  <c r="BI124" i="8"/>
  <c r="R109" i="8"/>
  <c r="S109" i="8" s="1"/>
  <c r="F109" i="8"/>
  <c r="E110" i="8" s="1"/>
  <c r="M109" i="8"/>
  <c r="O122" i="8"/>
  <c r="K123" i="8"/>
  <c r="BP109" i="8"/>
  <c r="BQ109" i="8" s="1"/>
  <c r="BD109" i="8"/>
  <c r="BC110" i="8" s="1"/>
  <c r="BK109" i="8"/>
  <c r="AR110" i="8"/>
  <c r="DG123" i="8"/>
  <c r="DK122" i="8"/>
  <c r="CH161" i="8"/>
  <c r="U247" i="8" s="1"/>
  <c r="DG161" i="8"/>
  <c r="U270" i="8" s="1"/>
  <c r="CH125" i="8"/>
  <c r="AJ161" i="8"/>
  <c r="AJ125" i="8"/>
  <c r="AN124" i="8"/>
  <c r="CO110" i="8"/>
  <c r="CP110" i="8" s="1"/>
  <c r="CC110" i="8"/>
  <c r="CJ110" i="8"/>
  <c r="CL110" i="8"/>
  <c r="BP95" i="1"/>
  <c r="BQ95" i="1" s="1"/>
  <c r="BI157" i="1"/>
  <c r="Q223" i="1" s="1"/>
  <c r="BM96" i="1"/>
  <c r="R247" i="7"/>
  <c r="AR157" i="7"/>
  <c r="Q206" i="7" s="1"/>
  <c r="AD97" i="7"/>
  <c r="AE157" i="7"/>
  <c r="Q193" i="7" s="1"/>
  <c r="F94" i="7"/>
  <c r="E95" i="7" s="1"/>
  <c r="R94" i="7"/>
  <c r="M94" i="7"/>
  <c r="S93" i="7"/>
  <c r="BP92" i="7"/>
  <c r="BQ92" i="7" s="1"/>
  <c r="BD92" i="7"/>
  <c r="BC93" i="7" s="1"/>
  <c r="BK92" i="7"/>
  <c r="AJ158" i="7"/>
  <c r="AJ104" i="7"/>
  <c r="AN104" i="7" s="1"/>
  <c r="CH105" i="7"/>
  <c r="CL105" i="7" s="1"/>
  <c r="R175" i="7"/>
  <c r="BI106" i="7"/>
  <c r="BM106" i="7" s="1"/>
  <c r="CC92" i="7"/>
  <c r="CB93" i="7" s="1"/>
  <c r="K105" i="7"/>
  <c r="O105" i="7" s="1"/>
  <c r="CP91" i="7"/>
  <c r="AR101" i="1"/>
  <c r="AL102" i="1"/>
  <c r="AQ102" i="1"/>
  <c r="AE102" i="1"/>
  <c r="AD103" i="1" s="1"/>
  <c r="AJ103" i="1"/>
  <c r="BP96" i="1"/>
  <c r="BQ96" i="1" s="1"/>
  <c r="BQ157" i="1" s="1"/>
  <c r="BK96" i="1"/>
  <c r="M16" i="1"/>
  <c r="R16" i="1"/>
  <c r="BI97" i="1"/>
  <c r="BM97" i="1" s="1"/>
  <c r="BM157" i="1"/>
  <c r="BD96" i="1"/>
  <c r="CB22" i="1"/>
  <c r="CP21" i="1"/>
  <c r="CN56" i="4"/>
  <c r="CP56" i="4"/>
  <c r="CP187" i="4" s="1"/>
  <c r="L287" i="4" s="1"/>
  <c r="CS56" i="4"/>
  <c r="CT56" i="4" s="1"/>
  <c r="CT187" i="4" s="1"/>
  <c r="L291" i="4" s="1"/>
  <c r="CG56" i="4"/>
  <c r="CG187" i="4" s="1"/>
  <c r="L278" i="4" s="1"/>
  <c r="AS37" i="4"/>
  <c r="AN37" i="4"/>
  <c r="AP37" i="4"/>
  <c r="AG37" i="4"/>
  <c r="BL63" i="4"/>
  <c r="BL188" i="4" s="1"/>
  <c r="M258" i="4" s="1"/>
  <c r="AL65" i="4"/>
  <c r="DF57" i="4"/>
  <c r="DT56" i="4"/>
  <c r="DT187" i="4" s="1"/>
  <c r="L314" i="4" s="1"/>
  <c r="BT56" i="4"/>
  <c r="BT187" i="4" s="1"/>
  <c r="L266" i="4" s="1"/>
  <c r="BF57" i="4"/>
  <c r="L64" i="4"/>
  <c r="DL64" i="4"/>
  <c r="CL63" i="4"/>
  <c r="CL188" i="4" s="1"/>
  <c r="M283" i="4" s="1"/>
  <c r="F57" i="4"/>
  <c r="T56" i="4"/>
  <c r="T187" i="4" s="1"/>
  <c r="L218" i="4" s="1"/>
  <c r="CH35" i="1"/>
  <c r="K23" i="1"/>
  <c r="S15" i="1"/>
  <c r="F16" i="1"/>
  <c r="E17" i="1" s="1"/>
  <c r="DO128" i="7" l="1"/>
  <c r="GX127" i="7"/>
  <c r="GW128" i="7" s="1"/>
  <c r="HJ128" i="7" s="1"/>
  <c r="HK128" i="7" s="1"/>
  <c r="HE127" i="7"/>
  <c r="GL127" i="7"/>
  <c r="Q392" i="7"/>
  <c r="Q420" i="7" s="1"/>
  <c r="CO93" i="7"/>
  <c r="CJ93" i="7"/>
  <c r="HC129" i="7"/>
  <c r="HG129" i="7" s="1"/>
  <c r="GD128" i="7"/>
  <c r="GH128" i="7" s="1"/>
  <c r="GK128" i="7"/>
  <c r="FY128" i="7"/>
  <c r="FX129" i="7" s="1"/>
  <c r="GF128" i="7"/>
  <c r="FE129" i="7"/>
  <c r="FI129" i="7" s="1"/>
  <c r="FL129" i="7"/>
  <c r="FM129" i="7" s="1"/>
  <c r="EZ129" i="7"/>
  <c r="EY130" i="7" s="1"/>
  <c r="FG129" i="7"/>
  <c r="EF130" i="7"/>
  <c r="EJ130" i="7" s="1"/>
  <c r="EM129" i="7"/>
  <c r="EN129" i="7" s="1"/>
  <c r="EA129" i="7"/>
  <c r="DZ130" i="7" s="1"/>
  <c r="EH129" i="7"/>
  <c r="DG129" i="7"/>
  <c r="DK129" i="7" s="1"/>
  <c r="DN129" i="7"/>
  <c r="DO129" i="7" s="1"/>
  <c r="DB129" i="7"/>
  <c r="DA130" i="7" s="1"/>
  <c r="DI129" i="7"/>
  <c r="DO159" i="8"/>
  <c r="S278" i="8" s="1"/>
  <c r="CP159" i="8"/>
  <c r="S255" i="8" s="1"/>
  <c r="CC159" i="8"/>
  <c r="S242" i="8" s="1"/>
  <c r="DB159" i="8"/>
  <c r="S265" i="8" s="1"/>
  <c r="CB111" i="8"/>
  <c r="U198" i="8"/>
  <c r="BI161" i="8"/>
  <c r="U223" i="8" s="1"/>
  <c r="BI125" i="8"/>
  <c r="BM124" i="8"/>
  <c r="BM161" i="8" s="1"/>
  <c r="U227" i="8" s="1"/>
  <c r="AE159" i="8"/>
  <c r="S193" i="8" s="1"/>
  <c r="AD111" i="8"/>
  <c r="CH126" i="8"/>
  <c r="BP110" i="8"/>
  <c r="BQ110" i="8" s="1"/>
  <c r="BK110" i="8"/>
  <c r="BD110" i="8"/>
  <c r="DK159" i="8"/>
  <c r="S274" i="8" s="1"/>
  <c r="CL159" i="8"/>
  <c r="S251" i="8" s="1"/>
  <c r="DK123" i="8"/>
  <c r="DG124" i="8"/>
  <c r="F110" i="8"/>
  <c r="R110" i="8"/>
  <c r="S110" i="8" s="1"/>
  <c r="M110" i="8"/>
  <c r="AJ126" i="8"/>
  <c r="AN125" i="8"/>
  <c r="AR159" i="8"/>
  <c r="S206" i="8" s="1"/>
  <c r="K124" i="8"/>
  <c r="O123" i="8"/>
  <c r="DI124" i="8"/>
  <c r="DB124" i="8"/>
  <c r="DA125" i="8" s="1"/>
  <c r="DN124" i="8"/>
  <c r="DO124" i="8" s="1"/>
  <c r="R198" i="7"/>
  <c r="AJ158" i="1"/>
  <c r="R198" i="1" s="1"/>
  <c r="AN103" i="1"/>
  <c r="AE97" i="7"/>
  <c r="AD98" i="7" s="1"/>
  <c r="AL97" i="7"/>
  <c r="AD158" i="7"/>
  <c r="AQ97" i="7"/>
  <c r="AR97" i="7" s="1"/>
  <c r="S94" i="7"/>
  <c r="F95" i="7"/>
  <c r="E96" i="7" s="1"/>
  <c r="R95" i="7"/>
  <c r="M95" i="7"/>
  <c r="CH106" i="7"/>
  <c r="CL106" i="7" s="1"/>
  <c r="K106" i="7"/>
  <c r="O106" i="7" s="1"/>
  <c r="CP92" i="7"/>
  <c r="CC93" i="7"/>
  <c r="CB94" i="7" s="1"/>
  <c r="BI107" i="7"/>
  <c r="BM107" i="7" s="1"/>
  <c r="R390" i="7"/>
  <c r="AJ105" i="7"/>
  <c r="AN105" i="7" s="1"/>
  <c r="BD93" i="7"/>
  <c r="BC94" i="7" s="1"/>
  <c r="BP93" i="7"/>
  <c r="BQ93" i="7" s="1"/>
  <c r="BK93" i="7"/>
  <c r="AR102" i="1"/>
  <c r="AQ103" i="1"/>
  <c r="AE103" i="1"/>
  <c r="AD104" i="1" s="1"/>
  <c r="AL103" i="1"/>
  <c r="AJ104" i="1"/>
  <c r="AN104" i="1" s="1"/>
  <c r="BC97" i="1"/>
  <c r="BC158" i="1" s="1"/>
  <c r="R217" i="1" s="1"/>
  <c r="BD157" i="1"/>
  <c r="Q218" i="1" s="1"/>
  <c r="M17" i="1"/>
  <c r="R17" i="1"/>
  <c r="BI98" i="1"/>
  <c r="BM98" i="1" s="1"/>
  <c r="CO22" i="1"/>
  <c r="CL22" i="1"/>
  <c r="CC22" i="1"/>
  <c r="CJ22" i="1"/>
  <c r="N57" i="4"/>
  <c r="P57" i="4"/>
  <c r="DN57" i="4"/>
  <c r="DP57" i="4"/>
  <c r="CF57" i="4"/>
  <c r="BN57" i="4"/>
  <c r="BP57" i="4"/>
  <c r="DG57" i="4"/>
  <c r="DF58" i="4" s="1"/>
  <c r="DS57" i="4"/>
  <c r="BG57" i="4"/>
  <c r="BF58" i="4" s="1"/>
  <c r="BS57" i="4"/>
  <c r="BT57" i="4" s="1"/>
  <c r="G57" i="4"/>
  <c r="F58" i="4" s="1"/>
  <c r="S57" i="4"/>
  <c r="AF38" i="4"/>
  <c r="AP38" i="4" s="1"/>
  <c r="AT37" i="4"/>
  <c r="CL64" i="4"/>
  <c r="L65" i="4"/>
  <c r="DT57" i="4"/>
  <c r="DL65" i="4"/>
  <c r="AL66" i="4"/>
  <c r="BL64" i="4"/>
  <c r="CH36" i="1"/>
  <c r="K24" i="1"/>
  <c r="S16" i="1"/>
  <c r="HE128" i="7" l="1"/>
  <c r="GX128" i="7"/>
  <c r="GW129" i="7" s="1"/>
  <c r="HJ129" i="7" s="1"/>
  <c r="HK129" i="7" s="1"/>
  <c r="AN158" i="7"/>
  <c r="R202" i="7" s="1"/>
  <c r="AQ158" i="7"/>
  <c r="GL128" i="7"/>
  <c r="CO94" i="7"/>
  <c r="CJ94" i="7"/>
  <c r="HC130" i="7"/>
  <c r="HG130" i="7" s="1"/>
  <c r="GD129" i="7"/>
  <c r="GH129" i="7" s="1"/>
  <c r="GK129" i="7"/>
  <c r="FY129" i="7"/>
  <c r="FX130" i="7" s="1"/>
  <c r="GF129" i="7"/>
  <c r="FE130" i="7"/>
  <c r="FI130" i="7" s="1"/>
  <c r="FL130" i="7"/>
  <c r="FM130" i="7" s="1"/>
  <c r="FG130" i="7"/>
  <c r="EZ130" i="7"/>
  <c r="EY131" i="7" s="1"/>
  <c r="EF131" i="7"/>
  <c r="EM130" i="7"/>
  <c r="EN130" i="7" s="1"/>
  <c r="EH130" i="7"/>
  <c r="EA130" i="7"/>
  <c r="DZ131" i="7" s="1"/>
  <c r="DG130" i="7"/>
  <c r="DK130" i="7" s="1"/>
  <c r="DN130" i="7"/>
  <c r="DO130" i="7" s="1"/>
  <c r="DB130" i="7"/>
  <c r="DA131" i="7" s="1"/>
  <c r="DI130" i="7"/>
  <c r="BQ159" i="8"/>
  <c r="S231" i="8" s="1"/>
  <c r="S159" i="8"/>
  <c r="S183" i="8" s="1"/>
  <c r="DO125" i="8"/>
  <c r="DN125" i="8"/>
  <c r="DB125" i="8"/>
  <c r="DA126" i="8" s="1"/>
  <c r="DI125" i="8"/>
  <c r="BD159" i="8"/>
  <c r="S218" i="8" s="1"/>
  <c r="BC111" i="8"/>
  <c r="CH127" i="8"/>
  <c r="BI126" i="8"/>
  <c r="BM125" i="8"/>
  <c r="DA160" i="8"/>
  <c r="T264" i="8" s="1"/>
  <c r="CB160" i="8"/>
  <c r="T241" i="8" s="1"/>
  <c r="CO111" i="8"/>
  <c r="CJ111" i="8"/>
  <c r="CC111" i="8"/>
  <c r="CB112" i="8" s="1"/>
  <c r="CL111" i="8"/>
  <c r="AD160" i="8"/>
  <c r="AE111" i="8"/>
  <c r="AD112" i="8" s="1"/>
  <c r="AL111" i="8"/>
  <c r="AQ111" i="8"/>
  <c r="AR111" i="8" s="1"/>
  <c r="F159" i="8"/>
  <c r="S170" i="8" s="1"/>
  <c r="E111" i="8"/>
  <c r="K161" i="8"/>
  <c r="K125" i="8"/>
  <c r="O124" i="8"/>
  <c r="AN126" i="8"/>
  <c r="AJ127" i="8"/>
  <c r="DG125" i="8"/>
  <c r="DK124" i="8"/>
  <c r="R192" i="7"/>
  <c r="AD159" i="1"/>
  <c r="S192" i="1" s="1"/>
  <c r="AE158" i="1"/>
  <c r="R193" i="1" s="1"/>
  <c r="S95" i="7"/>
  <c r="AQ98" i="7"/>
  <c r="AR98" i="7" s="1"/>
  <c r="AL98" i="7"/>
  <c r="AE98" i="7"/>
  <c r="AD99" i="7" s="1"/>
  <c r="F96" i="7"/>
  <c r="R96" i="7"/>
  <c r="M96" i="7"/>
  <c r="BI108" i="7"/>
  <c r="BM108" i="7" s="1"/>
  <c r="CC94" i="7"/>
  <c r="CB95" i="7" s="1"/>
  <c r="BK94" i="7"/>
  <c r="BP94" i="7"/>
  <c r="BQ94" i="7" s="1"/>
  <c r="BD94" i="7"/>
  <c r="BC95" i="7" s="1"/>
  <c r="AJ106" i="7"/>
  <c r="AN106" i="7" s="1"/>
  <c r="CP93" i="7"/>
  <c r="CH107" i="7"/>
  <c r="CL107" i="7" s="1"/>
  <c r="R426" i="7"/>
  <c r="P34" i="5" s="1"/>
  <c r="K107" i="7"/>
  <c r="O107" i="7" s="1"/>
  <c r="AR103" i="1"/>
  <c r="AR158" i="1" s="1"/>
  <c r="R206" i="1" s="1"/>
  <c r="AJ105" i="1"/>
  <c r="AN105" i="1" s="1"/>
  <c r="AQ104" i="1"/>
  <c r="AE104" i="1"/>
  <c r="AD105" i="1" s="1"/>
  <c r="BK97" i="1"/>
  <c r="BD97" i="1"/>
  <c r="BC98" i="1" s="1"/>
  <c r="BP97" i="1"/>
  <c r="BQ97" i="1" s="1"/>
  <c r="BI99" i="1"/>
  <c r="BM99" i="1" s="1"/>
  <c r="CP22" i="1"/>
  <c r="CB23" i="1"/>
  <c r="M350" i="4"/>
  <c r="DN58" i="4"/>
  <c r="DP58" i="4"/>
  <c r="AS38" i="4"/>
  <c r="AN38" i="4"/>
  <c r="N58" i="4"/>
  <c r="P58" i="4"/>
  <c r="BN58" i="4"/>
  <c r="BP58" i="4"/>
  <c r="CN57" i="4"/>
  <c r="CP57" i="4"/>
  <c r="CG57" i="4"/>
  <c r="CF58" i="4" s="1"/>
  <c r="CS57" i="4"/>
  <c r="CT57" i="4" s="1"/>
  <c r="M332" i="4"/>
  <c r="F17" i="1"/>
  <c r="E18" i="1" s="1"/>
  <c r="S17" i="1"/>
  <c r="DG58" i="4"/>
  <c r="DF59" i="4" s="1"/>
  <c r="DS58" i="4"/>
  <c r="DT58" i="4" s="1"/>
  <c r="BG58" i="4"/>
  <c r="BF59" i="4" s="1"/>
  <c r="BS58" i="4"/>
  <c r="BT58" i="4" s="1"/>
  <c r="G58" i="4"/>
  <c r="F59" i="4" s="1"/>
  <c r="S58" i="4"/>
  <c r="AG38" i="4"/>
  <c r="CL65" i="4"/>
  <c r="AL67" i="4"/>
  <c r="T57" i="4"/>
  <c r="L66" i="4"/>
  <c r="BL65" i="4"/>
  <c r="DL66" i="4"/>
  <c r="CH37" i="1"/>
  <c r="K25" i="1"/>
  <c r="HE129" i="7" l="1"/>
  <c r="GX129" i="7"/>
  <c r="GW130" i="7" s="1"/>
  <c r="HJ130" i="7" s="1"/>
  <c r="HK130" i="7" s="1"/>
  <c r="GL129" i="7"/>
  <c r="EF162" i="7"/>
  <c r="V295" i="7" s="1"/>
  <c r="EJ131" i="7"/>
  <c r="EJ162" i="7" s="1"/>
  <c r="V299" i="7" s="1"/>
  <c r="CO95" i="7"/>
  <c r="CJ95" i="7"/>
  <c r="HC131" i="7"/>
  <c r="GD130" i="7"/>
  <c r="GH130" i="7" s="1"/>
  <c r="GK130" i="7"/>
  <c r="GL130" i="7" s="1"/>
  <c r="FY130" i="7"/>
  <c r="FX131" i="7" s="1"/>
  <c r="GF130" i="7"/>
  <c r="FL131" i="7"/>
  <c r="FM131" i="7" s="1"/>
  <c r="FM162" i="7" s="1"/>
  <c r="V326" i="7" s="1"/>
  <c r="EZ131" i="7"/>
  <c r="FG131" i="7"/>
  <c r="FE131" i="7"/>
  <c r="EF132" i="7"/>
  <c r="EJ132" i="7" s="1"/>
  <c r="EM131" i="7"/>
  <c r="EN131" i="7" s="1"/>
  <c r="EN162" i="7" s="1"/>
  <c r="V303" i="7" s="1"/>
  <c r="EA131" i="7"/>
  <c r="EH131" i="7"/>
  <c r="DG131" i="7"/>
  <c r="DI131" i="7"/>
  <c r="DN131" i="7"/>
  <c r="DO131" i="7" s="1"/>
  <c r="DO162" i="7" s="1"/>
  <c r="V279" i="7" s="1"/>
  <c r="DB131" i="7"/>
  <c r="S291" i="8"/>
  <c r="S325" i="8"/>
  <c r="DK125" i="8"/>
  <c r="DG126" i="8"/>
  <c r="O125" i="8"/>
  <c r="K126" i="8"/>
  <c r="CH128" i="8"/>
  <c r="U175" i="8"/>
  <c r="U296" i="8" s="1"/>
  <c r="DN126" i="8"/>
  <c r="DI126" i="8"/>
  <c r="DB126" i="8"/>
  <c r="DA127" i="8" s="1"/>
  <c r="AN127" i="8"/>
  <c r="AJ128" i="8"/>
  <c r="CO112" i="8"/>
  <c r="CC112" i="8"/>
  <c r="CB113" i="8" s="1"/>
  <c r="CJ112" i="8"/>
  <c r="CL112" i="8"/>
  <c r="E160" i="8"/>
  <c r="R111" i="8"/>
  <c r="S111" i="8" s="1"/>
  <c r="F111" i="8"/>
  <c r="E112" i="8" s="1"/>
  <c r="M111" i="8"/>
  <c r="AQ112" i="8"/>
  <c r="AR112" i="8" s="1"/>
  <c r="AE112" i="8"/>
  <c r="AD113" i="8" s="1"/>
  <c r="AL112" i="8"/>
  <c r="BC160" i="8"/>
  <c r="BP111" i="8"/>
  <c r="BQ111" i="8" s="1"/>
  <c r="BD111" i="8"/>
  <c r="BC112" i="8" s="1"/>
  <c r="BK111" i="8"/>
  <c r="T192" i="8"/>
  <c r="AQ160" i="8"/>
  <c r="T205" i="8" s="1"/>
  <c r="AN160" i="8"/>
  <c r="T202" i="8" s="1"/>
  <c r="CP111" i="8"/>
  <c r="BM126" i="8"/>
  <c r="BI127" i="8"/>
  <c r="DO126" i="8"/>
  <c r="S96" i="7"/>
  <c r="S157" i="7" s="1"/>
  <c r="AL104" i="1"/>
  <c r="AE99" i="7"/>
  <c r="AD100" i="7" s="1"/>
  <c r="AL99" i="7"/>
  <c r="AQ99" i="7"/>
  <c r="AR99" i="7" s="1"/>
  <c r="E97" i="7"/>
  <c r="F157" i="7"/>
  <c r="Q170" i="7" s="1"/>
  <c r="AJ107" i="7"/>
  <c r="AN107" i="7" s="1"/>
  <c r="CH108" i="7"/>
  <c r="CL108" i="7" s="1"/>
  <c r="CP94" i="7"/>
  <c r="BP95" i="7"/>
  <c r="BQ95" i="7" s="1"/>
  <c r="BD95" i="7"/>
  <c r="BC96" i="7" s="1"/>
  <c r="BK95" i="7"/>
  <c r="BI109" i="7"/>
  <c r="BM109" i="7" s="1"/>
  <c r="K108" i="7"/>
  <c r="O108" i="7" s="1"/>
  <c r="CC95" i="7"/>
  <c r="CB96" i="7" s="1"/>
  <c r="AR104" i="1"/>
  <c r="AJ106" i="1"/>
  <c r="AN106" i="1" s="1"/>
  <c r="AQ105" i="1"/>
  <c r="AL105" i="1"/>
  <c r="AE105" i="1"/>
  <c r="AD106" i="1" s="1"/>
  <c r="BD98" i="1"/>
  <c r="BC99" i="1" s="1"/>
  <c r="BK98" i="1"/>
  <c r="BP98" i="1"/>
  <c r="BQ98" i="1" s="1"/>
  <c r="M18" i="1"/>
  <c r="R18" i="1"/>
  <c r="BI100" i="1"/>
  <c r="BM100" i="1" s="1"/>
  <c r="CO23" i="1"/>
  <c r="CL23" i="1"/>
  <c r="CC23" i="1"/>
  <c r="CJ23" i="1"/>
  <c r="N59" i="4"/>
  <c r="P59" i="4"/>
  <c r="BN59" i="4"/>
  <c r="BP59" i="4"/>
  <c r="DN59" i="4"/>
  <c r="DP59" i="4"/>
  <c r="CN58" i="4"/>
  <c r="CP58" i="4"/>
  <c r="CS58" i="4"/>
  <c r="CT58" i="4" s="1"/>
  <c r="CG58" i="4"/>
  <c r="CF59" i="4" s="1"/>
  <c r="DG59" i="4"/>
  <c r="DF60" i="4" s="1"/>
  <c r="DS59" i="4"/>
  <c r="DT59" i="4" s="1"/>
  <c r="BG59" i="4"/>
  <c r="BF60" i="4" s="1"/>
  <c r="BS59" i="4"/>
  <c r="BT59" i="4" s="1"/>
  <c r="G59" i="4"/>
  <c r="F60" i="4" s="1"/>
  <c r="S59" i="4"/>
  <c r="AT38" i="4"/>
  <c r="AF39" i="4"/>
  <c r="DL67" i="4"/>
  <c r="T58" i="4"/>
  <c r="AL68" i="4"/>
  <c r="BL66" i="4"/>
  <c r="L67" i="4"/>
  <c r="CL66" i="4"/>
  <c r="CH38" i="1"/>
  <c r="K26" i="1"/>
  <c r="F18" i="1"/>
  <c r="HE130" i="7" l="1"/>
  <c r="GX130" i="7"/>
  <c r="GW131" i="7" s="1"/>
  <c r="DA132" i="7"/>
  <c r="DA163" i="7" s="1"/>
  <c r="DB162" i="7"/>
  <c r="FE162" i="7"/>
  <c r="V318" i="7" s="1"/>
  <c r="FI131" i="7"/>
  <c r="FI162" i="7" s="1"/>
  <c r="V322" i="7" s="1"/>
  <c r="CO96" i="7"/>
  <c r="CJ96" i="7"/>
  <c r="DZ132" i="7"/>
  <c r="DZ163" i="7" s="1"/>
  <c r="EA162" i="7"/>
  <c r="EY132" i="7"/>
  <c r="EY163" i="7" s="1"/>
  <c r="EZ162" i="7"/>
  <c r="V313" i="7" s="1"/>
  <c r="DG162" i="7"/>
  <c r="V271" i="7" s="1"/>
  <c r="DK131" i="7"/>
  <c r="DK162" i="7" s="1"/>
  <c r="V275" i="7" s="1"/>
  <c r="HC162" i="7"/>
  <c r="V364" i="7" s="1"/>
  <c r="HG131" i="7"/>
  <c r="HG162" i="7" s="1"/>
  <c r="V368" i="7" s="1"/>
  <c r="HC132" i="7"/>
  <c r="HG132" i="7" s="1"/>
  <c r="HJ131" i="7"/>
  <c r="HK131" i="7" s="1"/>
  <c r="HK162" i="7" s="1"/>
  <c r="V372" i="7" s="1"/>
  <c r="GX131" i="7"/>
  <c r="HE131" i="7"/>
  <c r="GD131" i="7"/>
  <c r="GK131" i="7"/>
  <c r="GL131" i="7" s="1"/>
  <c r="GL162" i="7" s="1"/>
  <c r="V349" i="7" s="1"/>
  <c r="FY131" i="7"/>
  <c r="GF131" i="7"/>
  <c r="FE132" i="7"/>
  <c r="FI132" i="7" s="1"/>
  <c r="EF133" i="7"/>
  <c r="EJ133" i="7" s="1"/>
  <c r="DG132" i="7"/>
  <c r="DK132" i="7" s="1"/>
  <c r="DI132" i="7"/>
  <c r="DB132" i="7"/>
  <c r="DA133" i="7" s="1"/>
  <c r="AQ113" i="8"/>
  <c r="AR113" i="8" s="1"/>
  <c r="AL113" i="8"/>
  <c r="AE113" i="8"/>
  <c r="AD114" i="8" s="1"/>
  <c r="DN127" i="8"/>
  <c r="DO127" i="8" s="1"/>
  <c r="DB127" i="8"/>
  <c r="DA128" i="8" s="1"/>
  <c r="DI127" i="8"/>
  <c r="AN128" i="8"/>
  <c r="AJ129" i="8"/>
  <c r="CH129" i="8"/>
  <c r="DG127" i="8"/>
  <c r="DK126" i="8"/>
  <c r="T217" i="8"/>
  <c r="BP160" i="8"/>
  <c r="T230" i="8" s="1"/>
  <c r="CO113" i="8"/>
  <c r="CJ113" i="8"/>
  <c r="CC113" i="8"/>
  <c r="CB114" i="8" s="1"/>
  <c r="CL113" i="8"/>
  <c r="BM127" i="8"/>
  <c r="BI128" i="8"/>
  <c r="T169" i="8"/>
  <c r="R160" i="8"/>
  <c r="T182" i="8" s="1"/>
  <c r="M160" i="8"/>
  <c r="T177" i="8" s="1"/>
  <c r="O160" i="8"/>
  <c r="T179" i="8" s="1"/>
  <c r="BK112" i="8"/>
  <c r="BD112" i="8"/>
  <c r="BC113" i="8" s="1"/>
  <c r="BP112" i="8"/>
  <c r="BQ112" i="8" s="1"/>
  <c r="CP112" i="8"/>
  <c r="R112" i="8"/>
  <c r="S112" i="8" s="1"/>
  <c r="M112" i="8"/>
  <c r="F112" i="8"/>
  <c r="E113" i="8" s="1"/>
  <c r="U332" i="8"/>
  <c r="K127" i="8"/>
  <c r="O126" i="8"/>
  <c r="Q183" i="7"/>
  <c r="Q399" i="7" s="1"/>
  <c r="Q184" i="7"/>
  <c r="AL100" i="7"/>
  <c r="AE100" i="7"/>
  <c r="AD101" i="7" s="1"/>
  <c r="AQ100" i="7"/>
  <c r="AR100" i="7" s="1"/>
  <c r="F97" i="7"/>
  <c r="E98" i="7" s="1"/>
  <c r="E158" i="7"/>
  <c r="R97" i="7"/>
  <c r="M97" i="7"/>
  <c r="BI110" i="7"/>
  <c r="BM110" i="7" s="1"/>
  <c r="AJ108" i="7"/>
  <c r="AN108" i="7" s="1"/>
  <c r="K109" i="7"/>
  <c r="O109" i="7" s="1"/>
  <c r="CP95" i="7"/>
  <c r="CH109" i="7"/>
  <c r="CL109" i="7" s="1"/>
  <c r="BD96" i="7"/>
  <c r="BP96" i="7"/>
  <c r="BQ96" i="7" s="1"/>
  <c r="BK96" i="7"/>
  <c r="BM157" i="7"/>
  <c r="Q227" i="7" s="1"/>
  <c r="CC96" i="7"/>
  <c r="AR105" i="1"/>
  <c r="BD99" i="1"/>
  <c r="BC100" i="1" s="1"/>
  <c r="BD100" i="1" s="1"/>
  <c r="BC101" i="1" s="1"/>
  <c r="K147" i="1"/>
  <c r="G175" i="1" s="1"/>
  <c r="BK99" i="1"/>
  <c r="AQ106" i="1"/>
  <c r="AL106" i="1"/>
  <c r="AE106" i="1"/>
  <c r="AD107" i="1" s="1"/>
  <c r="AJ107" i="1"/>
  <c r="AN107" i="1" s="1"/>
  <c r="BP99" i="1"/>
  <c r="BQ99" i="1" s="1"/>
  <c r="BI101" i="1"/>
  <c r="BM101" i="1" s="1"/>
  <c r="CP23" i="1"/>
  <c r="CB24" i="1"/>
  <c r="DN60" i="4"/>
  <c r="DP60" i="4"/>
  <c r="N60" i="4"/>
  <c r="P60" i="4"/>
  <c r="BN60" i="4"/>
  <c r="BP60" i="4"/>
  <c r="AS39" i="4"/>
  <c r="AN39" i="4"/>
  <c r="AP39" i="4"/>
  <c r="CN59" i="4"/>
  <c r="CP59" i="4"/>
  <c r="CS59" i="4"/>
  <c r="CT59" i="4" s="1"/>
  <c r="CG59" i="4"/>
  <c r="CF60" i="4" s="1"/>
  <c r="DG60" i="4"/>
  <c r="DF61" i="4" s="1"/>
  <c r="DS60" i="4"/>
  <c r="BG60" i="4"/>
  <c r="BF61" i="4" s="1"/>
  <c r="BS60" i="4"/>
  <c r="BT60" i="4" s="1"/>
  <c r="G60" i="4"/>
  <c r="F61" i="4" s="1"/>
  <c r="S60" i="4"/>
  <c r="AG39" i="4"/>
  <c r="T59" i="4"/>
  <c r="DL68" i="4"/>
  <c r="AL69" i="4"/>
  <c r="L68" i="4"/>
  <c r="DT60" i="4"/>
  <c r="CL67" i="4"/>
  <c r="BL67" i="4"/>
  <c r="CH39" i="1"/>
  <c r="S18" i="1"/>
  <c r="E19" i="1"/>
  <c r="O158" i="7" l="1"/>
  <c r="R158" i="7"/>
  <c r="V290" i="7"/>
  <c r="V266" i="7"/>
  <c r="DN163" i="7"/>
  <c r="W278" i="7" s="1"/>
  <c r="W265" i="7"/>
  <c r="EM163" i="7"/>
  <c r="W289" i="7"/>
  <c r="FL163" i="7"/>
  <c r="W325" i="7" s="1"/>
  <c r="W312" i="7"/>
  <c r="EH132" i="7"/>
  <c r="EA132" i="7"/>
  <c r="DZ133" i="7" s="1"/>
  <c r="EA133" i="7" s="1"/>
  <c r="DZ134" i="7" s="1"/>
  <c r="EZ132" i="7"/>
  <c r="EY133" i="7" s="1"/>
  <c r="EZ133" i="7" s="1"/>
  <c r="EY134" i="7" s="1"/>
  <c r="EM132" i="7"/>
  <c r="EN132" i="7" s="1"/>
  <c r="DN132" i="7"/>
  <c r="DO132" i="7" s="1"/>
  <c r="FG132" i="7"/>
  <c r="FL132" i="7"/>
  <c r="FM132" i="7" s="1"/>
  <c r="GD162" i="7"/>
  <c r="V341" i="7" s="1"/>
  <c r="GH131" i="7"/>
  <c r="GH162" i="7" s="1"/>
  <c r="V345" i="7" s="1"/>
  <c r="FX132" i="7"/>
  <c r="FX163" i="7" s="1"/>
  <c r="FY162" i="7"/>
  <c r="V336" i="7" s="1"/>
  <c r="GW132" i="7"/>
  <c r="GW163" i="7" s="1"/>
  <c r="GX162" i="7"/>
  <c r="V359" i="7" s="1"/>
  <c r="HC133" i="7"/>
  <c r="HG133" i="7" s="1"/>
  <c r="GD132" i="7"/>
  <c r="GH132" i="7" s="1"/>
  <c r="FE133" i="7"/>
  <c r="FI133" i="7" s="1"/>
  <c r="EF134" i="7"/>
  <c r="EJ134" i="7" s="1"/>
  <c r="DN133" i="7"/>
  <c r="DB133" i="7"/>
  <c r="DA134" i="7" s="1"/>
  <c r="DI133" i="7"/>
  <c r="DG133" i="7"/>
  <c r="DK133" i="7" s="1"/>
  <c r="BP113" i="8"/>
  <c r="BQ113" i="8" s="1"/>
  <c r="BD113" i="8"/>
  <c r="BC114" i="8" s="1"/>
  <c r="BK113" i="8"/>
  <c r="T290" i="8"/>
  <c r="T315" i="8"/>
  <c r="CO114" i="8"/>
  <c r="CC114" i="8"/>
  <c r="CB115" i="8" s="1"/>
  <c r="CJ114" i="8"/>
  <c r="CL114" i="8"/>
  <c r="CH130" i="8"/>
  <c r="AQ114" i="8"/>
  <c r="AR114" i="8" s="1"/>
  <c r="AE114" i="8"/>
  <c r="AD115" i="8" s="1"/>
  <c r="AL114" i="8"/>
  <c r="R113" i="8"/>
  <c r="S113" i="8" s="1"/>
  <c r="F113" i="8"/>
  <c r="E114" i="8" s="1"/>
  <c r="M113" i="8"/>
  <c r="CP113" i="8"/>
  <c r="CP114" i="8" s="1"/>
  <c r="BI129" i="8"/>
  <c r="BM128" i="8"/>
  <c r="O127" i="8"/>
  <c r="K128" i="8"/>
  <c r="AJ130" i="8"/>
  <c r="AN129" i="8"/>
  <c r="DN128" i="8"/>
  <c r="DO128" i="8" s="1"/>
  <c r="DI128" i="8"/>
  <c r="DB128" i="8"/>
  <c r="DA129" i="8" s="1"/>
  <c r="DK127" i="8"/>
  <c r="DG128" i="8"/>
  <c r="M158" i="7"/>
  <c r="R169" i="7"/>
  <c r="BK100" i="1"/>
  <c r="CL157" i="7"/>
  <c r="AE101" i="7"/>
  <c r="AD102" i="7" s="1"/>
  <c r="AQ101" i="7"/>
  <c r="AR101" i="7" s="1"/>
  <c r="AL101" i="7"/>
  <c r="CP96" i="7"/>
  <c r="CP157" i="7" s="1"/>
  <c r="S97" i="7"/>
  <c r="R179" i="7"/>
  <c r="F98" i="7"/>
  <c r="E99" i="7" s="1"/>
  <c r="R98" i="7"/>
  <c r="M98" i="7"/>
  <c r="BQ157" i="7"/>
  <c r="Q231" i="7" s="1"/>
  <c r="BD157" i="7"/>
  <c r="BC97" i="7"/>
  <c r="BI159" i="7"/>
  <c r="BI111" i="7"/>
  <c r="BM111" i="7" s="1"/>
  <c r="K110" i="7"/>
  <c r="O110" i="7" s="1"/>
  <c r="CC157" i="7"/>
  <c r="CB97" i="7"/>
  <c r="CH110" i="7"/>
  <c r="CL110" i="7" s="1"/>
  <c r="AJ109" i="7"/>
  <c r="AN109" i="7" s="1"/>
  <c r="AR106" i="1"/>
  <c r="BP100" i="1"/>
  <c r="BQ100" i="1" s="1"/>
  <c r="AE107" i="1"/>
  <c r="AD108" i="1" s="1"/>
  <c r="AL107" i="1"/>
  <c r="AQ107" i="1"/>
  <c r="AJ108" i="1"/>
  <c r="AN108" i="1" s="1"/>
  <c r="BP101" i="1"/>
  <c r="BK101" i="1"/>
  <c r="M19" i="1"/>
  <c r="R19" i="1"/>
  <c r="BD101" i="1"/>
  <c r="BC102" i="1" s="1"/>
  <c r="BI102" i="1"/>
  <c r="BM102" i="1" s="1"/>
  <c r="I227" i="1"/>
  <c r="G273" i="1"/>
  <c r="CO24" i="1"/>
  <c r="CL24" i="1"/>
  <c r="CC24" i="1"/>
  <c r="CJ24" i="1"/>
  <c r="BN61" i="4"/>
  <c r="BP61" i="4"/>
  <c r="N61" i="4"/>
  <c r="P61" i="4"/>
  <c r="DN61" i="4"/>
  <c r="DP61" i="4"/>
  <c r="CN60" i="4"/>
  <c r="CP60" i="4"/>
  <c r="CS60" i="4"/>
  <c r="CT60" i="4" s="1"/>
  <c r="CG60" i="4"/>
  <c r="CF61" i="4" s="1"/>
  <c r="F169" i="1"/>
  <c r="F267" i="1" s="1"/>
  <c r="DG61" i="4"/>
  <c r="DF62" i="4" s="1"/>
  <c r="DS61" i="4"/>
  <c r="DT61" i="4" s="1"/>
  <c r="BG61" i="4"/>
  <c r="BF62" i="4" s="1"/>
  <c r="BS61" i="4"/>
  <c r="BT61" i="4" s="1"/>
  <c r="G61" i="4"/>
  <c r="F62" i="4" s="1"/>
  <c r="S61" i="4"/>
  <c r="AF40" i="4"/>
  <c r="AT39" i="4"/>
  <c r="T60" i="4"/>
  <c r="CL68" i="4"/>
  <c r="DL69" i="4"/>
  <c r="BL68" i="4"/>
  <c r="L69" i="4"/>
  <c r="AL70" i="4"/>
  <c r="AL189" i="4" s="1"/>
  <c r="N234" i="4" s="1"/>
  <c r="H176" i="1"/>
  <c r="CH40" i="1"/>
  <c r="K28" i="1"/>
  <c r="F19" i="1"/>
  <c r="EM133" i="7" l="1"/>
  <c r="EH133" i="7"/>
  <c r="W302" i="7"/>
  <c r="W371" i="7"/>
  <c r="HJ163" i="7"/>
  <c r="W358" i="7"/>
  <c r="GK163" i="7"/>
  <c r="W348" i="7" s="1"/>
  <c r="W335" i="7"/>
  <c r="FL133" i="7"/>
  <c r="FM133" i="7" s="1"/>
  <c r="FG133" i="7"/>
  <c r="EN133" i="7"/>
  <c r="DO133" i="7"/>
  <c r="GX132" i="7"/>
  <c r="GW133" i="7" s="1"/>
  <c r="HE133" i="7" s="1"/>
  <c r="HJ132" i="7"/>
  <c r="HK132" i="7" s="1"/>
  <c r="HE132" i="7"/>
  <c r="FY132" i="7"/>
  <c r="FX133" i="7" s="1"/>
  <c r="GK133" i="7" s="1"/>
  <c r="GF132" i="7"/>
  <c r="CO97" i="7"/>
  <c r="CJ97" i="7"/>
  <c r="GK132" i="7"/>
  <c r="GL132" i="7" s="1"/>
  <c r="HC134" i="7"/>
  <c r="HG134" i="7" s="1"/>
  <c r="GD133" i="7"/>
  <c r="GH133" i="7" s="1"/>
  <c r="FL134" i="7"/>
  <c r="EZ134" i="7"/>
  <c r="EY135" i="7" s="1"/>
  <c r="FG134" i="7"/>
  <c r="FE134" i="7"/>
  <c r="FI134" i="7" s="1"/>
  <c r="EF135" i="7"/>
  <c r="EJ135" i="7" s="1"/>
  <c r="EM134" i="7"/>
  <c r="EN134" i="7" s="1"/>
  <c r="EA134" i="7"/>
  <c r="DZ135" i="7" s="1"/>
  <c r="EH134" i="7"/>
  <c r="DI134" i="7"/>
  <c r="DN134" i="7"/>
  <c r="DB134" i="7"/>
  <c r="DA135" i="7" s="1"/>
  <c r="DG134" i="7"/>
  <c r="DK134" i="7" s="1"/>
  <c r="T298" i="8"/>
  <c r="T326" i="8" s="1"/>
  <c r="T305" i="8"/>
  <c r="T329" i="8" s="1"/>
  <c r="T300" i="8"/>
  <c r="T327" i="8" s="1"/>
  <c r="M114" i="8"/>
  <c r="F114" i="8"/>
  <c r="E115" i="8" s="1"/>
  <c r="R114" i="8"/>
  <c r="S114" i="8" s="1"/>
  <c r="DN129" i="8"/>
  <c r="DO129" i="8" s="1"/>
  <c r="DB129" i="8"/>
  <c r="DA130" i="8" s="1"/>
  <c r="DI129" i="8"/>
  <c r="AN130" i="8"/>
  <c r="AJ131" i="8"/>
  <c r="BM129" i="8"/>
  <c r="BI130" i="8"/>
  <c r="CJ115" i="8"/>
  <c r="CC115" i="8"/>
  <c r="CB116" i="8" s="1"/>
  <c r="CO115" i="8"/>
  <c r="CP115" i="8" s="1"/>
  <c r="CL115" i="8"/>
  <c r="DG129" i="8"/>
  <c r="DK128" i="8"/>
  <c r="K129" i="8"/>
  <c r="O128" i="8"/>
  <c r="CH131" i="8"/>
  <c r="BP114" i="8"/>
  <c r="BQ114" i="8" s="1"/>
  <c r="BK114" i="8"/>
  <c r="BD114" i="8"/>
  <c r="BC115" i="8" s="1"/>
  <c r="AQ115" i="8"/>
  <c r="AR115" i="8" s="1"/>
  <c r="AL115" i="8"/>
  <c r="AE115" i="8"/>
  <c r="AD116" i="8" s="1"/>
  <c r="F277" i="1"/>
  <c r="F282" i="1"/>
  <c r="AR107" i="1"/>
  <c r="F275" i="1"/>
  <c r="Q385" i="7"/>
  <c r="Q242" i="7"/>
  <c r="Q251" i="7"/>
  <c r="S223" i="7"/>
  <c r="Q218" i="7"/>
  <c r="AE102" i="7"/>
  <c r="AD103" i="7" s="1"/>
  <c r="AQ102" i="7"/>
  <c r="AR102" i="7" s="1"/>
  <c r="AL102" i="7"/>
  <c r="S98" i="7"/>
  <c r="F99" i="7"/>
  <c r="E100" i="7" s="1"/>
  <c r="M99" i="7"/>
  <c r="R99" i="7"/>
  <c r="BI112" i="7"/>
  <c r="BM112" i="7" s="1"/>
  <c r="CH159" i="7"/>
  <c r="CH111" i="7"/>
  <c r="CL111" i="7" s="1"/>
  <c r="K159" i="7"/>
  <c r="K111" i="7"/>
  <c r="O111" i="7" s="1"/>
  <c r="BC158" i="7"/>
  <c r="BP158" i="7" s="1"/>
  <c r="BP97" i="7"/>
  <c r="BD97" i="7"/>
  <c r="BC98" i="7" s="1"/>
  <c r="BK97" i="7"/>
  <c r="AJ110" i="7"/>
  <c r="AN110" i="7" s="1"/>
  <c r="CB158" i="7"/>
  <c r="CC97" i="7"/>
  <c r="CB98" i="7" s="1"/>
  <c r="BQ101" i="1"/>
  <c r="F146" i="1"/>
  <c r="F170" i="1" s="1"/>
  <c r="F268" i="1" s="1"/>
  <c r="CH149" i="1"/>
  <c r="AJ109" i="1"/>
  <c r="AN109" i="1" s="1"/>
  <c r="AQ108" i="1"/>
  <c r="AE108" i="1"/>
  <c r="AD109" i="1" s="1"/>
  <c r="AL108" i="1"/>
  <c r="BP102" i="1"/>
  <c r="BK102" i="1"/>
  <c r="BD102" i="1"/>
  <c r="BC103" i="1" s="1"/>
  <c r="BI103" i="1"/>
  <c r="I231" i="1"/>
  <c r="G308" i="1"/>
  <c r="E29" i="5" s="1"/>
  <c r="F291" i="1"/>
  <c r="F317" i="1" s="1"/>
  <c r="D5" i="5" s="1"/>
  <c r="O146" i="1"/>
  <c r="CB25" i="1"/>
  <c r="CP24" i="1"/>
  <c r="DN62" i="4"/>
  <c r="DP62" i="4"/>
  <c r="AS40" i="4"/>
  <c r="AN40" i="4"/>
  <c r="AP40" i="4"/>
  <c r="N62" i="4"/>
  <c r="P62" i="4"/>
  <c r="BN62" i="4"/>
  <c r="BP62" i="4"/>
  <c r="CN61" i="4"/>
  <c r="CP61" i="4"/>
  <c r="CS61" i="4"/>
  <c r="CT61" i="4" s="1"/>
  <c r="CG61" i="4"/>
  <c r="CF62" i="4" s="1"/>
  <c r="T61" i="4"/>
  <c r="DG62" i="4"/>
  <c r="DF63" i="4" s="1"/>
  <c r="DF188" i="4" s="1"/>
  <c r="M300" i="4" s="1"/>
  <c r="DS62" i="4"/>
  <c r="DT62" i="4" s="1"/>
  <c r="BG62" i="4"/>
  <c r="BF63" i="4" s="1"/>
  <c r="BF188" i="4" s="1"/>
  <c r="M252" i="4" s="1"/>
  <c r="BS62" i="4"/>
  <c r="BT62" i="4" s="1"/>
  <c r="G62" i="4"/>
  <c r="F63" i="4" s="1"/>
  <c r="F188" i="4" s="1"/>
  <c r="M204" i="4" s="1"/>
  <c r="S62" i="4"/>
  <c r="AG40" i="4"/>
  <c r="L70" i="4"/>
  <c r="L189" i="4" s="1"/>
  <c r="N210" i="4" s="1"/>
  <c r="DL70" i="4"/>
  <c r="DL189" i="4" s="1"/>
  <c r="N306" i="4" s="1"/>
  <c r="AL71" i="4"/>
  <c r="BL69" i="4"/>
  <c r="CL69" i="4"/>
  <c r="H292" i="1"/>
  <c r="CH41" i="1"/>
  <c r="K29" i="1"/>
  <c r="K30" i="1" s="1"/>
  <c r="K31" i="1" s="1"/>
  <c r="K32" i="1" s="1"/>
  <c r="K33" i="1" s="1"/>
  <c r="S19" i="1"/>
  <c r="E20" i="1"/>
  <c r="CO158" i="7" l="1"/>
  <c r="HJ133" i="7"/>
  <c r="HK133" i="7" s="1"/>
  <c r="DO134" i="7"/>
  <c r="GX133" i="7"/>
  <c r="GW134" i="7" s="1"/>
  <c r="GX134" i="7" s="1"/>
  <c r="GW135" i="7" s="1"/>
  <c r="FM134" i="7"/>
  <c r="Q419" i="7"/>
  <c r="GF133" i="7"/>
  <c r="GL133" i="7"/>
  <c r="FY133" i="7"/>
  <c r="FX134" i="7" s="1"/>
  <c r="FY134" i="7" s="1"/>
  <c r="FX135" i="7" s="1"/>
  <c r="CO98" i="7"/>
  <c r="CJ98" i="7"/>
  <c r="HJ134" i="7"/>
  <c r="HK134" i="7" s="1"/>
  <c r="HC135" i="7"/>
  <c r="HG135" i="7" s="1"/>
  <c r="GD134" i="7"/>
  <c r="GH134" i="7" s="1"/>
  <c r="FL135" i="7"/>
  <c r="FM135" i="7" s="1"/>
  <c r="EZ135" i="7"/>
  <c r="EY136" i="7" s="1"/>
  <c r="FG135" i="7"/>
  <c r="FE135" i="7"/>
  <c r="FI135" i="7" s="1"/>
  <c r="EF136" i="7"/>
  <c r="EJ136" i="7" s="1"/>
  <c r="EM135" i="7"/>
  <c r="EN135" i="7" s="1"/>
  <c r="EA135" i="7"/>
  <c r="DZ136" i="7" s="1"/>
  <c r="EH135" i="7"/>
  <c r="DN135" i="7"/>
  <c r="DB135" i="7"/>
  <c r="DA136" i="7" s="1"/>
  <c r="DI135" i="7"/>
  <c r="DG135" i="7"/>
  <c r="DK135" i="7" s="1"/>
  <c r="DG162" i="8"/>
  <c r="V270" i="8" s="1"/>
  <c r="CH162" i="8"/>
  <c r="V247" i="8" s="1"/>
  <c r="CH132" i="8"/>
  <c r="O129" i="8"/>
  <c r="K130" i="8"/>
  <c r="DN130" i="8"/>
  <c r="DO130" i="8" s="1"/>
  <c r="DB130" i="8"/>
  <c r="DA131" i="8" s="1"/>
  <c r="DI130" i="8"/>
  <c r="BP115" i="8"/>
  <c r="BQ115" i="8" s="1"/>
  <c r="BD115" i="8"/>
  <c r="BC116" i="8" s="1"/>
  <c r="BK115" i="8"/>
  <c r="CO116" i="8"/>
  <c r="CP116" i="8" s="1"/>
  <c r="CC116" i="8"/>
  <c r="CB117" i="8" s="1"/>
  <c r="CJ116" i="8"/>
  <c r="CL116" i="8"/>
  <c r="AJ162" i="8"/>
  <c r="AJ132" i="8"/>
  <c r="AN131" i="8"/>
  <c r="AQ116" i="8"/>
  <c r="AR116" i="8" s="1"/>
  <c r="AE116" i="8"/>
  <c r="AD117" i="8" s="1"/>
  <c r="AL116" i="8"/>
  <c r="DK129" i="8"/>
  <c r="DG130" i="8"/>
  <c r="BI131" i="8"/>
  <c r="BM130" i="8"/>
  <c r="R115" i="8"/>
  <c r="S115" i="8" s="1"/>
  <c r="F115" i="8"/>
  <c r="E116" i="8" s="1"/>
  <c r="M115" i="8"/>
  <c r="BQ102" i="1"/>
  <c r="BI158" i="1"/>
  <c r="R223" i="1" s="1"/>
  <c r="BM103" i="1"/>
  <c r="BM158" i="1" s="1"/>
  <c r="I247" i="1"/>
  <c r="S247" i="7"/>
  <c r="Q423" i="7"/>
  <c r="Q255" i="7"/>
  <c r="R241" i="7"/>
  <c r="R217" i="7"/>
  <c r="AE103" i="7"/>
  <c r="AL103" i="7"/>
  <c r="AQ103" i="7"/>
  <c r="AR103" i="7" s="1"/>
  <c r="F100" i="7"/>
  <c r="E101" i="7" s="1"/>
  <c r="M100" i="7"/>
  <c r="R100" i="7"/>
  <c r="S99" i="7"/>
  <c r="BK98" i="7"/>
  <c r="BD98" i="7"/>
  <c r="BC99" i="7" s="1"/>
  <c r="BP98" i="7"/>
  <c r="K112" i="7"/>
  <c r="O112" i="7" s="1"/>
  <c r="E205" i="7"/>
  <c r="K205" i="7"/>
  <c r="F205" i="7"/>
  <c r="L205" i="7"/>
  <c r="G205" i="7"/>
  <c r="M205" i="7"/>
  <c r="H205" i="7"/>
  <c r="N205" i="7"/>
  <c r="I205" i="7"/>
  <c r="J205" i="7"/>
  <c r="P205" i="7"/>
  <c r="Q205" i="7"/>
  <c r="BQ97" i="7"/>
  <c r="S175" i="7"/>
  <c r="CC98" i="7"/>
  <c r="CB99" i="7" s="1"/>
  <c r="AJ159" i="7"/>
  <c r="AJ111" i="7"/>
  <c r="AN111" i="7" s="1"/>
  <c r="BI113" i="7"/>
  <c r="BM113" i="7" s="1"/>
  <c r="CP97" i="7"/>
  <c r="F200" i="7"/>
  <c r="CH112" i="7"/>
  <c r="CL112" i="7" s="1"/>
  <c r="F179" i="1"/>
  <c r="AR108" i="1"/>
  <c r="R20" i="1"/>
  <c r="AJ110" i="1"/>
  <c r="AQ109" i="1"/>
  <c r="AL109" i="1"/>
  <c r="AE109" i="1"/>
  <c r="AD110" i="1" s="1"/>
  <c r="BP103" i="1"/>
  <c r="BQ103" i="1" s="1"/>
  <c r="BQ158" i="1" s="1"/>
  <c r="BK103" i="1"/>
  <c r="E147" i="1"/>
  <c r="M20" i="1"/>
  <c r="BD103" i="1"/>
  <c r="BI104" i="1"/>
  <c r="BM104" i="1" s="1"/>
  <c r="S146" i="1"/>
  <c r="F301" i="1"/>
  <c r="CO25" i="1"/>
  <c r="CL25" i="1"/>
  <c r="CC25" i="1"/>
  <c r="CJ25" i="1"/>
  <c r="DN63" i="4"/>
  <c r="DP63" i="4"/>
  <c r="DP188" i="4" s="1"/>
  <c r="M310" i="4" s="1"/>
  <c r="N63" i="4"/>
  <c r="P63" i="4"/>
  <c r="P188" i="4" s="1"/>
  <c r="M214" i="4" s="1"/>
  <c r="BN63" i="4"/>
  <c r="BP63" i="4"/>
  <c r="BP188" i="4" s="1"/>
  <c r="M262" i="4" s="1"/>
  <c r="CN62" i="4"/>
  <c r="CP62" i="4"/>
  <c r="CS62" i="4"/>
  <c r="CT62" i="4" s="1"/>
  <c r="CG62" i="4"/>
  <c r="CF63" i="4" s="1"/>
  <c r="CF188" i="4" s="1"/>
  <c r="M277" i="4" s="1"/>
  <c r="F20" i="1"/>
  <c r="E21" i="1" s="1"/>
  <c r="T62" i="4"/>
  <c r="DS63" i="4"/>
  <c r="BS63" i="4"/>
  <c r="S63" i="4"/>
  <c r="AF41" i="4"/>
  <c r="AT40" i="4"/>
  <c r="DG63" i="4"/>
  <c r="DG188" i="4" s="1"/>
  <c r="M301" i="4" s="1"/>
  <c r="AL72" i="4"/>
  <c r="DL71" i="4"/>
  <c r="CL70" i="4"/>
  <c r="CL189" i="4" s="1"/>
  <c r="N283" i="4" s="1"/>
  <c r="G63" i="4"/>
  <c r="G188" i="4" s="1"/>
  <c r="M205" i="4" s="1"/>
  <c r="BG63" i="4"/>
  <c r="BG188" i="4" s="1"/>
  <c r="M253" i="4" s="1"/>
  <c r="L71" i="4"/>
  <c r="BL70" i="4"/>
  <c r="G269" i="1"/>
  <c r="G184" i="1"/>
  <c r="G180" i="1"/>
  <c r="G278" i="1" s="1"/>
  <c r="CH42" i="1"/>
  <c r="GK134" i="7" l="1"/>
  <c r="GL134" i="7" s="1"/>
  <c r="DO135" i="7"/>
  <c r="HE134" i="7"/>
  <c r="R409" i="7"/>
  <c r="R435" i="7" s="1"/>
  <c r="P8" i="5" s="1"/>
  <c r="P19" i="5" s="1"/>
  <c r="GF134" i="7"/>
  <c r="CO99" i="7"/>
  <c r="CJ99" i="7"/>
  <c r="HJ135" i="7"/>
  <c r="HK135" i="7" s="1"/>
  <c r="GX135" i="7"/>
  <c r="GW136" i="7" s="1"/>
  <c r="HE135" i="7"/>
  <c r="HC136" i="7"/>
  <c r="HG136" i="7" s="1"/>
  <c r="GD135" i="7"/>
  <c r="GH135" i="7" s="1"/>
  <c r="GK135" i="7"/>
  <c r="FY135" i="7"/>
  <c r="FX136" i="7" s="1"/>
  <c r="GF135" i="7"/>
  <c r="FL136" i="7"/>
  <c r="FM136" i="7" s="1"/>
  <c r="EZ136" i="7"/>
  <c r="EY137" i="7" s="1"/>
  <c r="FG136" i="7"/>
  <c r="FE136" i="7"/>
  <c r="FI136" i="7" s="1"/>
  <c r="EF137" i="7"/>
  <c r="EJ137" i="7" s="1"/>
  <c r="EM136" i="7"/>
  <c r="EN136" i="7" s="1"/>
  <c r="EA136" i="7"/>
  <c r="DZ137" i="7" s="1"/>
  <c r="EH136" i="7"/>
  <c r="DN136" i="7"/>
  <c r="DB136" i="7"/>
  <c r="DA137" i="7" s="1"/>
  <c r="DI136" i="7"/>
  <c r="DG136" i="7"/>
  <c r="DK136" i="7" s="1"/>
  <c r="BD116" i="8"/>
  <c r="BC117" i="8" s="1"/>
  <c r="BP116" i="8"/>
  <c r="BQ116" i="8" s="1"/>
  <c r="BK116" i="8"/>
  <c r="CH133" i="8"/>
  <c r="AN132" i="8"/>
  <c r="AJ133" i="8"/>
  <c r="CO117" i="8"/>
  <c r="CP117" i="8" s="1"/>
  <c r="CJ117" i="8"/>
  <c r="CC117" i="8"/>
  <c r="CL117" i="8"/>
  <c r="K131" i="8"/>
  <c r="O130" i="8"/>
  <c r="BI162" i="8"/>
  <c r="V223" i="8" s="1"/>
  <c r="BM131" i="8"/>
  <c r="BM162" i="8" s="1"/>
  <c r="V227" i="8" s="1"/>
  <c r="BI132" i="8"/>
  <c r="AL117" i="8"/>
  <c r="AE117" i="8"/>
  <c r="AQ117" i="8"/>
  <c r="AR117" i="8" s="1"/>
  <c r="V198" i="8"/>
  <c r="R116" i="8"/>
  <c r="S116" i="8" s="1"/>
  <c r="M116" i="8"/>
  <c r="F116" i="8"/>
  <c r="E117" i="8" s="1"/>
  <c r="DG131" i="8"/>
  <c r="DK130" i="8"/>
  <c r="DN131" i="8"/>
  <c r="DO131" i="8" s="1"/>
  <c r="DB131" i="8"/>
  <c r="DA132" i="8" s="1"/>
  <c r="DI131" i="8"/>
  <c r="S198" i="7"/>
  <c r="S390" i="7" s="1"/>
  <c r="AJ159" i="1"/>
  <c r="S198" i="1" s="1"/>
  <c r="AN110" i="1"/>
  <c r="R384" i="7"/>
  <c r="R392" i="7" s="1"/>
  <c r="R420" i="7" s="1"/>
  <c r="AR109" i="1"/>
  <c r="R205" i="7"/>
  <c r="BQ98" i="7"/>
  <c r="AR158" i="7"/>
  <c r="R206" i="7" s="1"/>
  <c r="AD104" i="7"/>
  <c r="AE158" i="7"/>
  <c r="R193" i="7" s="1"/>
  <c r="CP98" i="7"/>
  <c r="S100" i="7"/>
  <c r="F101" i="7"/>
  <c r="E102" i="7" s="1"/>
  <c r="R101" i="7"/>
  <c r="M101" i="7"/>
  <c r="BI114" i="7"/>
  <c r="BM114" i="7" s="1"/>
  <c r="K113" i="7"/>
  <c r="O113" i="7" s="1"/>
  <c r="BP99" i="7"/>
  <c r="BK99" i="7"/>
  <c r="BD99" i="7"/>
  <c r="BC100" i="7" s="1"/>
  <c r="AJ112" i="7"/>
  <c r="AN112" i="7" s="1"/>
  <c r="CC99" i="7"/>
  <c r="CB100" i="7" s="1"/>
  <c r="CH113" i="7"/>
  <c r="CL113" i="7" s="1"/>
  <c r="F183" i="1"/>
  <c r="AQ110" i="1"/>
  <c r="AL110" i="1"/>
  <c r="AE110" i="1"/>
  <c r="AJ111" i="1"/>
  <c r="AN111" i="1" s="1"/>
  <c r="BC104" i="1"/>
  <c r="BC159" i="1" s="1"/>
  <c r="S217" i="1" s="1"/>
  <c r="BD158" i="1"/>
  <c r="R218" i="1" s="1"/>
  <c r="M21" i="1"/>
  <c r="R21" i="1"/>
  <c r="BI105" i="1"/>
  <c r="BM105" i="1" s="1"/>
  <c r="S20" i="1"/>
  <c r="F303" i="1"/>
  <c r="F302" i="1"/>
  <c r="CP25" i="1"/>
  <c r="CB26" i="1"/>
  <c r="BL189" i="4"/>
  <c r="N258" i="4" s="1"/>
  <c r="CN63" i="4"/>
  <c r="CP63" i="4"/>
  <c r="CP188" i="4" s="1"/>
  <c r="M287" i="4" s="1"/>
  <c r="CS63" i="4"/>
  <c r="CT63" i="4" s="1"/>
  <c r="CT188" i="4" s="1"/>
  <c r="M291" i="4" s="1"/>
  <c r="CG63" i="4"/>
  <c r="CG188" i="4" s="1"/>
  <c r="M278" i="4" s="1"/>
  <c r="AS41" i="4"/>
  <c r="AN41" i="4"/>
  <c r="AP41" i="4"/>
  <c r="F21" i="1"/>
  <c r="E22" i="1" s="1"/>
  <c r="AG41" i="4"/>
  <c r="BL71" i="4"/>
  <c r="BF64" i="4"/>
  <c r="BT63" i="4"/>
  <c r="BT188" i="4" s="1"/>
  <c r="M266" i="4" s="1"/>
  <c r="L72" i="4"/>
  <c r="CL71" i="4"/>
  <c r="T63" i="4"/>
  <c r="T188" i="4" s="1"/>
  <c r="M218" i="4" s="1"/>
  <c r="F64" i="4"/>
  <c r="DL72" i="4"/>
  <c r="AL73" i="4"/>
  <c r="DT63" i="4"/>
  <c r="DT188" i="4" s="1"/>
  <c r="M314" i="4" s="1"/>
  <c r="DF64" i="4"/>
  <c r="G296" i="1"/>
  <c r="CH43" i="1"/>
  <c r="DO136" i="7" l="1"/>
  <c r="GL135" i="7"/>
  <c r="CO100" i="7"/>
  <c r="CJ100" i="7"/>
  <c r="HJ136" i="7"/>
  <c r="HK136" i="7" s="1"/>
  <c r="GX136" i="7"/>
  <c r="GW137" i="7" s="1"/>
  <c r="HE136" i="7"/>
  <c r="HC137" i="7"/>
  <c r="HG137" i="7" s="1"/>
  <c r="GD136" i="7"/>
  <c r="GH136" i="7" s="1"/>
  <c r="GK136" i="7"/>
  <c r="GF136" i="7"/>
  <c r="FY136" i="7"/>
  <c r="FX137" i="7" s="1"/>
  <c r="FL137" i="7"/>
  <c r="FM137" i="7" s="1"/>
  <c r="EZ137" i="7"/>
  <c r="EY138" i="7" s="1"/>
  <c r="FG137" i="7"/>
  <c r="FE137" i="7"/>
  <c r="FI137" i="7" s="1"/>
  <c r="EF138" i="7"/>
  <c r="EM137" i="7"/>
  <c r="EN137" i="7" s="1"/>
  <c r="EA137" i="7"/>
  <c r="DZ138" i="7" s="1"/>
  <c r="EH137" i="7"/>
  <c r="DN137" i="7"/>
  <c r="DO137" i="7" s="1"/>
  <c r="DB137" i="7"/>
  <c r="DA138" i="7" s="1"/>
  <c r="DI137" i="7"/>
  <c r="DG137" i="7"/>
  <c r="DK137" i="7" s="1"/>
  <c r="CP160" i="8"/>
  <c r="T255" i="8" s="1"/>
  <c r="DO160" i="8"/>
  <c r="T278" i="8" s="1"/>
  <c r="AR160" i="8"/>
  <c r="T206" i="8" s="1"/>
  <c r="DN132" i="8"/>
  <c r="DO132" i="8" s="1"/>
  <c r="DI132" i="8"/>
  <c r="DB132" i="8"/>
  <c r="DA133" i="8" s="1"/>
  <c r="K162" i="8"/>
  <c r="O131" i="8"/>
  <c r="K132" i="8"/>
  <c r="CL160" i="8"/>
  <c r="T251" i="8" s="1"/>
  <c r="DK160" i="8"/>
  <c r="T274" i="8" s="1"/>
  <c r="AJ134" i="8"/>
  <c r="AN133" i="8"/>
  <c r="AE160" i="8"/>
  <c r="T193" i="8" s="1"/>
  <c r="AD118" i="8"/>
  <c r="DB160" i="8"/>
  <c r="T265" i="8" s="1"/>
  <c r="CC160" i="8"/>
  <c r="T242" i="8" s="1"/>
  <c r="CB118" i="8"/>
  <c r="DK131" i="8"/>
  <c r="DG132" i="8"/>
  <c r="CH134" i="8"/>
  <c r="BP117" i="8"/>
  <c r="BQ117" i="8" s="1"/>
  <c r="BD117" i="8"/>
  <c r="BK117" i="8"/>
  <c r="R117" i="8"/>
  <c r="S117" i="8" s="1"/>
  <c r="F117" i="8"/>
  <c r="M117" i="8"/>
  <c r="BI133" i="8"/>
  <c r="BM132" i="8"/>
  <c r="R394" i="7"/>
  <c r="R421" i="7" s="1"/>
  <c r="F305" i="1"/>
  <c r="AD160" i="1"/>
  <c r="T192" i="1" s="1"/>
  <c r="AE159" i="1"/>
  <c r="S193" i="1" s="1"/>
  <c r="BQ99" i="7"/>
  <c r="CP99" i="7"/>
  <c r="AQ104" i="7"/>
  <c r="AD159" i="7"/>
  <c r="AE104" i="7"/>
  <c r="AD105" i="7" s="1"/>
  <c r="AL104" i="7"/>
  <c r="F102" i="7"/>
  <c r="E103" i="7" s="1"/>
  <c r="M102" i="7"/>
  <c r="R102" i="7"/>
  <c r="S101" i="7"/>
  <c r="S426" i="7"/>
  <c r="Q34" i="5" s="1"/>
  <c r="BP100" i="7"/>
  <c r="BK100" i="7"/>
  <c r="BD100" i="7"/>
  <c r="BC101" i="7" s="1"/>
  <c r="K114" i="7"/>
  <c r="O114" i="7" s="1"/>
  <c r="CH114" i="7"/>
  <c r="CL114" i="7" s="1"/>
  <c r="CC100" i="7"/>
  <c r="CB101" i="7" s="1"/>
  <c r="AJ113" i="7"/>
  <c r="AN113" i="7" s="1"/>
  <c r="BI115" i="7"/>
  <c r="BM115" i="7" s="1"/>
  <c r="AR110" i="1"/>
  <c r="AR159" i="1" s="1"/>
  <c r="S206" i="1" s="1"/>
  <c r="AQ111" i="1"/>
  <c r="AL111" i="1"/>
  <c r="AE111" i="1"/>
  <c r="AD112" i="1" s="1"/>
  <c r="AJ112" i="1"/>
  <c r="AN112" i="1" s="1"/>
  <c r="BD104" i="1"/>
  <c r="BC105" i="1" s="1"/>
  <c r="BK105" i="1" s="1"/>
  <c r="BK104" i="1"/>
  <c r="BP104" i="1"/>
  <c r="BQ104" i="1" s="1"/>
  <c r="M22" i="1"/>
  <c r="R22" i="1"/>
  <c r="S21" i="1"/>
  <c r="BI106" i="1"/>
  <c r="BM106" i="1" s="1"/>
  <c r="CO26" i="1"/>
  <c r="CL26" i="1"/>
  <c r="G251" i="1" s="1"/>
  <c r="CJ26" i="1"/>
  <c r="CC26" i="1"/>
  <c r="CC147" i="1" s="1"/>
  <c r="G242" i="1" s="1"/>
  <c r="N332" i="4"/>
  <c r="N350" i="4"/>
  <c r="N64" i="4"/>
  <c r="P64" i="4"/>
  <c r="DN64" i="4"/>
  <c r="DP64" i="4"/>
  <c r="BN64" i="4"/>
  <c r="BP64" i="4"/>
  <c r="CF64" i="4"/>
  <c r="F22" i="1"/>
  <c r="E23" i="1" s="1"/>
  <c r="DG64" i="4"/>
  <c r="DF65" i="4" s="1"/>
  <c r="DS64" i="4"/>
  <c r="BG64" i="4"/>
  <c r="BF65" i="4" s="1"/>
  <c r="BS64" i="4"/>
  <c r="BT64" i="4" s="1"/>
  <c r="G64" i="4"/>
  <c r="F65" i="4" s="1"/>
  <c r="S64" i="4"/>
  <c r="T64" i="4" s="1"/>
  <c r="AT41" i="4"/>
  <c r="AF42" i="4"/>
  <c r="AF185" i="4" s="1"/>
  <c r="J228" i="4" s="1"/>
  <c r="CL72" i="4"/>
  <c r="AL74" i="4"/>
  <c r="BL72" i="4"/>
  <c r="DL73" i="4"/>
  <c r="L73" i="4"/>
  <c r="CH44" i="1"/>
  <c r="AN159" i="7" l="1"/>
  <c r="S202" i="7" s="1"/>
  <c r="AQ159" i="7"/>
  <c r="GL136" i="7"/>
  <c r="CO101" i="7"/>
  <c r="CP101" i="7" s="1"/>
  <c r="CJ101" i="7"/>
  <c r="EF163" i="7"/>
  <c r="W295" i="7" s="1"/>
  <c r="EJ138" i="7"/>
  <c r="EJ163" i="7" s="1"/>
  <c r="W299" i="7" s="1"/>
  <c r="HJ137" i="7"/>
  <c r="HK137" i="7" s="1"/>
  <c r="GX137" i="7"/>
  <c r="GW138" i="7" s="1"/>
  <c r="HE137" i="7"/>
  <c r="HC138" i="7"/>
  <c r="GD137" i="7"/>
  <c r="GH137" i="7" s="1"/>
  <c r="GK137" i="7"/>
  <c r="FY137" i="7"/>
  <c r="FX138" i="7" s="1"/>
  <c r="GF137" i="7"/>
  <c r="EZ138" i="7"/>
  <c r="EZ163" i="7" s="1"/>
  <c r="W313" i="7" s="1"/>
  <c r="FG138" i="7"/>
  <c r="FL138" i="7"/>
  <c r="FM138" i="7" s="1"/>
  <c r="FM163" i="7" s="1"/>
  <c r="W326" i="7" s="1"/>
  <c r="FE138" i="7"/>
  <c r="EA138" i="7"/>
  <c r="EA163" i="7" s="1"/>
  <c r="EH138" i="7"/>
  <c r="EM138" i="7"/>
  <c r="EN138" i="7" s="1"/>
  <c r="EN163" i="7" s="1"/>
  <c r="W303" i="7" s="1"/>
  <c r="DB138" i="7"/>
  <c r="DB163" i="7" s="1"/>
  <c r="DI138" i="7"/>
  <c r="DN138" i="7"/>
  <c r="DO138" i="7" s="1"/>
  <c r="DO163" i="7" s="1"/>
  <c r="W279" i="7" s="1"/>
  <c r="DG138" i="7"/>
  <c r="BQ160" i="8"/>
  <c r="T231" i="8" s="1"/>
  <c r="S160" i="8"/>
  <c r="T183" i="8" s="1"/>
  <c r="F160" i="8"/>
  <c r="T170" i="8" s="1"/>
  <c r="E118" i="8"/>
  <c r="AD161" i="8"/>
  <c r="AQ118" i="8"/>
  <c r="AR118" i="8" s="1"/>
  <c r="AE118" i="8"/>
  <c r="AD119" i="8" s="1"/>
  <c r="AL118" i="8"/>
  <c r="V175" i="8"/>
  <c r="V296" i="8" s="1"/>
  <c r="DA161" i="8"/>
  <c r="U264" i="8" s="1"/>
  <c r="CB161" i="8"/>
  <c r="U241" i="8" s="1"/>
  <c r="CO118" i="8"/>
  <c r="CC118" i="8"/>
  <c r="CB119" i="8" s="1"/>
  <c r="CJ118" i="8"/>
  <c r="CL118" i="8"/>
  <c r="DN133" i="8"/>
  <c r="DO133" i="8" s="1"/>
  <c r="DB133" i="8"/>
  <c r="DA134" i="8" s="1"/>
  <c r="DI133" i="8"/>
  <c r="BI134" i="8"/>
  <c r="BM133" i="8"/>
  <c r="CH135" i="8"/>
  <c r="K133" i="8"/>
  <c r="O132" i="8"/>
  <c r="BD160" i="8"/>
  <c r="T218" i="8" s="1"/>
  <c r="BC118" i="8"/>
  <c r="DG133" i="8"/>
  <c r="DK132" i="8"/>
  <c r="AN134" i="8"/>
  <c r="AJ135" i="8"/>
  <c r="S192" i="7"/>
  <c r="BQ100" i="7"/>
  <c r="BP105" i="1"/>
  <c r="BQ105" i="1" s="1"/>
  <c r="CP100" i="7"/>
  <c r="AE105" i="7"/>
  <c r="AD106" i="7" s="1"/>
  <c r="AQ105" i="7"/>
  <c r="AL105" i="7"/>
  <c r="AR104" i="7"/>
  <c r="S102" i="7"/>
  <c r="F103" i="7"/>
  <c r="R103" i="7"/>
  <c r="M103" i="7"/>
  <c r="K115" i="7"/>
  <c r="O115" i="7" s="1"/>
  <c r="AJ114" i="7"/>
  <c r="AN114" i="7" s="1"/>
  <c r="CC101" i="7"/>
  <c r="CB102" i="7" s="1"/>
  <c r="CH115" i="7"/>
  <c r="CL115" i="7" s="1"/>
  <c r="BP101" i="7"/>
  <c r="BK101" i="7"/>
  <c r="BD101" i="7"/>
  <c r="BC102" i="7" s="1"/>
  <c r="BI116" i="7"/>
  <c r="BM116" i="7" s="1"/>
  <c r="AR111" i="1"/>
  <c r="AQ112" i="1"/>
  <c r="AE112" i="1"/>
  <c r="AL112" i="1"/>
  <c r="AJ113" i="1"/>
  <c r="AN113" i="1" s="1"/>
  <c r="BD105" i="1"/>
  <c r="BC106" i="1" s="1"/>
  <c r="BP106" i="1" s="1"/>
  <c r="M23" i="1"/>
  <c r="R23" i="1"/>
  <c r="BI107" i="1"/>
  <c r="BM107" i="1" s="1"/>
  <c r="S22" i="1"/>
  <c r="CB27" i="1"/>
  <c r="CB148" i="1" s="1"/>
  <c r="CP26" i="1"/>
  <c r="CP147" i="1" s="1"/>
  <c r="G255" i="1" s="1"/>
  <c r="AS42" i="4"/>
  <c r="AN42" i="4"/>
  <c r="AP42" i="4"/>
  <c r="AP185" i="4" s="1"/>
  <c r="J238" i="4" s="1"/>
  <c r="N65" i="4"/>
  <c r="P65" i="4"/>
  <c r="BN65" i="4"/>
  <c r="BP65" i="4"/>
  <c r="DN65" i="4"/>
  <c r="DP65" i="4"/>
  <c r="CN64" i="4"/>
  <c r="CP64" i="4"/>
  <c r="CG64" i="4"/>
  <c r="CF65" i="4" s="1"/>
  <c r="CS64" i="4"/>
  <c r="CT64" i="4" s="1"/>
  <c r="DG65" i="4"/>
  <c r="DS65" i="4"/>
  <c r="BG65" i="4"/>
  <c r="BF66" i="4" s="1"/>
  <c r="BS65" i="4"/>
  <c r="BT65" i="4" s="1"/>
  <c r="G65" i="4"/>
  <c r="F66" i="4" s="1"/>
  <c r="S65" i="4"/>
  <c r="T65" i="4" s="1"/>
  <c r="AG42" i="4"/>
  <c r="AG185" i="4" s="1"/>
  <c r="J229" i="4" s="1"/>
  <c r="CL73" i="4"/>
  <c r="L74" i="4"/>
  <c r="DL74" i="4"/>
  <c r="DT64" i="4"/>
  <c r="AL75" i="4"/>
  <c r="BL73" i="4"/>
  <c r="DF66" i="4"/>
  <c r="CH45" i="1"/>
  <c r="F23" i="1"/>
  <c r="GL137" i="7" l="1"/>
  <c r="W290" i="7"/>
  <c r="W266" i="7"/>
  <c r="FE163" i="7"/>
  <c r="W318" i="7" s="1"/>
  <c r="FI138" i="7"/>
  <c r="FI163" i="7" s="1"/>
  <c r="W322" i="7" s="1"/>
  <c r="HC163" i="7"/>
  <c r="W364" i="7" s="1"/>
  <c r="HG138" i="7"/>
  <c r="HG163" i="7" s="1"/>
  <c r="W368" i="7" s="1"/>
  <c r="DG163" i="7"/>
  <c r="W271" i="7" s="1"/>
  <c r="DK138" i="7"/>
  <c r="DK163" i="7" s="1"/>
  <c r="W275" i="7" s="1"/>
  <c r="CO102" i="7"/>
  <c r="CJ102" i="7"/>
  <c r="EH163" i="7"/>
  <c r="W297" i="7" s="1"/>
  <c r="EH161" i="7"/>
  <c r="U297" i="7" s="1"/>
  <c r="EH157" i="7"/>
  <c r="Q297" i="7" s="1"/>
  <c r="EH160" i="7"/>
  <c r="T297" i="7" s="1"/>
  <c r="EH156" i="7"/>
  <c r="P297" i="7" s="1"/>
  <c r="EH158" i="7"/>
  <c r="R297" i="7" s="1"/>
  <c r="EH159" i="7"/>
  <c r="S297" i="7" s="1"/>
  <c r="EH162" i="7"/>
  <c r="V297" i="7" s="1"/>
  <c r="FG157" i="7"/>
  <c r="Q320" i="7" s="1"/>
  <c r="FG156" i="7"/>
  <c r="P320" i="7" s="1"/>
  <c r="FG159" i="7"/>
  <c r="S320" i="7" s="1"/>
  <c r="FG162" i="7"/>
  <c r="V320" i="7" s="1"/>
  <c r="FG158" i="7"/>
  <c r="R320" i="7" s="1"/>
  <c r="FG160" i="7"/>
  <c r="T320" i="7" s="1"/>
  <c r="FG161" i="7"/>
  <c r="U320" i="7" s="1"/>
  <c r="FG163" i="7"/>
  <c r="W320" i="7" s="1"/>
  <c r="DI158" i="7"/>
  <c r="R273" i="7" s="1"/>
  <c r="DI162" i="7"/>
  <c r="V273" i="7" s="1"/>
  <c r="DI163" i="7"/>
  <c r="W273" i="7" s="1"/>
  <c r="DI157" i="7"/>
  <c r="Q273" i="7" s="1"/>
  <c r="DI160" i="7"/>
  <c r="T273" i="7" s="1"/>
  <c r="DI159" i="7"/>
  <c r="S273" i="7" s="1"/>
  <c r="DI156" i="7"/>
  <c r="P273" i="7" s="1"/>
  <c r="DI161" i="7"/>
  <c r="U273" i="7" s="1"/>
  <c r="GX138" i="7"/>
  <c r="GX163" i="7" s="1"/>
  <c r="W359" i="7" s="1"/>
  <c r="HE138" i="7"/>
  <c r="HJ138" i="7"/>
  <c r="HK138" i="7" s="1"/>
  <c r="HK163" i="7" s="1"/>
  <c r="W372" i="7" s="1"/>
  <c r="GD138" i="7"/>
  <c r="FY138" i="7"/>
  <c r="FY163" i="7" s="1"/>
  <c r="W336" i="7" s="1"/>
  <c r="GF138" i="7"/>
  <c r="GK138" i="7"/>
  <c r="GL138" i="7" s="1"/>
  <c r="GL163" i="7" s="1"/>
  <c r="W349" i="7" s="1"/>
  <c r="V332" i="8"/>
  <c r="U192" i="8"/>
  <c r="AQ161" i="8"/>
  <c r="U205" i="8" s="1"/>
  <c r="AN161" i="8"/>
  <c r="U202" i="8" s="1"/>
  <c r="E161" i="8"/>
  <c r="R118" i="8"/>
  <c r="S118" i="8" s="1"/>
  <c r="M118" i="8"/>
  <c r="F118" i="8"/>
  <c r="E119" i="8" s="1"/>
  <c r="CP118" i="8"/>
  <c r="O133" i="8"/>
  <c r="K134" i="8"/>
  <c r="BM134" i="8"/>
  <c r="BI135" i="8"/>
  <c r="AN135" i="8"/>
  <c r="AJ136" i="8"/>
  <c r="BC161" i="8"/>
  <c r="BK118" i="8"/>
  <c r="BP118" i="8"/>
  <c r="BQ118" i="8" s="1"/>
  <c r="BD118" i="8"/>
  <c r="BC119" i="8" s="1"/>
  <c r="AQ119" i="8"/>
  <c r="AR119" i="8" s="1"/>
  <c r="AL119" i="8"/>
  <c r="AE119" i="8"/>
  <c r="AD120" i="8" s="1"/>
  <c r="T291" i="8"/>
  <c r="T325" i="8"/>
  <c r="DG134" i="8"/>
  <c r="DK133" i="8"/>
  <c r="CH136" i="8"/>
  <c r="DN134" i="8"/>
  <c r="DO134" i="8" s="1"/>
  <c r="DB134" i="8"/>
  <c r="DA135" i="8" s="1"/>
  <c r="DI134" i="8"/>
  <c r="CJ119" i="8"/>
  <c r="CC119" i="8"/>
  <c r="CB120" i="8" s="1"/>
  <c r="CO119" i="8"/>
  <c r="CL119" i="8"/>
  <c r="BQ101" i="7"/>
  <c r="H241" i="1"/>
  <c r="S103" i="7"/>
  <c r="S158" i="7" s="1"/>
  <c r="AR112" i="1"/>
  <c r="AR105" i="7"/>
  <c r="AQ106" i="7"/>
  <c r="AE106" i="7"/>
  <c r="AD107" i="7" s="1"/>
  <c r="AL106" i="7"/>
  <c r="E104" i="7"/>
  <c r="F158" i="7"/>
  <c r="R170" i="7" s="1"/>
  <c r="CC102" i="7"/>
  <c r="CB103" i="7" s="1"/>
  <c r="AJ115" i="7"/>
  <c r="AN115" i="7" s="1"/>
  <c r="BK102" i="7"/>
  <c r="BD102" i="7"/>
  <c r="BC103" i="7" s="1"/>
  <c r="BP102" i="7"/>
  <c r="CH116" i="7"/>
  <c r="CL116" i="7" s="1"/>
  <c r="K116" i="7"/>
  <c r="O116" i="7" s="1"/>
  <c r="BI117" i="7"/>
  <c r="BM117" i="7" s="1"/>
  <c r="K148" i="1"/>
  <c r="AQ113" i="1"/>
  <c r="AL113" i="1"/>
  <c r="AE113" i="1"/>
  <c r="AJ114" i="1"/>
  <c r="AN114" i="1" s="1"/>
  <c r="BQ106" i="1"/>
  <c r="BD106" i="1"/>
  <c r="BC107" i="1" s="1"/>
  <c r="BP107" i="1" s="1"/>
  <c r="BK106" i="1"/>
  <c r="BI108" i="1"/>
  <c r="BM108" i="1" s="1"/>
  <c r="CO27" i="1"/>
  <c r="CL27" i="1"/>
  <c r="CC27" i="1"/>
  <c r="CJ27" i="1"/>
  <c r="J337" i="4"/>
  <c r="N66" i="4"/>
  <c r="P66" i="4"/>
  <c r="BN66" i="4"/>
  <c r="BP66" i="4"/>
  <c r="DN66" i="4"/>
  <c r="DP66" i="4"/>
  <c r="CN65" i="4"/>
  <c r="CP65" i="4"/>
  <c r="CG65" i="4"/>
  <c r="CF66" i="4" s="1"/>
  <c r="CS65" i="4"/>
  <c r="CT65" i="4" s="1"/>
  <c r="J326" i="4"/>
  <c r="J349" i="4"/>
  <c r="DG66" i="4"/>
  <c r="DF67" i="4" s="1"/>
  <c r="DS66" i="4"/>
  <c r="BG66" i="4"/>
  <c r="BF67" i="4" s="1"/>
  <c r="BS66" i="4"/>
  <c r="BT66" i="4" s="1"/>
  <c r="G66" i="4"/>
  <c r="F67" i="4" s="1"/>
  <c r="S66" i="4"/>
  <c r="T66" i="4" s="1"/>
  <c r="AF43" i="4"/>
  <c r="AT42" i="4"/>
  <c r="AT185" i="4" s="1"/>
  <c r="J242" i="4" s="1"/>
  <c r="L75" i="4"/>
  <c r="BL74" i="4"/>
  <c r="AL76" i="4"/>
  <c r="DL75" i="4"/>
  <c r="DT65" i="4"/>
  <c r="CL74" i="4"/>
  <c r="E24" i="1"/>
  <c r="S23" i="1"/>
  <c r="CH46" i="1"/>
  <c r="CO103" i="7" l="1"/>
  <c r="CJ103" i="7"/>
  <c r="GD163" i="7"/>
  <c r="W341" i="7" s="1"/>
  <c r="GH138" i="7"/>
  <c r="GH163" i="7" s="1"/>
  <c r="W345" i="7" s="1"/>
  <c r="GF160" i="7"/>
  <c r="T343" i="7" s="1"/>
  <c r="GF158" i="7"/>
  <c r="R343" i="7" s="1"/>
  <c r="GF156" i="7"/>
  <c r="P343" i="7" s="1"/>
  <c r="GF157" i="7"/>
  <c r="Q343" i="7" s="1"/>
  <c r="GF159" i="7"/>
  <c r="S343" i="7" s="1"/>
  <c r="GF161" i="7"/>
  <c r="U343" i="7" s="1"/>
  <c r="GF162" i="7"/>
  <c r="V343" i="7" s="1"/>
  <c r="GF163" i="7"/>
  <c r="W343" i="7" s="1"/>
  <c r="HE161" i="7"/>
  <c r="U366" i="7" s="1"/>
  <c r="HE158" i="7"/>
  <c r="R366" i="7" s="1"/>
  <c r="HE156" i="7"/>
  <c r="P366" i="7" s="1"/>
  <c r="HE160" i="7"/>
  <c r="T366" i="7" s="1"/>
  <c r="HE157" i="7"/>
  <c r="Q366" i="7" s="1"/>
  <c r="HE159" i="7"/>
  <c r="S366" i="7" s="1"/>
  <c r="HE162" i="7"/>
  <c r="V366" i="7" s="1"/>
  <c r="HE163" i="7"/>
  <c r="W366" i="7" s="1"/>
  <c r="CP102" i="7"/>
  <c r="CP103" i="7" s="1"/>
  <c r="BQ102" i="7"/>
  <c r="U217" i="8"/>
  <c r="BP161" i="8"/>
  <c r="U230" i="8" s="1"/>
  <c r="U169" i="8"/>
  <c r="R161" i="8"/>
  <c r="U182" i="8" s="1"/>
  <c r="M161" i="8"/>
  <c r="U177" i="8" s="1"/>
  <c r="O161" i="8"/>
  <c r="U179" i="8" s="1"/>
  <c r="BP119" i="8"/>
  <c r="BD119" i="8"/>
  <c r="BC120" i="8" s="1"/>
  <c r="BK119" i="8"/>
  <c r="AJ137" i="8"/>
  <c r="AN136" i="8"/>
  <c r="O134" i="8"/>
  <c r="K135" i="8"/>
  <c r="R119" i="8"/>
  <c r="S119" i="8" s="1"/>
  <c r="F119" i="8"/>
  <c r="E120" i="8" s="1"/>
  <c r="M119" i="8"/>
  <c r="DI135" i="8"/>
  <c r="DN135" i="8"/>
  <c r="DO135" i="8" s="1"/>
  <c r="DB135" i="8"/>
  <c r="DA136" i="8" s="1"/>
  <c r="AQ120" i="8"/>
  <c r="AR120" i="8" s="1"/>
  <c r="AE120" i="8"/>
  <c r="AD121" i="8" s="1"/>
  <c r="AL120" i="8"/>
  <c r="BQ119" i="8"/>
  <c r="CH137" i="8"/>
  <c r="CO120" i="8"/>
  <c r="CC120" i="8"/>
  <c r="CB121" i="8" s="1"/>
  <c r="CJ120" i="8"/>
  <c r="CL120" i="8"/>
  <c r="DK134" i="8"/>
  <c r="DG135" i="8"/>
  <c r="BI136" i="8"/>
  <c r="BM135" i="8"/>
  <c r="CP119" i="8"/>
  <c r="CP120" i="8" s="1"/>
  <c r="R183" i="7"/>
  <c r="R399" i="7" s="1"/>
  <c r="R184" i="7"/>
  <c r="AL107" i="7"/>
  <c r="AE107" i="7"/>
  <c r="AD108" i="7" s="1"/>
  <c r="AQ107" i="7"/>
  <c r="AR106" i="7"/>
  <c r="F104" i="7"/>
  <c r="E105" i="7" s="1"/>
  <c r="M104" i="7"/>
  <c r="E159" i="7"/>
  <c r="R104" i="7"/>
  <c r="K117" i="7"/>
  <c r="O117" i="7" s="1"/>
  <c r="AJ116" i="7"/>
  <c r="AN116" i="7" s="1"/>
  <c r="CC103" i="7"/>
  <c r="BI160" i="7"/>
  <c r="BI118" i="7"/>
  <c r="BM118" i="7" s="1"/>
  <c r="CH117" i="7"/>
  <c r="CL117" i="7" s="1"/>
  <c r="BP103" i="7"/>
  <c r="BK103" i="7"/>
  <c r="BD103" i="7"/>
  <c r="BC104" i="7" s="1"/>
  <c r="BM158" i="7"/>
  <c r="R227" i="7" s="1"/>
  <c r="AR113" i="1"/>
  <c r="BD107" i="1"/>
  <c r="BC108" i="1" s="1"/>
  <c r="BK108" i="1" s="1"/>
  <c r="AQ114" i="1"/>
  <c r="AL114" i="1"/>
  <c r="AE114" i="1"/>
  <c r="AJ115" i="1"/>
  <c r="AN115" i="1" s="1"/>
  <c r="BQ107" i="1"/>
  <c r="BK107" i="1"/>
  <c r="M24" i="1"/>
  <c r="R24" i="1"/>
  <c r="S24" i="1" s="1"/>
  <c r="BI109" i="1"/>
  <c r="BM109" i="1" s="1"/>
  <c r="H175" i="1"/>
  <c r="CB28" i="1"/>
  <c r="CP27" i="1"/>
  <c r="J363" i="4"/>
  <c r="J327" i="4"/>
  <c r="J328" i="4"/>
  <c r="N67" i="4"/>
  <c r="P67" i="4"/>
  <c r="BN67" i="4"/>
  <c r="BP67" i="4"/>
  <c r="DN67" i="4"/>
  <c r="DP67" i="4"/>
  <c r="AS43" i="4"/>
  <c r="AN43" i="4"/>
  <c r="AP43" i="4"/>
  <c r="CN66" i="4"/>
  <c r="CP66" i="4"/>
  <c r="CS66" i="4"/>
  <c r="CT66" i="4" s="1"/>
  <c r="CG66" i="4"/>
  <c r="CF67" i="4" s="1"/>
  <c r="J334" i="4"/>
  <c r="J359" i="4" s="1"/>
  <c r="J336" i="4"/>
  <c r="J360" i="4" s="1"/>
  <c r="F24" i="1"/>
  <c r="E25" i="1" s="1"/>
  <c r="R25" i="1" s="1"/>
  <c r="DG67" i="4"/>
  <c r="DF68" i="4" s="1"/>
  <c r="DS67" i="4"/>
  <c r="BG67" i="4"/>
  <c r="BF68" i="4" s="1"/>
  <c r="BS67" i="4"/>
  <c r="BT67" i="4" s="1"/>
  <c r="G67" i="4"/>
  <c r="F68" i="4" s="1"/>
  <c r="S67" i="4"/>
  <c r="T67" i="4" s="1"/>
  <c r="AG43" i="4"/>
  <c r="AL77" i="4"/>
  <c r="AL190" i="4" s="1"/>
  <c r="O234" i="4" s="1"/>
  <c r="CL75" i="4"/>
  <c r="L76" i="4"/>
  <c r="DT66" i="4"/>
  <c r="DL76" i="4"/>
  <c r="BL75" i="4"/>
  <c r="I176" i="1"/>
  <c r="CH47" i="1"/>
  <c r="CH150" i="1" s="1"/>
  <c r="K35" i="1"/>
  <c r="O159" i="7" l="1"/>
  <c r="R159" i="7"/>
  <c r="BQ103" i="7"/>
  <c r="BQ158" i="7" s="1"/>
  <c r="R231" i="7" s="1"/>
  <c r="CP121" i="8"/>
  <c r="DG136" i="8"/>
  <c r="DK135" i="8"/>
  <c r="CO121" i="8"/>
  <c r="CJ121" i="8"/>
  <c r="CC121" i="8"/>
  <c r="CB122" i="8" s="1"/>
  <c r="CL121" i="8"/>
  <c r="BK120" i="8"/>
  <c r="BD120" i="8"/>
  <c r="BC121" i="8" s="1"/>
  <c r="BP120" i="8"/>
  <c r="BQ120" i="8" s="1"/>
  <c r="DN136" i="8"/>
  <c r="DO136" i="8" s="1"/>
  <c r="DB136" i="8"/>
  <c r="DA137" i="8" s="1"/>
  <c r="DI136" i="8"/>
  <c r="R120" i="8"/>
  <c r="S120" i="8" s="1"/>
  <c r="M120" i="8"/>
  <c r="F120" i="8"/>
  <c r="E121" i="8" s="1"/>
  <c r="U290" i="8"/>
  <c r="U315" i="8"/>
  <c r="BM136" i="8"/>
  <c r="BI137" i="8"/>
  <c r="AN137" i="8"/>
  <c r="AJ138" i="8"/>
  <c r="CH138" i="8"/>
  <c r="AL121" i="8"/>
  <c r="AE121" i="8"/>
  <c r="AD122" i="8" s="1"/>
  <c r="AQ121" i="8"/>
  <c r="AR121" i="8" s="1"/>
  <c r="K136" i="8"/>
  <c r="O135" i="8"/>
  <c r="J247" i="1"/>
  <c r="M159" i="7"/>
  <c r="S169" i="7"/>
  <c r="H273" i="1"/>
  <c r="H308" i="1" s="1"/>
  <c r="F29" i="5" s="1"/>
  <c r="BP108" i="1"/>
  <c r="BQ108" i="1" s="1"/>
  <c r="BD108" i="1"/>
  <c r="BP109" i="1" s="1"/>
  <c r="T223" i="7"/>
  <c r="CL158" i="7"/>
  <c r="AR107" i="7"/>
  <c r="AE108" i="7"/>
  <c r="AD109" i="7" s="1"/>
  <c r="AQ108" i="7"/>
  <c r="AL108" i="7"/>
  <c r="S104" i="7"/>
  <c r="S179" i="7"/>
  <c r="F105" i="7"/>
  <c r="E106" i="7" s="1"/>
  <c r="M105" i="7"/>
  <c r="R105" i="7"/>
  <c r="CP158" i="7"/>
  <c r="BI119" i="7"/>
  <c r="BM119" i="7" s="1"/>
  <c r="BD158" i="7"/>
  <c r="CH160" i="7"/>
  <c r="CH118" i="7"/>
  <c r="CL118" i="7" s="1"/>
  <c r="K160" i="7"/>
  <c r="K118" i="7"/>
  <c r="O118" i="7" s="1"/>
  <c r="CC158" i="7"/>
  <c r="CB104" i="7"/>
  <c r="AJ117" i="7"/>
  <c r="AN117" i="7" s="1"/>
  <c r="AR114" i="1"/>
  <c r="AE115" i="1"/>
  <c r="AD116" i="1" s="1"/>
  <c r="AL115" i="1"/>
  <c r="AQ115" i="1"/>
  <c r="AJ116" i="1"/>
  <c r="AN116" i="1" s="1"/>
  <c r="S25" i="1"/>
  <c r="F25" i="1"/>
  <c r="M25" i="1"/>
  <c r="BI110" i="1"/>
  <c r="J227" i="1"/>
  <c r="CO28" i="1"/>
  <c r="CL28" i="1"/>
  <c r="CC28" i="1"/>
  <c r="CJ28" i="1"/>
  <c r="J358" i="4"/>
  <c r="J353" i="4"/>
  <c r="J374" i="4" s="1"/>
  <c r="J343" i="4"/>
  <c r="BN68" i="4"/>
  <c r="BP68" i="4"/>
  <c r="N68" i="4"/>
  <c r="P68" i="4"/>
  <c r="DN68" i="4"/>
  <c r="DP68" i="4"/>
  <c r="CN67" i="4"/>
  <c r="CP67" i="4"/>
  <c r="CS67" i="4"/>
  <c r="CT67" i="4" s="1"/>
  <c r="CG67" i="4"/>
  <c r="CF68" i="4" s="1"/>
  <c r="DG68" i="4"/>
  <c r="DF69" i="4" s="1"/>
  <c r="DS68" i="4"/>
  <c r="BG68" i="4"/>
  <c r="BF69" i="4" s="1"/>
  <c r="BS68" i="4"/>
  <c r="BT68" i="4" s="1"/>
  <c r="G68" i="4"/>
  <c r="F69" i="4" s="1"/>
  <c r="S68" i="4"/>
  <c r="T68" i="4" s="1"/>
  <c r="AT43" i="4"/>
  <c r="AF44" i="4"/>
  <c r="DT67" i="4"/>
  <c r="BL76" i="4"/>
  <c r="CL76" i="4"/>
  <c r="DL77" i="4"/>
  <c r="DL190" i="4" s="1"/>
  <c r="O306" i="4" s="1"/>
  <c r="AL78" i="4"/>
  <c r="L77" i="4"/>
  <c r="L190" i="4" s="1"/>
  <c r="O210" i="4" s="1"/>
  <c r="I292" i="1"/>
  <c r="CH48" i="1"/>
  <c r="K36" i="1"/>
  <c r="K37" i="1" s="1"/>
  <c r="R251" i="7" l="1"/>
  <c r="CO104" i="7"/>
  <c r="CJ104" i="7"/>
  <c r="O136" i="8"/>
  <c r="K137" i="8"/>
  <c r="CH163" i="8"/>
  <c r="W247" i="8" s="1"/>
  <c r="DG163" i="8"/>
  <c r="W270" i="8" s="1"/>
  <c r="U298" i="8"/>
  <c r="U326" i="8" s="1"/>
  <c r="U305" i="8"/>
  <c r="U329" i="8" s="1"/>
  <c r="U300" i="8"/>
  <c r="U327" i="8" s="1"/>
  <c r="BM137" i="8"/>
  <c r="BI138" i="8"/>
  <c r="R121" i="8"/>
  <c r="S121" i="8" s="1"/>
  <c r="F121" i="8"/>
  <c r="E122" i="8" s="1"/>
  <c r="M121" i="8"/>
  <c r="DN137" i="8"/>
  <c r="DO137" i="8" s="1"/>
  <c r="DI137" i="8"/>
  <c r="DB137" i="8"/>
  <c r="DA138" i="8" s="1"/>
  <c r="BP121" i="8"/>
  <c r="BQ121" i="8" s="1"/>
  <c r="BD121" i="8"/>
  <c r="BC122" i="8" s="1"/>
  <c r="BK121" i="8"/>
  <c r="CO122" i="8"/>
  <c r="CP122" i="8" s="1"/>
  <c r="CC122" i="8"/>
  <c r="CB123" i="8" s="1"/>
  <c r="CJ122" i="8"/>
  <c r="CL122" i="8"/>
  <c r="DK136" i="8"/>
  <c r="DG137" i="8"/>
  <c r="AQ122" i="8"/>
  <c r="AR122" i="8" s="1"/>
  <c r="AE122" i="8"/>
  <c r="AD123" i="8" s="1"/>
  <c r="AL122" i="8"/>
  <c r="AJ163" i="8"/>
  <c r="AN138" i="8"/>
  <c r="BI159" i="1"/>
  <c r="S223" i="1" s="1"/>
  <c r="BM110" i="1"/>
  <c r="BD109" i="1"/>
  <c r="BD110" i="1" s="1"/>
  <c r="BK109" i="1"/>
  <c r="E26" i="1"/>
  <c r="R26" i="1" s="1"/>
  <c r="T247" i="7"/>
  <c r="R242" i="7"/>
  <c r="R423" i="7"/>
  <c r="R255" i="7"/>
  <c r="R218" i="7"/>
  <c r="AR108" i="7"/>
  <c r="AE109" i="7"/>
  <c r="AD110" i="7" s="1"/>
  <c r="AQ109" i="7"/>
  <c r="AL109" i="7"/>
  <c r="F106" i="7"/>
  <c r="E107" i="7" s="1"/>
  <c r="R106" i="7"/>
  <c r="M106" i="7"/>
  <c r="S105" i="7"/>
  <c r="CB159" i="7"/>
  <c r="CC104" i="7"/>
  <c r="CB105" i="7" s="1"/>
  <c r="T175" i="7"/>
  <c r="BC159" i="7"/>
  <c r="BP159" i="7" s="1"/>
  <c r="BP104" i="7"/>
  <c r="BQ104" i="7" s="1"/>
  <c r="BK104" i="7"/>
  <c r="BD104" i="7"/>
  <c r="BC105" i="7" s="1"/>
  <c r="AJ160" i="7"/>
  <c r="AJ118" i="7"/>
  <c r="AN118" i="7" s="1"/>
  <c r="CH119" i="7"/>
  <c r="CL119" i="7" s="1"/>
  <c r="K119" i="7"/>
  <c r="O119" i="7" s="1"/>
  <c r="BI120" i="7"/>
  <c r="BM120" i="7" s="1"/>
  <c r="BQ109" i="1"/>
  <c r="AR115" i="1"/>
  <c r="AJ117" i="1"/>
  <c r="AQ116" i="1"/>
  <c r="AE116" i="1"/>
  <c r="AD117" i="1" s="1"/>
  <c r="AL116" i="1"/>
  <c r="BI111" i="1"/>
  <c r="BM111" i="1" s="1"/>
  <c r="J231" i="1"/>
  <c r="CP28" i="1"/>
  <c r="CB29" i="1"/>
  <c r="DN69" i="4"/>
  <c r="DP69" i="4"/>
  <c r="N69" i="4"/>
  <c r="P69" i="4"/>
  <c r="BN69" i="4"/>
  <c r="BP69" i="4"/>
  <c r="CN68" i="4"/>
  <c r="CP68" i="4"/>
  <c r="CS68" i="4"/>
  <c r="CT68" i="4" s="1"/>
  <c r="CG68" i="4"/>
  <c r="CF69" i="4" s="1"/>
  <c r="AS44" i="4"/>
  <c r="AN44" i="4"/>
  <c r="AP44" i="4"/>
  <c r="G169" i="1"/>
  <c r="G267" i="1" s="1"/>
  <c r="DG69" i="4"/>
  <c r="DF70" i="4" s="1"/>
  <c r="DF189" i="4" s="1"/>
  <c r="N300" i="4" s="1"/>
  <c r="DS69" i="4"/>
  <c r="BG69" i="4"/>
  <c r="BF70" i="4" s="1"/>
  <c r="BF189" i="4" s="1"/>
  <c r="N252" i="4" s="1"/>
  <c r="BS69" i="4"/>
  <c r="BT69" i="4" s="1"/>
  <c r="G69" i="4"/>
  <c r="F70" i="4" s="1"/>
  <c r="F189" i="4" s="1"/>
  <c r="N204" i="4" s="1"/>
  <c r="S69" i="4"/>
  <c r="T69" i="4" s="1"/>
  <c r="AG44" i="4"/>
  <c r="DL78" i="4"/>
  <c r="BL77" i="4"/>
  <c r="BL190" i="4" s="1"/>
  <c r="O258" i="4" s="1"/>
  <c r="L78" i="4"/>
  <c r="DT68" i="4"/>
  <c r="CL77" i="4"/>
  <c r="CL190" i="4" s="1"/>
  <c r="O283" i="4" s="1"/>
  <c r="AL79" i="4"/>
  <c r="CH49" i="1"/>
  <c r="CO159" i="7" l="1"/>
  <c r="CO105" i="7"/>
  <c r="CJ105" i="7"/>
  <c r="R419" i="7"/>
  <c r="R385" i="7"/>
  <c r="DG138" i="8"/>
  <c r="DK138" i="8" s="1"/>
  <c r="DK137" i="8"/>
  <c r="CO123" i="8"/>
  <c r="CP123" i="8" s="1"/>
  <c r="CJ123" i="8"/>
  <c r="CC123" i="8"/>
  <c r="CB124" i="8" s="1"/>
  <c r="CL123" i="8"/>
  <c r="DN138" i="8"/>
  <c r="DO138" i="8" s="1"/>
  <c r="DB138" i="8"/>
  <c r="DI138" i="8"/>
  <c r="F122" i="8"/>
  <c r="E123" i="8" s="1"/>
  <c r="R122" i="8"/>
  <c r="S122" i="8" s="1"/>
  <c r="M122" i="8"/>
  <c r="W198" i="8"/>
  <c r="AQ123" i="8"/>
  <c r="AR123" i="8" s="1"/>
  <c r="AL123" i="8"/>
  <c r="AE123" i="8"/>
  <c r="AD124" i="8" s="1"/>
  <c r="BP122" i="8"/>
  <c r="BQ122" i="8" s="1"/>
  <c r="BK122" i="8"/>
  <c r="BD122" i="8"/>
  <c r="BC123" i="8" s="1"/>
  <c r="BI163" i="8"/>
  <c r="W223" i="8" s="1"/>
  <c r="BM138" i="8"/>
  <c r="BM163" i="8" s="1"/>
  <c r="W227" i="8" s="1"/>
  <c r="K138" i="8"/>
  <c r="O137" i="8"/>
  <c r="G277" i="1"/>
  <c r="G282" i="1"/>
  <c r="T198" i="7"/>
  <c r="T390" i="7" s="1"/>
  <c r="AJ160" i="1"/>
  <c r="T198" i="1" s="1"/>
  <c r="AN117" i="1"/>
  <c r="BK110" i="1"/>
  <c r="BM159" i="1"/>
  <c r="BP110" i="1"/>
  <c r="BQ110" i="1" s="1"/>
  <c r="BQ159" i="1" s="1"/>
  <c r="M26" i="1"/>
  <c r="F26" i="1"/>
  <c r="S26" i="1"/>
  <c r="S241" i="7"/>
  <c r="S217" i="7"/>
  <c r="CP104" i="7"/>
  <c r="AL110" i="7"/>
  <c r="AE110" i="7"/>
  <c r="AQ110" i="7"/>
  <c r="AR109" i="7"/>
  <c r="S106" i="7"/>
  <c r="F107" i="7"/>
  <c r="E108" i="7" s="1"/>
  <c r="R107" i="7"/>
  <c r="M107" i="7"/>
  <c r="BI121" i="7"/>
  <c r="BM121" i="7" s="1"/>
  <c r="CH120" i="7"/>
  <c r="CL120" i="7" s="1"/>
  <c r="K120" i="7"/>
  <c r="O120" i="7" s="1"/>
  <c r="AJ119" i="7"/>
  <c r="AN119" i="7" s="1"/>
  <c r="BP105" i="7"/>
  <c r="BQ105" i="7" s="1"/>
  <c r="BK105" i="7"/>
  <c r="BD105" i="7"/>
  <c r="BC106" i="7" s="1"/>
  <c r="CC105" i="7"/>
  <c r="CB106" i="7" s="1"/>
  <c r="AR116" i="1"/>
  <c r="F147" i="1"/>
  <c r="AJ118" i="1"/>
  <c r="AN118" i="1" s="1"/>
  <c r="AQ117" i="1"/>
  <c r="AL117" i="1"/>
  <c r="AE117" i="1"/>
  <c r="AD118" i="1" s="1"/>
  <c r="BC160" i="1"/>
  <c r="T217" i="1" s="1"/>
  <c r="BD159" i="1"/>
  <c r="S218" i="1" s="1"/>
  <c r="BI112" i="1"/>
  <c r="BM112" i="1" s="1"/>
  <c r="O147" i="1"/>
  <c r="CO29" i="1"/>
  <c r="CL29" i="1"/>
  <c r="CC29" i="1"/>
  <c r="CJ29" i="1"/>
  <c r="N70" i="4"/>
  <c r="P70" i="4"/>
  <c r="P189" i="4" s="1"/>
  <c r="N214" i="4" s="1"/>
  <c r="BN70" i="4"/>
  <c r="BP70" i="4"/>
  <c r="BP189" i="4" s="1"/>
  <c r="N262" i="4" s="1"/>
  <c r="DN70" i="4"/>
  <c r="DP70" i="4"/>
  <c r="DP189" i="4" s="1"/>
  <c r="N310" i="4" s="1"/>
  <c r="CN69" i="4"/>
  <c r="CP69" i="4"/>
  <c r="CS69" i="4"/>
  <c r="CT69" i="4" s="1"/>
  <c r="CG69" i="4"/>
  <c r="CF70" i="4" s="1"/>
  <c r="CF189" i="4" s="1"/>
  <c r="N277" i="4" s="1"/>
  <c r="DS70" i="4"/>
  <c r="BS70" i="4"/>
  <c r="S70" i="4"/>
  <c r="AT44" i="4"/>
  <c r="AF45" i="4"/>
  <c r="G70" i="4"/>
  <c r="G189" i="4" s="1"/>
  <c r="N205" i="4" s="1"/>
  <c r="L79" i="4"/>
  <c r="BL78" i="4"/>
  <c r="DT69" i="4"/>
  <c r="AL80" i="4"/>
  <c r="CL78" i="4"/>
  <c r="DG70" i="4"/>
  <c r="DG189" i="4" s="1"/>
  <c r="N301" i="4" s="1"/>
  <c r="BG70" i="4"/>
  <c r="BG189" i="4" s="1"/>
  <c r="N253" i="4" s="1"/>
  <c r="DL79" i="4"/>
  <c r="H184" i="1"/>
  <c r="H180" i="1"/>
  <c r="H278" i="1" s="1"/>
  <c r="H171" i="1"/>
  <c r="CH50" i="1"/>
  <c r="K38" i="1"/>
  <c r="S384" i="7" l="1"/>
  <c r="S394" i="7" s="1"/>
  <c r="S421" i="7" s="1"/>
  <c r="CO106" i="7"/>
  <c r="CJ106" i="7"/>
  <c r="S409" i="7"/>
  <c r="S435" i="7" s="1"/>
  <c r="Q8" i="5" s="1"/>
  <c r="Q19" i="5" s="1"/>
  <c r="K163" i="8"/>
  <c r="O138" i="8"/>
  <c r="R123" i="8"/>
  <c r="S123" i="8" s="1"/>
  <c r="M123" i="8"/>
  <c r="F123" i="8"/>
  <c r="E124" i="8" s="1"/>
  <c r="AQ124" i="8"/>
  <c r="AR124" i="8" s="1"/>
  <c r="AE124" i="8"/>
  <c r="AL124" i="8"/>
  <c r="CO124" i="8"/>
  <c r="CP124" i="8" s="1"/>
  <c r="CC124" i="8"/>
  <c r="CJ124" i="8"/>
  <c r="CL124" i="8"/>
  <c r="BP123" i="8"/>
  <c r="BQ123" i="8" s="1"/>
  <c r="BD123" i="8"/>
  <c r="BC124" i="8" s="1"/>
  <c r="BK123" i="8"/>
  <c r="AD161" i="1"/>
  <c r="U192" i="1" s="1"/>
  <c r="AE160" i="1"/>
  <c r="T193" i="1" s="1"/>
  <c r="CP105" i="7"/>
  <c r="AR110" i="7"/>
  <c r="AR159" i="7" s="1"/>
  <c r="S206" i="7" s="1"/>
  <c r="AE159" i="7"/>
  <c r="S193" i="7" s="1"/>
  <c r="AD111" i="7"/>
  <c r="F108" i="7"/>
  <c r="E109" i="7" s="1"/>
  <c r="R108" i="7"/>
  <c r="M108" i="7"/>
  <c r="S107" i="7"/>
  <c r="CC106" i="7"/>
  <c r="CB107" i="7" s="1"/>
  <c r="AJ120" i="7"/>
  <c r="AN120" i="7" s="1"/>
  <c r="T426" i="7"/>
  <c r="R34" i="5" s="1"/>
  <c r="K121" i="7"/>
  <c r="O121" i="7" s="1"/>
  <c r="BI122" i="7"/>
  <c r="BM122" i="7" s="1"/>
  <c r="BP106" i="7"/>
  <c r="BQ106" i="7" s="1"/>
  <c r="BK106" i="7"/>
  <c r="BD106" i="7"/>
  <c r="BC107" i="7" s="1"/>
  <c r="CH121" i="7"/>
  <c r="CL121" i="7" s="1"/>
  <c r="G170" i="1"/>
  <c r="G268" i="1" s="1"/>
  <c r="G179" i="1"/>
  <c r="AR117" i="1"/>
  <c r="AR160" i="1" s="1"/>
  <c r="T206" i="1" s="1"/>
  <c r="BD111" i="1"/>
  <c r="BC112" i="1" s="1"/>
  <c r="BP112" i="1" s="1"/>
  <c r="R27" i="1"/>
  <c r="AQ118" i="1"/>
  <c r="AE118" i="1"/>
  <c r="AD119" i="1" s="1"/>
  <c r="AL118" i="1"/>
  <c r="AJ119" i="1"/>
  <c r="AN119" i="1" s="1"/>
  <c r="BK111" i="1"/>
  <c r="BP111" i="1"/>
  <c r="BQ111" i="1" s="1"/>
  <c r="E148" i="1"/>
  <c r="H169" i="1" s="1"/>
  <c r="BI113" i="1"/>
  <c r="BM113" i="1" s="1"/>
  <c r="H269" i="1"/>
  <c r="H174" i="1"/>
  <c r="H272" i="1" s="1"/>
  <c r="S147" i="1"/>
  <c r="G275" i="1"/>
  <c r="G302" i="1" s="1"/>
  <c r="G291" i="1"/>
  <c r="F27" i="1"/>
  <c r="E28" i="1" s="1"/>
  <c r="CP29" i="1"/>
  <c r="CB30" i="1"/>
  <c r="O332" i="4"/>
  <c r="O350" i="4"/>
  <c r="AS45" i="4"/>
  <c r="AN45" i="4"/>
  <c r="AP45" i="4"/>
  <c r="CN70" i="4"/>
  <c r="CP70" i="4"/>
  <c r="CP189" i="4" s="1"/>
  <c r="N287" i="4" s="1"/>
  <c r="CS70" i="4"/>
  <c r="CT70" i="4" s="1"/>
  <c r="CT189" i="4" s="1"/>
  <c r="N291" i="4" s="1"/>
  <c r="CG70" i="4"/>
  <c r="CG189" i="4" s="1"/>
  <c r="N278" i="4" s="1"/>
  <c r="AG45" i="4"/>
  <c r="F71" i="4"/>
  <c r="T70" i="4"/>
  <c r="T189" i="4" s="1"/>
  <c r="N218" i="4" s="1"/>
  <c r="BF71" i="4"/>
  <c r="BT70" i="4"/>
  <c r="BT189" i="4" s="1"/>
  <c r="N266" i="4" s="1"/>
  <c r="AL81" i="4"/>
  <c r="CL79" i="4"/>
  <c r="DL80" i="4"/>
  <c r="BL79" i="4"/>
  <c r="DF71" i="4"/>
  <c r="DT70" i="4"/>
  <c r="DT189" i="4" s="1"/>
  <c r="N314" i="4" s="1"/>
  <c r="L80" i="4"/>
  <c r="H296" i="1"/>
  <c r="CH51" i="1"/>
  <c r="K39" i="1"/>
  <c r="S392" i="7" l="1"/>
  <c r="S420" i="7" s="1"/>
  <c r="CO107" i="7"/>
  <c r="CJ107" i="7"/>
  <c r="AR161" i="8"/>
  <c r="U206" i="8" s="1"/>
  <c r="CP161" i="8"/>
  <c r="U255" i="8" s="1"/>
  <c r="DO161" i="8"/>
  <c r="U278" i="8" s="1"/>
  <c r="CL161" i="8"/>
  <c r="U251" i="8" s="1"/>
  <c r="DK161" i="8"/>
  <c r="U274" i="8" s="1"/>
  <c r="AE161" i="8"/>
  <c r="U193" i="8" s="1"/>
  <c r="AD125" i="8"/>
  <c r="BP124" i="8"/>
  <c r="BQ124" i="8" s="1"/>
  <c r="BK124" i="8"/>
  <c r="BD124" i="8"/>
  <c r="CC161" i="8"/>
  <c r="U242" i="8" s="1"/>
  <c r="DB161" i="8"/>
  <c r="U265" i="8" s="1"/>
  <c r="CB125" i="8"/>
  <c r="F124" i="8"/>
  <c r="R124" i="8"/>
  <c r="S124" i="8" s="1"/>
  <c r="M124" i="8"/>
  <c r="W175" i="8"/>
  <c r="W296" i="8" s="1"/>
  <c r="G317" i="1"/>
  <c r="E5" i="5" s="1"/>
  <c r="CP106" i="7"/>
  <c r="AE111" i="7"/>
  <c r="AD112" i="7" s="1"/>
  <c r="AL111" i="7"/>
  <c r="AD160" i="7"/>
  <c r="AQ111" i="7"/>
  <c r="S108" i="7"/>
  <c r="F109" i="7"/>
  <c r="E110" i="7" s="1"/>
  <c r="R109" i="7"/>
  <c r="M109" i="7"/>
  <c r="BP107" i="7"/>
  <c r="BQ107" i="7" s="1"/>
  <c r="BK107" i="7"/>
  <c r="BD107" i="7"/>
  <c r="BC108" i="7" s="1"/>
  <c r="CC107" i="7"/>
  <c r="CB108" i="7" s="1"/>
  <c r="BI123" i="7"/>
  <c r="BM123" i="7" s="1"/>
  <c r="AJ121" i="7"/>
  <c r="AN121" i="7" s="1"/>
  <c r="K122" i="7"/>
  <c r="O122" i="7" s="1"/>
  <c r="CH122" i="7"/>
  <c r="CL122" i="7" s="1"/>
  <c r="G301" i="1"/>
  <c r="G183" i="1"/>
  <c r="AR118" i="1"/>
  <c r="BK112" i="1"/>
  <c r="BD112" i="1"/>
  <c r="BC113" i="1" s="1"/>
  <c r="AE119" i="1"/>
  <c r="AD120" i="1" s="1"/>
  <c r="AL119" i="1"/>
  <c r="AQ119" i="1"/>
  <c r="AJ120" i="1"/>
  <c r="AN120" i="1" s="1"/>
  <c r="BQ112" i="1"/>
  <c r="M28" i="1"/>
  <c r="R28" i="1"/>
  <c r="BI114" i="1"/>
  <c r="BM114" i="1" s="1"/>
  <c r="G303" i="1"/>
  <c r="S27" i="1"/>
  <c r="F28" i="1"/>
  <c r="CO30" i="1"/>
  <c r="CL30" i="1"/>
  <c r="CC30" i="1"/>
  <c r="CJ30" i="1"/>
  <c r="N71" i="4"/>
  <c r="P71" i="4"/>
  <c r="CF71" i="4"/>
  <c r="BN71" i="4"/>
  <c r="BP71" i="4"/>
  <c r="DN71" i="4"/>
  <c r="DP71" i="4"/>
  <c r="DG71" i="4"/>
  <c r="DF72" i="4" s="1"/>
  <c r="DS71" i="4"/>
  <c r="BG71" i="4"/>
  <c r="BF72" i="4" s="1"/>
  <c r="BS71" i="4"/>
  <c r="G71" i="4"/>
  <c r="F72" i="4" s="1"/>
  <c r="S71" i="4"/>
  <c r="T71" i="4" s="1"/>
  <c r="AF46" i="4"/>
  <c r="AT45" i="4"/>
  <c r="L81" i="4"/>
  <c r="DL81" i="4"/>
  <c r="BL80" i="4"/>
  <c r="AL82" i="4"/>
  <c r="CL80" i="4"/>
  <c r="CH52" i="1"/>
  <c r="K40" i="1"/>
  <c r="AN160" i="7" l="1"/>
  <c r="T202" i="7" s="1"/>
  <c r="AQ160" i="7"/>
  <c r="CO108" i="7"/>
  <c r="CJ108" i="7"/>
  <c r="CP107" i="7"/>
  <c r="BQ161" i="8"/>
  <c r="U231" i="8" s="1"/>
  <c r="S161" i="8"/>
  <c r="U183" i="8" s="1"/>
  <c r="AD162" i="8"/>
  <c r="AE125" i="8"/>
  <c r="AD126" i="8" s="1"/>
  <c r="AL125" i="8"/>
  <c r="AQ125" i="8"/>
  <c r="AR125" i="8" s="1"/>
  <c r="F161" i="8"/>
  <c r="U170" i="8" s="1"/>
  <c r="E125" i="8"/>
  <c r="BD161" i="8"/>
  <c r="U218" i="8" s="1"/>
  <c r="BC125" i="8"/>
  <c r="W332" i="8"/>
  <c r="CB162" i="8"/>
  <c r="V241" i="8" s="1"/>
  <c r="DA162" i="8"/>
  <c r="V264" i="8" s="1"/>
  <c r="CO125" i="8"/>
  <c r="CJ125" i="8"/>
  <c r="CC125" i="8"/>
  <c r="CB126" i="8" s="1"/>
  <c r="CL125" i="8"/>
  <c r="T192" i="7"/>
  <c r="G305" i="1"/>
  <c r="E29" i="1"/>
  <c r="M29" i="1" s="1"/>
  <c r="AR111" i="7"/>
  <c r="AL112" i="7"/>
  <c r="AE112" i="7"/>
  <c r="AD113" i="7" s="1"/>
  <c r="AQ112" i="7"/>
  <c r="F110" i="7"/>
  <c r="R110" i="7"/>
  <c r="M110" i="7"/>
  <c r="S109" i="7"/>
  <c r="CC108" i="7"/>
  <c r="CB109" i="7" s="1"/>
  <c r="K123" i="7"/>
  <c r="O123" i="7" s="1"/>
  <c r="BK108" i="7"/>
  <c r="BD108" i="7"/>
  <c r="BC109" i="7" s="1"/>
  <c r="BP108" i="7"/>
  <c r="BQ108" i="7" s="1"/>
  <c r="CH123" i="7"/>
  <c r="CL123" i="7" s="1"/>
  <c r="BI124" i="7"/>
  <c r="BM124" i="7" s="1"/>
  <c r="AJ122" i="7"/>
  <c r="AN122" i="7" s="1"/>
  <c r="BD113" i="1"/>
  <c r="BC114" i="1" s="1"/>
  <c r="BD114" i="1" s="1"/>
  <c r="BC115" i="1" s="1"/>
  <c r="AR119" i="1"/>
  <c r="BK113" i="1"/>
  <c r="BP113" i="1"/>
  <c r="BQ113" i="1" s="1"/>
  <c r="K149" i="1"/>
  <c r="AJ121" i="1"/>
  <c r="AN121" i="1" s="1"/>
  <c r="AQ120" i="1"/>
  <c r="AE120" i="1"/>
  <c r="AD121" i="1" s="1"/>
  <c r="AL120" i="1"/>
  <c r="BI115" i="1"/>
  <c r="BM115" i="1" s="1"/>
  <c r="S28" i="1"/>
  <c r="CP30" i="1"/>
  <c r="CB31" i="1"/>
  <c r="BN72" i="4"/>
  <c r="BP72" i="4"/>
  <c r="CN71" i="4"/>
  <c r="CP71" i="4"/>
  <c r="CG71" i="4"/>
  <c r="CF72" i="4" s="1"/>
  <c r="CS71" i="4"/>
  <c r="CT71" i="4" s="1"/>
  <c r="DN72" i="4"/>
  <c r="DP72" i="4"/>
  <c r="AS46" i="4"/>
  <c r="AN46" i="4"/>
  <c r="AP46" i="4"/>
  <c r="N72" i="4"/>
  <c r="P72" i="4"/>
  <c r="DG72" i="4"/>
  <c r="DS72" i="4"/>
  <c r="BG72" i="4"/>
  <c r="BF73" i="4" s="1"/>
  <c r="BS72" i="4"/>
  <c r="G72" i="4"/>
  <c r="F73" i="4" s="1"/>
  <c r="S72" i="4"/>
  <c r="T72" i="4" s="1"/>
  <c r="AG46" i="4"/>
  <c r="CL81" i="4"/>
  <c r="AL83" i="4"/>
  <c r="L82" i="4"/>
  <c r="BT71" i="4"/>
  <c r="BL81" i="4"/>
  <c r="DF73" i="4"/>
  <c r="DT71" i="4"/>
  <c r="DL82" i="4"/>
  <c r="CH53" i="1"/>
  <c r="K41" i="1"/>
  <c r="AR112" i="7" l="1"/>
  <c r="CO109" i="7"/>
  <c r="CJ109" i="7"/>
  <c r="BC162" i="8"/>
  <c r="BP125" i="8"/>
  <c r="BQ125" i="8" s="1"/>
  <c r="BD125" i="8"/>
  <c r="BC126" i="8" s="1"/>
  <c r="BK125" i="8"/>
  <c r="CO126" i="8"/>
  <c r="CC126" i="8"/>
  <c r="CB127" i="8" s="1"/>
  <c r="CJ126" i="8"/>
  <c r="CL126" i="8"/>
  <c r="E162" i="8"/>
  <c r="R125" i="8"/>
  <c r="S125" i="8" s="1"/>
  <c r="F125" i="8"/>
  <c r="E126" i="8" s="1"/>
  <c r="M125" i="8"/>
  <c r="AQ126" i="8"/>
  <c r="AR126" i="8" s="1"/>
  <c r="AE126" i="8"/>
  <c r="AD127" i="8" s="1"/>
  <c r="AL126" i="8"/>
  <c r="CP125" i="8"/>
  <c r="CP126" i="8" s="1"/>
  <c r="U291" i="8"/>
  <c r="U325" i="8"/>
  <c r="V192" i="8"/>
  <c r="AQ162" i="8"/>
  <c r="V205" i="8" s="1"/>
  <c r="AN162" i="8"/>
  <c r="V202" i="8" s="1"/>
  <c r="BP114" i="1"/>
  <c r="R29" i="1"/>
  <c r="F29" i="1"/>
  <c r="E30" i="1" s="1"/>
  <c r="R30" i="1" s="1"/>
  <c r="S29" i="1"/>
  <c r="BK114" i="1"/>
  <c r="CP108" i="7"/>
  <c r="AQ113" i="7"/>
  <c r="AE113" i="7"/>
  <c r="AD114" i="7" s="1"/>
  <c r="AL113" i="7"/>
  <c r="S110" i="7"/>
  <c r="E111" i="7"/>
  <c r="F159" i="7"/>
  <c r="S170" i="7" s="1"/>
  <c r="BI161" i="7"/>
  <c r="BI125" i="7"/>
  <c r="BM125" i="7" s="1"/>
  <c r="CC109" i="7"/>
  <c r="CB110" i="7" s="1"/>
  <c r="K124" i="7"/>
  <c r="O124" i="7" s="1"/>
  <c r="AJ123" i="7"/>
  <c r="AN123" i="7" s="1"/>
  <c r="CH124" i="7"/>
  <c r="CL124" i="7" s="1"/>
  <c r="BP109" i="7"/>
  <c r="BQ109" i="7" s="1"/>
  <c r="BK109" i="7"/>
  <c r="BD109" i="7"/>
  <c r="BC110" i="7" s="1"/>
  <c r="AR120" i="1"/>
  <c r="AJ122" i="1"/>
  <c r="AN122" i="1" s="1"/>
  <c r="AQ121" i="1"/>
  <c r="AE121" i="1"/>
  <c r="AD122" i="1" s="1"/>
  <c r="AL121" i="1"/>
  <c r="BQ114" i="1"/>
  <c r="BP115" i="1"/>
  <c r="BK115" i="1"/>
  <c r="BD115" i="1"/>
  <c r="BC116" i="1" s="1"/>
  <c r="BI116" i="1"/>
  <c r="BM116" i="1" s="1"/>
  <c r="I175" i="1"/>
  <c r="CO31" i="1"/>
  <c r="CL31" i="1"/>
  <c r="CC31" i="1"/>
  <c r="CJ31" i="1"/>
  <c r="N73" i="4"/>
  <c r="P73" i="4"/>
  <c r="DN73" i="4"/>
  <c r="DP73" i="4"/>
  <c r="BN73" i="4"/>
  <c r="BP73" i="4"/>
  <c r="CN72" i="4"/>
  <c r="CP72" i="4"/>
  <c r="CG72" i="4"/>
  <c r="CF73" i="4" s="1"/>
  <c r="CS72" i="4"/>
  <c r="CT72" i="4" s="1"/>
  <c r="DG73" i="4"/>
  <c r="DF74" i="4" s="1"/>
  <c r="DS73" i="4"/>
  <c r="BG73" i="4"/>
  <c r="BF74" i="4" s="1"/>
  <c r="BS73" i="4"/>
  <c r="G73" i="4"/>
  <c r="F74" i="4" s="1"/>
  <c r="S73" i="4"/>
  <c r="T73" i="4" s="1"/>
  <c r="AF47" i="4"/>
  <c r="AS47" i="4" s="1"/>
  <c r="AT46" i="4"/>
  <c r="BL82" i="4"/>
  <c r="CL82" i="4"/>
  <c r="AL84" i="4"/>
  <c r="AL191" i="4" s="1"/>
  <c r="P234" i="4" s="1"/>
  <c r="DL83" i="4"/>
  <c r="DT72" i="4"/>
  <c r="BT72" i="4"/>
  <c r="L83" i="4"/>
  <c r="J176" i="1"/>
  <c r="CH54" i="1"/>
  <c r="CH151" i="1" s="1"/>
  <c r="K42" i="1"/>
  <c r="CO110" i="7" l="1"/>
  <c r="CJ110" i="7"/>
  <c r="R126" i="8"/>
  <c r="M126" i="8"/>
  <c r="F126" i="8"/>
  <c r="E127" i="8" s="1"/>
  <c r="CP127" i="8"/>
  <c r="AL127" i="8"/>
  <c r="AE127" i="8"/>
  <c r="AD128" i="8" s="1"/>
  <c r="AQ127" i="8"/>
  <c r="AR127" i="8" s="1"/>
  <c r="S126" i="8"/>
  <c r="CO127" i="8"/>
  <c r="CJ127" i="8"/>
  <c r="CC127" i="8"/>
  <c r="CB128" i="8" s="1"/>
  <c r="CL127" i="8"/>
  <c r="BD126" i="8"/>
  <c r="BC127" i="8" s="1"/>
  <c r="BP126" i="8"/>
  <c r="BQ126" i="8" s="1"/>
  <c r="BK126" i="8"/>
  <c r="V169" i="8"/>
  <c r="R162" i="8"/>
  <c r="V182" i="8" s="1"/>
  <c r="M162" i="8"/>
  <c r="V177" i="8" s="1"/>
  <c r="O162" i="8"/>
  <c r="V179" i="8" s="1"/>
  <c r="V217" i="8"/>
  <c r="BP162" i="8"/>
  <c r="V230" i="8" s="1"/>
  <c r="K247" i="1"/>
  <c r="I273" i="1"/>
  <c r="S30" i="1"/>
  <c r="R145" i="1"/>
  <c r="R146" i="1"/>
  <c r="R147" i="1"/>
  <c r="R148" i="1"/>
  <c r="U223" i="7"/>
  <c r="CP109" i="7"/>
  <c r="AQ114" i="7"/>
  <c r="AE114" i="7"/>
  <c r="AD115" i="7" s="1"/>
  <c r="AL114" i="7"/>
  <c r="AR113" i="7"/>
  <c r="F111" i="7"/>
  <c r="E112" i="7" s="1"/>
  <c r="E160" i="7"/>
  <c r="R111" i="7"/>
  <c r="S111" i="7" s="1"/>
  <c r="M111" i="7"/>
  <c r="S159" i="7"/>
  <c r="BI126" i="7"/>
  <c r="BM126" i="7" s="1"/>
  <c r="BD110" i="7"/>
  <c r="BC111" i="7" s="1"/>
  <c r="BP110" i="7"/>
  <c r="BQ110" i="7" s="1"/>
  <c r="BK110" i="7"/>
  <c r="BM159" i="7"/>
  <c r="S227" i="7" s="1"/>
  <c r="CH161" i="7"/>
  <c r="CH125" i="7"/>
  <c r="CL125" i="7" s="1"/>
  <c r="K161" i="7"/>
  <c r="K125" i="7"/>
  <c r="O125" i="7" s="1"/>
  <c r="CC110" i="7"/>
  <c r="AJ124" i="7"/>
  <c r="AN124" i="7" s="1"/>
  <c r="F30" i="1"/>
  <c r="AR121" i="1"/>
  <c r="AJ123" i="1"/>
  <c r="AN123" i="1" s="1"/>
  <c r="AL122" i="1"/>
  <c r="AQ122" i="1"/>
  <c r="AE122" i="1"/>
  <c r="AD123" i="1" s="1"/>
  <c r="BQ115" i="1"/>
  <c r="M30" i="1"/>
  <c r="BP116" i="1"/>
  <c r="BK116" i="1"/>
  <c r="BI117" i="1"/>
  <c r="BD116" i="1"/>
  <c r="BC117" i="1" s="1"/>
  <c r="CB32" i="1"/>
  <c r="CP31" i="1"/>
  <c r="AT47" i="4"/>
  <c r="CN73" i="4"/>
  <c r="CP73" i="4"/>
  <c r="CS73" i="4"/>
  <c r="CT73" i="4" s="1"/>
  <c r="CG73" i="4"/>
  <c r="CF74" i="4" s="1"/>
  <c r="AN47" i="4"/>
  <c r="AP47" i="4"/>
  <c r="N74" i="4"/>
  <c r="P74" i="4"/>
  <c r="BN74" i="4"/>
  <c r="BP74" i="4"/>
  <c r="DN74" i="4"/>
  <c r="DP74" i="4"/>
  <c r="DG74" i="4"/>
  <c r="DF75" i="4" s="1"/>
  <c r="DS74" i="4"/>
  <c r="BG74" i="4"/>
  <c r="BF75" i="4" s="1"/>
  <c r="BS74" i="4"/>
  <c r="BT73" i="4"/>
  <c r="G74" i="4"/>
  <c r="F75" i="4" s="1"/>
  <c r="S74" i="4"/>
  <c r="T74" i="4" s="1"/>
  <c r="AG47" i="4"/>
  <c r="DT73" i="4"/>
  <c r="AL85" i="4"/>
  <c r="BL83" i="4"/>
  <c r="L84" i="4"/>
  <c r="L191" i="4" s="1"/>
  <c r="P210" i="4" s="1"/>
  <c r="DL84" i="4"/>
  <c r="DL191" i="4" s="1"/>
  <c r="P306" i="4" s="1"/>
  <c r="CL83" i="4"/>
  <c r="J292" i="1"/>
  <c r="CH55" i="1"/>
  <c r="K43" i="1"/>
  <c r="O160" i="7" l="1"/>
  <c r="R160" i="7"/>
  <c r="AQ128" i="8"/>
  <c r="AR128" i="8" s="1"/>
  <c r="AE128" i="8"/>
  <c r="AD129" i="8" s="1"/>
  <c r="AL128" i="8"/>
  <c r="BP127" i="8"/>
  <c r="BQ127" i="8" s="1"/>
  <c r="BD127" i="8"/>
  <c r="BC128" i="8" s="1"/>
  <c r="BK127" i="8"/>
  <c r="V290" i="8"/>
  <c r="V315" i="8"/>
  <c r="CO128" i="8"/>
  <c r="CP128" i="8" s="1"/>
  <c r="CC128" i="8"/>
  <c r="CB129" i="8" s="1"/>
  <c r="CJ128" i="8"/>
  <c r="CL128" i="8"/>
  <c r="R127" i="8"/>
  <c r="S127" i="8" s="1"/>
  <c r="F127" i="8"/>
  <c r="E128" i="8" s="1"/>
  <c r="M127" i="8"/>
  <c r="BI160" i="1"/>
  <c r="T223" i="1" s="1"/>
  <c r="BM117" i="1"/>
  <c r="S183" i="7"/>
  <c r="S399" i="7" s="1"/>
  <c r="S184" i="7"/>
  <c r="M160" i="7"/>
  <c r="T169" i="7"/>
  <c r="I308" i="1"/>
  <c r="G29" i="5" s="1"/>
  <c r="F31" i="1"/>
  <c r="E32" i="1" s="1"/>
  <c r="F32" i="1" s="1"/>
  <c r="E33" i="1" s="1"/>
  <c r="F33" i="1" s="1"/>
  <c r="R31" i="1"/>
  <c r="U247" i="7"/>
  <c r="CP110" i="7"/>
  <c r="CP159" i="7" s="1"/>
  <c r="CL159" i="7"/>
  <c r="AE115" i="7"/>
  <c r="AD116" i="7" s="1"/>
  <c r="AL115" i="7"/>
  <c r="AQ115" i="7"/>
  <c r="AR114" i="7"/>
  <c r="T179" i="7"/>
  <c r="F112" i="7"/>
  <c r="E113" i="7" s="1"/>
  <c r="M112" i="7"/>
  <c r="R112" i="7"/>
  <c r="S112" i="7" s="1"/>
  <c r="BQ159" i="7"/>
  <c r="S231" i="7" s="1"/>
  <c r="AJ161" i="7"/>
  <c r="AJ125" i="7"/>
  <c r="AN125" i="7" s="1"/>
  <c r="U175" i="7"/>
  <c r="BI127" i="7"/>
  <c r="BM127" i="7" s="1"/>
  <c r="CH126" i="7"/>
  <c r="CL126" i="7" s="1"/>
  <c r="CC159" i="7"/>
  <c r="CB111" i="7"/>
  <c r="K126" i="7"/>
  <c r="O126" i="7" s="1"/>
  <c r="BD159" i="7"/>
  <c r="AR122" i="1"/>
  <c r="AJ124" i="1"/>
  <c r="AQ123" i="1"/>
  <c r="AE123" i="1"/>
  <c r="AD124" i="1" s="1"/>
  <c r="AL123" i="1"/>
  <c r="BQ116" i="1"/>
  <c r="R32" i="1"/>
  <c r="BP117" i="1"/>
  <c r="BK117" i="1"/>
  <c r="BI118" i="1"/>
  <c r="BM118" i="1" s="1"/>
  <c r="BM160" i="1"/>
  <c r="BD117" i="1"/>
  <c r="S31" i="1"/>
  <c r="R33" i="1"/>
  <c r="CO32" i="1"/>
  <c r="CL32" i="1"/>
  <c r="CC32" i="1"/>
  <c r="CJ32" i="1"/>
  <c r="N75" i="4"/>
  <c r="P75" i="4"/>
  <c r="CN74" i="4"/>
  <c r="CP74" i="4"/>
  <c r="CG74" i="4"/>
  <c r="CF75" i="4" s="1"/>
  <c r="CS74" i="4"/>
  <c r="CT74" i="4" s="1"/>
  <c r="BN75" i="4"/>
  <c r="BP75" i="4"/>
  <c r="DN75" i="4"/>
  <c r="DP75" i="4"/>
  <c r="BT74" i="4"/>
  <c r="DG75" i="4"/>
  <c r="DF76" i="4" s="1"/>
  <c r="DS75" i="4"/>
  <c r="BG75" i="4"/>
  <c r="BF76" i="4" s="1"/>
  <c r="BS75" i="4"/>
  <c r="G75" i="4"/>
  <c r="F76" i="4" s="1"/>
  <c r="S75" i="4"/>
  <c r="T75" i="4" s="1"/>
  <c r="AF48" i="4"/>
  <c r="BL84" i="4"/>
  <c r="BL191" i="4" s="1"/>
  <c r="P258" i="4" s="1"/>
  <c r="CL84" i="4"/>
  <c r="CL191" i="4" s="1"/>
  <c r="P283" i="4" s="1"/>
  <c r="DT74" i="4"/>
  <c r="L85" i="4"/>
  <c r="AL86" i="4"/>
  <c r="DL85" i="4"/>
  <c r="H267" i="1"/>
  <c r="CH56" i="1"/>
  <c r="K44" i="1"/>
  <c r="S251" i="7" l="1"/>
  <c r="CO111" i="7"/>
  <c r="CJ111" i="7"/>
  <c r="V298" i="8"/>
  <c r="V326" i="8" s="1"/>
  <c r="V305" i="8"/>
  <c r="V329" i="8" s="1"/>
  <c r="V300" i="8"/>
  <c r="V327" i="8" s="1"/>
  <c r="F128" i="8"/>
  <c r="E129" i="8" s="1"/>
  <c r="R128" i="8"/>
  <c r="S128" i="8" s="1"/>
  <c r="M128" i="8"/>
  <c r="CO129" i="8"/>
  <c r="CP129" i="8" s="1"/>
  <c r="CC129" i="8"/>
  <c r="CB130" i="8" s="1"/>
  <c r="CJ129" i="8"/>
  <c r="CL129" i="8"/>
  <c r="BP128" i="8"/>
  <c r="BQ128" i="8" s="1"/>
  <c r="BK128" i="8"/>
  <c r="BD128" i="8"/>
  <c r="BC129" i="8" s="1"/>
  <c r="AQ129" i="8"/>
  <c r="AR129" i="8" s="1"/>
  <c r="AE129" i="8"/>
  <c r="AD130" i="8" s="1"/>
  <c r="AL129" i="8"/>
  <c r="H277" i="1"/>
  <c r="H282" i="1"/>
  <c r="U198" i="7"/>
  <c r="U390" i="7" s="1"/>
  <c r="AJ161" i="1"/>
  <c r="U198" i="1" s="1"/>
  <c r="AN124" i="1"/>
  <c r="M31" i="1"/>
  <c r="S423" i="7"/>
  <c r="S255" i="7"/>
  <c r="S242" i="7"/>
  <c r="S385" i="7" s="1"/>
  <c r="S218" i="7"/>
  <c r="AR115" i="7"/>
  <c r="AE116" i="7"/>
  <c r="AD117" i="7" s="1"/>
  <c r="AL116" i="7"/>
  <c r="AQ116" i="7"/>
  <c r="F113" i="7"/>
  <c r="E114" i="7" s="1"/>
  <c r="M113" i="7"/>
  <c r="R113" i="7"/>
  <c r="BC160" i="7"/>
  <c r="BP160" i="7" s="1"/>
  <c r="BD111" i="7"/>
  <c r="BC112" i="7" s="1"/>
  <c r="BK111" i="7"/>
  <c r="BP111" i="7"/>
  <c r="CC111" i="7"/>
  <c r="CB112" i="7" s="1"/>
  <c r="CB160" i="7"/>
  <c r="BI128" i="7"/>
  <c r="BM128" i="7" s="1"/>
  <c r="AJ126" i="7"/>
  <c r="AN126" i="7" s="1"/>
  <c r="K127" i="7"/>
  <c r="O127" i="7" s="1"/>
  <c r="CH127" i="7"/>
  <c r="CL127" i="7" s="1"/>
  <c r="AR123" i="1"/>
  <c r="AJ125" i="1"/>
  <c r="AN125" i="1" s="1"/>
  <c r="AQ124" i="1"/>
  <c r="AE124" i="1"/>
  <c r="AD125" i="1" s="1"/>
  <c r="AL124" i="1"/>
  <c r="BQ117" i="1"/>
  <c r="BQ160" i="1" s="1"/>
  <c r="BC118" i="1"/>
  <c r="BC161" i="1" s="1"/>
  <c r="U217" i="1" s="1"/>
  <c r="BD160" i="1"/>
  <c r="T218" i="1" s="1"/>
  <c r="M32" i="1"/>
  <c r="M33" i="1"/>
  <c r="S32" i="1"/>
  <c r="S33" i="1" s="1"/>
  <c r="BI119" i="1"/>
  <c r="BM119" i="1" s="1"/>
  <c r="O148" i="1"/>
  <c r="CP32" i="1"/>
  <c r="CB33" i="1"/>
  <c r="BT75" i="4"/>
  <c r="DN76" i="4"/>
  <c r="DP76" i="4"/>
  <c r="N76" i="4"/>
  <c r="P76" i="4"/>
  <c r="BN76" i="4"/>
  <c r="BP76" i="4"/>
  <c r="AS48" i="4"/>
  <c r="AN48" i="4"/>
  <c r="AP48" i="4"/>
  <c r="CN75" i="4"/>
  <c r="CP75" i="4"/>
  <c r="CG75" i="4"/>
  <c r="CF76" i="4" s="1"/>
  <c r="CS75" i="4"/>
  <c r="CT75" i="4" s="1"/>
  <c r="DG76" i="4"/>
  <c r="DS76" i="4"/>
  <c r="BG76" i="4"/>
  <c r="BF77" i="4" s="1"/>
  <c r="BF190" i="4" s="1"/>
  <c r="O252" i="4" s="1"/>
  <c r="BS76" i="4"/>
  <c r="BT76" i="4" s="1"/>
  <c r="G76" i="4"/>
  <c r="F77" i="4" s="1"/>
  <c r="F190" i="4" s="1"/>
  <c r="O204" i="4" s="1"/>
  <c r="S76" i="4"/>
  <c r="T76" i="4" s="1"/>
  <c r="AG48" i="4"/>
  <c r="L86" i="4"/>
  <c r="BL85" i="4"/>
  <c r="CL85" i="4"/>
  <c r="DF77" i="4"/>
  <c r="DF190" i="4" s="1"/>
  <c r="O300" i="4" s="1"/>
  <c r="AL87" i="4"/>
  <c r="DL86" i="4"/>
  <c r="DT75" i="4"/>
  <c r="CH57" i="1"/>
  <c r="K45" i="1"/>
  <c r="K46" i="1" s="1"/>
  <c r="K47" i="1" s="1"/>
  <c r="K48" i="1" s="1"/>
  <c r="CO160" i="7" l="1"/>
  <c r="CO112" i="7"/>
  <c r="CJ112" i="7"/>
  <c r="S419" i="7"/>
  <c r="CP130" i="8"/>
  <c r="CO130" i="8"/>
  <c r="CC130" i="8"/>
  <c r="CB131" i="8" s="1"/>
  <c r="CJ130" i="8"/>
  <c r="CL130" i="8"/>
  <c r="R129" i="8"/>
  <c r="S129" i="8" s="1"/>
  <c r="F129" i="8"/>
  <c r="E130" i="8" s="1"/>
  <c r="M129" i="8"/>
  <c r="AQ130" i="8"/>
  <c r="AR130" i="8" s="1"/>
  <c r="AE130" i="8"/>
  <c r="AD131" i="8" s="1"/>
  <c r="AL130" i="8"/>
  <c r="BP129" i="8"/>
  <c r="BQ129" i="8" s="1"/>
  <c r="BD129" i="8"/>
  <c r="BC130" i="8" s="1"/>
  <c r="BK129" i="8"/>
  <c r="AD162" i="1"/>
  <c r="V192" i="1" s="1"/>
  <c r="AE161" i="1"/>
  <c r="U193" i="1" s="1"/>
  <c r="T241" i="7"/>
  <c r="T409" i="7" s="1"/>
  <c r="T435" i="7" s="1"/>
  <c r="R8" i="5" s="1"/>
  <c r="R19" i="5" s="1"/>
  <c r="T217" i="7"/>
  <c r="AE117" i="7"/>
  <c r="AL117" i="7"/>
  <c r="AQ117" i="7"/>
  <c r="AR116" i="7"/>
  <c r="S113" i="7"/>
  <c r="F114" i="7"/>
  <c r="E115" i="7" s="1"/>
  <c r="M114" i="7"/>
  <c r="R114" i="7"/>
  <c r="U426" i="7"/>
  <c r="S34" i="5" s="1"/>
  <c r="BQ111" i="7"/>
  <c r="K128" i="7"/>
  <c r="O128" i="7" s="1"/>
  <c r="BI129" i="7"/>
  <c r="BM129" i="7" s="1"/>
  <c r="CC112" i="7"/>
  <c r="CB113" i="7" s="1"/>
  <c r="CH128" i="7"/>
  <c r="CL128" i="7" s="1"/>
  <c r="AJ127" i="7"/>
  <c r="AN127" i="7" s="1"/>
  <c r="CP111" i="7"/>
  <c r="BD112" i="7"/>
  <c r="BC113" i="7" s="1"/>
  <c r="BP112" i="7"/>
  <c r="BK112" i="7"/>
  <c r="BP118" i="1"/>
  <c r="BQ118" i="1" s="1"/>
  <c r="H179" i="1"/>
  <c r="AR124" i="1"/>
  <c r="AR161" i="1" s="1"/>
  <c r="U206" i="1" s="1"/>
  <c r="BD118" i="1"/>
  <c r="BC119" i="1" s="1"/>
  <c r="BD119" i="1" s="1"/>
  <c r="BC120" i="1" s="1"/>
  <c r="BK118" i="1"/>
  <c r="AJ126" i="1"/>
  <c r="AN126" i="1" s="1"/>
  <c r="BI120" i="1"/>
  <c r="BM120" i="1" s="1"/>
  <c r="K231" i="1"/>
  <c r="F148" i="1"/>
  <c r="S148" i="1"/>
  <c r="CO33" i="1"/>
  <c r="CL33" i="1"/>
  <c r="H251" i="1" s="1"/>
  <c r="CJ33" i="1"/>
  <c r="CC33" i="1"/>
  <c r="CC148" i="1" s="1"/>
  <c r="H242" i="1" s="1"/>
  <c r="P350" i="4"/>
  <c r="DN77" i="4"/>
  <c r="DP77" i="4"/>
  <c r="DP190" i="4" s="1"/>
  <c r="O310" i="4" s="1"/>
  <c r="N77" i="4"/>
  <c r="P77" i="4"/>
  <c r="P190" i="4" s="1"/>
  <c r="O214" i="4" s="1"/>
  <c r="BN77" i="4"/>
  <c r="BP77" i="4"/>
  <c r="BP190" i="4" s="1"/>
  <c r="O262" i="4" s="1"/>
  <c r="CN76" i="4"/>
  <c r="CP76" i="4"/>
  <c r="CS76" i="4"/>
  <c r="CT76" i="4" s="1"/>
  <c r="CG76" i="4"/>
  <c r="CF77" i="4" s="1"/>
  <c r="CF190" i="4" s="1"/>
  <c r="O277" i="4" s="1"/>
  <c r="P332" i="4"/>
  <c r="DS77" i="4"/>
  <c r="BS77" i="4"/>
  <c r="S77" i="4"/>
  <c r="AT48" i="4"/>
  <c r="AF49" i="4"/>
  <c r="AF186" i="4" s="1"/>
  <c r="K228" i="4" s="1"/>
  <c r="G77" i="4"/>
  <c r="G190" i="4" s="1"/>
  <c r="O205" i="4" s="1"/>
  <c r="BL86" i="4"/>
  <c r="CL86" i="4"/>
  <c r="BG77" i="4"/>
  <c r="BG190" i="4" s="1"/>
  <c r="O253" i="4" s="1"/>
  <c r="L87" i="4"/>
  <c r="DL87" i="4"/>
  <c r="DT76" i="4"/>
  <c r="AL88" i="4"/>
  <c r="DG77" i="4"/>
  <c r="DG190" i="4" s="1"/>
  <c r="O301" i="4" s="1"/>
  <c r="I180" i="1"/>
  <c r="I278" i="1" s="1"/>
  <c r="I171" i="1"/>
  <c r="I184" i="1"/>
  <c r="CH58" i="1"/>
  <c r="T384" i="7" l="1"/>
  <c r="T392" i="7" s="1"/>
  <c r="T420" i="7" s="1"/>
  <c r="CO113" i="7"/>
  <c r="CJ113" i="7"/>
  <c r="BP130" i="8"/>
  <c r="BQ130" i="8" s="1"/>
  <c r="BD130" i="8"/>
  <c r="BC131" i="8" s="1"/>
  <c r="BK130" i="8"/>
  <c r="R130" i="8"/>
  <c r="S130" i="8" s="1"/>
  <c r="F130" i="8"/>
  <c r="E131" i="8" s="1"/>
  <c r="M130" i="8"/>
  <c r="CO131" i="8"/>
  <c r="CC131" i="8"/>
  <c r="CJ131" i="8"/>
  <c r="CL131" i="8"/>
  <c r="CP131" i="8"/>
  <c r="AQ131" i="8"/>
  <c r="AR131" i="8" s="1"/>
  <c r="AE131" i="8"/>
  <c r="AL131" i="8"/>
  <c r="BP119" i="1"/>
  <c r="BQ119" i="1" s="1"/>
  <c r="AE125" i="1"/>
  <c r="AL125" i="1"/>
  <c r="AQ125" i="1"/>
  <c r="AR125" i="1" s="1"/>
  <c r="AR117" i="7"/>
  <c r="T205" i="7"/>
  <c r="AE160" i="7"/>
  <c r="T193" i="7" s="1"/>
  <c r="AD118" i="7"/>
  <c r="CP112" i="7"/>
  <c r="F115" i="7"/>
  <c r="E116" i="7" s="1"/>
  <c r="M115" i="7"/>
  <c r="R115" i="7"/>
  <c r="S114" i="7"/>
  <c r="CC113" i="7"/>
  <c r="CB114" i="7" s="1"/>
  <c r="K129" i="7"/>
  <c r="O129" i="7" s="1"/>
  <c r="CH129" i="7"/>
  <c r="CL129" i="7" s="1"/>
  <c r="BI130" i="7"/>
  <c r="BM130" i="7" s="1"/>
  <c r="BQ112" i="7"/>
  <c r="BP113" i="7"/>
  <c r="BK113" i="7"/>
  <c r="BD113" i="7"/>
  <c r="BC114" i="7" s="1"/>
  <c r="AJ128" i="7"/>
  <c r="AN128" i="7" s="1"/>
  <c r="H170" i="1"/>
  <c r="H268" i="1" s="1"/>
  <c r="H183" i="1"/>
  <c r="BK119" i="1"/>
  <c r="AJ127" i="1"/>
  <c r="AN127" i="1" s="1"/>
  <c r="BP120" i="1"/>
  <c r="BK120" i="1"/>
  <c r="M34" i="1"/>
  <c r="R34" i="1"/>
  <c r="BI121" i="1"/>
  <c r="BM121" i="1" s="1"/>
  <c r="BD120" i="1"/>
  <c r="BC121" i="1" s="1"/>
  <c r="I269" i="1"/>
  <c r="I174" i="1"/>
  <c r="I272" i="1" s="1"/>
  <c r="E149" i="1"/>
  <c r="E35" i="1"/>
  <c r="R35" i="1" s="1"/>
  <c r="CP33" i="1"/>
  <c r="CP148" i="1" s="1"/>
  <c r="H255" i="1" s="1"/>
  <c r="CB34" i="1"/>
  <c r="AS49" i="4"/>
  <c r="AN49" i="4"/>
  <c r="AP49" i="4"/>
  <c r="AP186" i="4" s="1"/>
  <c r="K238" i="4" s="1"/>
  <c r="CN77" i="4"/>
  <c r="CP77" i="4"/>
  <c r="CP190" i="4" s="1"/>
  <c r="O287" i="4" s="1"/>
  <c r="CS77" i="4"/>
  <c r="CT77" i="4" s="1"/>
  <c r="CT190" i="4" s="1"/>
  <c r="O291" i="4" s="1"/>
  <c r="CG77" i="4"/>
  <c r="CG190" i="4" s="1"/>
  <c r="O278" i="4" s="1"/>
  <c r="AG49" i="4"/>
  <c r="AG186" i="4" s="1"/>
  <c r="K229" i="4" s="1"/>
  <c r="AL89" i="4"/>
  <c r="BT77" i="4"/>
  <c r="BT190" i="4" s="1"/>
  <c r="O266" i="4" s="1"/>
  <c r="BF78" i="4"/>
  <c r="DF78" i="4"/>
  <c r="DT77" i="4"/>
  <c r="DT190" i="4" s="1"/>
  <c r="O314" i="4" s="1"/>
  <c r="L88" i="4"/>
  <c r="BL87" i="4"/>
  <c r="CL87" i="4"/>
  <c r="DL88" i="4"/>
  <c r="F78" i="4"/>
  <c r="T77" i="4"/>
  <c r="T190" i="4" s="1"/>
  <c r="O218" i="4" s="1"/>
  <c r="I296" i="1"/>
  <c r="CH59" i="1"/>
  <c r="T394" i="7" l="1"/>
  <c r="T421" i="7" s="1"/>
  <c r="CO114" i="7"/>
  <c r="CJ114" i="7"/>
  <c r="AR162" i="8"/>
  <c r="V206" i="8" s="1"/>
  <c r="AE162" i="8"/>
  <c r="V193" i="8" s="1"/>
  <c r="AD132" i="8"/>
  <c r="R131" i="8"/>
  <c r="S131" i="8" s="1"/>
  <c r="F131" i="8"/>
  <c r="M131" i="8"/>
  <c r="BP131" i="8"/>
  <c r="BQ131" i="8" s="1"/>
  <c r="BD131" i="8"/>
  <c r="BK131" i="8"/>
  <c r="DB162" i="8"/>
  <c r="V265" i="8" s="1"/>
  <c r="CC162" i="8"/>
  <c r="V242" i="8" s="1"/>
  <c r="CB132" i="8"/>
  <c r="DO162" i="8"/>
  <c r="V278" i="8" s="1"/>
  <c r="CP162" i="8"/>
  <c r="V255" i="8" s="1"/>
  <c r="DN145" i="8"/>
  <c r="E277" i="8" s="1"/>
  <c r="CO145" i="8"/>
  <c r="E254" i="8" s="1"/>
  <c r="E303" i="8" s="1"/>
  <c r="E328" i="8" s="1"/>
  <c r="E342" i="8" s="1"/>
  <c r="CO154" i="8"/>
  <c r="N254" i="8" s="1"/>
  <c r="DN155" i="8"/>
  <c r="O277" i="8" s="1"/>
  <c r="DN153" i="8"/>
  <c r="M277" i="8" s="1"/>
  <c r="DN161" i="8"/>
  <c r="U277" i="8" s="1"/>
  <c r="DN152" i="8"/>
  <c r="L277" i="8" s="1"/>
  <c r="CO157" i="8"/>
  <c r="Q254" i="8" s="1"/>
  <c r="Q303" i="8" s="1"/>
  <c r="Q328" i="8" s="1"/>
  <c r="Q342" i="8" s="1"/>
  <c r="DN157" i="8"/>
  <c r="Q277" i="8" s="1"/>
  <c r="CO146" i="8"/>
  <c r="F254" i="8" s="1"/>
  <c r="F303" i="8" s="1"/>
  <c r="F328" i="8" s="1"/>
  <c r="F342" i="8" s="1"/>
  <c r="DN146" i="8"/>
  <c r="F277" i="8" s="1"/>
  <c r="CO147" i="8"/>
  <c r="G254" i="8" s="1"/>
  <c r="G303" i="8" s="1"/>
  <c r="G328" i="8" s="1"/>
  <c r="G342" i="8" s="1"/>
  <c r="DN147" i="8"/>
  <c r="G277" i="8" s="1"/>
  <c r="CO148" i="8"/>
  <c r="H254" i="8" s="1"/>
  <c r="H303" i="8" s="1"/>
  <c r="H328" i="8" s="1"/>
  <c r="H342" i="8" s="1"/>
  <c r="DN148" i="8"/>
  <c r="H277" i="8" s="1"/>
  <c r="CO149" i="8"/>
  <c r="I254" i="8" s="1"/>
  <c r="I303" i="8" s="1"/>
  <c r="I328" i="8" s="1"/>
  <c r="I342" i="8" s="1"/>
  <c r="DN149" i="8"/>
  <c r="I277" i="8" s="1"/>
  <c r="CO150" i="8"/>
  <c r="J254" i="8" s="1"/>
  <c r="J303" i="8" s="1"/>
  <c r="J328" i="8" s="1"/>
  <c r="J342" i="8" s="1"/>
  <c r="DN150" i="8"/>
  <c r="J277" i="8" s="1"/>
  <c r="DN151" i="8"/>
  <c r="K277" i="8" s="1"/>
  <c r="CO151" i="8"/>
  <c r="K254" i="8" s="1"/>
  <c r="CO152" i="8"/>
  <c r="L254" i="8" s="1"/>
  <c r="L303" i="8" s="1"/>
  <c r="L328" i="8" s="1"/>
  <c r="L342" i="8" s="1"/>
  <c r="CO153" i="8"/>
  <c r="M254" i="8" s="1"/>
  <c r="M303" i="8" s="1"/>
  <c r="M328" i="8" s="1"/>
  <c r="M342" i="8" s="1"/>
  <c r="DN154" i="8"/>
  <c r="N277" i="8" s="1"/>
  <c r="CO155" i="8"/>
  <c r="O254" i="8" s="1"/>
  <c r="O303" i="8" s="1"/>
  <c r="O328" i="8" s="1"/>
  <c r="O342" i="8" s="1"/>
  <c r="DN156" i="8"/>
  <c r="P277" i="8" s="1"/>
  <c r="CO156" i="8"/>
  <c r="P254" i="8" s="1"/>
  <c r="CO158" i="8"/>
  <c r="R254" i="8" s="1"/>
  <c r="R303" i="8" s="1"/>
  <c r="R328" i="8" s="1"/>
  <c r="R342" i="8" s="1"/>
  <c r="DN158" i="8"/>
  <c r="R277" i="8" s="1"/>
  <c r="DN159" i="8"/>
  <c r="S277" i="8" s="1"/>
  <c r="CO159" i="8"/>
  <c r="S254" i="8" s="1"/>
  <c r="CO160" i="8"/>
  <c r="T254" i="8" s="1"/>
  <c r="T303" i="8" s="1"/>
  <c r="T328" i="8" s="1"/>
  <c r="T342" i="8" s="1"/>
  <c r="DN160" i="8"/>
  <c r="T277" i="8" s="1"/>
  <c r="CO161" i="8"/>
  <c r="U254" i="8" s="1"/>
  <c r="U303" i="8" s="1"/>
  <c r="U328" i="8" s="1"/>
  <c r="U342" i="8" s="1"/>
  <c r="CO162" i="8"/>
  <c r="V254" i="8" s="1"/>
  <c r="DN162" i="8"/>
  <c r="V277" i="8" s="1"/>
  <c r="DK162" i="8"/>
  <c r="V274" i="8" s="1"/>
  <c r="CL162" i="8"/>
  <c r="V251" i="8" s="1"/>
  <c r="H305" i="1"/>
  <c r="AD126" i="1"/>
  <c r="CP113" i="7"/>
  <c r="BQ113" i="7"/>
  <c r="AL118" i="7"/>
  <c r="AD161" i="7"/>
  <c r="AE118" i="7"/>
  <c r="AD119" i="7" s="1"/>
  <c r="AQ118" i="7"/>
  <c r="AR118" i="7" s="1"/>
  <c r="AR160" i="7"/>
  <c r="T206" i="7" s="1"/>
  <c r="S115" i="7"/>
  <c r="F116" i="7"/>
  <c r="E117" i="7" s="1"/>
  <c r="R116" i="7"/>
  <c r="M116" i="7"/>
  <c r="BP114" i="7"/>
  <c r="BK114" i="7"/>
  <c r="BD114" i="7"/>
  <c r="BC115" i="7" s="1"/>
  <c r="CC114" i="7"/>
  <c r="CB115" i="7" s="1"/>
  <c r="AJ129" i="7"/>
  <c r="AN129" i="7" s="1"/>
  <c r="BI131" i="7"/>
  <c r="BM131" i="7" s="1"/>
  <c r="K130" i="7"/>
  <c r="O130" i="7" s="1"/>
  <c r="CH130" i="7"/>
  <c r="CL130" i="7" s="1"/>
  <c r="BQ120" i="1"/>
  <c r="K150" i="1"/>
  <c r="AJ128" i="1"/>
  <c r="AN128" i="1" s="1"/>
  <c r="BP121" i="1"/>
  <c r="BK121" i="1"/>
  <c r="M35" i="1"/>
  <c r="BI122" i="1"/>
  <c r="BM122" i="1" s="1"/>
  <c r="BD121" i="1"/>
  <c r="BC122" i="1" s="1"/>
  <c r="S34" i="1"/>
  <c r="S35" i="1" s="1"/>
  <c r="F35" i="1"/>
  <c r="E36" i="1" s="1"/>
  <c r="F36" i="1" s="1"/>
  <c r="E37" i="1" s="1"/>
  <c r="H291" i="1"/>
  <c r="CO34" i="1"/>
  <c r="CL34" i="1"/>
  <c r="CC34" i="1"/>
  <c r="CJ34" i="1"/>
  <c r="K337" i="4"/>
  <c r="N78" i="4"/>
  <c r="P78" i="4"/>
  <c r="DN78" i="4"/>
  <c r="DP78" i="4"/>
  <c r="BN78" i="4"/>
  <c r="BP78" i="4"/>
  <c r="CF78" i="4"/>
  <c r="K349" i="4"/>
  <c r="K326" i="4"/>
  <c r="DG78" i="4"/>
  <c r="DF79" i="4" s="1"/>
  <c r="DS78" i="4"/>
  <c r="BG78" i="4"/>
  <c r="BF79" i="4" s="1"/>
  <c r="BS78" i="4"/>
  <c r="BT78" i="4" s="1"/>
  <c r="G78" i="4"/>
  <c r="F79" i="4" s="1"/>
  <c r="S78" i="4"/>
  <c r="T78" i="4" s="1"/>
  <c r="AT49" i="4"/>
  <c r="AT186" i="4" s="1"/>
  <c r="K242" i="4" s="1"/>
  <c r="K340" i="4" s="1"/>
  <c r="AF50" i="4"/>
  <c r="L89" i="4"/>
  <c r="DL89" i="4"/>
  <c r="CL88" i="4"/>
  <c r="BL88" i="4"/>
  <c r="AL90" i="4"/>
  <c r="CH60" i="1"/>
  <c r="S303" i="8" l="1"/>
  <c r="S328" i="8" s="1"/>
  <c r="S342" i="8" s="1"/>
  <c r="AN161" i="7"/>
  <c r="U202" i="7" s="1"/>
  <c r="AQ161" i="7"/>
  <c r="CO115" i="7"/>
  <c r="CJ115" i="7"/>
  <c r="S162" i="8"/>
  <c r="V183" i="8" s="1"/>
  <c r="S163" i="8"/>
  <c r="W183" i="8" s="1"/>
  <c r="BQ162" i="8"/>
  <c r="V231" i="8" s="1"/>
  <c r="F162" i="8"/>
  <c r="V170" i="8" s="1"/>
  <c r="E132" i="8"/>
  <c r="K303" i="8"/>
  <c r="K328" i="8" s="1"/>
  <c r="K342" i="8" s="1"/>
  <c r="DA163" i="8"/>
  <c r="W264" i="8" s="1"/>
  <c r="CB163" i="8"/>
  <c r="W241" i="8" s="1"/>
  <c r="CO132" i="8"/>
  <c r="CP132" i="8" s="1"/>
  <c r="CC132" i="8"/>
  <c r="CB133" i="8" s="1"/>
  <c r="CJ132" i="8"/>
  <c r="CL132" i="8"/>
  <c r="BD162" i="8"/>
  <c r="V218" i="8" s="1"/>
  <c r="BC132" i="8"/>
  <c r="AD163" i="8"/>
  <c r="AQ132" i="8"/>
  <c r="AR132" i="8" s="1"/>
  <c r="AE132" i="8"/>
  <c r="AD133" i="8" s="1"/>
  <c r="AL132" i="8"/>
  <c r="V303" i="8"/>
  <c r="V328" i="8" s="1"/>
  <c r="V342" i="8" s="1"/>
  <c r="P303" i="8"/>
  <c r="P328" i="8" s="1"/>
  <c r="P342" i="8" s="1"/>
  <c r="N303" i="8"/>
  <c r="N328" i="8" s="1"/>
  <c r="N342" i="8" s="1"/>
  <c r="U192" i="7"/>
  <c r="H317" i="1"/>
  <c r="F5" i="5" s="1"/>
  <c r="AE126" i="1"/>
  <c r="AD127" i="1" s="1"/>
  <c r="AQ126" i="1"/>
  <c r="AR126" i="1" s="1"/>
  <c r="AL126" i="1"/>
  <c r="CP114" i="7"/>
  <c r="BQ114" i="7"/>
  <c r="AL119" i="7"/>
  <c r="AE119" i="7"/>
  <c r="AD120" i="7" s="1"/>
  <c r="AQ119" i="7"/>
  <c r="AR119" i="7" s="1"/>
  <c r="F117" i="7"/>
  <c r="M117" i="7"/>
  <c r="R117" i="7"/>
  <c r="S116" i="7"/>
  <c r="AJ130" i="7"/>
  <c r="AN130" i="7" s="1"/>
  <c r="K131" i="7"/>
  <c r="O131" i="7" s="1"/>
  <c r="CC115" i="7"/>
  <c r="CB116" i="7" s="1"/>
  <c r="BI162" i="7"/>
  <c r="BI132" i="7"/>
  <c r="BM132" i="7" s="1"/>
  <c r="CH131" i="7"/>
  <c r="CL131" i="7" s="1"/>
  <c r="BP115" i="7"/>
  <c r="BK115" i="7"/>
  <c r="BD115" i="7"/>
  <c r="BC116" i="7" s="1"/>
  <c r="BQ121" i="1"/>
  <c r="AJ129" i="1"/>
  <c r="AN129" i="1" s="1"/>
  <c r="BP122" i="1"/>
  <c r="BK122" i="1"/>
  <c r="M36" i="1"/>
  <c r="R36" i="1"/>
  <c r="S36" i="1" s="1"/>
  <c r="M37" i="1"/>
  <c r="R37" i="1"/>
  <c r="BD122" i="1"/>
  <c r="BC123" i="1" s="1"/>
  <c r="BI123" i="1"/>
  <c r="BM123" i="1" s="1"/>
  <c r="H301" i="1"/>
  <c r="H303" i="1"/>
  <c r="H275" i="1"/>
  <c r="H302" i="1" s="1"/>
  <c r="J175" i="1"/>
  <c r="J273" i="1" s="1"/>
  <c r="CB35" i="1"/>
  <c r="CP34" i="1"/>
  <c r="K363" i="4"/>
  <c r="K358" i="4"/>
  <c r="K328" i="4"/>
  <c r="DN79" i="4"/>
  <c r="DP79" i="4"/>
  <c r="N79" i="4"/>
  <c r="P79" i="4"/>
  <c r="AS50" i="4"/>
  <c r="AN50" i="4"/>
  <c r="AP50" i="4"/>
  <c r="BN79" i="4"/>
  <c r="BP79" i="4"/>
  <c r="CN78" i="4"/>
  <c r="CP78" i="4"/>
  <c r="CS78" i="4"/>
  <c r="CT78" i="4" s="1"/>
  <c r="CG78" i="4"/>
  <c r="CF79" i="4" s="1"/>
  <c r="K334" i="4"/>
  <c r="K359" i="4" s="1"/>
  <c r="K336" i="4"/>
  <c r="K360" i="4" s="1"/>
  <c r="F37" i="1"/>
  <c r="E38" i="1" s="1"/>
  <c r="DG79" i="4"/>
  <c r="DF80" i="4" s="1"/>
  <c r="DS79" i="4"/>
  <c r="BG79" i="4"/>
  <c r="BF80" i="4" s="1"/>
  <c r="BS79" i="4"/>
  <c r="BT79" i="4" s="1"/>
  <c r="G79" i="4"/>
  <c r="F80" i="4" s="1"/>
  <c r="S79" i="4"/>
  <c r="T79" i="4" s="1"/>
  <c r="AG50" i="4"/>
  <c r="CL89" i="4"/>
  <c r="DT78" i="4"/>
  <c r="AL91" i="4"/>
  <c r="AL192" i="4" s="1"/>
  <c r="Q234" i="4" s="1"/>
  <c r="BL89" i="4"/>
  <c r="DL90" i="4"/>
  <c r="L90" i="4"/>
  <c r="K176" i="1"/>
  <c r="CH61" i="1"/>
  <c r="CH152" i="1" s="1"/>
  <c r="K49" i="1"/>
  <c r="CO116" i="7" l="1"/>
  <c r="CJ116" i="7"/>
  <c r="BC163" i="8"/>
  <c r="BP132" i="8"/>
  <c r="BQ132" i="8" s="1"/>
  <c r="BK132" i="8"/>
  <c r="BD132" i="8"/>
  <c r="BC133" i="8" s="1"/>
  <c r="CJ133" i="8"/>
  <c r="CO133" i="8"/>
  <c r="CC133" i="8"/>
  <c r="CB134" i="8" s="1"/>
  <c r="CL133" i="8"/>
  <c r="AL133" i="8"/>
  <c r="AQ133" i="8"/>
  <c r="AR133" i="8" s="1"/>
  <c r="AE133" i="8"/>
  <c r="AD134" i="8" s="1"/>
  <c r="CP133" i="8"/>
  <c r="E163" i="8"/>
  <c r="R132" i="8"/>
  <c r="S132" i="8" s="1"/>
  <c r="M132" i="8"/>
  <c r="F132" i="8"/>
  <c r="E133" i="8" s="1"/>
  <c r="V291" i="8"/>
  <c r="V325" i="8"/>
  <c r="W192" i="8"/>
  <c r="AQ163" i="8"/>
  <c r="W205" i="8" s="1"/>
  <c r="AN163" i="8"/>
  <c r="W202" i="8" s="1"/>
  <c r="L247" i="1"/>
  <c r="BQ122" i="1"/>
  <c r="AQ127" i="1"/>
  <c r="AR127" i="1" s="1"/>
  <c r="AE127" i="1"/>
  <c r="AD128" i="1" s="1"/>
  <c r="AL127" i="1"/>
  <c r="V223" i="7"/>
  <c r="BQ115" i="7"/>
  <c r="CP115" i="7"/>
  <c r="AQ120" i="7"/>
  <c r="AE120" i="7"/>
  <c r="AD121" i="7" s="1"/>
  <c r="AL120" i="7"/>
  <c r="S117" i="7"/>
  <c r="E118" i="7"/>
  <c r="F160" i="7"/>
  <c r="T170" i="7" s="1"/>
  <c r="BI133" i="7"/>
  <c r="BM133" i="7" s="1"/>
  <c r="CC116" i="7"/>
  <c r="CB117" i="7" s="1"/>
  <c r="AJ131" i="7"/>
  <c r="AN131" i="7" s="1"/>
  <c r="BK116" i="7"/>
  <c r="BD116" i="7"/>
  <c r="BC117" i="7" s="1"/>
  <c r="BP116" i="7"/>
  <c r="CH162" i="7"/>
  <c r="CH132" i="7"/>
  <c r="CL132" i="7" s="1"/>
  <c r="K162" i="7"/>
  <c r="K132" i="7"/>
  <c r="O132" i="7" s="1"/>
  <c r="AJ130" i="1"/>
  <c r="AN130" i="1" s="1"/>
  <c r="BP123" i="1"/>
  <c r="BK123" i="1"/>
  <c r="M38" i="1"/>
  <c r="R38" i="1"/>
  <c r="BD123" i="1"/>
  <c r="BC124" i="1" s="1"/>
  <c r="BI124" i="1"/>
  <c r="CO35" i="1"/>
  <c r="CL35" i="1"/>
  <c r="CC35" i="1"/>
  <c r="CJ35" i="1"/>
  <c r="K327" i="4"/>
  <c r="K353" i="4"/>
  <c r="K374" i="4" s="1"/>
  <c r="K343" i="4"/>
  <c r="N80" i="4"/>
  <c r="P80" i="4"/>
  <c r="BN80" i="4"/>
  <c r="BP80" i="4"/>
  <c r="DN80" i="4"/>
  <c r="DP80" i="4"/>
  <c r="CN79" i="4"/>
  <c r="CP79" i="4"/>
  <c r="CS79" i="4"/>
  <c r="CT79" i="4" s="1"/>
  <c r="CG79" i="4"/>
  <c r="CF80" i="4" s="1"/>
  <c r="F38" i="1"/>
  <c r="E39" i="1" s="1"/>
  <c r="DG80" i="4"/>
  <c r="DF81" i="4" s="1"/>
  <c r="DS80" i="4"/>
  <c r="BG80" i="4"/>
  <c r="BF81" i="4" s="1"/>
  <c r="BS80" i="4"/>
  <c r="BT80" i="4" s="1"/>
  <c r="G80" i="4"/>
  <c r="F81" i="4" s="1"/>
  <c r="S80" i="4"/>
  <c r="T80" i="4" s="1"/>
  <c r="AT50" i="4"/>
  <c r="AF51" i="4"/>
  <c r="DT79" i="4"/>
  <c r="CL90" i="4"/>
  <c r="DL91" i="4"/>
  <c r="DL192" i="4" s="1"/>
  <c r="Q306" i="4" s="1"/>
  <c r="AL92" i="4"/>
  <c r="L91" i="4"/>
  <c r="L192" i="4" s="1"/>
  <c r="Q210" i="4" s="1"/>
  <c r="BL90" i="4"/>
  <c r="S37" i="1"/>
  <c r="K292" i="1"/>
  <c r="CH62" i="1"/>
  <c r="CH63" i="1" s="1"/>
  <c r="K50" i="1"/>
  <c r="CO117" i="7" l="1"/>
  <c r="CJ117" i="7"/>
  <c r="R133" i="8"/>
  <c r="F133" i="8"/>
  <c r="E134" i="8" s="1"/>
  <c r="M133" i="8"/>
  <c r="BP133" i="8"/>
  <c r="BQ133" i="8" s="1"/>
  <c r="BD133" i="8"/>
  <c r="BC134" i="8" s="1"/>
  <c r="BK133" i="8"/>
  <c r="CO134" i="8"/>
  <c r="CP134" i="8" s="1"/>
  <c r="CC134" i="8"/>
  <c r="CB135" i="8" s="1"/>
  <c r="CJ134" i="8"/>
  <c r="CL134" i="8"/>
  <c r="S133" i="8"/>
  <c r="AQ134" i="8"/>
  <c r="AR134" i="8" s="1"/>
  <c r="AE134" i="8"/>
  <c r="AD135" i="8" s="1"/>
  <c r="AL134" i="8"/>
  <c r="W169" i="8"/>
  <c r="R163" i="8"/>
  <c r="W182" i="8" s="1"/>
  <c r="W303" i="8" s="1"/>
  <c r="W328" i="8" s="1"/>
  <c r="W342" i="8" s="1"/>
  <c r="M163" i="8"/>
  <c r="W177" i="8" s="1"/>
  <c r="O163" i="8"/>
  <c r="W179" i="8" s="1"/>
  <c r="W217" i="8"/>
  <c r="BP163" i="8"/>
  <c r="W230" i="8" s="1"/>
  <c r="BI161" i="1"/>
  <c r="U223" i="1" s="1"/>
  <c r="BM124" i="1"/>
  <c r="BQ123" i="1"/>
  <c r="BQ116" i="7"/>
  <c r="AL128" i="1"/>
  <c r="AQ128" i="1"/>
  <c r="AR128" i="1" s="1"/>
  <c r="AE128" i="1"/>
  <c r="AD129" i="1" s="1"/>
  <c r="V247" i="7"/>
  <c r="CP116" i="7"/>
  <c r="AL121" i="7"/>
  <c r="AQ121" i="7"/>
  <c r="AE121" i="7"/>
  <c r="AD122" i="7" s="1"/>
  <c r="AR120" i="7"/>
  <c r="F118" i="7"/>
  <c r="E119" i="7" s="1"/>
  <c r="M118" i="7"/>
  <c r="R118" i="7"/>
  <c r="S118" i="7" s="1"/>
  <c r="E161" i="7"/>
  <c r="S160" i="7"/>
  <c r="K133" i="7"/>
  <c r="O133" i="7" s="1"/>
  <c r="BI134" i="7"/>
  <c r="BM134" i="7" s="1"/>
  <c r="BP117" i="7"/>
  <c r="BK117" i="7"/>
  <c r="BD117" i="7"/>
  <c r="BC118" i="7" s="1"/>
  <c r="BM160" i="7"/>
  <c r="T227" i="7" s="1"/>
  <c r="V175" i="7"/>
  <c r="CC117" i="7"/>
  <c r="CH133" i="7"/>
  <c r="CL133" i="7" s="1"/>
  <c r="AJ162" i="7"/>
  <c r="AJ132" i="7"/>
  <c r="AN132" i="7" s="1"/>
  <c r="J308" i="1"/>
  <c r="H29" i="5" s="1"/>
  <c r="AJ131" i="1"/>
  <c r="BP124" i="1"/>
  <c r="BK124" i="1"/>
  <c r="M39" i="1"/>
  <c r="R39" i="1"/>
  <c r="BD124" i="1"/>
  <c r="BI125" i="1"/>
  <c r="BM125" i="1" s="1"/>
  <c r="BM161" i="1"/>
  <c r="S38" i="1"/>
  <c r="CB36" i="1"/>
  <c r="CP35" i="1"/>
  <c r="AS51" i="4"/>
  <c r="AN51" i="4"/>
  <c r="AP51" i="4"/>
  <c r="CN80" i="4"/>
  <c r="CP80" i="4"/>
  <c r="CS80" i="4"/>
  <c r="CT80" i="4" s="1"/>
  <c r="CG80" i="4"/>
  <c r="CF81" i="4" s="1"/>
  <c r="N81" i="4"/>
  <c r="P81" i="4"/>
  <c r="BN81" i="4"/>
  <c r="BP81" i="4"/>
  <c r="DN81" i="4"/>
  <c r="DP81" i="4"/>
  <c r="F39" i="1"/>
  <c r="E40" i="1" s="1"/>
  <c r="DT80" i="4"/>
  <c r="DG81" i="4"/>
  <c r="DS81" i="4"/>
  <c r="BG81" i="4"/>
  <c r="BF82" i="4" s="1"/>
  <c r="BS81" i="4"/>
  <c r="BT81" i="4" s="1"/>
  <c r="G81" i="4"/>
  <c r="F82" i="4" s="1"/>
  <c r="S81" i="4"/>
  <c r="T81" i="4" s="1"/>
  <c r="AG51" i="4"/>
  <c r="BL91" i="4"/>
  <c r="BL192" i="4" s="1"/>
  <c r="Q258" i="4" s="1"/>
  <c r="AL93" i="4"/>
  <c r="CL91" i="4"/>
  <c r="CL192" i="4" s="1"/>
  <c r="Q283" i="4" s="1"/>
  <c r="DF82" i="4"/>
  <c r="DL92" i="4"/>
  <c r="L92" i="4"/>
  <c r="K51" i="1"/>
  <c r="CP117" i="7" l="1"/>
  <c r="O161" i="7"/>
  <c r="R161" i="7"/>
  <c r="W290" i="8"/>
  <c r="W315" i="8"/>
  <c r="BP134" i="8"/>
  <c r="BQ134" i="8" s="1"/>
  <c r="BD134" i="8"/>
  <c r="BC135" i="8" s="1"/>
  <c r="BK134" i="8"/>
  <c r="R134" i="8"/>
  <c r="S134" i="8" s="1"/>
  <c r="F134" i="8"/>
  <c r="E135" i="8" s="1"/>
  <c r="M134" i="8"/>
  <c r="CO135" i="8"/>
  <c r="CP135" i="8" s="1"/>
  <c r="CC135" i="8"/>
  <c r="CB136" i="8" s="1"/>
  <c r="CJ135" i="8"/>
  <c r="CL135" i="8"/>
  <c r="AQ135" i="8"/>
  <c r="AR135" i="8" s="1"/>
  <c r="AE135" i="8"/>
  <c r="AD136" i="8" s="1"/>
  <c r="AL135" i="8"/>
  <c r="V198" i="7"/>
  <c r="V390" i="7" s="1"/>
  <c r="AJ162" i="1"/>
  <c r="V198" i="1" s="1"/>
  <c r="AN131" i="1"/>
  <c r="BQ117" i="7"/>
  <c r="BQ160" i="7" s="1"/>
  <c r="T231" i="7" s="1"/>
  <c r="T183" i="7"/>
  <c r="T399" i="7" s="1"/>
  <c r="T184" i="7"/>
  <c r="M161" i="7"/>
  <c r="U169" i="7"/>
  <c r="BQ124" i="1"/>
  <c r="BQ161" i="1" s="1"/>
  <c r="AQ129" i="1"/>
  <c r="AR129" i="1" s="1"/>
  <c r="AL129" i="1"/>
  <c r="AE129" i="1"/>
  <c r="AD130" i="1" s="1"/>
  <c r="CL160" i="7"/>
  <c r="AR121" i="7"/>
  <c r="AQ122" i="7"/>
  <c r="AE122" i="7"/>
  <c r="AD123" i="7" s="1"/>
  <c r="AL122" i="7"/>
  <c r="U179" i="7"/>
  <c r="F119" i="7"/>
  <c r="E120" i="7" s="1"/>
  <c r="R119" i="7"/>
  <c r="S119" i="7" s="1"/>
  <c r="M119" i="7"/>
  <c r="AJ133" i="7"/>
  <c r="AN133" i="7" s="1"/>
  <c r="CP160" i="7"/>
  <c r="BD160" i="7"/>
  <c r="BI135" i="7"/>
  <c r="BM135" i="7" s="1"/>
  <c r="K134" i="7"/>
  <c r="O134" i="7" s="1"/>
  <c r="CH134" i="7"/>
  <c r="CL134" i="7" s="1"/>
  <c r="CC160" i="7"/>
  <c r="CB118" i="7"/>
  <c r="AJ132" i="1"/>
  <c r="AN132" i="1" s="1"/>
  <c r="BC125" i="1"/>
  <c r="BC162" i="1" s="1"/>
  <c r="V217" i="1" s="1"/>
  <c r="BD161" i="1"/>
  <c r="U218" i="1" s="1"/>
  <c r="M40" i="1"/>
  <c r="M149" i="1" s="1"/>
  <c r="R40" i="1"/>
  <c r="R149" i="1" s="1"/>
  <c r="BI126" i="1"/>
  <c r="BM126" i="1" s="1"/>
  <c r="S39" i="1"/>
  <c r="CO36" i="1"/>
  <c r="CL36" i="1"/>
  <c r="CC36" i="1"/>
  <c r="CJ36" i="1"/>
  <c r="N82" i="4"/>
  <c r="P82" i="4"/>
  <c r="DN82" i="4"/>
  <c r="DP82" i="4"/>
  <c r="BN82" i="4"/>
  <c r="BP82" i="4"/>
  <c r="CN81" i="4"/>
  <c r="CP81" i="4"/>
  <c r="CG81" i="4"/>
  <c r="CF82" i="4" s="1"/>
  <c r="CS81" i="4"/>
  <c r="CT81" i="4" s="1"/>
  <c r="DT81" i="4"/>
  <c r="DG82" i="4"/>
  <c r="DF83" i="4" s="1"/>
  <c r="DS82" i="4"/>
  <c r="BG82" i="4"/>
  <c r="BF83" i="4" s="1"/>
  <c r="BS82" i="4"/>
  <c r="BT82" i="4" s="1"/>
  <c r="G82" i="4"/>
  <c r="F83" i="4" s="1"/>
  <c r="S82" i="4"/>
  <c r="T82" i="4" s="1"/>
  <c r="AF52" i="4"/>
  <c r="AT51" i="4"/>
  <c r="L93" i="4"/>
  <c r="BL92" i="4"/>
  <c r="CL92" i="4"/>
  <c r="AL94" i="4"/>
  <c r="DL93" i="4"/>
  <c r="F40" i="1"/>
  <c r="E41" i="1" s="1"/>
  <c r="I169" i="1"/>
  <c r="CH64" i="1"/>
  <c r="K52" i="1"/>
  <c r="T251" i="7" l="1"/>
  <c r="CO118" i="7"/>
  <c r="CJ118" i="7"/>
  <c r="W298" i="8"/>
  <c r="W326" i="8" s="1"/>
  <c r="W305" i="8"/>
  <c r="W329" i="8" s="1"/>
  <c r="W300" i="8"/>
  <c r="W327" i="8" s="1"/>
  <c r="BK135" i="8"/>
  <c r="BP135" i="8"/>
  <c r="BQ135" i="8" s="1"/>
  <c r="BD135" i="8"/>
  <c r="BC136" i="8" s="1"/>
  <c r="AL136" i="8"/>
  <c r="AQ136" i="8"/>
  <c r="AR136" i="8" s="1"/>
  <c r="AE136" i="8"/>
  <c r="AD137" i="8" s="1"/>
  <c r="CJ136" i="8"/>
  <c r="CO136" i="8"/>
  <c r="CP136" i="8" s="1"/>
  <c r="CC136" i="8"/>
  <c r="CB137" i="8" s="1"/>
  <c r="CL136" i="8"/>
  <c r="F135" i="8"/>
  <c r="E136" i="8" s="1"/>
  <c r="M135" i="8"/>
  <c r="R135" i="8"/>
  <c r="S135" i="8" s="1"/>
  <c r="BD125" i="1"/>
  <c r="BC126" i="1" s="1"/>
  <c r="BK126" i="1" s="1"/>
  <c r="AQ130" i="1"/>
  <c r="AE130" i="1"/>
  <c r="AD131" i="1" s="1"/>
  <c r="AL130" i="1"/>
  <c r="T242" i="7"/>
  <c r="T423" i="7"/>
  <c r="T255" i="7"/>
  <c r="T218" i="7"/>
  <c r="T419" i="7" s="1"/>
  <c r="AQ123" i="7"/>
  <c r="AL123" i="7"/>
  <c r="AE123" i="7"/>
  <c r="AD124" i="7" s="1"/>
  <c r="AR122" i="7"/>
  <c r="F120" i="7"/>
  <c r="E121" i="7" s="1"/>
  <c r="R120" i="7"/>
  <c r="M120" i="7"/>
  <c r="V426" i="7"/>
  <c r="T34" i="5" s="1"/>
  <c r="AJ134" i="7"/>
  <c r="AN134" i="7" s="1"/>
  <c r="K135" i="7"/>
  <c r="O135" i="7" s="1"/>
  <c r="CH135" i="7"/>
  <c r="CL135" i="7" s="1"/>
  <c r="BC161" i="7"/>
  <c r="BP161" i="7" s="1"/>
  <c r="BP118" i="7"/>
  <c r="BQ118" i="7" s="1"/>
  <c r="BK118" i="7"/>
  <c r="BD118" i="7"/>
  <c r="BC119" i="7" s="1"/>
  <c r="CB161" i="7"/>
  <c r="CC118" i="7"/>
  <c r="CB119" i="7" s="1"/>
  <c r="BI136" i="7"/>
  <c r="BM136" i="7" s="1"/>
  <c r="BK125" i="1"/>
  <c r="AJ133" i="1"/>
  <c r="AN133" i="1" s="1"/>
  <c r="BP125" i="1"/>
  <c r="BQ125" i="1" s="1"/>
  <c r="F149" i="1"/>
  <c r="R41" i="1"/>
  <c r="BI127" i="1"/>
  <c r="BM127" i="1" s="1"/>
  <c r="L231" i="1"/>
  <c r="O149" i="1"/>
  <c r="CB37" i="1"/>
  <c r="CP36" i="1"/>
  <c r="DT82" i="4"/>
  <c r="Q332" i="4"/>
  <c r="Q350" i="4"/>
  <c r="DN83" i="4"/>
  <c r="DP83" i="4"/>
  <c r="AS52" i="4"/>
  <c r="AN52" i="4"/>
  <c r="AP52" i="4"/>
  <c r="N83" i="4"/>
  <c r="P83" i="4"/>
  <c r="BN83" i="4"/>
  <c r="BP83" i="4"/>
  <c r="CN82" i="4"/>
  <c r="CP82" i="4"/>
  <c r="CG82" i="4"/>
  <c r="CF83" i="4" s="1"/>
  <c r="CS82" i="4"/>
  <c r="CT82" i="4" s="1"/>
  <c r="DG83" i="4"/>
  <c r="DF84" i="4" s="1"/>
  <c r="DF191" i="4" s="1"/>
  <c r="P300" i="4" s="1"/>
  <c r="DS83" i="4"/>
  <c r="DT83" i="4" s="1"/>
  <c r="BG83" i="4"/>
  <c r="BF84" i="4" s="1"/>
  <c r="BF191" i="4" s="1"/>
  <c r="P252" i="4" s="1"/>
  <c r="BS83" i="4"/>
  <c r="BT83" i="4" s="1"/>
  <c r="G83" i="4"/>
  <c r="F84" i="4" s="1"/>
  <c r="F191" i="4" s="1"/>
  <c r="P204" i="4" s="1"/>
  <c r="S83" i="4"/>
  <c r="T83" i="4" s="1"/>
  <c r="AG52" i="4"/>
  <c r="AL95" i="4"/>
  <c r="L94" i="4"/>
  <c r="DL94" i="4"/>
  <c r="CL93" i="4"/>
  <c r="BL93" i="4"/>
  <c r="S40" i="1"/>
  <c r="CH65" i="1"/>
  <c r="K53" i="1"/>
  <c r="T385" i="7" l="1"/>
  <c r="CO161" i="7"/>
  <c r="CO119" i="7"/>
  <c r="CJ119" i="7"/>
  <c r="AQ137" i="8"/>
  <c r="AR137" i="8" s="1"/>
  <c r="AE137" i="8"/>
  <c r="AD138" i="8" s="1"/>
  <c r="AL137" i="8"/>
  <c r="CO137" i="8"/>
  <c r="CP137" i="8" s="1"/>
  <c r="CC137" i="8"/>
  <c r="CB138" i="8" s="1"/>
  <c r="CJ137" i="8"/>
  <c r="CL137" i="8"/>
  <c r="R136" i="8"/>
  <c r="S136" i="8" s="1"/>
  <c r="F136" i="8"/>
  <c r="E137" i="8" s="1"/>
  <c r="M136" i="8"/>
  <c r="BP136" i="8"/>
  <c r="BQ136" i="8" s="1"/>
  <c r="BD136" i="8"/>
  <c r="BC137" i="8" s="1"/>
  <c r="BK136" i="8"/>
  <c r="BP126" i="1"/>
  <c r="BQ126" i="1" s="1"/>
  <c r="BD126" i="1"/>
  <c r="BC127" i="1" s="1"/>
  <c r="BK127" i="1" s="1"/>
  <c r="AE131" i="1"/>
  <c r="AL131" i="1"/>
  <c r="AQ131" i="1"/>
  <c r="AQ162" i="1" s="1"/>
  <c r="V205" i="1" s="1"/>
  <c r="AR130" i="1"/>
  <c r="U241" i="7"/>
  <c r="U217" i="7"/>
  <c r="U384" i="7" s="1"/>
  <c r="AQ124" i="7"/>
  <c r="AE124" i="7"/>
  <c r="AL124" i="7"/>
  <c r="AR123" i="7"/>
  <c r="F121" i="7"/>
  <c r="E122" i="7" s="1"/>
  <c r="M121" i="7"/>
  <c r="R121" i="7"/>
  <c r="S120" i="7"/>
  <c r="K136" i="7"/>
  <c r="O136" i="7" s="1"/>
  <c r="CC119" i="7"/>
  <c r="CB120" i="7" s="1"/>
  <c r="BP119" i="7"/>
  <c r="BQ119" i="7" s="1"/>
  <c r="BK119" i="7"/>
  <c r="BD119" i="7"/>
  <c r="BC120" i="7" s="1"/>
  <c r="CH136" i="7"/>
  <c r="CL136" i="7" s="1"/>
  <c r="AJ135" i="7"/>
  <c r="AN135" i="7" s="1"/>
  <c r="BI137" i="7"/>
  <c r="BM137" i="7" s="1"/>
  <c r="CP118" i="7"/>
  <c r="I179" i="1"/>
  <c r="I170" i="1"/>
  <c r="AJ134" i="1"/>
  <c r="AN134" i="1" s="1"/>
  <c r="E150" i="1"/>
  <c r="M41" i="1"/>
  <c r="BI128" i="1"/>
  <c r="BM128" i="1" s="1"/>
  <c r="S149" i="1"/>
  <c r="CL37" i="1"/>
  <c r="CC37" i="1"/>
  <c r="CJ37" i="1"/>
  <c r="DN84" i="4"/>
  <c r="DP84" i="4"/>
  <c r="DP191" i="4" s="1"/>
  <c r="P310" i="4" s="1"/>
  <c r="N84" i="4"/>
  <c r="P84" i="4"/>
  <c r="P191" i="4" s="1"/>
  <c r="P214" i="4" s="1"/>
  <c r="BN84" i="4"/>
  <c r="BP84" i="4"/>
  <c r="BP191" i="4" s="1"/>
  <c r="P262" i="4" s="1"/>
  <c r="CN83" i="4"/>
  <c r="CP83" i="4"/>
  <c r="CS83" i="4"/>
  <c r="CT83" i="4" s="1"/>
  <c r="CG83" i="4"/>
  <c r="CF84" i="4" s="1"/>
  <c r="CF191" i="4" s="1"/>
  <c r="P277" i="4" s="1"/>
  <c r="F41" i="1"/>
  <c r="E42" i="1" s="1"/>
  <c r="DS84" i="4"/>
  <c r="BS84" i="4"/>
  <c r="S84" i="4"/>
  <c r="AF53" i="4"/>
  <c r="AT52" i="4"/>
  <c r="BL94" i="4"/>
  <c r="CL94" i="4"/>
  <c r="L95" i="4"/>
  <c r="BG84" i="4"/>
  <c r="BG191" i="4" s="1"/>
  <c r="P253" i="4" s="1"/>
  <c r="DG84" i="4"/>
  <c r="DG191" i="4" s="1"/>
  <c r="P301" i="4" s="1"/>
  <c r="G84" i="4"/>
  <c r="G191" i="4" s="1"/>
  <c r="P205" i="4" s="1"/>
  <c r="DL95" i="4"/>
  <c r="AL96" i="4"/>
  <c r="J184" i="1"/>
  <c r="J180" i="1"/>
  <c r="J278" i="1" s="1"/>
  <c r="J269" i="1"/>
  <c r="CH66" i="1"/>
  <c r="K54" i="1"/>
  <c r="CO120" i="7" l="1"/>
  <c r="CJ120" i="7"/>
  <c r="BK137" i="8"/>
  <c r="BD137" i="8"/>
  <c r="BC138" i="8" s="1"/>
  <c r="BP137" i="8"/>
  <c r="BQ137" i="8" s="1"/>
  <c r="AE138" i="8"/>
  <c r="AE163" i="8" s="1"/>
  <c r="W193" i="8" s="1"/>
  <c r="AQ138" i="8"/>
  <c r="AR138" i="8" s="1"/>
  <c r="AR163" i="8" s="1"/>
  <c r="W206" i="8" s="1"/>
  <c r="AL138" i="8"/>
  <c r="R137" i="8"/>
  <c r="S137" i="8" s="1"/>
  <c r="M137" i="8"/>
  <c r="F137" i="8"/>
  <c r="E138" i="8" s="1"/>
  <c r="CO138" i="8"/>
  <c r="CP138" i="8" s="1"/>
  <c r="CJ138" i="8"/>
  <c r="CC138" i="8"/>
  <c r="CL138" i="8"/>
  <c r="BP127" i="1"/>
  <c r="BQ127" i="1" s="1"/>
  <c r="U409" i="7"/>
  <c r="U435" i="7" s="1"/>
  <c r="S8" i="5" s="1"/>
  <c r="S19" i="5" s="1"/>
  <c r="BD127" i="1"/>
  <c r="BC128" i="1" s="1"/>
  <c r="BP128" i="1" s="1"/>
  <c r="AR131" i="1"/>
  <c r="AD132" i="1"/>
  <c r="AE162" i="1"/>
  <c r="V193" i="1" s="1"/>
  <c r="AD125" i="7"/>
  <c r="AE161" i="7"/>
  <c r="U193" i="7" s="1"/>
  <c r="AR124" i="7"/>
  <c r="AR161" i="7" s="1"/>
  <c r="U206" i="7" s="1"/>
  <c r="U205" i="7"/>
  <c r="S121" i="7"/>
  <c r="F122" i="7"/>
  <c r="E123" i="7" s="1"/>
  <c r="M122" i="7"/>
  <c r="R122" i="7"/>
  <c r="AJ136" i="7"/>
  <c r="AN136" i="7" s="1"/>
  <c r="BK120" i="7"/>
  <c r="BD120" i="7"/>
  <c r="BC121" i="7" s="1"/>
  <c r="BP120" i="7"/>
  <c r="BQ120" i="7" s="1"/>
  <c r="BI138" i="7"/>
  <c r="BM138" i="7" s="1"/>
  <c r="CC120" i="7"/>
  <c r="CB121" i="7" s="1"/>
  <c r="U392" i="7"/>
  <c r="U420" i="7" s="1"/>
  <c r="U394" i="7"/>
  <c r="U421" i="7" s="1"/>
  <c r="CH137" i="7"/>
  <c r="CL137" i="7" s="1"/>
  <c r="CP119" i="7"/>
  <c r="K137" i="7"/>
  <c r="O137" i="7" s="1"/>
  <c r="I183" i="1"/>
  <c r="J169" i="1"/>
  <c r="K151" i="1"/>
  <c r="AJ135" i="1"/>
  <c r="AN135" i="1" s="1"/>
  <c r="M42" i="1"/>
  <c r="R42" i="1"/>
  <c r="BI129" i="1"/>
  <c r="BM129" i="1" s="1"/>
  <c r="S41" i="1"/>
  <c r="CB38" i="1"/>
  <c r="AS53" i="4"/>
  <c r="AN53" i="4"/>
  <c r="AP53" i="4"/>
  <c r="CN84" i="4"/>
  <c r="CP84" i="4"/>
  <c r="CP191" i="4" s="1"/>
  <c r="P287" i="4" s="1"/>
  <c r="CS84" i="4"/>
  <c r="CT84" i="4" s="1"/>
  <c r="CT191" i="4" s="1"/>
  <c r="P291" i="4" s="1"/>
  <c r="CG84" i="4"/>
  <c r="CG191" i="4" s="1"/>
  <c r="P278" i="4" s="1"/>
  <c r="F42" i="1"/>
  <c r="E43" i="1" s="1"/>
  <c r="AG53" i="4"/>
  <c r="CL95" i="4"/>
  <c r="DL96" i="4"/>
  <c r="AL97" i="4"/>
  <c r="DT84" i="4"/>
  <c r="DT191" i="4" s="1"/>
  <c r="P314" i="4" s="1"/>
  <c r="DF85" i="4"/>
  <c r="BF85" i="4"/>
  <c r="BT84" i="4"/>
  <c r="BT191" i="4" s="1"/>
  <c r="P266" i="4" s="1"/>
  <c r="BL95" i="4"/>
  <c r="T84" i="4"/>
  <c r="T191" i="4" s="1"/>
  <c r="P218" i="4" s="1"/>
  <c r="F85" i="4"/>
  <c r="L96" i="4"/>
  <c r="J296" i="1"/>
  <c r="CH67" i="1"/>
  <c r="K55" i="1"/>
  <c r="CO121" i="7" l="1"/>
  <c r="CJ121" i="7"/>
  <c r="DO163" i="8"/>
  <c r="W278" i="8" s="1"/>
  <c r="CP163" i="8"/>
  <c r="W255" i="8" s="1"/>
  <c r="DB163" i="8"/>
  <c r="W265" i="8" s="1"/>
  <c r="CC163" i="8"/>
  <c r="W242" i="8" s="1"/>
  <c r="CJ163" i="8"/>
  <c r="W249" i="8" s="1"/>
  <c r="CJ155" i="8"/>
  <c r="O249" i="8" s="1"/>
  <c r="DI156" i="8"/>
  <c r="P272" i="8" s="1"/>
  <c r="DI162" i="8"/>
  <c r="V272" i="8" s="1"/>
  <c r="CJ145" i="8"/>
  <c r="E249" i="8" s="1"/>
  <c r="DI161" i="8"/>
  <c r="U272" i="8" s="1"/>
  <c r="DI150" i="8"/>
  <c r="J272" i="8" s="1"/>
  <c r="CJ154" i="8"/>
  <c r="N249" i="8" s="1"/>
  <c r="CJ158" i="8"/>
  <c r="R249" i="8" s="1"/>
  <c r="DI149" i="8"/>
  <c r="I272" i="8" s="1"/>
  <c r="CJ152" i="8"/>
  <c r="L249" i="8" s="1"/>
  <c r="DI151" i="8"/>
  <c r="K272" i="8" s="1"/>
  <c r="CJ162" i="8"/>
  <c r="V249" i="8" s="1"/>
  <c r="DI159" i="8"/>
  <c r="S272" i="8" s="1"/>
  <c r="CJ161" i="8"/>
  <c r="U249" i="8" s="1"/>
  <c r="CJ151" i="8"/>
  <c r="K249" i="8" s="1"/>
  <c r="DI146" i="8"/>
  <c r="F272" i="8" s="1"/>
  <c r="CJ146" i="8"/>
  <c r="F249" i="8" s="1"/>
  <c r="CJ147" i="8"/>
  <c r="G249" i="8" s="1"/>
  <c r="DI147" i="8"/>
  <c r="G272" i="8" s="1"/>
  <c r="CJ148" i="8"/>
  <c r="H249" i="8" s="1"/>
  <c r="DI148" i="8"/>
  <c r="H272" i="8" s="1"/>
  <c r="CJ149" i="8"/>
  <c r="I249" i="8" s="1"/>
  <c r="CJ150" i="8"/>
  <c r="J249" i="8" s="1"/>
  <c r="DI152" i="8"/>
  <c r="L272" i="8" s="1"/>
  <c r="DI153" i="8"/>
  <c r="M272" i="8" s="1"/>
  <c r="CJ153" i="8"/>
  <c r="M249" i="8" s="1"/>
  <c r="DI154" i="8"/>
  <c r="N272" i="8" s="1"/>
  <c r="DI155" i="8"/>
  <c r="O272" i="8" s="1"/>
  <c r="CJ156" i="8"/>
  <c r="P249" i="8" s="1"/>
  <c r="DI157" i="8"/>
  <c r="Q272" i="8" s="1"/>
  <c r="CJ157" i="8"/>
  <c r="Q249" i="8" s="1"/>
  <c r="DI158" i="8"/>
  <c r="R272" i="8" s="1"/>
  <c r="CJ159" i="8"/>
  <c r="S249" i="8" s="1"/>
  <c r="CJ160" i="8"/>
  <c r="T249" i="8" s="1"/>
  <c r="DI160" i="8"/>
  <c r="T272" i="8" s="1"/>
  <c r="DI163" i="8"/>
  <c r="W272" i="8" s="1"/>
  <c r="AL145" i="8"/>
  <c r="E200" i="8" s="1"/>
  <c r="AL147" i="8"/>
  <c r="G200" i="8" s="1"/>
  <c r="AL151" i="8"/>
  <c r="K200" i="8" s="1"/>
  <c r="AL152" i="8"/>
  <c r="L200" i="8" s="1"/>
  <c r="AL160" i="8"/>
  <c r="T200" i="8" s="1"/>
  <c r="AL159" i="8"/>
  <c r="S200" i="8" s="1"/>
  <c r="AL157" i="8"/>
  <c r="Q200" i="8" s="1"/>
  <c r="AL162" i="8"/>
  <c r="V200" i="8" s="1"/>
  <c r="AL154" i="8"/>
  <c r="N200" i="8" s="1"/>
  <c r="AL153" i="8"/>
  <c r="M200" i="8" s="1"/>
  <c r="AL163" i="8"/>
  <c r="W200" i="8" s="1"/>
  <c r="AL146" i="8"/>
  <c r="F200" i="8" s="1"/>
  <c r="AL148" i="8"/>
  <c r="H200" i="8" s="1"/>
  <c r="AL149" i="8"/>
  <c r="I200" i="8" s="1"/>
  <c r="AL150" i="8"/>
  <c r="J200" i="8" s="1"/>
  <c r="AL155" i="8"/>
  <c r="O200" i="8" s="1"/>
  <c r="AL156" i="8"/>
  <c r="P200" i="8" s="1"/>
  <c r="AL158" i="8"/>
  <c r="R200" i="8" s="1"/>
  <c r="AL161" i="8"/>
  <c r="U200" i="8" s="1"/>
  <c r="BP138" i="8"/>
  <c r="BQ138" i="8" s="1"/>
  <c r="BQ163" i="8" s="1"/>
  <c r="W231" i="8" s="1"/>
  <c r="BD138" i="8"/>
  <c r="BD163" i="8" s="1"/>
  <c r="W218" i="8" s="1"/>
  <c r="BK138" i="8"/>
  <c r="CL163" i="8"/>
  <c r="W251" i="8" s="1"/>
  <c r="DK163" i="8"/>
  <c r="W274" i="8" s="1"/>
  <c r="R138" i="8"/>
  <c r="S138" i="8" s="1"/>
  <c r="F138" i="8"/>
  <c r="F163" i="8" s="1"/>
  <c r="W170" i="8" s="1"/>
  <c r="M138" i="8"/>
  <c r="BD128" i="1"/>
  <c r="BC129" i="1" s="1"/>
  <c r="BP129" i="1" s="1"/>
  <c r="BK128" i="1"/>
  <c r="AD163" i="1"/>
  <c r="W192" i="1" s="1"/>
  <c r="AQ132" i="1"/>
  <c r="AR132" i="1" s="1"/>
  <c r="AL132" i="1"/>
  <c r="AE132" i="1"/>
  <c r="AR162" i="1"/>
  <c r="V206" i="1" s="1"/>
  <c r="CP120" i="7"/>
  <c r="AL125" i="7"/>
  <c r="AD162" i="7"/>
  <c r="AE125" i="7"/>
  <c r="AD126" i="7" s="1"/>
  <c r="AQ125" i="7"/>
  <c r="F123" i="7"/>
  <c r="E124" i="7" s="1"/>
  <c r="R123" i="7"/>
  <c r="M123" i="7"/>
  <c r="S122" i="7"/>
  <c r="BP121" i="7"/>
  <c r="BQ121" i="7" s="1"/>
  <c r="BK121" i="7"/>
  <c r="BD121" i="7"/>
  <c r="BC122" i="7" s="1"/>
  <c r="K138" i="7"/>
  <c r="O138" i="7" s="1"/>
  <c r="BI163" i="7"/>
  <c r="CH138" i="7"/>
  <c r="CL138" i="7" s="1"/>
  <c r="CC121" i="7"/>
  <c r="CB122" i="7" s="1"/>
  <c r="AJ137" i="7"/>
  <c r="AN137" i="7" s="1"/>
  <c r="BQ128" i="1"/>
  <c r="AJ136" i="1"/>
  <c r="AN136" i="1" s="1"/>
  <c r="M43" i="1"/>
  <c r="R43" i="1"/>
  <c r="BI130" i="1"/>
  <c r="BM130" i="1" s="1"/>
  <c r="S42" i="1"/>
  <c r="K175" i="1"/>
  <c r="CL38" i="1"/>
  <c r="CC38" i="1"/>
  <c r="CJ38" i="1"/>
  <c r="N85" i="4"/>
  <c r="P85" i="4"/>
  <c r="DN85" i="4"/>
  <c r="DP85" i="4"/>
  <c r="CF85" i="4"/>
  <c r="BN85" i="4"/>
  <c r="BP85" i="4"/>
  <c r="F43" i="1"/>
  <c r="E44" i="1" s="1"/>
  <c r="DG85" i="4"/>
  <c r="DF86" i="4" s="1"/>
  <c r="DS85" i="4"/>
  <c r="BG85" i="4"/>
  <c r="BF86" i="4" s="1"/>
  <c r="BS85" i="4"/>
  <c r="BT85" i="4" s="1"/>
  <c r="G85" i="4"/>
  <c r="F86" i="4" s="1"/>
  <c r="S85" i="4"/>
  <c r="T85" i="4" s="1"/>
  <c r="AT53" i="4"/>
  <c r="AF54" i="4"/>
  <c r="L97" i="4"/>
  <c r="BL96" i="4"/>
  <c r="AL98" i="4"/>
  <c r="AL193" i="4" s="1"/>
  <c r="R234" i="4" s="1"/>
  <c r="DL97" i="4"/>
  <c r="CL96" i="4"/>
  <c r="L176" i="1"/>
  <c r="CH68" i="1"/>
  <c r="CH153" i="1" s="1"/>
  <c r="M247" i="1" s="1"/>
  <c r="K56" i="1"/>
  <c r="AN162" i="7" l="1"/>
  <c r="AQ162" i="7"/>
  <c r="CO122" i="7"/>
  <c r="CP122" i="7" s="1"/>
  <c r="CJ122" i="7"/>
  <c r="CP121" i="7"/>
  <c r="W291" i="8"/>
  <c r="W325" i="8"/>
  <c r="BK145" i="8"/>
  <c r="E225" i="8" s="1"/>
  <c r="BK159" i="8"/>
  <c r="S225" i="8" s="1"/>
  <c r="BK156" i="8"/>
  <c r="P225" i="8" s="1"/>
  <c r="BK146" i="8"/>
  <c r="F225" i="8" s="1"/>
  <c r="BK147" i="8"/>
  <c r="G225" i="8" s="1"/>
  <c r="BK148" i="8"/>
  <c r="H225" i="8" s="1"/>
  <c r="BK149" i="8"/>
  <c r="I225" i="8" s="1"/>
  <c r="BK150" i="8"/>
  <c r="J225" i="8" s="1"/>
  <c r="BK151" i="8"/>
  <c r="K225" i="8" s="1"/>
  <c r="BK152" i="8"/>
  <c r="L225" i="8" s="1"/>
  <c r="BK153" i="8"/>
  <c r="M225" i="8" s="1"/>
  <c r="BK154" i="8"/>
  <c r="N225" i="8" s="1"/>
  <c r="BK155" i="8"/>
  <c r="O225" i="8" s="1"/>
  <c r="BK157" i="8"/>
  <c r="Q225" i="8" s="1"/>
  <c r="BK158" i="8"/>
  <c r="R225" i="8" s="1"/>
  <c r="BK160" i="8"/>
  <c r="T225" i="8" s="1"/>
  <c r="BK161" i="8"/>
  <c r="U225" i="8" s="1"/>
  <c r="BK162" i="8"/>
  <c r="V225" i="8" s="1"/>
  <c r="BK163" i="8"/>
  <c r="W225" i="8" s="1"/>
  <c r="BK129" i="1"/>
  <c r="BD129" i="1"/>
  <c r="BC130" i="1" s="1"/>
  <c r="BP130" i="1" s="1"/>
  <c r="V192" i="7"/>
  <c r="BQ129" i="1"/>
  <c r="AD133" i="1"/>
  <c r="W223" i="7"/>
  <c r="AQ126" i="7"/>
  <c r="AL126" i="7"/>
  <c r="AE126" i="7"/>
  <c r="AD127" i="7" s="1"/>
  <c r="AR125" i="7"/>
  <c r="V202" i="7"/>
  <c r="S123" i="7"/>
  <c r="F124" i="7"/>
  <c r="R124" i="7"/>
  <c r="M124" i="7"/>
  <c r="BP122" i="7"/>
  <c r="BQ122" i="7" s="1"/>
  <c r="BD122" i="7"/>
  <c r="BC123" i="7" s="1"/>
  <c r="BK122" i="7"/>
  <c r="CC122" i="7"/>
  <c r="CB123" i="7" s="1"/>
  <c r="CH163" i="7"/>
  <c r="K163" i="7"/>
  <c r="AJ138" i="7"/>
  <c r="AN138" i="7" s="1"/>
  <c r="K273" i="1"/>
  <c r="AJ137" i="1"/>
  <c r="AN137" i="1" s="1"/>
  <c r="M44" i="1"/>
  <c r="R44" i="1"/>
  <c r="S43" i="1"/>
  <c r="BI131" i="1"/>
  <c r="CB39" i="1"/>
  <c r="CO39" i="1" s="1"/>
  <c r="AS54" i="4"/>
  <c r="AN54" i="4"/>
  <c r="AP54" i="4"/>
  <c r="DN86" i="4"/>
  <c r="DP86" i="4"/>
  <c r="N86" i="4"/>
  <c r="P86" i="4"/>
  <c r="BN86" i="4"/>
  <c r="BP86" i="4"/>
  <c r="CN85" i="4"/>
  <c r="CP85" i="4"/>
  <c r="CG85" i="4"/>
  <c r="CF86" i="4" s="1"/>
  <c r="CS85" i="4"/>
  <c r="CT85" i="4" s="1"/>
  <c r="F44" i="1"/>
  <c r="E45" i="1" s="1"/>
  <c r="DG86" i="4"/>
  <c r="DF87" i="4" s="1"/>
  <c r="DS86" i="4"/>
  <c r="BG86" i="4"/>
  <c r="BF87" i="4" s="1"/>
  <c r="BS86" i="4"/>
  <c r="BT86" i="4" s="1"/>
  <c r="G86" i="4"/>
  <c r="F87" i="4" s="1"/>
  <c r="S86" i="4"/>
  <c r="T86" i="4" s="1"/>
  <c r="AG54" i="4"/>
  <c r="CL97" i="4"/>
  <c r="AL99" i="4"/>
  <c r="BL97" i="4"/>
  <c r="DT85" i="4"/>
  <c r="DL98" i="4"/>
  <c r="DL193" i="4" s="1"/>
  <c r="R306" i="4" s="1"/>
  <c r="L98" i="4"/>
  <c r="L193" i="4" s="1"/>
  <c r="R210" i="4" s="1"/>
  <c r="L292" i="1"/>
  <c r="CH69" i="1"/>
  <c r="K57" i="1"/>
  <c r="CO123" i="7" l="1"/>
  <c r="CJ123" i="7"/>
  <c r="BD130" i="1"/>
  <c r="BC131" i="1" s="1"/>
  <c r="BK130" i="1"/>
  <c r="BI162" i="1"/>
  <c r="V223" i="1" s="1"/>
  <c r="BM131" i="1"/>
  <c r="K308" i="1"/>
  <c r="I29" i="5" s="1"/>
  <c r="BQ130" i="1"/>
  <c r="AR126" i="7"/>
  <c r="AL133" i="1"/>
  <c r="AQ133" i="1"/>
  <c r="AR133" i="1" s="1"/>
  <c r="AE133" i="1"/>
  <c r="AD134" i="1" s="1"/>
  <c r="W247" i="7"/>
  <c r="AE127" i="7"/>
  <c r="AD128" i="7" s="1"/>
  <c r="AL127" i="7"/>
  <c r="AQ127" i="7"/>
  <c r="E125" i="7"/>
  <c r="F161" i="7"/>
  <c r="U170" i="7" s="1"/>
  <c r="S124" i="7"/>
  <c r="AJ163" i="7"/>
  <c r="BP123" i="7"/>
  <c r="BQ123" i="7" s="1"/>
  <c r="BD123" i="7"/>
  <c r="BC124" i="7" s="1"/>
  <c r="BK123" i="7"/>
  <c r="W175" i="7"/>
  <c r="CC123" i="7"/>
  <c r="CB124" i="7" s="1"/>
  <c r="AJ138" i="1"/>
  <c r="BP131" i="1"/>
  <c r="BK131" i="1"/>
  <c r="M45" i="1"/>
  <c r="R45" i="1"/>
  <c r="S44" i="1"/>
  <c r="BI132" i="1"/>
  <c r="BM132" i="1" s="1"/>
  <c r="BM162" i="1"/>
  <c r="BD131" i="1"/>
  <c r="CL39" i="1"/>
  <c r="CC39" i="1"/>
  <c r="CJ39" i="1"/>
  <c r="N87" i="4"/>
  <c r="P87" i="4"/>
  <c r="DN87" i="4"/>
  <c r="DP87" i="4"/>
  <c r="BN87" i="4"/>
  <c r="BP87" i="4"/>
  <c r="CN86" i="4"/>
  <c r="CP86" i="4"/>
  <c r="CG86" i="4"/>
  <c r="CF87" i="4" s="1"/>
  <c r="CS86" i="4"/>
  <c r="CT86" i="4" s="1"/>
  <c r="F45" i="1"/>
  <c r="E46" i="1" s="1"/>
  <c r="DG87" i="4"/>
  <c r="DS87" i="4"/>
  <c r="BG87" i="4"/>
  <c r="BF88" i="4" s="1"/>
  <c r="BS87" i="4"/>
  <c r="BT87" i="4" s="1"/>
  <c r="G87" i="4"/>
  <c r="F88" i="4" s="1"/>
  <c r="S87" i="4"/>
  <c r="T87" i="4" s="1"/>
  <c r="AF55" i="4"/>
  <c r="AT54" i="4"/>
  <c r="DL99" i="4"/>
  <c r="L99" i="4"/>
  <c r="DT86" i="4"/>
  <c r="CL98" i="4"/>
  <c r="CL193" i="4" s="1"/>
  <c r="R283" i="4" s="1"/>
  <c r="DF88" i="4"/>
  <c r="BL98" i="4"/>
  <c r="BL193" i="4" s="1"/>
  <c r="R258" i="4" s="1"/>
  <c r="AL100" i="4"/>
  <c r="CH70" i="1"/>
  <c r="K58" i="1"/>
  <c r="CO124" i="7" l="1"/>
  <c r="CJ124" i="7"/>
  <c r="CP123" i="7"/>
  <c r="W198" i="7"/>
  <c r="AJ163" i="1"/>
  <c r="W198" i="1" s="1"/>
  <c r="AN138" i="1"/>
  <c r="BQ131" i="1"/>
  <c r="BQ162" i="1" s="1"/>
  <c r="F46" i="1"/>
  <c r="E47" i="1" s="1"/>
  <c r="AE134" i="1"/>
  <c r="AD135" i="1" s="1"/>
  <c r="AL134" i="1"/>
  <c r="AQ134" i="1"/>
  <c r="AR134" i="1" s="1"/>
  <c r="AQ128" i="7"/>
  <c r="AL128" i="7"/>
  <c r="AE128" i="7"/>
  <c r="AD129" i="7" s="1"/>
  <c r="AR127" i="7"/>
  <c r="S161" i="7"/>
  <c r="F125" i="7"/>
  <c r="E126" i="7" s="1"/>
  <c r="E162" i="7"/>
  <c r="R125" i="7"/>
  <c r="M125" i="7"/>
  <c r="W390" i="7"/>
  <c r="CC124" i="7"/>
  <c r="BP124" i="7"/>
  <c r="BQ124" i="7" s="1"/>
  <c r="BD124" i="7"/>
  <c r="BC125" i="7" s="1"/>
  <c r="BK124" i="7"/>
  <c r="BM161" i="7"/>
  <c r="U227" i="7" s="1"/>
  <c r="BC132" i="1"/>
  <c r="BC163" i="1" s="1"/>
  <c r="W217" i="1" s="1"/>
  <c r="BD162" i="1"/>
  <c r="V218" i="1" s="1"/>
  <c r="R46" i="1"/>
  <c r="S45" i="1"/>
  <c r="BI133" i="1"/>
  <c r="BM133" i="1" s="1"/>
  <c r="CB40" i="1"/>
  <c r="CP39" i="1"/>
  <c r="DN88" i="4"/>
  <c r="DP88" i="4"/>
  <c r="BN88" i="4"/>
  <c r="BP88" i="4"/>
  <c r="AS55" i="4"/>
  <c r="AN55" i="4"/>
  <c r="AP55" i="4"/>
  <c r="N88" i="4"/>
  <c r="P88" i="4"/>
  <c r="CN87" i="4"/>
  <c r="CP87" i="4"/>
  <c r="CG87" i="4"/>
  <c r="CF88" i="4" s="1"/>
  <c r="CS87" i="4"/>
  <c r="CT87" i="4" s="1"/>
  <c r="DG88" i="4"/>
  <c r="DF89" i="4" s="1"/>
  <c r="DS88" i="4"/>
  <c r="BG88" i="4"/>
  <c r="BF89" i="4" s="1"/>
  <c r="BS88" i="4"/>
  <c r="BT88" i="4" s="1"/>
  <c r="G88" i="4"/>
  <c r="F89" i="4" s="1"/>
  <c r="S88" i="4"/>
  <c r="T88" i="4" s="1"/>
  <c r="AG55" i="4"/>
  <c r="DT87" i="4"/>
  <c r="CL99" i="4"/>
  <c r="L100" i="4"/>
  <c r="BL99" i="4"/>
  <c r="AL101" i="4"/>
  <c r="DL100" i="4"/>
  <c r="CH71" i="1"/>
  <c r="K59" i="1"/>
  <c r="O162" i="7" l="1"/>
  <c r="R162" i="7"/>
  <c r="CP124" i="7"/>
  <c r="U183" i="7"/>
  <c r="U399" i="7" s="1"/>
  <c r="U184" i="7"/>
  <c r="M162" i="7"/>
  <c r="V169" i="7"/>
  <c r="BD132" i="1"/>
  <c r="BC133" i="1" s="1"/>
  <c r="BP133" i="1" s="1"/>
  <c r="CB149" i="1"/>
  <c r="M46" i="1"/>
  <c r="F47" i="1"/>
  <c r="E48" i="1" s="1"/>
  <c r="F48" i="1" s="1"/>
  <c r="E49" i="1" s="1"/>
  <c r="F49" i="1" s="1"/>
  <c r="E50" i="1" s="1"/>
  <c r="F50" i="1" s="1"/>
  <c r="E51" i="1" s="1"/>
  <c r="F51" i="1" s="1"/>
  <c r="E52" i="1" s="1"/>
  <c r="F52" i="1" s="1"/>
  <c r="E53" i="1" s="1"/>
  <c r="F53" i="1" s="1"/>
  <c r="E54" i="1" s="1"/>
  <c r="F54" i="1" s="1"/>
  <c r="E55" i="1" s="1"/>
  <c r="F55" i="1" s="1"/>
  <c r="E56" i="1" s="1"/>
  <c r="F56" i="1" s="1"/>
  <c r="E57" i="1" s="1"/>
  <c r="F57" i="1" s="1"/>
  <c r="E58" i="1" s="1"/>
  <c r="F58" i="1" s="1"/>
  <c r="E59" i="1" s="1"/>
  <c r="F59" i="1" s="1"/>
  <c r="E60" i="1" s="1"/>
  <c r="F60" i="1" s="1"/>
  <c r="E61" i="1" s="1"/>
  <c r="F61" i="1" s="1"/>
  <c r="E62" i="1" s="1"/>
  <c r="F62" i="1" s="1"/>
  <c r="E63" i="1" s="1"/>
  <c r="F63" i="1" s="1"/>
  <c r="E64" i="1" s="1"/>
  <c r="F64" i="1" s="1"/>
  <c r="E65" i="1" s="1"/>
  <c r="F65" i="1" s="1"/>
  <c r="E66" i="1" s="1"/>
  <c r="F66" i="1" s="1"/>
  <c r="E67" i="1" s="1"/>
  <c r="F67" i="1" s="1"/>
  <c r="E68" i="1" s="1"/>
  <c r="F68" i="1" s="1"/>
  <c r="E69" i="1" s="1"/>
  <c r="F69" i="1" s="1"/>
  <c r="E70" i="1" s="1"/>
  <c r="F70" i="1" s="1"/>
  <c r="E71" i="1" s="1"/>
  <c r="F71" i="1" s="1"/>
  <c r="E72" i="1" s="1"/>
  <c r="F72" i="1" s="1"/>
  <c r="E73" i="1" s="1"/>
  <c r="F73" i="1" s="1"/>
  <c r="E74" i="1" s="1"/>
  <c r="F74" i="1" s="1"/>
  <c r="E75" i="1" s="1"/>
  <c r="F75" i="1" s="1"/>
  <c r="E76" i="1" s="1"/>
  <c r="F76" i="1" s="1"/>
  <c r="E77" i="1" s="1"/>
  <c r="F77" i="1" s="1"/>
  <c r="E78" i="1" s="1"/>
  <c r="F78" i="1" s="1"/>
  <c r="E79" i="1" s="1"/>
  <c r="F79" i="1" s="1"/>
  <c r="E80" i="1" s="1"/>
  <c r="F80" i="1" s="1"/>
  <c r="E81" i="1" s="1"/>
  <c r="F81" i="1" s="1"/>
  <c r="E82" i="1" s="1"/>
  <c r="F82" i="1" s="1"/>
  <c r="E83" i="1" s="1"/>
  <c r="F83" i="1" s="1"/>
  <c r="E84" i="1" s="1"/>
  <c r="F84" i="1" s="1"/>
  <c r="E85" i="1" s="1"/>
  <c r="F85" i="1" s="1"/>
  <c r="E86" i="1" s="1"/>
  <c r="F86" i="1" s="1"/>
  <c r="E87" i="1" s="1"/>
  <c r="F87" i="1" s="1"/>
  <c r="E88" i="1" s="1"/>
  <c r="F88" i="1" s="1"/>
  <c r="E89" i="1" s="1"/>
  <c r="F89" i="1" s="1"/>
  <c r="E90" i="1" s="1"/>
  <c r="F90" i="1" s="1"/>
  <c r="E91" i="1" s="1"/>
  <c r="F91" i="1" s="1"/>
  <c r="E92" i="1" s="1"/>
  <c r="F92" i="1" s="1"/>
  <c r="E93" i="1" s="1"/>
  <c r="F93" i="1" s="1"/>
  <c r="E94" i="1" s="1"/>
  <c r="F94" i="1" s="1"/>
  <c r="E95" i="1" s="1"/>
  <c r="F95" i="1" s="1"/>
  <c r="E96" i="1" s="1"/>
  <c r="F96" i="1" s="1"/>
  <c r="E97" i="1" s="1"/>
  <c r="F97" i="1" s="1"/>
  <c r="E98" i="1" s="1"/>
  <c r="F98" i="1" s="1"/>
  <c r="E99" i="1" s="1"/>
  <c r="F99" i="1" s="1"/>
  <c r="E100" i="1" s="1"/>
  <c r="F100" i="1" s="1"/>
  <c r="E101" i="1" s="1"/>
  <c r="F101" i="1" s="1"/>
  <c r="E102" i="1" s="1"/>
  <c r="F102" i="1" s="1"/>
  <c r="E103" i="1" s="1"/>
  <c r="F103" i="1" s="1"/>
  <c r="E104" i="1" s="1"/>
  <c r="F104" i="1" s="1"/>
  <c r="E105" i="1" s="1"/>
  <c r="F105" i="1" s="1"/>
  <c r="E106" i="1" s="1"/>
  <c r="F106" i="1" s="1"/>
  <c r="E107" i="1" s="1"/>
  <c r="F107" i="1" s="1"/>
  <c r="E108" i="1" s="1"/>
  <c r="F108" i="1" s="1"/>
  <c r="E109" i="1" s="1"/>
  <c r="F109" i="1" s="1"/>
  <c r="E110" i="1" s="1"/>
  <c r="F110" i="1" s="1"/>
  <c r="E111" i="1" s="1"/>
  <c r="F111" i="1" s="1"/>
  <c r="E112" i="1" s="1"/>
  <c r="F112" i="1" s="1"/>
  <c r="E113" i="1" s="1"/>
  <c r="F113" i="1" s="1"/>
  <c r="E114" i="1" s="1"/>
  <c r="F114" i="1" s="1"/>
  <c r="E115" i="1" s="1"/>
  <c r="F115" i="1" s="1"/>
  <c r="E116" i="1" s="1"/>
  <c r="F116" i="1" s="1"/>
  <c r="E117" i="1" s="1"/>
  <c r="F117" i="1" s="1"/>
  <c r="E118" i="1" s="1"/>
  <c r="F118" i="1" s="1"/>
  <c r="E119" i="1" s="1"/>
  <c r="F119" i="1" s="1"/>
  <c r="E120" i="1" s="1"/>
  <c r="F120" i="1" s="1"/>
  <c r="E121" i="1" s="1"/>
  <c r="F121" i="1" s="1"/>
  <c r="E122" i="1" s="1"/>
  <c r="F122" i="1" s="1"/>
  <c r="E123" i="1" s="1"/>
  <c r="F123" i="1" s="1"/>
  <c r="E124" i="1" s="1"/>
  <c r="F124" i="1" s="1"/>
  <c r="E125" i="1" s="1"/>
  <c r="F125" i="1" s="1"/>
  <c r="E126" i="1" s="1"/>
  <c r="F126" i="1" s="1"/>
  <c r="E127" i="1" s="1"/>
  <c r="F127" i="1" s="1"/>
  <c r="E128" i="1" s="1"/>
  <c r="F128" i="1" s="1"/>
  <c r="E129" i="1" s="1"/>
  <c r="F129" i="1" s="1"/>
  <c r="E130" i="1" s="1"/>
  <c r="F130" i="1" s="1"/>
  <c r="E131" i="1" s="1"/>
  <c r="F131" i="1" s="1"/>
  <c r="E132" i="1" s="1"/>
  <c r="F132" i="1" s="1"/>
  <c r="E133" i="1" s="1"/>
  <c r="F133" i="1" s="1"/>
  <c r="E134" i="1" s="1"/>
  <c r="F134" i="1" s="1"/>
  <c r="E135" i="1" s="1"/>
  <c r="F135" i="1" s="1"/>
  <c r="E136" i="1" s="1"/>
  <c r="F136" i="1" s="1"/>
  <c r="E137" i="1" s="1"/>
  <c r="F137" i="1" s="1"/>
  <c r="E138" i="1" s="1"/>
  <c r="F138" i="1" s="1"/>
  <c r="AQ135" i="1"/>
  <c r="AR135" i="1" s="1"/>
  <c r="AE135" i="1"/>
  <c r="AD136" i="1" s="1"/>
  <c r="AL135" i="1"/>
  <c r="AQ153" i="1"/>
  <c r="M205" i="1" s="1"/>
  <c r="AQ154" i="1"/>
  <c r="N205" i="1" s="1"/>
  <c r="AQ155" i="1"/>
  <c r="O205" i="1" s="1"/>
  <c r="AQ156" i="1"/>
  <c r="P205" i="1" s="1"/>
  <c r="AQ157" i="1"/>
  <c r="Q205" i="1" s="1"/>
  <c r="AQ158" i="1"/>
  <c r="R205" i="1" s="1"/>
  <c r="AQ159" i="1"/>
  <c r="S205" i="1" s="1"/>
  <c r="AQ160" i="1"/>
  <c r="T205" i="1" s="1"/>
  <c r="AQ161" i="1"/>
  <c r="U205" i="1" s="1"/>
  <c r="CL161" i="7"/>
  <c r="AR128" i="7"/>
  <c r="AL129" i="7"/>
  <c r="AE129" i="7"/>
  <c r="AD130" i="7" s="1"/>
  <c r="AQ129" i="7"/>
  <c r="V179" i="7"/>
  <c r="F126" i="7"/>
  <c r="E127" i="7" s="1"/>
  <c r="R126" i="7"/>
  <c r="M126" i="7"/>
  <c r="S125" i="7"/>
  <c r="BQ161" i="7"/>
  <c r="U231" i="7" s="1"/>
  <c r="CP161" i="7"/>
  <c r="W426" i="7"/>
  <c r="U34" i="5" s="1"/>
  <c r="CC161" i="7"/>
  <c r="CB125" i="7"/>
  <c r="BD161" i="7"/>
  <c r="BK132" i="1"/>
  <c r="BP132" i="1"/>
  <c r="BQ132" i="1" s="1"/>
  <c r="S46" i="1"/>
  <c r="M47" i="1"/>
  <c r="R47" i="1"/>
  <c r="BI134" i="1"/>
  <c r="BM134" i="1" s="1"/>
  <c r="CL40" i="1"/>
  <c r="CJ40" i="1"/>
  <c r="CC40" i="1"/>
  <c r="DT88" i="4"/>
  <c r="R350" i="4"/>
  <c r="N89" i="4"/>
  <c r="P89" i="4"/>
  <c r="BN89" i="4"/>
  <c r="BP89" i="4"/>
  <c r="DN89" i="4"/>
  <c r="DP89" i="4"/>
  <c r="CN88" i="4"/>
  <c r="CP88" i="4"/>
  <c r="CS88" i="4"/>
  <c r="CT88" i="4" s="1"/>
  <c r="CG88" i="4"/>
  <c r="CF89" i="4" s="1"/>
  <c r="DG89" i="4"/>
  <c r="DF90" i="4" s="1"/>
  <c r="DS89" i="4"/>
  <c r="BG89" i="4"/>
  <c r="BF90" i="4" s="1"/>
  <c r="BS89" i="4"/>
  <c r="BT89" i="4" s="1"/>
  <c r="G89" i="4"/>
  <c r="F90" i="4" s="1"/>
  <c r="S89" i="4"/>
  <c r="T89" i="4" s="1"/>
  <c r="AT55" i="4"/>
  <c r="AF56" i="4"/>
  <c r="AF187" i="4" s="1"/>
  <c r="L228" i="4" s="1"/>
  <c r="BL100" i="4"/>
  <c r="L101" i="4"/>
  <c r="CL100" i="4"/>
  <c r="DT89" i="4"/>
  <c r="AL102" i="4"/>
  <c r="DL101" i="4"/>
  <c r="CH72" i="1"/>
  <c r="K60" i="1"/>
  <c r="U251" i="7" l="1"/>
  <c r="CO125" i="7"/>
  <c r="CJ125" i="7"/>
  <c r="I241" i="1"/>
  <c r="I267" i="1" s="1"/>
  <c r="I251" i="1"/>
  <c r="BD133" i="1"/>
  <c r="BC134" i="1" s="1"/>
  <c r="BP134" i="1" s="1"/>
  <c r="BK133" i="1"/>
  <c r="AL136" i="1"/>
  <c r="AQ136" i="1"/>
  <c r="AE136" i="1"/>
  <c r="AD137" i="1" s="1"/>
  <c r="U423" i="7"/>
  <c r="U255" i="7"/>
  <c r="U242" i="7"/>
  <c r="U218" i="7"/>
  <c r="U419" i="7" s="1"/>
  <c r="AL130" i="7"/>
  <c r="AE130" i="7"/>
  <c r="AD131" i="7" s="1"/>
  <c r="AQ130" i="7"/>
  <c r="AR129" i="7"/>
  <c r="F127" i="7"/>
  <c r="E128" i="7" s="1"/>
  <c r="R127" i="7"/>
  <c r="M127" i="7"/>
  <c r="S126" i="7"/>
  <c r="CB162" i="7"/>
  <c r="CC125" i="7"/>
  <c r="CB126" i="7" s="1"/>
  <c r="BC162" i="7"/>
  <c r="BP162" i="7" s="1"/>
  <c r="BP125" i="7"/>
  <c r="BD125" i="7"/>
  <c r="BC126" i="7" s="1"/>
  <c r="BK125" i="7"/>
  <c r="F150" i="1"/>
  <c r="J170" i="1" s="1"/>
  <c r="CC149" i="1"/>
  <c r="I242" i="1" s="1"/>
  <c r="I268" i="1" s="1"/>
  <c r="BQ133" i="1"/>
  <c r="BI135" i="1"/>
  <c r="BM135" i="1" s="1"/>
  <c r="M231" i="1"/>
  <c r="O150" i="1"/>
  <c r="CP40" i="1"/>
  <c r="I255" i="1" s="1"/>
  <c r="CB41" i="1"/>
  <c r="R332" i="4"/>
  <c r="AS56" i="4"/>
  <c r="AN56" i="4"/>
  <c r="AP56" i="4"/>
  <c r="AP187" i="4" s="1"/>
  <c r="L238" i="4" s="1"/>
  <c r="N90" i="4"/>
  <c r="P90" i="4"/>
  <c r="BN90" i="4"/>
  <c r="BP90" i="4"/>
  <c r="DN90" i="4"/>
  <c r="DP90" i="4"/>
  <c r="CN89" i="4"/>
  <c r="CP89" i="4"/>
  <c r="CG89" i="4"/>
  <c r="CF90" i="4" s="1"/>
  <c r="CS89" i="4"/>
  <c r="CT89" i="4" s="1"/>
  <c r="DG90" i="4"/>
  <c r="DF91" i="4" s="1"/>
  <c r="DF192" i="4" s="1"/>
  <c r="Q300" i="4" s="1"/>
  <c r="DS90" i="4"/>
  <c r="DT90" i="4" s="1"/>
  <c r="BG90" i="4"/>
  <c r="BF91" i="4" s="1"/>
  <c r="BF192" i="4" s="1"/>
  <c r="Q252" i="4" s="1"/>
  <c r="BS90" i="4"/>
  <c r="BT90" i="4" s="1"/>
  <c r="G90" i="4"/>
  <c r="F91" i="4" s="1"/>
  <c r="F192" i="4" s="1"/>
  <c r="Q204" i="4" s="1"/>
  <c r="S90" i="4"/>
  <c r="T90" i="4" s="1"/>
  <c r="AG56" i="4"/>
  <c r="AG187" i="4" s="1"/>
  <c r="L229" i="4" s="1"/>
  <c r="AL103" i="4"/>
  <c r="L102" i="4"/>
  <c r="DL102" i="4"/>
  <c r="CL101" i="4"/>
  <c r="BL101" i="4"/>
  <c r="S47" i="1"/>
  <c r="CH73" i="1"/>
  <c r="K61" i="1"/>
  <c r="U385" i="7" l="1"/>
  <c r="CO162" i="7"/>
  <c r="CO126" i="7"/>
  <c r="CJ126" i="7"/>
  <c r="I277" i="1"/>
  <c r="I303" i="1" s="1"/>
  <c r="I282" i="1"/>
  <c r="I305" i="1" s="1"/>
  <c r="BK134" i="1"/>
  <c r="BD134" i="1"/>
  <c r="BC135" i="1" s="1"/>
  <c r="BP135" i="1" s="1"/>
  <c r="J241" i="1"/>
  <c r="J267" i="1" s="1"/>
  <c r="CO41" i="1"/>
  <c r="AE137" i="1"/>
  <c r="AD138" i="1" s="1"/>
  <c r="AQ137" i="1"/>
  <c r="AL137" i="1"/>
  <c r="AR136" i="1"/>
  <c r="V241" i="7"/>
  <c r="V217" i="7"/>
  <c r="V384" i="7" s="1"/>
  <c r="AR130" i="7"/>
  <c r="AE131" i="7"/>
  <c r="AL131" i="7"/>
  <c r="AQ131" i="7"/>
  <c r="S127" i="7"/>
  <c r="F128" i="7"/>
  <c r="E129" i="7" s="1"/>
  <c r="R128" i="7"/>
  <c r="M128" i="7"/>
  <c r="BQ125" i="7"/>
  <c r="CP125" i="7"/>
  <c r="BP126" i="7"/>
  <c r="BD126" i="7"/>
  <c r="BC127" i="7" s="1"/>
  <c r="BK126" i="7"/>
  <c r="CC126" i="7"/>
  <c r="CB127" i="7" s="1"/>
  <c r="J179" i="1"/>
  <c r="R48" i="1"/>
  <c r="K152" i="1"/>
  <c r="BQ134" i="1"/>
  <c r="E151" i="1"/>
  <c r="M48" i="1"/>
  <c r="BI136" i="1"/>
  <c r="BM136" i="1" s="1"/>
  <c r="S150" i="1"/>
  <c r="I291" i="1"/>
  <c r="CL41" i="1"/>
  <c r="CC41" i="1"/>
  <c r="CJ41" i="1"/>
  <c r="L337" i="4"/>
  <c r="N91" i="4"/>
  <c r="P91" i="4"/>
  <c r="P192" i="4" s="1"/>
  <c r="Q214" i="4" s="1"/>
  <c r="BN91" i="4"/>
  <c r="BP91" i="4"/>
  <c r="BP192" i="4" s="1"/>
  <c r="Q262" i="4" s="1"/>
  <c r="DN91" i="4"/>
  <c r="DP91" i="4"/>
  <c r="DP192" i="4" s="1"/>
  <c r="Q310" i="4" s="1"/>
  <c r="CN90" i="4"/>
  <c r="CP90" i="4"/>
  <c r="CG90" i="4"/>
  <c r="CF91" i="4" s="1"/>
  <c r="CF192" i="4" s="1"/>
  <c r="Q277" i="4" s="1"/>
  <c r="CS90" i="4"/>
  <c r="CT90" i="4" s="1"/>
  <c r="L349" i="4"/>
  <c r="L326" i="4"/>
  <c r="R49" i="1"/>
  <c r="DS91" i="4"/>
  <c r="BS91" i="4"/>
  <c r="S91" i="4"/>
  <c r="AF57" i="4"/>
  <c r="AT56" i="4"/>
  <c r="AT187" i="4" s="1"/>
  <c r="L242" i="4" s="1"/>
  <c r="BL102" i="4"/>
  <c r="AL104" i="4"/>
  <c r="CL102" i="4"/>
  <c r="L103" i="4"/>
  <c r="BG91" i="4"/>
  <c r="BG192" i="4" s="1"/>
  <c r="Q253" i="4" s="1"/>
  <c r="G91" i="4"/>
  <c r="G192" i="4" s="1"/>
  <c r="Q205" i="4" s="1"/>
  <c r="DG91" i="4"/>
  <c r="DG192" i="4" s="1"/>
  <c r="Q301" i="4" s="1"/>
  <c r="DL103" i="4"/>
  <c r="K184" i="1"/>
  <c r="K171" i="1"/>
  <c r="K180" i="1"/>
  <c r="K278" i="1" s="1"/>
  <c r="CH74" i="1"/>
  <c r="K62" i="1"/>
  <c r="CO127" i="7" l="1"/>
  <c r="CJ127" i="7"/>
  <c r="BK135" i="1"/>
  <c r="BD135" i="1"/>
  <c r="BC136" i="1" s="1"/>
  <c r="BK136" i="1" s="1"/>
  <c r="J282" i="1"/>
  <c r="V409" i="7"/>
  <c r="V435" i="7" s="1"/>
  <c r="T8" i="5" s="1"/>
  <c r="T19" i="5" s="1"/>
  <c r="I317" i="1"/>
  <c r="G5" i="5" s="1"/>
  <c r="AL138" i="1"/>
  <c r="AQ138" i="1"/>
  <c r="AE138" i="1"/>
  <c r="AE163" i="1" s="1"/>
  <c r="W193" i="1" s="1"/>
  <c r="AR137" i="1"/>
  <c r="CP126" i="7"/>
  <c r="AR131" i="7"/>
  <c r="AR162" i="7" s="1"/>
  <c r="V206" i="7" s="1"/>
  <c r="V205" i="7"/>
  <c r="AE162" i="7"/>
  <c r="V193" i="7" s="1"/>
  <c r="AD132" i="7"/>
  <c r="S128" i="7"/>
  <c r="F129" i="7"/>
  <c r="E130" i="7" s="1"/>
  <c r="R129" i="7"/>
  <c r="M129" i="7"/>
  <c r="CC127" i="7"/>
  <c r="CB128" i="7" s="1"/>
  <c r="BP127" i="7"/>
  <c r="BD127" i="7"/>
  <c r="BC128" i="7" s="1"/>
  <c r="BK127" i="7"/>
  <c r="BQ126" i="7"/>
  <c r="V392" i="7"/>
  <c r="V420" i="7" s="1"/>
  <c r="V394" i="7"/>
  <c r="V421" i="7" s="1"/>
  <c r="K202" i="1"/>
  <c r="K227" i="1"/>
  <c r="J183" i="1"/>
  <c r="BQ135" i="1"/>
  <c r="I275" i="1"/>
  <c r="I302" i="1" s="1"/>
  <c r="BP136" i="1"/>
  <c r="R50" i="1"/>
  <c r="M49" i="1"/>
  <c r="BD136" i="1"/>
  <c r="BC137" i="1" s="1"/>
  <c r="BI137" i="1"/>
  <c r="BM137" i="1" s="1"/>
  <c r="K269" i="1"/>
  <c r="K174" i="1"/>
  <c r="K272" i="1" s="1"/>
  <c r="I301" i="1"/>
  <c r="L175" i="1"/>
  <c r="L273" i="1" s="1"/>
  <c r="L308" i="1" s="1"/>
  <c r="CP41" i="1"/>
  <c r="CB42" i="1"/>
  <c r="CO42" i="1" s="1"/>
  <c r="L363" i="4"/>
  <c r="L358" i="4"/>
  <c r="L328" i="4"/>
  <c r="AS57" i="4"/>
  <c r="AN57" i="4"/>
  <c r="AP57" i="4"/>
  <c r="CN91" i="4"/>
  <c r="CP91" i="4"/>
  <c r="CP192" i="4" s="1"/>
  <c r="Q287" i="4" s="1"/>
  <c r="CS91" i="4"/>
  <c r="CT91" i="4" s="1"/>
  <c r="CT192" i="4" s="1"/>
  <c r="Q291" i="4" s="1"/>
  <c r="CG91" i="4"/>
  <c r="CG192" i="4" s="1"/>
  <c r="Q278" i="4" s="1"/>
  <c r="L334" i="4"/>
  <c r="L359" i="4" s="1"/>
  <c r="L336" i="4"/>
  <c r="L360" i="4" s="1"/>
  <c r="AG57" i="4"/>
  <c r="DL104" i="4"/>
  <c r="BF92" i="4"/>
  <c r="BT91" i="4"/>
  <c r="BT192" i="4" s="1"/>
  <c r="Q266" i="4" s="1"/>
  <c r="BL103" i="4"/>
  <c r="CL103" i="4"/>
  <c r="AL105" i="4"/>
  <c r="AL194" i="4" s="1"/>
  <c r="S234" i="4" s="1"/>
  <c r="DT91" i="4"/>
  <c r="DT192" i="4" s="1"/>
  <c r="Q314" i="4" s="1"/>
  <c r="DF92" i="4"/>
  <c r="T91" i="4"/>
  <c r="T192" i="4" s="1"/>
  <c r="Q218" i="4" s="1"/>
  <c r="F92" i="4"/>
  <c r="L104" i="4"/>
  <c r="K296" i="1"/>
  <c r="M176" i="1"/>
  <c r="S48" i="1"/>
  <c r="CH75" i="1"/>
  <c r="CH154" i="1" s="1"/>
  <c r="N247" i="1" s="1"/>
  <c r="K63" i="1"/>
  <c r="CO128" i="7" l="1"/>
  <c r="CJ128" i="7"/>
  <c r="CP127" i="7"/>
  <c r="AL152" i="1"/>
  <c r="L200" i="1" s="1"/>
  <c r="AL150" i="1"/>
  <c r="J200" i="1" s="1"/>
  <c r="AL148" i="1"/>
  <c r="H200" i="1" s="1"/>
  <c r="AL161" i="1"/>
  <c r="U200" i="1" s="1"/>
  <c r="AL158" i="1"/>
  <c r="R200" i="1" s="1"/>
  <c r="AL155" i="1"/>
  <c r="O200" i="1" s="1"/>
  <c r="AL149" i="1"/>
  <c r="I200" i="1" s="1"/>
  <c r="AL151" i="1"/>
  <c r="K200" i="1" s="1"/>
  <c r="AL153" i="1"/>
  <c r="M200" i="1" s="1"/>
  <c r="AL154" i="1"/>
  <c r="N200" i="1" s="1"/>
  <c r="AL156" i="1"/>
  <c r="P200" i="1" s="1"/>
  <c r="AL157" i="1"/>
  <c r="Q200" i="1" s="1"/>
  <c r="AL159" i="1"/>
  <c r="S200" i="1" s="1"/>
  <c r="AL160" i="1"/>
  <c r="T200" i="1" s="1"/>
  <c r="AL162" i="1"/>
  <c r="V200" i="1" s="1"/>
  <c r="AL163" i="1"/>
  <c r="W200" i="1" s="1"/>
  <c r="AQ146" i="1"/>
  <c r="F205" i="1" s="1"/>
  <c r="AQ145" i="1"/>
  <c r="E205" i="1" s="1"/>
  <c r="AQ147" i="1"/>
  <c r="G205" i="1" s="1"/>
  <c r="AL145" i="1"/>
  <c r="E200" i="1" s="1"/>
  <c r="AL146" i="1"/>
  <c r="F200" i="1" s="1"/>
  <c r="AL147" i="1"/>
  <c r="G200" i="1" s="1"/>
  <c r="AQ163" i="1"/>
  <c r="W205" i="1" s="1"/>
  <c r="AQ150" i="1"/>
  <c r="J205" i="1" s="1"/>
  <c r="BQ136" i="1"/>
  <c r="AR138" i="1"/>
  <c r="AR163" i="1" s="1"/>
  <c r="W206" i="1" s="1"/>
  <c r="J29" i="5"/>
  <c r="BQ127" i="7"/>
  <c r="AE132" i="7"/>
  <c r="AD133" i="7" s="1"/>
  <c r="AL132" i="7"/>
  <c r="AD163" i="7"/>
  <c r="AQ132" i="7"/>
  <c r="F130" i="7"/>
  <c r="E131" i="7" s="1"/>
  <c r="R130" i="7"/>
  <c r="M130" i="7"/>
  <c r="S129" i="7"/>
  <c r="BP128" i="7"/>
  <c r="BD128" i="7"/>
  <c r="BC129" i="7" s="1"/>
  <c r="BK128" i="7"/>
  <c r="CC128" i="7"/>
  <c r="CB129" i="7" s="1"/>
  <c r="BP137" i="1"/>
  <c r="BK137" i="1"/>
  <c r="M50" i="1"/>
  <c r="BD137" i="1"/>
  <c r="BC138" i="1" s="1"/>
  <c r="BI138" i="1"/>
  <c r="CL42" i="1"/>
  <c r="CC42" i="1"/>
  <c r="CJ42" i="1"/>
  <c r="L327" i="4"/>
  <c r="L343" i="4"/>
  <c r="L353" i="4"/>
  <c r="L374" i="4" s="1"/>
  <c r="DN92" i="4"/>
  <c r="DP92" i="4"/>
  <c r="BN92" i="4"/>
  <c r="BP92" i="4"/>
  <c r="N92" i="4"/>
  <c r="P92" i="4"/>
  <c r="CF92" i="4"/>
  <c r="DG92" i="4"/>
  <c r="DF93" i="4" s="1"/>
  <c r="DS92" i="4"/>
  <c r="DT92" i="4" s="1"/>
  <c r="BG92" i="4"/>
  <c r="BF93" i="4" s="1"/>
  <c r="BS92" i="4"/>
  <c r="G92" i="4"/>
  <c r="F93" i="4" s="1"/>
  <c r="S92" i="4"/>
  <c r="AF58" i="4"/>
  <c r="AT57" i="4"/>
  <c r="DL105" i="4"/>
  <c r="DL194" i="4" s="1"/>
  <c r="S306" i="4" s="1"/>
  <c r="L105" i="4"/>
  <c r="L194" i="4" s="1"/>
  <c r="S210" i="4" s="1"/>
  <c r="CL104" i="4"/>
  <c r="AL106" i="4"/>
  <c r="BL104" i="4"/>
  <c r="M292" i="1"/>
  <c r="S49" i="1"/>
  <c r="CH76" i="1"/>
  <c r="K64" i="1"/>
  <c r="AN163" i="7" l="1"/>
  <c r="W202" i="7" s="1"/>
  <c r="AQ163" i="7"/>
  <c r="CO129" i="7"/>
  <c r="CJ129" i="7"/>
  <c r="CP128" i="7"/>
  <c r="BI163" i="1"/>
  <c r="W223" i="1" s="1"/>
  <c r="BM138" i="1"/>
  <c r="BQ137" i="1"/>
  <c r="W192" i="7"/>
  <c r="BQ128" i="7"/>
  <c r="AR132" i="7"/>
  <c r="AE133" i="7"/>
  <c r="AD134" i="7" s="1"/>
  <c r="AQ133" i="7"/>
  <c r="AL133" i="7"/>
  <c r="S130" i="7"/>
  <c r="F131" i="7"/>
  <c r="R131" i="7"/>
  <c r="M131" i="7"/>
  <c r="BP129" i="7"/>
  <c r="BD129" i="7"/>
  <c r="BC130" i="7" s="1"/>
  <c r="BK129" i="7"/>
  <c r="CC129" i="7"/>
  <c r="CB130" i="7" s="1"/>
  <c r="BP138" i="1"/>
  <c r="BK138" i="1"/>
  <c r="M51" i="1"/>
  <c r="R51" i="1"/>
  <c r="BD138" i="1"/>
  <c r="BD163" i="1" s="1"/>
  <c r="W218" i="1" s="1"/>
  <c r="BM163" i="1"/>
  <c r="CB43" i="1"/>
  <c r="CO43" i="1" s="1"/>
  <c r="CP42" i="1"/>
  <c r="N93" i="4"/>
  <c r="P93" i="4"/>
  <c r="DN93" i="4"/>
  <c r="DP93" i="4"/>
  <c r="AS58" i="4"/>
  <c r="AN58" i="4"/>
  <c r="AP58" i="4"/>
  <c r="BN93" i="4"/>
  <c r="BP93" i="4"/>
  <c r="CN92" i="4"/>
  <c r="CP92" i="4"/>
  <c r="CS92" i="4"/>
  <c r="CT92" i="4" s="1"/>
  <c r="CG92" i="4"/>
  <c r="CF93" i="4" s="1"/>
  <c r="DG93" i="4"/>
  <c r="DF94" i="4" s="1"/>
  <c r="DS93" i="4"/>
  <c r="BG93" i="4"/>
  <c r="BF94" i="4" s="1"/>
  <c r="BS93" i="4"/>
  <c r="G93" i="4"/>
  <c r="F94" i="4" s="1"/>
  <c r="S93" i="4"/>
  <c r="AG58" i="4"/>
  <c r="AL107" i="4"/>
  <c r="BT92" i="4"/>
  <c r="CL105" i="4"/>
  <c r="CL194" i="4" s="1"/>
  <c r="S283" i="4" s="1"/>
  <c r="L106" i="4"/>
  <c r="DL106" i="4"/>
  <c r="DT93" i="4"/>
  <c r="BL105" i="4"/>
  <c r="BL194" i="4" s="1"/>
  <c r="S258" i="4" s="1"/>
  <c r="T92" i="4"/>
  <c r="S50" i="1"/>
  <c r="CH77" i="1"/>
  <c r="K65" i="1"/>
  <c r="CP129" i="7" l="1"/>
  <c r="CO130" i="7"/>
  <c r="CJ130" i="7"/>
  <c r="BQ138" i="1"/>
  <c r="BQ163" i="1" s="1"/>
  <c r="AR133" i="7"/>
  <c r="BQ129" i="7"/>
  <c r="S131" i="7"/>
  <c r="S162" i="7" s="1"/>
  <c r="AL134" i="7"/>
  <c r="AQ134" i="7"/>
  <c r="AE134" i="7"/>
  <c r="AD135" i="7" s="1"/>
  <c r="E132" i="7"/>
  <c r="F162" i="7"/>
  <c r="V170" i="7" s="1"/>
  <c r="BP130" i="7"/>
  <c r="BD130" i="7"/>
  <c r="BC131" i="7" s="1"/>
  <c r="BK130" i="7"/>
  <c r="CC130" i="7"/>
  <c r="CB131" i="7" s="1"/>
  <c r="BK145" i="1"/>
  <c r="BK149" i="1"/>
  <c r="BK147" i="1"/>
  <c r="BK146" i="1"/>
  <c r="BK153" i="1"/>
  <c r="BK148" i="1"/>
  <c r="BK155" i="1"/>
  <c r="BK160" i="1"/>
  <c r="BK159" i="1"/>
  <c r="BK162" i="1"/>
  <c r="BK156" i="1"/>
  <c r="BK154" i="1"/>
  <c r="BK151" i="1"/>
  <c r="BK150" i="1"/>
  <c r="BK152" i="1"/>
  <c r="BK157" i="1"/>
  <c r="BK158" i="1"/>
  <c r="BK161" i="1"/>
  <c r="BK163" i="1"/>
  <c r="BP148" i="1"/>
  <c r="BP145" i="1"/>
  <c r="BP147" i="1"/>
  <c r="BP153" i="1"/>
  <c r="BP158" i="1"/>
  <c r="BP161" i="1"/>
  <c r="BP151" i="1"/>
  <c r="K230" i="1" s="1"/>
  <c r="BP159" i="1"/>
  <c r="BP150" i="1"/>
  <c r="BP160" i="1"/>
  <c r="BP146" i="1"/>
  <c r="BP149" i="1"/>
  <c r="BP152" i="1"/>
  <c r="BP154" i="1"/>
  <c r="BP155" i="1"/>
  <c r="BP156" i="1"/>
  <c r="BP157" i="1"/>
  <c r="BP162" i="1"/>
  <c r="BP163" i="1"/>
  <c r="M52" i="1"/>
  <c r="R52" i="1"/>
  <c r="CL43" i="1"/>
  <c r="CC43" i="1"/>
  <c r="CB44" i="1" s="1"/>
  <c r="CO44" i="1" s="1"/>
  <c r="CJ43" i="1"/>
  <c r="CN93" i="4"/>
  <c r="CP93" i="4"/>
  <c r="CS93" i="4"/>
  <c r="CT93" i="4" s="1"/>
  <c r="CG93" i="4"/>
  <c r="CF94" i="4" s="1"/>
  <c r="N94" i="4"/>
  <c r="P94" i="4"/>
  <c r="BN94" i="4"/>
  <c r="BP94" i="4"/>
  <c r="DN94" i="4"/>
  <c r="DP94" i="4"/>
  <c r="DG94" i="4"/>
  <c r="DF95" i="4" s="1"/>
  <c r="DS94" i="4"/>
  <c r="DT94" i="4" s="1"/>
  <c r="BG94" i="4"/>
  <c r="BF95" i="4" s="1"/>
  <c r="BS94" i="4"/>
  <c r="G94" i="4"/>
  <c r="F95" i="4" s="1"/>
  <c r="S94" i="4"/>
  <c r="AT58" i="4"/>
  <c r="AF59" i="4"/>
  <c r="BT93" i="4"/>
  <c r="DL107" i="4"/>
  <c r="L107" i="4"/>
  <c r="AL108" i="4"/>
  <c r="T93" i="4"/>
  <c r="BL106" i="4"/>
  <c r="CL106" i="4"/>
  <c r="S51" i="1"/>
  <c r="CH78" i="1"/>
  <c r="K66" i="1"/>
  <c r="CO131" i="7" l="1"/>
  <c r="CJ131" i="7"/>
  <c r="CP130" i="7"/>
  <c r="BQ130" i="7"/>
  <c r="V183" i="7"/>
  <c r="V399" i="7" s="1"/>
  <c r="V184" i="7"/>
  <c r="S163" i="7"/>
  <c r="AQ135" i="7"/>
  <c r="AE135" i="7"/>
  <c r="AD136" i="7" s="1"/>
  <c r="AL135" i="7"/>
  <c r="AR134" i="7"/>
  <c r="F132" i="7"/>
  <c r="E133" i="7" s="1"/>
  <c r="R132" i="7"/>
  <c r="E163" i="7"/>
  <c r="M132" i="7"/>
  <c r="BD131" i="7"/>
  <c r="BC132" i="7" s="1"/>
  <c r="BP131" i="7"/>
  <c r="BK131" i="7"/>
  <c r="BM162" i="7"/>
  <c r="V227" i="7" s="1"/>
  <c r="CC131" i="7"/>
  <c r="M53" i="1"/>
  <c r="R53" i="1"/>
  <c r="CP43" i="1"/>
  <c r="S332" i="4"/>
  <c r="S350" i="4"/>
  <c r="DN95" i="4"/>
  <c r="DP95" i="4"/>
  <c r="N95" i="4"/>
  <c r="P95" i="4"/>
  <c r="BN95" i="4"/>
  <c r="BP95" i="4"/>
  <c r="CN94" i="4"/>
  <c r="CP94" i="4"/>
  <c r="CG94" i="4"/>
  <c r="CF95" i="4" s="1"/>
  <c r="CS94" i="4"/>
  <c r="CT94" i="4" s="1"/>
  <c r="AS59" i="4"/>
  <c r="AN59" i="4"/>
  <c r="AP59" i="4"/>
  <c r="S52" i="1"/>
  <c r="DG95" i="4"/>
  <c r="DF96" i="4" s="1"/>
  <c r="DS95" i="4"/>
  <c r="DT95" i="4" s="1"/>
  <c r="BG95" i="4"/>
  <c r="BF96" i="4" s="1"/>
  <c r="BS95" i="4"/>
  <c r="BT94" i="4"/>
  <c r="G95" i="4"/>
  <c r="F96" i="4" s="1"/>
  <c r="S95" i="4"/>
  <c r="AG59" i="4"/>
  <c r="T94" i="4"/>
  <c r="DL108" i="4"/>
  <c r="BL107" i="4"/>
  <c r="AL109" i="4"/>
  <c r="L108" i="4"/>
  <c r="CL107" i="4"/>
  <c r="CH79" i="1"/>
  <c r="K67" i="1"/>
  <c r="O163" i="7" l="1"/>
  <c r="R163" i="7"/>
  <c r="FL147" i="7"/>
  <c r="G325" i="7" s="1"/>
  <c r="GK148" i="7"/>
  <c r="H348" i="7" s="1"/>
  <c r="EM148" i="7"/>
  <c r="HJ153" i="7"/>
  <c r="FL149" i="7"/>
  <c r="I325" i="7" s="1"/>
  <c r="FL145" i="7"/>
  <c r="E325" i="7" s="1"/>
  <c r="GK154" i="7"/>
  <c r="N348" i="7" s="1"/>
  <c r="HJ151" i="7"/>
  <c r="FL155" i="7"/>
  <c r="O325" i="7" s="1"/>
  <c r="FL154" i="7"/>
  <c r="N325" i="7" s="1"/>
  <c r="HJ149" i="7"/>
  <c r="EM155" i="7"/>
  <c r="EM153" i="7"/>
  <c r="HJ154" i="7"/>
  <c r="FL151" i="7"/>
  <c r="K325" i="7" s="1"/>
  <c r="HJ145" i="7"/>
  <c r="FL146" i="7"/>
  <c r="F325" i="7" s="1"/>
  <c r="HJ146" i="7"/>
  <c r="EM146" i="7"/>
  <c r="GK146" i="7"/>
  <c r="F348" i="7" s="1"/>
  <c r="EM147" i="7"/>
  <c r="HJ147" i="7"/>
  <c r="GK147" i="7"/>
  <c r="G348" i="7" s="1"/>
  <c r="FL148" i="7"/>
  <c r="H325" i="7" s="1"/>
  <c r="HJ148" i="7"/>
  <c r="GK149" i="7"/>
  <c r="I348" i="7" s="1"/>
  <c r="EM149" i="7"/>
  <c r="FL150" i="7"/>
  <c r="J325" i="7" s="1"/>
  <c r="HJ150" i="7"/>
  <c r="GK150" i="7"/>
  <c r="J348" i="7" s="1"/>
  <c r="EM150" i="7"/>
  <c r="GK151" i="7"/>
  <c r="K348" i="7" s="1"/>
  <c r="EM151" i="7"/>
  <c r="EM152" i="7"/>
  <c r="FL152" i="7"/>
  <c r="L325" i="7" s="1"/>
  <c r="HJ152" i="7"/>
  <c r="GK152" i="7"/>
  <c r="L348" i="7" s="1"/>
  <c r="GK153" i="7"/>
  <c r="M348" i="7" s="1"/>
  <c r="FL153" i="7"/>
  <c r="M325" i="7" s="1"/>
  <c r="EM154" i="7"/>
  <c r="GK155" i="7"/>
  <c r="O348" i="7" s="1"/>
  <c r="HJ155" i="7"/>
  <c r="BQ131" i="7"/>
  <c r="BQ162" i="7" s="1"/>
  <c r="V231" i="7" s="1"/>
  <c r="W184" i="7"/>
  <c r="W183" i="7"/>
  <c r="M163" i="7"/>
  <c r="W169" i="7"/>
  <c r="DN146" i="7"/>
  <c r="F278" i="7" s="1"/>
  <c r="DN148" i="7"/>
  <c r="H278" i="7" s="1"/>
  <c r="DN147" i="7"/>
  <c r="G278" i="7" s="1"/>
  <c r="DN145" i="7"/>
  <c r="E278" i="7" s="1"/>
  <c r="DN154" i="7"/>
  <c r="N278" i="7" s="1"/>
  <c r="DN152" i="7"/>
  <c r="L278" i="7" s="1"/>
  <c r="DN155" i="7"/>
  <c r="O278" i="7" s="1"/>
  <c r="DN150" i="7"/>
  <c r="J278" i="7" s="1"/>
  <c r="DN149" i="7"/>
  <c r="I278" i="7" s="1"/>
  <c r="DN151" i="7"/>
  <c r="K278" i="7" s="1"/>
  <c r="DN153" i="7"/>
  <c r="M278" i="7" s="1"/>
  <c r="CL162" i="7"/>
  <c r="AQ136" i="7"/>
  <c r="AE136" i="7"/>
  <c r="AD137" i="7" s="1"/>
  <c r="AL136" i="7"/>
  <c r="AR135" i="7"/>
  <c r="W179" i="7"/>
  <c r="S132" i="7"/>
  <c r="F133" i="7"/>
  <c r="E134" i="7" s="1"/>
  <c r="M133" i="7"/>
  <c r="R133" i="7"/>
  <c r="CO145" i="7"/>
  <c r="CO154" i="7"/>
  <c r="CO146" i="7"/>
  <c r="CO147" i="7"/>
  <c r="CO148" i="7"/>
  <c r="CO149" i="7"/>
  <c r="CO150" i="7"/>
  <c r="CO151" i="7"/>
  <c r="CO152" i="7"/>
  <c r="CO153" i="7"/>
  <c r="R254" i="7"/>
  <c r="U254" i="7"/>
  <c r="BD162" i="7"/>
  <c r="CC162" i="7"/>
  <c r="CB132" i="7"/>
  <c r="CP131" i="7"/>
  <c r="M54" i="1"/>
  <c r="R54" i="1"/>
  <c r="N231" i="1"/>
  <c r="CL44" i="1"/>
  <c r="CC44" i="1"/>
  <c r="CJ44" i="1"/>
  <c r="N96" i="4"/>
  <c r="P96" i="4"/>
  <c r="CN95" i="4"/>
  <c r="CP95" i="4"/>
  <c r="CS95" i="4"/>
  <c r="CT95" i="4" s="1"/>
  <c r="CG95" i="4"/>
  <c r="CF96" i="4" s="1"/>
  <c r="BN96" i="4"/>
  <c r="BP96" i="4"/>
  <c r="DN96" i="4"/>
  <c r="DP96" i="4"/>
  <c r="S53" i="1"/>
  <c r="T95" i="4"/>
  <c r="DG96" i="4"/>
  <c r="DF97" i="4" s="1"/>
  <c r="DS96" i="4"/>
  <c r="DT96" i="4" s="1"/>
  <c r="BG96" i="4"/>
  <c r="BF97" i="4" s="1"/>
  <c r="BS96" i="4"/>
  <c r="BT95" i="4"/>
  <c r="G96" i="4"/>
  <c r="F97" i="4" s="1"/>
  <c r="S96" i="4"/>
  <c r="AT59" i="4"/>
  <c r="AF60" i="4"/>
  <c r="CL108" i="4"/>
  <c r="AL110" i="4"/>
  <c r="DL109" i="4"/>
  <c r="L109" i="4"/>
  <c r="BL108" i="4"/>
  <c r="K169" i="1"/>
  <c r="CH80" i="1"/>
  <c r="K68" i="1"/>
  <c r="N371" i="7" l="1"/>
  <c r="N302" i="7"/>
  <c r="O371" i="7"/>
  <c r="O302" i="7"/>
  <c r="J371" i="7"/>
  <c r="J302" i="7"/>
  <c r="I371" i="7"/>
  <c r="I302" i="7"/>
  <c r="F371" i="7"/>
  <c r="F302" i="7"/>
  <c r="H371" i="7"/>
  <c r="H302" i="7"/>
  <c r="L371" i="7"/>
  <c r="L302" i="7"/>
  <c r="K371" i="7"/>
  <c r="K302" i="7"/>
  <c r="G371" i="7"/>
  <c r="G302" i="7"/>
  <c r="M371" i="7"/>
  <c r="M302" i="7"/>
  <c r="K254" i="7"/>
  <c r="V251" i="7"/>
  <c r="M254" i="7"/>
  <c r="G254" i="7"/>
  <c r="E254" i="7"/>
  <c r="CO132" i="7"/>
  <c r="CJ132" i="7"/>
  <c r="V242" i="7"/>
  <c r="T254" i="7"/>
  <c r="J254" i="7"/>
  <c r="F254" i="7"/>
  <c r="I254" i="7"/>
  <c r="S254" i="7"/>
  <c r="V254" i="7"/>
  <c r="L254" i="7"/>
  <c r="H254" i="7"/>
  <c r="N254" i="7"/>
  <c r="V218" i="7"/>
  <c r="AL137" i="7"/>
  <c r="AE137" i="7"/>
  <c r="AD138" i="7" s="1"/>
  <c r="AQ137" i="7"/>
  <c r="AR136" i="7"/>
  <c r="F134" i="7"/>
  <c r="E135" i="7" s="1"/>
  <c r="R134" i="7"/>
  <c r="M134" i="7"/>
  <c r="S133" i="7"/>
  <c r="CB163" i="7"/>
  <c r="CP132" i="7"/>
  <c r="CC132" i="7"/>
  <c r="CB133" i="7" s="1"/>
  <c r="BC163" i="7"/>
  <c r="BP163" i="7" s="1"/>
  <c r="BP132" i="7"/>
  <c r="BK132" i="7"/>
  <c r="BD132" i="7"/>
  <c r="BC133" i="7" s="1"/>
  <c r="CP162" i="7"/>
  <c r="K153" i="1"/>
  <c r="F151" i="1"/>
  <c r="K170" i="1" s="1"/>
  <c r="O151" i="1"/>
  <c r="CP44" i="1"/>
  <c r="CB45" i="1"/>
  <c r="CO45" i="1" s="1"/>
  <c r="N97" i="4"/>
  <c r="P97" i="4"/>
  <c r="AS60" i="4"/>
  <c r="AN60" i="4"/>
  <c r="AP60" i="4"/>
  <c r="BN97" i="4"/>
  <c r="BP97" i="4"/>
  <c r="DN97" i="4"/>
  <c r="DP97" i="4"/>
  <c r="CN96" i="4"/>
  <c r="CP96" i="4"/>
  <c r="CG96" i="4"/>
  <c r="CF97" i="4" s="1"/>
  <c r="CS96" i="4"/>
  <c r="CT96" i="4" s="1"/>
  <c r="T96" i="4"/>
  <c r="DG97" i="4"/>
  <c r="DF98" i="4" s="1"/>
  <c r="DF193" i="4" s="1"/>
  <c r="R300" i="4" s="1"/>
  <c r="DS97" i="4"/>
  <c r="DT97" i="4" s="1"/>
  <c r="BG97" i="4"/>
  <c r="BF98" i="4" s="1"/>
  <c r="BF193" i="4" s="1"/>
  <c r="R252" i="4" s="1"/>
  <c r="BS97" i="4"/>
  <c r="BT96" i="4"/>
  <c r="G97" i="4"/>
  <c r="F98" i="4" s="1"/>
  <c r="F193" i="4" s="1"/>
  <c r="R204" i="4" s="1"/>
  <c r="S97" i="4"/>
  <c r="AG60" i="4"/>
  <c r="DL110" i="4"/>
  <c r="CL109" i="4"/>
  <c r="BL109" i="4"/>
  <c r="L110" i="4"/>
  <c r="AL111" i="4"/>
  <c r="S54" i="1"/>
  <c r="CH81" i="1"/>
  <c r="K69" i="1"/>
  <c r="V419" i="7" l="1"/>
  <c r="V385" i="7"/>
  <c r="CO163" i="7"/>
  <c r="CO133" i="7"/>
  <c r="CP133" i="7" s="1"/>
  <c r="CJ133" i="7"/>
  <c r="W241" i="7"/>
  <c r="V423" i="7"/>
  <c r="V255" i="7"/>
  <c r="W217" i="7"/>
  <c r="AR137" i="7"/>
  <c r="AE138" i="7"/>
  <c r="AE163" i="7" s="1"/>
  <c r="W193" i="7" s="1"/>
  <c r="AQ138" i="7"/>
  <c r="AL138" i="7"/>
  <c r="AL145" i="7" s="1"/>
  <c r="E200" i="7" s="1"/>
  <c r="S134" i="7"/>
  <c r="F135" i="7"/>
  <c r="E136" i="7" s="1"/>
  <c r="R135" i="7"/>
  <c r="M135" i="7"/>
  <c r="BQ132" i="7"/>
  <c r="CC133" i="7"/>
  <c r="CB134" i="7" s="1"/>
  <c r="BD133" i="7"/>
  <c r="BC134" i="7" s="1"/>
  <c r="BP133" i="7"/>
  <c r="BK133" i="7"/>
  <c r="K179" i="1"/>
  <c r="R55" i="1"/>
  <c r="E152" i="1"/>
  <c r="M55" i="1"/>
  <c r="S151" i="1"/>
  <c r="M175" i="1"/>
  <c r="M273" i="1" s="1"/>
  <c r="M308" i="1" s="1"/>
  <c r="K29" i="5" s="1"/>
  <c r="CL45" i="1"/>
  <c r="CC45" i="1"/>
  <c r="CJ45" i="1"/>
  <c r="T97" i="4"/>
  <c r="BN98" i="4"/>
  <c r="BP98" i="4"/>
  <c r="BP193" i="4" s="1"/>
  <c r="R262" i="4" s="1"/>
  <c r="N98" i="4"/>
  <c r="P98" i="4"/>
  <c r="P193" i="4" s="1"/>
  <c r="R214" i="4" s="1"/>
  <c r="DN98" i="4"/>
  <c r="DP98" i="4"/>
  <c r="DP193" i="4" s="1"/>
  <c r="R310" i="4" s="1"/>
  <c r="CN97" i="4"/>
  <c r="CP97" i="4"/>
  <c r="CG97" i="4"/>
  <c r="CF98" i="4" s="1"/>
  <c r="CF193" i="4" s="1"/>
  <c r="R277" i="4" s="1"/>
  <c r="CS97" i="4"/>
  <c r="CT97" i="4" s="1"/>
  <c r="DS98" i="4"/>
  <c r="BS98" i="4"/>
  <c r="BT97" i="4"/>
  <c r="S98" i="4"/>
  <c r="AF61" i="4"/>
  <c r="AT60" i="4"/>
  <c r="BG98" i="4"/>
  <c r="BG193" i="4" s="1"/>
  <c r="R253" i="4" s="1"/>
  <c r="L111" i="4"/>
  <c r="DL111" i="4"/>
  <c r="G98" i="4"/>
  <c r="G193" i="4" s="1"/>
  <c r="R205" i="4" s="1"/>
  <c r="AL112" i="4"/>
  <c r="AL195" i="4" s="1"/>
  <c r="T234" i="4" s="1"/>
  <c r="BL110" i="4"/>
  <c r="CL110" i="4"/>
  <c r="DG98" i="4"/>
  <c r="DG193" i="4" s="1"/>
  <c r="R301" i="4" s="1"/>
  <c r="N176" i="1"/>
  <c r="L184" i="1"/>
  <c r="L180" i="1"/>
  <c r="L278" i="1" s="1"/>
  <c r="L171" i="1"/>
  <c r="CH82" i="1"/>
  <c r="CH155" i="1" s="1"/>
  <c r="O247" i="1" s="1"/>
  <c r="K70" i="1"/>
  <c r="W384" i="7" l="1"/>
  <c r="W399" i="7" s="1"/>
  <c r="W254" i="7"/>
  <c r="CO134" i="7"/>
  <c r="CP134" i="7" s="1"/>
  <c r="CJ134" i="7"/>
  <c r="W409" i="7"/>
  <c r="W435" i="7" s="1"/>
  <c r="U8" i="5" s="1"/>
  <c r="U19" i="5" s="1"/>
  <c r="AL147" i="7"/>
  <c r="G200" i="7" s="1"/>
  <c r="AL148" i="7"/>
  <c r="H200" i="7" s="1"/>
  <c r="AL149" i="7"/>
  <c r="I200" i="7" s="1"/>
  <c r="AL150" i="7"/>
  <c r="J200" i="7" s="1"/>
  <c r="AL151" i="7"/>
  <c r="K200" i="7" s="1"/>
  <c r="AL152" i="7"/>
  <c r="L200" i="7" s="1"/>
  <c r="AL153" i="7"/>
  <c r="M200" i="7" s="1"/>
  <c r="AL154" i="7"/>
  <c r="N200" i="7" s="1"/>
  <c r="AL155" i="7"/>
  <c r="O200" i="7" s="1"/>
  <c r="AL156" i="7"/>
  <c r="P200" i="7" s="1"/>
  <c r="AL157" i="7"/>
  <c r="Q200" i="7" s="1"/>
  <c r="AL158" i="7"/>
  <c r="R200" i="7" s="1"/>
  <c r="AL159" i="7"/>
  <c r="S200" i="7" s="1"/>
  <c r="AL160" i="7"/>
  <c r="T200" i="7" s="1"/>
  <c r="AL161" i="7"/>
  <c r="U200" i="7" s="1"/>
  <c r="AL162" i="7"/>
  <c r="V200" i="7" s="1"/>
  <c r="AL163" i="7"/>
  <c r="W200" i="7" s="1"/>
  <c r="S135" i="7"/>
  <c r="AR138" i="7"/>
  <c r="AR163" i="7" s="1"/>
  <c r="W206" i="7" s="1"/>
  <c r="S205" i="7"/>
  <c r="W205" i="7"/>
  <c r="F136" i="7"/>
  <c r="E137" i="7" s="1"/>
  <c r="R136" i="7"/>
  <c r="M136" i="7"/>
  <c r="BP134" i="7"/>
  <c r="BK134" i="7"/>
  <c r="BD134" i="7"/>
  <c r="BC135" i="7" s="1"/>
  <c r="BQ133" i="7"/>
  <c r="CC134" i="7"/>
  <c r="CB135" i="7" s="1"/>
  <c r="L202" i="1"/>
  <c r="L227" i="1"/>
  <c r="K183" i="1"/>
  <c r="M56" i="1"/>
  <c r="R56" i="1"/>
  <c r="L269" i="1"/>
  <c r="L174" i="1"/>
  <c r="L272" i="1" s="1"/>
  <c r="CB46" i="1"/>
  <c r="CO46" i="1" s="1"/>
  <c r="CP45" i="1"/>
  <c r="CN98" i="4"/>
  <c r="CP98" i="4"/>
  <c r="CP193" i="4" s="1"/>
  <c r="R287" i="4" s="1"/>
  <c r="CS98" i="4"/>
  <c r="CT98" i="4" s="1"/>
  <c r="CT193" i="4" s="1"/>
  <c r="R291" i="4" s="1"/>
  <c r="CG98" i="4"/>
  <c r="CG193" i="4" s="1"/>
  <c r="R278" i="4" s="1"/>
  <c r="AS61" i="4"/>
  <c r="AN61" i="4"/>
  <c r="AP61" i="4"/>
  <c r="AG61" i="4"/>
  <c r="DL112" i="4"/>
  <c r="DL195" i="4" s="1"/>
  <c r="T306" i="4" s="1"/>
  <c r="BF99" i="4"/>
  <c r="BT98" i="4"/>
  <c r="BT193" i="4" s="1"/>
  <c r="R266" i="4" s="1"/>
  <c r="DT98" i="4"/>
  <c r="DT193" i="4" s="1"/>
  <c r="R314" i="4" s="1"/>
  <c r="DF99" i="4"/>
  <c r="BL111" i="4"/>
  <c r="T98" i="4"/>
  <c r="T193" i="4" s="1"/>
  <c r="R218" i="4" s="1"/>
  <c r="F99" i="4"/>
  <c r="L112" i="4"/>
  <c r="L195" i="4" s="1"/>
  <c r="T210" i="4" s="1"/>
  <c r="CL111" i="4"/>
  <c r="AL113" i="4"/>
  <c r="N292" i="1"/>
  <c r="L296" i="1"/>
  <c r="S55" i="1"/>
  <c r="CH83" i="1"/>
  <c r="K71" i="1"/>
  <c r="W394" i="7" l="1"/>
  <c r="W421" i="7" s="1"/>
  <c r="W392" i="7"/>
  <c r="W420" i="7" s="1"/>
  <c r="CO135" i="7"/>
  <c r="CP135" i="7" s="1"/>
  <c r="CJ135" i="7"/>
  <c r="BQ134" i="7"/>
  <c r="F137" i="7"/>
  <c r="E138" i="7" s="1"/>
  <c r="R137" i="7"/>
  <c r="M137" i="7"/>
  <c r="S136" i="7"/>
  <c r="CC135" i="7"/>
  <c r="CB136" i="7" s="1"/>
  <c r="BP135" i="7"/>
  <c r="BD135" i="7"/>
  <c r="BC136" i="7" s="1"/>
  <c r="BK135" i="7"/>
  <c r="M57" i="1"/>
  <c r="R57" i="1"/>
  <c r="CL46" i="1"/>
  <c r="CC46" i="1"/>
  <c r="CJ46" i="1"/>
  <c r="DN99" i="4"/>
  <c r="DP99" i="4"/>
  <c r="CF99" i="4"/>
  <c r="N99" i="4"/>
  <c r="P99" i="4"/>
  <c r="BN99" i="4"/>
  <c r="BP99" i="4"/>
  <c r="DG99" i="4"/>
  <c r="DS99" i="4"/>
  <c r="DT99" i="4" s="1"/>
  <c r="BG99" i="4"/>
  <c r="BF100" i="4" s="1"/>
  <c r="BS99" i="4"/>
  <c r="G99" i="4"/>
  <c r="F100" i="4" s="1"/>
  <c r="S99" i="4"/>
  <c r="T99" i="4" s="1"/>
  <c r="AF62" i="4"/>
  <c r="AT61" i="4"/>
  <c r="AL114" i="4"/>
  <c r="BL112" i="4"/>
  <c r="BL195" i="4" s="1"/>
  <c r="T258" i="4" s="1"/>
  <c r="DF100" i="4"/>
  <c r="L113" i="4"/>
  <c r="CL112" i="4"/>
  <c r="CL195" i="4" s="1"/>
  <c r="T283" i="4" s="1"/>
  <c r="DL113" i="4"/>
  <c r="S56" i="1"/>
  <c r="CH84" i="1"/>
  <c r="K72" i="1"/>
  <c r="CO136" i="7" l="1"/>
  <c r="CP136" i="7" s="1"/>
  <c r="CJ136" i="7"/>
  <c r="BQ135" i="7"/>
  <c r="S137" i="7"/>
  <c r="F138" i="7"/>
  <c r="F163" i="7" s="1"/>
  <c r="W170" i="7" s="1"/>
  <c r="R138" i="7"/>
  <c r="M138" i="7"/>
  <c r="BP136" i="7"/>
  <c r="BK136" i="7"/>
  <c r="BD136" i="7"/>
  <c r="BC137" i="7" s="1"/>
  <c r="CC136" i="7"/>
  <c r="CB137" i="7" s="1"/>
  <c r="M58" i="1"/>
  <c r="R58" i="1"/>
  <c r="CB47" i="1"/>
  <c r="CO47" i="1" s="1"/>
  <c r="CP46" i="1"/>
  <c r="CN99" i="4"/>
  <c r="CP99" i="4"/>
  <c r="CG99" i="4"/>
  <c r="CF100" i="4" s="1"/>
  <c r="CS99" i="4"/>
  <c r="CT99" i="4" s="1"/>
  <c r="DN100" i="4"/>
  <c r="DP100" i="4"/>
  <c r="AS62" i="4"/>
  <c r="AN62" i="4"/>
  <c r="AP62" i="4"/>
  <c r="N100" i="4"/>
  <c r="P100" i="4"/>
  <c r="BN100" i="4"/>
  <c r="BP100" i="4"/>
  <c r="DG100" i="4"/>
  <c r="DF101" i="4" s="1"/>
  <c r="DS100" i="4"/>
  <c r="DT100" i="4" s="1"/>
  <c r="BG100" i="4"/>
  <c r="BF101" i="4" s="1"/>
  <c r="BS100" i="4"/>
  <c r="G100" i="4"/>
  <c r="F101" i="4" s="1"/>
  <c r="S100" i="4"/>
  <c r="T100" i="4" s="1"/>
  <c r="AG62" i="4"/>
  <c r="AL115" i="4"/>
  <c r="DL114" i="4"/>
  <c r="CL113" i="4"/>
  <c r="BT99" i="4"/>
  <c r="L114" i="4"/>
  <c r="BL113" i="4"/>
  <c r="S57" i="1"/>
  <c r="CH85" i="1"/>
  <c r="CL85" i="1" s="1"/>
  <c r="K73" i="1"/>
  <c r="CO137" i="7" l="1"/>
  <c r="CP137" i="7" s="1"/>
  <c r="CJ137" i="7"/>
  <c r="BQ136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K182" i="7"/>
  <c r="L182" i="7"/>
  <c r="M182" i="7"/>
  <c r="N182" i="7"/>
  <c r="P182" i="7"/>
  <c r="R182" i="7"/>
  <c r="S182" i="7"/>
  <c r="T182" i="7"/>
  <c r="U182" i="7"/>
  <c r="V182" i="7"/>
  <c r="W182" i="7"/>
  <c r="S138" i="7"/>
  <c r="BP137" i="7"/>
  <c r="BD137" i="7"/>
  <c r="BC138" i="7" s="1"/>
  <c r="BK137" i="7"/>
  <c r="CC137" i="7"/>
  <c r="CB138" i="7" s="1"/>
  <c r="M59" i="1"/>
  <c r="R59" i="1"/>
  <c r="J251" i="1"/>
  <c r="CJ47" i="1"/>
  <c r="CC47" i="1"/>
  <c r="CC150" i="1" s="1"/>
  <c r="J242" i="1" s="1"/>
  <c r="J268" i="1" s="1"/>
  <c r="T350" i="4"/>
  <c r="N101" i="4"/>
  <c r="P101" i="4"/>
  <c r="CN100" i="4"/>
  <c r="CP100" i="4"/>
  <c r="CG100" i="4"/>
  <c r="CF101" i="4" s="1"/>
  <c r="CS100" i="4"/>
  <c r="CT100" i="4" s="1"/>
  <c r="DN101" i="4"/>
  <c r="DP101" i="4"/>
  <c r="BN101" i="4"/>
  <c r="BP101" i="4"/>
  <c r="DG101" i="4"/>
  <c r="DF102" i="4" s="1"/>
  <c r="DS101" i="4"/>
  <c r="DT101" i="4" s="1"/>
  <c r="BG101" i="4"/>
  <c r="BF102" i="4" s="1"/>
  <c r="BS101" i="4"/>
  <c r="G101" i="4"/>
  <c r="F102" i="4" s="1"/>
  <c r="S101" i="4"/>
  <c r="T101" i="4" s="1"/>
  <c r="AT62" i="4"/>
  <c r="AF63" i="4"/>
  <c r="AF188" i="4" s="1"/>
  <c r="M228" i="4" s="1"/>
  <c r="AL116" i="4"/>
  <c r="BL114" i="4"/>
  <c r="CL114" i="4"/>
  <c r="DL115" i="4"/>
  <c r="BT100" i="4"/>
  <c r="L115" i="4"/>
  <c r="S58" i="1"/>
  <c r="CH86" i="1"/>
  <c r="CL86" i="1" s="1"/>
  <c r="K74" i="1"/>
  <c r="CO138" i="7" l="1"/>
  <c r="CO155" i="7" s="1"/>
  <c r="CJ138" i="7"/>
  <c r="BQ137" i="7"/>
  <c r="CP138" i="7"/>
  <c r="CC138" i="7"/>
  <c r="BP138" i="7"/>
  <c r="BK138" i="7"/>
  <c r="BK156" i="7" s="1"/>
  <c r="BD138" i="7"/>
  <c r="BD163" i="7" s="1"/>
  <c r="BM163" i="7"/>
  <c r="W227" i="7" s="1"/>
  <c r="M60" i="1"/>
  <c r="R60" i="1"/>
  <c r="CB48" i="1"/>
  <c r="CP47" i="1"/>
  <c r="CP150" i="1" s="1"/>
  <c r="J255" i="1" s="1"/>
  <c r="T332" i="4"/>
  <c r="BN102" i="4"/>
  <c r="BP102" i="4"/>
  <c r="N102" i="4"/>
  <c r="P102" i="4"/>
  <c r="DN102" i="4"/>
  <c r="DP102" i="4"/>
  <c r="CN101" i="4"/>
  <c r="CP101" i="4"/>
  <c r="CS101" i="4"/>
  <c r="CT101" i="4" s="1"/>
  <c r="CG101" i="4"/>
  <c r="CF102" i="4" s="1"/>
  <c r="AS63" i="4"/>
  <c r="AN63" i="4"/>
  <c r="AP63" i="4"/>
  <c r="AP188" i="4" s="1"/>
  <c r="M238" i="4" s="1"/>
  <c r="DG102" i="4"/>
  <c r="DF103" i="4" s="1"/>
  <c r="DS102" i="4"/>
  <c r="DT102" i="4" s="1"/>
  <c r="BT101" i="4"/>
  <c r="BG102" i="4"/>
  <c r="BF103" i="4" s="1"/>
  <c r="BG103" i="4" s="1"/>
  <c r="BS102" i="4"/>
  <c r="G102" i="4"/>
  <c r="F103" i="4" s="1"/>
  <c r="S102" i="4"/>
  <c r="T102" i="4" s="1"/>
  <c r="AG63" i="4"/>
  <c r="AG188" i="4" s="1"/>
  <c r="M229" i="4" s="1"/>
  <c r="L116" i="4"/>
  <c r="DL116" i="4"/>
  <c r="BL115" i="4"/>
  <c r="CL115" i="4"/>
  <c r="AL117" i="4"/>
  <c r="S59" i="1"/>
  <c r="CH87" i="1"/>
  <c r="CL87" i="1" s="1"/>
  <c r="K75" i="1"/>
  <c r="O254" i="7" l="1"/>
  <c r="O397" i="7" s="1"/>
  <c r="EH148" i="7"/>
  <c r="H297" i="7" s="1"/>
  <c r="GF148" i="7"/>
  <c r="H343" i="7" s="1"/>
  <c r="GF146" i="7"/>
  <c r="F343" i="7" s="1"/>
  <c r="FG148" i="7"/>
  <c r="H320" i="7" s="1"/>
  <c r="HE147" i="7"/>
  <c r="G366" i="7" s="1"/>
  <c r="FG147" i="7"/>
  <c r="G320" i="7" s="1"/>
  <c r="GF147" i="7"/>
  <c r="G343" i="7" s="1"/>
  <c r="FG145" i="7"/>
  <c r="E320" i="7" s="1"/>
  <c r="HE153" i="7"/>
  <c r="M366" i="7" s="1"/>
  <c r="HE152" i="7"/>
  <c r="L366" i="7" s="1"/>
  <c r="GF152" i="7"/>
  <c r="L343" i="7" s="1"/>
  <c r="EH152" i="7"/>
  <c r="L297" i="7" s="1"/>
  <c r="GF150" i="7"/>
  <c r="J343" i="7" s="1"/>
  <c r="GF145" i="7"/>
  <c r="E343" i="7" s="1"/>
  <c r="CJ157" i="7"/>
  <c r="HE154" i="7"/>
  <c r="N366" i="7" s="1"/>
  <c r="EH155" i="7"/>
  <c r="O297" i="7" s="1"/>
  <c r="GF155" i="7"/>
  <c r="O343" i="7" s="1"/>
  <c r="EH149" i="7"/>
  <c r="I297" i="7" s="1"/>
  <c r="GF154" i="7"/>
  <c r="N343" i="7" s="1"/>
  <c r="HE151" i="7"/>
  <c r="K366" i="7" s="1"/>
  <c r="HE149" i="7"/>
  <c r="I366" i="7" s="1"/>
  <c r="FG151" i="7"/>
  <c r="K320" i="7" s="1"/>
  <c r="GF151" i="7"/>
  <c r="K343" i="7" s="1"/>
  <c r="EH151" i="7"/>
  <c r="K297" i="7" s="1"/>
  <c r="CJ156" i="7"/>
  <c r="P249" i="7" s="1"/>
  <c r="GF149" i="7"/>
  <c r="I343" i="7" s="1"/>
  <c r="FG154" i="7"/>
  <c r="N320" i="7" s="1"/>
  <c r="HE145" i="7"/>
  <c r="E366" i="7" s="1"/>
  <c r="EH145" i="7"/>
  <c r="E297" i="7" s="1"/>
  <c r="HE146" i="7"/>
  <c r="F366" i="7" s="1"/>
  <c r="EH146" i="7"/>
  <c r="F297" i="7" s="1"/>
  <c r="FG146" i="7"/>
  <c r="F320" i="7" s="1"/>
  <c r="EH147" i="7"/>
  <c r="G297" i="7" s="1"/>
  <c r="HE148" i="7"/>
  <c r="H366" i="7" s="1"/>
  <c r="FG149" i="7"/>
  <c r="I320" i="7" s="1"/>
  <c r="EH150" i="7"/>
  <c r="J297" i="7" s="1"/>
  <c r="HE150" i="7"/>
  <c r="J366" i="7" s="1"/>
  <c r="FG150" i="7"/>
  <c r="J320" i="7" s="1"/>
  <c r="FG152" i="7"/>
  <c r="L320" i="7" s="1"/>
  <c r="FG153" i="7"/>
  <c r="M320" i="7" s="1"/>
  <c r="GF153" i="7"/>
  <c r="M343" i="7" s="1"/>
  <c r="EH153" i="7"/>
  <c r="M297" i="7" s="1"/>
  <c r="EH154" i="7"/>
  <c r="N297" i="7" s="1"/>
  <c r="HE155" i="7"/>
  <c r="O366" i="7" s="1"/>
  <c r="FG155" i="7"/>
  <c r="O320" i="7" s="1"/>
  <c r="BQ138" i="7"/>
  <c r="BQ163" i="7" s="1"/>
  <c r="W231" i="7" s="1"/>
  <c r="CB151" i="1"/>
  <c r="CO48" i="1"/>
  <c r="W218" i="7"/>
  <c r="CC163" i="7"/>
  <c r="DI145" i="7"/>
  <c r="E273" i="7" s="1"/>
  <c r="DI146" i="7"/>
  <c r="F273" i="7" s="1"/>
  <c r="DI147" i="7"/>
  <c r="G273" i="7" s="1"/>
  <c r="DI148" i="7"/>
  <c r="H273" i="7" s="1"/>
  <c r="DI151" i="7"/>
  <c r="K273" i="7" s="1"/>
  <c r="DI153" i="7"/>
  <c r="M273" i="7" s="1"/>
  <c r="DI154" i="7"/>
  <c r="N273" i="7" s="1"/>
  <c r="DI152" i="7"/>
  <c r="L273" i="7" s="1"/>
  <c r="DI149" i="7"/>
  <c r="I273" i="7" s="1"/>
  <c r="DI150" i="7"/>
  <c r="J273" i="7" s="1"/>
  <c r="DI155" i="7"/>
  <c r="O273" i="7" s="1"/>
  <c r="CL163" i="7"/>
  <c r="CP163" i="7"/>
  <c r="BK145" i="7"/>
  <c r="E225" i="7" s="1"/>
  <c r="BK150" i="7"/>
  <c r="J225" i="7" s="1"/>
  <c r="BK157" i="7"/>
  <c r="Q225" i="7" s="1"/>
  <c r="P225" i="7"/>
  <c r="BK158" i="7"/>
  <c r="R225" i="7" s="1"/>
  <c r="BK154" i="7"/>
  <c r="N225" i="7" s="1"/>
  <c r="BK159" i="7"/>
  <c r="S225" i="7" s="1"/>
  <c r="BK162" i="7"/>
  <c r="V225" i="7" s="1"/>
  <c r="BK155" i="7"/>
  <c r="O225" i="7" s="1"/>
  <c r="BK152" i="7"/>
  <c r="L225" i="7" s="1"/>
  <c r="BK161" i="7"/>
  <c r="U225" i="7" s="1"/>
  <c r="BK163" i="7"/>
  <c r="W225" i="7" s="1"/>
  <c r="BK146" i="7"/>
  <c r="F225" i="7" s="1"/>
  <c r="BK147" i="7"/>
  <c r="G225" i="7" s="1"/>
  <c r="BK148" i="7"/>
  <c r="H225" i="7" s="1"/>
  <c r="BK149" i="7"/>
  <c r="I225" i="7" s="1"/>
  <c r="BK151" i="7"/>
  <c r="K225" i="7" s="1"/>
  <c r="BK153" i="7"/>
  <c r="M225" i="7" s="1"/>
  <c r="BK160" i="7"/>
  <c r="T225" i="7" s="1"/>
  <c r="CJ145" i="7"/>
  <c r="CJ152" i="7"/>
  <c r="CJ146" i="7"/>
  <c r="CJ147" i="7"/>
  <c r="CJ148" i="7"/>
  <c r="CJ149" i="7"/>
  <c r="CJ150" i="7"/>
  <c r="CJ151" i="7"/>
  <c r="CJ153" i="7"/>
  <c r="CJ154" i="7"/>
  <c r="CJ155" i="7"/>
  <c r="CJ158" i="7"/>
  <c r="CJ159" i="7"/>
  <c r="CJ160" i="7"/>
  <c r="CJ161" i="7"/>
  <c r="CJ162" i="7"/>
  <c r="CJ163" i="7"/>
  <c r="S230" i="7"/>
  <c r="S397" i="7" s="1"/>
  <c r="J230" i="7"/>
  <c r="J397" i="7" s="1"/>
  <c r="Q230" i="7"/>
  <c r="Q397" i="7" s="1"/>
  <c r="N230" i="7"/>
  <c r="N397" i="7" s="1"/>
  <c r="U230" i="7"/>
  <c r="U397" i="7" s="1"/>
  <c r="E230" i="7"/>
  <c r="E397" i="7" s="1"/>
  <c r="E422" i="7" s="1"/>
  <c r="F230" i="7"/>
  <c r="F397" i="7" s="1"/>
  <c r="G230" i="7"/>
  <c r="G397" i="7" s="1"/>
  <c r="H230" i="7"/>
  <c r="H397" i="7" s="1"/>
  <c r="I230" i="7"/>
  <c r="I397" i="7" s="1"/>
  <c r="K230" i="7"/>
  <c r="K397" i="7" s="1"/>
  <c r="L230" i="7"/>
  <c r="L397" i="7" s="1"/>
  <c r="M230" i="7"/>
  <c r="M397" i="7" s="1"/>
  <c r="P230" i="7"/>
  <c r="P397" i="7" s="1"/>
  <c r="R230" i="7"/>
  <c r="R397" i="7" s="1"/>
  <c r="T230" i="7"/>
  <c r="T397" i="7" s="1"/>
  <c r="V230" i="7"/>
  <c r="V397" i="7" s="1"/>
  <c r="W230" i="7"/>
  <c r="W397" i="7" s="1"/>
  <c r="K154" i="1"/>
  <c r="M61" i="1"/>
  <c r="R61" i="1"/>
  <c r="O231" i="1"/>
  <c r="J277" i="1"/>
  <c r="J291" i="1"/>
  <c r="J305" i="1"/>
  <c r="CC48" i="1"/>
  <c r="CJ48" i="1"/>
  <c r="M337" i="4"/>
  <c r="DN103" i="4"/>
  <c r="DP103" i="4"/>
  <c r="N103" i="4"/>
  <c r="P103" i="4"/>
  <c r="BN103" i="4"/>
  <c r="BP103" i="4"/>
  <c r="CN102" i="4"/>
  <c r="CP102" i="4"/>
  <c r="CS102" i="4"/>
  <c r="CT102" i="4" s="1"/>
  <c r="CG102" i="4"/>
  <c r="CF103" i="4" s="1"/>
  <c r="M349" i="4"/>
  <c r="M326" i="4"/>
  <c r="BT102" i="4"/>
  <c r="DG103" i="4"/>
  <c r="DF104" i="4" s="1"/>
  <c r="DS103" i="4"/>
  <c r="DT103" i="4" s="1"/>
  <c r="BF104" i="4"/>
  <c r="BS103" i="4"/>
  <c r="G103" i="4"/>
  <c r="F104" i="4" s="1"/>
  <c r="S103" i="4"/>
  <c r="T103" i="4" s="1"/>
  <c r="AT63" i="4"/>
  <c r="AT188" i="4" s="1"/>
  <c r="M242" i="4" s="1"/>
  <c r="AF64" i="4"/>
  <c r="AL118" i="4"/>
  <c r="DL117" i="4"/>
  <c r="L117" i="4"/>
  <c r="CL116" i="4"/>
  <c r="BL116" i="4"/>
  <c r="S60" i="1"/>
  <c r="CH88" i="1"/>
  <c r="CL88" i="1" s="1"/>
  <c r="K76" i="1"/>
  <c r="W242" i="7" l="1"/>
  <c r="T249" i="7"/>
  <c r="O249" i="7"/>
  <c r="F249" i="7"/>
  <c r="W251" i="7"/>
  <c r="M249" i="7"/>
  <c r="O422" i="7"/>
  <c r="O436" i="7" s="1"/>
  <c r="M9" i="5" s="1"/>
  <c r="M20" i="5" s="1"/>
  <c r="E436" i="7"/>
  <c r="C9" i="5" s="1"/>
  <c r="C20" i="5" s="1"/>
  <c r="K241" i="1"/>
  <c r="K267" i="1" s="1"/>
  <c r="V422" i="7"/>
  <c r="V436" i="7" s="1"/>
  <c r="T9" i="5" s="1"/>
  <c r="T20" i="5" s="1"/>
  <c r="M422" i="7"/>
  <c r="M436" i="7" s="1"/>
  <c r="K9" i="5" s="1"/>
  <c r="K20" i="5" s="1"/>
  <c r="H422" i="7"/>
  <c r="H436" i="7" s="1"/>
  <c r="F9" i="5" s="1"/>
  <c r="F20" i="5" s="1"/>
  <c r="U422" i="7"/>
  <c r="U436" i="7" s="1"/>
  <c r="S9" i="5" s="1"/>
  <c r="S20" i="5" s="1"/>
  <c r="J422" i="7"/>
  <c r="J436" i="7" s="1"/>
  <c r="H9" i="5" s="1"/>
  <c r="H20" i="5" s="1"/>
  <c r="T422" i="7"/>
  <c r="T436" i="7" s="1"/>
  <c r="R9" i="5" s="1"/>
  <c r="R20" i="5" s="1"/>
  <c r="L422" i="7"/>
  <c r="L436" i="7" s="1"/>
  <c r="J9" i="5" s="1"/>
  <c r="J20" i="5" s="1"/>
  <c r="G422" i="7"/>
  <c r="G436" i="7" s="1"/>
  <c r="E9" i="5" s="1"/>
  <c r="E20" i="5" s="1"/>
  <c r="S422" i="7"/>
  <c r="S436" i="7" s="1"/>
  <c r="Q9" i="5" s="1"/>
  <c r="Q20" i="5" s="1"/>
  <c r="R422" i="7"/>
  <c r="R436" i="7" s="1"/>
  <c r="P9" i="5" s="1"/>
  <c r="P20" i="5" s="1"/>
  <c r="K422" i="7"/>
  <c r="K436" i="7" s="1"/>
  <c r="I9" i="5" s="1"/>
  <c r="I20" i="5" s="1"/>
  <c r="F422" i="7"/>
  <c r="F436" i="7" s="1"/>
  <c r="D9" i="5" s="1"/>
  <c r="D20" i="5" s="1"/>
  <c r="N422" i="7"/>
  <c r="N436" i="7" s="1"/>
  <c r="L9" i="5" s="1"/>
  <c r="L20" i="5" s="1"/>
  <c r="W422" i="7"/>
  <c r="P422" i="7"/>
  <c r="P436" i="7" s="1"/>
  <c r="N9" i="5" s="1"/>
  <c r="N20" i="5" s="1"/>
  <c r="I422" i="7"/>
  <c r="I436" i="7" s="1"/>
  <c r="G9" i="5" s="1"/>
  <c r="G20" i="5" s="1"/>
  <c r="Q422" i="7"/>
  <c r="Q436" i="7" s="1"/>
  <c r="O9" i="5" s="1"/>
  <c r="O20" i="5" s="1"/>
  <c r="J317" i="1"/>
  <c r="H5" i="5" s="1"/>
  <c r="V249" i="7"/>
  <c r="R249" i="7"/>
  <c r="N249" i="7"/>
  <c r="I249" i="7"/>
  <c r="L249" i="7"/>
  <c r="W249" i="7"/>
  <c r="J249" i="7"/>
  <c r="U249" i="7"/>
  <c r="Q249" i="7"/>
  <c r="H249" i="7"/>
  <c r="E249" i="7"/>
  <c r="S249" i="7"/>
  <c r="K249" i="7"/>
  <c r="G249" i="7"/>
  <c r="W423" i="7"/>
  <c r="W255" i="7"/>
  <c r="F152" i="1"/>
  <c r="J301" i="1"/>
  <c r="J303" i="1"/>
  <c r="J275" i="1"/>
  <c r="J302" i="1" s="1"/>
  <c r="N175" i="1"/>
  <c r="N273" i="1" s="1"/>
  <c r="N308" i="1" s="1"/>
  <c r="L29" i="5" s="1"/>
  <c r="L169" i="1"/>
  <c r="O152" i="1"/>
  <c r="CP48" i="1"/>
  <c r="CB49" i="1"/>
  <c r="CO49" i="1" s="1"/>
  <c r="M363" i="4"/>
  <c r="M327" i="4"/>
  <c r="M328" i="4"/>
  <c r="N104" i="4"/>
  <c r="P104" i="4"/>
  <c r="AS64" i="4"/>
  <c r="AN64" i="4"/>
  <c r="AP64" i="4"/>
  <c r="BN104" i="4"/>
  <c r="BP104" i="4"/>
  <c r="DN104" i="4"/>
  <c r="DP104" i="4"/>
  <c r="CN103" i="4"/>
  <c r="CP103" i="4"/>
  <c r="CS103" i="4"/>
  <c r="CT103" i="4" s="1"/>
  <c r="CG103" i="4"/>
  <c r="CF104" i="4" s="1"/>
  <c r="M334" i="4"/>
  <c r="M359" i="4" s="1"/>
  <c r="M336" i="4"/>
  <c r="M360" i="4" s="1"/>
  <c r="BT103" i="4"/>
  <c r="DG104" i="4"/>
  <c r="DF105" i="4" s="1"/>
  <c r="DF194" i="4" s="1"/>
  <c r="S300" i="4" s="1"/>
  <c r="DS104" i="4"/>
  <c r="DT104" i="4" s="1"/>
  <c r="BG104" i="4"/>
  <c r="BF105" i="4" s="1"/>
  <c r="BF194" i="4" s="1"/>
  <c r="S252" i="4" s="1"/>
  <c r="BS104" i="4"/>
  <c r="G104" i="4"/>
  <c r="F105" i="4" s="1"/>
  <c r="F194" i="4" s="1"/>
  <c r="S204" i="4" s="1"/>
  <c r="S104" i="4"/>
  <c r="T104" i="4" s="1"/>
  <c r="AG64" i="4"/>
  <c r="BL117" i="4"/>
  <c r="L118" i="4"/>
  <c r="AL119" i="4"/>
  <c r="AL196" i="4" s="1"/>
  <c r="U234" i="4" s="1"/>
  <c r="CL117" i="4"/>
  <c r="DL118" i="4"/>
  <c r="O176" i="1"/>
  <c r="L170" i="1"/>
  <c r="S61" i="1"/>
  <c r="CH89" i="1"/>
  <c r="K77" i="1"/>
  <c r="K277" i="1" l="1"/>
  <c r="K282" i="1"/>
  <c r="CH156" i="1"/>
  <c r="P247" i="1" s="1"/>
  <c r="CL89" i="1"/>
  <c r="W419" i="7"/>
  <c r="W436" i="7" s="1"/>
  <c r="U9" i="5" s="1"/>
  <c r="U20" i="5" s="1"/>
  <c r="W385" i="7"/>
  <c r="L179" i="1"/>
  <c r="R62" i="1"/>
  <c r="E153" i="1"/>
  <c r="M62" i="1"/>
  <c r="S152" i="1"/>
  <c r="CC49" i="1"/>
  <c r="CJ49" i="1"/>
  <c r="M358" i="4"/>
  <c r="M343" i="4"/>
  <c r="M353" i="4"/>
  <c r="M374" i="4" s="1"/>
  <c r="BT104" i="4"/>
  <c r="N105" i="4"/>
  <c r="P105" i="4"/>
  <c r="P194" i="4" s="1"/>
  <c r="S214" i="4" s="1"/>
  <c r="BN105" i="4"/>
  <c r="BP105" i="4"/>
  <c r="BP194" i="4" s="1"/>
  <c r="S262" i="4" s="1"/>
  <c r="CN104" i="4"/>
  <c r="CP104" i="4"/>
  <c r="CG104" i="4"/>
  <c r="CF105" i="4" s="1"/>
  <c r="CF194" i="4" s="1"/>
  <c r="S277" i="4" s="1"/>
  <c r="CS104" i="4"/>
  <c r="CT104" i="4" s="1"/>
  <c r="DN105" i="4"/>
  <c r="DP105" i="4"/>
  <c r="DP194" i="4" s="1"/>
  <c r="S310" i="4" s="1"/>
  <c r="DS105" i="4"/>
  <c r="BS105" i="4"/>
  <c r="S105" i="4"/>
  <c r="AF65" i="4"/>
  <c r="AT64" i="4"/>
  <c r="BL118" i="4"/>
  <c r="AL120" i="4"/>
  <c r="BG105" i="4"/>
  <c r="BG194" i="4" s="1"/>
  <c r="S253" i="4" s="1"/>
  <c r="G105" i="4"/>
  <c r="G194" i="4" s="1"/>
  <c r="S205" i="4" s="1"/>
  <c r="CL118" i="4"/>
  <c r="L119" i="4"/>
  <c r="L196" i="4" s="1"/>
  <c r="U210" i="4" s="1"/>
  <c r="DL119" i="4"/>
  <c r="DL196" i="4" s="1"/>
  <c r="U306" i="4" s="1"/>
  <c r="DG105" i="4"/>
  <c r="DG194" i="4" s="1"/>
  <c r="S301" i="4" s="1"/>
  <c r="O292" i="1"/>
  <c r="M180" i="1"/>
  <c r="M278" i="1" s="1"/>
  <c r="M184" i="1"/>
  <c r="M171" i="1"/>
  <c r="CH90" i="1"/>
  <c r="CL90" i="1" s="1"/>
  <c r="K78" i="1"/>
  <c r="M202" i="1" l="1"/>
  <c r="M227" i="1"/>
  <c r="L183" i="1"/>
  <c r="M63" i="1"/>
  <c r="R63" i="1"/>
  <c r="M269" i="1"/>
  <c r="M174" i="1"/>
  <c r="M272" i="1" s="1"/>
  <c r="CB50" i="1"/>
  <c r="CO50" i="1" s="1"/>
  <c r="CP49" i="1"/>
  <c r="CN105" i="4"/>
  <c r="CP105" i="4"/>
  <c r="CP194" i="4" s="1"/>
  <c r="S287" i="4" s="1"/>
  <c r="CS105" i="4"/>
  <c r="CT105" i="4" s="1"/>
  <c r="CT194" i="4" s="1"/>
  <c r="S291" i="4" s="1"/>
  <c r="CG105" i="4"/>
  <c r="CG194" i="4" s="1"/>
  <c r="S278" i="4" s="1"/>
  <c r="AS65" i="4"/>
  <c r="AN65" i="4"/>
  <c r="AP65" i="4"/>
  <c r="AG65" i="4"/>
  <c r="L120" i="4"/>
  <c r="F106" i="4"/>
  <c r="T105" i="4"/>
  <c r="T194" i="4" s="1"/>
  <c r="S218" i="4" s="1"/>
  <c r="BF106" i="4"/>
  <c r="BT105" i="4"/>
  <c r="BT194" i="4" s="1"/>
  <c r="S266" i="4" s="1"/>
  <c r="DF106" i="4"/>
  <c r="DT105" i="4"/>
  <c r="DT194" i="4" s="1"/>
  <c r="S314" i="4" s="1"/>
  <c r="AL121" i="4"/>
  <c r="BL119" i="4"/>
  <c r="BL196" i="4" s="1"/>
  <c r="U258" i="4" s="1"/>
  <c r="DL120" i="4"/>
  <c r="CL119" i="4"/>
  <c r="CL196" i="4" s="1"/>
  <c r="U283" i="4" s="1"/>
  <c r="M296" i="1"/>
  <c r="S62" i="1"/>
  <c r="CH91" i="1"/>
  <c r="CL91" i="1" s="1"/>
  <c r="K79" i="1"/>
  <c r="M64" i="1" l="1"/>
  <c r="R64" i="1"/>
  <c r="CC50" i="1"/>
  <c r="CJ50" i="1"/>
  <c r="DN106" i="4"/>
  <c r="DP106" i="4"/>
  <c r="BN106" i="4"/>
  <c r="BP106" i="4"/>
  <c r="N106" i="4"/>
  <c r="P106" i="4"/>
  <c r="CF106" i="4"/>
  <c r="DG106" i="4"/>
  <c r="DF107" i="4" s="1"/>
  <c r="DS106" i="4"/>
  <c r="DT106" i="4" s="1"/>
  <c r="BG106" i="4"/>
  <c r="BF107" i="4" s="1"/>
  <c r="BS106" i="4"/>
  <c r="BT106" i="4" s="1"/>
  <c r="G106" i="4"/>
  <c r="F107" i="4" s="1"/>
  <c r="S106" i="4"/>
  <c r="T106" i="4" s="1"/>
  <c r="AT65" i="4"/>
  <c r="AF66" i="4"/>
  <c r="AL122" i="4"/>
  <c r="DL121" i="4"/>
  <c r="BL120" i="4"/>
  <c r="L121" i="4"/>
  <c r="CL120" i="4"/>
  <c r="S63" i="1"/>
  <c r="CH92" i="1"/>
  <c r="CL92" i="1" s="1"/>
  <c r="K80" i="1"/>
  <c r="M65" i="1" l="1"/>
  <c r="R65" i="1"/>
  <c r="CP50" i="1"/>
  <c r="CB51" i="1"/>
  <c r="CO51" i="1" s="1"/>
  <c r="U350" i="4"/>
  <c r="U332" i="4"/>
  <c r="BN107" i="4"/>
  <c r="BP107" i="4"/>
  <c r="N107" i="4"/>
  <c r="P107" i="4"/>
  <c r="DN107" i="4"/>
  <c r="DP107" i="4"/>
  <c r="AS66" i="4"/>
  <c r="AN66" i="4"/>
  <c r="AP66" i="4"/>
  <c r="CN106" i="4"/>
  <c r="CP106" i="4"/>
  <c r="CS106" i="4"/>
  <c r="CT106" i="4" s="1"/>
  <c r="CG106" i="4"/>
  <c r="CF107" i="4" s="1"/>
  <c r="DG107" i="4"/>
  <c r="DS107" i="4"/>
  <c r="BG107" i="4"/>
  <c r="BF108" i="4" s="1"/>
  <c r="BS107" i="4"/>
  <c r="BT107" i="4" s="1"/>
  <c r="G107" i="4"/>
  <c r="F108" i="4" s="1"/>
  <c r="S107" i="4"/>
  <c r="T107" i="4" s="1"/>
  <c r="AG66" i="4"/>
  <c r="DT107" i="4"/>
  <c r="DF108" i="4"/>
  <c r="DL122" i="4"/>
  <c r="AL123" i="4"/>
  <c r="CL121" i="4"/>
  <c r="L122" i="4"/>
  <c r="BL121" i="4"/>
  <c r="S64" i="1"/>
  <c r="CH93" i="1"/>
  <c r="CL93" i="1" s="1"/>
  <c r="K81" i="1"/>
  <c r="M66" i="1" l="1"/>
  <c r="R66" i="1"/>
  <c r="CC51" i="1"/>
  <c r="CJ51" i="1"/>
  <c r="DN108" i="4"/>
  <c r="DP108" i="4"/>
  <c r="N108" i="4"/>
  <c r="P108" i="4"/>
  <c r="BN108" i="4"/>
  <c r="BP108" i="4"/>
  <c r="CN107" i="4"/>
  <c r="CP107" i="4"/>
  <c r="CS107" i="4"/>
  <c r="CT107" i="4" s="1"/>
  <c r="CG107" i="4"/>
  <c r="CF108" i="4" s="1"/>
  <c r="DG108" i="4"/>
  <c r="DF109" i="4" s="1"/>
  <c r="DS108" i="4"/>
  <c r="DT108" i="4" s="1"/>
  <c r="BG108" i="4"/>
  <c r="BF109" i="4" s="1"/>
  <c r="BS108" i="4"/>
  <c r="BT108" i="4" s="1"/>
  <c r="G108" i="4"/>
  <c r="F109" i="4" s="1"/>
  <c r="S108" i="4"/>
  <c r="T108" i="4" s="1"/>
  <c r="AT66" i="4"/>
  <c r="AF67" i="4"/>
  <c r="L123" i="4"/>
  <c r="AL124" i="4"/>
  <c r="BL122" i="4"/>
  <c r="CL122" i="4"/>
  <c r="DL123" i="4"/>
  <c r="S65" i="1"/>
  <c r="CH94" i="1"/>
  <c r="CL94" i="1" s="1"/>
  <c r="K82" i="1"/>
  <c r="K155" i="1" l="1"/>
  <c r="M67" i="1"/>
  <c r="R67" i="1"/>
  <c r="CP51" i="1"/>
  <c r="CB52" i="1"/>
  <c r="CO52" i="1" s="1"/>
  <c r="AS67" i="4"/>
  <c r="AN67" i="4"/>
  <c r="AP67" i="4"/>
  <c r="N109" i="4"/>
  <c r="P109" i="4"/>
  <c r="BN109" i="4"/>
  <c r="BP109" i="4"/>
  <c r="DN109" i="4"/>
  <c r="DP109" i="4"/>
  <c r="CN108" i="4"/>
  <c r="CP108" i="4"/>
  <c r="CG108" i="4"/>
  <c r="CF109" i="4" s="1"/>
  <c r="CS108" i="4"/>
  <c r="CT108" i="4" s="1"/>
  <c r="DG109" i="4"/>
  <c r="DF110" i="4" s="1"/>
  <c r="DS109" i="4"/>
  <c r="BG109" i="4"/>
  <c r="BF110" i="4" s="1"/>
  <c r="BS109" i="4"/>
  <c r="BT109" i="4" s="1"/>
  <c r="G109" i="4"/>
  <c r="F110" i="4" s="1"/>
  <c r="S109" i="4"/>
  <c r="T109" i="4" s="1"/>
  <c r="AG67" i="4"/>
  <c r="CL123" i="4"/>
  <c r="AL125" i="4"/>
  <c r="DT109" i="4"/>
  <c r="DL124" i="4"/>
  <c r="BL123" i="4"/>
  <c r="L124" i="4"/>
  <c r="S66" i="1"/>
  <c r="CH95" i="1"/>
  <c r="CL95" i="1" s="1"/>
  <c r="K83" i="1"/>
  <c r="M68" i="1" l="1"/>
  <c r="R68" i="1"/>
  <c r="P231" i="1"/>
  <c r="O175" i="1"/>
  <c r="O273" i="1" s="1"/>
  <c r="O308" i="1" s="1"/>
  <c r="M29" i="5" s="1"/>
  <c r="P16" i="2" s="1"/>
  <c r="CC52" i="1"/>
  <c r="CJ52" i="1"/>
  <c r="N110" i="4"/>
  <c r="P110" i="4"/>
  <c r="CN109" i="4"/>
  <c r="CP109" i="4"/>
  <c r="CG109" i="4"/>
  <c r="CF110" i="4" s="1"/>
  <c r="CS109" i="4"/>
  <c r="CT109" i="4" s="1"/>
  <c r="BN110" i="4"/>
  <c r="BP110" i="4"/>
  <c r="DN110" i="4"/>
  <c r="DP110" i="4"/>
  <c r="DG110" i="4"/>
  <c r="DF111" i="4" s="1"/>
  <c r="DS110" i="4"/>
  <c r="BG110" i="4"/>
  <c r="BF111" i="4" s="1"/>
  <c r="BS110" i="4"/>
  <c r="BT110" i="4" s="1"/>
  <c r="G110" i="4"/>
  <c r="F111" i="4" s="1"/>
  <c r="S110" i="4"/>
  <c r="T110" i="4" s="1"/>
  <c r="AT67" i="4"/>
  <c r="AF68" i="4"/>
  <c r="L125" i="4"/>
  <c r="DT110" i="4"/>
  <c r="AL126" i="4"/>
  <c r="AL197" i="4" s="1"/>
  <c r="V234" i="4" s="1"/>
  <c r="DL125" i="4"/>
  <c r="BL124" i="4"/>
  <c r="CL124" i="4"/>
  <c r="P176" i="1"/>
  <c r="S67" i="1"/>
  <c r="CH96" i="1"/>
  <c r="K84" i="1"/>
  <c r="CH157" i="1" l="1"/>
  <c r="Q247" i="1" s="1"/>
  <c r="CL96" i="1"/>
  <c r="F153" i="1"/>
  <c r="M170" i="1" s="1"/>
  <c r="O153" i="1"/>
  <c r="M169" i="1"/>
  <c r="CP52" i="1"/>
  <c r="CB53" i="1"/>
  <c r="DN111" i="4"/>
  <c r="DP111" i="4"/>
  <c r="N111" i="4"/>
  <c r="P111" i="4"/>
  <c r="BN111" i="4"/>
  <c r="BP111" i="4"/>
  <c r="AS68" i="4"/>
  <c r="AN68" i="4"/>
  <c r="AP68" i="4"/>
  <c r="CN110" i="4"/>
  <c r="CP110" i="4"/>
  <c r="CG110" i="4"/>
  <c r="CF111" i="4" s="1"/>
  <c r="CS110" i="4"/>
  <c r="CT110" i="4" s="1"/>
  <c r="DG111" i="4"/>
  <c r="DF112" i="4" s="1"/>
  <c r="DF195" i="4" s="1"/>
  <c r="T300" i="4" s="1"/>
  <c r="DS111" i="4"/>
  <c r="DT111" i="4" s="1"/>
  <c r="BG111" i="4"/>
  <c r="BF112" i="4" s="1"/>
  <c r="BF195" i="4" s="1"/>
  <c r="T252" i="4" s="1"/>
  <c r="BS111" i="4"/>
  <c r="BT111" i="4" s="1"/>
  <c r="G111" i="4"/>
  <c r="F112" i="4" s="1"/>
  <c r="F195" i="4" s="1"/>
  <c r="T204" i="4" s="1"/>
  <c r="S111" i="4"/>
  <c r="T111" i="4" s="1"/>
  <c r="AG68" i="4"/>
  <c r="AL127" i="4"/>
  <c r="CL125" i="4"/>
  <c r="BL125" i="4"/>
  <c r="DL126" i="4"/>
  <c r="DL197" i="4" s="1"/>
  <c r="V306" i="4" s="1"/>
  <c r="L126" i="4"/>
  <c r="L197" i="4" s="1"/>
  <c r="V210" i="4" s="1"/>
  <c r="P292" i="1"/>
  <c r="CH97" i="1"/>
  <c r="CL97" i="1" s="1"/>
  <c r="K85" i="1"/>
  <c r="CC53" i="1" l="1"/>
  <c r="CO53" i="1"/>
  <c r="M179" i="1"/>
  <c r="R69" i="1"/>
  <c r="E154" i="1"/>
  <c r="M69" i="1"/>
  <c r="CJ53" i="1"/>
  <c r="N112" i="4"/>
  <c r="P112" i="4"/>
  <c r="P195" i="4" s="1"/>
  <c r="T214" i="4" s="1"/>
  <c r="BN112" i="4"/>
  <c r="BP112" i="4"/>
  <c r="BP195" i="4" s="1"/>
  <c r="T262" i="4" s="1"/>
  <c r="DN112" i="4"/>
  <c r="DP112" i="4"/>
  <c r="DP195" i="4" s="1"/>
  <c r="T310" i="4" s="1"/>
  <c r="CN111" i="4"/>
  <c r="CP111" i="4"/>
  <c r="CS111" i="4"/>
  <c r="CT111" i="4" s="1"/>
  <c r="CG111" i="4"/>
  <c r="CF112" i="4" s="1"/>
  <c r="CF195" i="4" s="1"/>
  <c r="T277" i="4" s="1"/>
  <c r="DS112" i="4"/>
  <c r="BS112" i="4"/>
  <c r="S112" i="4"/>
  <c r="AT68" i="4"/>
  <c r="AF69" i="4"/>
  <c r="DL127" i="4"/>
  <c r="G112" i="4"/>
  <c r="G195" i="4" s="1"/>
  <c r="T205" i="4" s="1"/>
  <c r="AL128" i="4"/>
  <c r="CL126" i="4"/>
  <c r="CL197" i="4" s="1"/>
  <c r="V283" i="4" s="1"/>
  <c r="BL126" i="4"/>
  <c r="BL197" i="4" s="1"/>
  <c r="V258" i="4" s="1"/>
  <c r="L127" i="4"/>
  <c r="DG112" i="4"/>
  <c r="DG195" i="4" s="1"/>
  <c r="T301" i="4" s="1"/>
  <c r="BG112" i="4"/>
  <c r="BG195" i="4" s="1"/>
  <c r="T253" i="4" s="1"/>
  <c r="N180" i="1"/>
  <c r="N278" i="1" s="1"/>
  <c r="N171" i="1"/>
  <c r="S68" i="1"/>
  <c r="CH98" i="1"/>
  <c r="CL98" i="1" s="1"/>
  <c r="K86" i="1"/>
  <c r="N202" i="1" l="1"/>
  <c r="N227" i="1"/>
  <c r="M70" i="1"/>
  <c r="R70" i="1"/>
  <c r="N269" i="1"/>
  <c r="N174" i="1"/>
  <c r="N272" i="1" s="1"/>
  <c r="S153" i="1"/>
  <c r="CP53" i="1"/>
  <c r="CB54" i="1"/>
  <c r="CO54" i="1" s="1"/>
  <c r="AS69" i="4"/>
  <c r="AN69" i="4"/>
  <c r="AP69" i="4"/>
  <c r="CN112" i="4"/>
  <c r="CP112" i="4"/>
  <c r="CP195" i="4" s="1"/>
  <c r="T287" i="4" s="1"/>
  <c r="CS112" i="4"/>
  <c r="CT112" i="4" s="1"/>
  <c r="CT195" i="4" s="1"/>
  <c r="T291" i="4" s="1"/>
  <c r="CG112" i="4"/>
  <c r="CG195" i="4" s="1"/>
  <c r="T278" i="4" s="1"/>
  <c r="AG69" i="4"/>
  <c r="CL127" i="4"/>
  <c r="T112" i="4"/>
  <c r="T195" i="4" s="1"/>
  <c r="T218" i="4" s="1"/>
  <c r="F113" i="4"/>
  <c r="DT112" i="4"/>
  <c r="DT195" i="4" s="1"/>
  <c r="T314" i="4" s="1"/>
  <c r="DF113" i="4"/>
  <c r="L128" i="4"/>
  <c r="BL127" i="4"/>
  <c r="AL129" i="4"/>
  <c r="DL128" i="4"/>
  <c r="BF113" i="4"/>
  <c r="BT112" i="4"/>
  <c r="BT195" i="4" s="1"/>
  <c r="T266" i="4" s="1"/>
  <c r="N184" i="1"/>
  <c r="S69" i="1"/>
  <c r="CH99" i="1"/>
  <c r="CL99" i="1" s="1"/>
  <c r="K87" i="1"/>
  <c r="M183" i="1" l="1"/>
  <c r="M71" i="1"/>
  <c r="R71" i="1"/>
  <c r="K251" i="1"/>
  <c r="CJ54" i="1"/>
  <c r="CC54" i="1"/>
  <c r="CC151" i="1" s="1"/>
  <c r="K242" i="1" s="1"/>
  <c r="K268" i="1" s="1"/>
  <c r="V332" i="4"/>
  <c r="V350" i="4"/>
  <c r="DN113" i="4"/>
  <c r="DP113" i="4"/>
  <c r="N113" i="4"/>
  <c r="P113" i="4"/>
  <c r="BN113" i="4"/>
  <c r="BP113" i="4"/>
  <c r="CF113" i="4"/>
  <c r="DG113" i="4"/>
  <c r="DF114" i="4" s="1"/>
  <c r="DS113" i="4"/>
  <c r="DT113" i="4" s="1"/>
  <c r="BG113" i="4"/>
  <c r="BF114" i="4" s="1"/>
  <c r="BS113" i="4"/>
  <c r="G113" i="4"/>
  <c r="F114" i="4" s="1"/>
  <c r="S113" i="4"/>
  <c r="T113" i="4" s="1"/>
  <c r="AF70" i="4"/>
  <c r="AF189" i="4" s="1"/>
  <c r="N228" i="4" s="1"/>
  <c r="AT69" i="4"/>
  <c r="DL129" i="4"/>
  <c r="AL130" i="4"/>
  <c r="BL128" i="4"/>
  <c r="L129" i="4"/>
  <c r="CL128" i="4"/>
  <c r="N296" i="1"/>
  <c r="S70" i="1"/>
  <c r="CH100" i="1"/>
  <c r="CL100" i="1" s="1"/>
  <c r="K88" i="1"/>
  <c r="M72" i="1" l="1"/>
  <c r="R72" i="1"/>
  <c r="CP54" i="1"/>
  <c r="CP151" i="1" s="1"/>
  <c r="K255" i="1" s="1"/>
  <c r="CB55" i="1"/>
  <c r="DN114" i="4"/>
  <c r="DP114" i="4"/>
  <c r="N114" i="4"/>
  <c r="P114" i="4"/>
  <c r="AS70" i="4"/>
  <c r="AN70" i="4"/>
  <c r="AP70" i="4"/>
  <c r="AP189" i="4" s="1"/>
  <c r="N238" i="4" s="1"/>
  <c r="BN114" i="4"/>
  <c r="BP114" i="4"/>
  <c r="CN113" i="4"/>
  <c r="CP113" i="4"/>
  <c r="CG113" i="4"/>
  <c r="CF114" i="4" s="1"/>
  <c r="CS113" i="4"/>
  <c r="CT113" i="4" s="1"/>
  <c r="DG114" i="4"/>
  <c r="DF115" i="4" s="1"/>
  <c r="DS114" i="4"/>
  <c r="DT114" i="4" s="1"/>
  <c r="BG114" i="4"/>
  <c r="BF115" i="4" s="1"/>
  <c r="BS114" i="4"/>
  <c r="G114" i="4"/>
  <c r="F115" i="4" s="1"/>
  <c r="S114" i="4"/>
  <c r="T114" i="4" s="1"/>
  <c r="AG70" i="4"/>
  <c r="AG189" i="4" s="1"/>
  <c r="N229" i="4" s="1"/>
  <c r="AL131" i="4"/>
  <c r="L130" i="4"/>
  <c r="DL130" i="4"/>
  <c r="CL129" i="4"/>
  <c r="BL129" i="4"/>
  <c r="BT113" i="4"/>
  <c r="S71" i="1"/>
  <c r="CH101" i="1"/>
  <c r="CL101" i="1" s="1"/>
  <c r="K89" i="1"/>
  <c r="CB152" i="1" l="1"/>
  <c r="CO55" i="1"/>
  <c r="K156" i="1"/>
  <c r="M73" i="1"/>
  <c r="R73" i="1"/>
  <c r="K291" i="1"/>
  <c r="CC55" i="1"/>
  <c r="CJ55" i="1"/>
  <c r="N337" i="4"/>
  <c r="N115" i="4"/>
  <c r="P115" i="4"/>
  <c r="DN115" i="4"/>
  <c r="DP115" i="4"/>
  <c r="BN115" i="4"/>
  <c r="BP115" i="4"/>
  <c r="CN114" i="4"/>
  <c r="CP114" i="4"/>
  <c r="CG114" i="4"/>
  <c r="CF115" i="4" s="1"/>
  <c r="CS114" i="4"/>
  <c r="CT114" i="4" s="1"/>
  <c r="N349" i="4"/>
  <c r="N326" i="4"/>
  <c r="DG115" i="4"/>
  <c r="DF116" i="4" s="1"/>
  <c r="DS115" i="4"/>
  <c r="DT115" i="4" s="1"/>
  <c r="BG115" i="4"/>
  <c r="BF116" i="4" s="1"/>
  <c r="BS115" i="4"/>
  <c r="G115" i="4"/>
  <c r="F116" i="4" s="1"/>
  <c r="S115" i="4"/>
  <c r="T115" i="4" s="1"/>
  <c r="AT70" i="4"/>
  <c r="AT189" i="4" s="1"/>
  <c r="N242" i="4" s="1"/>
  <c r="AF71" i="4"/>
  <c r="CL130" i="4"/>
  <c r="BT114" i="4"/>
  <c r="BL130" i="4"/>
  <c r="DL131" i="4"/>
  <c r="L131" i="4"/>
  <c r="AL132" i="4"/>
  <c r="S72" i="1"/>
  <c r="CH102" i="1"/>
  <c r="CL102" i="1" s="1"/>
  <c r="K90" i="1"/>
  <c r="L241" i="1" l="1"/>
  <c r="L267" i="1" s="1"/>
  <c r="L282" i="1" s="1"/>
  <c r="K317" i="1"/>
  <c r="I5" i="5" s="1"/>
  <c r="M74" i="1"/>
  <c r="R74" i="1"/>
  <c r="K301" i="1"/>
  <c r="K303" i="1"/>
  <c r="K275" i="1"/>
  <c r="K302" i="1" s="1"/>
  <c r="K305" i="1"/>
  <c r="P175" i="1"/>
  <c r="P273" i="1" s="1"/>
  <c r="P308" i="1" s="1"/>
  <c r="N29" i="5" s="1"/>
  <c r="CP55" i="1"/>
  <c r="CB56" i="1"/>
  <c r="CO56" i="1" s="1"/>
  <c r="N363" i="4"/>
  <c r="N327" i="4"/>
  <c r="N328" i="4"/>
  <c r="N116" i="4"/>
  <c r="P116" i="4"/>
  <c r="BN116" i="4"/>
  <c r="BP116" i="4"/>
  <c r="DN116" i="4"/>
  <c r="DP116" i="4"/>
  <c r="CN115" i="4"/>
  <c r="CP115" i="4"/>
  <c r="CG115" i="4"/>
  <c r="CF116" i="4" s="1"/>
  <c r="CS115" i="4"/>
  <c r="CT115" i="4" s="1"/>
  <c r="AS71" i="4"/>
  <c r="AN71" i="4"/>
  <c r="AP71" i="4"/>
  <c r="N334" i="4"/>
  <c r="N359" i="4" s="1"/>
  <c r="N336" i="4"/>
  <c r="N360" i="4" s="1"/>
  <c r="DG116" i="4"/>
  <c r="DF117" i="4" s="1"/>
  <c r="DS116" i="4"/>
  <c r="DT116" i="4" s="1"/>
  <c r="BG116" i="4"/>
  <c r="BF117" i="4" s="1"/>
  <c r="BS116" i="4"/>
  <c r="BT115" i="4"/>
  <c r="G116" i="4"/>
  <c r="F117" i="4" s="1"/>
  <c r="S116" i="4"/>
  <c r="T116" i="4" s="1"/>
  <c r="AG71" i="4"/>
  <c r="L132" i="4"/>
  <c r="BL131" i="4"/>
  <c r="CL131" i="4"/>
  <c r="AL133" i="4"/>
  <c r="AL198" i="4" s="1"/>
  <c r="W234" i="4" s="1"/>
  <c r="DL132" i="4"/>
  <c r="Q176" i="1"/>
  <c r="S73" i="1"/>
  <c r="CH103" i="1"/>
  <c r="CL103" i="1" s="1"/>
  <c r="K91" i="1"/>
  <c r="CH104" i="1" l="1"/>
  <c r="CL104" i="1" s="1"/>
  <c r="CH158" i="1"/>
  <c r="R247" i="1" s="1"/>
  <c r="M75" i="1"/>
  <c r="R75" i="1"/>
  <c r="CC56" i="1"/>
  <c r="CJ56" i="1"/>
  <c r="N358" i="4"/>
  <c r="N353" i="4"/>
  <c r="N374" i="4" s="1"/>
  <c r="N343" i="4"/>
  <c r="N117" i="4"/>
  <c r="P117" i="4"/>
  <c r="BN117" i="4"/>
  <c r="BP117" i="4"/>
  <c r="DN117" i="4"/>
  <c r="DP117" i="4"/>
  <c r="CN116" i="4"/>
  <c r="CP116" i="4"/>
  <c r="CS116" i="4"/>
  <c r="CT116" i="4" s="1"/>
  <c r="CG116" i="4"/>
  <c r="CF117" i="4" s="1"/>
  <c r="BT116" i="4"/>
  <c r="DG117" i="4"/>
  <c r="DF118" i="4" s="1"/>
  <c r="DS117" i="4"/>
  <c r="DT117" i="4" s="1"/>
  <c r="BG117" i="4"/>
  <c r="BF118" i="4" s="1"/>
  <c r="BS117" i="4"/>
  <c r="G117" i="4"/>
  <c r="F118" i="4" s="1"/>
  <c r="S117" i="4"/>
  <c r="T117" i="4" s="1"/>
  <c r="AF72" i="4"/>
  <c r="AT71" i="4"/>
  <c r="CL132" i="4"/>
  <c r="L133" i="4"/>
  <c r="L198" i="4" s="1"/>
  <c r="W210" i="4" s="1"/>
  <c r="BL132" i="4"/>
  <c r="DL133" i="4"/>
  <c r="DL198" i="4" s="1"/>
  <c r="W306" i="4" s="1"/>
  <c r="Q292" i="1"/>
  <c r="S74" i="1"/>
  <c r="K92" i="1"/>
  <c r="F154" i="1" l="1"/>
  <c r="Q231" i="1"/>
  <c r="O154" i="1"/>
  <c r="N169" i="1"/>
  <c r="CB57" i="1"/>
  <c r="CO57" i="1" s="1"/>
  <c r="CP56" i="1"/>
  <c r="AS72" i="4"/>
  <c r="AN72" i="4"/>
  <c r="AP72" i="4"/>
  <c r="N118" i="4"/>
  <c r="P118" i="4"/>
  <c r="BN118" i="4"/>
  <c r="BP118" i="4"/>
  <c r="DN118" i="4"/>
  <c r="DP118" i="4"/>
  <c r="CN117" i="4"/>
  <c r="CP117" i="4"/>
  <c r="CG117" i="4"/>
  <c r="CF118" i="4" s="1"/>
  <c r="CS117" i="4"/>
  <c r="CT117" i="4" s="1"/>
  <c r="BT117" i="4"/>
  <c r="DG118" i="4"/>
  <c r="DF119" i="4" s="1"/>
  <c r="DF196" i="4" s="1"/>
  <c r="U300" i="4" s="1"/>
  <c r="DS118" i="4"/>
  <c r="BG118" i="4"/>
  <c r="BF119" i="4" s="1"/>
  <c r="BF196" i="4" s="1"/>
  <c r="U252" i="4" s="1"/>
  <c r="BS118" i="4"/>
  <c r="G118" i="4"/>
  <c r="F119" i="4" s="1"/>
  <c r="F196" i="4" s="1"/>
  <c r="U204" i="4" s="1"/>
  <c r="S118" i="4"/>
  <c r="T118" i="4" s="1"/>
  <c r="AG72" i="4"/>
  <c r="BL133" i="4"/>
  <c r="BL198" i="4" s="1"/>
  <c r="W258" i="4" s="1"/>
  <c r="CL133" i="4"/>
  <c r="CL198" i="4" s="1"/>
  <c r="W283" i="4" s="1"/>
  <c r="DT118" i="4"/>
  <c r="S75" i="1"/>
  <c r="CH105" i="1"/>
  <c r="CL105" i="1" s="1"/>
  <c r="K93" i="1"/>
  <c r="N179" i="1" l="1"/>
  <c r="N170" i="1"/>
  <c r="R76" i="1"/>
  <c r="E155" i="1"/>
  <c r="M76" i="1"/>
  <c r="S154" i="1"/>
  <c r="CC57" i="1"/>
  <c r="CJ57" i="1"/>
  <c r="DN119" i="4"/>
  <c r="DP119" i="4"/>
  <c r="DP196" i="4" s="1"/>
  <c r="U310" i="4" s="1"/>
  <c r="CN118" i="4"/>
  <c r="CP118" i="4"/>
  <c r="CS118" i="4"/>
  <c r="CT118" i="4" s="1"/>
  <c r="CG118" i="4"/>
  <c r="CF119" i="4" s="1"/>
  <c r="CF196" i="4" s="1"/>
  <c r="U277" i="4" s="1"/>
  <c r="N119" i="4"/>
  <c r="P119" i="4"/>
  <c r="P196" i="4" s="1"/>
  <c r="U214" i="4" s="1"/>
  <c r="BN119" i="4"/>
  <c r="BP119" i="4"/>
  <c r="BP196" i="4" s="1"/>
  <c r="U262" i="4" s="1"/>
  <c r="BT118" i="4"/>
  <c r="DS119" i="4"/>
  <c r="BS119" i="4"/>
  <c r="S119" i="4"/>
  <c r="AF73" i="4"/>
  <c r="AT72" i="4"/>
  <c r="G119" i="4"/>
  <c r="G196" i="4" s="1"/>
  <c r="U205" i="4" s="1"/>
  <c r="DG119" i="4"/>
  <c r="DG196" i="4" s="1"/>
  <c r="U301" i="4" s="1"/>
  <c r="BG119" i="4"/>
  <c r="BG196" i="4" s="1"/>
  <c r="U253" i="4" s="1"/>
  <c r="O184" i="1"/>
  <c r="O171" i="1"/>
  <c r="O180" i="1"/>
  <c r="O278" i="1" s="1"/>
  <c r="CH106" i="1"/>
  <c r="CL106" i="1" s="1"/>
  <c r="K94" i="1"/>
  <c r="O202" i="1" l="1"/>
  <c r="O227" i="1"/>
  <c r="N183" i="1"/>
  <c r="M77" i="1"/>
  <c r="R77" i="1"/>
  <c r="O269" i="1"/>
  <c r="O174" i="1"/>
  <c r="O272" i="1" s="1"/>
  <c r="CB58" i="1"/>
  <c r="CO58" i="1" s="1"/>
  <c r="CP57" i="1"/>
  <c r="W332" i="4"/>
  <c r="W350" i="4"/>
  <c r="AS73" i="4"/>
  <c r="AN73" i="4"/>
  <c r="AP73" i="4"/>
  <c r="CN119" i="4"/>
  <c r="CP119" i="4"/>
  <c r="CP196" i="4" s="1"/>
  <c r="U287" i="4" s="1"/>
  <c r="CS119" i="4"/>
  <c r="CT119" i="4" s="1"/>
  <c r="CT196" i="4" s="1"/>
  <c r="U291" i="4" s="1"/>
  <c r="CG119" i="4"/>
  <c r="CG196" i="4" s="1"/>
  <c r="U278" i="4" s="1"/>
  <c r="AG73" i="4"/>
  <c r="BF120" i="4"/>
  <c r="BT119" i="4"/>
  <c r="BT196" i="4" s="1"/>
  <c r="U266" i="4" s="1"/>
  <c r="DT119" i="4"/>
  <c r="DT196" i="4" s="1"/>
  <c r="U314" i="4" s="1"/>
  <c r="DF120" i="4"/>
  <c r="T119" i="4"/>
  <c r="T196" i="4" s="1"/>
  <c r="U218" i="4" s="1"/>
  <c r="F120" i="4"/>
  <c r="O296" i="1"/>
  <c r="S76" i="1"/>
  <c r="CH107" i="1"/>
  <c r="CL107" i="1" s="1"/>
  <c r="K95" i="1"/>
  <c r="M78" i="1" l="1"/>
  <c r="R78" i="1"/>
  <c r="CC58" i="1"/>
  <c r="CJ58" i="1"/>
  <c r="N120" i="4"/>
  <c r="P120" i="4"/>
  <c r="DN120" i="4"/>
  <c r="DP120" i="4"/>
  <c r="BN120" i="4"/>
  <c r="BP120" i="4"/>
  <c r="CF120" i="4"/>
  <c r="DG120" i="4"/>
  <c r="DF121" i="4" s="1"/>
  <c r="DS120" i="4"/>
  <c r="DT120" i="4" s="1"/>
  <c r="BG120" i="4"/>
  <c r="BF121" i="4" s="1"/>
  <c r="BS120" i="4"/>
  <c r="BT120" i="4" s="1"/>
  <c r="G120" i="4"/>
  <c r="F121" i="4" s="1"/>
  <c r="S120" i="4"/>
  <c r="T120" i="4" s="1"/>
  <c r="AF74" i="4"/>
  <c r="AT73" i="4"/>
  <c r="S77" i="1"/>
  <c r="CH108" i="1"/>
  <c r="CL108" i="1" s="1"/>
  <c r="K96" i="1"/>
  <c r="K157" i="1" l="1"/>
  <c r="M79" i="1"/>
  <c r="R79" i="1"/>
  <c r="CP58" i="1"/>
  <c r="CB59" i="1"/>
  <c r="CO59" i="1" s="1"/>
  <c r="DN121" i="4"/>
  <c r="DP121" i="4"/>
  <c r="N121" i="4"/>
  <c r="P121" i="4"/>
  <c r="CN120" i="4"/>
  <c r="CP120" i="4"/>
  <c r="CG120" i="4"/>
  <c r="CF121" i="4" s="1"/>
  <c r="CS120" i="4"/>
  <c r="CT120" i="4" s="1"/>
  <c r="AS74" i="4"/>
  <c r="AN74" i="4"/>
  <c r="AP74" i="4"/>
  <c r="BN121" i="4"/>
  <c r="BP121" i="4"/>
  <c r="DG121" i="4"/>
  <c r="DF122" i="4" s="1"/>
  <c r="DS121" i="4"/>
  <c r="DT121" i="4" s="1"/>
  <c r="BG121" i="4"/>
  <c r="BF122" i="4" s="1"/>
  <c r="BS121" i="4"/>
  <c r="BT121" i="4" s="1"/>
  <c r="G121" i="4"/>
  <c r="F122" i="4" s="1"/>
  <c r="S121" i="4"/>
  <c r="T121" i="4" s="1"/>
  <c r="AG74" i="4"/>
  <c r="S78" i="1"/>
  <c r="CH109" i="1"/>
  <c r="CL109" i="1" s="1"/>
  <c r="K97" i="1"/>
  <c r="M80" i="1" l="1"/>
  <c r="R80" i="1"/>
  <c r="Q175" i="1"/>
  <c r="Q273" i="1" s="1"/>
  <c r="Q308" i="1" s="1"/>
  <c r="O29" i="5" s="1"/>
  <c r="CC59" i="1"/>
  <c r="CJ59" i="1"/>
  <c r="N122" i="4"/>
  <c r="P122" i="4"/>
  <c r="BN122" i="4"/>
  <c r="BP122" i="4"/>
  <c r="DN122" i="4"/>
  <c r="DP122" i="4"/>
  <c r="CN121" i="4"/>
  <c r="CP121" i="4"/>
  <c r="CG121" i="4"/>
  <c r="CF122" i="4" s="1"/>
  <c r="CS121" i="4"/>
  <c r="CT121" i="4" s="1"/>
  <c r="DG122" i="4"/>
  <c r="DS122" i="4"/>
  <c r="DT122" i="4" s="1"/>
  <c r="BG122" i="4"/>
  <c r="BF123" i="4" s="1"/>
  <c r="BS122" i="4"/>
  <c r="BT122" i="4" s="1"/>
  <c r="G122" i="4"/>
  <c r="F123" i="4" s="1"/>
  <c r="S122" i="4"/>
  <c r="T122" i="4" s="1"/>
  <c r="AF75" i="4"/>
  <c r="AT74" i="4"/>
  <c r="DF123" i="4"/>
  <c r="R176" i="1"/>
  <c r="S79" i="1"/>
  <c r="CH110" i="1"/>
  <c r="K98" i="1"/>
  <c r="CH159" i="1" l="1"/>
  <c r="S247" i="1" s="1"/>
  <c r="CL110" i="1"/>
  <c r="M81" i="1"/>
  <c r="R81" i="1"/>
  <c r="CP59" i="1"/>
  <c r="CB60" i="1"/>
  <c r="CO60" i="1" s="1"/>
  <c r="DN123" i="4"/>
  <c r="DP123" i="4"/>
  <c r="BN123" i="4"/>
  <c r="BP123" i="4"/>
  <c r="AS75" i="4"/>
  <c r="AN75" i="4"/>
  <c r="AP75" i="4"/>
  <c r="N123" i="4"/>
  <c r="P123" i="4"/>
  <c r="CN122" i="4"/>
  <c r="CP122" i="4"/>
  <c r="CG122" i="4"/>
  <c r="CF123" i="4" s="1"/>
  <c r="CS122" i="4"/>
  <c r="CT122" i="4" s="1"/>
  <c r="DG123" i="4"/>
  <c r="DF124" i="4" s="1"/>
  <c r="DS123" i="4"/>
  <c r="DT123" i="4" s="1"/>
  <c r="BG123" i="4"/>
  <c r="BF124" i="4" s="1"/>
  <c r="BS123" i="4"/>
  <c r="BT123" i="4" s="1"/>
  <c r="G123" i="4"/>
  <c r="F124" i="4" s="1"/>
  <c r="S123" i="4"/>
  <c r="T123" i="4" s="1"/>
  <c r="AG75" i="4"/>
  <c r="R292" i="1"/>
  <c r="S80" i="1"/>
  <c r="CH111" i="1"/>
  <c r="CL111" i="1" s="1"/>
  <c r="K99" i="1"/>
  <c r="M82" i="1" l="1"/>
  <c r="R82" i="1"/>
  <c r="CC60" i="1"/>
  <c r="CJ60" i="1"/>
  <c r="N124" i="4"/>
  <c r="P124" i="4"/>
  <c r="BN124" i="4"/>
  <c r="BP124" i="4"/>
  <c r="DN124" i="4"/>
  <c r="DP124" i="4"/>
  <c r="CN123" i="4"/>
  <c r="CP123" i="4"/>
  <c r="CG123" i="4"/>
  <c r="CF124" i="4" s="1"/>
  <c r="CS123" i="4"/>
  <c r="CT123" i="4" s="1"/>
  <c r="DG124" i="4"/>
  <c r="DF125" i="4" s="1"/>
  <c r="DS124" i="4"/>
  <c r="DT124" i="4" s="1"/>
  <c r="BG124" i="4"/>
  <c r="BF125" i="4" s="1"/>
  <c r="BS124" i="4"/>
  <c r="BT124" i="4" s="1"/>
  <c r="G124" i="4"/>
  <c r="F125" i="4" s="1"/>
  <c r="S124" i="4"/>
  <c r="T124" i="4" s="1"/>
  <c r="AT75" i="4"/>
  <c r="AF76" i="4"/>
  <c r="S81" i="1"/>
  <c r="CH112" i="1"/>
  <c r="CL112" i="1" s="1"/>
  <c r="K100" i="1"/>
  <c r="F155" i="1" l="1"/>
  <c r="O170" i="1" s="1"/>
  <c r="R231" i="1"/>
  <c r="O155" i="1"/>
  <c r="O169" i="1"/>
  <c r="CP60" i="1"/>
  <c r="CB61" i="1"/>
  <c r="CO61" i="1" s="1"/>
  <c r="N125" i="4"/>
  <c r="P125" i="4"/>
  <c r="BN125" i="4"/>
  <c r="BP125" i="4"/>
  <c r="DN125" i="4"/>
  <c r="DP125" i="4"/>
  <c r="CN124" i="4"/>
  <c r="CP124" i="4"/>
  <c r="CS124" i="4"/>
  <c r="CT124" i="4" s="1"/>
  <c r="CG124" i="4"/>
  <c r="CF125" i="4" s="1"/>
  <c r="AS76" i="4"/>
  <c r="AN76" i="4"/>
  <c r="AP76" i="4"/>
  <c r="DG125" i="4"/>
  <c r="DF126" i="4" s="1"/>
  <c r="DF197" i="4" s="1"/>
  <c r="V300" i="4" s="1"/>
  <c r="DS125" i="4"/>
  <c r="DT125" i="4" s="1"/>
  <c r="BG125" i="4"/>
  <c r="BF126" i="4" s="1"/>
  <c r="BF197" i="4" s="1"/>
  <c r="V252" i="4" s="1"/>
  <c r="BS125" i="4"/>
  <c r="BT125" i="4" s="1"/>
  <c r="G125" i="4"/>
  <c r="F126" i="4" s="1"/>
  <c r="F197" i="4" s="1"/>
  <c r="V204" i="4" s="1"/>
  <c r="S125" i="4"/>
  <c r="T125" i="4" s="1"/>
  <c r="AG76" i="4"/>
  <c r="S82" i="1"/>
  <c r="CH113" i="1"/>
  <c r="CL113" i="1" s="1"/>
  <c r="K101" i="1"/>
  <c r="O179" i="1" l="1"/>
  <c r="R83" i="1"/>
  <c r="AN156" i="1"/>
  <c r="E156" i="1"/>
  <c r="M83" i="1"/>
  <c r="S155" i="1"/>
  <c r="L251" i="1"/>
  <c r="CJ61" i="1"/>
  <c r="CC61" i="1"/>
  <c r="CC152" i="1" s="1"/>
  <c r="L242" i="1" s="1"/>
  <c r="L268" i="1" s="1"/>
  <c r="DN126" i="4"/>
  <c r="DP126" i="4"/>
  <c r="DP197" i="4" s="1"/>
  <c r="V310" i="4" s="1"/>
  <c r="CN125" i="4"/>
  <c r="CP125" i="4"/>
  <c r="CS125" i="4"/>
  <c r="CT125" i="4" s="1"/>
  <c r="CG125" i="4"/>
  <c r="CF126" i="4" s="1"/>
  <c r="CF197" i="4" s="1"/>
  <c r="V277" i="4" s="1"/>
  <c r="N126" i="4"/>
  <c r="P126" i="4"/>
  <c r="P197" i="4" s="1"/>
  <c r="V214" i="4" s="1"/>
  <c r="BN126" i="4"/>
  <c r="BP126" i="4"/>
  <c r="BP197" i="4" s="1"/>
  <c r="V262" i="4" s="1"/>
  <c r="DS126" i="4"/>
  <c r="BS126" i="4"/>
  <c r="S126" i="4"/>
  <c r="AF77" i="4"/>
  <c r="AF190" i="4" s="1"/>
  <c r="O228" i="4" s="1"/>
  <c r="AT76" i="4"/>
  <c r="BG126" i="4"/>
  <c r="BG197" i="4" s="1"/>
  <c r="V253" i="4" s="1"/>
  <c r="DG126" i="4"/>
  <c r="DG197" i="4" s="1"/>
  <c r="V301" i="4" s="1"/>
  <c r="G126" i="4"/>
  <c r="G197" i="4" s="1"/>
  <c r="V205" i="4" s="1"/>
  <c r="P180" i="1"/>
  <c r="P278" i="1" s="1"/>
  <c r="P171" i="1"/>
  <c r="P184" i="1"/>
  <c r="CH114" i="1"/>
  <c r="CL114" i="1" s="1"/>
  <c r="K102" i="1"/>
  <c r="P202" i="1" l="1"/>
  <c r="P227" i="1"/>
  <c r="O183" i="1"/>
  <c r="M84" i="1"/>
  <c r="R84" i="1"/>
  <c r="P269" i="1"/>
  <c r="P174" i="1"/>
  <c r="P272" i="1" s="1"/>
  <c r="CP61" i="1"/>
  <c r="CP152" i="1" s="1"/>
  <c r="L255" i="1" s="1"/>
  <c r="CB62" i="1"/>
  <c r="CN126" i="4"/>
  <c r="CP126" i="4"/>
  <c r="CP197" i="4" s="1"/>
  <c r="V287" i="4" s="1"/>
  <c r="CG126" i="4"/>
  <c r="CG197" i="4" s="1"/>
  <c r="V278" i="4" s="1"/>
  <c r="CS126" i="4"/>
  <c r="CT126" i="4" s="1"/>
  <c r="CT197" i="4" s="1"/>
  <c r="V291" i="4" s="1"/>
  <c r="AS77" i="4"/>
  <c r="AN77" i="4"/>
  <c r="AP77" i="4"/>
  <c r="AP190" i="4" s="1"/>
  <c r="O238" i="4" s="1"/>
  <c r="AG77" i="4"/>
  <c r="AG190" i="4" s="1"/>
  <c r="O229" i="4" s="1"/>
  <c r="DF127" i="4"/>
  <c r="DT126" i="4"/>
  <c r="DT197" i="4" s="1"/>
  <c r="V314" i="4" s="1"/>
  <c r="BF127" i="4"/>
  <c r="BT126" i="4"/>
  <c r="BT197" i="4" s="1"/>
  <c r="V266" i="4" s="1"/>
  <c r="F127" i="4"/>
  <c r="T126" i="4"/>
  <c r="T197" i="4" s="1"/>
  <c r="V218" i="4" s="1"/>
  <c r="P296" i="1"/>
  <c r="S83" i="1"/>
  <c r="CH115" i="1"/>
  <c r="CL115" i="1" s="1"/>
  <c r="K103" i="1"/>
  <c r="CB153" i="1" l="1"/>
  <c r="M241" i="1" s="1"/>
  <c r="M267" i="1" s="1"/>
  <c r="M282" i="1" s="1"/>
  <c r="CO62" i="1"/>
  <c r="K158" i="1"/>
  <c r="M85" i="1"/>
  <c r="R85" i="1"/>
  <c r="L291" i="1"/>
  <c r="L305" i="1"/>
  <c r="CC62" i="1"/>
  <c r="CJ62" i="1"/>
  <c r="O337" i="4"/>
  <c r="N127" i="4"/>
  <c r="P127" i="4"/>
  <c r="BN127" i="4"/>
  <c r="BP127" i="4"/>
  <c r="DN127" i="4"/>
  <c r="DP127" i="4"/>
  <c r="CF127" i="4"/>
  <c r="O349" i="4"/>
  <c r="O326" i="4"/>
  <c r="DG127" i="4"/>
  <c r="DF128" i="4" s="1"/>
  <c r="DS127" i="4"/>
  <c r="BG127" i="4"/>
  <c r="BF128" i="4" s="1"/>
  <c r="BS127" i="4"/>
  <c r="BT127" i="4" s="1"/>
  <c r="G127" i="4"/>
  <c r="F128" i="4" s="1"/>
  <c r="S127" i="4"/>
  <c r="T127" i="4" s="1"/>
  <c r="AT77" i="4"/>
  <c r="AT190" i="4" s="1"/>
  <c r="O242" i="4" s="1"/>
  <c r="AF78" i="4"/>
  <c r="S84" i="1"/>
  <c r="CH116" i="1"/>
  <c r="CL116" i="1" s="1"/>
  <c r="K104" i="1"/>
  <c r="K105" i="1" s="1"/>
  <c r="L317" i="1" l="1"/>
  <c r="J5" i="5" s="1"/>
  <c r="M86" i="1"/>
  <c r="R86" i="1"/>
  <c r="L277" i="1"/>
  <c r="L303" i="1" s="1"/>
  <c r="L275" i="1"/>
  <c r="L302" i="1" s="1"/>
  <c r="L301" i="1"/>
  <c r="R175" i="1"/>
  <c r="R273" i="1" s="1"/>
  <c r="R308" i="1" s="1"/>
  <c r="P29" i="5" s="1"/>
  <c r="CP62" i="1"/>
  <c r="CB63" i="1"/>
  <c r="CO63" i="1" s="1"/>
  <c r="O363" i="4"/>
  <c r="O327" i="4"/>
  <c r="O328" i="4"/>
  <c r="DN128" i="4"/>
  <c r="DP128" i="4"/>
  <c r="CN127" i="4"/>
  <c r="CP127" i="4"/>
  <c r="CS127" i="4"/>
  <c r="CT127" i="4" s="1"/>
  <c r="CG127" i="4"/>
  <c r="CF128" i="4" s="1"/>
  <c r="N128" i="4"/>
  <c r="P128" i="4"/>
  <c r="AS78" i="4"/>
  <c r="AN78" i="4"/>
  <c r="AP78" i="4"/>
  <c r="BN128" i="4"/>
  <c r="BP128" i="4"/>
  <c r="O334" i="4"/>
  <c r="O359" i="4" s="1"/>
  <c r="O336" i="4"/>
  <c r="O360" i="4" s="1"/>
  <c r="DG128" i="4"/>
  <c r="DF129" i="4" s="1"/>
  <c r="DS128" i="4"/>
  <c r="BG128" i="4"/>
  <c r="BF129" i="4" s="1"/>
  <c r="BS128" i="4"/>
  <c r="BT128" i="4" s="1"/>
  <c r="G128" i="4"/>
  <c r="F129" i="4" s="1"/>
  <c r="S128" i="4"/>
  <c r="T128" i="4" s="1"/>
  <c r="AG78" i="4"/>
  <c r="DT127" i="4"/>
  <c r="S176" i="1"/>
  <c r="S85" i="1"/>
  <c r="CH117" i="1"/>
  <c r="K106" i="1"/>
  <c r="CH160" i="1" l="1"/>
  <c r="T247" i="1" s="1"/>
  <c r="CL117" i="1"/>
  <c r="M87" i="1"/>
  <c r="R87" i="1"/>
  <c r="CC63" i="1"/>
  <c r="CJ63" i="1"/>
  <c r="O358" i="4"/>
  <c r="O353" i="4"/>
  <c r="O374" i="4" s="1"/>
  <c r="O343" i="4"/>
  <c r="CN128" i="4"/>
  <c r="CP128" i="4"/>
  <c r="CS128" i="4"/>
  <c r="CT128" i="4" s="1"/>
  <c r="CG128" i="4"/>
  <c r="CF129" i="4" s="1"/>
  <c r="N129" i="4"/>
  <c r="P129" i="4"/>
  <c r="BN129" i="4"/>
  <c r="BP129" i="4"/>
  <c r="DN129" i="4"/>
  <c r="DP129" i="4"/>
  <c r="DG129" i="4"/>
  <c r="DF130" i="4" s="1"/>
  <c r="DS129" i="4"/>
  <c r="BG129" i="4"/>
  <c r="BF130" i="4" s="1"/>
  <c r="BS129" i="4"/>
  <c r="BT129" i="4" s="1"/>
  <c r="G129" i="4"/>
  <c r="F130" i="4" s="1"/>
  <c r="S129" i="4"/>
  <c r="T129" i="4" s="1"/>
  <c r="AF79" i="4"/>
  <c r="AT78" i="4"/>
  <c r="DT128" i="4"/>
  <c r="S292" i="1"/>
  <c r="S86" i="1"/>
  <c r="CH118" i="1"/>
  <c r="CL118" i="1" s="1"/>
  <c r="M88" i="1" l="1"/>
  <c r="R88" i="1"/>
  <c r="CP63" i="1"/>
  <c r="CB64" i="1"/>
  <c r="CO64" i="1" s="1"/>
  <c r="AS79" i="4"/>
  <c r="AN79" i="4"/>
  <c r="AP79" i="4"/>
  <c r="N130" i="4"/>
  <c r="P130" i="4"/>
  <c r="BN130" i="4"/>
  <c r="BP130" i="4"/>
  <c r="DN130" i="4"/>
  <c r="DP130" i="4"/>
  <c r="CN129" i="4"/>
  <c r="CP129" i="4"/>
  <c r="CG129" i="4"/>
  <c r="CF130" i="4" s="1"/>
  <c r="CS129" i="4"/>
  <c r="CT129" i="4" s="1"/>
  <c r="DG130" i="4"/>
  <c r="DS130" i="4"/>
  <c r="BG130" i="4"/>
  <c r="BF131" i="4" s="1"/>
  <c r="BS130" i="4"/>
  <c r="BT130" i="4" s="1"/>
  <c r="G130" i="4"/>
  <c r="F131" i="4" s="1"/>
  <c r="S130" i="4"/>
  <c r="T130" i="4" s="1"/>
  <c r="AG79" i="4"/>
  <c r="DT129" i="4"/>
  <c r="DF131" i="4"/>
  <c r="S87" i="1"/>
  <c r="CH119" i="1"/>
  <c r="CL119" i="1" s="1"/>
  <c r="K107" i="1"/>
  <c r="M89" i="1" l="1"/>
  <c r="R89" i="1"/>
  <c r="S231" i="1"/>
  <c r="CC64" i="1"/>
  <c r="CJ64" i="1"/>
  <c r="DN131" i="4"/>
  <c r="DP131" i="4"/>
  <c r="CN130" i="4"/>
  <c r="CP130" i="4"/>
  <c r="CS130" i="4"/>
  <c r="CT130" i="4" s="1"/>
  <c r="CG130" i="4"/>
  <c r="CF131" i="4" s="1"/>
  <c r="N131" i="4"/>
  <c r="P131" i="4"/>
  <c r="BN131" i="4"/>
  <c r="BP131" i="4"/>
  <c r="DG131" i="4"/>
  <c r="DF132" i="4" s="1"/>
  <c r="DS131" i="4"/>
  <c r="DT130" i="4"/>
  <c r="BG131" i="4"/>
  <c r="BF132" i="4" s="1"/>
  <c r="BS131" i="4"/>
  <c r="BT131" i="4" s="1"/>
  <c r="G131" i="4"/>
  <c r="F132" i="4" s="1"/>
  <c r="S131" i="4"/>
  <c r="T131" i="4" s="1"/>
  <c r="AF80" i="4"/>
  <c r="AT79" i="4"/>
  <c r="S88" i="1"/>
  <c r="CH120" i="1"/>
  <c r="CL120" i="1" s="1"/>
  <c r="K108" i="1"/>
  <c r="F156" i="1" l="1"/>
  <c r="O156" i="1"/>
  <c r="P169" i="1"/>
  <c r="CB65" i="1"/>
  <c r="CO65" i="1" s="1"/>
  <c r="CP64" i="1"/>
  <c r="DN132" i="4"/>
  <c r="DP132" i="4"/>
  <c r="CN131" i="4"/>
  <c r="CP131" i="4"/>
  <c r="CG131" i="4"/>
  <c r="CF132" i="4" s="1"/>
  <c r="CS131" i="4"/>
  <c r="CT131" i="4" s="1"/>
  <c r="BN132" i="4"/>
  <c r="BP132" i="4"/>
  <c r="N132" i="4"/>
  <c r="P132" i="4"/>
  <c r="AS80" i="4"/>
  <c r="AN80" i="4"/>
  <c r="AP80" i="4"/>
  <c r="DG132" i="4"/>
  <c r="DF133" i="4" s="1"/>
  <c r="DF198" i="4" s="1"/>
  <c r="W300" i="4" s="1"/>
  <c r="DS132" i="4"/>
  <c r="DT131" i="4"/>
  <c r="BG132" i="4"/>
  <c r="BF133" i="4" s="1"/>
  <c r="BF198" i="4" s="1"/>
  <c r="W252" i="4" s="1"/>
  <c r="BS132" i="4"/>
  <c r="BT132" i="4" s="1"/>
  <c r="G132" i="4"/>
  <c r="F133" i="4" s="1"/>
  <c r="F198" i="4" s="1"/>
  <c r="W204" i="4" s="1"/>
  <c r="S132" i="4"/>
  <c r="T132" i="4" s="1"/>
  <c r="AG80" i="4"/>
  <c r="CH121" i="1"/>
  <c r="CL121" i="1" s="1"/>
  <c r="K109" i="1"/>
  <c r="P179" i="1" l="1"/>
  <c r="P170" i="1"/>
  <c r="R90" i="1"/>
  <c r="AN157" i="1"/>
  <c r="E157" i="1"/>
  <c r="M90" i="1"/>
  <c r="CC65" i="1"/>
  <c r="CJ65" i="1"/>
  <c r="N133" i="4"/>
  <c r="N181" i="4" s="1"/>
  <c r="F212" i="4" s="1"/>
  <c r="P133" i="4"/>
  <c r="P198" i="4" s="1"/>
  <c r="W214" i="4" s="1"/>
  <c r="BN133" i="4"/>
  <c r="BP133" i="4"/>
  <c r="BP198" i="4" s="1"/>
  <c r="W262" i="4" s="1"/>
  <c r="DN133" i="4"/>
  <c r="DP133" i="4"/>
  <c r="DP198" i="4" s="1"/>
  <c r="W310" i="4" s="1"/>
  <c r="CN132" i="4"/>
  <c r="CP132" i="4"/>
  <c r="CG132" i="4"/>
  <c r="CF133" i="4" s="1"/>
  <c r="CF198" i="4" s="1"/>
  <c r="W277" i="4" s="1"/>
  <c r="CS132" i="4"/>
  <c r="CT132" i="4" s="1"/>
  <c r="DS133" i="4"/>
  <c r="DS181" i="4" s="1"/>
  <c r="F313" i="4" s="1"/>
  <c r="DT132" i="4"/>
  <c r="BS133" i="4"/>
  <c r="BS181" i="4" s="1"/>
  <c r="F265" i="4" s="1"/>
  <c r="S133" i="4"/>
  <c r="S181" i="4" s="1"/>
  <c r="F217" i="4" s="1"/>
  <c r="AT80" i="4"/>
  <c r="AF81" i="4"/>
  <c r="DG133" i="4"/>
  <c r="DG198" i="4" s="1"/>
  <c r="W301" i="4" s="1"/>
  <c r="G133" i="4"/>
  <c r="G198" i="4" s="1"/>
  <c r="W205" i="4" s="1"/>
  <c r="BG133" i="4"/>
  <c r="BG198" i="4" s="1"/>
  <c r="W253" i="4" s="1"/>
  <c r="Q180" i="1"/>
  <c r="Q278" i="1" s="1"/>
  <c r="Q171" i="1"/>
  <c r="S89" i="1"/>
  <c r="CH122" i="1"/>
  <c r="CL122" i="1" s="1"/>
  <c r="K110" i="1"/>
  <c r="Q202" i="1" l="1"/>
  <c r="Q227" i="1"/>
  <c r="K159" i="1"/>
  <c r="M91" i="1"/>
  <c r="R91" i="1"/>
  <c r="Q269" i="1"/>
  <c r="Q174" i="1"/>
  <c r="Q272" i="1" s="1"/>
  <c r="S156" i="1"/>
  <c r="CB66" i="1"/>
  <c r="CO66" i="1" s="1"/>
  <c r="CP65" i="1"/>
  <c r="BN182" i="4"/>
  <c r="G260" i="4" s="1"/>
  <c r="BN183" i="4"/>
  <c r="H260" i="4" s="1"/>
  <c r="BN184" i="4"/>
  <c r="I260" i="4" s="1"/>
  <c r="BN186" i="4"/>
  <c r="K260" i="4" s="1"/>
  <c r="BN187" i="4"/>
  <c r="L260" i="4" s="1"/>
  <c r="AS81" i="4"/>
  <c r="AN81" i="4"/>
  <c r="AP81" i="4"/>
  <c r="CN133" i="4"/>
  <c r="CP133" i="4"/>
  <c r="CP198" i="4" s="1"/>
  <c r="W287" i="4" s="1"/>
  <c r="CG133" i="4"/>
  <c r="CG198" i="4" s="1"/>
  <c r="W278" i="4" s="1"/>
  <c r="CS133" i="4"/>
  <c r="CS181" i="4" s="1"/>
  <c r="F290" i="4" s="1"/>
  <c r="AG81" i="4"/>
  <c r="CS188" i="4"/>
  <c r="M290" i="4" s="1"/>
  <c r="CS195" i="4"/>
  <c r="T290" i="4" s="1"/>
  <c r="CS184" i="4"/>
  <c r="I290" i="4" s="1"/>
  <c r="CS190" i="4"/>
  <c r="O290" i="4" s="1"/>
  <c r="CS191" i="4"/>
  <c r="P290" i="4" s="1"/>
  <c r="CS186" i="4"/>
  <c r="K290" i="4" s="1"/>
  <c r="CS182" i="4"/>
  <c r="G290" i="4" s="1"/>
  <c r="CS183" i="4"/>
  <c r="H290" i="4" s="1"/>
  <c r="CS185" i="4"/>
  <c r="J290" i="4" s="1"/>
  <c r="CS187" i="4"/>
  <c r="L290" i="4" s="1"/>
  <c r="CS189" i="4"/>
  <c r="N290" i="4" s="1"/>
  <c r="CS192" i="4"/>
  <c r="Q290" i="4" s="1"/>
  <c r="CS193" i="4"/>
  <c r="R290" i="4" s="1"/>
  <c r="CS194" i="4"/>
  <c r="S290" i="4" s="1"/>
  <c r="CS196" i="4"/>
  <c r="U290" i="4" s="1"/>
  <c r="CS197" i="4"/>
  <c r="V290" i="4" s="1"/>
  <c r="CN183" i="4"/>
  <c r="H285" i="4" s="1"/>
  <c r="CN184" i="4"/>
  <c r="I285" i="4" s="1"/>
  <c r="CN185" i="4"/>
  <c r="J285" i="4" s="1"/>
  <c r="Q184" i="1"/>
  <c r="S90" i="1"/>
  <c r="CH123" i="1"/>
  <c r="CL123" i="1" s="1"/>
  <c r="K111" i="1"/>
  <c r="P183" i="1" l="1"/>
  <c r="M92" i="1"/>
  <c r="R92" i="1"/>
  <c r="S175" i="1"/>
  <c r="S273" i="1" s="1"/>
  <c r="S308" i="1" s="1"/>
  <c r="Q29" i="5" s="1"/>
  <c r="CS198" i="4"/>
  <c r="W290" i="4" s="1"/>
  <c r="CC66" i="1"/>
  <c r="CJ66" i="1"/>
  <c r="CT133" i="4"/>
  <c r="CT198" i="4" s="1"/>
  <c r="W291" i="4" s="1"/>
  <c r="CN181" i="4"/>
  <c r="F285" i="4" s="1"/>
  <c r="CN182" i="4"/>
  <c r="G285" i="4" s="1"/>
  <c r="AF82" i="4"/>
  <c r="AT81" i="4"/>
  <c r="CN190" i="4"/>
  <c r="O285" i="4" s="1"/>
  <c r="CN189" i="4"/>
  <c r="N285" i="4" s="1"/>
  <c r="BN188" i="4"/>
  <c r="M260" i="4" s="1"/>
  <c r="BN189" i="4"/>
  <c r="N260" i="4" s="1"/>
  <c r="BN190" i="4"/>
  <c r="O260" i="4" s="1"/>
  <c r="BN191" i="4"/>
  <c r="P260" i="4" s="1"/>
  <c r="BN192" i="4"/>
  <c r="Q260" i="4" s="1"/>
  <c r="BN193" i="4"/>
  <c r="R260" i="4" s="1"/>
  <c r="BN194" i="4"/>
  <c r="S260" i="4" s="1"/>
  <c r="BN195" i="4"/>
  <c r="T260" i="4" s="1"/>
  <c r="BN196" i="4"/>
  <c r="U260" i="4" s="1"/>
  <c r="BN197" i="4"/>
  <c r="V260" i="4" s="1"/>
  <c r="BN198" i="4"/>
  <c r="W260" i="4" s="1"/>
  <c r="BS182" i="4"/>
  <c r="G265" i="4" s="1"/>
  <c r="BS183" i="4"/>
  <c r="H265" i="4" s="1"/>
  <c r="BS184" i="4"/>
  <c r="I265" i="4" s="1"/>
  <c r="BS185" i="4"/>
  <c r="J265" i="4" s="1"/>
  <c r="BS186" i="4"/>
  <c r="K265" i="4" s="1"/>
  <c r="BS187" i="4"/>
  <c r="L265" i="4" s="1"/>
  <c r="BS188" i="4"/>
  <c r="M265" i="4" s="1"/>
  <c r="BS189" i="4"/>
  <c r="N265" i="4" s="1"/>
  <c r="BS190" i="4"/>
  <c r="O265" i="4" s="1"/>
  <c r="BS191" i="4"/>
  <c r="P265" i="4" s="1"/>
  <c r="BS192" i="4"/>
  <c r="Q265" i="4" s="1"/>
  <c r="BS193" i="4"/>
  <c r="R265" i="4" s="1"/>
  <c r="BS194" i="4"/>
  <c r="S265" i="4" s="1"/>
  <c r="BS195" i="4"/>
  <c r="T265" i="4" s="1"/>
  <c r="BS196" i="4"/>
  <c r="U265" i="4" s="1"/>
  <c r="BS197" i="4"/>
  <c r="V265" i="4" s="1"/>
  <c r="BS198" i="4"/>
  <c r="W265" i="4" s="1"/>
  <c r="BT133" i="4"/>
  <c r="BT198" i="4" s="1"/>
  <c r="W266" i="4" s="1"/>
  <c r="CN186" i="4"/>
  <c r="K285" i="4" s="1"/>
  <c r="CN188" i="4"/>
  <c r="M285" i="4" s="1"/>
  <c r="AS182" i="4"/>
  <c r="G241" i="4" s="1"/>
  <c r="AS187" i="4"/>
  <c r="L241" i="4" s="1"/>
  <c r="AS188" i="4"/>
  <c r="M241" i="4" s="1"/>
  <c r="AS184" i="4"/>
  <c r="I241" i="4" s="1"/>
  <c r="AS189" i="4"/>
  <c r="N241" i="4" s="1"/>
  <c r="AS183" i="4"/>
  <c r="H241" i="4" s="1"/>
  <c r="AS185" i="4"/>
  <c r="J241" i="4" s="1"/>
  <c r="AS186" i="4"/>
  <c r="K241" i="4" s="1"/>
  <c r="AS190" i="4"/>
  <c r="O241" i="4" s="1"/>
  <c r="N194" i="4"/>
  <c r="S212" i="4" s="1"/>
  <c r="N197" i="4"/>
  <c r="V212" i="4" s="1"/>
  <c r="N187" i="4"/>
  <c r="L212" i="4" s="1"/>
  <c r="N190" i="4"/>
  <c r="O212" i="4" s="1"/>
  <c r="N184" i="4"/>
  <c r="I212" i="4" s="1"/>
  <c r="N186" i="4"/>
  <c r="K212" i="4" s="1"/>
  <c r="N196" i="4"/>
  <c r="U212" i="4" s="1"/>
  <c r="N189" i="4"/>
  <c r="N212" i="4" s="1"/>
  <c r="N191" i="4"/>
  <c r="P212" i="4" s="1"/>
  <c r="N182" i="4"/>
  <c r="G212" i="4" s="1"/>
  <c r="N183" i="4"/>
  <c r="H212" i="4" s="1"/>
  <c r="N185" i="4"/>
  <c r="J212" i="4" s="1"/>
  <c r="N188" i="4"/>
  <c r="M212" i="4" s="1"/>
  <c r="N192" i="4"/>
  <c r="Q212" i="4" s="1"/>
  <c r="N193" i="4"/>
  <c r="R212" i="4" s="1"/>
  <c r="N195" i="4"/>
  <c r="T212" i="4" s="1"/>
  <c r="N198" i="4"/>
  <c r="W212" i="4" s="1"/>
  <c r="DN181" i="4"/>
  <c r="F308" i="4" s="1"/>
  <c r="DN191" i="4"/>
  <c r="P308" i="4" s="1"/>
  <c r="DN182" i="4"/>
  <c r="G308" i="4" s="1"/>
  <c r="DN183" i="4"/>
  <c r="H308" i="4" s="1"/>
  <c r="DN184" i="4"/>
  <c r="I308" i="4" s="1"/>
  <c r="DN185" i="4"/>
  <c r="J308" i="4" s="1"/>
  <c r="DN186" i="4"/>
  <c r="K308" i="4" s="1"/>
  <c r="DN187" i="4"/>
  <c r="L308" i="4" s="1"/>
  <c r="DN188" i="4"/>
  <c r="M308" i="4" s="1"/>
  <c r="DN189" i="4"/>
  <c r="N308" i="4" s="1"/>
  <c r="DN190" i="4"/>
  <c r="O308" i="4" s="1"/>
  <c r="DN192" i="4"/>
  <c r="Q308" i="4" s="1"/>
  <c r="DN193" i="4"/>
  <c r="R308" i="4" s="1"/>
  <c r="DN194" i="4"/>
  <c r="S308" i="4" s="1"/>
  <c r="DN195" i="4"/>
  <c r="T308" i="4" s="1"/>
  <c r="DN196" i="4"/>
  <c r="U308" i="4" s="1"/>
  <c r="DN197" i="4"/>
  <c r="V308" i="4" s="1"/>
  <c r="DN198" i="4"/>
  <c r="W308" i="4" s="1"/>
  <c r="CN187" i="4"/>
  <c r="L285" i="4" s="1"/>
  <c r="AN185" i="4"/>
  <c r="J236" i="4" s="1"/>
  <c r="AN182" i="4"/>
  <c r="G236" i="4" s="1"/>
  <c r="AN188" i="4"/>
  <c r="M236" i="4" s="1"/>
  <c r="AN189" i="4"/>
  <c r="N236" i="4" s="1"/>
  <c r="AN183" i="4"/>
  <c r="H236" i="4" s="1"/>
  <c r="AN184" i="4"/>
  <c r="I236" i="4" s="1"/>
  <c r="AN186" i="4"/>
  <c r="K236" i="4" s="1"/>
  <c r="AN187" i="4"/>
  <c r="L236" i="4" s="1"/>
  <c r="AN190" i="4"/>
  <c r="O236" i="4" s="1"/>
  <c r="S191" i="4"/>
  <c r="P217" i="4" s="1"/>
  <c r="S198" i="4"/>
  <c r="W217" i="4" s="1"/>
  <c r="S184" i="4"/>
  <c r="I217" i="4" s="1"/>
  <c r="S194" i="4"/>
  <c r="S217" i="4" s="1"/>
  <c r="S189" i="4"/>
  <c r="N217" i="4" s="1"/>
  <c r="S192" i="4"/>
  <c r="Q217" i="4" s="1"/>
  <c r="S190" i="4"/>
  <c r="O217" i="4" s="1"/>
  <c r="S195" i="4"/>
  <c r="T217" i="4" s="1"/>
  <c r="S197" i="4"/>
  <c r="V217" i="4" s="1"/>
  <c r="S182" i="4"/>
  <c r="G217" i="4" s="1"/>
  <c r="S183" i="4"/>
  <c r="H217" i="4" s="1"/>
  <c r="S185" i="4"/>
  <c r="J217" i="4" s="1"/>
  <c r="S186" i="4"/>
  <c r="K217" i="4" s="1"/>
  <c r="S187" i="4"/>
  <c r="L217" i="4" s="1"/>
  <c r="S188" i="4"/>
  <c r="M217" i="4" s="1"/>
  <c r="S193" i="4"/>
  <c r="R217" i="4" s="1"/>
  <c r="S196" i="4"/>
  <c r="U217" i="4" s="1"/>
  <c r="T133" i="4"/>
  <c r="T198" i="4" s="1"/>
  <c r="W218" i="4" s="1"/>
  <c r="DS188" i="4"/>
  <c r="M313" i="4" s="1"/>
  <c r="DS187" i="4"/>
  <c r="L313" i="4" s="1"/>
  <c r="DS182" i="4"/>
  <c r="G313" i="4" s="1"/>
  <c r="DS183" i="4"/>
  <c r="H313" i="4" s="1"/>
  <c r="DS184" i="4"/>
  <c r="I313" i="4" s="1"/>
  <c r="DS185" i="4"/>
  <c r="J313" i="4" s="1"/>
  <c r="DS186" i="4"/>
  <c r="K313" i="4" s="1"/>
  <c r="DS189" i="4"/>
  <c r="N313" i="4" s="1"/>
  <c r="DS190" i="4"/>
  <c r="O313" i="4" s="1"/>
  <c r="DS191" i="4"/>
  <c r="P313" i="4" s="1"/>
  <c r="DS192" i="4"/>
  <c r="Q313" i="4" s="1"/>
  <c r="DS193" i="4"/>
  <c r="R313" i="4" s="1"/>
  <c r="DS194" i="4"/>
  <c r="S313" i="4" s="1"/>
  <c r="DS195" i="4"/>
  <c r="T313" i="4" s="1"/>
  <c r="DS196" i="4"/>
  <c r="U313" i="4" s="1"/>
  <c r="DS197" i="4"/>
  <c r="V313" i="4" s="1"/>
  <c r="DS198" i="4"/>
  <c r="W313" i="4" s="1"/>
  <c r="DT133" i="4"/>
  <c r="DT198" i="4" s="1"/>
  <c r="W314" i="4" s="1"/>
  <c r="Q296" i="1"/>
  <c r="T176" i="1"/>
  <c r="S91" i="1"/>
  <c r="CH124" i="1"/>
  <c r="K112" i="1"/>
  <c r="CH161" i="1" l="1"/>
  <c r="U247" i="1" s="1"/>
  <c r="CL124" i="1"/>
  <c r="M93" i="1"/>
  <c r="R93" i="1"/>
  <c r="CB67" i="1"/>
  <c r="CO67" i="1" s="1"/>
  <c r="CP66" i="1"/>
  <c r="AS82" i="4"/>
  <c r="AN82" i="4"/>
  <c r="AP82" i="4"/>
  <c r="AG82" i="4"/>
  <c r="CN194" i="4"/>
  <c r="S285" i="4" s="1"/>
  <c r="G339" i="4"/>
  <c r="G361" i="4" s="1"/>
  <c r="G375" i="4" s="1"/>
  <c r="CN192" i="4"/>
  <c r="Q285" i="4" s="1"/>
  <c r="CN195" i="4"/>
  <c r="T285" i="4" s="1"/>
  <c r="CN193" i="4"/>
  <c r="R285" i="4" s="1"/>
  <c r="CN191" i="4"/>
  <c r="P285" i="4" s="1"/>
  <c r="T292" i="1"/>
  <c r="S92" i="1"/>
  <c r="CH125" i="1"/>
  <c r="CL125" i="1" s="1"/>
  <c r="K113" i="1"/>
  <c r="M94" i="1" l="1"/>
  <c r="R94" i="1"/>
  <c r="CC67" i="1"/>
  <c r="CJ67" i="1"/>
  <c r="I339" i="4"/>
  <c r="I361" i="4" s="1"/>
  <c r="I375" i="4" s="1"/>
  <c r="O339" i="4"/>
  <c r="O361" i="4" s="1"/>
  <c r="O375" i="4" s="1"/>
  <c r="L339" i="4"/>
  <c r="L361" i="4" s="1"/>
  <c r="J339" i="4"/>
  <c r="J361" i="4" s="1"/>
  <c r="J375" i="4" s="1"/>
  <c r="N339" i="4"/>
  <c r="N361" i="4" s="1"/>
  <c r="N375" i="4" s="1"/>
  <c r="K339" i="4"/>
  <c r="K361" i="4" s="1"/>
  <c r="K375" i="4" s="1"/>
  <c r="H339" i="4"/>
  <c r="H361" i="4" s="1"/>
  <c r="M339" i="4"/>
  <c r="M361" i="4" s="1"/>
  <c r="M375" i="4" s="1"/>
  <c r="J351" i="4"/>
  <c r="N351" i="4"/>
  <c r="L340" i="4"/>
  <c r="L362" i="4" s="1"/>
  <c r="K351" i="4"/>
  <c r="J340" i="4"/>
  <c r="J362" i="4" s="1"/>
  <c r="G351" i="4"/>
  <c r="K362" i="4"/>
  <c r="N340" i="4"/>
  <c r="N362" i="4" s="1"/>
  <c r="O340" i="4"/>
  <c r="O362" i="4" s="1"/>
  <c r="I340" i="4"/>
  <c r="I362" i="4" s="1"/>
  <c r="L351" i="4"/>
  <c r="I351" i="4"/>
  <c r="G340" i="4"/>
  <c r="G362" i="4" s="1"/>
  <c r="H340" i="4"/>
  <c r="H362" i="4" s="1"/>
  <c r="F340" i="4"/>
  <c r="F362" i="4" s="1"/>
  <c r="H351" i="4"/>
  <c r="M351" i="4"/>
  <c r="O351" i="4"/>
  <c r="M340" i="4"/>
  <c r="M362" i="4" s="1"/>
  <c r="L375" i="4"/>
  <c r="H375" i="4"/>
  <c r="AF83" i="4"/>
  <c r="CN197" i="4"/>
  <c r="V285" i="4" s="1"/>
  <c r="CN198" i="4"/>
  <c r="W285" i="4" s="1"/>
  <c r="CN196" i="4"/>
  <c r="U285" i="4" s="1"/>
  <c r="S93" i="1"/>
  <c r="CH126" i="1"/>
  <c r="CL126" i="1" s="1"/>
  <c r="K114" i="1"/>
  <c r="M95" i="1" l="1"/>
  <c r="R95" i="1"/>
  <c r="CP67" i="1"/>
  <c r="CB68" i="1"/>
  <c r="CO68" i="1" s="1"/>
  <c r="AS83" i="4"/>
  <c r="AN83" i="4"/>
  <c r="AP83" i="4"/>
  <c r="AG83" i="4"/>
  <c r="AT82" i="4"/>
  <c r="S94" i="1"/>
  <c r="CH127" i="1"/>
  <c r="CL127" i="1" s="1"/>
  <c r="K115" i="1"/>
  <c r="M96" i="1" l="1"/>
  <c r="R96" i="1"/>
  <c r="CL153" i="1"/>
  <c r="M251" i="1" s="1"/>
  <c r="CJ68" i="1"/>
  <c r="CC68" i="1"/>
  <c r="CC153" i="1" s="1"/>
  <c r="M242" i="1" s="1"/>
  <c r="M268" i="1" s="1"/>
  <c r="AF84" i="4"/>
  <c r="AF191" i="4" s="1"/>
  <c r="P228" i="4" s="1"/>
  <c r="S95" i="1"/>
  <c r="CH128" i="1"/>
  <c r="CL128" i="1" s="1"/>
  <c r="K116" i="1"/>
  <c r="F157" i="1" l="1"/>
  <c r="Q170" i="1" s="1"/>
  <c r="T231" i="1"/>
  <c r="O157" i="1"/>
  <c r="Q169" i="1"/>
  <c r="CP68" i="1"/>
  <c r="CP153" i="1" s="1"/>
  <c r="M255" i="1" s="1"/>
  <c r="CB69" i="1"/>
  <c r="AS84" i="4"/>
  <c r="AN84" i="4"/>
  <c r="AP84" i="4"/>
  <c r="AP191" i="4" s="1"/>
  <c r="P238" i="4" s="1"/>
  <c r="AG84" i="4"/>
  <c r="AG191" i="4" s="1"/>
  <c r="P229" i="4" s="1"/>
  <c r="AN191" i="4"/>
  <c r="P236" i="4" s="1"/>
  <c r="AT83" i="4"/>
  <c r="CH129" i="1"/>
  <c r="K117" i="1"/>
  <c r="CH130" i="1" l="1"/>
  <c r="CL130" i="1" s="1"/>
  <c r="CL129" i="1"/>
  <c r="CB154" i="1"/>
  <c r="N241" i="1" s="1"/>
  <c r="N267" i="1" s="1"/>
  <c r="N282" i="1" s="1"/>
  <c r="CO69" i="1"/>
  <c r="Q179" i="1"/>
  <c r="R97" i="1"/>
  <c r="AN158" i="1"/>
  <c r="K160" i="1"/>
  <c r="E158" i="1"/>
  <c r="M97" i="1"/>
  <c r="M291" i="1"/>
  <c r="M305" i="1"/>
  <c r="CC69" i="1"/>
  <c r="CJ69" i="1"/>
  <c r="P351" i="4"/>
  <c r="P337" i="4"/>
  <c r="P349" i="4"/>
  <c r="P326" i="4"/>
  <c r="AF85" i="4"/>
  <c r="R180" i="1"/>
  <c r="R278" i="1" s="1"/>
  <c r="R171" i="1"/>
  <c r="S96" i="1"/>
  <c r="K118" i="1"/>
  <c r="M317" i="1" l="1"/>
  <c r="K5" i="5" s="1"/>
  <c r="R202" i="1"/>
  <c r="R227" i="1"/>
  <c r="M98" i="1"/>
  <c r="R98" i="1"/>
  <c r="R269" i="1"/>
  <c r="R174" i="1"/>
  <c r="R272" i="1" s="1"/>
  <c r="S157" i="1"/>
  <c r="M301" i="1"/>
  <c r="M277" i="1"/>
  <c r="M303" i="1" s="1"/>
  <c r="M275" i="1"/>
  <c r="M302" i="1" s="1"/>
  <c r="T175" i="1"/>
  <c r="T273" i="1" s="1"/>
  <c r="T308" i="1" s="1"/>
  <c r="R29" i="5" s="1"/>
  <c r="CB70" i="1"/>
  <c r="CO70" i="1" s="1"/>
  <c r="CP69" i="1"/>
  <c r="P328" i="4"/>
  <c r="AS85" i="4"/>
  <c r="AN85" i="4"/>
  <c r="AP85" i="4"/>
  <c r="P334" i="4"/>
  <c r="P359" i="4" s="1"/>
  <c r="P336" i="4"/>
  <c r="P360" i="4" s="1"/>
  <c r="P358" i="4"/>
  <c r="P327" i="4"/>
  <c r="AT84" i="4"/>
  <c r="AT191" i="4" s="1"/>
  <c r="P242" i="4" s="1"/>
  <c r="AS191" i="4"/>
  <c r="P241" i="4" s="1"/>
  <c r="AG85" i="4"/>
  <c r="R184" i="1"/>
  <c r="U176" i="1"/>
  <c r="S97" i="1"/>
  <c r="CH131" i="1"/>
  <c r="CL131" i="1" s="1"/>
  <c r="K119" i="1"/>
  <c r="Q183" i="1" l="1"/>
  <c r="CH132" i="1"/>
  <c r="CL132" i="1" s="1"/>
  <c r="CH162" i="1"/>
  <c r="V247" i="1" s="1"/>
  <c r="M99" i="1"/>
  <c r="R99" i="1"/>
  <c r="CC70" i="1"/>
  <c r="CJ70" i="1"/>
  <c r="P363" i="4"/>
  <c r="P339" i="4"/>
  <c r="P361" i="4" s="1"/>
  <c r="P340" i="4"/>
  <c r="P362" i="4" s="1"/>
  <c r="AF86" i="4"/>
  <c r="U292" i="1"/>
  <c r="R296" i="1"/>
  <c r="S98" i="1"/>
  <c r="H230" i="1"/>
  <c r="I230" i="1"/>
  <c r="G230" i="1"/>
  <c r="F230" i="1"/>
  <c r="L230" i="1"/>
  <c r="S230" i="1"/>
  <c r="O230" i="1"/>
  <c r="J230" i="1"/>
  <c r="M230" i="1"/>
  <c r="N230" i="1"/>
  <c r="Q230" i="1"/>
  <c r="J225" i="1"/>
  <c r="I225" i="1"/>
  <c r="Q225" i="1"/>
  <c r="G225" i="1"/>
  <c r="H225" i="1"/>
  <c r="M225" i="1"/>
  <c r="L225" i="1"/>
  <c r="S225" i="1"/>
  <c r="N225" i="1"/>
  <c r="K225" i="1"/>
  <c r="O225" i="1"/>
  <c r="P225" i="1"/>
  <c r="R225" i="1"/>
  <c r="T225" i="1"/>
  <c r="K120" i="1"/>
  <c r="CH133" i="1" l="1"/>
  <c r="CL133" i="1" s="1"/>
  <c r="M100" i="1"/>
  <c r="R100" i="1"/>
  <c r="T230" i="1"/>
  <c r="R230" i="1"/>
  <c r="P230" i="1"/>
  <c r="P375" i="4"/>
  <c r="CP70" i="1"/>
  <c r="CB71" i="1"/>
  <c r="CO71" i="1" s="1"/>
  <c r="P353" i="4"/>
  <c r="P374" i="4" s="1"/>
  <c r="P343" i="4"/>
  <c r="AS86" i="4"/>
  <c r="AN86" i="4"/>
  <c r="AP86" i="4"/>
  <c r="AG86" i="4"/>
  <c r="AT85" i="4"/>
  <c r="S99" i="1"/>
  <c r="K121" i="1"/>
  <c r="CH134" i="1" l="1"/>
  <c r="CL134" i="1" s="1"/>
  <c r="M101" i="1"/>
  <c r="R101" i="1"/>
  <c r="CC71" i="1"/>
  <c r="CJ71" i="1"/>
  <c r="AF87" i="4"/>
  <c r="S100" i="1"/>
  <c r="K122" i="1"/>
  <c r="CH135" i="1" l="1"/>
  <c r="CL135" i="1" s="1"/>
  <c r="M102" i="1"/>
  <c r="R102" i="1"/>
  <c r="CB72" i="1"/>
  <c r="CO72" i="1" s="1"/>
  <c r="AS87" i="4"/>
  <c r="AN87" i="4"/>
  <c r="AP87" i="4"/>
  <c r="U225" i="1"/>
  <c r="AG87" i="4"/>
  <c r="AT86" i="4"/>
  <c r="S101" i="1"/>
  <c r="K123" i="1"/>
  <c r="CH136" i="1" l="1"/>
  <c r="CL136" i="1" s="1"/>
  <c r="M103" i="1"/>
  <c r="R103" i="1"/>
  <c r="CC72" i="1"/>
  <c r="CJ72" i="1"/>
  <c r="CP71" i="1"/>
  <c r="AF88" i="4"/>
  <c r="S102" i="1"/>
  <c r="K124" i="1"/>
  <c r="K161" i="1" l="1"/>
  <c r="CH137" i="1"/>
  <c r="CL137" i="1" s="1"/>
  <c r="U230" i="1"/>
  <c r="F158" i="1"/>
  <c r="O158" i="1"/>
  <c r="R169" i="1"/>
  <c r="CB73" i="1"/>
  <c r="CO73" i="1" s="1"/>
  <c r="AS88" i="4"/>
  <c r="AN88" i="4"/>
  <c r="AP88" i="4"/>
  <c r="AG88" i="4"/>
  <c r="AT87" i="4"/>
  <c r="S103" i="1"/>
  <c r="K125" i="1"/>
  <c r="R170" i="1" l="1"/>
  <c r="R179" i="1"/>
  <c r="R104" i="1"/>
  <c r="AN159" i="1"/>
  <c r="CH138" i="1"/>
  <c r="CL138" i="1" s="1"/>
  <c r="E159" i="1"/>
  <c r="M104" i="1"/>
  <c r="U231" i="1"/>
  <c r="S158" i="1"/>
  <c r="U175" i="1"/>
  <c r="U273" i="1" s="1"/>
  <c r="U308" i="1" s="1"/>
  <c r="S29" i="5" s="1"/>
  <c r="CC73" i="1"/>
  <c r="CJ73" i="1"/>
  <c r="CP72" i="1"/>
  <c r="AF89" i="4"/>
  <c r="S184" i="1"/>
  <c r="S180" i="1"/>
  <c r="S278" i="1" s="1"/>
  <c r="V176" i="1"/>
  <c r="S171" i="1"/>
  <c r="K126" i="1"/>
  <c r="S202" i="1" l="1"/>
  <c r="S227" i="1"/>
  <c r="R183" i="1"/>
  <c r="CH163" i="1"/>
  <c r="W247" i="1" s="1"/>
  <c r="M105" i="1"/>
  <c r="R105" i="1"/>
  <c r="S269" i="1"/>
  <c r="S174" i="1"/>
  <c r="S272" i="1" s="1"/>
  <c r="O105" i="1"/>
  <c r="CB74" i="1"/>
  <c r="CO74" i="1" s="1"/>
  <c r="AS89" i="4"/>
  <c r="AN89" i="4"/>
  <c r="AP89" i="4"/>
  <c r="AG89" i="4"/>
  <c r="AT88" i="4"/>
  <c r="V292" i="1"/>
  <c r="S296" i="1"/>
  <c r="S104" i="1"/>
  <c r="K127" i="1"/>
  <c r="M106" i="1" l="1"/>
  <c r="R106" i="1"/>
  <c r="O106" i="1"/>
  <c r="CC74" i="1"/>
  <c r="CJ74" i="1"/>
  <c r="CP73" i="1"/>
  <c r="R107" i="1"/>
  <c r="AF90" i="4"/>
  <c r="S105" i="1"/>
  <c r="K128" i="1"/>
  <c r="M107" i="1" l="1"/>
  <c r="O107" i="1"/>
  <c r="CB75" i="1"/>
  <c r="CO75" i="1" s="1"/>
  <c r="AS90" i="4"/>
  <c r="AN90" i="4"/>
  <c r="AP90" i="4"/>
  <c r="AT89" i="4"/>
  <c r="AG90" i="4"/>
  <c r="S106" i="1"/>
  <c r="K129" i="1"/>
  <c r="M108" i="1" l="1"/>
  <c r="R108" i="1"/>
  <c r="CL154" i="1"/>
  <c r="N251" i="1" s="1"/>
  <c r="O108" i="1"/>
  <c r="CP74" i="1"/>
  <c r="CJ75" i="1"/>
  <c r="CC75" i="1"/>
  <c r="CC154" i="1" s="1"/>
  <c r="N242" i="1" s="1"/>
  <c r="N268" i="1" s="1"/>
  <c r="AT90" i="4"/>
  <c r="AF91" i="4"/>
  <c r="AF192" i="4" s="1"/>
  <c r="Q228" i="4" s="1"/>
  <c r="S107" i="1"/>
  <c r="K130" i="1"/>
  <c r="M109" i="1" l="1"/>
  <c r="R109" i="1"/>
  <c r="O109" i="1"/>
  <c r="CP75" i="1"/>
  <c r="CP154" i="1" s="1"/>
  <c r="N255" i="1" s="1"/>
  <c r="CB76" i="1"/>
  <c r="AS91" i="4"/>
  <c r="AN91" i="4"/>
  <c r="AN192" i="4" s="1"/>
  <c r="Q236" i="4" s="1"/>
  <c r="AP91" i="4"/>
  <c r="AP192" i="4" s="1"/>
  <c r="Q238" i="4" s="1"/>
  <c r="AG91" i="4"/>
  <c r="AG192" i="4" s="1"/>
  <c r="Q229" i="4" s="1"/>
  <c r="S108" i="1"/>
  <c r="K131" i="1"/>
  <c r="CB155" i="1" l="1"/>
  <c r="O241" i="1" s="1"/>
  <c r="O267" i="1" s="1"/>
  <c r="O282" i="1" s="1"/>
  <c r="CO76" i="1"/>
  <c r="M110" i="1"/>
  <c r="R110" i="1"/>
  <c r="K162" i="1"/>
  <c r="K132" i="1"/>
  <c r="N291" i="1"/>
  <c r="N305" i="1"/>
  <c r="O110" i="1"/>
  <c r="CC76" i="1"/>
  <c r="CJ76" i="1"/>
  <c r="Q351" i="4"/>
  <c r="Q337" i="4"/>
  <c r="Q349" i="4"/>
  <c r="Q326" i="4"/>
  <c r="AF92" i="4"/>
  <c r="AT91" i="4"/>
  <c r="S109" i="1"/>
  <c r="N317" i="1" l="1"/>
  <c r="L5" i="5" s="1"/>
  <c r="F159" i="1"/>
  <c r="V231" i="1"/>
  <c r="K133" i="1"/>
  <c r="N301" i="1"/>
  <c r="N277" i="1"/>
  <c r="N303" i="1" s="1"/>
  <c r="N275" i="1"/>
  <c r="N302" i="1" s="1"/>
  <c r="O159" i="1"/>
  <c r="V175" i="1"/>
  <c r="V273" i="1" s="1"/>
  <c r="V308" i="1" s="1"/>
  <c r="T29" i="5" s="1"/>
  <c r="S169" i="1"/>
  <c r="CB77" i="1"/>
  <c r="CO77" i="1" s="1"/>
  <c r="Q363" i="4"/>
  <c r="AT192" i="4"/>
  <c r="Q242" i="4" s="1"/>
  <c r="Q358" i="4"/>
  <c r="Q328" i="4"/>
  <c r="AS92" i="4"/>
  <c r="AN92" i="4"/>
  <c r="AP92" i="4"/>
  <c r="Q334" i="4"/>
  <c r="Q359" i="4" s="1"/>
  <c r="Q336" i="4"/>
  <c r="Q360" i="4" s="1"/>
  <c r="AG92" i="4"/>
  <c r="W176" i="1"/>
  <c r="S179" i="1" l="1"/>
  <c r="S170" i="1"/>
  <c r="R111" i="1"/>
  <c r="AN160" i="1"/>
  <c r="E160" i="1"/>
  <c r="M111" i="1"/>
  <c r="K134" i="1"/>
  <c r="O111" i="1"/>
  <c r="CC77" i="1"/>
  <c r="CJ77" i="1"/>
  <c r="CP76" i="1"/>
  <c r="Q327" i="4"/>
  <c r="AF93" i="4"/>
  <c r="AT92" i="4"/>
  <c r="W292" i="1"/>
  <c r="T180" i="1"/>
  <c r="T278" i="1" s="1"/>
  <c r="T171" i="1"/>
  <c r="S110" i="1"/>
  <c r="T202" i="1" l="1"/>
  <c r="T227" i="1"/>
  <c r="M112" i="1"/>
  <c r="R112" i="1"/>
  <c r="T269" i="1"/>
  <c r="T174" i="1"/>
  <c r="T272" i="1" s="1"/>
  <c r="S159" i="1"/>
  <c r="K135" i="1"/>
  <c r="O112" i="1"/>
  <c r="CB78" i="1"/>
  <c r="CO78" i="1" s="1"/>
  <c r="Q353" i="4"/>
  <c r="Q374" i="4" s="1"/>
  <c r="Q343" i="4"/>
  <c r="AS93" i="4"/>
  <c r="AN93" i="4"/>
  <c r="AP93" i="4"/>
  <c r="AG93" i="4"/>
  <c r="T184" i="1"/>
  <c r="S111" i="1"/>
  <c r="S183" i="1" l="1"/>
  <c r="M113" i="1"/>
  <c r="R113" i="1"/>
  <c r="K136" i="1"/>
  <c r="O113" i="1"/>
  <c r="CC78" i="1"/>
  <c r="CJ78" i="1"/>
  <c r="CP77" i="1"/>
  <c r="AT93" i="4"/>
  <c r="AF94" i="4"/>
  <c r="T296" i="1"/>
  <c r="S112" i="1"/>
  <c r="M114" i="1" l="1"/>
  <c r="R114" i="1"/>
  <c r="K137" i="1"/>
  <c r="O114" i="1"/>
  <c r="CB79" i="1"/>
  <c r="CO79" i="1" s="1"/>
  <c r="AS94" i="4"/>
  <c r="AN94" i="4"/>
  <c r="AP94" i="4"/>
  <c r="AG94" i="4"/>
  <c r="S113" i="1"/>
  <c r="M115" i="1" l="1"/>
  <c r="R115" i="1"/>
  <c r="K138" i="1"/>
  <c r="O115" i="1"/>
  <c r="CP78" i="1"/>
  <c r="CC79" i="1"/>
  <c r="CJ79" i="1"/>
  <c r="AT94" i="4"/>
  <c r="AF95" i="4"/>
  <c r="S114" i="1"/>
  <c r="M116" i="1" l="1"/>
  <c r="R116" i="1"/>
  <c r="K163" i="1"/>
  <c r="O116" i="1"/>
  <c r="CB80" i="1"/>
  <c r="CO80" i="1" s="1"/>
  <c r="CP79" i="1"/>
  <c r="AS95" i="4"/>
  <c r="AN95" i="4"/>
  <c r="AP95" i="4"/>
  <c r="AG95" i="4"/>
  <c r="S115" i="1"/>
  <c r="W175" i="1" l="1"/>
  <c r="W273" i="1" s="1"/>
  <c r="W308" i="1" s="1"/>
  <c r="U29" i="5" s="1"/>
  <c r="M117" i="1"/>
  <c r="R117" i="1"/>
  <c r="F225" i="1"/>
  <c r="O117" i="1"/>
  <c r="CC80" i="1"/>
  <c r="CJ80" i="1"/>
  <c r="AT95" i="4"/>
  <c r="AF96" i="4"/>
  <c r="S116" i="1"/>
  <c r="F160" i="1" l="1"/>
  <c r="T170" i="1" s="1"/>
  <c r="W231" i="1"/>
  <c r="V230" i="1"/>
  <c r="W230" i="1"/>
  <c r="W225" i="1"/>
  <c r="V225" i="1"/>
  <c r="O160" i="1"/>
  <c r="T169" i="1"/>
  <c r="CB81" i="1"/>
  <c r="CO81" i="1" s="1"/>
  <c r="CP80" i="1"/>
  <c r="AS96" i="4"/>
  <c r="AN96" i="4"/>
  <c r="AP96" i="4"/>
  <c r="AG96" i="4"/>
  <c r="T179" i="1" l="1"/>
  <c r="R118" i="1"/>
  <c r="AN161" i="1"/>
  <c r="E161" i="1"/>
  <c r="M118" i="1"/>
  <c r="O118" i="1"/>
  <c r="CC81" i="1"/>
  <c r="CJ81" i="1"/>
  <c r="AT96" i="4"/>
  <c r="AF97" i="4"/>
  <c r="U180" i="1"/>
  <c r="U278" i="1" s="1"/>
  <c r="U171" i="1"/>
  <c r="S117" i="1"/>
  <c r="U202" i="1" l="1"/>
  <c r="U227" i="1"/>
  <c r="M119" i="1"/>
  <c r="R119" i="1"/>
  <c r="U269" i="1"/>
  <c r="U174" i="1"/>
  <c r="U272" i="1" s="1"/>
  <c r="S160" i="1"/>
  <c r="O119" i="1"/>
  <c r="CP81" i="1"/>
  <c r="CB82" i="1"/>
  <c r="CO82" i="1" s="1"/>
  <c r="AS97" i="4"/>
  <c r="AN97" i="4"/>
  <c r="AP97" i="4"/>
  <c r="AG97" i="4"/>
  <c r="U184" i="1"/>
  <c r="S118" i="1"/>
  <c r="T183" i="1" l="1"/>
  <c r="M120" i="1"/>
  <c r="R120" i="1"/>
  <c r="CL155" i="1"/>
  <c r="O251" i="1" s="1"/>
  <c r="O120" i="1"/>
  <c r="CJ82" i="1"/>
  <c r="CC82" i="1"/>
  <c r="CC155" i="1" s="1"/>
  <c r="O242" i="1" s="1"/>
  <c r="O268" i="1" s="1"/>
  <c r="AF98" i="4"/>
  <c r="AF193" i="4" s="1"/>
  <c r="R228" i="4" s="1"/>
  <c r="AT97" i="4"/>
  <c r="U296" i="1"/>
  <c r="S119" i="1"/>
  <c r="M121" i="1" l="1"/>
  <c r="R121" i="1"/>
  <c r="O121" i="1"/>
  <c r="CP155" i="1"/>
  <c r="O255" i="1" s="1"/>
  <c r="CB83" i="1"/>
  <c r="AS98" i="4"/>
  <c r="AN98" i="4"/>
  <c r="AP98" i="4"/>
  <c r="AP193" i="4" s="1"/>
  <c r="R238" i="4" s="1"/>
  <c r="AG98" i="4"/>
  <c r="AG193" i="4" s="1"/>
  <c r="R229" i="4" s="1"/>
  <c r="S120" i="1"/>
  <c r="CB156" i="1" l="1"/>
  <c r="P241" i="1" s="1"/>
  <c r="P267" i="1" s="1"/>
  <c r="P282" i="1" s="1"/>
  <c r="CO83" i="1"/>
  <c r="M122" i="1"/>
  <c r="R122" i="1"/>
  <c r="O291" i="1"/>
  <c r="O305" i="1"/>
  <c r="O122" i="1"/>
  <c r="CC83" i="1"/>
  <c r="CJ83" i="1"/>
  <c r="R337" i="4"/>
  <c r="R326" i="4"/>
  <c r="R349" i="4"/>
  <c r="AF99" i="4"/>
  <c r="AT98" i="4"/>
  <c r="S121" i="1"/>
  <c r="O317" i="1" l="1"/>
  <c r="M5" i="5" s="1"/>
  <c r="M123" i="1"/>
  <c r="R123" i="1"/>
  <c r="O301" i="1"/>
  <c r="O275" i="1"/>
  <c r="O302" i="1" s="1"/>
  <c r="O277" i="1"/>
  <c r="O303" i="1" s="1"/>
  <c r="O123" i="1"/>
  <c r="CB84" i="1"/>
  <c r="CO84" i="1" s="1"/>
  <c r="R363" i="4"/>
  <c r="AT193" i="4"/>
  <c r="R242" i="4" s="1"/>
  <c r="R328" i="4"/>
  <c r="AS99" i="4"/>
  <c r="AN99" i="4"/>
  <c r="AP99" i="4"/>
  <c r="R334" i="4"/>
  <c r="R359" i="4" s="1"/>
  <c r="R336" i="4"/>
  <c r="R360" i="4" s="1"/>
  <c r="R358" i="4"/>
  <c r="R327" i="4"/>
  <c r="AG99" i="4"/>
  <c r="S122" i="1"/>
  <c r="M124" i="1" l="1"/>
  <c r="R124" i="1"/>
  <c r="O124" i="1"/>
  <c r="CP83" i="1"/>
  <c r="CC84" i="1"/>
  <c r="CJ84" i="1"/>
  <c r="AF100" i="4"/>
  <c r="AT99" i="4"/>
  <c r="S123" i="1"/>
  <c r="F161" i="1" l="1"/>
  <c r="O161" i="1"/>
  <c r="U169" i="1"/>
  <c r="CB85" i="1"/>
  <c r="CO85" i="1" s="1"/>
  <c r="R353" i="4"/>
  <c r="R374" i="4" s="1"/>
  <c r="R343" i="4"/>
  <c r="AS100" i="4"/>
  <c r="AN100" i="4"/>
  <c r="AP100" i="4"/>
  <c r="AG100" i="4"/>
  <c r="U179" i="1" l="1"/>
  <c r="U170" i="1"/>
  <c r="R125" i="1"/>
  <c r="AN162" i="1"/>
  <c r="E162" i="1"/>
  <c r="M125" i="1"/>
  <c r="O125" i="1"/>
  <c r="CC85" i="1"/>
  <c r="CJ85" i="1"/>
  <c r="AF101" i="4"/>
  <c r="AT100" i="4"/>
  <c r="V180" i="1"/>
  <c r="V278" i="1" s="1"/>
  <c r="V171" i="1"/>
  <c r="S124" i="1"/>
  <c r="V202" i="1" l="1"/>
  <c r="V227" i="1"/>
  <c r="M126" i="1"/>
  <c r="R126" i="1"/>
  <c r="V269" i="1"/>
  <c r="V174" i="1"/>
  <c r="V272" i="1" s="1"/>
  <c r="S161" i="1"/>
  <c r="O126" i="1"/>
  <c r="CB86" i="1"/>
  <c r="CO86" i="1" s="1"/>
  <c r="CP85" i="1"/>
  <c r="AS101" i="4"/>
  <c r="AN101" i="4"/>
  <c r="AP101" i="4"/>
  <c r="AG101" i="4"/>
  <c r="V184" i="1"/>
  <c r="S125" i="1"/>
  <c r="U183" i="1" l="1"/>
  <c r="M127" i="1"/>
  <c r="R127" i="1"/>
  <c r="O127" i="1"/>
  <c r="CC86" i="1"/>
  <c r="CJ86" i="1"/>
  <c r="AF102" i="4"/>
  <c r="AT101" i="4"/>
  <c r="V296" i="1"/>
  <c r="S126" i="1"/>
  <c r="M128" i="1" l="1"/>
  <c r="R128" i="1"/>
  <c r="O128" i="1"/>
  <c r="CP86" i="1"/>
  <c r="CB87" i="1"/>
  <c r="CO87" i="1" s="1"/>
  <c r="AS102" i="4"/>
  <c r="AN102" i="4"/>
  <c r="AP102" i="4"/>
  <c r="AG102" i="4"/>
  <c r="S127" i="1"/>
  <c r="M129" i="1" l="1"/>
  <c r="R129" i="1"/>
  <c r="O129" i="1"/>
  <c r="CC87" i="1"/>
  <c r="CJ87" i="1"/>
  <c r="AT102" i="4"/>
  <c r="AF103" i="4"/>
  <c r="S128" i="1"/>
  <c r="M130" i="1" l="1"/>
  <c r="R130" i="1"/>
  <c r="O130" i="1"/>
  <c r="CB88" i="1"/>
  <c r="CO88" i="1" s="1"/>
  <c r="AS103" i="4"/>
  <c r="AN103" i="4"/>
  <c r="AP103" i="4"/>
  <c r="AG103" i="4"/>
  <c r="S129" i="1"/>
  <c r="M131" i="1" l="1"/>
  <c r="R131" i="1"/>
  <c r="O131" i="1"/>
  <c r="CC88" i="1"/>
  <c r="CJ88" i="1"/>
  <c r="AT103" i="4"/>
  <c r="AF104" i="4"/>
  <c r="S130" i="1"/>
  <c r="F162" i="1" l="1"/>
  <c r="AN163" i="1"/>
  <c r="O162" i="1"/>
  <c r="V169" i="1"/>
  <c r="CB89" i="1"/>
  <c r="CP88" i="1"/>
  <c r="AS104" i="4"/>
  <c r="AN104" i="4"/>
  <c r="AP104" i="4"/>
  <c r="AG104" i="4"/>
  <c r="W202" i="1" l="1"/>
  <c r="W227" i="1"/>
  <c r="V179" i="1"/>
  <c r="V170" i="1"/>
  <c r="M132" i="1"/>
  <c r="R132" i="1"/>
  <c r="E163" i="1"/>
  <c r="O132" i="1"/>
  <c r="CL156" i="1"/>
  <c r="P251" i="1" s="1"/>
  <c r="CJ89" i="1"/>
  <c r="CC89" i="1"/>
  <c r="CC156" i="1" s="1"/>
  <c r="P242" i="1" s="1"/>
  <c r="P268" i="1" s="1"/>
  <c r="AT104" i="4"/>
  <c r="AF105" i="4"/>
  <c r="AF194" i="4" s="1"/>
  <c r="S228" i="4" s="1"/>
  <c r="W180" i="1"/>
  <c r="W278" i="1" s="1"/>
  <c r="W171" i="1"/>
  <c r="I182" i="1"/>
  <c r="G182" i="1"/>
  <c r="S131" i="1"/>
  <c r="I177" i="1"/>
  <c r="M133" i="1" l="1"/>
  <c r="R133" i="1"/>
  <c r="W269" i="1"/>
  <c r="W174" i="1"/>
  <c r="W272" i="1" s="1"/>
  <c r="S132" i="1"/>
  <c r="O133" i="1"/>
  <c r="S162" i="1"/>
  <c r="S163" i="1"/>
  <c r="O163" i="1"/>
  <c r="W169" i="1"/>
  <c r="CP89" i="1"/>
  <c r="CP156" i="1" s="1"/>
  <c r="P255" i="1" s="1"/>
  <c r="CB90" i="1"/>
  <c r="AS105" i="4"/>
  <c r="AN105" i="4"/>
  <c r="AP105" i="4"/>
  <c r="AP194" i="4" s="1"/>
  <c r="S238" i="4" s="1"/>
  <c r="AG105" i="4"/>
  <c r="AG194" i="4" s="1"/>
  <c r="S229" i="4" s="1"/>
  <c r="W184" i="1"/>
  <c r="CB157" i="1" l="1"/>
  <c r="Q241" i="1" s="1"/>
  <c r="Q267" i="1" s="1"/>
  <c r="Q282" i="1" s="1"/>
  <c r="CO90" i="1"/>
  <c r="V183" i="1"/>
  <c r="W183" i="1"/>
  <c r="W179" i="1"/>
  <c r="M134" i="1"/>
  <c r="R134" i="1"/>
  <c r="S133" i="1"/>
  <c r="O134" i="1"/>
  <c r="P291" i="1"/>
  <c r="CC90" i="1"/>
  <c r="CJ90" i="1"/>
  <c r="S337" i="4"/>
  <c r="S349" i="4"/>
  <c r="S326" i="4"/>
  <c r="AF106" i="4"/>
  <c r="AT105" i="4"/>
  <c r="AT194" i="4" s="1"/>
  <c r="S242" i="4" s="1"/>
  <c r="W296" i="1"/>
  <c r="P317" i="1" l="1"/>
  <c r="N5" i="5" s="1"/>
  <c r="M135" i="1"/>
  <c r="R135" i="1"/>
  <c r="O135" i="1"/>
  <c r="S134" i="1"/>
  <c r="P301" i="1"/>
  <c r="P275" i="1"/>
  <c r="P302" i="1" s="1"/>
  <c r="P277" i="1"/>
  <c r="P303" i="1" s="1"/>
  <c r="P305" i="1"/>
  <c r="CB91" i="1"/>
  <c r="CO91" i="1" s="1"/>
  <c r="S327" i="4"/>
  <c r="S328" i="4"/>
  <c r="AS106" i="4"/>
  <c r="AN106" i="4"/>
  <c r="AP106" i="4"/>
  <c r="S334" i="4"/>
  <c r="S359" i="4" s="1"/>
  <c r="S336" i="4"/>
  <c r="S360" i="4" s="1"/>
  <c r="AG106" i="4"/>
  <c r="M136" i="1" l="1"/>
  <c r="R136" i="1"/>
  <c r="O136" i="1"/>
  <c r="S135" i="1"/>
  <c r="CP90" i="1"/>
  <c r="CC91" i="1"/>
  <c r="CJ91" i="1"/>
  <c r="S358" i="4"/>
  <c r="S353" i="4"/>
  <c r="S374" i="4" s="1"/>
  <c r="S343" i="4"/>
  <c r="AF107" i="4"/>
  <c r="AT106" i="4"/>
  <c r="M137" i="1" l="1"/>
  <c r="R137" i="1"/>
  <c r="O137" i="1"/>
  <c r="S136" i="1"/>
  <c r="CB92" i="1"/>
  <c r="CO92" i="1" s="1"/>
  <c r="AS107" i="4"/>
  <c r="AN107" i="4"/>
  <c r="AP107" i="4"/>
  <c r="AG107" i="4"/>
  <c r="M138" i="1" l="1"/>
  <c r="R138" i="1"/>
  <c r="O138" i="1"/>
  <c r="S137" i="1"/>
  <c r="CC92" i="1"/>
  <c r="CJ92" i="1"/>
  <c r="CP91" i="1"/>
  <c r="AT107" i="4"/>
  <c r="AF108" i="4"/>
  <c r="F163" i="1" l="1"/>
  <c r="M145" i="1"/>
  <c r="R150" i="1"/>
  <c r="M146" i="1"/>
  <c r="M147" i="1"/>
  <c r="M148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S138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CB93" i="1"/>
  <c r="CO93" i="1" s="1"/>
  <c r="AS108" i="4"/>
  <c r="AN108" i="4"/>
  <c r="AP108" i="4"/>
  <c r="AG108" i="4"/>
  <c r="U182" i="1" l="1"/>
  <c r="M182" i="1"/>
  <c r="Q177" i="1"/>
  <c r="H177" i="1"/>
  <c r="E182" i="1"/>
  <c r="T182" i="1"/>
  <c r="P182" i="1"/>
  <c r="L182" i="1"/>
  <c r="T177" i="1"/>
  <c r="P177" i="1"/>
  <c r="L177" i="1"/>
  <c r="G177" i="1"/>
  <c r="E177" i="1"/>
  <c r="M177" i="1"/>
  <c r="W182" i="1"/>
  <c r="W280" i="1" s="1"/>
  <c r="S182" i="1"/>
  <c r="O182" i="1"/>
  <c r="K182" i="1"/>
  <c r="W177" i="1"/>
  <c r="S177" i="1"/>
  <c r="O177" i="1"/>
  <c r="K177" i="1"/>
  <c r="F177" i="1"/>
  <c r="Q182" i="1"/>
  <c r="F182" i="1"/>
  <c r="U177" i="1"/>
  <c r="V182" i="1"/>
  <c r="R182" i="1"/>
  <c r="N182" i="1"/>
  <c r="H182" i="1"/>
  <c r="V177" i="1"/>
  <c r="R177" i="1"/>
  <c r="N177" i="1"/>
  <c r="J177" i="1"/>
  <c r="J182" i="1"/>
  <c r="W170" i="1"/>
  <c r="CC93" i="1"/>
  <c r="CJ93" i="1"/>
  <c r="CP92" i="1"/>
  <c r="AT108" i="4"/>
  <c r="AF109" i="4"/>
  <c r="CP93" i="1" l="1"/>
  <c r="CB94" i="1"/>
  <c r="CO94" i="1" s="1"/>
  <c r="AS109" i="4"/>
  <c r="AN109" i="4"/>
  <c r="AP109" i="4"/>
  <c r="AG109" i="4"/>
  <c r="CC94" i="1" l="1"/>
  <c r="CJ94" i="1"/>
  <c r="AT109" i="4"/>
  <c r="AF110" i="4"/>
  <c r="CB95" i="1" l="1"/>
  <c r="CO95" i="1" s="1"/>
  <c r="CP94" i="1"/>
  <c r="AS110" i="4"/>
  <c r="AN110" i="4"/>
  <c r="AP110" i="4"/>
  <c r="AG110" i="4"/>
  <c r="CC95" i="1" l="1"/>
  <c r="CJ95" i="1"/>
  <c r="AT110" i="4"/>
  <c r="AF111" i="4"/>
  <c r="CP95" i="1" l="1"/>
  <c r="CB96" i="1"/>
  <c r="CO96" i="1" s="1"/>
  <c r="AS111" i="4"/>
  <c r="AN111" i="4"/>
  <c r="AP111" i="4"/>
  <c r="AG111" i="4"/>
  <c r="CL157" i="1" l="1"/>
  <c r="Q251" i="1" s="1"/>
  <c r="CJ96" i="1"/>
  <c r="CC96" i="1"/>
  <c r="CC157" i="1" s="1"/>
  <c r="Q242" i="1" s="1"/>
  <c r="Q268" i="1" s="1"/>
  <c r="AF112" i="4"/>
  <c r="AF195" i="4" s="1"/>
  <c r="T228" i="4" s="1"/>
  <c r="CB97" i="1" l="1"/>
  <c r="CP96" i="1"/>
  <c r="CP157" i="1" s="1"/>
  <c r="Q255" i="1" s="1"/>
  <c r="AS112" i="4"/>
  <c r="AN112" i="4"/>
  <c r="AN195" i="4" s="1"/>
  <c r="T236" i="4" s="1"/>
  <c r="AP112" i="4"/>
  <c r="AP195" i="4" s="1"/>
  <c r="T238" i="4" s="1"/>
  <c r="AG112" i="4"/>
  <c r="AG195" i="4" s="1"/>
  <c r="T229" i="4" s="1"/>
  <c r="AT111" i="4"/>
  <c r="CB158" i="1" l="1"/>
  <c r="R241" i="1" s="1"/>
  <c r="R267" i="1" s="1"/>
  <c r="R282" i="1" s="1"/>
  <c r="CO97" i="1"/>
  <c r="Q291" i="1"/>
  <c r="Q305" i="1"/>
  <c r="CC97" i="1"/>
  <c r="CJ97" i="1"/>
  <c r="T351" i="4"/>
  <c r="T337" i="4"/>
  <c r="T349" i="4"/>
  <c r="T326" i="4"/>
  <c r="AF113" i="4"/>
  <c r="Q317" i="1" l="1"/>
  <c r="O5" i="5" s="1"/>
  <c r="Q277" i="1"/>
  <c r="Q303" i="1" s="1"/>
  <c r="Q275" i="1"/>
  <c r="Q302" i="1" s="1"/>
  <c r="Q301" i="1"/>
  <c r="CB98" i="1"/>
  <c r="CO98" i="1" s="1"/>
  <c r="T327" i="4"/>
  <c r="T328" i="4"/>
  <c r="AS113" i="4"/>
  <c r="AN113" i="4"/>
  <c r="AP113" i="4"/>
  <c r="T334" i="4"/>
  <c r="T359" i="4" s="1"/>
  <c r="T336" i="4"/>
  <c r="T360" i="4" s="1"/>
  <c r="AT112" i="4"/>
  <c r="AT195" i="4" s="1"/>
  <c r="T242" i="4" s="1"/>
  <c r="AS195" i="4"/>
  <c r="T241" i="4" s="1"/>
  <c r="AG113" i="4"/>
  <c r="CC98" i="1" l="1"/>
  <c r="CJ98" i="1"/>
  <c r="CP97" i="1"/>
  <c r="T358" i="4"/>
  <c r="T363" i="4"/>
  <c r="T339" i="4"/>
  <c r="T361" i="4" s="1"/>
  <c r="T340" i="4"/>
  <c r="T362" i="4" s="1"/>
  <c r="AF114" i="4"/>
  <c r="T375" i="4" l="1"/>
  <c r="CB99" i="1"/>
  <c r="CO99" i="1" s="1"/>
  <c r="T343" i="4"/>
  <c r="T353" i="4"/>
  <c r="T374" i="4" s="1"/>
  <c r="AS114" i="4"/>
  <c r="AN114" i="4"/>
  <c r="AP114" i="4"/>
  <c r="AT113" i="4"/>
  <c r="AG114" i="4"/>
  <c r="CC99" i="1" l="1"/>
  <c r="CJ99" i="1"/>
  <c r="CP98" i="1"/>
  <c r="AF115" i="4"/>
  <c r="CB100" i="1" l="1"/>
  <c r="CO100" i="1" s="1"/>
  <c r="AS115" i="4"/>
  <c r="AN115" i="4"/>
  <c r="AP115" i="4"/>
  <c r="AT114" i="4"/>
  <c r="AG115" i="4"/>
  <c r="CC100" i="1" l="1"/>
  <c r="CJ100" i="1"/>
  <c r="CP99" i="1"/>
  <c r="AF116" i="4"/>
  <c r="CB101" i="1" l="1"/>
  <c r="CO101" i="1" s="1"/>
  <c r="AS116" i="4"/>
  <c r="AN116" i="4"/>
  <c r="AP116" i="4"/>
  <c r="AG116" i="4"/>
  <c r="AT115" i="4"/>
  <c r="CC101" i="1" l="1"/>
  <c r="CJ101" i="1"/>
  <c r="CP100" i="1"/>
  <c r="AF117" i="4"/>
  <c r="CB102" i="1" l="1"/>
  <c r="CO102" i="1" s="1"/>
  <c r="AS117" i="4"/>
  <c r="AN117" i="4"/>
  <c r="AP117" i="4"/>
  <c r="AG117" i="4"/>
  <c r="AT116" i="4"/>
  <c r="CC102" i="1" l="1"/>
  <c r="CJ102" i="1"/>
  <c r="CP101" i="1"/>
  <c r="AF118" i="4"/>
  <c r="CP102" i="1" l="1"/>
  <c r="CB103" i="1"/>
  <c r="CO103" i="1" s="1"/>
  <c r="AS118" i="4"/>
  <c r="AN118" i="4"/>
  <c r="AP118" i="4"/>
  <c r="AT117" i="4"/>
  <c r="AG118" i="4"/>
  <c r="CL158" i="1" l="1"/>
  <c r="R251" i="1" s="1"/>
  <c r="CJ103" i="1"/>
  <c r="CC103" i="1"/>
  <c r="AT118" i="4"/>
  <c r="AF119" i="4"/>
  <c r="AF196" i="4" s="1"/>
  <c r="U228" i="4" s="1"/>
  <c r="CB104" i="1" l="1"/>
  <c r="CO104" i="1" s="1"/>
  <c r="CC158" i="1"/>
  <c r="R242" i="1" s="1"/>
  <c r="R268" i="1" s="1"/>
  <c r="CP103" i="1"/>
  <c r="CP158" i="1" s="1"/>
  <c r="R255" i="1" s="1"/>
  <c r="AS119" i="4"/>
  <c r="AN119" i="4"/>
  <c r="AP119" i="4"/>
  <c r="AP196" i="4" s="1"/>
  <c r="U238" i="4" s="1"/>
  <c r="AG119" i="4"/>
  <c r="AG196" i="4" s="1"/>
  <c r="U229" i="4" s="1"/>
  <c r="CC104" i="1" l="1"/>
  <c r="CB159" i="1"/>
  <c r="S241" i="1" s="1"/>
  <c r="S267" i="1" s="1"/>
  <c r="S282" i="1" s="1"/>
  <c r="R291" i="1"/>
  <c r="R305" i="1"/>
  <c r="CJ104" i="1"/>
  <c r="U337" i="4"/>
  <c r="U349" i="4"/>
  <c r="U326" i="4"/>
  <c r="AF120" i="4"/>
  <c r="AT119" i="4"/>
  <c r="R317" i="1" l="1"/>
  <c r="P5" i="5" s="1"/>
  <c r="R301" i="1"/>
  <c r="R275" i="1"/>
  <c r="R302" i="1" s="1"/>
  <c r="R277" i="1"/>
  <c r="R303" i="1" s="1"/>
  <c r="CB105" i="1"/>
  <c r="CO105" i="1" s="1"/>
  <c r="U363" i="4"/>
  <c r="AT196" i="4"/>
  <c r="U242" i="4" s="1"/>
  <c r="U358" i="4"/>
  <c r="U328" i="4"/>
  <c r="AS120" i="4"/>
  <c r="AN120" i="4"/>
  <c r="AP120" i="4"/>
  <c r="U334" i="4"/>
  <c r="U359" i="4" s="1"/>
  <c r="U336" i="4"/>
  <c r="U360" i="4" s="1"/>
  <c r="AG120" i="4"/>
  <c r="CC105" i="1" l="1"/>
  <c r="CJ105" i="1"/>
  <c r="CP104" i="1"/>
  <c r="U327" i="4"/>
  <c r="AF121" i="4"/>
  <c r="AT120" i="4"/>
  <c r="CB106" i="1" l="1"/>
  <c r="CO106" i="1" s="1"/>
  <c r="U353" i="4"/>
  <c r="U374" i="4" s="1"/>
  <c r="U343" i="4"/>
  <c r="AS121" i="4"/>
  <c r="AN121" i="4"/>
  <c r="AP121" i="4"/>
  <c r="AG121" i="4"/>
  <c r="CC106" i="1" l="1"/>
  <c r="CJ106" i="1"/>
  <c r="CP105" i="1"/>
  <c r="AT121" i="4"/>
  <c r="AF122" i="4"/>
  <c r="CB107" i="1" l="1"/>
  <c r="CO107" i="1" s="1"/>
  <c r="AS122" i="4"/>
  <c r="AN122" i="4"/>
  <c r="AP122" i="4"/>
  <c r="AG122" i="4"/>
  <c r="CC107" i="1" l="1"/>
  <c r="CJ107" i="1"/>
  <c r="CP106" i="1"/>
  <c r="AF123" i="4"/>
  <c r="AT122" i="4"/>
  <c r="CB108" i="1" l="1"/>
  <c r="CO108" i="1" s="1"/>
  <c r="AS123" i="4"/>
  <c r="AN123" i="4"/>
  <c r="AP123" i="4"/>
  <c r="AG123" i="4"/>
  <c r="CC108" i="1" l="1"/>
  <c r="CJ108" i="1"/>
  <c r="CP107" i="1"/>
  <c r="AF124" i="4"/>
  <c r="AT123" i="4"/>
  <c r="CB109" i="1" l="1"/>
  <c r="CO109" i="1" s="1"/>
  <c r="CP108" i="1"/>
  <c r="AS124" i="4"/>
  <c r="AN124" i="4"/>
  <c r="AP124" i="4"/>
  <c r="AG124" i="4"/>
  <c r="CC109" i="1" l="1"/>
  <c r="CJ109" i="1"/>
  <c r="AF125" i="4"/>
  <c r="AT124" i="4"/>
  <c r="AN193" i="4"/>
  <c r="R236" i="4" s="1"/>
  <c r="AN194" i="4"/>
  <c r="S236" i="4" s="1"/>
  <c r="CB110" i="1" l="1"/>
  <c r="CO110" i="1" s="1"/>
  <c r="CP109" i="1"/>
  <c r="S351" i="4"/>
  <c r="R351" i="4"/>
  <c r="AS125" i="4"/>
  <c r="AN125" i="4"/>
  <c r="AP125" i="4"/>
  <c r="AG125" i="4"/>
  <c r="AS193" i="4"/>
  <c r="R241" i="4" s="1"/>
  <c r="AS194" i="4"/>
  <c r="S241" i="4" s="1"/>
  <c r="CL159" i="1" l="1"/>
  <c r="S251" i="1" s="1"/>
  <c r="CJ110" i="1"/>
  <c r="CC110" i="1"/>
  <c r="CC159" i="1" s="1"/>
  <c r="S242" i="1" s="1"/>
  <c r="S268" i="1" s="1"/>
  <c r="S340" i="4"/>
  <c r="S362" i="4" s="1"/>
  <c r="R339" i="4"/>
  <c r="R361" i="4" s="1"/>
  <c r="R375" i="4" s="1"/>
  <c r="R340" i="4"/>
  <c r="R362" i="4" s="1"/>
  <c r="S339" i="4"/>
  <c r="S361" i="4" s="1"/>
  <c r="S375" i="4" s="1"/>
  <c r="AF126" i="4"/>
  <c r="AF197" i="4" s="1"/>
  <c r="V228" i="4" s="1"/>
  <c r="CP110" i="1" l="1"/>
  <c r="CP159" i="1" s="1"/>
  <c r="S255" i="1" s="1"/>
  <c r="CB111" i="1"/>
  <c r="AS126" i="4"/>
  <c r="AN126" i="4"/>
  <c r="AP126" i="4"/>
  <c r="AP197" i="4" s="1"/>
  <c r="V238" i="4" s="1"/>
  <c r="AN197" i="4"/>
  <c r="V236" i="4" s="1"/>
  <c r="AG126" i="4"/>
  <c r="AG197" i="4" s="1"/>
  <c r="V229" i="4" s="1"/>
  <c r="AT125" i="4"/>
  <c r="CB160" i="1" l="1"/>
  <c r="T241" i="1" s="1"/>
  <c r="T267" i="1" s="1"/>
  <c r="T282" i="1" s="1"/>
  <c r="CO111" i="1"/>
  <c r="S291" i="1"/>
  <c r="CC111" i="1"/>
  <c r="CJ111" i="1"/>
  <c r="V351" i="4"/>
  <c r="V337" i="4"/>
  <c r="V326" i="4"/>
  <c r="V349" i="4"/>
  <c r="AF127" i="4"/>
  <c r="S317" i="1" l="1"/>
  <c r="Q5" i="5" s="1"/>
  <c r="S301" i="1"/>
  <c r="S275" i="1"/>
  <c r="S302" i="1" s="1"/>
  <c r="S277" i="1"/>
  <c r="S303" i="1" s="1"/>
  <c r="S305" i="1"/>
  <c r="CB112" i="1"/>
  <c r="CO112" i="1" s="1"/>
  <c r="V327" i="4"/>
  <c r="V328" i="4"/>
  <c r="AS127" i="4"/>
  <c r="AN127" i="4"/>
  <c r="AP127" i="4"/>
  <c r="V334" i="4"/>
  <c r="V359" i="4" s="1"/>
  <c r="V336" i="4"/>
  <c r="V360" i="4" s="1"/>
  <c r="AT126" i="4"/>
  <c r="AS197" i="4"/>
  <c r="V241" i="4" s="1"/>
  <c r="AG127" i="4"/>
  <c r="CC112" i="1" l="1"/>
  <c r="CJ112" i="1"/>
  <c r="CP111" i="1"/>
  <c r="V363" i="4"/>
  <c r="AT197" i="4"/>
  <c r="V242" i="4" s="1"/>
  <c r="V358" i="4"/>
  <c r="V339" i="4"/>
  <c r="V361" i="4" s="1"/>
  <c r="AF128" i="4"/>
  <c r="V375" i="4" l="1"/>
  <c r="CB113" i="1"/>
  <c r="CO113" i="1" s="1"/>
  <c r="AS128" i="4"/>
  <c r="AN128" i="4"/>
  <c r="AP128" i="4"/>
  <c r="V340" i="4"/>
  <c r="V362" i="4" s="1"/>
  <c r="AT127" i="4"/>
  <c r="AG128" i="4"/>
  <c r="CP112" i="1" l="1"/>
  <c r="CC113" i="1"/>
  <c r="CJ113" i="1"/>
  <c r="V353" i="4"/>
  <c r="V374" i="4" s="1"/>
  <c r="V343" i="4"/>
  <c r="AF129" i="4"/>
  <c r="AT128" i="4"/>
  <c r="CB114" i="1" l="1"/>
  <c r="CO114" i="1" s="1"/>
  <c r="AS129" i="4"/>
  <c r="AN129" i="4"/>
  <c r="AP129" i="4"/>
  <c r="AG129" i="4"/>
  <c r="CC114" i="1" l="1"/>
  <c r="CJ114" i="1"/>
  <c r="CP113" i="1"/>
  <c r="AF130" i="4"/>
  <c r="CO115" i="1" l="1"/>
  <c r="AS130" i="4"/>
  <c r="AN130" i="4"/>
  <c r="AP130" i="4"/>
  <c r="AG130" i="4"/>
  <c r="AT129" i="4"/>
  <c r="CP114" i="1" l="1"/>
  <c r="CC115" i="1"/>
  <c r="CJ115" i="1"/>
  <c r="AF131" i="4"/>
  <c r="AT130" i="4"/>
  <c r="CO116" i="1" l="1"/>
  <c r="AS131" i="4"/>
  <c r="AN131" i="4"/>
  <c r="AP131" i="4"/>
  <c r="AG131" i="4"/>
  <c r="CC116" i="1" l="1"/>
  <c r="CJ116" i="1"/>
  <c r="CP115" i="1"/>
  <c r="AF132" i="4"/>
  <c r="AT131" i="4"/>
  <c r="CP116" i="1" l="1"/>
  <c r="CO117" i="1"/>
  <c r="AS132" i="4"/>
  <c r="AN132" i="4"/>
  <c r="AP132" i="4"/>
  <c r="AG132" i="4"/>
  <c r="CL160" i="1" l="1"/>
  <c r="T251" i="1" s="1"/>
  <c r="CJ117" i="1"/>
  <c r="CC117" i="1"/>
  <c r="CC160" i="1" s="1"/>
  <c r="T242" i="1" s="1"/>
  <c r="T268" i="1" s="1"/>
  <c r="AT132" i="4"/>
  <c r="AF133" i="4"/>
  <c r="AF198" i="4" s="1"/>
  <c r="W228" i="4" s="1"/>
  <c r="CP117" i="1" l="1"/>
  <c r="CP160" i="1" s="1"/>
  <c r="T255" i="1" s="1"/>
  <c r="AS133" i="4"/>
  <c r="AS181" i="4" s="1"/>
  <c r="F241" i="4" s="1"/>
  <c r="AN133" i="4"/>
  <c r="AN181" i="4" s="1"/>
  <c r="F236" i="4" s="1"/>
  <c r="AP133" i="4"/>
  <c r="AP198" i="4" s="1"/>
  <c r="W238" i="4" s="1"/>
  <c r="AG133" i="4"/>
  <c r="AG198" i="4" s="1"/>
  <c r="W229" i="4" s="1"/>
  <c r="CB161" i="1" l="1"/>
  <c r="U241" i="1" s="1"/>
  <c r="U267" i="1" s="1"/>
  <c r="U282" i="1" s="1"/>
  <c r="CO118" i="1"/>
  <c r="T291" i="1"/>
  <c r="T305" i="1"/>
  <c r="F339" i="4"/>
  <c r="F361" i="4" s="1"/>
  <c r="CC118" i="1"/>
  <c r="CJ118" i="1"/>
  <c r="W337" i="4"/>
  <c r="W349" i="4"/>
  <c r="W326" i="4"/>
  <c r="AN196" i="4"/>
  <c r="U236" i="4" s="1"/>
  <c r="AN198" i="4"/>
  <c r="W236" i="4" s="1"/>
  <c r="T317" i="1" l="1"/>
  <c r="R5" i="5" s="1"/>
  <c r="F375" i="4"/>
  <c r="T301" i="1"/>
  <c r="T275" i="1"/>
  <c r="T302" i="1" s="1"/>
  <c r="T277" i="1"/>
  <c r="T303" i="1" s="1"/>
  <c r="CB119" i="1"/>
  <c r="CO119" i="1" s="1"/>
  <c r="U351" i="4"/>
  <c r="W351" i="4"/>
  <c r="W327" i="4"/>
  <c r="W328" i="4"/>
  <c r="W334" i="4"/>
  <c r="W359" i="4" s="1"/>
  <c r="W336" i="4"/>
  <c r="W360" i="4" s="1"/>
  <c r="W358" i="4"/>
  <c r="AS192" i="4"/>
  <c r="Q241" i="4" s="1"/>
  <c r="AS196" i="4"/>
  <c r="U241" i="4" s="1"/>
  <c r="AS198" i="4"/>
  <c r="W241" i="4" s="1"/>
  <c r="AT133" i="4"/>
  <c r="AT198" i="4" s="1"/>
  <c r="W242" i="4" s="1"/>
  <c r="CP118" i="1" l="1"/>
  <c r="CC119" i="1"/>
  <c r="CJ119" i="1"/>
  <c r="W363" i="4"/>
  <c r="U340" i="4"/>
  <c r="U362" i="4" s="1"/>
  <c r="Q340" i="4"/>
  <c r="Q362" i="4" s="1"/>
  <c r="W340" i="4"/>
  <c r="W362" i="4" s="1"/>
  <c r="W339" i="4"/>
  <c r="W361" i="4" s="1"/>
  <c r="U339" i="4"/>
  <c r="U361" i="4" s="1"/>
  <c r="U375" i="4" s="1"/>
  <c r="Q339" i="4"/>
  <c r="Q361" i="4" s="1"/>
  <c r="Q375" i="4" s="1"/>
  <c r="W375" i="4" l="1"/>
  <c r="CP119" i="1"/>
  <c r="CO120" i="1"/>
  <c r="W353" i="4"/>
  <c r="W374" i="4" s="1"/>
  <c r="W343" i="4"/>
  <c r="CC120" i="1" l="1"/>
  <c r="CJ120" i="1"/>
  <c r="CB121" i="1" l="1"/>
  <c r="CO121" i="1" s="1"/>
  <c r="CP120" i="1" l="1"/>
  <c r="CC121" i="1"/>
  <c r="CJ121" i="1"/>
  <c r="CB122" i="1" l="1"/>
  <c r="CO122" i="1" s="1"/>
  <c r="CP121" i="1" l="1"/>
  <c r="CC122" i="1"/>
  <c r="CJ122" i="1"/>
  <c r="CB123" i="1" l="1"/>
  <c r="CO123" i="1" s="1"/>
  <c r="CP122" i="1"/>
  <c r="CC123" i="1" l="1"/>
  <c r="CJ123" i="1"/>
  <c r="CP123" i="1" l="1"/>
  <c r="CB124" i="1"/>
  <c r="CO124" i="1" s="1"/>
  <c r="CL161" i="1" l="1"/>
  <c r="U251" i="1" s="1"/>
  <c r="CJ124" i="1"/>
  <c r="CC124" i="1"/>
  <c r="CC161" i="1" s="1"/>
  <c r="U242" i="1" s="1"/>
  <c r="U268" i="1" s="1"/>
  <c r="CB125" i="1" l="1"/>
  <c r="CP124" i="1"/>
  <c r="CP161" i="1" s="1"/>
  <c r="U255" i="1" s="1"/>
  <c r="CB162" i="1" l="1"/>
  <c r="V241" i="1" s="1"/>
  <c r="V267" i="1" s="1"/>
  <c r="V282" i="1" s="1"/>
  <c r="CO125" i="1"/>
  <c r="U291" i="1"/>
  <c r="U305" i="1"/>
  <c r="CC125" i="1"/>
  <c r="CJ125" i="1"/>
  <c r="U317" i="1" l="1"/>
  <c r="S5" i="5" s="1"/>
  <c r="U301" i="1"/>
  <c r="U275" i="1"/>
  <c r="U302" i="1" s="1"/>
  <c r="U277" i="1"/>
  <c r="U303" i="1" s="1"/>
  <c r="CP125" i="1"/>
  <c r="CB126" i="1"/>
  <c r="CO126" i="1" s="1"/>
  <c r="CC126" i="1" l="1"/>
  <c r="CJ126" i="1"/>
  <c r="CP126" i="1" l="1"/>
  <c r="CB127" i="1"/>
  <c r="CO127" i="1" s="1"/>
  <c r="CC127" i="1" l="1"/>
  <c r="CJ127" i="1"/>
  <c r="CP127" i="1" l="1"/>
  <c r="CB128" i="1"/>
  <c r="CO128" i="1" s="1"/>
  <c r="CC128" i="1" l="1"/>
  <c r="CJ128" i="1"/>
  <c r="CB129" i="1" l="1"/>
  <c r="CO129" i="1" s="1"/>
  <c r="CP128" i="1"/>
  <c r="CC129" i="1" l="1"/>
  <c r="CJ129" i="1"/>
  <c r="CB130" i="1" l="1"/>
  <c r="CP129" i="1"/>
  <c r="CJ130" i="1" l="1"/>
  <c r="CO130" i="1"/>
  <c r="CC130" i="1"/>
  <c r="CP130" i="1" l="1"/>
  <c r="CB131" i="1"/>
  <c r="CO131" i="1" s="1"/>
  <c r="CO149" i="1" l="1"/>
  <c r="CL162" i="1"/>
  <c r="V251" i="1" s="1"/>
  <c r="CJ131" i="1"/>
  <c r="CC131" i="1"/>
  <c r="CB132" i="1" l="1"/>
  <c r="CO132" i="1" s="1"/>
  <c r="CC162" i="1"/>
  <c r="V242" i="1" s="1"/>
  <c r="V268" i="1" s="1"/>
  <c r="CO145" i="1"/>
  <c r="E254" i="1" s="1"/>
  <c r="E280" i="1" s="1"/>
  <c r="CO146" i="1"/>
  <c r="CO148" i="1"/>
  <c r="CO153" i="1"/>
  <c r="CO156" i="1"/>
  <c r="P254" i="1" s="1"/>
  <c r="P280" i="1" s="1"/>
  <c r="CO157" i="1"/>
  <c r="Q254" i="1" s="1"/>
  <c r="Q280" i="1" s="1"/>
  <c r="CO155" i="1"/>
  <c r="O254" i="1" s="1"/>
  <c r="O280" i="1" s="1"/>
  <c r="CO160" i="1"/>
  <c r="T254" i="1" s="1"/>
  <c r="T280" i="1" s="1"/>
  <c r="CO150" i="1"/>
  <c r="CO154" i="1"/>
  <c r="CO159" i="1"/>
  <c r="S254" i="1" s="1"/>
  <c r="S280" i="1" s="1"/>
  <c r="CO158" i="1"/>
  <c r="R254" i="1" s="1"/>
  <c r="R280" i="1" s="1"/>
  <c r="CO147" i="1"/>
  <c r="G254" i="1" s="1"/>
  <c r="G280" i="1" s="1"/>
  <c r="CO151" i="1"/>
  <c r="CO152" i="1"/>
  <c r="CO161" i="1"/>
  <c r="U254" i="1" s="1"/>
  <c r="U280" i="1" s="1"/>
  <c r="CO162" i="1"/>
  <c r="V254" i="1" s="1"/>
  <c r="V280" i="1" s="1"/>
  <c r="M254" i="1" l="1"/>
  <c r="L254" i="1"/>
  <c r="L280" i="1" s="1"/>
  <c r="H254" i="1"/>
  <c r="H280" i="1" s="1"/>
  <c r="J254" i="1"/>
  <c r="J280" i="1" s="1"/>
  <c r="F254" i="1"/>
  <c r="F280" i="1" s="1"/>
  <c r="K254" i="1"/>
  <c r="K280" i="1" s="1"/>
  <c r="N254" i="1"/>
  <c r="N280" i="1" s="1"/>
  <c r="I254" i="1"/>
  <c r="I280" i="1" s="1"/>
  <c r="E304" i="1"/>
  <c r="E318" i="1" s="1"/>
  <c r="C6" i="5" s="1"/>
  <c r="G304" i="1"/>
  <c r="CB163" i="1"/>
  <c r="W241" i="1" s="1"/>
  <c r="W267" i="1" s="1"/>
  <c r="W282" i="1" s="1"/>
  <c r="CC132" i="1"/>
  <c r="CB133" i="1" s="1"/>
  <c r="CO133" i="1" s="1"/>
  <c r="CJ132" i="1"/>
  <c r="V291" i="1"/>
  <c r="CP131" i="1"/>
  <c r="CP162" i="1" s="1"/>
  <c r="V255" i="1" s="1"/>
  <c r="M280" i="1" l="1"/>
  <c r="M304" i="1" s="1"/>
  <c r="M318" i="1" s="1"/>
  <c r="K6" i="5" s="1"/>
  <c r="G318" i="1"/>
  <c r="E6" i="5" s="1"/>
  <c r="V317" i="1"/>
  <c r="T5" i="5" s="1"/>
  <c r="N304" i="1"/>
  <c r="H304" i="1"/>
  <c r="K304" i="1"/>
  <c r="L304" i="1"/>
  <c r="F304" i="1"/>
  <c r="F318" i="1" s="1"/>
  <c r="D6" i="5" s="1"/>
  <c r="I304" i="1"/>
  <c r="I318" i="1" s="1"/>
  <c r="G6" i="5" s="1"/>
  <c r="J304" i="1"/>
  <c r="W291" i="1"/>
  <c r="CJ133" i="1"/>
  <c r="CC133" i="1"/>
  <c r="CB134" i="1" s="1"/>
  <c r="CO134" i="1" s="1"/>
  <c r="CP132" i="1"/>
  <c r="V275" i="1"/>
  <c r="V302" i="1" s="1"/>
  <c r="V277" i="1"/>
  <c r="V303" i="1" s="1"/>
  <c r="V301" i="1"/>
  <c r="V305" i="1"/>
  <c r="S304" i="1"/>
  <c r="V304" i="1"/>
  <c r="R304" i="1"/>
  <c r="W304" i="1"/>
  <c r="U304" i="1"/>
  <c r="Q304" i="1"/>
  <c r="O304" i="1"/>
  <c r="T304" i="1"/>
  <c r="P304" i="1"/>
  <c r="T318" i="1" l="1"/>
  <c r="R6" i="5" s="1"/>
  <c r="J318" i="1"/>
  <c r="H6" i="5" s="1"/>
  <c r="K318" i="1"/>
  <c r="I6" i="5" s="1"/>
  <c r="Q318" i="1"/>
  <c r="O6" i="5" s="1"/>
  <c r="O318" i="1"/>
  <c r="M6" i="5" s="1"/>
  <c r="R318" i="1"/>
  <c r="P6" i="5" s="1"/>
  <c r="H318" i="1"/>
  <c r="F6" i="5" s="1"/>
  <c r="N318" i="1"/>
  <c r="L6" i="5" s="1"/>
  <c r="P318" i="1"/>
  <c r="N6" i="5" s="1"/>
  <c r="U318" i="1"/>
  <c r="S6" i="5" s="1"/>
  <c r="S318" i="1"/>
  <c r="Q6" i="5" s="1"/>
  <c r="L318" i="1"/>
  <c r="J6" i="5" s="1"/>
  <c r="V318" i="1"/>
  <c r="T6" i="5" s="1"/>
  <c r="W317" i="1"/>
  <c r="U5" i="5" s="1"/>
  <c r="W275" i="1"/>
  <c r="W302" i="1" s="1"/>
  <c r="W277" i="1"/>
  <c r="W303" i="1" s="1"/>
  <c r="CC134" i="1"/>
  <c r="CB135" i="1" s="1"/>
  <c r="CO135" i="1" s="1"/>
  <c r="CJ134" i="1"/>
  <c r="CP133" i="1"/>
  <c r="CP134" i="1" l="1"/>
  <c r="CC135" i="1"/>
  <c r="CB136" i="1" s="1"/>
  <c r="CO136" i="1" s="1"/>
  <c r="CJ135" i="1"/>
  <c r="CP135" i="1" l="1"/>
  <c r="CC136" i="1"/>
  <c r="CB137" i="1" s="1"/>
  <c r="CO137" i="1" s="1"/>
  <c r="CJ136" i="1"/>
  <c r="CP136" i="1" l="1"/>
  <c r="CC137" i="1"/>
  <c r="CB138" i="1" s="1"/>
  <c r="CO138" i="1" s="1"/>
  <c r="CJ137" i="1"/>
  <c r="CP137" i="1" l="1"/>
  <c r="CC138" i="1"/>
  <c r="CC163" i="1" s="1"/>
  <c r="W242" i="1" s="1"/>
  <c r="W268" i="1" s="1"/>
  <c r="CJ138" i="1"/>
  <c r="CL163" i="1"/>
  <c r="W251" i="1" s="1"/>
  <c r="CJ150" i="1" l="1"/>
  <c r="J249" i="1" s="1"/>
  <c r="CJ145" i="1"/>
  <c r="E249" i="1" s="1"/>
  <c r="CJ146" i="1"/>
  <c r="F249" i="1" s="1"/>
  <c r="CP138" i="1"/>
  <c r="CP163" i="1" s="1"/>
  <c r="W301" i="1"/>
  <c r="CJ162" i="1"/>
  <c r="V249" i="1" s="1"/>
  <c r="CJ149" i="1"/>
  <c r="I249" i="1" s="1"/>
  <c r="CJ158" i="1"/>
  <c r="R249" i="1" s="1"/>
  <c r="CJ156" i="1"/>
  <c r="P249" i="1" s="1"/>
  <c r="CJ160" i="1"/>
  <c r="T249" i="1" s="1"/>
  <c r="CJ157" i="1"/>
  <c r="Q249" i="1" s="1"/>
  <c r="CJ153" i="1"/>
  <c r="M249" i="1" s="1"/>
  <c r="CJ151" i="1"/>
  <c r="K249" i="1" s="1"/>
  <c r="CJ163" i="1"/>
  <c r="W249" i="1" s="1"/>
  <c r="CJ159" i="1"/>
  <c r="S249" i="1" s="1"/>
  <c r="CJ147" i="1"/>
  <c r="G249" i="1" s="1"/>
  <c r="CJ148" i="1"/>
  <c r="H249" i="1" s="1"/>
  <c r="CJ155" i="1"/>
  <c r="O249" i="1" s="1"/>
  <c r="CJ152" i="1"/>
  <c r="L249" i="1" s="1"/>
  <c r="CJ154" i="1"/>
  <c r="N249" i="1" s="1"/>
  <c r="CJ161" i="1"/>
  <c r="U249" i="1" s="1"/>
  <c r="W255" i="1" l="1"/>
  <c r="W305" i="1" s="1"/>
  <c r="W318" i="1" s="1"/>
  <c r="U6" i="5" l="1"/>
</calcChain>
</file>

<file path=xl/comments1.xml><?xml version="1.0" encoding="utf-8"?>
<comments xmlns="http://schemas.openxmlformats.org/spreadsheetml/2006/main">
  <authors>
    <author>GerenciaProdAvic</author>
  </authors>
  <commentList>
    <comment ref="F100" authorId="0" shapeId="0">
      <text>
        <r>
          <rPr>
            <b/>
            <sz val="9"/>
            <color indexed="81"/>
            <rFont val="Tahoma"/>
            <family val="2"/>
          </rPr>
          <t>GerenciaProdAvic:</t>
        </r>
        <r>
          <rPr>
            <sz val="9"/>
            <color indexed="81"/>
            <rFont val="Tahoma"/>
            <family val="2"/>
          </rPr>
          <t xml:space="preserve">
inicio vacuna </t>
        </r>
      </text>
    </comment>
  </commentList>
</comments>
</file>

<file path=xl/comments2.xml><?xml version="1.0" encoding="utf-8"?>
<comments xmlns="http://schemas.openxmlformats.org/spreadsheetml/2006/main">
  <authors>
    <author>Planeación Avic</author>
  </authors>
  <commentList>
    <comment ref="CB121" authorId="0" shapeId="0">
      <text>
        <r>
          <rPr>
            <b/>
            <sz val="9"/>
            <color indexed="81"/>
            <rFont val="Tahoma"/>
            <family val="2"/>
          </rPr>
          <t>Planeación Avic:</t>
        </r>
        <r>
          <rPr>
            <sz val="9"/>
            <color indexed="81"/>
            <rFont val="Tahoma"/>
            <family val="2"/>
          </rPr>
          <t xml:space="preserve">
DIFERENCIA DE AVES </t>
        </r>
      </text>
    </comment>
  </commentList>
</comments>
</file>

<file path=xl/comments3.xml><?xml version="1.0" encoding="utf-8"?>
<comments xmlns="http://schemas.openxmlformats.org/spreadsheetml/2006/main">
  <authors>
    <author>Planeación Avic</author>
  </authors>
  <commentList>
    <comment ref="D12" authorId="0" shapeId="0">
      <text>
        <r>
          <rPr>
            <b/>
            <sz val="9"/>
            <color indexed="81"/>
            <rFont val="Tahoma"/>
            <family val="2"/>
          </rPr>
          <t>Planeación Avic:</t>
        </r>
        <r>
          <rPr>
            <sz val="9"/>
            <color indexed="81"/>
            <rFont val="Tahoma"/>
            <family val="2"/>
          </rPr>
          <t xml:space="preserve">
SUMA TOTAL RECIBIDAS 
</t>
        </r>
      </text>
    </comment>
    <comment ref="AC19" authorId="0" shapeId="0">
      <text>
        <r>
          <rPr>
            <b/>
            <sz val="9"/>
            <color indexed="81"/>
            <rFont val="Tahoma"/>
            <family val="2"/>
          </rPr>
          <t>Planeación Avic:</t>
        </r>
        <r>
          <rPr>
            <sz val="9"/>
            <color indexed="81"/>
            <rFont val="Tahoma"/>
            <family val="2"/>
          </rPr>
          <t xml:space="preserve">
INICIAL TOTAL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Planeación Avic:</t>
        </r>
        <r>
          <rPr>
            <sz val="9"/>
            <color indexed="81"/>
            <rFont val="Tahoma"/>
            <family val="2"/>
          </rPr>
          <t xml:space="preserve">
ESTAS SALIERON EL DIA 27 DE MARZO</t>
        </r>
      </text>
    </comment>
    <comment ref="D86" authorId="0" shapeId="0">
      <text>
        <r>
          <rPr>
            <b/>
            <sz val="9"/>
            <color indexed="81"/>
            <rFont val="Tahoma"/>
            <family val="2"/>
          </rPr>
          <t>Planeación Avic:</t>
        </r>
        <r>
          <rPr>
            <sz val="9"/>
            <color indexed="81"/>
            <rFont val="Tahoma"/>
            <family val="2"/>
          </rPr>
          <t xml:space="preserve">
SE ENVIARON A GRANJA 1</t>
        </r>
      </text>
    </comment>
  </commentList>
</comments>
</file>

<file path=xl/comments4.xml><?xml version="1.0" encoding="utf-8"?>
<comments xmlns="http://schemas.openxmlformats.org/spreadsheetml/2006/main">
  <authors>
    <author>Planeación Avic</author>
  </authors>
  <commentList>
    <comment ref="D12" authorId="0" shapeId="0">
      <text>
        <r>
          <rPr>
            <b/>
            <sz val="9"/>
            <color indexed="81"/>
            <rFont val="Tahoma"/>
            <family val="2"/>
          </rPr>
          <t>Planeación Avic:</t>
        </r>
        <r>
          <rPr>
            <sz val="9"/>
            <color indexed="81"/>
            <rFont val="Tahoma"/>
            <family val="2"/>
          </rPr>
          <t xml:space="preserve">
SUMA TOTAL RECIBIDAS 
</t>
        </r>
      </text>
    </comment>
  </commentList>
</comments>
</file>

<file path=xl/comments5.xml><?xml version="1.0" encoding="utf-8"?>
<comments xmlns="http://schemas.openxmlformats.org/spreadsheetml/2006/main">
  <authors>
    <author>Planeación Avic</author>
  </authors>
  <commentList>
    <comment ref="D12" authorId="0" shapeId="0">
      <text>
        <r>
          <rPr>
            <b/>
            <sz val="9"/>
            <color indexed="81"/>
            <rFont val="Tahoma"/>
            <family val="2"/>
          </rPr>
          <t>Planeación Avic:</t>
        </r>
        <r>
          <rPr>
            <sz val="9"/>
            <color indexed="81"/>
            <rFont val="Tahoma"/>
            <family val="2"/>
          </rPr>
          <t xml:space="preserve">
INICIALES</t>
        </r>
      </text>
    </comment>
    <comment ref="BB14" authorId="0" shapeId="0">
      <text>
        <r>
          <rPr>
            <b/>
            <sz val="9"/>
            <color indexed="81"/>
            <rFont val="Tahoma"/>
            <family val="2"/>
          </rPr>
          <t>Planeación Avic:</t>
        </r>
        <r>
          <rPr>
            <sz val="9"/>
            <color indexed="81"/>
            <rFont val="Tahoma"/>
            <family val="2"/>
          </rPr>
          <t xml:space="preserve">
INICIALES</t>
        </r>
      </text>
    </comment>
  </commentList>
</comments>
</file>

<file path=xl/sharedStrings.xml><?xml version="1.0" encoding="utf-8"?>
<sst xmlns="http://schemas.openxmlformats.org/spreadsheetml/2006/main" count="2827" uniqueCount="197">
  <si>
    <t>RAZA:</t>
  </si>
  <si>
    <t>PARVADA:</t>
  </si>
  <si>
    <t>UNIFORMIDAD</t>
  </si>
  <si>
    <t>MORTALIDAD</t>
  </si>
  <si>
    <t>DIA</t>
  </si>
  <si>
    <t xml:space="preserve">AVES </t>
  </si>
  <si>
    <t>INICIALES</t>
  </si>
  <si>
    <t>FINALES</t>
  </si>
  <si>
    <t>CONS. ALIMENTO</t>
  </si>
  <si>
    <t>TON</t>
  </si>
  <si>
    <t>GRS. AVE</t>
  </si>
  <si>
    <t>PESO</t>
  </si>
  <si>
    <t>FECHA RECEP.</t>
  </si>
  <si>
    <t>NO. AVES:</t>
  </si>
  <si>
    <t>MES:</t>
  </si>
  <si>
    <t>DIF</t>
  </si>
  <si>
    <t>NAT.</t>
  </si>
  <si>
    <t>PAR.</t>
  </si>
  <si>
    <t>TOT.</t>
  </si>
  <si>
    <t>% META</t>
  </si>
  <si>
    <t>% REAL</t>
  </si>
  <si>
    <t>GRS. AVE ACUM</t>
  </si>
  <si>
    <t>% MORT.</t>
  </si>
  <si>
    <t>% MORT. ACUM.</t>
  </si>
  <si>
    <t>TOT.  ACUM</t>
  </si>
  <si>
    <t>GRS META</t>
  </si>
  <si>
    <t>GRS REAL</t>
  </si>
  <si>
    <t>SEL.</t>
  </si>
  <si>
    <t>ENTRADAS</t>
  </si>
  <si>
    <t xml:space="preserve">GRANJA:CUARTELES </t>
  </si>
  <si>
    <t xml:space="preserve">CASETA:1 </t>
  </si>
  <si>
    <t xml:space="preserve">CUARTELES </t>
  </si>
  <si>
    <t>BUEYERA 1</t>
  </si>
  <si>
    <t>BUEYERA 2</t>
  </si>
  <si>
    <t xml:space="preserve">AVES FINALES </t>
  </si>
  <si>
    <t xml:space="preserve">SEM </t>
  </si>
  <si>
    <t>PESO CORPORAL</t>
  </si>
  <si>
    <t xml:space="preserve">META </t>
  </si>
  <si>
    <t>REAL</t>
  </si>
  <si>
    <t>CONS.ALIM</t>
  </si>
  <si>
    <t>ALIM. ACUM</t>
  </si>
  <si>
    <t>SEM</t>
  </si>
  <si>
    <t>META</t>
  </si>
  <si>
    <t xml:space="preserve">SEMANA </t>
  </si>
  <si>
    <t>MORTALIDAD  ACUM</t>
  </si>
  <si>
    <t xml:space="preserve">%MORTALIDAD </t>
  </si>
  <si>
    <t>% MORT META</t>
  </si>
  <si>
    <t>% MORT.ACUM. META</t>
  </si>
  <si>
    <t>TOT. ACUM</t>
  </si>
  <si>
    <t>%MORT.ACUM. META</t>
  </si>
  <si>
    <t>GRS.AVE ACUM</t>
  </si>
  <si>
    <t>CASETA:3</t>
  </si>
  <si>
    <t>CASETA 1</t>
  </si>
  <si>
    <t>CASETA 2</t>
  </si>
  <si>
    <t>CASETA 3</t>
  </si>
  <si>
    <t>CASETA 4</t>
  </si>
  <si>
    <t>CASETA 5</t>
  </si>
  <si>
    <t>CONCEPTO</t>
  </si>
  <si>
    <t>CASETA</t>
  </si>
  <si>
    <t>TOTAL EMPRESA</t>
  </si>
  <si>
    <t>GENERAL</t>
  </si>
  <si>
    <t xml:space="preserve">GRAFICOS </t>
  </si>
  <si>
    <t>GRS. AVE REAL</t>
  </si>
  <si>
    <t>PESO META</t>
  </si>
  <si>
    <t>PESO REAL</t>
  </si>
  <si>
    <t>%UNIFORMIDAD META</t>
  </si>
  <si>
    <t>%UNIFORMIDAD REAL</t>
  </si>
  <si>
    <t xml:space="preserve">AVES INICIALES </t>
  </si>
  <si>
    <t>%MORTALIDAD</t>
  </si>
  <si>
    <t>%UNIFORMIDAD</t>
  </si>
  <si>
    <t>%MORT. ACUMULADA</t>
  </si>
  <si>
    <t>GRS. CONSUMO</t>
  </si>
  <si>
    <t>%MORT.META</t>
  </si>
  <si>
    <t>%MORT.ACUM.REAL</t>
  </si>
  <si>
    <t>%MORT.REAL</t>
  </si>
  <si>
    <t>GRS. AVE META</t>
  </si>
  <si>
    <t>CRIANZAS COMERCIALES AVICAMPO</t>
  </si>
  <si>
    <t>GRANJA :</t>
  </si>
  <si>
    <t xml:space="preserve">BOVANS </t>
  </si>
  <si>
    <t>CASETA:2</t>
  </si>
  <si>
    <t>MAYO</t>
  </si>
  <si>
    <t>CASETA:4</t>
  </si>
  <si>
    <t>JUNIO</t>
  </si>
  <si>
    <t>JULIO</t>
  </si>
  <si>
    <t>AGOSTO</t>
  </si>
  <si>
    <t>CASETA:5</t>
  </si>
  <si>
    <t>AVES INI. VS AVES FINALES</t>
  </si>
  <si>
    <t xml:space="preserve">CAMBIO DE AVES </t>
  </si>
  <si>
    <t xml:space="preserve">DIAS </t>
  </si>
  <si>
    <t>0 -7</t>
  </si>
  <si>
    <t>15 -21</t>
  </si>
  <si>
    <t>22 -28</t>
  </si>
  <si>
    <t>29 - 35</t>
  </si>
  <si>
    <t>36 -42</t>
  </si>
  <si>
    <t>43 - 49</t>
  </si>
  <si>
    <t>50 - 56</t>
  </si>
  <si>
    <t>57 - 63</t>
  </si>
  <si>
    <t>64 - 70</t>
  </si>
  <si>
    <t>71 - 77</t>
  </si>
  <si>
    <t>78 -84</t>
  </si>
  <si>
    <t>85 - 91</t>
  </si>
  <si>
    <t>92 - 98</t>
  </si>
  <si>
    <t>99 - 105</t>
  </si>
  <si>
    <t>106 - 112</t>
  </si>
  <si>
    <t>113 - 119</t>
  </si>
  <si>
    <t>120 -125</t>
  </si>
  <si>
    <t>INICIO VACUNA</t>
  </si>
  <si>
    <t xml:space="preserve">RECEPCION </t>
  </si>
  <si>
    <t>CONS.ALIM. ACUM</t>
  </si>
  <si>
    <t>SEM 1</t>
  </si>
  <si>
    <t>SEM 2</t>
  </si>
  <si>
    <t>SEM 3</t>
  </si>
  <si>
    <t>SEM 4</t>
  </si>
  <si>
    <t>SEM 5</t>
  </si>
  <si>
    <t>SEM 6</t>
  </si>
  <si>
    <t>SEM 7</t>
  </si>
  <si>
    <t>SEM 8</t>
  </si>
  <si>
    <t>SEM 9</t>
  </si>
  <si>
    <t>SEM 10</t>
  </si>
  <si>
    <t>SEM 11</t>
  </si>
  <si>
    <t>SEM 12</t>
  </si>
  <si>
    <t>SEM 13</t>
  </si>
  <si>
    <t>SEM 14</t>
  </si>
  <si>
    <t>SEM 15</t>
  </si>
  <si>
    <t>SEM 16</t>
  </si>
  <si>
    <t>SEM 17</t>
  </si>
  <si>
    <t>SEM 18</t>
  </si>
  <si>
    <t xml:space="preserve">MORT. ACUMULADA </t>
  </si>
  <si>
    <t>126-133</t>
  </si>
  <si>
    <t>CASETA:</t>
  </si>
  <si>
    <t>RAZA: LOHMANN</t>
  </si>
  <si>
    <t>MES: JULIO</t>
  </si>
  <si>
    <t>PARVADA: 101</t>
  </si>
  <si>
    <t>NO. AVES: 77,125</t>
  </si>
  <si>
    <t>MES: ENERO</t>
  </si>
  <si>
    <t>06 DE ENE 2018</t>
  </si>
  <si>
    <t>FEB.</t>
  </si>
  <si>
    <t>MAR.</t>
  </si>
  <si>
    <t>ABR.</t>
  </si>
  <si>
    <t>SEM 0</t>
  </si>
  <si>
    <t>PROM.?</t>
  </si>
  <si>
    <t>kg</t>
  </si>
  <si>
    <t>GRS. AVE META ACUM.</t>
  </si>
  <si>
    <r>
      <t>CASETA:</t>
    </r>
    <r>
      <rPr>
        <b/>
        <sz val="11"/>
        <color rgb="FFC00000"/>
        <rFont val="Arial Narrow"/>
        <family val="2"/>
      </rPr>
      <t xml:space="preserve"> </t>
    </r>
    <r>
      <rPr>
        <b/>
        <sz val="18"/>
        <color theme="8" tint="-0.499984740745262"/>
        <rFont val="Arial Narrow"/>
        <family val="2"/>
      </rPr>
      <t>2</t>
    </r>
  </si>
  <si>
    <t xml:space="preserve">Enero </t>
  </si>
  <si>
    <t>LOHMANN</t>
  </si>
  <si>
    <t>CAMBIO DE CASETA 1</t>
  </si>
  <si>
    <t>FEB</t>
  </si>
  <si>
    <r>
      <t xml:space="preserve">CASETA:1 </t>
    </r>
    <r>
      <rPr>
        <b/>
        <sz val="11"/>
        <color rgb="FFFF0000"/>
        <rFont val="Arial Narrow"/>
        <family val="2"/>
      </rPr>
      <t>RECEPCION</t>
    </r>
  </si>
  <si>
    <t>DESDOBLE C1</t>
  </si>
  <si>
    <r>
      <t xml:space="preserve">CASETA:1 </t>
    </r>
    <r>
      <rPr>
        <b/>
        <sz val="11"/>
        <color rgb="FFFF0000"/>
        <rFont val="Arial Narrow"/>
        <family val="2"/>
      </rPr>
      <t>DESDOBLE</t>
    </r>
  </si>
  <si>
    <t xml:space="preserve">NO. AVES: </t>
  </si>
  <si>
    <t>PARVADA: 102</t>
  </si>
  <si>
    <t xml:space="preserve">MES: </t>
  </si>
  <si>
    <t xml:space="preserve">PARVADA: </t>
  </si>
  <si>
    <t>MES:  FEBRERO</t>
  </si>
  <si>
    <t>MARZO</t>
  </si>
  <si>
    <t>ABRIL</t>
  </si>
  <si>
    <t>CASETA: 2</t>
  </si>
  <si>
    <t>CASETA: 3</t>
  </si>
  <si>
    <t>GRANJA: BUEYERA 2</t>
  </si>
  <si>
    <t>GRANJA:BUEYERA 2</t>
  </si>
  <si>
    <t xml:space="preserve">PROMEDIAR MANUAL </t>
  </si>
  <si>
    <t>RECEPCIÓN</t>
  </si>
  <si>
    <t>MANUAL</t>
  </si>
  <si>
    <t>RECEPCION</t>
  </si>
  <si>
    <t>NO. AVES:  134,873</t>
  </si>
  <si>
    <t>ENTRADAS/SALIDAS</t>
  </si>
  <si>
    <t xml:space="preserve">ENTRADA DE </t>
  </si>
  <si>
    <t xml:space="preserve">SALIDAS A </t>
  </si>
  <si>
    <t xml:space="preserve">GRS. AVE </t>
  </si>
  <si>
    <t xml:space="preserve">SALIDAS </t>
  </si>
  <si>
    <t>ENTRADA</t>
  </si>
  <si>
    <t>SALIDA A C3</t>
  </si>
  <si>
    <t xml:space="preserve">SALIDA </t>
  </si>
  <si>
    <t>ENTRADA  A C2</t>
  </si>
  <si>
    <t>SALIDA a C1</t>
  </si>
  <si>
    <t>SALIDA A G6</t>
  </si>
  <si>
    <t>GRANJA: 1</t>
  </si>
  <si>
    <t>GRANJA:1</t>
  </si>
  <si>
    <t>GRANJA: GRANJA 1</t>
  </si>
  <si>
    <t>CASETA G1</t>
  </si>
  <si>
    <t>CASETA G2</t>
  </si>
  <si>
    <t>CASETA G3</t>
  </si>
  <si>
    <t>CASETA G4</t>
  </si>
  <si>
    <t>CASETA G5</t>
  </si>
  <si>
    <t>CASETA G6</t>
  </si>
  <si>
    <t>KG</t>
  </si>
  <si>
    <t xml:space="preserve">GRANJA: CUARTELES </t>
  </si>
  <si>
    <t>PARVADA: 103</t>
  </si>
  <si>
    <t>MES:  JUNIO</t>
  </si>
  <si>
    <t xml:space="preserve">NO. AVES:  </t>
  </si>
  <si>
    <t xml:space="preserve">SEPTIEMPRE </t>
  </si>
  <si>
    <t xml:space="preserve">CASETA: </t>
  </si>
  <si>
    <t>CTP103</t>
  </si>
  <si>
    <r>
      <t xml:space="preserve">FECHA RECEP. </t>
    </r>
    <r>
      <rPr>
        <b/>
        <sz val="18"/>
        <color theme="8" tint="-0.499984740745262"/>
        <rFont val="Arial Narrow"/>
        <family val="2"/>
      </rPr>
      <t>8 de Junio</t>
    </r>
  </si>
  <si>
    <t>OCTUBRE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</si>
</sst>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,##0.000"/>
  </numFmts>
  <fonts count="57" x14ac:knownFonts="1"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1"/>
      <name val="Arial Narrow"/>
      <family val="2"/>
    </font>
    <font>
      <sz val="10"/>
      <name val="Arial Narrow"/>
      <family val="2"/>
    </font>
    <font>
      <sz val="11"/>
      <color rgb="FFFF0000"/>
      <name val="Calibri"/>
      <family val="2"/>
      <scheme val="minor"/>
    </font>
    <font>
      <b/>
      <sz val="14"/>
      <color theme="8" tint="-0.499984740745262"/>
      <name val="Arial Narrow"/>
      <family val="2"/>
    </font>
    <font>
      <sz val="11"/>
      <color theme="8" tint="-0.499984740745262"/>
      <name val="Arial Narrow"/>
      <family val="2"/>
    </font>
    <font>
      <b/>
      <sz val="12"/>
      <color theme="8" tint="-0.499984740745262"/>
      <name val="Arial Narrow"/>
      <family val="2"/>
    </font>
    <font>
      <b/>
      <sz val="11"/>
      <color theme="8" tint="-0.499984740745262"/>
      <name val="Arial Narrow"/>
      <family val="2"/>
    </font>
    <font>
      <b/>
      <sz val="10"/>
      <color theme="8" tint="-0.499984740745262"/>
      <name val="Arial Narrow"/>
      <family val="2"/>
    </font>
    <font>
      <sz val="8"/>
      <color theme="1"/>
      <name val="Arial Narrow"/>
      <family val="2"/>
    </font>
    <font>
      <sz val="8"/>
      <name val="Arial Narrow"/>
      <family val="2"/>
    </font>
    <font>
      <b/>
      <sz val="11"/>
      <color rgb="FF0070C0"/>
      <name val="Calibri"/>
      <family val="2"/>
      <scheme val="minor"/>
    </font>
    <font>
      <sz val="10"/>
      <color theme="1"/>
      <name val="Arial Narrow"/>
      <family val="2"/>
    </font>
    <font>
      <sz val="8"/>
      <color theme="1"/>
      <name val="Calibri"/>
      <family val="2"/>
      <scheme val="minor"/>
    </font>
    <font>
      <b/>
      <sz val="11"/>
      <color theme="8" tint="-0.249977111117893"/>
      <name val="Arial Narrow"/>
      <family val="2"/>
    </font>
    <font>
      <b/>
      <sz val="11"/>
      <color rgb="FFFF0000"/>
      <name val="Arial Narrow"/>
      <family val="2"/>
    </font>
    <font>
      <sz val="8"/>
      <color rgb="FF000000"/>
      <name val="Segoe U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8"/>
      <color theme="8" tint="-0.499984740745262"/>
      <name val="Arial Narrow"/>
      <family val="2"/>
    </font>
    <font>
      <b/>
      <sz val="11"/>
      <name val="Arial Narrow"/>
      <family val="2"/>
    </font>
    <font>
      <sz val="11"/>
      <color theme="8"/>
      <name val="Calibri"/>
      <family val="2"/>
      <scheme val="minor"/>
    </font>
    <font>
      <b/>
      <sz val="11"/>
      <color rgb="FFC00000"/>
      <name val="Arial Narrow"/>
      <family val="2"/>
    </font>
    <font>
      <b/>
      <sz val="11"/>
      <color theme="9" tint="-0.499984740745262"/>
      <name val="Arial Narrow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Arial Narrow"/>
      <family val="2"/>
    </font>
    <font>
      <b/>
      <sz val="11"/>
      <color theme="1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Arial Narrow"/>
      <family val="2"/>
    </font>
    <font>
      <b/>
      <sz val="12"/>
      <color rgb="FFFF0000"/>
      <name val="Arial Narrow"/>
      <family val="2"/>
    </font>
    <font>
      <sz val="18"/>
      <color theme="3"/>
      <name val="Calibri Light"/>
      <family val="2"/>
      <scheme val="majo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4" tint="-0.249977111117893"/>
      <name val="Calibri"/>
      <family val="2"/>
      <scheme val="minor"/>
    </font>
    <font>
      <sz val="9"/>
      <color theme="8"/>
      <name val="Calibri"/>
      <family val="2"/>
      <scheme val="minor"/>
    </font>
    <font>
      <b/>
      <sz val="18"/>
      <color rgb="FFC00000"/>
      <name val="Calibri Light"/>
      <family val="2"/>
      <scheme val="major"/>
    </font>
    <font>
      <b/>
      <sz val="8"/>
      <color theme="1"/>
      <name val="Calibri"/>
      <family val="2"/>
      <scheme val="minor"/>
    </font>
    <font>
      <b/>
      <sz val="16"/>
      <color theme="8" tint="-0.499984740745262"/>
      <name val="Arial Narrow"/>
      <family val="2"/>
    </font>
    <font>
      <b/>
      <sz val="18"/>
      <color theme="8" tint="-0.499984740745262"/>
      <name val="Arial Narrow"/>
      <family val="2"/>
    </font>
    <font>
      <b/>
      <sz val="12"/>
      <color theme="1"/>
      <name val="Arial Narrow"/>
      <family val="2"/>
    </font>
    <font>
      <b/>
      <sz val="22"/>
      <color theme="8" tint="-0.499984740745262"/>
      <name val="Arial Narrow"/>
      <family val="2"/>
    </font>
    <font>
      <b/>
      <sz val="12"/>
      <color theme="2" tint="-0.749992370372631"/>
      <name val="Arial Narrow"/>
      <family val="2"/>
    </font>
    <font>
      <b/>
      <sz val="14"/>
      <color theme="2" tint="-0.749992370372631"/>
      <name val="Arial Narrow"/>
      <family val="2"/>
    </font>
    <font>
      <b/>
      <sz val="14"/>
      <color theme="6" tint="-0.499984740745262"/>
      <name val="Arial Narrow"/>
      <family val="2"/>
    </font>
    <font>
      <b/>
      <sz val="20"/>
      <color theme="8" tint="-0.499984740745262"/>
      <name val="Arial Narrow"/>
      <family val="2"/>
    </font>
    <font>
      <sz val="12"/>
      <name val="Arial Narrow"/>
      <family val="2"/>
    </font>
    <font>
      <b/>
      <sz val="12"/>
      <color rgb="FF002060"/>
      <name val="Arial Narrow"/>
      <family val="2"/>
    </font>
    <font>
      <b/>
      <sz val="14"/>
      <color rgb="FFFF0000"/>
      <name val="Arial Narrow"/>
      <family val="2"/>
    </font>
    <font>
      <b/>
      <sz val="12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28"/>
      <name val="Arial Narrow"/>
      <family val="2"/>
    </font>
    <font>
      <b/>
      <sz val="36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</fills>
  <borders count="68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/>
      <right style="thin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/>
      <diagonal/>
    </border>
    <border>
      <left style="thin">
        <color theme="0" tint="-0.499984740745262"/>
      </left>
      <right/>
      <top style="medium">
        <color theme="0" tint="-0.499984740745262"/>
      </top>
      <bottom/>
      <diagonal/>
    </border>
    <border>
      <left style="medium">
        <color theme="0" tint="-0.499984740745262"/>
      </left>
      <right/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/>
      <top/>
      <bottom style="thin">
        <color theme="0" tint="-0.499984740745262"/>
      </bottom>
      <diagonal/>
    </border>
    <border>
      <left style="medium">
        <color theme="0" tint="-0.499984740745262"/>
      </left>
      <right/>
      <top style="thin">
        <color theme="0" tint="-0.499984740745262"/>
      </top>
      <bottom/>
      <diagonal/>
    </border>
  </borders>
  <cellStyleXfs count="2">
    <xf numFmtId="0" fontId="0" fillId="0" borderId="0"/>
    <xf numFmtId="0" fontId="34" fillId="0" borderId="0" applyNumberFormat="0" applyFill="0" applyBorder="0" applyAlignment="0" applyProtection="0"/>
  </cellStyleXfs>
  <cellXfs count="898">
    <xf numFmtId="0" fontId="0" fillId="0" borderId="0" xfId="0"/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3" fillId="2" borderId="37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38" xfId="0" applyFont="1" applyFill="1" applyBorder="1" applyAlignment="1">
      <alignment horizontal="center" vertical="center" wrapText="1"/>
    </xf>
    <xf numFmtId="0" fontId="3" fillId="2" borderId="4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46" xfId="0" applyFont="1" applyFill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3" fillId="2" borderId="37" xfId="0" applyNumberFormat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 vertical="center"/>
    </xf>
    <xf numFmtId="165" fontId="10" fillId="2" borderId="1" xfId="0" applyNumberFormat="1" applyFont="1" applyFill="1" applyBorder="1" applyAlignment="1">
      <alignment horizontal="center" vertical="center"/>
    </xf>
    <xf numFmtId="3" fontId="11" fillId="2" borderId="1" xfId="0" applyNumberFormat="1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164" fontId="3" fillId="2" borderId="6" xfId="0" applyNumberFormat="1" applyFont="1" applyFill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  <xf numFmtId="164" fontId="3" fillId="2" borderId="19" xfId="0" applyNumberFormat="1" applyFont="1" applyFill="1" applyBorder="1" applyAlignment="1">
      <alignment horizontal="center" vertical="center" wrapText="1"/>
    </xf>
    <xf numFmtId="164" fontId="3" fillId="2" borderId="18" xfId="0" applyNumberFormat="1" applyFont="1" applyFill="1" applyBorder="1" applyAlignment="1">
      <alignment horizontal="center" vertical="center" wrapText="1"/>
    </xf>
    <xf numFmtId="0" fontId="3" fillId="2" borderId="50" xfId="0" applyFont="1" applyFill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 wrapText="1"/>
    </xf>
    <xf numFmtId="164" fontId="3" fillId="2" borderId="20" xfId="0" applyNumberFormat="1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center" vertical="center" wrapText="1"/>
    </xf>
    <xf numFmtId="165" fontId="3" fillId="2" borderId="37" xfId="0" applyNumberFormat="1" applyFont="1" applyFill="1" applyBorder="1" applyAlignment="1">
      <alignment horizontal="center" vertical="center" wrapText="1"/>
    </xf>
    <xf numFmtId="3" fontId="3" fillId="2" borderId="37" xfId="0" applyNumberFormat="1" applyFont="1" applyFill="1" applyBorder="1" applyAlignment="1">
      <alignment horizontal="center" vertical="center" wrapText="1"/>
    </xf>
    <xf numFmtId="3" fontId="3" fillId="2" borderId="21" xfId="0" applyNumberFormat="1" applyFont="1" applyFill="1" applyBorder="1" applyAlignment="1">
      <alignment horizontal="center" vertical="center" wrapText="1"/>
    </xf>
    <xf numFmtId="0" fontId="3" fillId="2" borderId="39" xfId="0" applyFont="1" applyFill="1" applyBorder="1" applyAlignment="1">
      <alignment horizontal="center" vertical="center" wrapText="1"/>
    </xf>
    <xf numFmtId="0" fontId="3" fillId="2" borderId="32" xfId="0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3" fontId="3" fillId="2" borderId="32" xfId="0" applyNumberFormat="1" applyFont="1" applyFill="1" applyBorder="1" applyAlignment="1">
      <alignment horizontal="center" vertical="center" wrapText="1"/>
    </xf>
    <xf numFmtId="0" fontId="3" fillId="2" borderId="40" xfId="0" applyFont="1" applyFill="1" applyBorder="1" applyAlignment="1">
      <alignment horizontal="center" vertical="center" wrapText="1"/>
    </xf>
    <xf numFmtId="0" fontId="3" fillId="2" borderId="31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3" fillId="2" borderId="28" xfId="0" applyFont="1" applyFill="1" applyBorder="1" applyAlignment="1">
      <alignment horizontal="center" vertical="center" wrapText="1"/>
    </xf>
    <xf numFmtId="3" fontId="3" fillId="2" borderId="19" xfId="0" applyNumberFormat="1" applyFont="1" applyFill="1" applyBorder="1" applyAlignment="1">
      <alignment horizontal="center" vertical="center" wrapText="1"/>
    </xf>
    <xf numFmtId="3" fontId="3" fillId="2" borderId="2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wrapText="1"/>
    </xf>
    <xf numFmtId="0" fontId="3" fillId="2" borderId="41" xfId="0" applyFont="1" applyFill="1" applyBorder="1" applyAlignment="1">
      <alignment horizontal="center" vertical="center" wrapText="1"/>
    </xf>
    <xf numFmtId="0" fontId="3" fillId="2" borderId="36" xfId="0" applyFont="1" applyFill="1" applyBorder="1" applyAlignment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3" fontId="3" fillId="2" borderId="6" xfId="0" applyNumberFormat="1" applyFont="1" applyFill="1" applyBorder="1" applyAlignment="1">
      <alignment horizontal="center" vertical="center" wrapText="1"/>
    </xf>
    <xf numFmtId="0" fontId="3" fillId="2" borderId="29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34" xfId="0" applyFont="1" applyFill="1" applyBorder="1" applyAlignment="1">
      <alignment horizontal="center" vertical="center" wrapText="1"/>
    </xf>
    <xf numFmtId="3" fontId="3" fillId="2" borderId="20" xfId="0" applyNumberFormat="1" applyFont="1" applyFill="1" applyBorder="1" applyAlignment="1">
      <alignment horizontal="center" vertical="center" wrapText="1"/>
    </xf>
    <xf numFmtId="0" fontId="3" fillId="2" borderId="47" xfId="0" applyFont="1" applyFill="1" applyBorder="1" applyAlignment="1">
      <alignment horizontal="center" vertical="center" wrapText="1"/>
    </xf>
    <xf numFmtId="3" fontId="3" fillId="2" borderId="45" xfId="0" applyNumberFormat="1" applyFont="1" applyFill="1" applyBorder="1" applyAlignment="1">
      <alignment horizontal="center" vertical="center" wrapText="1"/>
    </xf>
    <xf numFmtId="3" fontId="3" fillId="2" borderId="5" xfId="0" applyNumberFormat="1" applyFont="1" applyFill="1" applyBorder="1" applyAlignment="1">
      <alignment horizontal="center" vertical="center" wrapText="1"/>
    </xf>
    <xf numFmtId="3" fontId="3" fillId="2" borderId="2" xfId="0" applyNumberFormat="1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3" fontId="3" fillId="2" borderId="17" xfId="0" applyNumberFormat="1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/>
    </xf>
    <xf numFmtId="3" fontId="3" fillId="2" borderId="30" xfId="0" applyNumberFormat="1" applyFont="1" applyFill="1" applyBorder="1" applyAlignment="1">
      <alignment horizontal="center" vertical="center" wrapText="1"/>
    </xf>
    <xf numFmtId="3" fontId="3" fillId="2" borderId="48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vertical="center"/>
    </xf>
    <xf numFmtId="1" fontId="3" fillId="2" borderId="1" xfId="0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0" xfId="0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/>
    </xf>
    <xf numFmtId="0" fontId="16" fillId="2" borderId="0" xfId="0" applyFont="1" applyFill="1" applyAlignment="1">
      <alignment vertical="center"/>
    </xf>
    <xf numFmtId="0" fontId="10" fillId="2" borderId="0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2" fontId="11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horizontal="center" vertical="center"/>
    </xf>
    <xf numFmtId="0" fontId="0" fillId="4" borderId="0" xfId="0" applyFill="1"/>
    <xf numFmtId="0" fontId="19" fillId="0" borderId="0" xfId="0" applyFont="1"/>
    <xf numFmtId="0" fontId="18" fillId="0" borderId="0" xfId="0" applyFont="1"/>
    <xf numFmtId="164" fontId="10" fillId="2" borderId="0" xfId="0" applyNumberFormat="1" applyFont="1" applyFill="1" applyAlignment="1">
      <alignment vertical="center"/>
    </xf>
    <xf numFmtId="0" fontId="3" fillId="2" borderId="54" xfId="0" applyFont="1" applyFill="1" applyBorder="1" applyAlignment="1">
      <alignment horizontal="center" vertical="center"/>
    </xf>
    <xf numFmtId="165" fontId="3" fillId="2" borderId="19" xfId="0" applyNumberFormat="1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/>
    </xf>
    <xf numFmtId="166" fontId="0" fillId="0" borderId="0" xfId="0" applyNumberFormat="1"/>
    <xf numFmtId="164" fontId="0" fillId="0" borderId="0" xfId="0" applyNumberFormat="1"/>
    <xf numFmtId="164" fontId="20" fillId="0" borderId="1" xfId="0" applyNumberFormat="1" applyFont="1" applyBorder="1" applyAlignment="1">
      <alignment horizontal="center" vertical="center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21" xfId="0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</xf>
    <xf numFmtId="0" fontId="3" fillId="2" borderId="32" xfId="0" applyFont="1" applyFill="1" applyBorder="1" applyAlignment="1" applyProtection="1">
      <alignment horizontal="center" vertical="center" wrapText="1"/>
    </xf>
    <xf numFmtId="0" fontId="3" fillId="2" borderId="28" xfId="0" applyFont="1" applyFill="1" applyBorder="1" applyAlignment="1" applyProtection="1">
      <alignment horizontal="center" vertical="center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19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0" fontId="3" fillId="2" borderId="17" xfId="0" applyFont="1" applyFill="1" applyBorder="1" applyAlignment="1" applyProtection="1">
      <alignment horizontal="center" vertical="center" wrapText="1"/>
    </xf>
    <xf numFmtId="0" fontId="3" fillId="2" borderId="6" xfId="0" applyFont="1" applyFill="1" applyBorder="1" applyAlignment="1" applyProtection="1">
      <alignment horizontal="center" vertical="center" wrapText="1"/>
    </xf>
    <xf numFmtId="0" fontId="3" fillId="2" borderId="30" xfId="0" applyFont="1" applyFill="1" applyBorder="1" applyAlignment="1" applyProtection="1">
      <alignment horizontal="center" vertical="center" wrapText="1"/>
    </xf>
    <xf numFmtId="0" fontId="3" fillId="2" borderId="35" xfId="0" applyFont="1" applyFill="1" applyBorder="1" applyAlignment="1" applyProtection="1">
      <alignment horizontal="center" vertical="center"/>
    </xf>
    <xf numFmtId="0" fontId="3" fillId="2" borderId="25" xfId="0" applyFont="1" applyFill="1" applyBorder="1" applyAlignment="1" applyProtection="1">
      <alignment horizontal="center" vertical="center"/>
    </xf>
    <xf numFmtId="0" fontId="3" fillId="2" borderId="26" xfId="0" applyFont="1" applyFill="1" applyBorder="1" applyAlignment="1" applyProtection="1">
      <alignment horizontal="center" vertical="center"/>
    </xf>
    <xf numFmtId="0" fontId="3" fillId="2" borderId="50" xfId="0" applyFont="1" applyFill="1" applyBorder="1" applyAlignment="1" applyProtection="1">
      <alignment horizontal="center" vertical="center"/>
    </xf>
    <xf numFmtId="0" fontId="3" fillId="2" borderId="35" xfId="0" applyFont="1" applyFill="1" applyBorder="1" applyAlignment="1" applyProtection="1">
      <alignment horizontal="center" vertical="center"/>
      <protection locked="0"/>
    </xf>
    <xf numFmtId="0" fontId="3" fillId="2" borderId="54" xfId="0" applyFont="1" applyFill="1" applyBorder="1" applyAlignment="1" applyProtection="1">
      <alignment horizontal="center" vertical="center"/>
      <protection locked="0"/>
    </xf>
    <xf numFmtId="0" fontId="3" fillId="2" borderId="25" xfId="0" applyFont="1" applyFill="1" applyBorder="1" applyAlignment="1" applyProtection="1">
      <alignment horizontal="center" vertical="center"/>
      <protection locked="0"/>
    </xf>
    <xf numFmtId="0" fontId="21" fillId="3" borderId="10" xfId="0" applyFont="1" applyFill="1" applyBorder="1" applyAlignment="1">
      <alignment horizontal="center" vertical="center" wrapText="1"/>
    </xf>
    <xf numFmtId="0" fontId="21" fillId="3" borderId="17" xfId="0" applyFont="1" applyFill="1" applyBorder="1" applyAlignment="1">
      <alignment horizontal="center" vertical="center" wrapText="1"/>
    </xf>
    <xf numFmtId="0" fontId="21" fillId="3" borderId="28" xfId="0" applyFont="1" applyFill="1" applyBorder="1" applyAlignment="1">
      <alignment horizontal="center" vertical="center" wrapText="1"/>
    </xf>
    <xf numFmtId="0" fontId="21" fillId="3" borderId="19" xfId="0" applyFont="1" applyFill="1" applyBorder="1" applyAlignment="1">
      <alignment horizontal="center" vertical="center" wrapText="1"/>
    </xf>
    <xf numFmtId="0" fontId="21" fillId="3" borderId="11" xfId="0" applyFont="1" applyFill="1" applyBorder="1" applyAlignment="1">
      <alignment horizontal="center" vertical="center" wrapText="1"/>
    </xf>
    <xf numFmtId="0" fontId="21" fillId="3" borderId="14" xfId="0" applyFont="1" applyFill="1" applyBorder="1" applyAlignment="1">
      <alignment horizontal="center" vertical="center" wrapText="1"/>
    </xf>
    <xf numFmtId="0" fontId="21" fillId="3" borderId="34" xfId="0" applyFont="1" applyFill="1" applyBorder="1" applyAlignment="1">
      <alignment horizontal="center" vertical="center" wrapText="1"/>
    </xf>
    <xf numFmtId="0" fontId="21" fillId="3" borderId="20" xfId="0" applyFont="1" applyFill="1" applyBorder="1" applyAlignment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/>
      <protection locked="0"/>
    </xf>
    <xf numFmtId="0" fontId="3" fillId="2" borderId="36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  <protection locked="0"/>
    </xf>
    <xf numFmtId="165" fontId="3" fillId="2" borderId="41" xfId="0" applyNumberFormat="1" applyFont="1" applyFill="1" applyBorder="1" applyAlignment="1">
      <alignment horizontal="center" vertical="center" wrapText="1"/>
    </xf>
    <xf numFmtId="0" fontId="3" fillId="2" borderId="31" xfId="0" applyFont="1" applyFill="1" applyBorder="1" applyAlignment="1" applyProtection="1">
      <alignment horizontal="center" vertical="center"/>
      <protection locked="0"/>
    </xf>
    <xf numFmtId="0" fontId="3" fillId="2" borderId="31" xfId="0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 applyAlignment="1" applyProtection="1">
      <alignment horizontal="center" vertical="center" wrapText="1"/>
      <protection locked="0"/>
    </xf>
    <xf numFmtId="0" fontId="3" fillId="2" borderId="33" xfId="0" applyFont="1" applyFill="1" applyBorder="1" applyAlignment="1" applyProtection="1">
      <alignment horizontal="center" vertical="center"/>
      <protection locked="0"/>
    </xf>
    <xf numFmtId="0" fontId="3" fillId="2" borderId="33" xfId="0" applyFont="1" applyFill="1" applyBorder="1" applyAlignment="1" applyProtection="1">
      <alignment horizontal="center" vertical="center" wrapText="1"/>
      <protection locked="0"/>
    </xf>
    <xf numFmtId="0" fontId="3" fillId="2" borderId="19" xfId="0" applyFont="1" applyFill="1" applyBorder="1" applyAlignment="1" applyProtection="1">
      <alignment horizontal="center" vertical="center" wrapText="1"/>
      <protection locked="0"/>
    </xf>
    <xf numFmtId="0" fontId="3" fillId="2" borderId="51" xfId="0" applyFont="1" applyFill="1" applyBorder="1" applyAlignment="1" applyProtection="1">
      <alignment horizontal="center" vertical="center" wrapText="1"/>
      <protection locked="0"/>
    </xf>
    <xf numFmtId="0" fontId="3" fillId="2" borderId="1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 applyProtection="1">
      <alignment horizontal="center" vertical="center" wrapText="1"/>
      <protection locked="0"/>
    </xf>
    <xf numFmtId="0" fontId="3" fillId="2" borderId="3" xfId="0" applyFont="1" applyFill="1" applyBorder="1" applyAlignment="1" applyProtection="1">
      <alignment horizontal="center" vertical="center" wrapText="1"/>
      <protection locked="0"/>
    </xf>
    <xf numFmtId="0" fontId="3" fillId="2" borderId="29" xfId="0" applyFont="1" applyFill="1" applyBorder="1" applyAlignment="1" applyProtection="1">
      <alignment horizontal="center" vertical="center"/>
      <protection locked="0"/>
    </xf>
    <xf numFmtId="0" fontId="3" fillId="2" borderId="29" xfId="0" applyFont="1" applyFill="1" applyBorder="1" applyAlignment="1" applyProtection="1">
      <alignment horizontal="center" vertical="center" wrapText="1"/>
      <protection locked="0"/>
    </xf>
    <xf numFmtId="0" fontId="3" fillId="2" borderId="49" xfId="0" applyFont="1" applyFill="1" applyBorder="1" applyAlignment="1" applyProtection="1">
      <alignment horizontal="center" vertical="center" wrapText="1"/>
      <protection locked="0"/>
    </xf>
    <xf numFmtId="0" fontId="8" fillId="3" borderId="0" xfId="0" applyFont="1" applyFill="1" applyBorder="1" applyAlignment="1" applyProtection="1">
      <alignment vertical="center"/>
      <protection locked="0"/>
    </xf>
    <xf numFmtId="0" fontId="6" fillId="3" borderId="0" xfId="0" applyFont="1" applyFill="1" applyBorder="1" applyAlignment="1" applyProtection="1">
      <alignment vertical="center"/>
      <protection locked="0"/>
    </xf>
    <xf numFmtId="0" fontId="7" fillId="3" borderId="0" xfId="0" applyFont="1" applyFill="1" applyBorder="1" applyAlignment="1" applyProtection="1">
      <alignment vertical="center"/>
      <protection locked="0"/>
    </xf>
    <xf numFmtId="0" fontId="6" fillId="3" borderId="24" xfId="0" applyFont="1" applyFill="1" applyBorder="1" applyAlignment="1" applyProtection="1">
      <alignment vertical="center"/>
      <protection locked="0"/>
    </xf>
    <xf numFmtId="0" fontId="7" fillId="3" borderId="23" xfId="0" applyFont="1" applyFill="1" applyBorder="1" applyAlignment="1" applyProtection="1">
      <alignment vertical="center"/>
      <protection locked="0"/>
    </xf>
    <xf numFmtId="0" fontId="7" fillId="3" borderId="0" xfId="0" applyFont="1" applyFill="1" applyBorder="1" applyAlignment="1" applyProtection="1">
      <alignment horizontal="right" vertical="center"/>
      <protection locked="0"/>
    </xf>
    <xf numFmtId="0" fontId="7" fillId="3" borderId="0" xfId="0" applyFont="1" applyFill="1" applyBorder="1" applyAlignment="1" applyProtection="1">
      <alignment horizontal="center" vertical="center"/>
      <protection locked="0"/>
    </xf>
    <xf numFmtId="165" fontId="3" fillId="2" borderId="45" xfId="0" applyNumberFormat="1" applyFont="1" applyFill="1" applyBorder="1" applyAlignment="1">
      <alignment horizontal="center" vertical="center" wrapText="1"/>
    </xf>
    <xf numFmtId="164" fontId="3" fillId="2" borderId="45" xfId="0" applyNumberFormat="1" applyFont="1" applyFill="1" applyBorder="1" applyAlignment="1">
      <alignment horizontal="center" vertical="center" wrapText="1"/>
    </xf>
    <xf numFmtId="165" fontId="3" fillId="2" borderId="43" xfId="0" applyNumberFormat="1" applyFont="1" applyFill="1" applyBorder="1" applyAlignment="1">
      <alignment horizontal="center" vertical="center" wrapText="1"/>
    </xf>
    <xf numFmtId="165" fontId="3" fillId="2" borderId="28" xfId="0" applyNumberFormat="1" applyFont="1" applyFill="1" applyBorder="1" applyAlignment="1">
      <alignment horizontal="center" vertical="center" wrapText="1"/>
    </xf>
    <xf numFmtId="165" fontId="3" fillId="2" borderId="42" xfId="0" applyNumberFormat="1" applyFont="1" applyFill="1" applyBorder="1" applyAlignment="1">
      <alignment horizontal="center" vertical="center" wrapText="1"/>
    </xf>
    <xf numFmtId="0" fontId="3" fillId="2" borderId="52" xfId="0" applyFont="1" applyFill="1" applyBorder="1" applyAlignment="1" applyProtection="1">
      <alignment horizontal="center" vertical="center" wrapText="1"/>
      <protection locked="0"/>
    </xf>
    <xf numFmtId="165" fontId="3" fillId="2" borderId="32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164" fontId="3" fillId="2" borderId="5" xfId="0" applyNumberFormat="1" applyFont="1" applyFill="1" applyBorder="1" applyAlignment="1">
      <alignment horizontal="center" vertical="center" wrapText="1"/>
    </xf>
    <xf numFmtId="0" fontId="3" fillId="2" borderId="48" xfId="0" applyFont="1" applyFill="1" applyBorder="1" applyAlignment="1">
      <alignment horizontal="center" vertical="center" wrapText="1"/>
    </xf>
    <xf numFmtId="0" fontId="3" fillId="2" borderId="51" xfId="0" applyFont="1" applyFill="1" applyBorder="1" applyAlignment="1">
      <alignment horizontal="center" vertical="center" wrapText="1"/>
    </xf>
    <xf numFmtId="0" fontId="3" fillId="2" borderId="20" xfId="0" applyFont="1" applyFill="1" applyBorder="1" applyAlignment="1" applyProtection="1">
      <alignment horizontal="center" vertical="center" wrapText="1"/>
    </xf>
    <xf numFmtId="165" fontId="3" fillId="2" borderId="21" xfId="0" applyNumberFormat="1" applyFont="1" applyFill="1" applyBorder="1" applyAlignment="1">
      <alignment horizontal="center" vertical="center" wrapText="1"/>
    </xf>
    <xf numFmtId="165" fontId="3" fillId="2" borderId="20" xfId="0" applyNumberFormat="1" applyFont="1" applyFill="1" applyBorder="1" applyAlignment="1">
      <alignment horizontal="center" vertical="center" wrapText="1"/>
    </xf>
    <xf numFmtId="165" fontId="3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3" fillId="3" borderId="25" xfId="0" applyFont="1" applyFill="1" applyBorder="1" applyAlignment="1" applyProtection="1">
      <alignment horizontal="center" vertical="center"/>
      <protection locked="0"/>
    </xf>
    <xf numFmtId="0" fontId="3" fillId="3" borderId="25" xfId="0" applyFont="1" applyFill="1" applyBorder="1" applyAlignment="1">
      <alignment horizontal="center" vertical="center"/>
    </xf>
    <xf numFmtId="0" fontId="3" fillId="3" borderId="31" xfId="0" applyFont="1" applyFill="1" applyBorder="1" applyAlignment="1" applyProtection="1">
      <alignment horizontal="center" vertical="center"/>
      <protection locked="0"/>
    </xf>
    <xf numFmtId="0" fontId="3" fillId="3" borderId="1" xfId="0" applyFont="1" applyFill="1" applyBorder="1" applyAlignment="1">
      <alignment horizontal="center" vertical="center" wrapText="1"/>
    </xf>
    <xf numFmtId="0" fontId="3" fillId="3" borderId="32" xfId="0" applyFont="1" applyFill="1" applyBorder="1" applyAlignment="1">
      <alignment horizontal="center" vertical="center" wrapText="1"/>
    </xf>
    <xf numFmtId="0" fontId="3" fillId="3" borderId="31" xfId="0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 applyProtection="1">
      <alignment horizontal="center" vertical="center" wrapText="1"/>
      <protection locked="0"/>
    </xf>
    <xf numFmtId="164" fontId="3" fillId="3" borderId="1" xfId="0" applyNumberFormat="1" applyFont="1" applyFill="1" applyBorder="1" applyAlignment="1">
      <alignment horizontal="center" vertical="center" wrapText="1"/>
    </xf>
    <xf numFmtId="3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 applyProtection="1">
      <alignment horizontal="center" vertical="center" wrapText="1"/>
    </xf>
    <xf numFmtId="0" fontId="3" fillId="3" borderId="31" xfId="0" applyFont="1" applyFill="1" applyBorder="1" applyAlignment="1">
      <alignment horizontal="center" vertical="center" wrapText="1"/>
    </xf>
    <xf numFmtId="0" fontId="3" fillId="3" borderId="4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31" xfId="0" applyFont="1" applyFill="1" applyBorder="1" applyAlignment="1">
      <alignment horizontal="center" vertical="center" wrapText="1"/>
    </xf>
    <xf numFmtId="0" fontId="3" fillId="0" borderId="20" xfId="0" applyFont="1" applyFill="1" applyBorder="1" applyAlignment="1" applyProtection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wrapText="1"/>
    </xf>
    <xf numFmtId="164" fontId="3" fillId="2" borderId="49" xfId="0" applyNumberFormat="1" applyFont="1" applyFill="1" applyBorder="1" applyAlignment="1">
      <alignment horizontal="center" vertical="center" wrapText="1"/>
    </xf>
    <xf numFmtId="164" fontId="3" fillId="2" borderId="52" xfId="0" applyNumberFormat="1" applyFont="1" applyFill="1" applyBorder="1" applyAlignment="1">
      <alignment horizontal="center" vertical="center" wrapText="1"/>
    </xf>
    <xf numFmtId="0" fontId="3" fillId="2" borderId="56" xfId="0" applyFont="1" applyFill="1" applyBorder="1" applyAlignment="1">
      <alignment horizontal="center" vertical="center" wrapText="1"/>
    </xf>
    <xf numFmtId="0" fontId="3" fillId="2" borderId="57" xfId="0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164" fontId="3" fillId="2" borderId="51" xfId="0" applyNumberFormat="1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164" fontId="3" fillId="2" borderId="38" xfId="0" applyNumberFormat="1" applyFont="1" applyFill="1" applyBorder="1" applyAlignment="1">
      <alignment horizontal="center" vertical="center" wrapText="1"/>
    </xf>
    <xf numFmtId="0" fontId="3" fillId="2" borderId="55" xfId="0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3" fontId="3" fillId="2" borderId="42" xfId="0" applyNumberFormat="1" applyFont="1" applyFill="1" applyBorder="1" applyAlignment="1">
      <alignment horizontal="center" vertical="center" wrapText="1"/>
    </xf>
    <xf numFmtId="0" fontId="3" fillId="2" borderId="26" xfId="0" applyFont="1" applyFill="1" applyBorder="1" applyAlignment="1" applyProtection="1">
      <alignment horizontal="center" vertical="center"/>
      <protection locked="0"/>
    </xf>
    <xf numFmtId="0" fontId="3" fillId="2" borderId="50" xfId="0" applyFont="1" applyFill="1" applyBorder="1" applyAlignment="1" applyProtection="1">
      <alignment horizontal="center" vertical="center"/>
      <protection locked="0"/>
    </xf>
    <xf numFmtId="0" fontId="3" fillId="3" borderId="5" xfId="0" applyFont="1" applyFill="1" applyBorder="1" applyAlignment="1">
      <alignment horizontal="center" vertical="center" wrapText="1"/>
    </xf>
    <xf numFmtId="3" fontId="3" fillId="3" borderId="32" xfId="0" applyNumberFormat="1" applyFont="1" applyFill="1" applyBorder="1" applyAlignment="1">
      <alignment horizontal="center" vertical="center" wrapText="1"/>
    </xf>
    <xf numFmtId="0" fontId="3" fillId="3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 applyProtection="1">
      <alignment horizontal="center" vertical="center" wrapText="1"/>
    </xf>
    <xf numFmtId="0" fontId="3" fillId="2" borderId="40" xfId="0" applyFont="1" applyFill="1" applyBorder="1" applyAlignment="1" applyProtection="1">
      <alignment horizontal="center" vertical="center"/>
      <protection locked="0"/>
    </xf>
    <xf numFmtId="0" fontId="3" fillId="2" borderId="40" xfId="0" applyFont="1" applyFill="1" applyBorder="1" applyAlignment="1" applyProtection="1">
      <alignment horizontal="center" vertical="center" wrapText="1"/>
      <protection locked="0"/>
    </xf>
    <xf numFmtId="0" fontId="3" fillId="2" borderId="5" xfId="0" applyFont="1" applyFill="1" applyBorder="1" applyAlignment="1" applyProtection="1">
      <alignment horizontal="center" vertical="center" wrapText="1"/>
      <protection locked="0"/>
    </xf>
    <xf numFmtId="0" fontId="3" fillId="0" borderId="32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0" xfId="0" applyFont="1" applyBorder="1"/>
    <xf numFmtId="165" fontId="3" fillId="2" borderId="30" xfId="0" applyNumberFormat="1" applyFont="1" applyFill="1" applyBorder="1" applyAlignment="1">
      <alignment horizontal="center" vertical="center" wrapText="1"/>
    </xf>
    <xf numFmtId="164" fontId="23" fillId="0" borderId="1" xfId="0" applyNumberFormat="1" applyFont="1" applyBorder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165" fontId="10" fillId="5" borderId="0" xfId="0" applyNumberFormat="1" applyFont="1" applyFill="1" applyAlignment="1">
      <alignment horizontal="center" vertical="center"/>
    </xf>
    <xf numFmtId="165" fontId="10" fillId="2" borderId="0" xfId="0" applyNumberFormat="1" applyFont="1" applyFill="1" applyAlignment="1">
      <alignment horizontal="center" vertical="center"/>
    </xf>
    <xf numFmtId="0" fontId="3" fillId="5" borderId="31" xfId="0" applyFont="1" applyFill="1" applyBorder="1" applyAlignment="1" applyProtection="1">
      <alignment horizontal="center" vertical="center"/>
      <protection locked="0"/>
    </xf>
    <xf numFmtId="0" fontId="3" fillId="3" borderId="25" xfId="0" applyFont="1" applyFill="1" applyBorder="1" applyAlignment="1" applyProtection="1">
      <alignment horizontal="center" vertical="center"/>
    </xf>
    <xf numFmtId="0" fontId="3" fillId="3" borderId="32" xfId="0" applyFont="1" applyFill="1" applyBorder="1" applyAlignment="1" applyProtection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2" xfId="0" applyFont="1" applyFill="1" applyBorder="1" applyAlignment="1" applyProtection="1">
      <alignment horizontal="center" vertical="center" wrapText="1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2" borderId="3" xfId="0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Border="1" applyAlignment="1">
      <alignment horizontal="center" vertical="center" wrapText="1"/>
    </xf>
    <xf numFmtId="2" fontId="11" fillId="0" borderId="0" xfId="0" applyNumberFormat="1" applyFont="1" applyFill="1" applyBorder="1" applyAlignment="1">
      <alignment horizontal="center" vertical="center" wrapText="1"/>
    </xf>
    <xf numFmtId="0" fontId="3" fillId="2" borderId="52" xfId="0" applyFont="1" applyFill="1" applyBorder="1" applyAlignment="1" applyProtection="1">
      <alignment horizontal="center" vertical="center"/>
      <protection locked="0"/>
    </xf>
    <xf numFmtId="0" fontId="3" fillId="2" borderId="55" xfId="0" applyFont="1" applyFill="1" applyBorder="1" applyAlignment="1" applyProtection="1">
      <alignment horizontal="center" vertical="center"/>
      <protection locked="0"/>
    </xf>
    <xf numFmtId="0" fontId="3" fillId="2" borderId="51" xfId="0" applyFont="1" applyFill="1" applyBorder="1" applyAlignment="1" applyProtection="1">
      <alignment horizontal="center" vertical="center"/>
      <protection locked="0"/>
    </xf>
    <xf numFmtId="0" fontId="3" fillId="2" borderId="49" xfId="0" applyFont="1" applyFill="1" applyBorder="1" applyAlignment="1" applyProtection="1">
      <alignment horizontal="center" vertical="center"/>
      <protection locked="0"/>
    </xf>
    <xf numFmtId="0" fontId="3" fillId="5" borderId="3" xfId="0" applyFont="1" applyFill="1" applyBorder="1" applyAlignment="1" applyProtection="1">
      <alignment horizontal="center" vertical="center"/>
      <protection locked="0"/>
    </xf>
    <xf numFmtId="0" fontId="3" fillId="0" borderId="31" xfId="0" applyFont="1" applyFill="1" applyBorder="1" applyAlignment="1" applyProtection="1">
      <alignment horizontal="center" vertical="center"/>
      <protection locked="0"/>
    </xf>
    <xf numFmtId="165" fontId="3" fillId="2" borderId="5" xfId="0" applyNumberFormat="1" applyFont="1" applyFill="1" applyBorder="1" applyAlignment="1">
      <alignment horizontal="center" vertical="center" wrapText="1"/>
    </xf>
    <xf numFmtId="165" fontId="3" fillId="2" borderId="18" xfId="0" applyNumberFormat="1" applyFont="1" applyFill="1" applyBorder="1" applyAlignment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 wrapText="1"/>
    </xf>
    <xf numFmtId="165" fontId="3" fillId="3" borderId="43" xfId="0" applyNumberFormat="1" applyFont="1" applyFill="1" applyBorder="1" applyAlignment="1">
      <alignment horizontal="center" vertical="center" wrapText="1"/>
    </xf>
    <xf numFmtId="0" fontId="3" fillId="3" borderId="3" xfId="0" applyFont="1" applyFill="1" applyBorder="1" applyAlignment="1" applyProtection="1">
      <alignment horizontal="center" vertical="center" wrapText="1"/>
      <protection locked="0"/>
    </xf>
    <xf numFmtId="165" fontId="3" fillId="2" borderId="6" xfId="0" applyNumberFormat="1" applyFont="1" applyFill="1" applyBorder="1" applyAlignment="1">
      <alignment horizontal="center" vertical="center" wrapText="1"/>
    </xf>
    <xf numFmtId="164" fontId="3" fillId="3" borderId="18" xfId="0" applyNumberFormat="1" applyFont="1" applyFill="1" applyBorder="1" applyAlignment="1">
      <alignment horizontal="center" vertical="center" wrapText="1"/>
    </xf>
    <xf numFmtId="0" fontId="3" fillId="2" borderId="55" xfId="0" applyFont="1" applyFill="1" applyBorder="1" applyAlignment="1" applyProtection="1">
      <alignment horizontal="center" vertical="center" wrapText="1"/>
      <protection locked="0"/>
    </xf>
    <xf numFmtId="165" fontId="3" fillId="3" borderId="32" xfId="0" applyNumberFormat="1" applyFont="1" applyFill="1" applyBorder="1" applyAlignment="1">
      <alignment horizontal="center" vertical="center" wrapText="1"/>
    </xf>
    <xf numFmtId="0" fontId="3" fillId="2" borderId="54" xfId="0" applyFont="1" applyFill="1" applyBorder="1" applyAlignment="1" applyProtection="1">
      <alignment horizontal="center" vertical="center"/>
    </xf>
    <xf numFmtId="0" fontId="3" fillId="0" borderId="18" xfId="0" applyFont="1" applyFill="1" applyBorder="1" applyAlignment="1" applyProtection="1">
      <alignment horizontal="center" vertical="center" wrapText="1"/>
    </xf>
    <xf numFmtId="0" fontId="3" fillId="0" borderId="44" xfId="0" applyFont="1" applyFill="1" applyBorder="1" applyAlignment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/>
      <protection locked="0"/>
    </xf>
    <xf numFmtId="0" fontId="3" fillId="3" borderId="54" xfId="0" applyFont="1" applyFill="1" applyBorder="1" applyAlignment="1" applyProtection="1">
      <alignment horizontal="center" vertical="center"/>
    </xf>
    <xf numFmtId="0" fontId="3" fillId="3" borderId="5" xfId="0" applyFont="1" applyFill="1" applyBorder="1" applyAlignment="1" applyProtection="1">
      <alignment horizontal="center" vertical="center" wrapText="1"/>
    </xf>
    <xf numFmtId="0" fontId="3" fillId="3" borderId="43" xfId="0" applyFont="1" applyFill="1" applyBorder="1" applyAlignment="1" applyProtection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165" fontId="3" fillId="3" borderId="5" xfId="0" applyNumberFormat="1" applyFont="1" applyFill="1" applyBorder="1" applyAlignment="1">
      <alignment horizontal="center" vertical="center" wrapText="1"/>
    </xf>
    <xf numFmtId="165" fontId="3" fillId="3" borderId="42" xfId="0" applyNumberFormat="1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3" fontId="3" fillId="3" borderId="5" xfId="0" applyNumberFormat="1" applyFont="1" applyFill="1" applyBorder="1" applyAlignment="1">
      <alignment horizontal="center" vertical="center" wrapText="1"/>
    </xf>
    <xf numFmtId="3" fontId="3" fillId="3" borderId="42" xfId="0" applyNumberFormat="1" applyFont="1" applyFill="1" applyBorder="1" applyAlignment="1">
      <alignment horizontal="center" vertical="center" wrapText="1"/>
    </xf>
    <xf numFmtId="0" fontId="3" fillId="3" borderId="44" xfId="0" applyFont="1" applyFill="1" applyBorder="1" applyAlignment="1">
      <alignment horizontal="center" vertical="center" wrapText="1"/>
    </xf>
    <xf numFmtId="3" fontId="3" fillId="2" borderId="57" xfId="0" applyNumberFormat="1" applyFont="1" applyFill="1" applyBorder="1" applyAlignment="1">
      <alignment horizontal="center" vertical="center" wrapText="1"/>
    </xf>
    <xf numFmtId="0" fontId="3" fillId="3" borderId="54" xfId="0" applyFont="1" applyFill="1" applyBorder="1" applyAlignment="1">
      <alignment horizontal="center" vertical="center"/>
    </xf>
    <xf numFmtId="0" fontId="3" fillId="3" borderId="40" xfId="0" applyFont="1" applyFill="1" applyBorder="1" applyAlignment="1" applyProtection="1">
      <alignment horizontal="center" vertical="center"/>
      <protection locked="0"/>
    </xf>
    <xf numFmtId="0" fontId="3" fillId="3" borderId="55" xfId="0" applyFont="1" applyFill="1" applyBorder="1" applyAlignment="1" applyProtection="1">
      <alignment horizontal="center" vertical="center"/>
      <protection locked="0"/>
    </xf>
    <xf numFmtId="0" fontId="3" fillId="3" borderId="40" xfId="0" applyFont="1" applyFill="1" applyBorder="1" applyAlignment="1" applyProtection="1">
      <alignment horizontal="center" vertical="center" wrapText="1"/>
      <protection locked="0"/>
    </xf>
    <xf numFmtId="0" fontId="3" fillId="3" borderId="5" xfId="0" applyFont="1" applyFill="1" applyBorder="1" applyAlignment="1" applyProtection="1">
      <alignment horizontal="center" vertical="center" wrapText="1"/>
      <protection locked="0"/>
    </xf>
    <xf numFmtId="164" fontId="3" fillId="3" borderId="5" xfId="0" applyNumberFormat="1" applyFont="1" applyFill="1" applyBorder="1" applyAlignment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  <protection locked="0"/>
    </xf>
    <xf numFmtId="0" fontId="3" fillId="3" borderId="18" xfId="0" applyFont="1" applyFill="1" applyBorder="1" applyAlignment="1" applyProtection="1">
      <alignment horizontal="center" vertical="center" wrapText="1"/>
    </xf>
    <xf numFmtId="0" fontId="21" fillId="3" borderId="60" xfId="0" applyFont="1" applyFill="1" applyBorder="1" applyAlignment="1">
      <alignment horizontal="center" vertical="center" wrapText="1"/>
    </xf>
    <xf numFmtId="0" fontId="21" fillId="3" borderId="61" xfId="0" applyFont="1" applyFill="1" applyBorder="1" applyAlignment="1">
      <alignment horizontal="center" vertical="center" wrapText="1"/>
    </xf>
    <xf numFmtId="0" fontId="21" fillId="3" borderId="58" xfId="0" applyFont="1" applyFill="1" applyBorder="1" applyAlignment="1">
      <alignment horizontal="center" vertical="center" wrapText="1"/>
    </xf>
    <xf numFmtId="0" fontId="21" fillId="3" borderId="59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165" fontId="3" fillId="6" borderId="18" xfId="0" applyNumberFormat="1" applyFont="1" applyFill="1" applyBorder="1" applyAlignment="1">
      <alignment horizontal="center" vertical="center" wrapText="1"/>
    </xf>
    <xf numFmtId="164" fontId="3" fillId="6" borderId="18" xfId="0" applyNumberFormat="1" applyFont="1" applyFill="1" applyBorder="1" applyAlignment="1">
      <alignment horizontal="center" vertical="center" wrapText="1"/>
    </xf>
    <xf numFmtId="165" fontId="3" fillId="6" borderId="43" xfId="0" applyNumberFormat="1" applyFont="1" applyFill="1" applyBorder="1" applyAlignment="1">
      <alignment horizontal="center" vertical="center" wrapText="1"/>
    </xf>
    <xf numFmtId="165" fontId="3" fillId="6" borderId="1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5" fontId="3" fillId="6" borderId="32" xfId="0" applyNumberFormat="1" applyFont="1" applyFill="1" applyBorder="1" applyAlignment="1">
      <alignment horizontal="center" vertical="center" wrapText="1"/>
    </xf>
    <xf numFmtId="0" fontId="3" fillId="6" borderId="25" xfId="0" applyFont="1" applyFill="1" applyBorder="1" applyAlignment="1" applyProtection="1">
      <alignment horizontal="center" vertical="center"/>
      <protection locked="0"/>
    </xf>
    <xf numFmtId="0" fontId="3" fillId="6" borderId="25" xfId="0" applyFont="1" applyFill="1" applyBorder="1" applyAlignment="1">
      <alignment horizontal="center" vertical="center"/>
    </xf>
    <xf numFmtId="0" fontId="3" fillId="6" borderId="31" xfId="0" applyFont="1" applyFill="1" applyBorder="1" applyAlignment="1" applyProtection="1">
      <alignment horizontal="center" vertical="center"/>
      <protection locked="0"/>
    </xf>
    <xf numFmtId="0" fontId="3" fillId="6" borderId="3" xfId="0" applyFont="1" applyFill="1" applyBorder="1" applyAlignment="1" applyProtection="1">
      <alignment horizontal="center" vertical="center"/>
      <protection locked="0"/>
    </xf>
    <xf numFmtId="0" fontId="3" fillId="6" borderId="1" xfId="0" applyFont="1" applyFill="1" applyBorder="1" applyAlignment="1">
      <alignment horizontal="center" vertical="center" wrapText="1"/>
    </xf>
    <xf numFmtId="0" fontId="3" fillId="6" borderId="32" xfId="0" applyFont="1" applyFill="1" applyBorder="1" applyAlignment="1">
      <alignment horizontal="center" vertical="center" wrapText="1"/>
    </xf>
    <xf numFmtId="0" fontId="3" fillId="6" borderId="31" xfId="0" applyFont="1" applyFill="1" applyBorder="1" applyAlignment="1" applyProtection="1">
      <alignment horizontal="center" vertical="center" wrapText="1"/>
      <protection locked="0"/>
    </xf>
    <xf numFmtId="0" fontId="3" fillId="6" borderId="1" xfId="0" applyFont="1" applyFill="1" applyBorder="1" applyAlignment="1" applyProtection="1">
      <alignment horizontal="center" vertical="center" wrapText="1"/>
      <protection locked="0"/>
    </xf>
    <xf numFmtId="0" fontId="3" fillId="6" borderId="3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>
      <alignment horizontal="center" vertical="center" wrapText="1"/>
    </xf>
    <xf numFmtId="3" fontId="3" fillId="6" borderId="1" xfId="0" applyNumberFormat="1" applyFont="1" applyFill="1" applyBorder="1" applyAlignment="1">
      <alignment horizontal="center" vertical="center" wrapText="1"/>
    </xf>
    <xf numFmtId="3" fontId="3" fillId="6" borderId="32" xfId="0" applyNumberFormat="1" applyFont="1" applyFill="1" applyBorder="1" applyAlignment="1">
      <alignment horizontal="center" vertical="center" wrapText="1"/>
    </xf>
    <xf numFmtId="0" fontId="3" fillId="6" borderId="40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 applyProtection="1">
      <alignment horizontal="center" vertical="center" wrapText="1"/>
    </xf>
    <xf numFmtId="0" fontId="3" fillId="6" borderId="31" xfId="0" applyFont="1" applyFill="1" applyBorder="1" applyAlignment="1">
      <alignment horizontal="center" vertical="center" wrapText="1"/>
    </xf>
    <xf numFmtId="0" fontId="3" fillId="6" borderId="43" xfId="0" applyFont="1" applyFill="1" applyBorder="1" applyAlignment="1">
      <alignment horizontal="center" vertical="center" wrapText="1"/>
    </xf>
    <xf numFmtId="3" fontId="3" fillId="6" borderId="2" xfId="0" applyNumberFormat="1" applyFont="1" applyFill="1" applyBorder="1" applyAlignment="1">
      <alignment horizontal="center" vertical="center" wrapText="1"/>
    </xf>
    <xf numFmtId="0" fontId="3" fillId="6" borderId="42" xfId="0" applyFont="1" applyFill="1" applyBorder="1" applyAlignment="1">
      <alignment horizontal="center" vertical="center" wrapText="1"/>
    </xf>
    <xf numFmtId="2" fontId="11" fillId="2" borderId="1" xfId="0" applyNumberFormat="1" applyFont="1" applyFill="1" applyBorder="1" applyAlignment="1">
      <alignment horizontal="center" vertical="center"/>
    </xf>
    <xf numFmtId="2" fontId="10" fillId="2" borderId="0" xfId="0" applyNumberFormat="1" applyFont="1" applyFill="1" applyAlignment="1">
      <alignment vertical="center"/>
    </xf>
    <xf numFmtId="2" fontId="10" fillId="5" borderId="0" xfId="0" applyNumberFormat="1" applyFont="1" applyFill="1" applyAlignment="1">
      <alignment horizontal="center" vertical="center"/>
    </xf>
    <xf numFmtId="2" fontId="10" fillId="2" borderId="0" xfId="0" applyNumberFormat="1" applyFont="1" applyFill="1" applyAlignment="1">
      <alignment horizontal="center" vertical="center"/>
    </xf>
    <xf numFmtId="164" fontId="3" fillId="2" borderId="21" xfId="0" applyNumberFormat="1" applyFont="1" applyFill="1" applyBorder="1" applyAlignment="1">
      <alignment horizontal="center" vertical="center" wrapText="1"/>
    </xf>
    <xf numFmtId="164" fontId="3" fillId="2" borderId="32" xfId="0" applyNumberFormat="1" applyFont="1" applyFill="1" applyBorder="1" applyAlignment="1">
      <alignment horizontal="center" vertical="center" wrapText="1"/>
    </xf>
    <xf numFmtId="164" fontId="3" fillId="2" borderId="42" xfId="0" applyNumberFormat="1" applyFont="1" applyFill="1" applyBorder="1" applyAlignment="1">
      <alignment horizontal="center" vertical="center" wrapText="1"/>
    </xf>
    <xf numFmtId="164" fontId="3" fillId="2" borderId="28" xfId="0" applyNumberFormat="1" applyFont="1" applyFill="1" applyBorder="1" applyAlignment="1">
      <alignment horizontal="center" vertical="center" wrapText="1"/>
    </xf>
    <xf numFmtId="164" fontId="3" fillId="2" borderId="30" xfId="0" applyNumberFormat="1" applyFont="1" applyFill="1" applyBorder="1" applyAlignment="1">
      <alignment horizontal="center" vertical="center" wrapText="1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57" xfId="0" applyNumberFormat="1" applyFont="1" applyFill="1" applyBorder="1" applyAlignment="1">
      <alignment horizontal="center" vertical="center" wrapText="1"/>
    </xf>
    <xf numFmtId="164" fontId="3" fillId="2" borderId="15" xfId="0" applyNumberFormat="1" applyFont="1" applyFill="1" applyBorder="1" applyAlignment="1">
      <alignment horizontal="center" vertical="center" wrapText="1"/>
    </xf>
    <xf numFmtId="164" fontId="3" fillId="2" borderId="17" xfId="0" applyNumberFormat="1" applyFont="1" applyFill="1" applyBorder="1" applyAlignment="1">
      <alignment horizontal="center" vertical="center" wrapText="1"/>
    </xf>
    <xf numFmtId="164" fontId="3" fillId="2" borderId="48" xfId="0" applyNumberFormat="1" applyFont="1" applyFill="1" applyBorder="1" applyAlignment="1">
      <alignment horizontal="center" vertical="center" wrapText="1"/>
    </xf>
    <xf numFmtId="164" fontId="3" fillId="3" borderId="2" xfId="0" applyNumberFormat="1" applyFont="1" applyFill="1" applyBorder="1" applyAlignment="1">
      <alignment horizontal="center" vertical="center" wrapText="1"/>
    </xf>
    <xf numFmtId="164" fontId="3" fillId="3" borderId="57" xfId="0" applyNumberFormat="1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2" fontId="11" fillId="5" borderId="1" xfId="0" applyNumberFormat="1" applyFont="1" applyFill="1" applyBorder="1" applyAlignment="1">
      <alignment horizontal="center" vertical="center" wrapText="1"/>
    </xf>
    <xf numFmtId="0" fontId="10" fillId="5" borderId="0" xfId="0" applyFont="1" applyFill="1" applyBorder="1" applyAlignment="1">
      <alignment horizontal="center" vertical="center" wrapText="1"/>
    </xf>
    <xf numFmtId="2" fontId="11" fillId="5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8" fillId="2" borderId="0" xfId="0" applyFont="1" applyFill="1" applyAlignment="1">
      <alignment vertical="center"/>
    </xf>
    <xf numFmtId="0" fontId="1" fillId="4" borderId="0" xfId="0" applyFont="1" applyFill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8" fillId="0" borderId="0" xfId="0" applyFont="1" applyBorder="1"/>
    <xf numFmtId="0" fontId="3" fillId="5" borderId="1" xfId="0" applyFont="1" applyFill="1" applyBorder="1" applyAlignment="1" applyProtection="1">
      <alignment horizontal="center" vertical="center" wrapText="1"/>
    </xf>
    <xf numFmtId="0" fontId="3" fillId="5" borderId="25" xfId="0" applyFont="1" applyFill="1" applyBorder="1" applyAlignment="1" applyProtection="1">
      <alignment horizontal="center" vertical="center"/>
      <protection locked="0"/>
    </xf>
    <xf numFmtId="0" fontId="3" fillId="5" borderId="25" xfId="0" applyFont="1" applyFill="1" applyBorder="1" applyAlignment="1" applyProtection="1">
      <alignment horizontal="center" vertical="center"/>
    </xf>
    <xf numFmtId="0" fontId="3" fillId="5" borderId="42" xfId="0" applyFont="1" applyFill="1" applyBorder="1" applyAlignment="1" applyProtection="1">
      <alignment horizontal="center" vertical="center" wrapText="1"/>
    </xf>
    <xf numFmtId="0" fontId="3" fillId="5" borderId="31" xfId="0" applyFont="1" applyFill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>
      <alignment horizontal="center" vertical="center" wrapText="1"/>
    </xf>
    <xf numFmtId="165" fontId="3" fillId="5" borderId="1" xfId="0" applyNumberFormat="1" applyFont="1" applyFill="1" applyBorder="1" applyAlignment="1">
      <alignment horizontal="center" vertic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165" fontId="3" fillId="5" borderId="32" xfId="0" applyNumberFormat="1" applyFont="1" applyFill="1" applyBorder="1" applyAlignment="1">
      <alignment horizontal="center" vertical="center" wrapText="1"/>
    </xf>
    <xf numFmtId="0" fontId="3" fillId="5" borderId="3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>
      <alignment horizontal="center" vertical="center" wrapText="1"/>
    </xf>
    <xf numFmtId="3" fontId="3" fillId="5" borderId="1" xfId="0" applyNumberFormat="1" applyFont="1" applyFill="1" applyBorder="1" applyAlignment="1">
      <alignment horizontal="center" vertical="center" wrapText="1"/>
    </xf>
    <xf numFmtId="3" fontId="3" fillId="5" borderId="32" xfId="0" applyNumberFormat="1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32" xfId="0" applyFont="1" applyFill="1" applyBorder="1" applyAlignment="1">
      <alignment horizontal="center" vertical="center" wrapText="1"/>
    </xf>
    <xf numFmtId="0" fontId="3" fillId="5" borderId="31" xfId="0" applyFont="1" applyFill="1" applyBorder="1" applyAlignment="1">
      <alignment horizontal="center" vertical="center" wrapText="1"/>
    </xf>
    <xf numFmtId="0" fontId="32" fillId="2" borderId="36" xfId="0" applyFont="1" applyFill="1" applyBorder="1" applyAlignment="1" applyProtection="1">
      <alignment horizontal="center" vertical="center"/>
      <protection locked="0"/>
    </xf>
    <xf numFmtId="0" fontId="32" fillId="2" borderId="31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>
      <alignment vertical="center"/>
    </xf>
    <xf numFmtId="0" fontId="3" fillId="5" borderId="52" xfId="0" applyFont="1" applyFill="1" applyBorder="1" applyAlignment="1" applyProtection="1">
      <alignment horizontal="center" vertical="center"/>
      <protection locked="0"/>
    </xf>
    <xf numFmtId="0" fontId="3" fillId="5" borderId="49" xfId="0" applyFont="1" applyFill="1" applyBorder="1" applyAlignment="1" applyProtection="1">
      <alignment horizontal="center" vertical="center"/>
      <protection locked="0"/>
    </xf>
    <xf numFmtId="0" fontId="3" fillId="5" borderId="36" xfId="0" applyFont="1" applyFill="1" applyBorder="1" applyAlignment="1" applyProtection="1">
      <alignment horizontal="center" vertical="center"/>
      <protection locked="0"/>
    </xf>
    <xf numFmtId="0" fontId="3" fillId="5" borderId="33" xfId="0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  <xf numFmtId="4" fontId="3" fillId="2" borderId="1" xfId="0" applyNumberFormat="1" applyFont="1" applyFill="1" applyBorder="1" applyAlignment="1">
      <alignment horizontal="center" vertical="center"/>
    </xf>
    <xf numFmtId="4" fontId="11" fillId="2" borderId="1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9" fillId="0" borderId="62" xfId="0" applyFont="1" applyFill="1" applyBorder="1" applyAlignment="1">
      <alignment horizontal="center" vertical="center" wrapText="1"/>
    </xf>
    <xf numFmtId="0" fontId="21" fillId="0" borderId="23" xfId="0" applyFont="1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21" fillId="0" borderId="56" xfId="0" applyFont="1" applyFill="1" applyBorder="1" applyAlignment="1">
      <alignment horizontal="center" vertical="center" wrapText="1"/>
    </xf>
    <xf numFmtId="0" fontId="21" fillId="0" borderId="43" xfId="0" applyFont="1" applyFill="1" applyBorder="1" applyAlignment="1">
      <alignment horizontal="center" vertical="center" wrapText="1"/>
    </xf>
    <xf numFmtId="0" fontId="21" fillId="0" borderId="18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vertical="center"/>
    </xf>
    <xf numFmtId="0" fontId="21" fillId="0" borderId="7" xfId="0" applyFont="1" applyFill="1" applyBorder="1" applyAlignment="1">
      <alignment horizontal="center" vertical="center" wrapText="1"/>
    </xf>
    <xf numFmtId="0" fontId="21" fillId="0" borderId="63" xfId="0" applyFont="1" applyFill="1" applyBorder="1" applyAlignment="1">
      <alignment horizontal="center" vertical="center" wrapText="1"/>
    </xf>
    <xf numFmtId="0" fontId="21" fillId="0" borderId="45" xfId="0" applyFont="1" applyFill="1" applyBorder="1" applyAlignment="1">
      <alignment horizontal="center" vertical="center" wrapText="1"/>
    </xf>
    <xf numFmtId="0" fontId="21" fillId="0" borderId="4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27" fillId="0" borderId="2" xfId="0" applyFont="1" applyBorder="1" applyAlignment="1">
      <alignment horizontal="center"/>
    </xf>
    <xf numFmtId="0" fontId="27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4" fontId="27" fillId="0" borderId="1" xfId="0" applyNumberFormat="1" applyFont="1" applyBorder="1" applyAlignment="1">
      <alignment horizontal="center" vertical="center"/>
    </xf>
    <xf numFmtId="164" fontId="35" fillId="0" borderId="1" xfId="0" applyNumberFormat="1" applyFont="1" applyBorder="1" applyAlignment="1">
      <alignment horizontal="center" vertical="center"/>
    </xf>
    <xf numFmtId="17" fontId="27" fillId="0" borderId="0" xfId="0" applyNumberFormat="1" applyFont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164" fontId="37" fillId="0" borderId="1" xfId="0" applyNumberFormat="1" applyFont="1" applyBorder="1" applyAlignment="1">
      <alignment horizontal="center" vertical="center"/>
    </xf>
    <xf numFmtId="164" fontId="38" fillId="0" borderId="1" xfId="0" applyNumberFormat="1" applyFont="1" applyBorder="1" applyAlignment="1">
      <alignment horizontal="center" vertical="center"/>
    </xf>
    <xf numFmtId="3" fontId="3" fillId="2" borderId="15" xfId="0" applyNumberFormat="1" applyFont="1" applyFill="1" applyBorder="1" applyAlignment="1">
      <alignment horizontal="center" vertical="center" wrapText="1"/>
    </xf>
    <xf numFmtId="0" fontId="3" fillId="2" borderId="64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28" xfId="0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3" fontId="0" fillId="0" borderId="0" xfId="0" applyNumberFormat="1"/>
    <xf numFmtId="3" fontId="39" fillId="0" borderId="0" xfId="1" applyNumberFormat="1" applyFont="1"/>
    <xf numFmtId="0" fontId="0" fillId="0" borderId="0" xfId="0" applyAlignment="1">
      <alignment vertical="center"/>
    </xf>
    <xf numFmtId="0" fontId="27" fillId="0" borderId="2" xfId="0" applyFont="1" applyBorder="1" applyAlignment="1">
      <alignment horizontal="center" wrapText="1"/>
    </xf>
    <xf numFmtId="0" fontId="24" fillId="0" borderId="11" xfId="0" applyFont="1" applyFill="1" applyBorder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3" fillId="0" borderId="35" xfId="0" applyFont="1" applyFill="1" applyBorder="1" applyAlignment="1" applyProtection="1">
      <alignment horizontal="center" vertical="center"/>
      <protection locked="0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 applyProtection="1">
      <alignment horizontal="center" vertical="center"/>
      <protection locked="0"/>
    </xf>
    <xf numFmtId="0" fontId="3" fillId="0" borderId="41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3" fontId="3" fillId="0" borderId="37" xfId="0" applyNumberFormat="1" applyFont="1" applyFill="1" applyBorder="1" applyAlignment="1">
      <alignment horizontal="center" vertical="center" wrapText="1"/>
    </xf>
    <xf numFmtId="3" fontId="3" fillId="0" borderId="15" xfId="0" applyNumberFormat="1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3" fillId="0" borderId="25" xfId="0" applyFont="1" applyFill="1" applyBorder="1" applyAlignment="1" applyProtection="1">
      <alignment horizontal="center" vertical="center"/>
      <protection locked="0"/>
    </xf>
    <xf numFmtId="0" fontId="3" fillId="0" borderId="25" xfId="0" applyFont="1" applyFill="1" applyBorder="1" applyAlignment="1">
      <alignment horizontal="center" vertical="center"/>
    </xf>
    <xf numFmtId="0" fontId="3" fillId="0" borderId="31" xfId="0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164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Fill="1" applyBorder="1" applyAlignment="1">
      <alignment horizontal="center" vertical="center" wrapText="1"/>
    </xf>
    <xf numFmtId="3" fontId="3" fillId="0" borderId="2" xfId="0" applyNumberFormat="1" applyFont="1" applyFill="1" applyBorder="1" applyAlignment="1">
      <alignment horizontal="center" vertical="center" wrapText="1"/>
    </xf>
    <xf numFmtId="165" fontId="3" fillId="0" borderId="1" xfId="0" applyNumberFormat="1" applyFont="1" applyFill="1" applyBorder="1" applyAlignment="1">
      <alignment horizontal="center" vertical="center" wrapText="1"/>
    </xf>
    <xf numFmtId="0" fontId="3" fillId="0" borderId="3" xfId="0" applyFont="1" applyFill="1" applyBorder="1" applyAlignment="1" applyProtection="1">
      <alignment horizontal="center" vertical="center" wrapText="1"/>
      <protection locked="0"/>
    </xf>
    <xf numFmtId="0" fontId="25" fillId="0" borderId="0" xfId="0" applyFont="1" applyFill="1" applyAlignment="1">
      <alignment horizontal="right" vertical="center"/>
    </xf>
    <xf numFmtId="0" fontId="3" fillId="0" borderId="45" xfId="0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2" fontId="10" fillId="0" borderId="1" xfId="0" applyNumberFormat="1" applyFont="1" applyFill="1" applyBorder="1" applyAlignment="1">
      <alignment horizontal="center" vertical="center"/>
    </xf>
    <xf numFmtId="4" fontId="10" fillId="0" borderId="1" xfId="0" applyNumberFormat="1" applyFont="1" applyFill="1" applyBorder="1" applyAlignment="1">
      <alignment horizontal="center" vertical="center"/>
    </xf>
    <xf numFmtId="3" fontId="10" fillId="0" borderId="1" xfId="0" applyNumberFormat="1" applyFont="1" applyFill="1" applyBorder="1" applyAlignment="1">
      <alignment horizontal="center" vertical="center"/>
    </xf>
    <xf numFmtId="164" fontId="3" fillId="0" borderId="45" xfId="0" applyNumberFormat="1" applyFont="1" applyFill="1" applyBorder="1" applyAlignment="1">
      <alignment horizontal="center" vertical="center" wrapText="1"/>
    </xf>
    <xf numFmtId="164" fontId="3" fillId="0" borderId="6" xfId="0" applyNumberFormat="1" applyFont="1" applyFill="1" applyBorder="1" applyAlignment="1">
      <alignment horizontal="center" vertical="center" wrapText="1"/>
    </xf>
    <xf numFmtId="164" fontId="3" fillId="0" borderId="19" xfId="0" applyNumberFormat="1" applyFont="1" applyFill="1" applyBorder="1" applyAlignment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165" fontId="3" fillId="0" borderId="43" xfId="0" applyNumberFormat="1" applyFont="1" applyFill="1" applyBorder="1" applyAlignment="1">
      <alignment horizontal="center" vertical="center" wrapText="1"/>
    </xf>
    <xf numFmtId="0" fontId="25" fillId="0" borderId="0" xfId="0" applyFont="1" applyFill="1" applyAlignment="1">
      <alignment vertical="center"/>
    </xf>
    <xf numFmtId="165" fontId="3" fillId="0" borderId="42" xfId="0" applyNumberFormat="1" applyFont="1" applyFill="1" applyBorder="1" applyAlignment="1">
      <alignment horizontal="center" vertical="center" wrapText="1"/>
    </xf>
    <xf numFmtId="0" fontId="29" fillId="0" borderId="0" xfId="0" applyFont="1" applyFill="1" applyAlignment="1">
      <alignment horizontal="right" vertical="center"/>
    </xf>
    <xf numFmtId="0" fontId="3" fillId="0" borderId="19" xfId="0" applyFont="1" applyFill="1" applyBorder="1" applyAlignment="1" applyProtection="1">
      <alignment horizontal="center" vertical="center" wrapText="1"/>
      <protection locked="0"/>
    </xf>
    <xf numFmtId="0" fontId="3" fillId="0" borderId="29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165" fontId="3" fillId="0" borderId="18" xfId="0" applyNumberFormat="1" applyFont="1" applyFill="1" applyBorder="1" applyAlignment="1">
      <alignment horizontal="center" vertical="center" wrapText="1"/>
    </xf>
    <xf numFmtId="3" fontId="3" fillId="0" borderId="6" xfId="0" applyNumberFormat="1" applyFont="1" applyFill="1" applyBorder="1" applyAlignment="1">
      <alignment horizontal="center" vertical="center" wrapText="1"/>
    </xf>
    <xf numFmtId="0" fontId="3" fillId="0" borderId="6" xfId="0" applyFont="1" applyFill="1" applyBorder="1" applyAlignment="1" applyProtection="1">
      <alignment horizontal="center" vertical="center" wrapText="1"/>
    </xf>
    <xf numFmtId="0" fontId="3" fillId="0" borderId="26" xfId="0" applyFont="1" applyFill="1" applyBorder="1" applyAlignment="1" applyProtection="1">
      <alignment horizontal="center" vertical="center"/>
      <protection locked="0"/>
    </xf>
    <xf numFmtId="0" fontId="3" fillId="0" borderId="26" xfId="0" applyFont="1" applyFill="1" applyBorder="1" applyAlignment="1">
      <alignment horizontal="center" vertical="center"/>
    </xf>
    <xf numFmtId="0" fontId="3" fillId="0" borderId="33" xfId="0" applyFont="1" applyFill="1" applyBorder="1" applyAlignment="1" applyProtection="1">
      <alignment horizontal="center" vertical="center"/>
      <protection locked="0"/>
    </xf>
    <xf numFmtId="165" fontId="3" fillId="0" borderId="28" xfId="0" applyNumberFormat="1" applyFont="1" applyFill="1" applyBorder="1" applyAlignment="1">
      <alignment horizontal="center" vertical="center" wrapText="1"/>
    </xf>
    <xf numFmtId="3" fontId="3" fillId="0" borderId="19" xfId="0" applyNumberFormat="1" applyFont="1" applyFill="1" applyBorder="1" applyAlignment="1">
      <alignment horizontal="center" vertical="center" wrapText="1"/>
    </xf>
    <xf numFmtId="3" fontId="3" fillId="0" borderId="17" xfId="0" applyNumberFormat="1" applyFont="1" applyFill="1" applyBorder="1" applyAlignment="1">
      <alignment horizontal="center" vertical="center" wrapText="1"/>
    </xf>
    <xf numFmtId="164" fontId="3" fillId="2" borderId="31" xfId="0" applyNumberFormat="1" applyFont="1" applyFill="1" applyBorder="1" applyAlignment="1" applyProtection="1">
      <alignment horizontal="center" vertical="center" wrapText="1"/>
      <protection locked="0"/>
    </xf>
    <xf numFmtId="164" fontId="3" fillId="2" borderId="33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36" xfId="0" applyNumberFormat="1" applyFont="1" applyFill="1" applyBorder="1" applyAlignment="1" applyProtection="1">
      <alignment horizontal="center" vertical="center" wrapText="1"/>
      <protection locked="0"/>
    </xf>
    <xf numFmtId="166" fontId="3" fillId="2" borderId="37" xfId="0" applyNumberFormat="1" applyFont="1" applyFill="1" applyBorder="1" applyAlignment="1">
      <alignment horizontal="center" vertical="center" wrapText="1"/>
    </xf>
    <xf numFmtId="166" fontId="3" fillId="2" borderId="1" xfId="0" applyNumberFormat="1" applyFont="1" applyFill="1" applyBorder="1" applyAlignment="1">
      <alignment horizontal="center" vertical="center" wrapText="1"/>
    </xf>
    <xf numFmtId="166" fontId="3" fillId="2" borderId="19" xfId="0" applyNumberFormat="1" applyFont="1" applyFill="1" applyBorder="1" applyAlignment="1">
      <alignment horizontal="center" vertical="center" wrapText="1"/>
    </xf>
    <xf numFmtId="3" fontId="3" fillId="2" borderId="37" xfId="0" applyNumberFormat="1" applyFont="1" applyFill="1" applyBorder="1" applyAlignment="1" applyProtection="1">
      <alignment horizontal="center" vertical="center" wrapText="1"/>
    </xf>
    <xf numFmtId="3" fontId="3" fillId="2" borderId="1" xfId="0" applyNumberFormat="1" applyFont="1" applyFill="1" applyBorder="1" applyAlignment="1" applyProtection="1">
      <alignment horizontal="center" vertical="center" wrapText="1"/>
    </xf>
    <xf numFmtId="3" fontId="3" fillId="0" borderId="41" xfId="0" applyNumberFormat="1" applyFont="1" applyFill="1" applyBorder="1" applyAlignment="1">
      <alignment horizontal="center" vertical="center" wrapText="1"/>
    </xf>
    <xf numFmtId="3" fontId="3" fillId="2" borderId="43" xfId="0" applyNumberFormat="1" applyFont="1" applyFill="1" applyBorder="1" applyAlignment="1">
      <alignment horizontal="center" vertical="center" wrapText="1"/>
    </xf>
    <xf numFmtId="3" fontId="3" fillId="2" borderId="34" xfId="0" applyNumberFormat="1" applyFont="1" applyFill="1" applyBorder="1" applyAlignment="1">
      <alignment horizontal="center" vertical="center" wrapText="1"/>
    </xf>
    <xf numFmtId="3" fontId="3" fillId="2" borderId="41" xfId="0" applyNumberFormat="1" applyFont="1" applyFill="1" applyBorder="1" applyAlignment="1">
      <alignment horizontal="center" vertical="center" wrapText="1"/>
    </xf>
    <xf numFmtId="3" fontId="3" fillId="0" borderId="42" xfId="0" applyNumberFormat="1" applyFont="1" applyFill="1" applyBorder="1" applyAlignment="1">
      <alignment horizontal="center" vertical="center" wrapText="1"/>
    </xf>
    <xf numFmtId="3" fontId="3" fillId="0" borderId="28" xfId="0" applyNumberFormat="1" applyFont="1" applyFill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center"/>
    </xf>
    <xf numFmtId="0" fontId="3" fillId="2" borderId="0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Border="1" applyAlignment="1">
      <alignment horizontal="center" vertical="center"/>
    </xf>
    <xf numFmtId="3" fontId="3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>
      <alignment horizontal="center" vertical="center" wrapText="1"/>
    </xf>
    <xf numFmtId="165" fontId="3" fillId="2" borderId="0" xfId="0" applyNumberFormat="1" applyFont="1" applyFill="1" applyBorder="1" applyAlignment="1">
      <alignment horizontal="center" vertical="center" wrapText="1"/>
    </xf>
    <xf numFmtId="164" fontId="3" fillId="2" borderId="0" xfId="0" applyNumberFormat="1" applyFont="1" applyFill="1" applyBorder="1" applyAlignment="1">
      <alignment horizontal="center" vertical="center" wrapText="1"/>
    </xf>
    <xf numFmtId="166" fontId="3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 applyProtection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/>
    </xf>
    <xf numFmtId="0" fontId="16" fillId="5" borderId="0" xfId="0" applyFont="1" applyFill="1" applyAlignment="1">
      <alignment vertical="center"/>
    </xf>
    <xf numFmtId="0" fontId="3" fillId="5" borderId="35" xfId="0" applyFont="1" applyFill="1" applyBorder="1" applyAlignment="1" applyProtection="1">
      <alignment horizontal="center" vertical="center"/>
      <protection locked="0"/>
    </xf>
    <xf numFmtId="0" fontId="3" fillId="5" borderId="35" xfId="0" applyFont="1" applyFill="1" applyBorder="1" applyAlignment="1">
      <alignment horizontal="center" vertical="center"/>
    </xf>
    <xf numFmtId="3" fontId="32" fillId="0" borderId="36" xfId="0" applyNumberFormat="1" applyFont="1" applyFill="1" applyBorder="1" applyAlignment="1" applyProtection="1">
      <alignment horizontal="center" vertical="center"/>
      <protection locked="0"/>
    </xf>
    <xf numFmtId="166" fontId="3" fillId="2" borderId="15" xfId="0" applyNumberFormat="1" applyFont="1" applyFill="1" applyBorder="1" applyAlignment="1">
      <alignment horizontal="center" vertical="center" wrapText="1"/>
    </xf>
    <xf numFmtId="166" fontId="3" fillId="2" borderId="2" xfId="0" applyNumberFormat="1" applyFont="1" applyFill="1" applyBorder="1" applyAlignment="1">
      <alignment horizontal="center" vertical="center" wrapText="1"/>
    </xf>
    <xf numFmtId="166" fontId="3" fillId="2" borderId="1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 wrapText="1"/>
    </xf>
    <xf numFmtId="166" fontId="3" fillId="0" borderId="17" xfId="0" applyNumberFormat="1" applyFont="1" applyFill="1" applyBorder="1" applyAlignment="1">
      <alignment horizontal="center" vertical="center" wrapText="1"/>
    </xf>
    <xf numFmtId="166" fontId="3" fillId="0" borderId="2" xfId="0" applyNumberFormat="1" applyFont="1" applyFill="1" applyBorder="1" applyAlignment="1">
      <alignment horizontal="center" vertical="center" wrapText="1"/>
    </xf>
    <xf numFmtId="166" fontId="3" fillId="2" borderId="48" xfId="0" applyNumberFormat="1" applyFont="1" applyFill="1" applyBorder="1" applyAlignment="1">
      <alignment horizontal="center" vertical="center" wrapText="1"/>
    </xf>
    <xf numFmtId="1" fontId="3" fillId="2" borderId="31" xfId="0" applyNumberFormat="1" applyFont="1" applyFill="1" applyBorder="1" applyAlignment="1" applyProtection="1">
      <alignment horizontal="center" vertical="center" wrapText="1"/>
      <protection locked="0"/>
    </xf>
    <xf numFmtId="0" fontId="3" fillId="5" borderId="25" xfId="0" applyFont="1" applyFill="1" applyBorder="1" applyAlignment="1">
      <alignment horizontal="center" vertical="center"/>
    </xf>
    <xf numFmtId="3" fontId="3" fillId="2" borderId="31" xfId="0" applyNumberFormat="1" applyFont="1" applyFill="1" applyBorder="1" applyAlignment="1" applyProtection="1">
      <alignment horizontal="center" vertical="center" wrapText="1"/>
      <protection locked="0"/>
    </xf>
    <xf numFmtId="166" fontId="3" fillId="2" borderId="6" xfId="0" applyNumberFormat="1" applyFont="1" applyFill="1" applyBorder="1" applyAlignment="1">
      <alignment horizontal="center" vertical="center" wrapText="1"/>
    </xf>
    <xf numFmtId="166" fontId="3" fillId="2" borderId="18" xfId="0" applyNumberFormat="1" applyFont="1" applyFill="1" applyBorder="1" applyAlignment="1">
      <alignment horizontal="center" vertical="center" wrapText="1"/>
    </xf>
    <xf numFmtId="166" fontId="3" fillId="2" borderId="45" xfId="0" applyNumberFormat="1" applyFont="1" applyFill="1" applyBorder="1" applyAlignment="1">
      <alignment horizontal="center" vertical="center" wrapText="1"/>
    </xf>
    <xf numFmtId="166" fontId="3" fillId="2" borderId="5" xfId="0" applyNumberFormat="1" applyFont="1" applyFill="1" applyBorder="1" applyAlignment="1">
      <alignment horizontal="center" vertical="center" wrapText="1"/>
    </xf>
    <xf numFmtId="0" fontId="3" fillId="5" borderId="26" xfId="0" applyFont="1" applyFill="1" applyBorder="1" applyAlignment="1">
      <alignment horizontal="center" vertical="center"/>
    </xf>
    <xf numFmtId="0" fontId="33" fillId="5" borderId="31" xfId="0" applyFont="1" applyFill="1" applyBorder="1" applyAlignment="1" applyProtection="1">
      <alignment horizontal="center" vertical="center"/>
      <protection locked="0"/>
    </xf>
    <xf numFmtId="0" fontId="33" fillId="5" borderId="33" xfId="0" applyFont="1" applyFill="1" applyBorder="1" applyAlignment="1" applyProtection="1">
      <alignment horizontal="center" vertical="center"/>
      <protection locked="0"/>
    </xf>
    <xf numFmtId="0" fontId="33" fillId="5" borderId="36" xfId="0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 applyProtection="1">
      <alignment vertical="center"/>
      <protection locked="0"/>
    </xf>
    <xf numFmtId="0" fontId="9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32" fillId="0" borderId="31" xfId="0" applyFont="1" applyFill="1" applyBorder="1" applyAlignment="1" applyProtection="1">
      <alignment horizontal="center" vertical="center"/>
      <protection locked="0"/>
    </xf>
    <xf numFmtId="3" fontId="32" fillId="0" borderId="31" xfId="0" applyNumberFormat="1" applyFont="1" applyFill="1" applyBorder="1" applyAlignment="1" applyProtection="1">
      <alignment horizontal="center" vertical="center"/>
      <protection locked="0"/>
    </xf>
    <xf numFmtId="0" fontId="32" fillId="0" borderId="33" xfId="0" applyFont="1" applyFill="1" applyBorder="1" applyAlignment="1" applyProtection="1">
      <alignment horizontal="center" vertical="center"/>
      <protection locked="0"/>
    </xf>
    <xf numFmtId="0" fontId="33" fillId="0" borderId="31" xfId="0" applyFont="1" applyFill="1" applyBorder="1" applyAlignment="1" applyProtection="1">
      <alignment horizontal="center" vertical="center"/>
      <protection locked="0"/>
    </xf>
    <xf numFmtId="0" fontId="33" fillId="0" borderId="33" xfId="0" applyFont="1" applyFill="1" applyBorder="1" applyAlignment="1" applyProtection="1">
      <alignment horizontal="center" vertical="center"/>
      <protection locked="0"/>
    </xf>
    <xf numFmtId="0" fontId="33" fillId="0" borderId="36" xfId="0" applyFont="1" applyFill="1" applyBorder="1" applyAlignment="1" applyProtection="1">
      <alignment horizontal="center" vertical="center"/>
      <protection locked="0"/>
    </xf>
    <xf numFmtId="0" fontId="16" fillId="0" borderId="0" xfId="0" applyFont="1" applyFill="1" applyAlignment="1">
      <alignment vertical="center"/>
    </xf>
    <xf numFmtId="3" fontId="33" fillId="5" borderId="36" xfId="0" applyNumberFormat="1" applyFont="1" applyFill="1" applyBorder="1" applyAlignment="1" applyProtection="1">
      <alignment horizontal="center" vertical="center"/>
      <protection locked="0"/>
    </xf>
    <xf numFmtId="0" fontId="33" fillId="7" borderId="31" xfId="0" applyFont="1" applyFill="1" applyBorder="1" applyAlignment="1" applyProtection="1">
      <alignment horizontal="center" vertical="center"/>
      <protection locked="0"/>
    </xf>
    <xf numFmtId="0" fontId="3" fillId="7" borderId="25" xfId="0" applyFont="1" applyFill="1" applyBorder="1" applyAlignment="1" applyProtection="1">
      <alignment horizontal="center" vertical="center"/>
      <protection locked="0"/>
    </xf>
    <xf numFmtId="0" fontId="32" fillId="7" borderId="33" xfId="0" applyFont="1" applyFill="1" applyBorder="1" applyAlignment="1" applyProtection="1">
      <alignment horizontal="center" vertical="center"/>
      <protection locked="0"/>
    </xf>
    <xf numFmtId="3" fontId="3" fillId="7" borderId="19" xfId="0" applyNumberFormat="1" applyFont="1" applyFill="1" applyBorder="1" applyAlignment="1">
      <alignment horizontal="center" vertical="center" wrapText="1"/>
    </xf>
    <xf numFmtId="3" fontId="3" fillId="7" borderId="28" xfId="0" applyNumberFormat="1" applyFont="1" applyFill="1" applyBorder="1" applyAlignment="1">
      <alignment horizontal="center" vertical="center" wrapText="1"/>
    </xf>
    <xf numFmtId="0" fontId="3" fillId="7" borderId="33" xfId="0" applyFont="1" applyFill="1" applyBorder="1" applyAlignment="1" applyProtection="1">
      <alignment horizontal="center" vertical="center" wrapText="1"/>
      <protection locked="0"/>
    </xf>
    <xf numFmtId="0" fontId="3" fillId="7" borderId="19" xfId="0" applyFont="1" applyFill="1" applyBorder="1" applyAlignment="1" applyProtection="1">
      <alignment horizontal="center" vertical="center" wrapText="1"/>
      <protection locked="0"/>
    </xf>
    <xf numFmtId="0" fontId="3" fillId="7" borderId="19" xfId="0" applyFont="1" applyFill="1" applyBorder="1" applyAlignment="1">
      <alignment horizontal="center" vertical="center" wrapText="1"/>
    </xf>
    <xf numFmtId="165" fontId="3" fillId="7" borderId="18" xfId="0" applyNumberFormat="1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166" fontId="3" fillId="7" borderId="19" xfId="0" applyNumberFormat="1" applyFont="1" applyFill="1" applyBorder="1" applyAlignment="1">
      <alignment horizontal="center" vertical="center" wrapText="1"/>
    </xf>
    <xf numFmtId="166" fontId="3" fillId="7" borderId="17" xfId="0" applyNumberFormat="1" applyFont="1" applyFill="1" applyBorder="1" applyAlignment="1">
      <alignment horizontal="center" vertical="center" wrapText="1"/>
    </xf>
    <xf numFmtId="0" fontId="3" fillId="7" borderId="40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 applyProtection="1">
      <alignment horizontal="center" vertical="center" wrapText="1"/>
    </xf>
    <xf numFmtId="0" fontId="3" fillId="7" borderId="28" xfId="0" applyFont="1" applyFill="1" applyBorder="1" applyAlignment="1">
      <alignment horizontal="center" vertical="center" wrapText="1"/>
    </xf>
    <xf numFmtId="0" fontId="3" fillId="7" borderId="33" xfId="0" applyFont="1" applyFill="1" applyBorder="1" applyAlignment="1">
      <alignment horizontal="center" vertical="center" wrapText="1"/>
    </xf>
    <xf numFmtId="0" fontId="29" fillId="0" borderId="0" xfId="0" applyFont="1" applyFill="1" applyAlignment="1">
      <alignment vertical="center"/>
    </xf>
    <xf numFmtId="166" fontId="3" fillId="0" borderId="18" xfId="0" applyNumberFormat="1" applyFont="1" applyFill="1" applyBorder="1" applyAlignment="1">
      <alignment horizontal="center" vertical="center" wrapText="1"/>
    </xf>
    <xf numFmtId="0" fontId="3" fillId="7" borderId="31" xfId="0" applyFont="1" applyFill="1" applyBorder="1" applyAlignment="1" applyProtection="1">
      <alignment horizontal="center" vertical="center" wrapText="1"/>
      <protection locked="0"/>
    </xf>
    <xf numFmtId="0" fontId="3" fillId="7" borderId="1" xfId="0" applyFont="1" applyFill="1" applyBorder="1" applyAlignment="1" applyProtection="1">
      <alignment horizontal="center" vertical="center" wrapText="1"/>
      <protection locked="0"/>
    </xf>
    <xf numFmtId="0" fontId="3" fillId="7" borderId="1" xfId="0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 vertical="center" wrapText="1"/>
    </xf>
    <xf numFmtId="165" fontId="3" fillId="7" borderId="42" xfId="0" applyNumberFormat="1" applyFont="1" applyFill="1" applyBorder="1" applyAlignment="1">
      <alignment horizontal="center" vertical="center" wrapText="1"/>
    </xf>
    <xf numFmtId="166" fontId="3" fillId="7" borderId="2" xfId="0" applyNumberFormat="1" applyFont="1" applyFill="1" applyBorder="1" applyAlignment="1">
      <alignment horizontal="center" vertical="center" wrapText="1"/>
    </xf>
    <xf numFmtId="0" fontId="3" fillId="7" borderId="31" xfId="0" applyFont="1" applyFill="1" applyBorder="1" applyAlignment="1">
      <alignment horizontal="center" vertical="center" wrapText="1"/>
    </xf>
    <xf numFmtId="0" fontId="3" fillId="7" borderId="32" xfId="0" applyFont="1" applyFill="1" applyBorder="1" applyAlignment="1">
      <alignment horizontal="center" vertical="center" wrapText="1"/>
    </xf>
    <xf numFmtId="165" fontId="3" fillId="0" borderId="5" xfId="0" applyNumberFormat="1" applyFont="1" applyFill="1" applyBorder="1" applyAlignment="1">
      <alignment horizontal="center" vertical="center" wrapText="1"/>
    </xf>
    <xf numFmtId="0" fontId="3" fillId="7" borderId="31" xfId="0" applyFont="1" applyFill="1" applyBorder="1" applyAlignment="1" applyProtection="1">
      <alignment horizontal="center" vertical="center"/>
      <protection locked="0"/>
    </xf>
    <xf numFmtId="165" fontId="3" fillId="7" borderId="1" xfId="0" applyNumberFormat="1" applyFont="1" applyFill="1" applyBorder="1" applyAlignment="1">
      <alignment horizontal="center" vertical="center" wrapText="1"/>
    </xf>
    <xf numFmtId="166" fontId="3" fillId="7" borderId="18" xfId="0" applyNumberFormat="1" applyFont="1" applyFill="1" applyBorder="1" applyAlignment="1">
      <alignment horizontal="center" vertical="center" wrapText="1"/>
    </xf>
    <xf numFmtId="0" fontId="3" fillId="7" borderId="30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45" fillId="7" borderId="0" xfId="0" applyFont="1" applyFill="1" applyAlignment="1">
      <alignment horizontal="right" vertical="center"/>
    </xf>
    <xf numFmtId="0" fontId="47" fillId="7" borderId="0" xfId="0" applyFont="1" applyFill="1" applyAlignment="1">
      <alignment horizontal="right" vertical="center"/>
    </xf>
    <xf numFmtId="0" fontId="46" fillId="7" borderId="0" xfId="0" applyFont="1" applyFill="1" applyAlignment="1">
      <alignment horizontal="right" vertical="center"/>
    </xf>
    <xf numFmtId="166" fontId="3" fillId="0" borderId="1" xfId="0" applyNumberFormat="1" applyFont="1" applyFill="1" applyBorder="1" applyAlignment="1">
      <alignment horizontal="center" vertical="center" wrapText="1"/>
    </xf>
    <xf numFmtId="166" fontId="3" fillId="7" borderId="1" xfId="0" applyNumberFormat="1" applyFont="1" applyFill="1" applyBorder="1" applyAlignment="1">
      <alignment horizontal="center" vertical="center" wrapText="1"/>
    </xf>
    <xf numFmtId="0" fontId="3" fillId="7" borderId="5" xfId="0" applyFont="1" applyFill="1" applyBorder="1" applyAlignment="1" applyProtection="1">
      <alignment horizontal="center" vertical="center" wrapText="1"/>
    </xf>
    <xf numFmtId="0" fontId="5" fillId="8" borderId="7" xfId="0" applyFont="1" applyFill="1" applyBorder="1" applyAlignment="1" applyProtection="1">
      <alignment vertical="center"/>
      <protection locked="0"/>
    </xf>
    <xf numFmtId="0" fontId="5" fillId="8" borderId="8" xfId="0" applyFont="1" applyFill="1" applyBorder="1" applyAlignment="1" applyProtection="1">
      <alignment vertical="center"/>
      <protection locked="0"/>
    </xf>
    <xf numFmtId="0" fontId="6" fillId="8" borderId="8" xfId="0" applyFont="1" applyFill="1" applyBorder="1" applyAlignment="1" applyProtection="1">
      <alignment vertical="center"/>
      <protection locked="0"/>
    </xf>
    <xf numFmtId="0" fontId="7" fillId="8" borderId="8" xfId="0" applyFont="1" applyFill="1" applyBorder="1" applyAlignment="1" applyProtection="1">
      <alignment vertical="center"/>
      <protection locked="0"/>
    </xf>
    <xf numFmtId="0" fontId="8" fillId="8" borderId="8" xfId="0" applyFont="1" applyFill="1" applyBorder="1" applyAlignment="1" applyProtection="1">
      <alignment vertical="center"/>
      <protection locked="0"/>
    </xf>
    <xf numFmtId="0" fontId="7" fillId="8" borderId="23" xfId="0" applyFont="1" applyFill="1" applyBorder="1" applyAlignment="1" applyProtection="1">
      <alignment vertical="center"/>
      <protection locked="0"/>
    </xf>
    <xf numFmtId="0" fontId="7" fillId="8" borderId="0" xfId="0" applyFont="1" applyFill="1" applyBorder="1" applyAlignment="1" applyProtection="1">
      <alignment vertical="center"/>
      <protection locked="0"/>
    </xf>
    <xf numFmtId="0" fontId="6" fillId="8" borderId="0" xfId="0" applyFont="1" applyFill="1" applyBorder="1" applyAlignment="1" applyProtection="1">
      <alignment vertical="center"/>
      <protection locked="0"/>
    </xf>
    <xf numFmtId="0" fontId="8" fillId="8" borderId="0" xfId="0" applyFont="1" applyFill="1" applyBorder="1" applyAlignment="1" applyProtection="1">
      <alignment vertical="center"/>
      <protection locked="0"/>
    </xf>
    <xf numFmtId="0" fontId="9" fillId="8" borderId="10" xfId="0" applyFont="1" applyFill="1" applyBorder="1" applyAlignment="1">
      <alignment horizontal="center" vertical="center" wrapText="1"/>
    </xf>
    <xf numFmtId="0" fontId="9" fillId="8" borderId="17" xfId="0" applyFont="1" applyFill="1" applyBorder="1" applyAlignment="1">
      <alignment horizontal="center" vertical="center" wrapText="1"/>
    </xf>
    <xf numFmtId="0" fontId="9" fillId="8" borderId="28" xfId="0" applyFont="1" applyFill="1" applyBorder="1" applyAlignment="1">
      <alignment horizontal="center" vertical="center" wrapText="1"/>
    </xf>
    <xf numFmtId="0" fontId="9" fillId="8" borderId="19" xfId="0" applyFont="1" applyFill="1" applyBorder="1" applyAlignment="1">
      <alignment horizontal="center" vertical="center" wrapText="1"/>
    </xf>
    <xf numFmtId="0" fontId="9" fillId="8" borderId="11" xfId="0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0" fontId="9" fillId="8" borderId="34" xfId="0" applyFont="1" applyFill="1" applyBorder="1" applyAlignment="1">
      <alignment horizontal="center" vertical="center" wrapText="1"/>
    </xf>
    <xf numFmtId="0" fontId="9" fillId="8" borderId="20" xfId="0" applyFont="1" applyFill="1" applyBorder="1" applyAlignment="1">
      <alignment horizontal="center" vertical="center" wrapText="1"/>
    </xf>
    <xf numFmtId="0" fontId="41" fillId="8" borderId="8" xfId="0" applyFont="1" applyFill="1" applyBorder="1" applyAlignment="1" applyProtection="1">
      <alignment vertical="center"/>
      <protection locked="0"/>
    </xf>
    <xf numFmtId="0" fontId="44" fillId="8" borderId="8" xfId="0" applyFont="1" applyFill="1" applyBorder="1" applyAlignment="1" applyProtection="1">
      <alignment vertical="center"/>
      <protection locked="0"/>
    </xf>
    <xf numFmtId="0" fontId="6" fillId="8" borderId="9" xfId="0" applyFont="1" applyFill="1" applyBorder="1" applyAlignment="1" applyProtection="1">
      <alignment vertical="center"/>
      <protection locked="0"/>
    </xf>
    <xf numFmtId="0" fontId="6" fillId="8" borderId="24" xfId="0" applyFont="1" applyFill="1" applyBorder="1" applyAlignment="1" applyProtection="1">
      <alignment vertical="center"/>
      <protection locked="0"/>
    </xf>
    <xf numFmtId="3" fontId="3" fillId="0" borderId="43" xfId="0" applyNumberFormat="1" applyFont="1" applyFill="1" applyBorder="1" applyAlignment="1">
      <alignment horizontal="center" vertical="center" wrapText="1"/>
    </xf>
    <xf numFmtId="3" fontId="3" fillId="0" borderId="21" xfId="0" applyNumberFormat="1" applyFont="1" applyFill="1" applyBorder="1" applyAlignment="1">
      <alignment horizontal="center" vertical="center" wrapText="1"/>
    </xf>
    <xf numFmtId="3" fontId="3" fillId="0" borderId="32" xfId="0" applyNumberFormat="1" applyFont="1" applyFill="1" applyBorder="1" applyAlignment="1">
      <alignment horizontal="center" vertical="center" wrapText="1"/>
    </xf>
    <xf numFmtId="3" fontId="3" fillId="0" borderId="18" xfId="0" applyNumberFormat="1" applyFont="1" applyFill="1" applyBorder="1" applyAlignment="1">
      <alignment horizontal="center" vertical="center" wrapText="1"/>
    </xf>
    <xf numFmtId="3" fontId="3" fillId="7" borderId="1" xfId="0" applyNumberFormat="1" applyFont="1" applyFill="1" applyBorder="1" applyAlignment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  <protection locked="0"/>
    </xf>
    <xf numFmtId="0" fontId="3" fillId="2" borderId="18" xfId="0" applyFont="1" applyFill="1" applyBorder="1" applyAlignment="1" applyProtection="1">
      <alignment horizontal="center" vertical="center" wrapText="1"/>
      <protection locked="0"/>
    </xf>
    <xf numFmtId="0" fontId="3" fillId="0" borderId="51" xfId="0" applyFont="1" applyFill="1" applyBorder="1" applyAlignment="1" applyProtection="1">
      <alignment horizontal="center" vertical="center" wrapText="1"/>
      <protection locked="0"/>
    </xf>
    <xf numFmtId="3" fontId="3" fillId="0" borderId="20" xfId="0" applyNumberFormat="1" applyFont="1" applyFill="1" applyBorder="1" applyAlignment="1">
      <alignment horizontal="center" vertical="center" wrapText="1"/>
    </xf>
    <xf numFmtId="0" fontId="3" fillId="5" borderId="27" xfId="0" applyFont="1" applyFill="1" applyBorder="1" applyAlignment="1">
      <alignment horizontal="center" vertical="center"/>
    </xf>
    <xf numFmtId="0" fontId="3" fillId="2" borderId="65" xfId="0" applyFont="1" applyFill="1" applyBorder="1" applyAlignment="1">
      <alignment horizontal="center" vertical="center"/>
    </xf>
    <xf numFmtId="0" fontId="3" fillId="0" borderId="65" xfId="0" applyFont="1" applyFill="1" applyBorder="1" applyAlignment="1">
      <alignment horizontal="center" vertical="center"/>
    </xf>
    <xf numFmtId="0" fontId="3" fillId="5" borderId="65" xfId="0" applyFont="1" applyFill="1" applyBorder="1" applyAlignment="1">
      <alignment horizontal="center" vertical="center"/>
    </xf>
    <xf numFmtId="0" fontId="3" fillId="7" borderId="64" xfId="0" applyFont="1" applyFill="1" applyBorder="1" applyAlignment="1">
      <alignment horizontal="center" vertical="center"/>
    </xf>
    <xf numFmtId="0" fontId="3" fillId="2" borderId="64" xfId="0" applyFont="1" applyFill="1" applyBorder="1" applyAlignment="1">
      <alignment horizontal="center" vertical="center"/>
    </xf>
    <xf numFmtId="0" fontId="3" fillId="2" borderId="27" xfId="0" applyFont="1" applyFill="1" applyBorder="1" applyAlignment="1">
      <alignment horizontal="center" vertical="center"/>
    </xf>
    <xf numFmtId="0" fontId="3" fillId="0" borderId="64" xfId="0" applyFont="1" applyFill="1" applyBorder="1" applyAlignment="1">
      <alignment horizontal="center" vertical="center"/>
    </xf>
    <xf numFmtId="0" fontId="3" fillId="7" borderId="65" xfId="0" applyFont="1" applyFill="1" applyBorder="1" applyAlignment="1">
      <alignment horizontal="center" vertical="center"/>
    </xf>
    <xf numFmtId="0" fontId="3" fillId="7" borderId="3" xfId="0" applyFont="1" applyFill="1" applyBorder="1" applyAlignment="1" applyProtection="1">
      <alignment horizontal="center" vertical="center" wrapText="1"/>
      <protection locked="0"/>
    </xf>
    <xf numFmtId="0" fontId="9" fillId="8" borderId="23" xfId="0" applyFont="1" applyFill="1" applyBorder="1" applyAlignment="1">
      <alignment horizontal="center" vertical="center" wrapText="1"/>
    </xf>
    <xf numFmtId="0" fontId="9" fillId="8" borderId="57" xfId="0" applyFont="1" applyFill="1" applyBorder="1" applyAlignment="1">
      <alignment horizontal="center" vertical="center" wrapText="1"/>
    </xf>
    <xf numFmtId="0" fontId="9" fillId="8" borderId="42" xfId="0" applyFont="1" applyFill="1" applyBorder="1" applyAlignment="1">
      <alignment horizontal="center" vertical="center" wrapText="1"/>
    </xf>
    <xf numFmtId="3" fontId="3" fillId="7" borderId="32" xfId="0" applyNumberFormat="1" applyFont="1" applyFill="1" applyBorder="1" applyAlignment="1">
      <alignment horizontal="center" vertical="center" wrapText="1"/>
    </xf>
    <xf numFmtId="3" fontId="3" fillId="0" borderId="30" xfId="0" applyNumberFormat="1" applyFont="1" applyFill="1" applyBorder="1" applyAlignment="1">
      <alignment horizontal="center" vertical="center" wrapText="1"/>
    </xf>
    <xf numFmtId="0" fontId="3" fillId="0" borderId="50" xfId="0" applyFont="1" applyFill="1" applyBorder="1" applyAlignment="1" applyProtection="1">
      <alignment horizontal="center" vertical="center"/>
      <protection locked="0"/>
    </xf>
    <xf numFmtId="0" fontId="3" fillId="0" borderId="66" xfId="0" applyFont="1" applyFill="1" applyBorder="1" applyAlignment="1">
      <alignment horizontal="center" vertical="center"/>
    </xf>
    <xf numFmtId="0" fontId="3" fillId="7" borderId="26" xfId="0" applyFont="1" applyFill="1" applyBorder="1" applyAlignment="1" applyProtection="1">
      <alignment horizontal="center" vertical="center"/>
      <protection locked="0"/>
    </xf>
    <xf numFmtId="165" fontId="3" fillId="7" borderId="19" xfId="0" applyNumberFormat="1" applyFont="1" applyFill="1" applyBorder="1" applyAlignment="1">
      <alignment horizontal="center" vertical="center" wrapText="1"/>
    </xf>
    <xf numFmtId="164" fontId="3" fillId="7" borderId="19" xfId="0" applyNumberFormat="1" applyFont="1" applyFill="1" applyBorder="1" applyAlignment="1">
      <alignment horizontal="center" vertical="center" wrapText="1"/>
    </xf>
    <xf numFmtId="0" fontId="3" fillId="7" borderId="19" xfId="0" applyFont="1" applyFill="1" applyBorder="1" applyAlignment="1" applyProtection="1">
      <alignment horizontal="center" vertical="center" wrapText="1"/>
    </xf>
    <xf numFmtId="164" fontId="3" fillId="0" borderId="37" xfId="0" applyNumberFormat="1" applyFont="1" applyFill="1" applyBorder="1" applyAlignment="1">
      <alignment horizontal="center" vertical="center" wrapText="1"/>
    </xf>
    <xf numFmtId="0" fontId="3" fillId="0" borderId="19" xfId="0" applyFont="1" applyFill="1" applyBorder="1" applyAlignment="1" applyProtection="1">
      <alignment horizontal="center" vertical="center" wrapText="1"/>
    </xf>
    <xf numFmtId="166" fontId="3" fillId="2" borderId="20" xfId="0" applyNumberFormat="1" applyFont="1" applyFill="1" applyBorder="1" applyAlignment="1">
      <alignment horizontal="center" vertical="center" wrapText="1"/>
    </xf>
    <xf numFmtId="1" fontId="3" fillId="2" borderId="3" xfId="0" applyNumberFormat="1" applyFont="1" applyFill="1" applyBorder="1" applyAlignment="1" applyProtection="1">
      <alignment horizontal="center" vertical="center" wrapText="1"/>
      <protection locked="0"/>
    </xf>
    <xf numFmtId="3" fontId="3" fillId="2" borderId="3" xfId="0" applyNumberFormat="1" applyFont="1" applyFill="1" applyBorder="1" applyAlignment="1" applyProtection="1">
      <alignment horizontal="center" vertical="center" wrapText="1"/>
      <protection locked="0"/>
    </xf>
    <xf numFmtId="164" fontId="3" fillId="2" borderId="3" xfId="0" applyNumberFormat="1" applyFont="1" applyFill="1" applyBorder="1" applyAlignment="1" applyProtection="1">
      <alignment horizontal="center" vertical="center" wrapText="1"/>
      <protection locked="0"/>
    </xf>
    <xf numFmtId="0" fontId="7" fillId="8" borderId="10" xfId="0" applyFont="1" applyFill="1" applyBorder="1" applyAlignment="1" applyProtection="1">
      <alignment vertical="center"/>
      <protection locked="0"/>
    </xf>
    <xf numFmtId="0" fontId="7" fillId="8" borderId="11" xfId="0" applyFont="1" applyFill="1" applyBorder="1" applyAlignment="1" applyProtection="1">
      <alignment vertical="center"/>
      <protection locked="0"/>
    </xf>
    <xf numFmtId="0" fontId="6" fillId="8" borderId="11" xfId="0" applyFont="1" applyFill="1" applyBorder="1" applyAlignment="1" applyProtection="1">
      <alignment vertical="center"/>
      <protection locked="0"/>
    </xf>
    <xf numFmtId="0" fontId="8" fillId="8" borderId="11" xfId="0" applyFont="1" applyFill="1" applyBorder="1" applyAlignment="1" applyProtection="1">
      <alignment vertical="center"/>
      <protection locked="0"/>
    </xf>
    <xf numFmtId="0" fontId="6" fillId="8" borderId="53" xfId="0" applyFont="1" applyFill="1" applyBorder="1" applyAlignment="1" applyProtection="1">
      <alignment vertical="center"/>
      <protection locked="0"/>
    </xf>
    <xf numFmtId="0" fontId="33" fillId="8" borderId="0" xfId="0" applyFont="1" applyFill="1" applyBorder="1" applyAlignment="1" applyProtection="1">
      <alignment vertical="center"/>
      <protection locked="0"/>
    </xf>
    <xf numFmtId="165" fontId="3" fillId="0" borderId="41" xfId="0" applyNumberFormat="1" applyFont="1" applyFill="1" applyBorder="1" applyAlignment="1">
      <alignment horizontal="center" vertical="center" wrapText="1"/>
    </xf>
    <xf numFmtId="164" fontId="3" fillId="0" borderId="20" xfId="0" applyNumberFormat="1" applyFont="1" applyFill="1" applyBorder="1" applyAlignment="1">
      <alignment horizontal="center" vertical="center" wrapText="1"/>
    </xf>
    <xf numFmtId="0" fontId="3" fillId="0" borderId="5" xfId="0" applyFont="1" applyFill="1" applyBorder="1" applyAlignment="1" applyProtection="1">
      <alignment horizontal="center" vertical="center" wrapText="1"/>
    </xf>
    <xf numFmtId="0" fontId="3" fillId="2" borderId="67" xfId="0" applyFont="1" applyFill="1" applyBorder="1" applyAlignment="1">
      <alignment horizontal="center" vertical="center" wrapText="1"/>
    </xf>
    <xf numFmtId="0" fontId="3" fillId="2" borderId="57" xfId="0" applyFont="1" applyFill="1" applyBorder="1" applyAlignment="1" applyProtection="1">
      <alignment horizontal="center" vertical="center" wrapText="1"/>
    </xf>
    <xf numFmtId="0" fontId="16" fillId="8" borderId="0" xfId="0" applyFont="1" applyFill="1" applyBorder="1" applyAlignment="1" applyProtection="1">
      <alignment vertical="center"/>
      <protection locked="0"/>
    </xf>
    <xf numFmtId="0" fontId="43" fillId="0" borderId="0" xfId="0" applyFont="1" applyFill="1" applyAlignment="1">
      <alignment horizontal="right" vertical="center"/>
    </xf>
    <xf numFmtId="1" fontId="10" fillId="0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4" fillId="0" borderId="0" xfId="0" applyFont="1"/>
    <xf numFmtId="0" fontId="16" fillId="8" borderId="8" xfId="0" applyFont="1" applyFill="1" applyBorder="1" applyAlignment="1" applyProtection="1">
      <alignment vertical="center"/>
      <protection locked="0"/>
    </xf>
    <xf numFmtId="0" fontId="3" fillId="9" borderId="31" xfId="0" applyFont="1" applyFill="1" applyBorder="1" applyAlignment="1" applyProtection="1">
      <alignment horizontal="center" vertical="center" wrapText="1"/>
      <protection locked="0"/>
    </xf>
    <xf numFmtId="0" fontId="13" fillId="2" borderId="0" xfId="0" applyFont="1" applyFill="1" applyAlignment="1">
      <alignment vertical="center"/>
    </xf>
    <xf numFmtId="0" fontId="5" fillId="7" borderId="7" xfId="0" applyFont="1" applyFill="1" applyBorder="1" applyAlignment="1" applyProtection="1">
      <alignment vertical="center"/>
      <protection locked="0"/>
    </xf>
    <xf numFmtId="0" fontId="5" fillId="7" borderId="8" xfId="0" applyFont="1" applyFill="1" applyBorder="1" applyAlignment="1" applyProtection="1">
      <alignment vertical="center"/>
      <protection locked="0"/>
    </xf>
    <xf numFmtId="0" fontId="6" fillId="7" borderId="8" xfId="0" applyFont="1" applyFill="1" applyBorder="1" applyAlignment="1" applyProtection="1">
      <alignment vertical="center"/>
      <protection locked="0"/>
    </xf>
    <xf numFmtId="0" fontId="7" fillId="7" borderId="8" xfId="0" applyFont="1" applyFill="1" applyBorder="1" applyAlignment="1" applyProtection="1">
      <alignment vertical="center"/>
      <protection locked="0"/>
    </xf>
    <xf numFmtId="0" fontId="8" fillId="7" borderId="8" xfId="0" applyFont="1" applyFill="1" applyBorder="1" applyAlignment="1" applyProtection="1">
      <alignment vertical="center"/>
      <protection locked="0"/>
    </xf>
    <xf numFmtId="0" fontId="7" fillId="7" borderId="23" xfId="0" applyFont="1" applyFill="1" applyBorder="1" applyAlignment="1" applyProtection="1">
      <alignment vertical="center"/>
      <protection locked="0"/>
    </xf>
    <xf numFmtId="0" fontId="7" fillId="7" borderId="0" xfId="0" applyFont="1" applyFill="1" applyBorder="1" applyAlignment="1" applyProtection="1">
      <alignment vertical="center"/>
      <protection locked="0"/>
    </xf>
    <xf numFmtId="0" fontId="6" fillId="7" borderId="0" xfId="0" applyFont="1" applyFill="1" applyBorder="1" applyAlignment="1" applyProtection="1">
      <alignment vertical="center"/>
      <protection locked="0"/>
    </xf>
    <xf numFmtId="0" fontId="8" fillId="7" borderId="0" xfId="0" applyFont="1" applyFill="1" applyBorder="1" applyAlignment="1" applyProtection="1">
      <alignment vertical="center"/>
      <protection locked="0"/>
    </xf>
    <xf numFmtId="0" fontId="9" fillId="7" borderId="10" xfId="0" applyFont="1" applyFill="1" applyBorder="1" applyAlignment="1">
      <alignment horizontal="center" vertical="center" wrapText="1"/>
    </xf>
    <xf numFmtId="0" fontId="9" fillId="7" borderId="17" xfId="0" applyFont="1" applyFill="1" applyBorder="1" applyAlignment="1">
      <alignment horizontal="center" vertical="center" wrapText="1"/>
    </xf>
    <xf numFmtId="0" fontId="9" fillId="7" borderId="28" xfId="0" applyFont="1" applyFill="1" applyBorder="1" applyAlignment="1">
      <alignment horizontal="center" vertical="center" wrapText="1"/>
    </xf>
    <xf numFmtId="0" fontId="9" fillId="7" borderId="19" xfId="0" applyFont="1" applyFill="1" applyBorder="1" applyAlignment="1">
      <alignment horizontal="center" vertical="center" wrapText="1"/>
    </xf>
    <xf numFmtId="0" fontId="9" fillId="7" borderId="11" xfId="0" applyFont="1" applyFill="1" applyBorder="1" applyAlignment="1">
      <alignment horizontal="center" vertical="center" wrapText="1"/>
    </xf>
    <xf numFmtId="0" fontId="9" fillId="7" borderId="14" xfId="0" applyFont="1" applyFill="1" applyBorder="1" applyAlignment="1">
      <alignment horizontal="center" vertical="center" wrapText="1"/>
    </xf>
    <xf numFmtId="0" fontId="9" fillId="7" borderId="34" xfId="0" applyFont="1" applyFill="1" applyBorder="1" applyAlignment="1">
      <alignment horizontal="center" vertical="center" wrapText="1"/>
    </xf>
    <xf numFmtId="0" fontId="9" fillId="7" borderId="20" xfId="0" applyFont="1" applyFill="1" applyBorder="1" applyAlignment="1">
      <alignment horizontal="center" vertical="center" wrapText="1"/>
    </xf>
    <xf numFmtId="0" fontId="41" fillId="7" borderId="8" xfId="0" applyFont="1" applyFill="1" applyBorder="1" applyAlignment="1" applyProtection="1">
      <alignment vertical="center"/>
      <protection locked="0"/>
    </xf>
    <xf numFmtId="0" fontId="6" fillId="7" borderId="9" xfId="0" applyFont="1" applyFill="1" applyBorder="1" applyAlignment="1" applyProtection="1">
      <alignment vertical="center"/>
      <protection locked="0"/>
    </xf>
    <xf numFmtId="0" fontId="33" fillId="7" borderId="0" xfId="0" applyFont="1" applyFill="1" applyBorder="1" applyAlignment="1" applyProtection="1">
      <alignment vertical="center"/>
      <protection locked="0"/>
    </xf>
    <xf numFmtId="0" fontId="44" fillId="7" borderId="8" xfId="0" applyFont="1" applyFill="1" applyBorder="1" applyAlignment="1" applyProtection="1">
      <alignment vertical="center"/>
      <protection locked="0"/>
    </xf>
    <xf numFmtId="0" fontId="16" fillId="7" borderId="0" xfId="0" applyFont="1" applyFill="1" applyBorder="1" applyAlignment="1" applyProtection="1">
      <alignment vertical="center"/>
      <protection locked="0"/>
    </xf>
    <xf numFmtId="0" fontId="5" fillId="7" borderId="27" xfId="0" applyFont="1" applyFill="1" applyBorder="1" applyAlignment="1" applyProtection="1">
      <alignment vertical="center"/>
      <protection locked="0"/>
    </xf>
    <xf numFmtId="0" fontId="6" fillId="7" borderId="24" xfId="0" applyFont="1" applyFill="1" applyBorder="1" applyAlignment="1" applyProtection="1">
      <alignment vertical="center"/>
      <protection locked="0"/>
    </xf>
    <xf numFmtId="3" fontId="3" fillId="2" borderId="18" xfId="0" applyNumberFormat="1" applyFont="1" applyFill="1" applyBorder="1" applyAlignment="1">
      <alignment horizontal="center" vertical="center" wrapText="1"/>
    </xf>
    <xf numFmtId="0" fontId="3" fillId="0" borderId="52" xfId="0" applyFont="1" applyFill="1" applyBorder="1" applyAlignment="1" applyProtection="1">
      <alignment horizontal="center" vertical="center" wrapText="1"/>
      <protection locked="0"/>
    </xf>
    <xf numFmtId="166" fontId="3" fillId="2" borderId="57" xfId="0" applyNumberFormat="1" applyFont="1" applyFill="1" applyBorder="1" applyAlignment="1">
      <alignment horizontal="center" vertical="center" wrapText="1"/>
    </xf>
    <xf numFmtId="0" fontId="49" fillId="2" borderId="31" xfId="0" applyFont="1" applyFill="1" applyBorder="1" applyAlignment="1" applyProtection="1">
      <alignment horizontal="center" vertical="center"/>
      <protection locked="0"/>
    </xf>
    <xf numFmtId="0" fontId="33" fillId="2" borderId="31" xfId="0" applyFont="1" applyFill="1" applyBorder="1" applyAlignment="1" applyProtection="1">
      <alignment horizontal="center" vertical="center"/>
      <protection locked="0"/>
    </xf>
    <xf numFmtId="3" fontId="33" fillId="5" borderId="31" xfId="0" applyNumberFormat="1" applyFont="1" applyFill="1" applyBorder="1" applyAlignment="1" applyProtection="1">
      <alignment horizontal="center" vertical="center"/>
      <protection locked="0"/>
    </xf>
    <xf numFmtId="0" fontId="29" fillId="10" borderId="0" xfId="0" applyFont="1" applyFill="1" applyAlignment="1">
      <alignment vertical="center"/>
    </xf>
    <xf numFmtId="0" fontId="3" fillId="10" borderId="25" xfId="0" applyFont="1" applyFill="1" applyBorder="1" applyAlignment="1" applyProtection="1">
      <alignment horizontal="center" vertical="center"/>
      <protection locked="0"/>
    </xf>
    <xf numFmtId="0" fontId="3" fillId="10" borderId="25" xfId="0" applyFont="1" applyFill="1" applyBorder="1" applyAlignment="1">
      <alignment horizontal="center" vertical="center"/>
    </xf>
    <xf numFmtId="3" fontId="3" fillId="10" borderId="1" xfId="0" applyNumberFormat="1" applyFont="1" applyFill="1" applyBorder="1" applyAlignment="1">
      <alignment horizontal="center" vertical="center" wrapText="1"/>
    </xf>
    <xf numFmtId="3" fontId="3" fillId="10" borderId="42" xfId="0" applyNumberFormat="1" applyFont="1" applyFill="1" applyBorder="1" applyAlignment="1">
      <alignment horizontal="center" vertical="center" wrapText="1"/>
    </xf>
    <xf numFmtId="0" fontId="3" fillId="10" borderId="31" xfId="0" applyFont="1" applyFill="1" applyBorder="1" applyAlignment="1" applyProtection="1">
      <alignment horizontal="center" vertical="center" wrapText="1"/>
      <protection locked="0"/>
    </xf>
    <xf numFmtId="0" fontId="3" fillId="10" borderId="1" xfId="0" applyFont="1" applyFill="1" applyBorder="1" applyAlignment="1" applyProtection="1">
      <alignment horizontal="center" vertical="center" wrapText="1"/>
      <protection locked="0"/>
    </xf>
    <xf numFmtId="0" fontId="3" fillId="10" borderId="1" xfId="0" applyFont="1" applyFill="1" applyBorder="1" applyAlignment="1">
      <alignment horizontal="center" vertical="center" wrapText="1"/>
    </xf>
    <xf numFmtId="165" fontId="3" fillId="10" borderId="1" xfId="0" applyNumberFormat="1" applyFont="1" applyFill="1" applyBorder="1" applyAlignment="1">
      <alignment horizontal="center" vertical="center" wrapText="1"/>
    </xf>
    <xf numFmtId="164" fontId="3" fillId="10" borderId="1" xfId="0" applyNumberFormat="1" applyFont="1" applyFill="1" applyBorder="1" applyAlignment="1">
      <alignment horizontal="center" vertical="center" wrapText="1"/>
    </xf>
    <xf numFmtId="165" fontId="3" fillId="10" borderId="42" xfId="0" applyNumberFormat="1" applyFont="1" applyFill="1" applyBorder="1" applyAlignment="1">
      <alignment horizontal="center" vertical="center" wrapText="1"/>
    </xf>
    <xf numFmtId="166" fontId="3" fillId="10" borderId="18" xfId="0" applyNumberFormat="1" applyFont="1" applyFill="1" applyBorder="1" applyAlignment="1">
      <alignment horizontal="center" vertical="center" wrapText="1"/>
    </xf>
    <xf numFmtId="166" fontId="3" fillId="10" borderId="2" xfId="0" applyNumberFormat="1" applyFont="1" applyFill="1" applyBorder="1" applyAlignment="1">
      <alignment horizontal="center" vertical="center" wrapText="1"/>
    </xf>
    <xf numFmtId="0" fontId="3" fillId="10" borderId="31" xfId="0" applyFont="1" applyFill="1" applyBorder="1" applyAlignment="1">
      <alignment horizontal="center" vertical="center" wrapText="1"/>
    </xf>
    <xf numFmtId="0" fontId="3" fillId="10" borderId="6" xfId="0" applyFont="1" applyFill="1" applyBorder="1" applyAlignment="1" applyProtection="1">
      <alignment horizontal="center" vertical="center" wrapText="1"/>
    </xf>
    <xf numFmtId="0" fontId="3" fillId="10" borderId="32" xfId="0" applyFont="1" applyFill="1" applyBorder="1" applyAlignment="1">
      <alignment horizontal="center" vertical="center" wrapText="1"/>
    </xf>
    <xf numFmtId="0" fontId="3" fillId="10" borderId="40" xfId="0" applyFont="1" applyFill="1" applyBorder="1" applyAlignment="1">
      <alignment horizontal="center" vertical="center" wrapText="1"/>
    </xf>
    <xf numFmtId="0" fontId="3" fillId="10" borderId="31" xfId="0" applyFont="1" applyFill="1" applyBorder="1" applyAlignment="1" applyProtection="1">
      <alignment horizontal="center" vertical="center"/>
      <protection locked="0"/>
    </xf>
    <xf numFmtId="3" fontId="3" fillId="10" borderId="32" xfId="0" applyNumberFormat="1" applyFont="1" applyFill="1" applyBorder="1" applyAlignment="1">
      <alignment horizontal="center" vertical="center" wrapText="1"/>
    </xf>
    <xf numFmtId="0" fontId="3" fillId="10" borderId="3" xfId="0" applyFont="1" applyFill="1" applyBorder="1" applyAlignment="1" applyProtection="1">
      <alignment horizontal="center" vertical="center" wrapText="1"/>
      <protection locked="0"/>
    </xf>
    <xf numFmtId="165" fontId="3" fillId="10" borderId="5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 applyProtection="1">
      <alignment horizontal="center" vertical="center" wrapText="1"/>
    </xf>
    <xf numFmtId="0" fontId="3" fillId="10" borderId="43" xfId="0" applyFont="1" applyFill="1" applyBorder="1" applyAlignment="1">
      <alignment horizontal="center" vertical="center" wrapText="1"/>
    </xf>
    <xf numFmtId="0" fontId="29" fillId="10" borderId="0" xfId="0" applyFont="1" applyFill="1" applyAlignment="1">
      <alignment horizontal="right" vertical="center"/>
    </xf>
    <xf numFmtId="166" fontId="3" fillId="10" borderId="1" xfId="0" applyNumberFormat="1" applyFont="1" applyFill="1" applyBorder="1" applyAlignment="1">
      <alignment horizontal="center" vertical="center" wrapText="1"/>
    </xf>
    <xf numFmtId="0" fontId="3" fillId="2" borderId="8" xfId="0" applyFont="1" applyFill="1" applyBorder="1" applyAlignment="1" applyProtection="1">
      <alignment horizontal="center" vertical="center"/>
      <protection locked="0"/>
    </xf>
    <xf numFmtId="3" fontId="3" fillId="10" borderId="2" xfId="0" applyNumberFormat="1" applyFont="1" applyFill="1" applyBorder="1" applyAlignment="1">
      <alignment horizontal="center" vertical="center" wrapText="1"/>
    </xf>
    <xf numFmtId="0" fontId="43" fillId="10" borderId="0" xfId="0" applyFont="1" applyFill="1" applyAlignment="1">
      <alignment horizontal="right" vertical="center"/>
    </xf>
    <xf numFmtId="0" fontId="3" fillId="10" borderId="42" xfId="0" applyFont="1" applyFill="1" applyBorder="1" applyAlignment="1">
      <alignment horizontal="center" vertical="center" wrapText="1"/>
    </xf>
    <xf numFmtId="0" fontId="3" fillId="10" borderId="5" xfId="0" applyFont="1" applyFill="1" applyBorder="1" applyAlignment="1">
      <alignment horizontal="center" vertical="center" wrapText="1"/>
    </xf>
    <xf numFmtId="3" fontId="3" fillId="10" borderId="43" xfId="0" applyNumberFormat="1" applyFont="1" applyFill="1" applyBorder="1" applyAlignment="1">
      <alignment horizontal="center" vertical="center" wrapText="1"/>
    </xf>
    <xf numFmtId="165" fontId="3" fillId="10" borderId="18" xfId="0" applyNumberFormat="1" applyFont="1" applyFill="1" applyBorder="1" applyAlignment="1">
      <alignment horizontal="center" vertical="center" wrapText="1"/>
    </xf>
    <xf numFmtId="0" fontId="3" fillId="10" borderId="5" xfId="0" applyFont="1" applyFill="1" applyBorder="1" applyAlignment="1" applyProtection="1">
      <alignment horizontal="center" vertical="center" wrapText="1"/>
    </xf>
    <xf numFmtId="0" fontId="1" fillId="10" borderId="0" xfId="0" applyFont="1" applyFill="1" applyAlignment="1">
      <alignment vertical="center"/>
    </xf>
    <xf numFmtId="3" fontId="3" fillId="5" borderId="42" xfId="0" applyNumberFormat="1" applyFont="1" applyFill="1" applyBorder="1" applyAlignment="1">
      <alignment horizontal="center" vertical="center" wrapText="1"/>
    </xf>
    <xf numFmtId="166" fontId="3" fillId="5" borderId="5" xfId="0" applyNumberFormat="1" applyFont="1" applyFill="1" applyBorder="1" applyAlignment="1">
      <alignment horizontal="center" vertical="center" wrapText="1"/>
    </xf>
    <xf numFmtId="166" fontId="3" fillId="5" borderId="2" xfId="0" applyNumberFormat="1" applyFont="1" applyFill="1" applyBorder="1" applyAlignment="1">
      <alignment horizontal="center" vertical="center" wrapText="1"/>
    </xf>
    <xf numFmtId="0" fontId="3" fillId="5" borderId="6" xfId="0" applyFont="1" applyFill="1" applyBorder="1" applyAlignment="1" applyProtection="1">
      <alignment horizontal="center" vertical="center" wrapText="1"/>
    </xf>
    <xf numFmtId="0" fontId="3" fillId="5" borderId="40" xfId="0" applyFont="1" applyFill="1" applyBorder="1" applyAlignment="1">
      <alignment horizontal="center" vertical="center" wrapText="1"/>
    </xf>
    <xf numFmtId="0" fontId="32" fillId="5" borderId="31" xfId="0" applyFont="1" applyFill="1" applyBorder="1" applyAlignment="1" applyProtection="1">
      <alignment horizontal="center" vertical="center"/>
      <protection locked="0"/>
    </xf>
    <xf numFmtId="0" fontId="32" fillId="5" borderId="0" xfId="0" applyFont="1" applyFill="1" applyBorder="1" applyAlignment="1">
      <alignment horizontal="center" vertical="center" wrapText="1"/>
    </xf>
    <xf numFmtId="1" fontId="3" fillId="7" borderId="51" xfId="0" applyNumberFormat="1" applyFont="1" applyFill="1" applyBorder="1" applyAlignment="1" applyProtection="1">
      <alignment horizontal="center" vertical="center" wrapText="1"/>
      <protection locked="0"/>
    </xf>
    <xf numFmtId="1" fontId="3" fillId="0" borderId="52" xfId="0" applyNumberFormat="1" applyFont="1" applyFill="1" applyBorder="1" applyAlignment="1" applyProtection="1">
      <alignment horizontal="center" vertical="center" wrapText="1"/>
      <protection locked="0"/>
    </xf>
    <xf numFmtId="166" fontId="3" fillId="5" borderId="1" xfId="0" applyNumberFormat="1" applyFont="1" applyFill="1" applyBorder="1" applyAlignment="1">
      <alignment horizontal="center" vertical="center" wrapText="1"/>
    </xf>
    <xf numFmtId="0" fontId="3" fillId="5" borderId="20" xfId="0" applyFont="1" applyFill="1" applyBorder="1" applyAlignment="1">
      <alignment horizontal="center" vertical="center" wrapText="1"/>
    </xf>
    <xf numFmtId="0" fontId="3" fillId="7" borderId="26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164" fontId="3" fillId="7" borderId="6" xfId="0" applyNumberFormat="1" applyFont="1" applyFill="1" applyBorder="1" applyAlignment="1">
      <alignment horizontal="center" vertical="center" wrapText="1"/>
    </xf>
    <xf numFmtId="164" fontId="3" fillId="7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7" borderId="25" xfId="0" applyFont="1" applyFill="1" applyBorder="1" applyAlignment="1">
      <alignment horizontal="center" vertical="center"/>
    </xf>
    <xf numFmtId="3" fontId="3" fillId="7" borderId="42" xfId="0" applyNumberFormat="1" applyFont="1" applyFill="1" applyBorder="1" applyAlignment="1">
      <alignment horizontal="center" vertical="center" wrapText="1"/>
    </xf>
    <xf numFmtId="166" fontId="3" fillId="7" borderId="5" xfId="0" applyNumberFormat="1" applyFont="1" applyFill="1" applyBorder="1" applyAlignment="1">
      <alignment horizontal="center" vertical="center" wrapText="1"/>
    </xf>
    <xf numFmtId="0" fontId="3" fillId="7" borderId="35" xfId="0" applyFont="1" applyFill="1" applyBorder="1" applyAlignment="1" applyProtection="1">
      <alignment horizontal="center" vertical="center"/>
      <protection locked="0"/>
    </xf>
    <xf numFmtId="0" fontId="3" fillId="7" borderId="35" xfId="0" applyFont="1" applyFill="1" applyBorder="1" applyAlignment="1">
      <alignment horizontal="center" vertical="center"/>
    </xf>
    <xf numFmtId="0" fontId="3" fillId="7" borderId="36" xfId="0" applyFont="1" applyFill="1" applyBorder="1" applyAlignment="1" applyProtection="1">
      <alignment horizontal="center" vertical="center"/>
      <protection locked="0"/>
    </xf>
    <xf numFmtId="3" fontId="3" fillId="7" borderId="37" xfId="0" applyNumberFormat="1" applyFont="1" applyFill="1" applyBorder="1" applyAlignment="1">
      <alignment horizontal="center" vertical="center" wrapText="1"/>
    </xf>
    <xf numFmtId="3" fontId="3" fillId="7" borderId="41" xfId="0" applyNumberFormat="1" applyFont="1" applyFill="1" applyBorder="1" applyAlignment="1">
      <alignment horizontal="center" vertical="center" wrapText="1"/>
    </xf>
    <xf numFmtId="0" fontId="3" fillId="7" borderId="36" xfId="0" applyFont="1" applyFill="1" applyBorder="1" applyAlignment="1" applyProtection="1">
      <alignment horizontal="center" vertical="center" wrapText="1"/>
      <protection locked="0"/>
    </xf>
    <xf numFmtId="0" fontId="3" fillId="7" borderId="37" xfId="0" applyFont="1" applyFill="1" applyBorder="1" applyAlignment="1" applyProtection="1">
      <alignment horizontal="center" vertical="center" wrapText="1"/>
      <protection locked="0"/>
    </xf>
    <xf numFmtId="0" fontId="3" fillId="7" borderId="37" xfId="0" applyFont="1" applyFill="1" applyBorder="1" applyAlignment="1">
      <alignment horizontal="center" vertical="center" wrapText="1"/>
    </xf>
    <xf numFmtId="0" fontId="3" fillId="7" borderId="45" xfId="0" applyFont="1" applyFill="1" applyBorder="1" applyAlignment="1">
      <alignment horizontal="center" vertical="center" wrapText="1"/>
    </xf>
    <xf numFmtId="165" fontId="3" fillId="7" borderId="37" xfId="0" applyNumberFormat="1" applyFont="1" applyFill="1" applyBorder="1" applyAlignment="1">
      <alignment horizontal="center" vertical="center" wrapText="1"/>
    </xf>
    <xf numFmtId="164" fontId="3" fillId="7" borderId="45" xfId="0" applyNumberFormat="1" applyFont="1" applyFill="1" applyBorder="1" applyAlignment="1">
      <alignment horizontal="center" vertical="center" wrapText="1"/>
    </xf>
    <xf numFmtId="166" fontId="3" fillId="7" borderId="45" xfId="0" applyNumberFormat="1" applyFont="1" applyFill="1" applyBorder="1" applyAlignment="1">
      <alignment horizontal="center" vertical="center" wrapText="1"/>
    </xf>
    <xf numFmtId="166" fontId="3" fillId="7" borderId="15" xfId="0" applyNumberFormat="1" applyFont="1" applyFill="1" applyBorder="1" applyAlignment="1">
      <alignment horizontal="center" vertical="center" wrapText="1"/>
    </xf>
    <xf numFmtId="0" fontId="3" fillId="7" borderId="36" xfId="0" applyFont="1" applyFill="1" applyBorder="1" applyAlignment="1">
      <alignment horizontal="center" vertical="center" wrapText="1"/>
    </xf>
    <xf numFmtId="0" fontId="3" fillId="7" borderId="21" xfId="0" applyFont="1" applyFill="1" applyBorder="1" applyAlignment="1">
      <alignment horizontal="center" vertical="center" wrapText="1"/>
    </xf>
    <xf numFmtId="0" fontId="3" fillId="7" borderId="46" xfId="0" applyFont="1" applyFill="1" applyBorder="1" applyAlignment="1">
      <alignment horizontal="center" vertical="center" wrapText="1"/>
    </xf>
    <xf numFmtId="0" fontId="50" fillId="7" borderId="0" xfId="0" applyFont="1" applyFill="1" applyBorder="1" applyAlignment="1">
      <alignment horizontal="right" vertical="center" wrapText="1"/>
    </xf>
    <xf numFmtId="0" fontId="3" fillId="7" borderId="27" xfId="0" applyFont="1" applyFill="1" applyBorder="1" applyAlignment="1">
      <alignment horizontal="center" vertical="center"/>
    </xf>
    <xf numFmtId="3" fontId="3" fillId="7" borderId="21" xfId="0" applyNumberFormat="1" applyFont="1" applyFill="1" applyBorder="1" applyAlignment="1">
      <alignment horizontal="center" vertical="center" wrapText="1"/>
    </xf>
    <xf numFmtId="0" fontId="3" fillId="7" borderId="52" xfId="0" applyFont="1" applyFill="1" applyBorder="1" applyAlignment="1" applyProtection="1">
      <alignment horizontal="center" vertical="center" wrapText="1"/>
      <protection locked="0"/>
    </xf>
    <xf numFmtId="0" fontId="46" fillId="0" borderId="0" xfId="0" applyFont="1" applyFill="1" applyAlignment="1">
      <alignment horizontal="right" vertical="center"/>
    </xf>
    <xf numFmtId="0" fontId="3" fillId="7" borderId="54" xfId="0" applyFont="1" applyFill="1" applyBorder="1" applyAlignment="1" applyProtection="1">
      <alignment horizontal="center" vertical="center"/>
      <protection locked="0"/>
    </xf>
    <xf numFmtId="0" fontId="3" fillId="7" borderId="54" xfId="0" applyFont="1" applyFill="1" applyBorder="1" applyAlignment="1">
      <alignment horizontal="center" vertical="center"/>
    </xf>
    <xf numFmtId="0" fontId="3" fillId="7" borderId="40" xfId="0" applyFont="1" applyFill="1" applyBorder="1" applyAlignment="1" applyProtection="1">
      <alignment horizontal="center" vertical="center"/>
      <protection locked="0"/>
    </xf>
    <xf numFmtId="3" fontId="3" fillId="7" borderId="5" xfId="0" applyNumberFormat="1" applyFont="1" applyFill="1" applyBorder="1" applyAlignment="1">
      <alignment horizontal="center" vertical="center" wrapText="1"/>
    </xf>
    <xf numFmtId="0" fontId="3" fillId="7" borderId="40" xfId="0" applyFont="1" applyFill="1" applyBorder="1" applyAlignment="1" applyProtection="1">
      <alignment horizontal="center" vertical="center" wrapText="1"/>
      <protection locked="0"/>
    </xf>
    <xf numFmtId="0" fontId="3" fillId="7" borderId="5" xfId="0" applyFont="1" applyFill="1" applyBorder="1" applyAlignment="1" applyProtection="1">
      <alignment horizontal="center" vertical="center" wrapText="1"/>
      <protection locked="0"/>
    </xf>
    <xf numFmtId="0" fontId="3" fillId="7" borderId="18" xfId="0" applyFont="1" applyFill="1" applyBorder="1" applyAlignment="1">
      <alignment horizontal="center" vertical="center" wrapText="1"/>
    </xf>
    <xf numFmtId="165" fontId="3" fillId="7" borderId="5" xfId="0" applyNumberFormat="1" applyFont="1" applyFill="1" applyBorder="1" applyAlignment="1">
      <alignment horizontal="center" vertical="center" wrapText="1"/>
    </xf>
    <xf numFmtId="164" fontId="3" fillId="7" borderId="18" xfId="0" applyNumberFormat="1" applyFont="1" applyFill="1" applyBorder="1" applyAlignment="1">
      <alignment horizontal="center" vertical="center" wrapText="1"/>
    </xf>
    <xf numFmtId="164" fontId="3" fillId="7" borderId="40" xfId="0" applyNumberFormat="1" applyFont="1" applyFill="1" applyBorder="1" applyAlignment="1" applyProtection="1">
      <alignment horizontal="center" vertical="center" wrapText="1"/>
      <protection locked="0"/>
    </xf>
    <xf numFmtId="0" fontId="3" fillId="7" borderId="42" xfId="0" applyFont="1" applyFill="1" applyBorder="1" applyAlignment="1">
      <alignment horizontal="center" vertical="center" wrapText="1"/>
    </xf>
    <xf numFmtId="0" fontId="3" fillId="7" borderId="50" xfId="0" applyFont="1" applyFill="1" applyBorder="1" applyAlignment="1" applyProtection="1">
      <alignment horizontal="center" vertical="center"/>
      <protection locked="0"/>
    </xf>
    <xf numFmtId="0" fontId="3" fillId="7" borderId="50" xfId="0" applyFont="1" applyFill="1" applyBorder="1" applyAlignment="1">
      <alignment horizontal="center" vertical="center"/>
    </xf>
    <xf numFmtId="0" fontId="3" fillId="7" borderId="29" xfId="0" applyFont="1" applyFill="1" applyBorder="1" applyAlignment="1" applyProtection="1">
      <alignment horizontal="center" vertical="center"/>
      <protection locked="0"/>
    </xf>
    <xf numFmtId="3" fontId="3" fillId="7" borderId="6" xfId="0" applyNumberFormat="1" applyFont="1" applyFill="1" applyBorder="1" applyAlignment="1">
      <alignment horizontal="center" vertical="center" wrapText="1"/>
    </xf>
    <xf numFmtId="3" fontId="3" fillId="7" borderId="43" xfId="0" applyNumberFormat="1" applyFont="1" applyFill="1" applyBorder="1" applyAlignment="1">
      <alignment horizontal="center" vertical="center" wrapText="1"/>
    </xf>
    <xf numFmtId="0" fontId="3" fillId="7" borderId="29" xfId="0" applyFont="1" applyFill="1" applyBorder="1" applyAlignment="1" applyProtection="1">
      <alignment horizontal="center" vertical="center" wrapText="1"/>
      <protection locked="0"/>
    </xf>
    <xf numFmtId="0" fontId="3" fillId="7" borderId="6" xfId="0" applyFont="1" applyFill="1" applyBorder="1" applyAlignment="1" applyProtection="1">
      <alignment horizontal="center" vertical="center" wrapText="1"/>
      <protection locked="0"/>
    </xf>
    <xf numFmtId="165" fontId="3" fillId="7" borderId="6" xfId="0" applyNumberFormat="1" applyFont="1" applyFill="1" applyBorder="1" applyAlignment="1">
      <alignment horizontal="center" vertical="center" wrapText="1"/>
    </xf>
    <xf numFmtId="166" fontId="3" fillId="7" borderId="6" xfId="0" applyNumberFormat="1" applyFont="1" applyFill="1" applyBorder="1" applyAlignment="1">
      <alignment horizontal="center" vertical="center" wrapText="1"/>
    </xf>
    <xf numFmtId="0" fontId="3" fillId="7" borderId="29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vertical="center"/>
    </xf>
    <xf numFmtId="3" fontId="3" fillId="5" borderId="28" xfId="0" applyNumberFormat="1" applyFont="1" applyFill="1" applyBorder="1" applyAlignment="1">
      <alignment horizontal="center" vertical="center" wrapText="1"/>
    </xf>
    <xf numFmtId="0" fontId="1" fillId="11" borderId="0" xfId="0" applyFont="1" applyFill="1" applyAlignment="1">
      <alignment vertical="center"/>
    </xf>
    <xf numFmtId="0" fontId="10" fillId="11" borderId="1" xfId="0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 applyProtection="1">
      <alignment horizontal="center" vertical="center"/>
      <protection locked="0"/>
    </xf>
    <xf numFmtId="0" fontId="16" fillId="5" borderId="0" xfId="0" applyFont="1" applyFill="1" applyBorder="1" applyAlignment="1">
      <alignment horizontal="right" vertical="center" wrapText="1"/>
    </xf>
    <xf numFmtId="3" fontId="32" fillId="7" borderId="33" xfId="0" applyNumberFormat="1" applyFont="1" applyFill="1" applyBorder="1" applyAlignment="1" applyProtection="1">
      <alignment horizontal="center" vertical="center"/>
      <protection locked="0"/>
    </xf>
    <xf numFmtId="4" fontId="3" fillId="2" borderId="15" xfId="0" applyNumberFormat="1" applyFont="1" applyFill="1" applyBorder="1" applyAlignment="1">
      <alignment horizontal="center" vertical="center" wrapText="1"/>
    </xf>
    <xf numFmtId="4" fontId="3" fillId="2" borderId="2" xfId="0" applyNumberFormat="1" applyFont="1" applyFill="1" applyBorder="1" applyAlignment="1">
      <alignment horizontal="center" vertical="center" wrapText="1"/>
    </xf>
    <xf numFmtId="4" fontId="3" fillId="7" borderId="57" xfId="0" applyNumberFormat="1" applyFont="1" applyFill="1" applyBorder="1" applyAlignment="1">
      <alignment horizontal="center" vertical="center" wrapText="1"/>
    </xf>
    <xf numFmtId="4" fontId="3" fillId="0" borderId="15" xfId="0" applyNumberFormat="1" applyFont="1" applyFill="1" applyBorder="1" applyAlignment="1">
      <alignment horizontal="center" vertical="center" wrapText="1"/>
    </xf>
    <xf numFmtId="4" fontId="3" fillId="2" borderId="17" xfId="0" applyNumberFormat="1" applyFont="1" applyFill="1" applyBorder="1" applyAlignment="1">
      <alignment horizontal="center" vertical="center" wrapText="1"/>
    </xf>
    <xf numFmtId="4" fontId="3" fillId="2" borderId="48" xfId="0" applyNumberFormat="1" applyFont="1" applyFill="1" applyBorder="1" applyAlignment="1">
      <alignment horizontal="center" vertical="center" wrapText="1"/>
    </xf>
    <xf numFmtId="4" fontId="3" fillId="2" borderId="57" xfId="0" applyNumberFormat="1" applyFont="1" applyFill="1" applyBorder="1" applyAlignment="1">
      <alignment horizontal="center" vertical="center" wrapText="1"/>
    </xf>
    <xf numFmtId="4" fontId="3" fillId="0" borderId="2" xfId="0" applyNumberFormat="1" applyFont="1" applyFill="1" applyBorder="1" applyAlignment="1">
      <alignment horizontal="center" vertical="center" wrapText="1"/>
    </xf>
    <xf numFmtId="4" fontId="3" fillId="0" borderId="17" xfId="0" applyNumberFormat="1" applyFont="1" applyFill="1" applyBorder="1" applyAlignment="1">
      <alignment horizontal="center" vertical="center" wrapText="1"/>
    </xf>
    <xf numFmtId="4" fontId="3" fillId="7" borderId="2" xfId="0" applyNumberFormat="1" applyFont="1" applyFill="1" applyBorder="1" applyAlignment="1">
      <alignment horizontal="center" vertical="center" wrapText="1"/>
    </xf>
    <xf numFmtId="4" fontId="3" fillId="7" borderId="48" xfId="0" applyNumberFormat="1" applyFont="1" applyFill="1" applyBorder="1" applyAlignment="1">
      <alignment horizontal="center" vertical="center" wrapText="1"/>
    </xf>
    <xf numFmtId="0" fontId="33" fillId="9" borderId="31" xfId="0" applyFont="1" applyFill="1" applyBorder="1" applyAlignment="1" applyProtection="1">
      <alignment horizontal="center" vertical="center"/>
      <protection locked="0"/>
    </xf>
    <xf numFmtId="0" fontId="29" fillId="9" borderId="0" xfId="0" applyFont="1" applyFill="1" applyAlignment="1">
      <alignment vertical="center"/>
    </xf>
    <xf numFmtId="0" fontId="33" fillId="9" borderId="33" xfId="0" applyFont="1" applyFill="1" applyBorder="1" applyAlignment="1" applyProtection="1">
      <alignment horizontal="center" vertical="center"/>
      <protection locked="0"/>
    </xf>
    <xf numFmtId="0" fontId="33" fillId="2" borderId="36" xfId="0" applyFont="1" applyFill="1" applyBorder="1" applyAlignment="1" applyProtection="1">
      <alignment horizontal="center" vertical="center"/>
      <protection locked="0"/>
    </xf>
    <xf numFmtId="0" fontId="3" fillId="5" borderId="26" xfId="0" applyFont="1" applyFill="1" applyBorder="1" applyAlignment="1" applyProtection="1">
      <alignment horizontal="center" vertical="center"/>
      <protection locked="0"/>
    </xf>
    <xf numFmtId="0" fontId="3" fillId="5" borderId="64" xfId="0" applyFont="1" applyFill="1" applyBorder="1" applyAlignment="1">
      <alignment horizontal="center" vertical="center"/>
    </xf>
    <xf numFmtId="0" fontId="33" fillId="9" borderId="0" xfId="0" applyFont="1" applyFill="1" applyAlignment="1">
      <alignment vertical="center"/>
    </xf>
    <xf numFmtId="0" fontId="3" fillId="9" borderId="35" xfId="0" applyFont="1" applyFill="1" applyBorder="1" applyAlignment="1" applyProtection="1">
      <alignment horizontal="center" vertical="center"/>
      <protection locked="0"/>
    </xf>
    <xf numFmtId="0" fontId="3" fillId="9" borderId="35" xfId="0" applyFont="1" applyFill="1" applyBorder="1" applyAlignment="1">
      <alignment horizontal="center" vertical="center"/>
    </xf>
    <xf numFmtId="0" fontId="33" fillId="9" borderId="36" xfId="0" applyFont="1" applyFill="1" applyBorder="1" applyAlignment="1" applyProtection="1">
      <alignment horizontal="center" vertical="center"/>
      <protection locked="0"/>
    </xf>
    <xf numFmtId="0" fontId="3" fillId="9" borderId="25" xfId="0" applyFont="1" applyFill="1" applyBorder="1" applyAlignment="1" applyProtection="1">
      <alignment horizontal="center" vertical="center"/>
      <protection locked="0"/>
    </xf>
    <xf numFmtId="0" fontId="3" fillId="9" borderId="25" xfId="0" applyFont="1" applyFill="1" applyBorder="1" applyAlignment="1">
      <alignment horizontal="center" vertical="center"/>
    </xf>
    <xf numFmtId="0" fontId="1" fillId="9" borderId="0" xfId="0" applyFont="1" applyFill="1" applyAlignment="1">
      <alignment vertical="center"/>
    </xf>
    <xf numFmtId="0" fontId="3" fillId="8" borderId="35" xfId="0" applyFont="1" applyFill="1" applyBorder="1" applyAlignment="1" applyProtection="1">
      <alignment horizontal="center" vertical="center"/>
      <protection locked="0"/>
    </xf>
    <xf numFmtId="0" fontId="3" fillId="8" borderId="35" xfId="0" applyFont="1" applyFill="1" applyBorder="1" applyAlignment="1">
      <alignment horizontal="center" vertical="center"/>
    </xf>
    <xf numFmtId="0" fontId="51" fillId="8" borderId="36" xfId="0" applyFont="1" applyFill="1" applyBorder="1" applyAlignment="1" applyProtection="1">
      <alignment horizontal="center" vertical="center"/>
      <protection locked="0"/>
    </xf>
    <xf numFmtId="0" fontId="3" fillId="8" borderId="25" xfId="0" applyFont="1" applyFill="1" applyBorder="1" applyAlignment="1" applyProtection="1">
      <alignment horizontal="center" vertical="center"/>
      <protection locked="0"/>
    </xf>
    <xf numFmtId="0" fontId="3" fillId="8" borderId="25" xfId="0" applyFont="1" applyFill="1" applyBorder="1" applyAlignment="1">
      <alignment horizontal="center" vertical="center"/>
    </xf>
    <xf numFmtId="0" fontId="33" fillId="8" borderId="31" xfId="0" applyFont="1" applyFill="1" applyBorder="1" applyAlignment="1" applyProtection="1">
      <alignment horizontal="center" vertical="center"/>
      <protection locked="0"/>
    </xf>
    <xf numFmtId="0" fontId="33" fillId="8" borderId="0" xfId="0" applyFont="1" applyFill="1" applyBorder="1" applyAlignment="1">
      <alignment horizontal="center" vertical="center" wrapText="1"/>
    </xf>
    <xf numFmtId="0" fontId="49" fillId="0" borderId="0" xfId="0" applyFont="1" applyFill="1" applyBorder="1" applyAlignment="1">
      <alignment horizontal="center" vertical="center" wrapText="1"/>
    </xf>
    <xf numFmtId="0" fontId="33" fillId="8" borderId="33" xfId="0" applyFont="1" applyFill="1" applyBorder="1" applyAlignment="1" applyProtection="1">
      <alignment horizontal="center" vertical="center"/>
      <protection locked="0"/>
    </xf>
    <xf numFmtId="0" fontId="33" fillId="8" borderId="36" xfId="0" applyFont="1" applyFill="1" applyBorder="1" applyAlignment="1" applyProtection="1">
      <alignment horizontal="center" vertical="center"/>
      <protection locked="0"/>
    </xf>
    <xf numFmtId="0" fontId="3" fillId="8" borderId="26" xfId="0" applyFont="1" applyFill="1" applyBorder="1" applyAlignment="1">
      <alignment horizontal="center" vertical="center"/>
    </xf>
    <xf numFmtId="0" fontId="1" fillId="8" borderId="0" xfId="0" applyFont="1" applyFill="1" applyAlignment="1">
      <alignment vertical="center"/>
    </xf>
    <xf numFmtId="0" fontId="3" fillId="8" borderId="26" xfId="0" applyFont="1" applyFill="1" applyBorder="1" applyAlignment="1" applyProtection="1">
      <alignment horizontal="center" vertical="center"/>
      <protection locked="0"/>
    </xf>
    <xf numFmtId="0" fontId="33" fillId="0" borderId="1" xfId="0" applyFont="1" applyFill="1" applyBorder="1" applyAlignment="1" applyProtection="1">
      <alignment horizontal="center" vertical="center" wrapText="1"/>
      <protection locked="0"/>
    </xf>
    <xf numFmtId="0" fontId="33" fillId="2" borderId="1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/>
    </xf>
    <xf numFmtId="3" fontId="33" fillId="0" borderId="36" xfId="0" applyNumberFormat="1" applyFont="1" applyFill="1" applyBorder="1" applyAlignment="1" applyProtection="1">
      <alignment horizontal="center" vertical="center"/>
      <protection locked="0"/>
    </xf>
    <xf numFmtId="0" fontId="33" fillId="0" borderId="0" xfId="0" applyFont="1" applyFill="1" applyAlignment="1">
      <alignment vertical="center"/>
    </xf>
    <xf numFmtId="0" fontId="32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right" vertical="center" wrapText="1"/>
    </xf>
    <xf numFmtId="0" fontId="1" fillId="7" borderId="0" xfId="0" applyFont="1" applyFill="1" applyAlignment="1">
      <alignment vertical="center"/>
    </xf>
    <xf numFmtId="3" fontId="3" fillId="7" borderId="2" xfId="0" applyNumberFormat="1" applyFont="1" applyFill="1" applyBorder="1" applyAlignment="1">
      <alignment horizontal="center" vertical="center" wrapText="1"/>
    </xf>
    <xf numFmtId="0" fontId="3" fillId="7" borderId="34" xfId="0" applyFont="1" applyFill="1" applyBorder="1" applyAlignment="1">
      <alignment horizontal="center" vertical="center" wrapText="1"/>
    </xf>
    <xf numFmtId="3" fontId="3" fillId="7" borderId="15" xfId="0" applyNumberFormat="1" applyFont="1" applyFill="1" applyBorder="1" applyAlignment="1">
      <alignment horizontal="center" vertical="center" wrapText="1"/>
    </xf>
    <xf numFmtId="0" fontId="22" fillId="2" borderId="31" xfId="0" applyFont="1" applyFill="1" applyBorder="1" applyAlignment="1" applyProtection="1">
      <alignment horizontal="center" vertical="center"/>
      <protection locked="0"/>
    </xf>
    <xf numFmtId="0" fontId="52" fillId="2" borderId="31" xfId="0" applyFont="1" applyFill="1" applyBorder="1" applyAlignment="1" applyProtection="1">
      <alignment horizontal="center" vertical="center"/>
      <protection locked="0"/>
    </xf>
    <xf numFmtId="0" fontId="52" fillId="2" borderId="33" xfId="0" applyFont="1" applyFill="1" applyBorder="1" applyAlignment="1" applyProtection="1">
      <alignment horizontal="center" vertical="center"/>
      <protection locked="0"/>
    </xf>
    <xf numFmtId="0" fontId="52" fillId="2" borderId="36" xfId="0" applyFont="1" applyFill="1" applyBorder="1" applyAlignment="1" applyProtection="1">
      <alignment horizontal="center" vertical="center"/>
      <protection locked="0"/>
    </xf>
    <xf numFmtId="0" fontId="22" fillId="5" borderId="31" xfId="0" applyFont="1" applyFill="1" applyBorder="1" applyAlignment="1" applyProtection="1">
      <alignment horizontal="center" vertical="center"/>
      <protection locked="0"/>
    </xf>
    <xf numFmtId="0" fontId="52" fillId="5" borderId="31" xfId="0" applyFont="1" applyFill="1" applyBorder="1" applyAlignment="1" applyProtection="1">
      <alignment horizontal="center" vertical="center"/>
      <protection locked="0"/>
    </xf>
    <xf numFmtId="0" fontId="52" fillId="5" borderId="36" xfId="0" applyFont="1" applyFill="1" applyBorder="1" applyAlignment="1" applyProtection="1">
      <alignment horizontal="center" vertical="center"/>
      <protection locked="0"/>
    </xf>
    <xf numFmtId="0" fontId="52" fillId="5" borderId="33" xfId="0" applyFont="1" applyFill="1" applyBorder="1" applyAlignment="1" applyProtection="1">
      <alignment horizontal="center" vertical="center"/>
      <protection locked="0"/>
    </xf>
    <xf numFmtId="0" fontId="47" fillId="0" borderId="0" xfId="0" applyFont="1" applyFill="1" applyAlignment="1">
      <alignment horizontal="right" vertical="center"/>
    </xf>
    <xf numFmtId="3" fontId="32" fillId="0" borderId="33" xfId="0" applyNumberFormat="1" applyFont="1" applyFill="1" applyBorder="1" applyAlignment="1" applyProtection="1">
      <alignment horizontal="center" vertical="center"/>
      <protection locked="0"/>
    </xf>
    <xf numFmtId="3" fontId="3" fillId="0" borderId="1" xfId="0" applyNumberFormat="1" applyFont="1" applyFill="1" applyBorder="1" applyAlignment="1" applyProtection="1">
      <alignment horizontal="center" vertical="center" wrapText="1"/>
    </xf>
    <xf numFmtId="165" fontId="3" fillId="0" borderId="19" xfId="0" applyNumberFormat="1" applyFont="1" applyFill="1" applyBorder="1" applyAlignment="1">
      <alignment horizontal="center" vertical="center" wrapText="1"/>
    </xf>
    <xf numFmtId="1" fontId="3" fillId="0" borderId="51" xfId="0" applyNumberFormat="1" applyFont="1" applyFill="1" applyBorder="1" applyAlignment="1" applyProtection="1">
      <alignment horizontal="center" vertical="center" wrapText="1"/>
      <protection locked="0"/>
    </xf>
    <xf numFmtId="166" fontId="3" fillId="0" borderId="19" xfId="0" applyNumberFormat="1" applyFont="1" applyFill="1" applyBorder="1" applyAlignment="1">
      <alignment horizontal="center" vertical="center" wrapText="1"/>
    </xf>
    <xf numFmtId="0" fontId="52" fillId="0" borderId="31" xfId="0" applyFont="1" applyFill="1" applyBorder="1" applyAlignment="1" applyProtection="1">
      <alignment horizontal="center" vertical="center"/>
      <protection locked="0"/>
    </xf>
    <xf numFmtId="0" fontId="3" fillId="0" borderId="30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50" fillId="0" borderId="0" xfId="0" applyFont="1" applyFill="1" applyBorder="1" applyAlignment="1">
      <alignment horizontal="right" vertical="center" wrapText="1"/>
    </xf>
    <xf numFmtId="165" fontId="3" fillId="0" borderId="37" xfId="0" applyNumberFormat="1" applyFont="1" applyFill="1" applyBorder="1" applyAlignment="1">
      <alignment horizontal="center" vertical="center" wrapText="1"/>
    </xf>
    <xf numFmtId="166" fontId="3" fillId="0" borderId="45" xfId="0" applyNumberFormat="1" applyFont="1" applyFill="1" applyBorder="1" applyAlignment="1">
      <alignment horizontal="center" vertical="center" wrapText="1"/>
    </xf>
    <xf numFmtId="0" fontId="45" fillId="0" borderId="0" xfId="0" applyFont="1" applyFill="1" applyAlignment="1">
      <alignment horizontal="right" vertical="center"/>
    </xf>
    <xf numFmtId="0" fontId="53" fillId="7" borderId="0" xfId="0" applyFont="1" applyFill="1" applyAlignment="1">
      <alignment horizontal="right" vertical="center"/>
    </xf>
    <xf numFmtId="0" fontId="54" fillId="7" borderId="0" xfId="0" applyFont="1" applyFill="1" applyAlignment="1">
      <alignment horizontal="right" vertical="center"/>
    </xf>
    <xf numFmtId="165" fontId="3" fillId="7" borderId="32" xfId="0" applyNumberFormat="1" applyFont="1" applyFill="1" applyBorder="1" applyAlignment="1">
      <alignment horizontal="center" vertical="center" wrapText="1"/>
    </xf>
    <xf numFmtId="3" fontId="3" fillId="0" borderId="5" xfId="0" applyNumberFormat="1" applyFont="1" applyFill="1" applyBorder="1" applyAlignment="1">
      <alignment horizontal="center" vertical="center" wrapText="1"/>
    </xf>
    <xf numFmtId="0" fontId="3" fillId="2" borderId="39" xfId="0" applyFont="1" applyFill="1" applyBorder="1" applyAlignment="1" applyProtection="1">
      <alignment horizontal="center" vertical="center" wrapText="1"/>
      <protection locked="0"/>
    </xf>
    <xf numFmtId="0" fontId="3" fillId="2" borderId="45" xfId="0" applyFont="1" applyFill="1" applyBorder="1" applyAlignment="1" applyProtection="1">
      <alignment horizontal="center" vertical="center" wrapText="1"/>
      <protection locked="0"/>
    </xf>
    <xf numFmtId="0" fontId="3" fillId="2" borderId="47" xfId="0" applyFont="1" applyFill="1" applyBorder="1" applyAlignment="1" applyProtection="1">
      <alignment horizontal="center" vertical="center" wrapText="1"/>
      <protection locked="0"/>
    </xf>
    <xf numFmtId="0" fontId="3" fillId="2" borderId="20" xfId="0" applyFont="1" applyFill="1" applyBorder="1" applyAlignment="1" applyProtection="1">
      <alignment horizontal="center" vertical="center" wrapText="1"/>
      <protection locked="0"/>
    </xf>
    <xf numFmtId="3" fontId="3" fillId="0" borderId="45" xfId="0" applyNumberFormat="1" applyFont="1" applyFill="1" applyBorder="1" applyAlignment="1">
      <alignment horizontal="center" vertical="center" wrapText="1"/>
    </xf>
    <xf numFmtId="165" fontId="3" fillId="0" borderId="32" xfId="0" applyNumberFormat="1" applyFont="1" applyFill="1" applyBorder="1" applyAlignment="1">
      <alignment horizontal="center" vertical="center" wrapText="1"/>
    </xf>
    <xf numFmtId="0" fontId="3" fillId="2" borderId="67" xfId="0" applyFont="1" applyFill="1" applyBorder="1" applyAlignment="1">
      <alignment horizontal="center" vertical="center"/>
    </xf>
    <xf numFmtId="0" fontId="3" fillId="2" borderId="66" xfId="0" applyFont="1" applyFill="1" applyBorder="1" applyAlignment="1">
      <alignment horizontal="center" vertical="center"/>
    </xf>
    <xf numFmtId="165" fontId="3" fillId="0" borderId="21" xfId="0" applyNumberFormat="1" applyFont="1" applyFill="1" applyBorder="1" applyAlignment="1">
      <alignment horizontal="center" vertical="center" wrapText="1"/>
    </xf>
    <xf numFmtId="0" fontId="3" fillId="0" borderId="54" xfId="0" applyFont="1" applyFill="1" applyBorder="1" applyAlignment="1" applyProtection="1">
      <alignment horizontal="center" vertical="center"/>
      <protection locked="0"/>
    </xf>
    <xf numFmtId="0" fontId="3" fillId="0" borderId="67" xfId="0" applyFont="1" applyFill="1" applyBorder="1" applyAlignment="1">
      <alignment horizontal="center" vertical="center"/>
    </xf>
    <xf numFmtId="0" fontId="33" fillId="0" borderId="40" xfId="0" applyFont="1" applyFill="1" applyBorder="1" applyAlignment="1" applyProtection="1">
      <alignment horizontal="center" vertical="center"/>
      <protection locked="0"/>
    </xf>
    <xf numFmtId="0" fontId="55" fillId="8" borderId="8" xfId="0" applyFont="1" applyFill="1" applyBorder="1" applyAlignment="1" applyProtection="1">
      <alignment vertical="center"/>
      <protection locked="0"/>
    </xf>
    <xf numFmtId="0" fontId="56" fillId="8" borderId="8" xfId="0" applyFont="1" applyFill="1" applyBorder="1" applyAlignment="1" applyProtection="1">
      <alignment vertical="center"/>
      <protection locked="0"/>
    </xf>
    <xf numFmtId="0" fontId="54" fillId="0" borderId="0" xfId="0" applyFont="1" applyFill="1" applyAlignment="1">
      <alignment horizontal="right" vertical="center"/>
    </xf>
    <xf numFmtId="0" fontId="3" fillId="7" borderId="6" xfId="0" applyFont="1" applyFill="1" applyBorder="1" applyAlignment="1" applyProtection="1">
      <alignment horizontal="center" vertical="center" wrapText="1"/>
    </xf>
    <xf numFmtId="0" fontId="3" fillId="7" borderId="43" xfId="0" applyFont="1" applyFill="1" applyBorder="1" applyAlignment="1">
      <alignment horizontal="center" vertical="center" wrapText="1"/>
    </xf>
    <xf numFmtId="0" fontId="53" fillId="0" borderId="0" xfId="0" applyFont="1" applyFill="1" applyAlignment="1">
      <alignment horizontal="right" vertical="center"/>
    </xf>
    <xf numFmtId="0" fontId="16" fillId="5" borderId="0" xfId="0" applyFont="1" applyFill="1" applyAlignment="1">
      <alignment horizontal="right" vertical="center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165" fontId="3" fillId="0" borderId="45" xfId="0" applyNumberFormat="1" applyFont="1" applyFill="1" applyBorder="1" applyAlignment="1">
      <alignment horizontal="center" vertical="center" wrapText="1"/>
    </xf>
    <xf numFmtId="166" fontId="3" fillId="0" borderId="37" xfId="0" applyNumberFormat="1" applyFont="1" applyFill="1" applyBorder="1" applyAlignment="1">
      <alignment horizontal="center" vertical="center" wrapText="1"/>
    </xf>
    <xf numFmtId="0" fontId="51" fillId="5" borderId="31" xfId="0" applyFont="1" applyFill="1" applyBorder="1" applyAlignment="1" applyProtection="1">
      <alignment horizontal="center" vertical="center"/>
      <protection locked="0"/>
    </xf>
    <xf numFmtId="0" fontId="1" fillId="5" borderId="0" xfId="0" applyFont="1" applyFill="1" applyAlignment="1">
      <alignment horizontal="right" vertical="center"/>
    </xf>
    <xf numFmtId="0" fontId="3" fillId="5" borderId="50" xfId="0" applyFont="1" applyFill="1" applyBorder="1" applyAlignment="1" applyProtection="1">
      <alignment horizontal="center" vertical="center"/>
      <protection locked="0"/>
    </xf>
    <xf numFmtId="0" fontId="3" fillId="5" borderId="66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26" fillId="0" borderId="4" xfId="0" applyFont="1" applyBorder="1" applyAlignment="1">
      <alignment horizontal="center" vertical="center" textRotation="90"/>
    </xf>
    <xf numFmtId="0" fontId="26" fillId="0" borderId="5" xfId="0" applyFont="1" applyBorder="1" applyAlignment="1">
      <alignment horizontal="center" textRotation="90"/>
    </xf>
    <xf numFmtId="0" fontId="26" fillId="0" borderId="6" xfId="0" applyFont="1" applyBorder="1" applyAlignment="1">
      <alignment horizontal="center" textRotation="90"/>
    </xf>
    <xf numFmtId="0" fontId="27" fillId="0" borderId="4" xfId="0" applyFont="1" applyBorder="1" applyAlignment="1">
      <alignment horizontal="center" vertical="center" textRotation="90"/>
    </xf>
    <xf numFmtId="0" fontId="27" fillId="0" borderId="5" xfId="0" applyFont="1" applyBorder="1" applyAlignment="1">
      <alignment horizontal="center" textRotation="90"/>
    </xf>
    <xf numFmtId="0" fontId="27" fillId="0" borderId="6" xfId="0" applyFont="1" applyBorder="1" applyAlignment="1">
      <alignment horizontal="center" textRotation="90"/>
    </xf>
    <xf numFmtId="0" fontId="5" fillId="3" borderId="7" xfId="0" applyFont="1" applyFill="1" applyBorder="1" applyAlignment="1" applyProtection="1">
      <alignment horizontal="center" vertical="center"/>
      <protection locked="0"/>
    </xf>
    <xf numFmtId="0" fontId="5" fillId="3" borderId="8" xfId="0" applyFont="1" applyFill="1" applyBorder="1" applyAlignment="1" applyProtection="1">
      <alignment horizontal="center" vertical="center"/>
      <protection locked="0"/>
    </xf>
    <xf numFmtId="0" fontId="5" fillId="3" borderId="23" xfId="0" applyFont="1" applyFill="1" applyBorder="1" applyAlignment="1" applyProtection="1">
      <alignment horizontal="center" vertical="center"/>
      <protection locked="0"/>
    </xf>
    <xf numFmtId="0" fontId="5" fillId="3" borderId="0" xfId="0" applyFont="1" applyFill="1" applyBorder="1" applyAlignment="1" applyProtection="1">
      <alignment horizontal="center" vertical="center"/>
      <protection locked="0"/>
    </xf>
    <xf numFmtId="0" fontId="7" fillId="3" borderId="8" xfId="0" applyFont="1" applyFill="1" applyBorder="1" applyAlignment="1" applyProtection="1">
      <alignment horizontal="center" vertical="center"/>
      <protection locked="0"/>
    </xf>
    <xf numFmtId="0" fontId="7" fillId="3" borderId="9" xfId="0" applyFont="1" applyFill="1" applyBorder="1" applyAlignment="1" applyProtection="1">
      <alignment horizontal="center" vertical="center"/>
      <protection locked="0"/>
    </xf>
    <xf numFmtId="0" fontId="8" fillId="3" borderId="0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16" fontId="7" fillId="3" borderId="11" xfId="0" applyNumberFormat="1" applyFont="1" applyFill="1" applyBorder="1" applyAlignment="1" applyProtection="1">
      <alignment horizontal="center" vertical="center"/>
      <protection locked="0"/>
    </xf>
    <xf numFmtId="16" fontId="7" fillId="3" borderId="53" xfId="0" applyNumberFormat="1" applyFont="1" applyFill="1" applyBorder="1" applyAlignment="1" applyProtection="1">
      <alignment horizontal="center" vertical="center"/>
      <protection locked="0"/>
    </xf>
    <xf numFmtId="0" fontId="22" fillId="4" borderId="0" xfId="0" applyFont="1" applyFill="1" applyAlignment="1">
      <alignment horizontal="center" vertical="center" textRotation="255"/>
    </xf>
    <xf numFmtId="0" fontId="9" fillId="3" borderId="12" xfId="0" applyFont="1" applyFill="1" applyBorder="1" applyAlignment="1">
      <alignment horizontal="center" vertical="center" wrapText="1"/>
    </xf>
    <xf numFmtId="0" fontId="9" fillId="3" borderId="13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16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0" fontId="33" fillId="8" borderId="6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 wrapText="1"/>
    </xf>
    <xf numFmtId="0" fontId="9" fillId="7" borderId="16" xfId="0" applyFont="1" applyFill="1" applyBorder="1" applyAlignment="1">
      <alignment horizontal="center" vertical="center" wrapText="1"/>
    </xf>
    <xf numFmtId="0" fontId="9" fillId="7" borderId="22" xfId="0" applyFont="1" applyFill="1" applyBorder="1" applyAlignment="1">
      <alignment horizontal="center" vertical="center" wrapText="1"/>
    </xf>
    <xf numFmtId="0" fontId="9" fillId="7" borderId="12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 wrapText="1"/>
    </xf>
    <xf numFmtId="15" fontId="7" fillId="7" borderId="11" xfId="0" applyNumberFormat="1" applyFont="1" applyFill="1" applyBorder="1" applyAlignment="1" applyProtection="1">
      <alignment horizontal="center" vertical="center"/>
      <protection locked="0"/>
    </xf>
    <xf numFmtId="15" fontId="7" fillId="7" borderId="53" xfId="0" applyNumberFormat="1" applyFont="1" applyFill="1" applyBorder="1" applyAlignment="1" applyProtection="1">
      <alignment horizontal="center" vertical="center"/>
      <protection locked="0"/>
    </xf>
    <xf numFmtId="16" fontId="7" fillId="7" borderId="11" xfId="0" applyNumberFormat="1" applyFont="1" applyFill="1" applyBorder="1" applyAlignment="1" applyProtection="1">
      <alignment horizontal="center" vertical="center"/>
      <protection locked="0"/>
    </xf>
    <xf numFmtId="16" fontId="7" fillId="7" borderId="53" xfId="0" applyNumberFormat="1" applyFont="1" applyFill="1" applyBorder="1" applyAlignment="1" applyProtection="1">
      <alignment horizontal="center" vertical="center"/>
      <protection locked="0"/>
    </xf>
    <xf numFmtId="0" fontId="2" fillId="4" borderId="0" xfId="0" applyFont="1" applyFill="1" applyAlignment="1">
      <alignment horizontal="center" vertical="center" textRotation="255"/>
    </xf>
    <xf numFmtId="0" fontId="16" fillId="5" borderId="0" xfId="0" applyFont="1" applyFill="1" applyAlignment="1">
      <alignment horizontal="center" vertical="center"/>
    </xf>
    <xf numFmtId="0" fontId="48" fillId="8" borderId="8" xfId="0" applyFont="1" applyFill="1" applyBorder="1" applyAlignment="1" applyProtection="1">
      <alignment horizontal="center" vertical="center"/>
      <protection locked="0"/>
    </xf>
    <xf numFmtId="16" fontId="7" fillId="8" borderId="11" xfId="0" applyNumberFormat="1" applyFont="1" applyFill="1" applyBorder="1" applyAlignment="1" applyProtection="1">
      <alignment horizontal="center" vertical="center"/>
      <protection locked="0"/>
    </xf>
    <xf numFmtId="16" fontId="7" fillId="8" borderId="53" xfId="0" applyNumberFormat="1" applyFont="1" applyFill="1" applyBorder="1" applyAlignment="1" applyProtection="1">
      <alignment horizontal="center" vertical="center"/>
      <protection locked="0"/>
    </xf>
    <xf numFmtId="0" fontId="9" fillId="8" borderId="12" xfId="0" applyFont="1" applyFill="1" applyBorder="1" applyAlignment="1">
      <alignment horizontal="center" vertical="center" wrapText="1"/>
    </xf>
    <xf numFmtId="0" fontId="9" fillId="8" borderId="13" xfId="0" applyFont="1" applyFill="1" applyBorder="1" applyAlignment="1">
      <alignment horizontal="center" vertical="center" wrapText="1"/>
    </xf>
    <xf numFmtId="0" fontId="9" fillId="8" borderId="27" xfId="0" applyFont="1" applyFill="1" applyBorder="1" applyAlignment="1">
      <alignment horizontal="center" vertical="center" wrapText="1"/>
    </xf>
    <xf numFmtId="0" fontId="9" fillId="8" borderId="16" xfId="0" applyFont="1" applyFill="1" applyBorder="1" applyAlignment="1">
      <alignment horizontal="center" vertical="center" wrapText="1"/>
    </xf>
    <xf numFmtId="0" fontId="9" fillId="8" borderId="22" xfId="0" applyFont="1" applyFill="1" applyBorder="1" applyAlignment="1">
      <alignment horizontal="center" vertical="center" wrapText="1"/>
    </xf>
    <xf numFmtId="0" fontId="42" fillId="8" borderId="8" xfId="0" applyFont="1" applyFill="1" applyBorder="1" applyAlignment="1" applyProtection="1">
      <alignment horizontal="center" vertical="center"/>
      <protection locked="0"/>
    </xf>
    <xf numFmtId="15" fontId="7" fillId="8" borderId="11" xfId="0" applyNumberFormat="1" applyFont="1" applyFill="1" applyBorder="1" applyAlignment="1" applyProtection="1">
      <alignment horizontal="center" vertical="center"/>
      <protection locked="0"/>
    </xf>
    <xf numFmtId="15" fontId="7" fillId="8" borderId="53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Alignment="1">
      <alignment horizontal="center" textRotation="255"/>
    </xf>
    <xf numFmtId="0" fontId="34" fillId="0" borderId="0" xfId="1" applyAlignment="1">
      <alignment horizontal="center"/>
    </xf>
  </cellXfs>
  <cellStyles count="2">
    <cellStyle name="Normal" xfId="0" builtinId="0"/>
    <cellStyle name="Título" xfId="1" builtinId="15"/>
  </cellStyles>
  <dxfs count="0"/>
  <tableStyles count="0" defaultTableStyle="TableStyleMedium2" defaultPivotStyle="PivotStyleLight16"/>
  <colors>
    <mruColors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CONCENTRADO!$B$22</c:f>
          <c:strCache>
            <c:ptCount val="1"/>
            <c:pt idx="0">
              <c:v>CTP103                                                         GENERAL                                              %MORT. ACUMULADA</c:v>
            </c:pt>
          </c:strCache>
        </c:strRef>
      </c:tx>
      <c:layout>
        <c:manualLayout>
          <c:xMode val="edge"/>
          <c:yMode val="edge"/>
          <c:x val="0.14035020172267806"/>
          <c:y val="5.5761154855643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s-E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2364148523258365E-2"/>
          <c:y val="0.19194753906557219"/>
          <c:w val="0.89087615328045822"/>
          <c:h val="0.57976273890873775"/>
        </c:manualLayout>
      </c:layout>
      <c:lineChart>
        <c:grouping val="standard"/>
        <c:varyColors val="0"/>
        <c:ser>
          <c:idx val="0"/>
          <c:order val="0"/>
          <c:tx>
            <c:strRef>
              <c:f>CONCENTRADO!$B$19</c:f>
              <c:strCache>
                <c:ptCount val="1"/>
                <c:pt idx="0">
                  <c:v>%MORT. ACUMULADA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1.6043643584800083E-2"/>
                  <c:y val="-5.05912971404890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C40-4544-856C-B862D475D8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anchor="ctr" anchorCtr="1"/>
              <a:lstStyle/>
              <a:p>
                <a:pPr>
                  <a:defRPr lang="es-ES" sz="1000" b="0" i="0" u="none" strike="noStrike" kern="1200" baseline="0">
                    <a:solidFill>
                      <a:schemeClr val="accent2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CONCENTRADO!$C$4:$U$4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cat>
          <c:val>
            <c:numRef>
              <c:f>CONCENTRADO!$C$19:$U$19</c:f>
              <c:numCache>
                <c:formatCode>0.000</c:formatCode>
                <c:ptCount val="19"/>
                <c:pt idx="0">
                  <c:v>0.7</c:v>
                </c:pt>
                <c:pt idx="1">
                  <c:v>0.7</c:v>
                </c:pt>
                <c:pt idx="2">
                  <c:v>1.4</c:v>
                </c:pt>
                <c:pt idx="3">
                  <c:v>1.9</c:v>
                </c:pt>
                <c:pt idx="4">
                  <c:v>2.1999999999999997</c:v>
                </c:pt>
                <c:pt idx="5">
                  <c:v>2.38</c:v>
                </c:pt>
                <c:pt idx="6">
                  <c:v>2.56</c:v>
                </c:pt>
                <c:pt idx="7">
                  <c:v>2.72</c:v>
                </c:pt>
                <c:pt idx="8">
                  <c:v>2.8800000000000003</c:v>
                </c:pt>
                <c:pt idx="9">
                  <c:v>3.0400000000000005</c:v>
                </c:pt>
                <c:pt idx="10">
                  <c:v>3.2000000000000006</c:v>
                </c:pt>
                <c:pt idx="11">
                  <c:v>3.3600000000000008</c:v>
                </c:pt>
                <c:pt idx="12">
                  <c:v>3.5200000000000009</c:v>
                </c:pt>
                <c:pt idx="13">
                  <c:v>3.680000000000001</c:v>
                </c:pt>
                <c:pt idx="14">
                  <c:v>3.8400000000000012</c:v>
                </c:pt>
                <c:pt idx="15">
                  <c:v>4.0000000000000009</c:v>
                </c:pt>
                <c:pt idx="16">
                  <c:v>4.160000000000001</c:v>
                </c:pt>
                <c:pt idx="17">
                  <c:v>4.3200000000000012</c:v>
                </c:pt>
                <c:pt idx="18">
                  <c:v>4.4800000000000013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C5-47BB-B076-FE01A1571B30}"/>
            </c:ext>
          </c:extLst>
        </c:ser>
        <c:ser>
          <c:idx val="1"/>
          <c:order val="1"/>
          <c:tx>
            <c:strRef>
              <c:f>CONCENTRADO!$B$20</c:f>
              <c:strCache>
                <c:ptCount val="1"/>
                <c:pt idx="0">
                  <c:v>%MORT. ACUMULADA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9823760997566695E-2"/>
                  <c:y val="6.18114425033778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DCBD-42FE-ADBA-143579E6C481}"/>
                </c:ext>
              </c:extLst>
            </c:dLbl>
            <c:dLbl>
              <c:idx val="3"/>
              <c:layout>
                <c:manualLayout>
                  <c:x val="-1.3524355221246965E-2"/>
                  <c:y val="4.55685039370077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8754-4CAE-A4D0-741A85F42406}"/>
                </c:ext>
              </c:extLst>
            </c:dLbl>
            <c:dLbl>
              <c:idx val="4"/>
              <c:layout>
                <c:manualLayout>
                  <c:x val="-1.6044238973573571E-2"/>
                  <c:y val="4.43426992678546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3509-4344-A584-F61E305A91C0}"/>
                </c:ext>
              </c:extLst>
            </c:dLbl>
            <c:dLbl>
              <c:idx val="5"/>
              <c:layout>
                <c:manualLayout>
                  <c:x val="-1.6044238973573616E-2"/>
                  <c:y val="5.4464097251001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D0C8-43F5-908C-14895D01BE66}"/>
                </c:ext>
              </c:extLst>
            </c:dLbl>
            <c:dLbl>
              <c:idx val="6"/>
              <c:layout>
                <c:manualLayout>
                  <c:x val="-1.7312615524027956E-2"/>
                  <c:y val="4.70456140350877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967F-4F15-A808-2FACFC9FD47C}"/>
                </c:ext>
              </c:extLst>
            </c:dLbl>
            <c:dLbl>
              <c:idx val="7"/>
              <c:layout>
                <c:manualLayout>
                  <c:x val="-1.6043048196026595E-2"/>
                  <c:y val="5.05616797900262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E7A-484D-AB06-8C05BA08F207}"/>
                </c:ext>
              </c:extLst>
            </c:dLbl>
            <c:dLbl>
              <c:idx val="8"/>
              <c:layout>
                <c:manualLayout>
                  <c:x val="-1.6057435007227411E-2"/>
                  <c:y val="7.5080658487853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1937-4A98-B283-F6FEB4559E56}"/>
                </c:ext>
              </c:extLst>
            </c:dLbl>
            <c:dLbl>
              <c:idx val="10"/>
              <c:layout>
                <c:manualLayout>
                  <c:x val="-1.6051578505805977E-2"/>
                  <c:y val="8.87018026321486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509-4344-A584-F61E305A91C0}"/>
                </c:ext>
              </c:extLst>
            </c:dLbl>
            <c:dLbl>
              <c:idx val="11"/>
              <c:layout>
                <c:manualLayout>
                  <c:x val="-1.6057435007227321E-2"/>
                  <c:y val="7.2274953761102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EA13-4661-9036-46D7E32E2F3E}"/>
                </c:ext>
              </c:extLst>
            </c:dLbl>
            <c:dLbl>
              <c:idx val="12"/>
              <c:layout>
                <c:manualLayout>
                  <c:x val="-1.4791735861065615E-2"/>
                  <c:y val="9.19407346793057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5F9-48AC-9DC8-64B3DC876926}"/>
                </c:ext>
              </c:extLst>
            </c:dLbl>
            <c:dLbl>
              <c:idx val="13"/>
              <c:layout>
                <c:manualLayout>
                  <c:x val="-1.6057435007227228E-2"/>
                  <c:y val="8.3497772668105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B92-4AEB-A1D6-889DD4ABD30D}"/>
                </c:ext>
              </c:extLst>
            </c:dLbl>
            <c:dLbl>
              <c:idx val="14"/>
              <c:layout>
                <c:manualLayout>
                  <c:x val="-1.6052375953478002E-2"/>
                  <c:y val="7.51157894736842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E3EE-4274-9E41-F51A69C96C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anchor="ctr" anchorCtr="1"/>
              <a:lstStyle/>
              <a:p>
                <a:pPr>
                  <a:defRPr lang="es-ES" sz="1000" b="0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MX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CONCENTRADO!$C$4:$U$4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cat>
          <c:val>
            <c:numRef>
              <c:f>CONCENTRADO!$C$20:$U$20</c:f>
              <c:numCache>
                <c:formatCode>0.000</c:formatCode>
                <c:ptCount val="19"/>
                <c:pt idx="0">
                  <c:v>0.58922615638581</c:v>
                </c:pt>
                <c:pt idx="1">
                  <c:v>2.2862873579964154</c:v>
                </c:pt>
                <c:pt idx="2">
                  <c:v>2.8698750999476137</c:v>
                </c:pt>
                <c:pt idx="3">
                  <c:v>3.052807570102535</c:v>
                </c:pt>
                <c:pt idx="4">
                  <c:v>3.0548526721717191</c:v>
                </c:pt>
                <c:pt idx="5">
                  <c:v>3.0548526721717191</c:v>
                </c:pt>
                <c:pt idx="6">
                  <c:v>3.0548526721717191</c:v>
                </c:pt>
                <c:pt idx="7">
                  <c:v>3.0548526721717191</c:v>
                </c:pt>
                <c:pt idx="8">
                  <c:v>3.0548526721717191</c:v>
                </c:pt>
                <c:pt idx="9">
                  <c:v>3.0548526721717191</c:v>
                </c:pt>
                <c:pt idx="10">
                  <c:v>3.0548526721717191</c:v>
                </c:pt>
                <c:pt idx="11">
                  <c:v>3.0548526721717191</c:v>
                </c:pt>
                <c:pt idx="12">
                  <c:v>3.0548526721717191</c:v>
                </c:pt>
                <c:pt idx="13">
                  <c:v>3.0548526721717191</c:v>
                </c:pt>
                <c:pt idx="14">
                  <c:v>3.0548526721717191</c:v>
                </c:pt>
                <c:pt idx="15">
                  <c:v>3.0548526721717191</c:v>
                </c:pt>
                <c:pt idx="16">
                  <c:v>3.0548526721717191</c:v>
                </c:pt>
                <c:pt idx="17">
                  <c:v>3.0548526721717191</c:v>
                </c:pt>
                <c:pt idx="18">
                  <c:v>3.0548526721717191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C5-47BB-B076-FE01A1571B3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382720"/>
        <c:axId val="50384256"/>
      </c:lineChart>
      <c:catAx>
        <c:axId val="5038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MX"/>
          </a:p>
        </c:txPr>
        <c:crossAx val="50384256"/>
        <c:crosses val="autoZero"/>
        <c:auto val="1"/>
        <c:lblAlgn val="ctr"/>
        <c:lblOffset val="100"/>
        <c:noMultiLvlLbl val="0"/>
      </c:catAx>
      <c:valAx>
        <c:axId val="503842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MX"/>
          </a:p>
        </c:txPr>
        <c:crossAx val="503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596330976222282"/>
          <c:y val="0.8744181151884316"/>
          <c:w val="0.23874531751584033"/>
          <c:h val="5.1440800115812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s-E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FFC000"/>
      </a:solidFill>
      <a:round/>
    </a:ln>
    <a:effectLst/>
  </c:spPr>
  <c:txPr>
    <a:bodyPr/>
    <a:lstStyle/>
    <a:p>
      <a:pPr>
        <a:defRPr>
          <a:latin typeface="Arial Narrow" panose="020B0606020202030204" pitchFamily="34" charset="0"/>
        </a:defRPr>
      </a:pPr>
      <a:endParaRPr lang="es-MX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  <c:userShapes r:id="rId1"/>
</c:chartSpace>
</file>

<file path=xl/ctrlProps/ctrlProp1.xml><?xml version="1.0" encoding="utf-8"?>
<formControlPr xmlns="http://schemas.microsoft.com/office/spreadsheetml/2009/9/main" objectType="CheckBox" checked="Checked" fmlaLink="$A$374" lockText="1"/>
</file>

<file path=xl/ctrlProps/ctrlProp2.xml><?xml version="1.0" encoding="utf-8"?>
<formControlPr xmlns="http://schemas.microsoft.com/office/spreadsheetml/2009/9/main" objectType="CheckBox" checked="Checked" fmlaLink="$B$317" lockText="1"/>
</file>

<file path=xl/ctrlProps/ctrlProp3.xml><?xml version="1.0" encoding="utf-8"?>
<formControlPr xmlns="http://schemas.microsoft.com/office/spreadsheetml/2009/9/main" objectType="CheckBox" checked="Checked" fmlaLink="$B$435" lockText="1"/>
</file>

<file path=xl/ctrlProps/ctrlProp4.xml><?xml version="1.0" encoding="utf-8"?>
<formControlPr xmlns="http://schemas.microsoft.com/office/spreadsheetml/2009/9/main" objectType="CheckBox" checked="Checked" fmlaLink="$A$17" lockText="1"/>
</file>

<file path=xl/ctrlProps/ctrlProp5.xml><?xml version="1.0" encoding="utf-8"?>
<formControlPr xmlns="http://schemas.microsoft.com/office/spreadsheetml/2009/9/main" objectType="CheckBox" checked="Checked" fmlaLink="$B$341" lockText="1"/>
</file>

<file path=xl/ctrlProps/ctrlProp6.xml><?xml version="1.0" encoding="utf-8"?>
<formControlPr xmlns="http://schemas.microsoft.com/office/spreadsheetml/2009/9/main" objectType="CheckBox" checked="Checked" fmlaLink="$B$343" lockText="1"/>
</file>

<file path=xl/ctrlProps/ctrlProp7.xml><?xml version="1.0" encoding="utf-8"?>
<formControlPr xmlns="http://schemas.microsoft.com/office/spreadsheetml/2009/9/main" objectType="Drop" dropStyle="combo" dx="16" fmlaLink="$J$48" fmlaRange="$I$48:$I$54" sel="3" val="0"/>
</file>

<file path=xl/ctrlProps/ctrlProp8.xml><?xml version="1.0" encoding="utf-8"?>
<formControlPr xmlns="http://schemas.microsoft.com/office/spreadsheetml/2009/9/main" objectType="Drop" dropStyle="combo" dx="16" fmlaLink="$M$48" fmlaRange="$L$48:$L$54" sel="1" val="0"/>
</file>

<file path=xl/ctrlProps/ctrlProp9.xml><?xml version="1.0" encoding="utf-8"?>
<formControlPr xmlns="http://schemas.microsoft.com/office/spreadsheetml/2009/9/main" objectType="CheckBox" checked="Checked" fmlaLink="$Q$4" lockText="1"/>
</file>

<file path=xl/ctrlProps/ctrlProp10.xml><?xml version="1.0" encoding="utf-8"?>
<formControlPr xmlns="http://schemas.microsoft.com/office/spreadsheetml/2009/9/main" objectType="CheckBox" checked="Checked" fmlaLink="$Q$5" lockText="1"/>
</file>

<file path=xl/ctrlProps/ctrlProp11.xml><?xml version="1.0" encoding="utf-8"?>
<formControlPr xmlns="http://schemas.microsoft.com/office/spreadsheetml/2009/9/main" objectType="Drop" dropStyle="combo" dx="16" fmlaLink="$G$48" fmlaRange="$F$48:$F$51" sel="4" val="0"/>
</file>

<file path=xl/ctrlProps/ctrlProp12.xml><?xml version="1.0" encoding="utf-8"?>
<formControlPr xmlns="http://schemas.microsoft.com/office/spreadsheetml/2009/9/main" objectType="Drop" dropStyle="combo" dx="16" fmlaLink="$Y$10" fmlaRange="$X$9:$X$27" sel="11" val="10"/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123826</xdr:colOff>
      <xdr:row>4</xdr:row>
      <xdr:rowOff>28574</xdr:rowOff>
    </xdr:from>
    <xdr:to>
      <xdr:col>0</xdr:col>
      <xdr:colOff>676276</xdr:colOff>
      <xdr:row>4</xdr:row>
      <xdr:rowOff>171449</xdr:rowOff>
    </xdr:to>
    <xdr:sp macro="" textlink="">
      <xdr:nvSpPr>
        <xdr:cNvPr id="2" name="CuadroTexto 1"/>
        <xdr:cNvSpPr txBox="1"/>
      </xdr:nvSpPr>
      <xdr:spPr>
        <a:xfrm>
          <a:off x="123826" y="790574"/>
          <a:ext cx="552450" cy="142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MX" sz="1100"/>
            <a:t>8 - 14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123826</xdr:colOff>
      <xdr:row>5</xdr:row>
      <xdr:rowOff>28574</xdr:rowOff>
    </xdr:from>
    <xdr:to>
      <xdr:col>1</xdr:col>
      <xdr:colOff>676276</xdr:colOff>
      <xdr:row>5</xdr:row>
      <xdr:rowOff>171449</xdr:rowOff>
    </xdr:to>
    <xdr:sp macro="" textlink="">
      <xdr:nvSpPr>
        <xdr:cNvPr id="3" name="CuadroTexto 2"/>
        <xdr:cNvSpPr txBox="1"/>
      </xdr:nvSpPr>
      <xdr:spPr>
        <a:xfrm>
          <a:off x="123826" y="790574"/>
          <a:ext cx="552450" cy="142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MX" sz="1100"/>
            <a:t>8 - 14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370</xdr:row>
      <xdr:rowOff>57150</xdr:rowOff>
    </xdr:from>
    <xdr:to>
      <xdr:col>3</xdr:col>
      <xdr:colOff>57150</xdr:colOff>
      <xdr:row>372</xdr:row>
      <xdr:rowOff>57150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6675" y="76438125"/>
          <a:ext cx="2095500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</xdr:col>
      <xdr:colOff>66676</xdr:colOff>
      <xdr:row>1</xdr:row>
      <xdr:rowOff>76200</xdr:rowOff>
    </xdr:from>
    <xdr:to>
      <xdr:col>4</xdr:col>
      <xdr:colOff>5291</xdr:colOff>
      <xdr:row>2</xdr:row>
      <xdr:rowOff>337930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295275"/>
          <a:ext cx="1257299" cy="6332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27</xdr:col>
      <xdr:colOff>66676</xdr:colOff>
      <xdr:row>1</xdr:row>
      <xdr:rowOff>76200</xdr:rowOff>
    </xdr:from>
    <xdr:ext cx="1257299" cy="633205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295275"/>
          <a:ext cx="1257299" cy="6332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53</xdr:col>
      <xdr:colOff>66676</xdr:colOff>
      <xdr:row>1</xdr:row>
      <xdr:rowOff>76200</xdr:rowOff>
    </xdr:from>
    <xdr:ext cx="1257299" cy="633205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295275"/>
          <a:ext cx="1257299" cy="6332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79</xdr:col>
      <xdr:colOff>66676</xdr:colOff>
      <xdr:row>1</xdr:row>
      <xdr:rowOff>76200</xdr:rowOff>
    </xdr:from>
    <xdr:ext cx="1257299" cy="633205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295275"/>
          <a:ext cx="1257299" cy="6332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105</xdr:col>
      <xdr:colOff>66676</xdr:colOff>
      <xdr:row>1</xdr:row>
      <xdr:rowOff>76200</xdr:rowOff>
    </xdr:from>
    <xdr:ext cx="1257299" cy="633205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295275"/>
          <a:ext cx="1257299" cy="6332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370</xdr:row>
          <xdr:rowOff>133350</xdr:rowOff>
        </xdr:from>
        <xdr:to>
          <xdr:col>3</xdr:col>
          <xdr:colOff>142875</xdr:colOff>
          <xdr:row>371</xdr:row>
          <xdr:rowOff>161925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MX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TODOS PTTS.</a:t>
              </a:r>
            </a:p>
          </xdr:txBody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313</xdr:row>
      <xdr:rowOff>57150</xdr:rowOff>
    </xdr:from>
    <xdr:to>
      <xdr:col>3</xdr:col>
      <xdr:colOff>57150</xdr:colOff>
      <xdr:row>315</xdr:row>
      <xdr:rowOff>57150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675" y="67313175"/>
          <a:ext cx="111442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oneCellAnchor>
    <xdr:from>
      <xdr:col>1</xdr:col>
      <xdr:colOff>57151</xdr:colOff>
      <xdr:row>1</xdr:row>
      <xdr:rowOff>38101</xdr:rowOff>
    </xdr:from>
    <xdr:ext cx="876299" cy="441324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6" y="257176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76</xdr:col>
      <xdr:colOff>85725</xdr:colOff>
      <xdr:row>1</xdr:row>
      <xdr:rowOff>47625</xdr:rowOff>
    </xdr:from>
    <xdr:ext cx="876299" cy="441324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8300" y="26670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313</xdr:row>
          <xdr:rowOff>133350</xdr:rowOff>
        </xdr:from>
        <xdr:to>
          <xdr:col>1</xdr:col>
          <xdr:colOff>742950</xdr:colOff>
          <xdr:row>314</xdr:row>
          <xdr:rowOff>152400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MX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TODOS PTTS.</a:t>
              </a:r>
            </a:p>
          </xdr:txBody>
        </xdr:sp>
        <xdr:clientData/>
      </xdr:twoCellAnchor>
    </mc:Choice>
    <mc:Fallback/>
  </mc:AlternateContent>
  <xdr:oneCellAnchor>
    <xdr:from>
      <xdr:col>51</xdr:col>
      <xdr:colOff>156883</xdr:colOff>
      <xdr:row>1</xdr:row>
      <xdr:rowOff>67235</xdr:rowOff>
    </xdr:from>
    <xdr:ext cx="876299" cy="441324"/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6354" y="29135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26</xdr:col>
      <xdr:colOff>57151</xdr:colOff>
      <xdr:row>1</xdr:row>
      <xdr:rowOff>38101</xdr:rowOff>
    </xdr:from>
    <xdr:ext cx="876299" cy="441324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33" y="262219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431</xdr:row>
      <xdr:rowOff>57150</xdr:rowOff>
    </xdr:from>
    <xdr:to>
      <xdr:col>3</xdr:col>
      <xdr:colOff>57150</xdr:colOff>
      <xdr:row>433</xdr:row>
      <xdr:rowOff>57150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675" y="71418450"/>
          <a:ext cx="208597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oneCellAnchor>
    <xdr:from>
      <xdr:col>1</xdr:col>
      <xdr:colOff>57151</xdr:colOff>
      <xdr:row>1</xdr:row>
      <xdr:rowOff>38101</xdr:rowOff>
    </xdr:from>
    <xdr:ext cx="876299" cy="441324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6" y="257176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76</xdr:col>
      <xdr:colOff>85725</xdr:colOff>
      <xdr:row>1</xdr:row>
      <xdr:rowOff>47625</xdr:rowOff>
    </xdr:from>
    <xdr:ext cx="876299" cy="441324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71375" y="26670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431</xdr:row>
          <xdr:rowOff>133350</xdr:rowOff>
        </xdr:from>
        <xdr:to>
          <xdr:col>2</xdr:col>
          <xdr:colOff>333375</xdr:colOff>
          <xdr:row>432</xdr:row>
          <xdr:rowOff>152400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MX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TODOS PTTS.</a:t>
              </a:r>
            </a:p>
          </xdr:txBody>
        </xdr:sp>
        <xdr:clientData/>
      </xdr:twoCellAnchor>
    </mc:Choice>
    <mc:Fallback/>
  </mc:AlternateContent>
  <xdr:oneCellAnchor>
    <xdr:from>
      <xdr:col>51</xdr:col>
      <xdr:colOff>156883</xdr:colOff>
      <xdr:row>1</xdr:row>
      <xdr:rowOff>67235</xdr:rowOff>
    </xdr:from>
    <xdr:ext cx="876299" cy="441324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83933" y="28631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26</xdr:col>
      <xdr:colOff>57151</xdr:colOff>
      <xdr:row>1</xdr:row>
      <xdr:rowOff>38101</xdr:rowOff>
    </xdr:from>
    <xdr:ext cx="876299" cy="441324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1" y="257176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101</xdr:col>
      <xdr:colOff>85725</xdr:colOff>
      <xdr:row>1</xdr:row>
      <xdr:rowOff>47625</xdr:rowOff>
    </xdr:from>
    <xdr:ext cx="876299" cy="441324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42607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126</xdr:col>
      <xdr:colOff>85725</xdr:colOff>
      <xdr:row>1</xdr:row>
      <xdr:rowOff>47625</xdr:rowOff>
    </xdr:from>
    <xdr:ext cx="876299" cy="441324"/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7931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151</xdr:col>
      <xdr:colOff>85725</xdr:colOff>
      <xdr:row>1</xdr:row>
      <xdr:rowOff>47625</xdr:rowOff>
    </xdr:from>
    <xdr:ext cx="876299" cy="441324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7931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176</xdr:col>
      <xdr:colOff>85725</xdr:colOff>
      <xdr:row>1</xdr:row>
      <xdr:rowOff>47625</xdr:rowOff>
    </xdr:from>
    <xdr:ext cx="876299" cy="441324"/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7931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201</xdr:col>
      <xdr:colOff>85725</xdr:colOff>
      <xdr:row>1</xdr:row>
      <xdr:rowOff>47625</xdr:rowOff>
    </xdr:from>
    <xdr:ext cx="876299" cy="441324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7931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101</xdr:col>
      <xdr:colOff>85725</xdr:colOff>
      <xdr:row>1</xdr:row>
      <xdr:rowOff>47625</xdr:rowOff>
    </xdr:from>
    <xdr:ext cx="876299" cy="441324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43460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126</xdr:col>
      <xdr:colOff>85725</xdr:colOff>
      <xdr:row>1</xdr:row>
      <xdr:rowOff>47625</xdr:rowOff>
    </xdr:from>
    <xdr:ext cx="876299" cy="441324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43460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151</xdr:col>
      <xdr:colOff>85725</xdr:colOff>
      <xdr:row>1</xdr:row>
      <xdr:rowOff>47625</xdr:rowOff>
    </xdr:from>
    <xdr:ext cx="876299" cy="441324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43460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176</xdr:col>
      <xdr:colOff>85725</xdr:colOff>
      <xdr:row>1</xdr:row>
      <xdr:rowOff>47625</xdr:rowOff>
    </xdr:from>
    <xdr:ext cx="876299" cy="441324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43460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201</xdr:col>
      <xdr:colOff>85725</xdr:colOff>
      <xdr:row>1</xdr:row>
      <xdr:rowOff>47625</xdr:rowOff>
    </xdr:from>
    <xdr:ext cx="876299" cy="441324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43460" y="271743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28575</xdr:rowOff>
        </xdr:from>
        <xdr:to>
          <xdr:col>1</xdr:col>
          <xdr:colOff>190500</xdr:colOff>
          <xdr:row>16</xdr:row>
          <xdr:rowOff>0</xdr:rowOff>
        </xdr:to>
        <xdr:sp macro="" textlink="">
          <xdr:nvSpPr>
            <xdr:cNvPr id="7169" name="Check Box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MX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TODOS LOS PTTOS.</a:t>
              </a:r>
            </a:p>
          </xdr:txBody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337</xdr:row>
      <xdr:rowOff>57150</xdr:rowOff>
    </xdr:from>
    <xdr:to>
      <xdr:col>3</xdr:col>
      <xdr:colOff>57150</xdr:colOff>
      <xdr:row>339</xdr:row>
      <xdr:rowOff>57150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675" y="81857850"/>
          <a:ext cx="208597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oneCellAnchor>
    <xdr:from>
      <xdr:col>1</xdr:col>
      <xdr:colOff>57151</xdr:colOff>
      <xdr:row>1</xdr:row>
      <xdr:rowOff>38101</xdr:rowOff>
    </xdr:from>
    <xdr:ext cx="876299" cy="441324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6" y="257176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76</xdr:col>
      <xdr:colOff>85725</xdr:colOff>
      <xdr:row>1</xdr:row>
      <xdr:rowOff>47625</xdr:rowOff>
    </xdr:from>
    <xdr:ext cx="876299" cy="441324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5750" y="26670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337</xdr:row>
          <xdr:rowOff>133350</xdr:rowOff>
        </xdr:from>
        <xdr:to>
          <xdr:col>2</xdr:col>
          <xdr:colOff>333375</xdr:colOff>
          <xdr:row>338</xdr:row>
          <xdr:rowOff>152400</xdr:rowOff>
        </xdr:to>
        <xdr:sp macro="" textlink="">
          <xdr:nvSpPr>
            <xdr:cNvPr id="15361" name="Check Box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MX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TODOS PTTS.</a:t>
              </a:r>
            </a:p>
          </xdr:txBody>
        </xdr:sp>
        <xdr:clientData/>
      </xdr:twoCellAnchor>
    </mc:Choice>
    <mc:Fallback/>
  </mc:AlternateContent>
  <xdr:oneCellAnchor>
    <xdr:from>
      <xdr:col>51</xdr:col>
      <xdr:colOff>156883</xdr:colOff>
      <xdr:row>1</xdr:row>
      <xdr:rowOff>67235</xdr:rowOff>
    </xdr:from>
    <xdr:ext cx="876299" cy="441324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5883" y="28631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26</xdr:col>
      <xdr:colOff>57151</xdr:colOff>
      <xdr:row>1</xdr:row>
      <xdr:rowOff>38101</xdr:rowOff>
    </xdr:from>
    <xdr:ext cx="876299" cy="441324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97026" y="257176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101</xdr:col>
      <xdr:colOff>85725</xdr:colOff>
      <xdr:row>1</xdr:row>
      <xdr:rowOff>47625</xdr:rowOff>
    </xdr:from>
    <xdr:ext cx="876299" cy="441324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15775" y="26670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339</xdr:row>
      <xdr:rowOff>57150</xdr:rowOff>
    </xdr:from>
    <xdr:to>
      <xdr:col>3</xdr:col>
      <xdr:colOff>57150</xdr:colOff>
      <xdr:row>341</xdr:row>
      <xdr:rowOff>57150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675" y="105213150"/>
          <a:ext cx="220027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oneCellAnchor>
    <xdr:from>
      <xdr:col>1</xdr:col>
      <xdr:colOff>57151</xdr:colOff>
      <xdr:row>1</xdr:row>
      <xdr:rowOff>38101</xdr:rowOff>
    </xdr:from>
    <xdr:ext cx="876299" cy="441324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6" y="257176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76</xdr:col>
      <xdr:colOff>85725</xdr:colOff>
      <xdr:row>1</xdr:row>
      <xdr:rowOff>47625</xdr:rowOff>
    </xdr:from>
    <xdr:ext cx="876299" cy="441324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57200" y="26670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339</xdr:row>
          <xdr:rowOff>133350</xdr:rowOff>
        </xdr:from>
        <xdr:to>
          <xdr:col>2</xdr:col>
          <xdr:colOff>333375</xdr:colOff>
          <xdr:row>340</xdr:row>
          <xdr:rowOff>152400</xdr:rowOff>
        </xdr:to>
        <xdr:sp macro="" textlink="">
          <xdr:nvSpPr>
            <xdr:cNvPr id="18433" name="Check Box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MX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TODOS PTTS.</a:t>
              </a:r>
            </a:p>
          </xdr:txBody>
        </xdr:sp>
        <xdr:clientData/>
      </xdr:twoCellAnchor>
    </mc:Choice>
    <mc:Fallback/>
  </mc:AlternateContent>
  <xdr:oneCellAnchor>
    <xdr:from>
      <xdr:col>51</xdr:col>
      <xdr:colOff>156883</xdr:colOff>
      <xdr:row>1</xdr:row>
      <xdr:rowOff>67235</xdr:rowOff>
    </xdr:from>
    <xdr:ext cx="876299" cy="441324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60183" y="28631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26</xdr:col>
      <xdr:colOff>34739</xdr:colOff>
      <xdr:row>1</xdr:row>
      <xdr:rowOff>82924</xdr:rowOff>
    </xdr:from>
    <xdr:ext cx="876299" cy="441324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0680" y="307042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101</xdr:col>
      <xdr:colOff>85725</xdr:colOff>
      <xdr:row>1</xdr:row>
      <xdr:rowOff>47625</xdr:rowOff>
    </xdr:from>
    <xdr:ext cx="876299" cy="441324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7225" y="26670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101</xdr:col>
      <xdr:colOff>85725</xdr:colOff>
      <xdr:row>1</xdr:row>
      <xdr:rowOff>47625</xdr:rowOff>
    </xdr:from>
    <xdr:ext cx="876299" cy="441324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7225" y="266700"/>
          <a:ext cx="876299" cy="4413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114300</xdr:colOff>
      <xdr:row>7</xdr:row>
      <xdr:rowOff>66675</xdr:rowOff>
    </xdr:from>
    <xdr:to>
      <xdr:col>13</xdr:col>
      <xdr:colOff>257175</xdr:colOff>
      <xdr:row>8</xdr:row>
      <xdr:rowOff>180975</xdr:rowOff>
    </xdr:to>
    <xdr:sp macro="" textlink="">
      <xdr:nvSpPr>
        <xdr:cNvPr id="12" name="Rectángulo redondead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8991600" y="1400175"/>
          <a:ext cx="904875" cy="3048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723900</xdr:colOff>
      <xdr:row>14</xdr:row>
      <xdr:rowOff>114300</xdr:rowOff>
    </xdr:from>
    <xdr:to>
      <xdr:col>16</xdr:col>
      <xdr:colOff>85725</xdr:colOff>
      <xdr:row>16</xdr:row>
      <xdr:rowOff>66675</xdr:rowOff>
    </xdr:to>
    <xdr:sp macro="" textlink="">
      <xdr:nvSpPr>
        <xdr:cNvPr id="5" name="Rectángulo 4"/>
        <xdr:cNvSpPr/>
      </xdr:nvSpPr>
      <xdr:spPr>
        <a:xfrm>
          <a:off x="10972800" y="2857500"/>
          <a:ext cx="885825" cy="438150"/>
        </a:xfrm>
        <a:prstGeom prst="rect">
          <a:avLst/>
        </a:prstGeom>
        <a:noFill/>
        <a:ln w="2857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12</xdr:col>
      <xdr:colOff>114300</xdr:colOff>
      <xdr:row>5</xdr:row>
      <xdr:rowOff>9525</xdr:rowOff>
    </xdr:from>
    <xdr:to>
      <xdr:col>13</xdr:col>
      <xdr:colOff>257175</xdr:colOff>
      <xdr:row>6</xdr:row>
      <xdr:rowOff>123825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8991600" y="962025"/>
          <a:ext cx="904875" cy="3048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</xdr:col>
      <xdr:colOff>1</xdr:colOff>
      <xdr:row>9</xdr:row>
      <xdr:rowOff>189442</xdr:rowOff>
    </xdr:from>
    <xdr:to>
      <xdr:col>14</xdr:col>
      <xdr:colOff>9525</xdr:colOff>
      <xdr:row>32</xdr:row>
      <xdr:rowOff>122767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</xdr:colOff>
      <xdr:row>2</xdr:row>
      <xdr:rowOff>0</xdr:rowOff>
    </xdr:from>
    <xdr:to>
      <xdr:col>10</xdr:col>
      <xdr:colOff>276225</xdr:colOff>
      <xdr:row>3</xdr:row>
      <xdr:rowOff>28575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33625" y="190500"/>
          <a:ext cx="49625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0">
              <a:solidFill>
                <a:schemeClr val="bg2">
                  <a:lumMod val="25000"/>
                </a:schemeClr>
              </a:solidFill>
              <a:latin typeface="+mj-lt"/>
            </a:rPr>
            <a:t>CRIANZAS COMERCIALES AVICAMPO </a:t>
          </a:r>
        </a:p>
      </xdr:txBody>
    </xdr:sp>
    <xdr:clientData/>
  </xdr:twoCellAnchor>
  <xdr:twoCellAnchor>
    <xdr:from>
      <xdr:col>6</xdr:col>
      <xdr:colOff>447675</xdr:colOff>
      <xdr:row>29</xdr:row>
      <xdr:rowOff>114301</xdr:rowOff>
    </xdr:from>
    <xdr:to>
      <xdr:col>7</xdr:col>
      <xdr:colOff>266700</xdr:colOff>
      <xdr:row>30</xdr:row>
      <xdr:rowOff>171451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4438650" y="5819776"/>
          <a:ext cx="5810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b="1">
              <a:solidFill>
                <a:schemeClr val="accent2"/>
              </a:solidFill>
            </a:rPr>
            <a:t>META</a:t>
          </a:r>
        </a:p>
      </xdr:txBody>
    </xdr:sp>
    <xdr:clientData/>
  </xdr:twoCellAnchor>
  <xdr:twoCellAnchor>
    <xdr:from>
      <xdr:col>9</xdr:col>
      <xdr:colOff>657225</xdr:colOff>
      <xdr:row>29</xdr:row>
      <xdr:rowOff>104775</xdr:rowOff>
    </xdr:from>
    <xdr:to>
      <xdr:col>10</xdr:col>
      <xdr:colOff>419100</xdr:colOff>
      <xdr:row>30</xdr:row>
      <xdr:rowOff>171450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7096125" y="5810250"/>
          <a:ext cx="5238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b="1">
              <a:solidFill>
                <a:schemeClr val="accent5">
                  <a:lumMod val="75000"/>
                </a:schemeClr>
              </a:solidFill>
            </a:rPr>
            <a:t>REAL</a:t>
          </a:r>
        </a:p>
      </xdr:txBody>
    </xdr:sp>
    <xdr:clientData/>
  </xdr:twoCellAnchor>
  <xdr:twoCellAnchor>
    <xdr:from>
      <xdr:col>4</xdr:col>
      <xdr:colOff>647700</xdr:colOff>
      <xdr:row>4</xdr:row>
      <xdr:rowOff>161925</xdr:rowOff>
    </xdr:from>
    <xdr:to>
      <xdr:col>5</xdr:col>
      <xdr:colOff>733425</xdr:colOff>
      <xdr:row>5</xdr:row>
      <xdr:rowOff>171450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2933700" y="733425"/>
          <a:ext cx="8477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2">
                  <a:lumMod val="25000"/>
                </a:schemeClr>
              </a:solidFill>
              <a:latin typeface="Arial Narrow" panose="020B0606020202030204" pitchFamily="34" charset="0"/>
            </a:rPr>
            <a:t>INDICADOR</a:t>
          </a:r>
        </a:p>
      </xdr:txBody>
    </xdr:sp>
    <xdr:clientData/>
  </xdr:twoCellAnchor>
  <xdr:twoCellAnchor>
    <xdr:from>
      <xdr:col>3</xdr:col>
      <xdr:colOff>247650</xdr:colOff>
      <xdr:row>4</xdr:row>
      <xdr:rowOff>152400</xdr:rowOff>
    </xdr:from>
    <xdr:to>
      <xdr:col>4</xdr:col>
      <xdr:colOff>333375</xdr:colOff>
      <xdr:row>5</xdr:row>
      <xdr:rowOff>161925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>
        <a:xfrm>
          <a:off x="1771650" y="723900"/>
          <a:ext cx="8477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2">
                  <a:lumMod val="25000"/>
                </a:schemeClr>
              </a:solidFill>
              <a:latin typeface="Arial Narrow" panose="020B0606020202030204" pitchFamily="34" charset="0"/>
            </a:rPr>
            <a:t>CASETA</a:t>
          </a:r>
        </a:p>
      </xdr:txBody>
    </xdr:sp>
    <xdr:clientData/>
  </xdr:twoCellAnchor>
  <xdr:twoCellAnchor>
    <xdr:from>
      <xdr:col>1</xdr:col>
      <xdr:colOff>400050</xdr:colOff>
      <xdr:row>4</xdr:row>
      <xdr:rowOff>133350</xdr:rowOff>
    </xdr:from>
    <xdr:to>
      <xdr:col>2</xdr:col>
      <xdr:colOff>485775</xdr:colOff>
      <xdr:row>5</xdr:row>
      <xdr:rowOff>142875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400050" y="895350"/>
          <a:ext cx="8477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2">
                  <a:lumMod val="25000"/>
                </a:schemeClr>
              </a:solidFill>
              <a:latin typeface="Arial Narrow" panose="020B0606020202030204" pitchFamily="34" charset="0"/>
            </a:rPr>
            <a:t>GRANJA</a:t>
          </a:r>
        </a:p>
      </xdr:txBody>
    </xdr:sp>
    <xdr:clientData/>
  </xdr:twoCellAnchor>
  <xdr:twoCellAnchor editAs="oneCell">
    <xdr:from>
      <xdr:col>14</xdr:col>
      <xdr:colOff>25174</xdr:colOff>
      <xdr:row>0</xdr:row>
      <xdr:rowOff>161925</xdr:rowOff>
    </xdr:from>
    <xdr:to>
      <xdr:col>16</xdr:col>
      <xdr:colOff>788272</xdr:colOff>
      <xdr:row>7</xdr:row>
      <xdr:rowOff>76200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4074" y="161925"/>
          <a:ext cx="2477598" cy="13239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523875</xdr:colOff>
          <xdr:row>6</xdr:row>
          <xdr:rowOff>47625</xdr:rowOff>
        </xdr:from>
        <xdr:to>
          <xdr:col>6</xdr:col>
          <xdr:colOff>381000</xdr:colOff>
          <xdr:row>7</xdr:row>
          <xdr:rowOff>95250</xdr:rowOff>
        </xdr:to>
        <xdr:sp macro="" textlink="">
          <xdr:nvSpPr>
            <xdr:cNvPr id="2052" name="Drop Down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</xdr:colOff>
          <xdr:row>6</xdr:row>
          <xdr:rowOff>57150</xdr:rowOff>
        </xdr:from>
        <xdr:to>
          <xdr:col>4</xdr:col>
          <xdr:colOff>314325</xdr:colOff>
          <xdr:row>7</xdr:row>
          <xdr:rowOff>95250</xdr:rowOff>
        </xdr:to>
        <xdr:sp macro="" textlink="">
          <xdr:nvSpPr>
            <xdr:cNvPr id="2054" name="Drop Down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285750</xdr:colOff>
          <xdr:row>5</xdr:row>
          <xdr:rowOff>47625</xdr:rowOff>
        </xdr:from>
        <xdr:to>
          <xdr:col>13</xdr:col>
          <xdr:colOff>219075</xdr:colOff>
          <xdr:row>6</xdr:row>
          <xdr:rowOff>76200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MX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META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285750</xdr:colOff>
          <xdr:row>7</xdr:row>
          <xdr:rowOff>95250</xdr:rowOff>
        </xdr:from>
        <xdr:to>
          <xdr:col>13</xdr:col>
          <xdr:colOff>133350</xdr:colOff>
          <xdr:row>8</xdr:row>
          <xdr:rowOff>161925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MX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6</xdr:row>
          <xdr:rowOff>57150</xdr:rowOff>
        </xdr:from>
        <xdr:to>
          <xdr:col>2</xdr:col>
          <xdr:colOff>495300</xdr:colOff>
          <xdr:row>7</xdr:row>
          <xdr:rowOff>95250</xdr:rowOff>
        </xdr:to>
        <xdr:sp macro="" textlink="">
          <xdr:nvSpPr>
            <xdr:cNvPr id="2059" name="Drop Down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695325</xdr:colOff>
          <xdr:row>11</xdr:row>
          <xdr:rowOff>142875</xdr:rowOff>
        </xdr:from>
        <xdr:to>
          <xdr:col>16</xdr:col>
          <xdr:colOff>161925</xdr:colOff>
          <xdr:row>13</xdr:row>
          <xdr:rowOff>38100</xdr:rowOff>
        </xdr:to>
        <xdr:sp macro="" textlink="">
          <xdr:nvSpPr>
            <xdr:cNvPr id="2060" name="Drop Down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14</xdr:col>
      <xdr:colOff>723900</xdr:colOff>
      <xdr:row>18</xdr:row>
      <xdr:rowOff>114300</xdr:rowOff>
    </xdr:from>
    <xdr:to>
      <xdr:col>16</xdr:col>
      <xdr:colOff>85725</xdr:colOff>
      <xdr:row>20</xdr:row>
      <xdr:rowOff>66675</xdr:rowOff>
    </xdr:to>
    <xdr:sp macro="" textlink="">
      <xdr:nvSpPr>
        <xdr:cNvPr id="19" name="Rectángulo 18"/>
        <xdr:cNvSpPr/>
      </xdr:nvSpPr>
      <xdr:spPr>
        <a:xfrm>
          <a:off x="10975181" y="2852738"/>
          <a:ext cx="1076325" cy="440531"/>
        </a:xfrm>
        <a:prstGeom prst="rect">
          <a:avLst/>
        </a:prstGeom>
        <a:noFill/>
        <a:ln w="2857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0.9452</cdr:x>
      <cdr:y>0.01179</cdr:y>
    </cdr:from>
    <cdr:to>
      <cdr:x>0.98962</cdr:x>
      <cdr:y>0.1314</cdr:y>
    </cdr:to>
    <cdr:pic>
      <cdr:nvPicPr>
        <cdr:cNvPr id="2" name="Imagen 1">
          <a:extLst xmlns:a="http://schemas.openxmlformats.org/drawingml/2006/main">
            <a:ext uri="{FF2B5EF4-FFF2-40B4-BE49-F238E27FC236}">
              <a16:creationId xmlns:a16="http://schemas.microsoft.com/office/drawing/2014/main" id="{E8135A98-AABC-433D-BC20-8E844357A8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9543205" y="50996"/>
          <a:ext cx="448487" cy="51723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ctrlProp" Target="../ctrlProps/ctrlProp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4.xml"/><Relationship Id="rId4" Type="http://schemas.openxmlformats.org/officeDocument/2006/relationships/ctrlProp" Target="../ctrlProps/ctrlProp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5.xml"/><Relationship Id="rId4" Type="http://schemas.openxmlformats.org/officeDocument/2006/relationships/ctrlProp" Target="../ctrlProps/ctrlProp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1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1"/>
  <sheetViews>
    <sheetView workbookViewId="0">
      <selection activeCell="L21" sqref="L21"/>
    </sheetView>
  </sheetViews>
  <sheetFormatPr baseColWidth="10" defaultRowHeight="15" x14ac:dyDescent="0.25"/>
  <cols>
    <col min="2" max="9" width="8" customWidth="1"/>
    <col min="10" max="10" width="9.140625" customWidth="1"/>
    <col min="11" max="14" width="8" customWidth="1"/>
  </cols>
  <sheetData>
    <row r="2" spans="1:14" x14ac:dyDescent="0.25">
      <c r="A2" s="848" t="s">
        <v>88</v>
      </c>
      <c r="B2" s="849" t="s">
        <v>35</v>
      </c>
      <c r="C2" s="846" t="s">
        <v>36</v>
      </c>
      <c r="D2" s="847"/>
      <c r="E2" s="846" t="s">
        <v>2</v>
      </c>
      <c r="F2" s="847"/>
      <c r="G2" s="846" t="s">
        <v>45</v>
      </c>
      <c r="H2" s="847"/>
      <c r="I2" s="846" t="s">
        <v>44</v>
      </c>
      <c r="J2" s="847"/>
      <c r="K2" s="846" t="s">
        <v>39</v>
      </c>
      <c r="L2" s="847"/>
      <c r="M2" s="846" t="s">
        <v>40</v>
      </c>
      <c r="N2" s="847"/>
    </row>
    <row r="3" spans="1:14" x14ac:dyDescent="0.25">
      <c r="A3" s="848"/>
      <c r="B3" s="850"/>
      <c r="C3" s="314" t="s">
        <v>37</v>
      </c>
      <c r="D3" s="314" t="s">
        <v>38</v>
      </c>
      <c r="E3" s="314" t="s">
        <v>37</v>
      </c>
      <c r="F3" s="314" t="s">
        <v>38</v>
      </c>
      <c r="G3" s="314" t="s">
        <v>37</v>
      </c>
      <c r="H3" s="314" t="s">
        <v>38</v>
      </c>
      <c r="I3" s="314" t="s">
        <v>37</v>
      </c>
      <c r="J3" s="314" t="s">
        <v>38</v>
      </c>
      <c r="K3" s="314" t="s">
        <v>37</v>
      </c>
      <c r="L3" s="314" t="s">
        <v>38</v>
      </c>
      <c r="M3" s="314" t="s">
        <v>37</v>
      </c>
      <c r="N3" s="314" t="s">
        <v>38</v>
      </c>
    </row>
    <row r="4" spans="1:14" x14ac:dyDescent="0.25">
      <c r="A4" s="312" t="s">
        <v>89</v>
      </c>
      <c r="B4" s="6">
        <v>1</v>
      </c>
      <c r="C4" s="6">
        <v>64</v>
      </c>
      <c r="D4" s="5"/>
      <c r="E4" s="6">
        <v>77</v>
      </c>
      <c r="F4" s="5"/>
      <c r="G4" s="19">
        <f>0.7</f>
        <v>0.7</v>
      </c>
      <c r="H4" s="5"/>
      <c r="I4" s="20">
        <v>0.7</v>
      </c>
      <c r="J4" s="5"/>
      <c r="K4" s="5">
        <v>6</v>
      </c>
      <c r="L4" s="5"/>
      <c r="M4" s="5">
        <v>42</v>
      </c>
      <c r="N4" s="5"/>
    </row>
    <row r="5" spans="1:14" x14ac:dyDescent="0.25">
      <c r="A5" s="313"/>
      <c r="B5" s="6">
        <v>2</v>
      </c>
      <c r="C5" s="6">
        <v>118</v>
      </c>
      <c r="D5" s="5"/>
      <c r="E5" s="6">
        <v>77</v>
      </c>
      <c r="F5" s="5"/>
      <c r="G5" s="19">
        <v>0.7</v>
      </c>
      <c r="H5" s="5"/>
      <c r="I5" s="20">
        <f>G5+I4</f>
        <v>1.4</v>
      </c>
      <c r="J5" s="5"/>
      <c r="K5" s="5">
        <v>12</v>
      </c>
      <c r="L5" s="5"/>
      <c r="M5" s="5">
        <v>126</v>
      </c>
      <c r="N5" s="5"/>
    </row>
    <row r="6" spans="1:14" x14ac:dyDescent="0.25">
      <c r="A6" s="312" t="s">
        <v>90</v>
      </c>
      <c r="B6" s="6">
        <v>3</v>
      </c>
      <c r="C6" s="6">
        <v>185</v>
      </c>
      <c r="D6" s="5"/>
      <c r="E6" s="6">
        <v>77</v>
      </c>
      <c r="F6" s="5"/>
      <c r="G6" s="19">
        <v>0.5</v>
      </c>
      <c r="H6" s="5"/>
      <c r="I6" s="20">
        <f>G6+I5</f>
        <v>1.9</v>
      </c>
      <c r="J6" s="5"/>
      <c r="K6" s="5">
        <v>20</v>
      </c>
      <c r="L6" s="5"/>
      <c r="M6" s="5">
        <v>266</v>
      </c>
      <c r="N6" s="5"/>
    </row>
    <row r="7" spans="1:14" x14ac:dyDescent="0.25">
      <c r="A7" s="312" t="s">
        <v>91</v>
      </c>
      <c r="B7" s="5">
        <v>4</v>
      </c>
      <c r="C7" s="5">
        <v>258</v>
      </c>
      <c r="D7" s="5"/>
      <c r="E7" s="5">
        <v>79</v>
      </c>
      <c r="F7" s="5"/>
      <c r="G7" s="19">
        <v>0.3</v>
      </c>
      <c r="H7" s="5"/>
      <c r="I7" s="19">
        <f>G7+I6</f>
        <v>2.1999999999999997</v>
      </c>
      <c r="J7" s="5"/>
      <c r="K7" s="5">
        <v>29</v>
      </c>
      <c r="L7" s="5"/>
      <c r="M7" s="5">
        <v>469</v>
      </c>
      <c r="N7" s="5"/>
    </row>
    <row r="8" spans="1:14" x14ac:dyDescent="0.25">
      <c r="A8" s="312" t="s">
        <v>92</v>
      </c>
      <c r="B8" s="5">
        <v>5</v>
      </c>
      <c r="C8" s="5">
        <v>336</v>
      </c>
      <c r="D8" s="5"/>
      <c r="E8" s="5">
        <v>79</v>
      </c>
      <c r="F8" s="5"/>
      <c r="G8" s="19">
        <v>0.18</v>
      </c>
      <c r="H8" s="5"/>
      <c r="I8" s="19">
        <f t="shared" ref="I8:I21" si="0">I7+G8</f>
        <v>2.38</v>
      </c>
      <c r="J8" s="5"/>
      <c r="K8" s="5">
        <v>36</v>
      </c>
      <c r="L8" s="5"/>
      <c r="M8" s="5">
        <v>721</v>
      </c>
      <c r="N8" s="5"/>
    </row>
    <row r="9" spans="1:14" x14ac:dyDescent="0.25">
      <c r="A9" s="312" t="s">
        <v>93</v>
      </c>
      <c r="B9" s="5">
        <v>6</v>
      </c>
      <c r="C9" s="5">
        <v>419</v>
      </c>
      <c r="D9" s="5"/>
      <c r="E9" s="5">
        <v>79</v>
      </c>
      <c r="F9" s="5"/>
      <c r="G9" s="19">
        <v>0.18</v>
      </c>
      <c r="H9" s="5"/>
      <c r="I9" s="19">
        <f t="shared" si="0"/>
        <v>2.56</v>
      </c>
      <c r="J9" s="5"/>
      <c r="K9" s="5">
        <v>40</v>
      </c>
      <c r="L9" s="5"/>
      <c r="M9" s="5">
        <v>1001</v>
      </c>
      <c r="N9" s="5"/>
    </row>
    <row r="10" spans="1:14" x14ac:dyDescent="0.25">
      <c r="A10" s="312" t="s">
        <v>94</v>
      </c>
      <c r="B10" s="5">
        <v>7</v>
      </c>
      <c r="C10" s="5">
        <v>502</v>
      </c>
      <c r="D10" s="5"/>
      <c r="E10" s="5">
        <v>79</v>
      </c>
      <c r="F10" s="5"/>
      <c r="G10" s="19">
        <v>0.16</v>
      </c>
      <c r="H10" s="5"/>
      <c r="I10" s="19">
        <f t="shared" si="0"/>
        <v>2.72</v>
      </c>
      <c r="J10" s="5"/>
      <c r="K10" s="5">
        <v>43</v>
      </c>
      <c r="L10" s="5"/>
      <c r="M10" s="5">
        <v>1302</v>
      </c>
      <c r="N10" s="5"/>
    </row>
    <row r="11" spans="1:14" x14ac:dyDescent="0.25">
      <c r="A11" s="312" t="s">
        <v>95</v>
      </c>
      <c r="B11" s="5">
        <v>8</v>
      </c>
      <c r="C11" s="5">
        <v>585</v>
      </c>
      <c r="D11" s="5"/>
      <c r="E11" s="5">
        <v>79</v>
      </c>
      <c r="F11" s="5"/>
      <c r="G11" s="19">
        <v>0.16</v>
      </c>
      <c r="H11" s="5"/>
      <c r="I11" s="19">
        <f t="shared" si="0"/>
        <v>2.8800000000000003</v>
      </c>
      <c r="J11" s="5"/>
      <c r="K11" s="5">
        <v>45</v>
      </c>
      <c r="L11" s="5"/>
      <c r="M11" s="5">
        <v>1617</v>
      </c>
      <c r="N11" s="5"/>
    </row>
    <row r="12" spans="1:14" x14ac:dyDescent="0.25">
      <c r="A12" s="312" t="s">
        <v>96</v>
      </c>
      <c r="B12" s="5">
        <v>9</v>
      </c>
      <c r="C12" s="5">
        <v>668</v>
      </c>
      <c r="D12" s="5"/>
      <c r="E12" s="5">
        <v>79</v>
      </c>
      <c r="F12" s="5"/>
      <c r="G12" s="19">
        <v>0.16</v>
      </c>
      <c r="H12" s="5"/>
      <c r="I12" s="19">
        <f t="shared" si="0"/>
        <v>3.0400000000000005</v>
      </c>
      <c r="J12" s="5"/>
      <c r="K12" s="5">
        <v>47</v>
      </c>
      <c r="L12" s="5"/>
      <c r="M12" s="5">
        <v>1946</v>
      </c>
      <c r="N12" s="5"/>
    </row>
    <row r="13" spans="1:14" x14ac:dyDescent="0.25">
      <c r="A13" s="312" t="s">
        <v>97</v>
      </c>
      <c r="B13" s="5">
        <v>10</v>
      </c>
      <c r="C13" s="5">
        <v>746</v>
      </c>
      <c r="D13" s="5"/>
      <c r="E13" s="5">
        <v>80</v>
      </c>
      <c r="F13" s="5"/>
      <c r="G13" s="19">
        <v>0.16</v>
      </c>
      <c r="H13" s="5"/>
      <c r="I13" s="19">
        <f t="shared" si="0"/>
        <v>3.2000000000000006</v>
      </c>
      <c r="J13" s="5"/>
      <c r="K13" s="5">
        <v>49</v>
      </c>
      <c r="L13" s="5"/>
      <c r="M13" s="5">
        <v>2289</v>
      </c>
      <c r="N13" s="5"/>
    </row>
    <row r="14" spans="1:14" x14ac:dyDescent="0.25">
      <c r="A14" s="312" t="s">
        <v>98</v>
      </c>
      <c r="B14" s="5">
        <v>11</v>
      </c>
      <c r="C14" s="5">
        <v>824</v>
      </c>
      <c r="D14" s="5"/>
      <c r="E14" s="5">
        <v>80</v>
      </c>
      <c r="F14" s="5"/>
      <c r="G14" s="19">
        <v>0.16</v>
      </c>
      <c r="H14" s="5"/>
      <c r="I14" s="19">
        <f t="shared" si="0"/>
        <v>3.3600000000000008</v>
      </c>
      <c r="J14" s="5"/>
      <c r="K14" s="5">
        <v>51</v>
      </c>
      <c r="L14" s="5"/>
      <c r="M14" s="5">
        <v>2646</v>
      </c>
      <c r="N14" s="5"/>
    </row>
    <row r="15" spans="1:14" x14ac:dyDescent="0.25">
      <c r="A15" s="312" t="s">
        <v>99</v>
      </c>
      <c r="B15" s="5">
        <v>12</v>
      </c>
      <c r="C15" s="5">
        <v>902</v>
      </c>
      <c r="D15" s="5"/>
      <c r="E15" s="5">
        <v>82</v>
      </c>
      <c r="F15" s="5"/>
      <c r="G15" s="19">
        <v>0.16</v>
      </c>
      <c r="H15" s="5"/>
      <c r="I15" s="19">
        <f t="shared" si="0"/>
        <v>3.5200000000000009</v>
      </c>
      <c r="J15" s="5"/>
      <c r="K15" s="5">
        <v>53</v>
      </c>
      <c r="L15" s="5"/>
      <c r="M15" s="5">
        <v>3017</v>
      </c>
      <c r="N15" s="5"/>
    </row>
    <row r="16" spans="1:14" x14ac:dyDescent="0.25">
      <c r="A16" s="312" t="s">
        <v>100</v>
      </c>
      <c r="B16" s="5">
        <v>13</v>
      </c>
      <c r="C16" s="5">
        <v>975</v>
      </c>
      <c r="D16" s="5"/>
      <c r="E16" s="5">
        <v>82</v>
      </c>
      <c r="F16" s="5"/>
      <c r="G16" s="19">
        <v>0.16</v>
      </c>
      <c r="H16" s="5"/>
      <c r="I16" s="19">
        <f t="shared" si="0"/>
        <v>3.680000000000001</v>
      </c>
      <c r="J16" s="5"/>
      <c r="K16" s="5">
        <v>55</v>
      </c>
      <c r="L16" s="5"/>
      <c r="M16" s="5">
        <v>3402</v>
      </c>
      <c r="N16" s="5"/>
    </row>
    <row r="17" spans="1:14" x14ac:dyDescent="0.25">
      <c r="A17" s="312" t="s">
        <v>101</v>
      </c>
      <c r="B17" s="5">
        <v>14</v>
      </c>
      <c r="C17" s="5">
        <v>1048</v>
      </c>
      <c r="D17" s="5"/>
      <c r="E17" s="5">
        <v>84</v>
      </c>
      <c r="F17" s="5"/>
      <c r="G17" s="19">
        <v>0.16</v>
      </c>
      <c r="H17" s="5"/>
      <c r="I17" s="19">
        <f t="shared" si="0"/>
        <v>3.8400000000000012</v>
      </c>
      <c r="J17" s="5"/>
      <c r="K17" s="5">
        <v>57</v>
      </c>
      <c r="L17" s="5"/>
      <c r="M17" s="5">
        <v>3801</v>
      </c>
      <c r="N17" s="5"/>
    </row>
    <row r="18" spans="1:14" x14ac:dyDescent="0.25">
      <c r="A18" s="312" t="s">
        <v>102</v>
      </c>
      <c r="B18" s="22">
        <v>15</v>
      </c>
      <c r="C18" s="22">
        <v>1112</v>
      </c>
      <c r="D18" s="22"/>
      <c r="E18" s="22">
        <v>86</v>
      </c>
      <c r="F18" s="22"/>
      <c r="G18" s="100">
        <v>0.16</v>
      </c>
      <c r="H18" s="22"/>
      <c r="I18" s="211">
        <f t="shared" si="0"/>
        <v>4.0000000000000009</v>
      </c>
      <c r="J18" s="22"/>
      <c r="K18" s="22">
        <v>60</v>
      </c>
      <c r="L18" s="22"/>
      <c r="M18" s="22">
        <v>4221</v>
      </c>
      <c r="N18" s="22"/>
    </row>
    <row r="19" spans="1:14" x14ac:dyDescent="0.25">
      <c r="A19" s="312" t="s">
        <v>103</v>
      </c>
      <c r="B19" s="5">
        <v>16</v>
      </c>
      <c r="C19" s="5">
        <v>1165</v>
      </c>
      <c r="D19" s="5"/>
      <c r="E19" s="5">
        <v>86</v>
      </c>
      <c r="F19" s="5"/>
      <c r="G19" s="19">
        <v>0.16</v>
      </c>
      <c r="H19" s="5"/>
      <c r="I19" s="19">
        <f t="shared" si="0"/>
        <v>4.160000000000001</v>
      </c>
      <c r="J19" s="5"/>
      <c r="K19" s="5">
        <v>64</v>
      </c>
      <c r="L19" s="5"/>
      <c r="M19" s="5">
        <v>4669</v>
      </c>
      <c r="N19" s="5"/>
    </row>
    <row r="20" spans="1:14" x14ac:dyDescent="0.25">
      <c r="A20" s="312" t="s">
        <v>104</v>
      </c>
      <c r="B20" s="5">
        <v>17</v>
      </c>
      <c r="C20" s="5">
        <v>1204</v>
      </c>
      <c r="D20" s="5"/>
      <c r="E20" s="5">
        <v>86</v>
      </c>
      <c r="F20" s="5"/>
      <c r="G20" s="19">
        <v>0.16</v>
      </c>
      <c r="H20" s="5"/>
      <c r="I20" s="19">
        <f t="shared" si="0"/>
        <v>4.3200000000000012</v>
      </c>
      <c r="J20" s="5"/>
      <c r="K20" s="5">
        <v>70</v>
      </c>
      <c r="L20" s="5"/>
      <c r="M20" s="5">
        <v>5159</v>
      </c>
      <c r="N20" s="5"/>
    </row>
    <row r="21" spans="1:14" x14ac:dyDescent="0.25">
      <c r="A21" s="312" t="s">
        <v>105</v>
      </c>
      <c r="B21" s="5">
        <v>18</v>
      </c>
      <c r="C21" s="5">
        <v>1229</v>
      </c>
      <c r="D21" s="5"/>
      <c r="E21" s="5">
        <v>86</v>
      </c>
      <c r="F21" s="5"/>
      <c r="G21" s="19">
        <v>0.16</v>
      </c>
      <c r="H21" s="5"/>
      <c r="I21" s="19">
        <f t="shared" si="0"/>
        <v>4.4800000000000013</v>
      </c>
      <c r="J21" s="5"/>
      <c r="K21" s="5">
        <v>77</v>
      </c>
      <c r="L21" s="5"/>
      <c r="M21" s="5">
        <v>5698</v>
      </c>
      <c r="N21" s="5"/>
    </row>
  </sheetData>
  <sheetProtection algorithmName="SHA-512" hashValue="YLNYH/dU/T0EjKsksv3L9do4cTJntx0egc+bnBm5d8SZSM0uiKmExG34ZGxriWhOAUfBlPvX49KR8ELKHqZ0tg==" saltValue="/h7VtytVl5wUQFQR1eiYqQ==" spinCount="100000" sheet="1" objects="1" scenarios="1"/>
  <mergeCells count="8">
    <mergeCell ref="K2:L2"/>
    <mergeCell ref="M2:N2"/>
    <mergeCell ref="G2:H2"/>
    <mergeCell ref="A2:A3"/>
    <mergeCell ref="B2:B3"/>
    <mergeCell ref="C2:D2"/>
    <mergeCell ref="E2:F2"/>
    <mergeCell ref="I2:J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23"/>
  <sheetViews>
    <sheetView topLeftCell="A13" workbookViewId="0">
      <selection activeCell="B25" sqref="B25"/>
    </sheetView>
  </sheetViews>
  <sheetFormatPr baseColWidth="10" defaultRowHeight="15" x14ac:dyDescent="0.25"/>
  <cols>
    <col min="4" max="4" width="15.140625" customWidth="1"/>
    <col min="5" max="5" width="11.85546875" customWidth="1"/>
    <col min="6" max="6" width="12" customWidth="1"/>
    <col min="7" max="7" width="13.5703125" customWidth="1"/>
  </cols>
  <sheetData>
    <row r="3" spans="2:9" ht="24.75" x14ac:dyDescent="0.25">
      <c r="B3" s="851" t="s">
        <v>88</v>
      </c>
      <c r="C3" s="852" t="s">
        <v>35</v>
      </c>
      <c r="D3" s="391" t="s">
        <v>36</v>
      </c>
      <c r="E3" s="391" t="s">
        <v>2</v>
      </c>
      <c r="F3" s="368" t="s">
        <v>45</v>
      </c>
      <c r="G3" s="391" t="s">
        <v>44</v>
      </c>
      <c r="H3" s="391" t="s">
        <v>39</v>
      </c>
      <c r="I3" s="391" t="s">
        <v>108</v>
      </c>
    </row>
    <row r="4" spans="2:9" x14ac:dyDescent="0.25">
      <c r="B4" s="851"/>
      <c r="C4" s="853"/>
      <c r="D4" s="369" t="s">
        <v>37</v>
      </c>
      <c r="E4" s="369" t="s">
        <v>37</v>
      </c>
      <c r="F4" s="369" t="s">
        <v>37</v>
      </c>
      <c r="G4" s="369" t="s">
        <v>37</v>
      </c>
      <c r="H4" s="369" t="s">
        <v>37</v>
      </c>
      <c r="I4" s="369" t="s">
        <v>37</v>
      </c>
    </row>
    <row r="5" spans="2:9" x14ac:dyDescent="0.25">
      <c r="B5" s="315" t="s">
        <v>89</v>
      </c>
      <c r="C5" s="370">
        <v>0</v>
      </c>
      <c r="D5" s="369">
        <v>40</v>
      </c>
      <c r="E5" s="369">
        <v>77</v>
      </c>
      <c r="F5" s="369">
        <v>0.7</v>
      </c>
      <c r="G5" s="369">
        <v>0.7</v>
      </c>
      <c r="H5" s="369">
        <v>10</v>
      </c>
      <c r="I5" s="369">
        <v>70</v>
      </c>
    </row>
    <row r="6" spans="2:9" x14ac:dyDescent="0.25">
      <c r="B6" s="373"/>
      <c r="C6" s="370">
        <v>1</v>
      </c>
      <c r="D6" s="370">
        <v>70</v>
      </c>
      <c r="E6" s="370">
        <v>77</v>
      </c>
      <c r="F6" s="371">
        <f>0.7</f>
        <v>0.7</v>
      </c>
      <c r="G6" s="372">
        <v>0.7</v>
      </c>
      <c r="H6" s="369">
        <v>10</v>
      </c>
      <c r="I6" s="369">
        <v>70</v>
      </c>
    </row>
    <row r="7" spans="2:9" x14ac:dyDescent="0.25">
      <c r="B7" s="315" t="s">
        <v>90</v>
      </c>
      <c r="C7" s="370">
        <v>2</v>
      </c>
      <c r="D7" s="370">
        <v>120</v>
      </c>
      <c r="E7" s="370">
        <v>77</v>
      </c>
      <c r="F7" s="371">
        <v>0.7</v>
      </c>
      <c r="G7" s="372">
        <f>F7+G6</f>
        <v>1.4</v>
      </c>
      <c r="H7" s="369">
        <v>17</v>
      </c>
      <c r="I7" s="369">
        <v>189</v>
      </c>
    </row>
    <row r="8" spans="2:9" x14ac:dyDescent="0.25">
      <c r="B8" s="315" t="s">
        <v>91</v>
      </c>
      <c r="C8" s="370">
        <v>3</v>
      </c>
      <c r="D8" s="370">
        <v>185</v>
      </c>
      <c r="E8" s="370">
        <v>77</v>
      </c>
      <c r="F8" s="371">
        <v>0.5</v>
      </c>
      <c r="G8" s="372">
        <f>F8+G7</f>
        <v>1.9</v>
      </c>
      <c r="H8" s="369">
        <v>23</v>
      </c>
      <c r="I8" s="369">
        <v>350</v>
      </c>
    </row>
    <row r="9" spans="2:9" x14ac:dyDescent="0.25">
      <c r="B9" s="315" t="s">
        <v>92</v>
      </c>
      <c r="C9" s="369">
        <v>4</v>
      </c>
      <c r="D9" s="369">
        <v>255</v>
      </c>
      <c r="E9" s="369">
        <v>79</v>
      </c>
      <c r="F9" s="371">
        <v>0.3</v>
      </c>
      <c r="G9" s="371">
        <f>F9+G8</f>
        <v>2.1999999999999997</v>
      </c>
      <c r="H9" s="369">
        <v>29</v>
      </c>
      <c r="I9" s="369">
        <v>553</v>
      </c>
    </row>
    <row r="10" spans="2:9" x14ac:dyDescent="0.25">
      <c r="B10" s="315" t="s">
        <v>93</v>
      </c>
      <c r="C10" s="369">
        <v>5</v>
      </c>
      <c r="D10" s="369">
        <v>334</v>
      </c>
      <c r="E10" s="369">
        <v>79</v>
      </c>
      <c r="F10" s="371">
        <v>0.18</v>
      </c>
      <c r="G10" s="371">
        <f t="shared" ref="G10:G23" si="0">G9+F10</f>
        <v>2.38</v>
      </c>
      <c r="H10" s="369">
        <v>34</v>
      </c>
      <c r="I10" s="369">
        <v>791</v>
      </c>
    </row>
    <row r="11" spans="2:9" x14ac:dyDescent="0.25">
      <c r="B11" s="315" t="s">
        <v>94</v>
      </c>
      <c r="C11" s="369">
        <v>6</v>
      </c>
      <c r="D11" s="369">
        <v>425</v>
      </c>
      <c r="E11" s="369">
        <v>79</v>
      </c>
      <c r="F11" s="371">
        <v>0.18</v>
      </c>
      <c r="G11" s="371">
        <f t="shared" si="0"/>
        <v>2.56</v>
      </c>
      <c r="H11" s="369">
        <v>38</v>
      </c>
      <c r="I11" s="369">
        <v>1057</v>
      </c>
    </row>
    <row r="12" spans="2:9" x14ac:dyDescent="0.25">
      <c r="B12" s="315" t="s">
        <v>95</v>
      </c>
      <c r="C12" s="369">
        <v>7</v>
      </c>
      <c r="D12" s="369">
        <v>524</v>
      </c>
      <c r="E12" s="369">
        <v>79</v>
      </c>
      <c r="F12" s="371">
        <v>0.16</v>
      </c>
      <c r="G12" s="371">
        <f t="shared" si="0"/>
        <v>2.72</v>
      </c>
      <c r="H12" s="369">
        <v>42</v>
      </c>
      <c r="I12" s="369">
        <v>1351</v>
      </c>
    </row>
    <row r="13" spans="2:9" x14ac:dyDescent="0.25">
      <c r="B13" s="315" t="s">
        <v>96</v>
      </c>
      <c r="C13" s="369">
        <v>8</v>
      </c>
      <c r="D13" s="369">
        <v>618</v>
      </c>
      <c r="E13" s="369">
        <v>79</v>
      </c>
      <c r="F13" s="371">
        <v>0.16</v>
      </c>
      <c r="G13" s="371">
        <f t="shared" si="0"/>
        <v>2.8800000000000003</v>
      </c>
      <c r="H13" s="369">
        <v>46</v>
      </c>
      <c r="I13" s="369">
        <v>1673</v>
      </c>
    </row>
    <row r="14" spans="2:9" x14ac:dyDescent="0.25">
      <c r="B14" s="315" t="s">
        <v>97</v>
      </c>
      <c r="C14" s="369">
        <v>9</v>
      </c>
      <c r="D14" s="369">
        <v>712</v>
      </c>
      <c r="E14" s="369">
        <v>79</v>
      </c>
      <c r="F14" s="371">
        <v>0.16</v>
      </c>
      <c r="G14" s="371">
        <f t="shared" si="0"/>
        <v>3.0400000000000005</v>
      </c>
      <c r="H14" s="369">
        <v>49</v>
      </c>
      <c r="I14" s="369">
        <v>2016</v>
      </c>
    </row>
    <row r="15" spans="2:9" x14ac:dyDescent="0.25">
      <c r="B15" s="315" t="s">
        <v>98</v>
      </c>
      <c r="C15" s="369">
        <v>10</v>
      </c>
      <c r="D15" s="369">
        <v>802</v>
      </c>
      <c r="E15" s="369">
        <v>80</v>
      </c>
      <c r="F15" s="371">
        <v>0.16</v>
      </c>
      <c r="G15" s="371">
        <f t="shared" si="0"/>
        <v>3.2000000000000006</v>
      </c>
      <c r="H15" s="369">
        <v>52</v>
      </c>
      <c r="I15" s="369">
        <v>2380</v>
      </c>
    </row>
    <row r="16" spans="2:9" x14ac:dyDescent="0.25">
      <c r="B16" s="315" t="s">
        <v>99</v>
      </c>
      <c r="C16" s="369">
        <v>11</v>
      </c>
      <c r="D16" s="369">
        <v>880</v>
      </c>
      <c r="E16" s="369">
        <v>80</v>
      </c>
      <c r="F16" s="371">
        <v>0.16</v>
      </c>
      <c r="G16" s="371">
        <f t="shared" si="0"/>
        <v>3.3600000000000008</v>
      </c>
      <c r="H16" s="369">
        <v>55</v>
      </c>
      <c r="I16" s="369">
        <v>2765</v>
      </c>
    </row>
    <row r="17" spans="2:9" x14ac:dyDescent="0.25">
      <c r="B17" s="315" t="s">
        <v>100</v>
      </c>
      <c r="C17" s="369">
        <v>12</v>
      </c>
      <c r="D17" s="369">
        <v>950</v>
      </c>
      <c r="E17" s="369">
        <v>82</v>
      </c>
      <c r="F17" s="371">
        <v>0.16</v>
      </c>
      <c r="G17" s="371">
        <f t="shared" si="0"/>
        <v>3.5200000000000009</v>
      </c>
      <c r="H17" s="369">
        <v>58</v>
      </c>
      <c r="I17" s="369">
        <v>3171</v>
      </c>
    </row>
    <row r="18" spans="2:9" x14ac:dyDescent="0.25">
      <c r="B18" s="315" t="s">
        <v>101</v>
      </c>
      <c r="C18" s="369">
        <v>13</v>
      </c>
      <c r="D18" s="369">
        <v>1010</v>
      </c>
      <c r="E18" s="369">
        <v>82</v>
      </c>
      <c r="F18" s="371">
        <v>0.16</v>
      </c>
      <c r="G18" s="371">
        <f t="shared" si="0"/>
        <v>3.680000000000001</v>
      </c>
      <c r="H18" s="369">
        <v>61</v>
      </c>
      <c r="I18" s="369">
        <v>3598</v>
      </c>
    </row>
    <row r="19" spans="2:9" x14ac:dyDescent="0.25">
      <c r="B19" s="315" t="s">
        <v>102</v>
      </c>
      <c r="C19" s="369">
        <v>14</v>
      </c>
      <c r="D19" s="369">
        <v>1065</v>
      </c>
      <c r="E19" s="369">
        <v>84</v>
      </c>
      <c r="F19" s="371">
        <v>0.16</v>
      </c>
      <c r="G19" s="371">
        <f t="shared" si="0"/>
        <v>3.8400000000000012</v>
      </c>
      <c r="H19" s="369">
        <v>64</v>
      </c>
      <c r="I19" s="369">
        <v>4046</v>
      </c>
    </row>
    <row r="20" spans="2:9" x14ac:dyDescent="0.25">
      <c r="B20" s="315" t="s">
        <v>103</v>
      </c>
      <c r="C20" s="374">
        <v>15</v>
      </c>
      <c r="D20" s="374">
        <v>1115</v>
      </c>
      <c r="E20" s="374">
        <v>86</v>
      </c>
      <c r="F20" s="375">
        <v>0.16</v>
      </c>
      <c r="G20" s="376">
        <f t="shared" si="0"/>
        <v>4.0000000000000009</v>
      </c>
      <c r="H20" s="374">
        <v>67</v>
      </c>
      <c r="I20" s="374">
        <v>4515</v>
      </c>
    </row>
    <row r="21" spans="2:9" x14ac:dyDescent="0.25">
      <c r="B21" s="315" t="s">
        <v>104</v>
      </c>
      <c r="C21" s="369">
        <v>16</v>
      </c>
      <c r="D21" s="369">
        <v>1160</v>
      </c>
      <c r="E21" s="369">
        <v>86</v>
      </c>
      <c r="F21" s="371">
        <v>0.16</v>
      </c>
      <c r="G21" s="371">
        <f t="shared" si="0"/>
        <v>4.160000000000001</v>
      </c>
      <c r="H21" s="369">
        <v>71</v>
      </c>
      <c r="I21" s="369">
        <v>5012</v>
      </c>
    </row>
    <row r="22" spans="2:9" x14ac:dyDescent="0.25">
      <c r="B22" s="315" t="s">
        <v>105</v>
      </c>
      <c r="C22" s="369">
        <v>17</v>
      </c>
      <c r="D22" s="369">
        <v>1207</v>
      </c>
      <c r="E22" s="369">
        <v>86</v>
      </c>
      <c r="F22" s="371">
        <v>0.16</v>
      </c>
      <c r="G22" s="371">
        <f t="shared" si="0"/>
        <v>4.3200000000000012</v>
      </c>
      <c r="H22" s="369">
        <v>75</v>
      </c>
      <c r="I22" s="369">
        <v>5537</v>
      </c>
    </row>
    <row r="23" spans="2:9" x14ac:dyDescent="0.25">
      <c r="B23" s="315" t="s">
        <v>128</v>
      </c>
      <c r="C23" s="369">
        <v>18</v>
      </c>
      <c r="D23" s="369">
        <v>1257</v>
      </c>
      <c r="E23" s="369">
        <v>86</v>
      </c>
      <c r="F23" s="371">
        <v>0.16</v>
      </c>
      <c r="G23" s="371">
        <f t="shared" si="0"/>
        <v>4.4800000000000013</v>
      </c>
      <c r="H23" s="369">
        <v>79</v>
      </c>
      <c r="I23" s="369">
        <v>6090</v>
      </c>
    </row>
  </sheetData>
  <sheetProtection algorithmName="SHA-512" hashValue="tQ7ip9JwD7C60hAdfUDzeOqexQX9yiBD3KKB/XHxUiHKy6wTm3aSDfJmxiJ3+NYRWiQZvpxJaNYb6AyVFT7fXg==" saltValue="bpnywBXzYe26hd2yhBEDIQ==" spinCount="100000" sheet="1" objects="1" scenarios="1"/>
  <mergeCells count="2">
    <mergeCell ref="B3:B4"/>
    <mergeCell ref="C3:C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Z381"/>
  <sheetViews>
    <sheetView zoomScale="90" zoomScaleNormal="90" workbookViewId="0">
      <pane xSplit="1" ySplit="6" topLeftCell="DI100" activePane="bottomRight" state="frozen"/>
      <selection pane="topRight" activeCell="B1" sqref="B1"/>
      <selection pane="bottomLeft" activeCell="A7" sqref="A7"/>
      <selection pane="bottomRight" activeCell="DR106" sqref="DR106"/>
    </sheetView>
  </sheetViews>
  <sheetFormatPr baseColWidth="10" defaultColWidth="11.42578125" defaultRowHeight="16.5" x14ac:dyDescent="0.25"/>
  <cols>
    <col min="1" max="1" width="16.7109375" style="2" customWidth="1"/>
    <col min="2" max="2" width="4.28515625" style="1" customWidth="1"/>
    <col min="3" max="3" width="4.7109375" style="1" customWidth="1"/>
    <col min="4" max="4" width="10.85546875" style="1" customWidth="1"/>
    <col min="5" max="5" width="10.28515625" style="1" customWidth="1"/>
    <col min="6" max="6" width="9.85546875" style="2" customWidth="1"/>
    <col min="7" max="7" width="8.5703125" style="2" customWidth="1"/>
    <col min="8" max="8" width="5.7109375" style="2" customWidth="1"/>
    <col min="9" max="9" width="6.5703125" style="2" customWidth="1"/>
    <col min="10" max="10" width="5.85546875" style="2" customWidth="1"/>
    <col min="11" max="11" width="6.85546875" style="2" customWidth="1"/>
    <col min="12" max="12" width="6.7109375" style="2" customWidth="1"/>
    <col min="13" max="13" width="5.85546875" style="2" customWidth="1"/>
    <col min="14" max="14" width="8" style="2" customWidth="1"/>
    <col min="15" max="15" width="9.42578125" style="2" customWidth="1"/>
    <col min="16" max="16" width="5.85546875" style="2" customWidth="1"/>
    <col min="17" max="18" width="7.85546875" style="2" customWidth="1"/>
    <col min="19" max="19" width="8.5703125" style="2" customWidth="1"/>
    <col min="20" max="20" width="9" style="2" customWidth="1"/>
    <col min="21" max="25" width="5.42578125" style="2" customWidth="1"/>
    <col min="26" max="26" width="5.140625" style="2" customWidth="1"/>
    <col min="27" max="27" width="11.42578125" style="2"/>
    <col min="28" max="29" width="4.85546875" style="2" customWidth="1"/>
    <col min="30" max="30" width="11.28515625" style="2" bestFit="1" customWidth="1"/>
    <col min="31" max="31" width="11.28515625" style="2" customWidth="1"/>
    <col min="32" max="33" width="10.140625" style="2" customWidth="1"/>
    <col min="34" max="37" width="5.5703125" style="2" customWidth="1"/>
    <col min="38" max="40" width="7" style="2" customWidth="1"/>
    <col min="41" max="41" width="7.42578125" style="2" customWidth="1"/>
    <col min="42" max="42" width="7" style="2" customWidth="1"/>
    <col min="43" max="46" width="7.42578125" style="2" customWidth="1"/>
    <col min="47" max="49" width="5.42578125" style="2" customWidth="1"/>
    <col min="50" max="52" width="7.28515625" style="2" customWidth="1"/>
    <col min="53" max="53" width="11.42578125" style="2"/>
    <col min="54" max="55" width="5.85546875" style="2" customWidth="1"/>
    <col min="56" max="56" width="10.85546875" style="2" customWidth="1"/>
    <col min="57" max="57" width="9.140625" style="2" customWidth="1"/>
    <col min="58" max="58" width="9.7109375" style="2" customWidth="1"/>
    <col min="59" max="59" width="9.140625" style="2" customWidth="1"/>
    <col min="60" max="63" width="5.7109375" style="2" customWidth="1"/>
    <col min="64" max="66" width="6.140625" style="2" customWidth="1"/>
    <col min="67" max="67" width="9.28515625" style="2" customWidth="1"/>
    <col min="68" max="68" width="8.28515625" style="2" customWidth="1"/>
    <col min="69" max="69" width="8.85546875" style="2" customWidth="1"/>
    <col min="70" max="72" width="7.5703125" style="2" customWidth="1"/>
    <col min="73" max="73" width="5.140625" style="2" customWidth="1"/>
    <col min="74" max="74" width="6.28515625" style="2" customWidth="1"/>
    <col min="75" max="75" width="6.7109375" style="2" customWidth="1"/>
    <col min="76" max="78" width="5.140625" style="2" customWidth="1"/>
    <col min="79" max="79" width="11.42578125" style="2"/>
    <col min="80" max="81" width="5" style="2" customWidth="1"/>
    <col min="82" max="82" width="11.42578125" style="2" customWidth="1"/>
    <col min="83" max="83" width="9.42578125" style="2" customWidth="1"/>
    <col min="84" max="84" width="10.5703125" style="2" customWidth="1"/>
    <col min="85" max="85" width="9.42578125" style="2" customWidth="1"/>
    <col min="86" max="89" width="4.7109375" style="2" customWidth="1"/>
    <col min="90" max="92" width="6.42578125" style="2" customWidth="1"/>
    <col min="93" max="93" width="9.42578125" style="2" customWidth="1"/>
    <col min="94" max="94" width="7.42578125" style="2" customWidth="1"/>
    <col min="95" max="95" width="8.42578125" style="2" customWidth="1"/>
    <col min="96" max="98" width="7.28515625" style="2" customWidth="1"/>
    <col min="99" max="101" width="6.7109375" style="2" customWidth="1"/>
    <col min="102" max="104" width="5.42578125" style="2" customWidth="1"/>
    <col min="105" max="105" width="11.42578125" style="2"/>
    <col min="106" max="107" width="5" style="2" customWidth="1"/>
    <col min="108" max="108" width="11.28515625" style="2" customWidth="1"/>
    <col min="109" max="111" width="10" style="2" customWidth="1"/>
    <col min="112" max="115" width="5.28515625" style="2" customWidth="1"/>
    <col min="116" max="118" width="8.140625" style="2" customWidth="1"/>
    <col min="119" max="119" width="9.5703125" style="2" customWidth="1"/>
    <col min="120" max="120" width="8.140625" style="2" customWidth="1"/>
    <col min="121" max="121" width="9.42578125" style="2" customWidth="1"/>
    <col min="122" max="130" width="6" style="2" customWidth="1"/>
    <col min="131" max="16384" width="11.42578125" style="2"/>
  </cols>
  <sheetData>
    <row r="1" spans="1:130" ht="17.25" thickBot="1" x14ac:dyDescent="0.3"/>
    <row r="2" spans="1:130" ht="29.25" customHeight="1" x14ac:dyDescent="0.25">
      <c r="A2" s="4"/>
      <c r="B2" s="854"/>
      <c r="C2" s="855"/>
      <c r="D2" s="855"/>
      <c r="E2" s="855"/>
      <c r="F2" s="855"/>
      <c r="G2" s="858" t="s">
        <v>76</v>
      </c>
      <c r="H2" s="858"/>
      <c r="I2" s="858"/>
      <c r="J2" s="858"/>
      <c r="K2" s="858"/>
      <c r="L2" s="858"/>
      <c r="M2" s="858"/>
      <c r="N2" s="858"/>
      <c r="O2" s="858"/>
      <c r="P2" s="858"/>
      <c r="Q2" s="858"/>
      <c r="R2" s="858"/>
      <c r="S2" s="858"/>
      <c r="T2" s="858"/>
      <c r="U2" s="858"/>
      <c r="V2" s="858"/>
      <c r="W2" s="858"/>
      <c r="X2" s="858"/>
      <c r="Y2" s="858"/>
      <c r="Z2" s="859"/>
      <c r="AB2" s="854"/>
      <c r="AC2" s="855"/>
      <c r="AD2" s="855"/>
      <c r="AE2" s="855"/>
      <c r="AF2" s="855"/>
      <c r="AG2" s="858" t="s">
        <v>76</v>
      </c>
      <c r="AH2" s="858"/>
      <c r="AI2" s="858"/>
      <c r="AJ2" s="858"/>
      <c r="AK2" s="858"/>
      <c r="AL2" s="858"/>
      <c r="AM2" s="858"/>
      <c r="AN2" s="858"/>
      <c r="AO2" s="858"/>
      <c r="AP2" s="858"/>
      <c r="AQ2" s="858"/>
      <c r="AR2" s="858"/>
      <c r="AS2" s="858"/>
      <c r="AT2" s="858"/>
      <c r="AU2" s="858"/>
      <c r="AV2" s="858"/>
      <c r="AW2" s="858"/>
      <c r="AX2" s="858"/>
      <c r="AY2" s="858"/>
      <c r="AZ2" s="859"/>
      <c r="BB2" s="854"/>
      <c r="BC2" s="855"/>
      <c r="BD2" s="855"/>
      <c r="BE2" s="855"/>
      <c r="BF2" s="855"/>
      <c r="BG2" s="858" t="s">
        <v>76</v>
      </c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9"/>
      <c r="CB2" s="854"/>
      <c r="CC2" s="855"/>
      <c r="CD2" s="855"/>
      <c r="CE2" s="855"/>
      <c r="CF2" s="855"/>
      <c r="CG2" s="858" t="s">
        <v>76</v>
      </c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9"/>
      <c r="DB2" s="854"/>
      <c r="DC2" s="855"/>
      <c r="DD2" s="855"/>
      <c r="DE2" s="855"/>
      <c r="DF2" s="855"/>
      <c r="DG2" s="858" t="s">
        <v>76</v>
      </c>
      <c r="DH2" s="858"/>
      <c r="DI2" s="858"/>
      <c r="DJ2" s="858"/>
      <c r="DK2" s="858"/>
      <c r="DL2" s="858"/>
      <c r="DM2" s="858"/>
      <c r="DN2" s="858"/>
      <c r="DO2" s="858"/>
      <c r="DP2" s="858"/>
      <c r="DQ2" s="858"/>
      <c r="DR2" s="858"/>
      <c r="DS2" s="858"/>
      <c r="DT2" s="858"/>
      <c r="DU2" s="858"/>
      <c r="DV2" s="858"/>
      <c r="DW2" s="858"/>
      <c r="DX2" s="858"/>
      <c r="DY2" s="858"/>
      <c r="DZ2" s="859"/>
    </row>
    <row r="3" spans="1:130" ht="29.25" customHeight="1" x14ac:dyDescent="0.25">
      <c r="A3" s="4"/>
      <c r="B3" s="856"/>
      <c r="C3" s="857"/>
      <c r="D3" s="857"/>
      <c r="E3" s="857"/>
      <c r="F3" s="857"/>
      <c r="G3" s="860" t="s">
        <v>77</v>
      </c>
      <c r="H3" s="860"/>
      <c r="I3" s="146" t="s">
        <v>32</v>
      </c>
      <c r="J3" s="147"/>
      <c r="K3" s="147"/>
      <c r="L3" s="147"/>
      <c r="M3" s="147"/>
      <c r="N3" s="148"/>
      <c r="O3" s="148"/>
      <c r="P3" s="148"/>
      <c r="Q3" s="148"/>
      <c r="R3" s="148"/>
      <c r="S3" s="148"/>
      <c r="T3" s="146" t="s">
        <v>30</v>
      </c>
      <c r="U3" s="146"/>
      <c r="V3" s="146"/>
      <c r="W3" s="146"/>
      <c r="X3" s="146" t="s">
        <v>14</v>
      </c>
      <c r="Y3" s="147"/>
      <c r="Z3" s="149"/>
      <c r="AB3" s="856"/>
      <c r="AC3" s="857"/>
      <c r="AD3" s="857"/>
      <c r="AE3" s="857"/>
      <c r="AF3" s="857"/>
      <c r="AG3" s="860" t="s">
        <v>77</v>
      </c>
      <c r="AH3" s="860"/>
      <c r="AI3" s="146" t="s">
        <v>32</v>
      </c>
      <c r="AJ3" s="147"/>
      <c r="AK3" s="147"/>
      <c r="AL3" s="147"/>
      <c r="AM3" s="147"/>
      <c r="AN3" s="148"/>
      <c r="AO3" s="148"/>
      <c r="AP3" s="148"/>
      <c r="AQ3" s="148"/>
      <c r="AR3" s="148"/>
      <c r="AS3" s="148"/>
      <c r="AT3" s="146" t="s">
        <v>79</v>
      </c>
      <c r="AU3" s="146"/>
      <c r="AV3" s="146"/>
      <c r="AW3" s="146"/>
      <c r="AX3" s="146" t="s">
        <v>14</v>
      </c>
      <c r="AY3" s="146" t="s">
        <v>80</v>
      </c>
      <c r="AZ3" s="149"/>
      <c r="BB3" s="856"/>
      <c r="BC3" s="857"/>
      <c r="BD3" s="857"/>
      <c r="BE3" s="857"/>
      <c r="BF3" s="857"/>
      <c r="BG3" s="860" t="s">
        <v>77</v>
      </c>
      <c r="BH3" s="860"/>
      <c r="BI3" s="146" t="s">
        <v>32</v>
      </c>
      <c r="BJ3" s="147"/>
      <c r="BK3" s="147"/>
      <c r="BL3" s="147"/>
      <c r="BM3" s="147"/>
      <c r="BN3" s="148"/>
      <c r="BO3" s="148"/>
      <c r="BP3" s="148"/>
      <c r="BQ3" s="148"/>
      <c r="BR3" s="148"/>
      <c r="BS3" s="148"/>
      <c r="BT3" s="146" t="s">
        <v>51</v>
      </c>
      <c r="BU3" s="146"/>
      <c r="BV3" s="146"/>
      <c r="BW3" s="146"/>
      <c r="BX3" s="146" t="s">
        <v>14</v>
      </c>
      <c r="BY3" s="146" t="s">
        <v>80</v>
      </c>
      <c r="BZ3" s="149"/>
      <c r="CB3" s="856"/>
      <c r="CC3" s="857"/>
      <c r="CD3" s="857"/>
      <c r="CE3" s="857"/>
      <c r="CF3" s="857"/>
      <c r="CG3" s="860" t="s">
        <v>77</v>
      </c>
      <c r="CH3" s="860"/>
      <c r="CI3" s="146" t="s">
        <v>32</v>
      </c>
      <c r="CJ3" s="147"/>
      <c r="CK3" s="147"/>
      <c r="CL3" s="147"/>
      <c r="CM3" s="147"/>
      <c r="CN3" s="148"/>
      <c r="CO3" s="148"/>
      <c r="CP3" s="148"/>
      <c r="CQ3" s="148"/>
      <c r="CR3" s="148"/>
      <c r="CS3" s="148"/>
      <c r="CT3" s="146" t="s">
        <v>81</v>
      </c>
      <c r="CU3" s="146"/>
      <c r="CV3" s="146"/>
      <c r="CW3" s="146"/>
      <c r="CX3" s="146" t="s">
        <v>14</v>
      </c>
      <c r="CY3" s="147" t="s">
        <v>80</v>
      </c>
      <c r="CZ3" s="149"/>
      <c r="DB3" s="856"/>
      <c r="DC3" s="857"/>
      <c r="DD3" s="857"/>
      <c r="DE3" s="857"/>
      <c r="DF3" s="857"/>
      <c r="DG3" s="860" t="s">
        <v>77</v>
      </c>
      <c r="DH3" s="860"/>
      <c r="DI3" s="146" t="s">
        <v>32</v>
      </c>
      <c r="DJ3" s="147"/>
      <c r="DK3" s="147"/>
      <c r="DL3" s="147"/>
      <c r="DM3" s="147"/>
      <c r="DN3" s="148"/>
      <c r="DO3" s="148"/>
      <c r="DP3" s="148"/>
      <c r="DQ3" s="148"/>
      <c r="DR3" s="148"/>
      <c r="DS3" s="148"/>
      <c r="DT3" s="146" t="s">
        <v>85</v>
      </c>
      <c r="DU3" s="146"/>
      <c r="DV3" s="146"/>
      <c r="DW3" s="146"/>
      <c r="DX3" s="146" t="s">
        <v>14</v>
      </c>
      <c r="DY3" s="146" t="s">
        <v>80</v>
      </c>
      <c r="DZ3" s="149"/>
    </row>
    <row r="4" spans="1:130" ht="17.25" thickBot="1" x14ac:dyDescent="0.3">
      <c r="A4" s="4"/>
      <c r="B4" s="150" t="s">
        <v>13</v>
      </c>
      <c r="C4" s="148"/>
      <c r="D4" s="148"/>
      <c r="E4" s="148"/>
      <c r="F4" s="148"/>
      <c r="G4" s="151" t="s">
        <v>0</v>
      </c>
      <c r="H4" s="148" t="s">
        <v>78</v>
      </c>
      <c r="I4" s="148"/>
      <c r="J4" s="148"/>
      <c r="K4" s="148"/>
      <c r="L4" s="148"/>
      <c r="M4" s="861" t="s">
        <v>1</v>
      </c>
      <c r="N4" s="861"/>
      <c r="O4" s="152">
        <v>99</v>
      </c>
      <c r="P4" s="148"/>
      <c r="Q4" s="147"/>
      <c r="R4" s="147"/>
      <c r="S4" s="147"/>
      <c r="T4" s="147"/>
      <c r="U4" s="146" t="s">
        <v>12</v>
      </c>
      <c r="V4" s="147"/>
      <c r="W4" s="147"/>
      <c r="X4" s="148"/>
      <c r="Y4" s="148"/>
      <c r="Z4" s="149"/>
      <c r="AB4" s="150" t="s">
        <v>13</v>
      </c>
      <c r="AC4" s="148"/>
      <c r="AD4" s="148"/>
      <c r="AE4" s="148"/>
      <c r="AF4" s="148"/>
      <c r="AG4" s="151" t="s">
        <v>0</v>
      </c>
      <c r="AH4" s="148" t="s">
        <v>78</v>
      </c>
      <c r="AI4" s="148"/>
      <c r="AJ4" s="148"/>
      <c r="AK4" s="148"/>
      <c r="AL4" s="148"/>
      <c r="AM4" s="861" t="s">
        <v>1</v>
      </c>
      <c r="AN4" s="861"/>
      <c r="AO4" s="152">
        <v>99</v>
      </c>
      <c r="AP4" s="148"/>
      <c r="AQ4" s="147"/>
      <c r="AR4" s="147"/>
      <c r="AS4" s="147"/>
      <c r="AT4" s="147"/>
      <c r="AU4" s="146" t="s">
        <v>12</v>
      </c>
      <c r="AV4" s="147"/>
      <c r="AW4" s="147"/>
      <c r="AX4" s="862">
        <v>42858</v>
      </c>
      <c r="AY4" s="862"/>
      <c r="AZ4" s="863"/>
      <c r="BB4" s="150" t="s">
        <v>13</v>
      </c>
      <c r="BC4" s="148"/>
      <c r="BD4" s="148"/>
      <c r="BE4" s="148"/>
      <c r="BF4" s="148"/>
      <c r="BG4" s="151" t="s">
        <v>0</v>
      </c>
      <c r="BH4" s="148" t="s">
        <v>78</v>
      </c>
      <c r="BI4" s="148"/>
      <c r="BJ4" s="148"/>
      <c r="BK4" s="148"/>
      <c r="BL4" s="148"/>
      <c r="BM4" s="861" t="s">
        <v>1</v>
      </c>
      <c r="BN4" s="861"/>
      <c r="BO4" s="152">
        <v>99</v>
      </c>
      <c r="BP4" s="148"/>
      <c r="BQ4" s="147"/>
      <c r="BR4" s="147"/>
      <c r="BS4" s="147"/>
      <c r="BT4" s="147"/>
      <c r="BU4" s="146" t="s">
        <v>12</v>
      </c>
      <c r="BV4" s="147"/>
      <c r="BW4" s="147"/>
      <c r="BX4" s="862">
        <v>42856</v>
      </c>
      <c r="BY4" s="862"/>
      <c r="BZ4" s="863"/>
      <c r="CB4" s="150" t="s">
        <v>13</v>
      </c>
      <c r="CC4" s="148"/>
      <c r="CD4" s="148"/>
      <c r="CE4" s="148"/>
      <c r="CF4" s="148"/>
      <c r="CG4" s="151" t="s">
        <v>0</v>
      </c>
      <c r="CH4" s="148" t="s">
        <v>78</v>
      </c>
      <c r="CI4" s="148"/>
      <c r="CJ4" s="148"/>
      <c r="CK4" s="148"/>
      <c r="CL4" s="148"/>
      <c r="CM4" s="861" t="s">
        <v>1</v>
      </c>
      <c r="CN4" s="861"/>
      <c r="CO4" s="152">
        <v>99</v>
      </c>
      <c r="CP4" s="148"/>
      <c r="CQ4" s="147"/>
      <c r="CR4" s="147"/>
      <c r="CS4" s="147"/>
      <c r="CT4" s="147"/>
      <c r="CU4" s="146" t="s">
        <v>12</v>
      </c>
      <c r="CV4" s="147"/>
      <c r="CW4" s="147"/>
      <c r="CX4" s="862">
        <v>42856</v>
      </c>
      <c r="CY4" s="862"/>
      <c r="CZ4" s="863"/>
      <c r="DB4" s="150" t="s">
        <v>13</v>
      </c>
      <c r="DC4" s="148"/>
      <c r="DD4" s="148"/>
      <c r="DE4" s="148"/>
      <c r="DF4" s="148"/>
      <c r="DG4" s="151" t="s">
        <v>0</v>
      </c>
      <c r="DH4" s="148" t="s">
        <v>78</v>
      </c>
      <c r="DI4" s="148"/>
      <c r="DJ4" s="148"/>
      <c r="DK4" s="148"/>
      <c r="DL4" s="148"/>
      <c r="DM4" s="861" t="s">
        <v>1</v>
      </c>
      <c r="DN4" s="861"/>
      <c r="DO4" s="152">
        <v>99</v>
      </c>
      <c r="DP4" s="148"/>
      <c r="DQ4" s="147"/>
      <c r="DR4" s="147"/>
      <c r="DS4" s="147"/>
      <c r="DT4" s="147"/>
      <c r="DU4" s="146" t="s">
        <v>12</v>
      </c>
      <c r="DV4" s="147"/>
      <c r="DW4" s="147"/>
      <c r="DX4" s="862">
        <v>42856</v>
      </c>
      <c r="DY4" s="862"/>
      <c r="DZ4" s="863"/>
    </row>
    <row r="5" spans="1:130" ht="27.75" customHeight="1" thickBot="1" x14ac:dyDescent="0.3">
      <c r="A5" s="4"/>
      <c r="B5" s="865" t="s">
        <v>4</v>
      </c>
      <c r="C5" s="865" t="s">
        <v>41</v>
      </c>
      <c r="D5" s="867" t="s">
        <v>5</v>
      </c>
      <c r="E5" s="868"/>
      <c r="F5" s="868"/>
      <c r="G5" s="869"/>
      <c r="H5" s="867" t="s">
        <v>3</v>
      </c>
      <c r="I5" s="868"/>
      <c r="J5" s="868"/>
      <c r="K5" s="868"/>
      <c r="L5" s="868"/>
      <c r="M5" s="868"/>
      <c r="N5" s="868"/>
      <c r="O5" s="868"/>
      <c r="P5" s="869"/>
      <c r="Q5" s="868" t="s">
        <v>8</v>
      </c>
      <c r="R5" s="868"/>
      <c r="S5" s="868"/>
      <c r="T5" s="869"/>
      <c r="U5" s="867" t="s">
        <v>11</v>
      </c>
      <c r="V5" s="868"/>
      <c r="W5" s="869"/>
      <c r="X5" s="867" t="s">
        <v>2</v>
      </c>
      <c r="Y5" s="868"/>
      <c r="Z5" s="869"/>
      <c r="AB5" s="865" t="s">
        <v>4</v>
      </c>
      <c r="AC5" s="865" t="s">
        <v>41</v>
      </c>
      <c r="AD5" s="867" t="s">
        <v>5</v>
      </c>
      <c r="AE5" s="868"/>
      <c r="AF5" s="868"/>
      <c r="AG5" s="869"/>
      <c r="AH5" s="867" t="s">
        <v>3</v>
      </c>
      <c r="AI5" s="868"/>
      <c r="AJ5" s="868"/>
      <c r="AK5" s="868"/>
      <c r="AL5" s="868"/>
      <c r="AM5" s="868"/>
      <c r="AN5" s="868"/>
      <c r="AO5" s="868"/>
      <c r="AP5" s="869"/>
      <c r="AQ5" s="867" t="s">
        <v>8</v>
      </c>
      <c r="AR5" s="868"/>
      <c r="AS5" s="868"/>
      <c r="AT5" s="869"/>
      <c r="AU5" s="867" t="s">
        <v>11</v>
      </c>
      <c r="AV5" s="868"/>
      <c r="AW5" s="869"/>
      <c r="AX5" s="867" t="s">
        <v>2</v>
      </c>
      <c r="AY5" s="868"/>
      <c r="AZ5" s="869"/>
      <c r="BB5" s="865" t="s">
        <v>4</v>
      </c>
      <c r="BC5" s="865" t="s">
        <v>41</v>
      </c>
      <c r="BD5" s="867" t="s">
        <v>5</v>
      </c>
      <c r="BE5" s="868"/>
      <c r="BF5" s="868"/>
      <c r="BG5" s="869"/>
      <c r="BH5" s="870" t="s">
        <v>3</v>
      </c>
      <c r="BI5" s="871"/>
      <c r="BJ5" s="871"/>
      <c r="BK5" s="871"/>
      <c r="BL5" s="871"/>
      <c r="BM5" s="871"/>
      <c r="BN5" s="871"/>
      <c r="BO5" s="871"/>
      <c r="BP5" s="872"/>
      <c r="BQ5" s="867" t="s">
        <v>8</v>
      </c>
      <c r="BR5" s="868"/>
      <c r="BS5" s="868"/>
      <c r="BT5" s="869"/>
      <c r="BU5" s="867" t="s">
        <v>11</v>
      </c>
      <c r="BV5" s="868"/>
      <c r="BW5" s="869"/>
      <c r="BX5" s="867" t="s">
        <v>2</v>
      </c>
      <c r="BY5" s="868"/>
      <c r="BZ5" s="869"/>
      <c r="CB5" s="865" t="s">
        <v>4</v>
      </c>
      <c r="CC5" s="865" t="s">
        <v>41</v>
      </c>
      <c r="CD5" s="867" t="s">
        <v>5</v>
      </c>
      <c r="CE5" s="868"/>
      <c r="CF5" s="868"/>
      <c r="CG5" s="869"/>
      <c r="CH5" s="867" t="s">
        <v>3</v>
      </c>
      <c r="CI5" s="868"/>
      <c r="CJ5" s="868"/>
      <c r="CK5" s="868"/>
      <c r="CL5" s="868"/>
      <c r="CM5" s="868"/>
      <c r="CN5" s="868"/>
      <c r="CO5" s="868"/>
      <c r="CP5" s="869"/>
      <c r="CQ5" s="868" t="s">
        <v>8</v>
      </c>
      <c r="CR5" s="868"/>
      <c r="CS5" s="868"/>
      <c r="CT5" s="869"/>
      <c r="CU5" s="867" t="s">
        <v>11</v>
      </c>
      <c r="CV5" s="868"/>
      <c r="CW5" s="869"/>
      <c r="CX5" s="867" t="s">
        <v>2</v>
      </c>
      <c r="CY5" s="868"/>
      <c r="CZ5" s="869"/>
      <c r="DB5" s="865" t="s">
        <v>4</v>
      </c>
      <c r="DC5" s="865" t="s">
        <v>41</v>
      </c>
      <c r="DD5" s="867" t="s">
        <v>5</v>
      </c>
      <c r="DE5" s="868"/>
      <c r="DF5" s="868"/>
      <c r="DG5" s="869"/>
      <c r="DH5" s="867" t="s">
        <v>3</v>
      </c>
      <c r="DI5" s="868"/>
      <c r="DJ5" s="868"/>
      <c r="DK5" s="868"/>
      <c r="DL5" s="868"/>
      <c r="DM5" s="868"/>
      <c r="DN5" s="868"/>
      <c r="DO5" s="868"/>
      <c r="DP5" s="869"/>
      <c r="DQ5" s="867" t="s">
        <v>8</v>
      </c>
      <c r="DR5" s="868"/>
      <c r="DS5" s="868"/>
      <c r="DT5" s="869"/>
      <c r="DU5" s="867" t="s">
        <v>11</v>
      </c>
      <c r="DV5" s="868"/>
      <c r="DW5" s="869"/>
      <c r="DX5" s="867" t="s">
        <v>2</v>
      </c>
      <c r="DY5" s="868"/>
      <c r="DZ5" s="869"/>
    </row>
    <row r="6" spans="1:130" ht="42" customHeight="1" thickBot="1" x14ac:dyDescent="0.3">
      <c r="A6" s="4"/>
      <c r="B6" s="866"/>
      <c r="C6" s="866"/>
      <c r="D6" s="121" t="s">
        <v>28</v>
      </c>
      <c r="E6" s="124" t="s">
        <v>87</v>
      </c>
      <c r="F6" s="122" t="s">
        <v>6</v>
      </c>
      <c r="G6" s="123" t="s">
        <v>7</v>
      </c>
      <c r="H6" s="121" t="s">
        <v>27</v>
      </c>
      <c r="I6" s="122" t="s">
        <v>16</v>
      </c>
      <c r="J6" s="124" t="s">
        <v>17</v>
      </c>
      <c r="K6" s="124" t="s">
        <v>18</v>
      </c>
      <c r="L6" s="124" t="s">
        <v>24</v>
      </c>
      <c r="M6" s="124" t="s">
        <v>46</v>
      </c>
      <c r="N6" s="124" t="s">
        <v>22</v>
      </c>
      <c r="O6" s="122" t="s">
        <v>47</v>
      </c>
      <c r="P6" s="123" t="s">
        <v>23</v>
      </c>
      <c r="Q6" s="125" t="s">
        <v>9</v>
      </c>
      <c r="R6" s="125" t="s">
        <v>42</v>
      </c>
      <c r="S6" s="126" t="s">
        <v>10</v>
      </c>
      <c r="T6" s="127" t="s">
        <v>21</v>
      </c>
      <c r="U6" s="121" t="s">
        <v>25</v>
      </c>
      <c r="V6" s="128" t="s">
        <v>26</v>
      </c>
      <c r="W6" s="127" t="s">
        <v>15</v>
      </c>
      <c r="X6" s="121" t="s">
        <v>19</v>
      </c>
      <c r="Y6" s="122" t="s">
        <v>20</v>
      </c>
      <c r="Z6" s="123" t="s">
        <v>15</v>
      </c>
      <c r="AB6" s="866"/>
      <c r="AC6" s="866"/>
      <c r="AD6" s="121" t="s">
        <v>28</v>
      </c>
      <c r="AE6" s="124" t="s">
        <v>87</v>
      </c>
      <c r="AF6" s="122" t="s">
        <v>6</v>
      </c>
      <c r="AG6" s="123" t="s">
        <v>7</v>
      </c>
      <c r="AH6" s="121" t="s">
        <v>27</v>
      </c>
      <c r="AI6" s="122" t="s">
        <v>16</v>
      </c>
      <c r="AJ6" s="124" t="s">
        <v>17</v>
      </c>
      <c r="AK6" s="124" t="s">
        <v>18</v>
      </c>
      <c r="AL6" s="124" t="s">
        <v>24</v>
      </c>
      <c r="AM6" s="124" t="s">
        <v>46</v>
      </c>
      <c r="AN6" s="124" t="s">
        <v>22</v>
      </c>
      <c r="AO6" s="122" t="s">
        <v>47</v>
      </c>
      <c r="AP6" s="123" t="s">
        <v>23</v>
      </c>
      <c r="AQ6" s="121" t="s">
        <v>9</v>
      </c>
      <c r="AR6" s="125" t="s">
        <v>42</v>
      </c>
      <c r="AS6" s="126" t="s">
        <v>10</v>
      </c>
      <c r="AT6" s="127" t="s">
        <v>21</v>
      </c>
      <c r="AU6" s="121" t="s">
        <v>25</v>
      </c>
      <c r="AV6" s="128" t="s">
        <v>26</v>
      </c>
      <c r="AW6" s="127" t="s">
        <v>15</v>
      </c>
      <c r="AX6" s="121" t="s">
        <v>19</v>
      </c>
      <c r="AY6" s="122" t="s">
        <v>20</v>
      </c>
      <c r="AZ6" s="123" t="s">
        <v>15</v>
      </c>
      <c r="BB6" s="866"/>
      <c r="BC6" s="866"/>
      <c r="BD6" s="121" t="s">
        <v>28</v>
      </c>
      <c r="BE6" s="124" t="s">
        <v>87</v>
      </c>
      <c r="BF6" s="122" t="s">
        <v>6</v>
      </c>
      <c r="BG6" s="123" t="s">
        <v>7</v>
      </c>
      <c r="BH6" s="262" t="s">
        <v>27</v>
      </c>
      <c r="BI6" s="263" t="s">
        <v>16</v>
      </c>
      <c r="BJ6" s="264" t="s">
        <v>17</v>
      </c>
      <c r="BK6" s="264" t="s">
        <v>18</v>
      </c>
      <c r="BL6" s="264" t="s">
        <v>24</v>
      </c>
      <c r="BM6" s="264" t="s">
        <v>46</v>
      </c>
      <c r="BN6" s="264" t="s">
        <v>22</v>
      </c>
      <c r="BO6" s="263" t="s">
        <v>47</v>
      </c>
      <c r="BP6" s="265" t="s">
        <v>23</v>
      </c>
      <c r="BQ6" s="125" t="s">
        <v>9</v>
      </c>
      <c r="BR6" s="125" t="s">
        <v>42</v>
      </c>
      <c r="BS6" s="126" t="s">
        <v>10</v>
      </c>
      <c r="BT6" s="127" t="s">
        <v>21</v>
      </c>
      <c r="BU6" s="121" t="s">
        <v>25</v>
      </c>
      <c r="BV6" s="128" t="s">
        <v>26</v>
      </c>
      <c r="BW6" s="127" t="s">
        <v>15</v>
      </c>
      <c r="BX6" s="121" t="s">
        <v>19</v>
      </c>
      <c r="BY6" s="122" t="s">
        <v>20</v>
      </c>
      <c r="BZ6" s="123" t="s">
        <v>15</v>
      </c>
      <c r="CB6" s="866"/>
      <c r="CC6" s="866"/>
      <c r="CD6" s="121" t="s">
        <v>28</v>
      </c>
      <c r="CE6" s="124" t="s">
        <v>87</v>
      </c>
      <c r="CF6" s="122" t="s">
        <v>6</v>
      </c>
      <c r="CG6" s="123" t="s">
        <v>7</v>
      </c>
      <c r="CH6" s="121" t="s">
        <v>27</v>
      </c>
      <c r="CI6" s="122" t="s">
        <v>16</v>
      </c>
      <c r="CJ6" s="124" t="s">
        <v>17</v>
      </c>
      <c r="CK6" s="124" t="s">
        <v>18</v>
      </c>
      <c r="CL6" s="124" t="s">
        <v>24</v>
      </c>
      <c r="CM6" s="124" t="s">
        <v>46</v>
      </c>
      <c r="CN6" s="124" t="s">
        <v>22</v>
      </c>
      <c r="CO6" s="122" t="s">
        <v>47</v>
      </c>
      <c r="CP6" s="123" t="s">
        <v>23</v>
      </c>
      <c r="CQ6" s="125" t="s">
        <v>9</v>
      </c>
      <c r="CR6" s="125" t="s">
        <v>42</v>
      </c>
      <c r="CS6" s="126" t="s">
        <v>10</v>
      </c>
      <c r="CT6" s="127" t="s">
        <v>21</v>
      </c>
      <c r="CU6" s="121" t="s">
        <v>25</v>
      </c>
      <c r="CV6" s="128" t="s">
        <v>26</v>
      </c>
      <c r="CW6" s="127" t="s">
        <v>15</v>
      </c>
      <c r="CX6" s="121" t="s">
        <v>19</v>
      </c>
      <c r="CY6" s="122" t="s">
        <v>20</v>
      </c>
      <c r="CZ6" s="123" t="s">
        <v>15</v>
      </c>
      <c r="DB6" s="866"/>
      <c r="DC6" s="866"/>
      <c r="DD6" s="121" t="s">
        <v>28</v>
      </c>
      <c r="DE6" s="124" t="s">
        <v>87</v>
      </c>
      <c r="DF6" s="122" t="s">
        <v>6</v>
      </c>
      <c r="DG6" s="123" t="s">
        <v>7</v>
      </c>
      <c r="DH6" s="121" t="s">
        <v>27</v>
      </c>
      <c r="DI6" s="122" t="s">
        <v>16</v>
      </c>
      <c r="DJ6" s="124" t="s">
        <v>17</v>
      </c>
      <c r="DK6" s="124" t="s">
        <v>18</v>
      </c>
      <c r="DL6" s="124" t="s">
        <v>24</v>
      </c>
      <c r="DM6" s="124" t="s">
        <v>46</v>
      </c>
      <c r="DN6" s="124" t="s">
        <v>22</v>
      </c>
      <c r="DO6" s="122" t="s">
        <v>47</v>
      </c>
      <c r="DP6" s="123" t="s">
        <v>23</v>
      </c>
      <c r="DQ6" s="121" t="s">
        <v>9</v>
      </c>
      <c r="DR6" s="125" t="s">
        <v>42</v>
      </c>
      <c r="DS6" s="126" t="s">
        <v>10</v>
      </c>
      <c r="DT6" s="127" t="s">
        <v>21</v>
      </c>
      <c r="DU6" s="121" t="s">
        <v>25</v>
      </c>
      <c r="DV6" s="128" t="s">
        <v>26</v>
      </c>
      <c r="DW6" s="127" t="s">
        <v>15</v>
      </c>
      <c r="DX6" s="121" t="s">
        <v>19</v>
      </c>
      <c r="DY6" s="122" t="s">
        <v>20</v>
      </c>
      <c r="DZ6" s="123" t="s">
        <v>15</v>
      </c>
    </row>
    <row r="7" spans="1:130" s="362" customFormat="1" ht="21" customHeight="1" thickBot="1" x14ac:dyDescent="0.3">
      <c r="A7" s="354"/>
      <c r="B7" s="355"/>
      <c r="C7" s="355">
        <v>0</v>
      </c>
      <c r="D7" s="356"/>
      <c r="E7" s="357"/>
      <c r="F7" s="358"/>
      <c r="G7" s="359"/>
      <c r="H7" s="356"/>
      <c r="I7" s="358"/>
      <c r="J7" s="360"/>
      <c r="K7" s="360"/>
      <c r="L7" s="360"/>
      <c r="M7" s="360"/>
      <c r="N7" s="360"/>
      <c r="O7" s="358"/>
      <c r="P7" s="359"/>
      <c r="Q7" s="361"/>
      <c r="R7" s="361"/>
      <c r="S7" s="358"/>
      <c r="T7" s="359"/>
      <c r="U7" s="361"/>
      <c r="V7" s="360"/>
      <c r="W7" s="359"/>
      <c r="X7" s="356"/>
      <c r="Y7" s="358"/>
      <c r="Z7" s="359"/>
      <c r="AB7" s="355"/>
      <c r="AC7" s="355">
        <v>0</v>
      </c>
      <c r="AD7" s="356"/>
      <c r="AE7" s="357"/>
      <c r="AF7" s="358"/>
      <c r="AG7" s="359"/>
      <c r="AH7" s="356"/>
      <c r="AI7" s="358"/>
      <c r="AJ7" s="360"/>
      <c r="AK7" s="360"/>
      <c r="AL7" s="360"/>
      <c r="AM7" s="360"/>
      <c r="AN7" s="360"/>
      <c r="AO7" s="358"/>
      <c r="AP7" s="359"/>
      <c r="AQ7" s="361"/>
      <c r="AR7" s="361"/>
      <c r="AS7" s="358"/>
      <c r="AT7" s="359"/>
      <c r="AU7" s="356"/>
      <c r="AV7" s="360">
        <v>35.299999999999997</v>
      </c>
      <c r="AW7" s="359"/>
      <c r="AX7" s="356"/>
      <c r="AY7" s="358"/>
      <c r="AZ7" s="359"/>
      <c r="BB7" s="355"/>
      <c r="BC7" s="355">
        <v>0</v>
      </c>
      <c r="BD7" s="356"/>
      <c r="BE7" s="357"/>
      <c r="BF7" s="358"/>
      <c r="BG7" s="359"/>
      <c r="BH7" s="363"/>
      <c r="BI7" s="364"/>
      <c r="BJ7" s="365"/>
      <c r="BK7" s="365"/>
      <c r="BL7" s="365"/>
      <c r="BM7" s="365"/>
      <c r="BN7" s="365"/>
      <c r="BO7" s="364"/>
      <c r="BP7" s="366"/>
      <c r="BQ7" s="361"/>
      <c r="BR7" s="361"/>
      <c r="BS7" s="358"/>
      <c r="BT7" s="359"/>
      <c r="BU7" s="356"/>
      <c r="BV7" s="360">
        <v>32</v>
      </c>
      <c r="BW7" s="359"/>
      <c r="BX7" s="356"/>
      <c r="BY7" s="358"/>
      <c r="BZ7" s="359"/>
      <c r="CB7" s="355"/>
      <c r="CC7" s="355">
        <v>0</v>
      </c>
      <c r="CD7" s="356"/>
      <c r="CE7" s="357"/>
      <c r="CF7" s="358"/>
      <c r="CG7" s="359"/>
      <c r="CH7" s="356"/>
      <c r="CI7" s="358"/>
      <c r="CJ7" s="360"/>
      <c r="CK7" s="360"/>
      <c r="CL7" s="360"/>
      <c r="CM7" s="360"/>
      <c r="CN7" s="360"/>
      <c r="CO7" s="358"/>
      <c r="CP7" s="359"/>
      <c r="CQ7" s="361"/>
      <c r="CR7" s="361"/>
      <c r="CS7" s="358"/>
      <c r="CT7" s="359"/>
      <c r="CU7" s="356"/>
      <c r="CV7" s="360"/>
      <c r="CW7" s="359"/>
      <c r="CX7" s="356"/>
      <c r="CY7" s="358"/>
      <c r="CZ7" s="359"/>
      <c r="DB7" s="355"/>
      <c r="DC7" s="355">
        <v>0</v>
      </c>
      <c r="DD7" s="356"/>
      <c r="DE7" s="357"/>
      <c r="DF7" s="358"/>
      <c r="DG7" s="359"/>
      <c r="DH7" s="356"/>
      <c r="DI7" s="358"/>
      <c r="DJ7" s="360"/>
      <c r="DK7" s="360"/>
      <c r="DL7" s="360"/>
      <c r="DM7" s="360"/>
      <c r="DN7" s="360"/>
      <c r="DO7" s="358"/>
      <c r="DP7" s="359"/>
      <c r="DQ7" s="361"/>
      <c r="DR7" s="361"/>
      <c r="DS7" s="358"/>
      <c r="DT7" s="359"/>
      <c r="DU7" s="356"/>
      <c r="DV7" s="360"/>
      <c r="DW7" s="359"/>
      <c r="DX7" s="356"/>
      <c r="DY7" s="358"/>
      <c r="DZ7" s="359"/>
    </row>
    <row r="8" spans="1:130" x14ac:dyDescent="0.25">
      <c r="A8" s="10"/>
      <c r="B8" s="118"/>
      <c r="C8" s="114">
        <v>1</v>
      </c>
      <c r="D8" s="129"/>
      <c r="E8" s="224"/>
      <c r="F8" s="101">
        <f>D8</f>
        <v>0</v>
      </c>
      <c r="G8" s="102">
        <f>IFERROR(F8-K8,0)</f>
        <v>0</v>
      </c>
      <c r="H8" s="130"/>
      <c r="I8" s="131"/>
      <c r="J8" s="131"/>
      <c r="K8" s="11">
        <f>SUM(H8:J8)</f>
        <v>0</v>
      </c>
      <c r="L8" s="11">
        <f>K8</f>
        <v>0</v>
      </c>
      <c r="M8" s="11">
        <f>VLOOKUP($C8,PARAMETROCRIANZA,6,FALSE)</f>
        <v>0.7</v>
      </c>
      <c r="N8" s="153">
        <f>IFERROR((K8*1000)/F8,0)</f>
        <v>0</v>
      </c>
      <c r="O8" s="21">
        <f>VLOOKUP($C8,PARAMETROCRIANZA,8,FALSE)</f>
        <v>0.7</v>
      </c>
      <c r="P8" s="132">
        <f>IFERROR((L8*100)/F8,0)</f>
        <v>0</v>
      </c>
      <c r="Q8" s="158"/>
      <c r="R8" s="11">
        <f t="shared" ref="R8:R15" si="0">VLOOKUP($C8,PARAMETROCRIANZA,10,FALSE)</f>
        <v>6</v>
      </c>
      <c r="S8" s="66">
        <f>IFERROR(Q8/F8,0)</f>
        <v>0</v>
      </c>
      <c r="T8" s="44">
        <f>S8</f>
        <v>0</v>
      </c>
      <c r="U8" s="18">
        <f>VLOOKUP($C8,PARAMETROCRIANZA,2,FALSE)</f>
        <v>64</v>
      </c>
      <c r="V8" s="131"/>
      <c r="W8" s="57">
        <f>U8-V8</f>
        <v>64</v>
      </c>
      <c r="X8" s="45">
        <f t="shared" ref="X8:X71" si="1">VLOOKUP(C8,PARAMETROCRIANZA,4,FALSE)</f>
        <v>77</v>
      </c>
      <c r="Y8" s="131"/>
      <c r="Z8" s="57">
        <f>X8-Y8</f>
        <v>77</v>
      </c>
      <c r="AB8" s="118">
        <v>3</v>
      </c>
      <c r="AC8" s="9">
        <v>1</v>
      </c>
      <c r="AD8" s="340">
        <v>94740</v>
      </c>
      <c r="AE8" s="224"/>
      <c r="AF8" s="11">
        <f>AD8</f>
        <v>94740</v>
      </c>
      <c r="AG8" s="41">
        <f>IFERROR(AF8-AK8,0)</f>
        <v>94686</v>
      </c>
      <c r="AH8" s="130">
        <v>54</v>
      </c>
      <c r="AI8" s="131"/>
      <c r="AJ8" s="131"/>
      <c r="AK8" s="11">
        <f>SUM(AH8:AJ8)</f>
        <v>54</v>
      </c>
      <c r="AL8" s="11">
        <f>AK8</f>
        <v>54</v>
      </c>
      <c r="AM8" s="16">
        <f t="shared" ref="AM8:AM39" si="2">VLOOKUP($AC8,PARAMETROCRIANZA,6,FALSE)</f>
        <v>0.7</v>
      </c>
      <c r="AN8" s="153">
        <f>IFERROR((AK8*1000)/AF8,0)</f>
        <v>0.56998100063331225</v>
      </c>
      <c r="AO8" s="154">
        <f t="shared" ref="AO8:AO39" si="3">VLOOKUP($AC8,PARAMETROCRIANZA,8,FALSE)</f>
        <v>0.7</v>
      </c>
      <c r="AP8" s="132">
        <f>IFERROR((AL8*100)/AF8,0)</f>
        <v>5.6998100063331225E-2</v>
      </c>
      <c r="AQ8" s="158"/>
      <c r="AR8" s="16">
        <f t="shared" ref="AR8:AR39" si="4">VLOOKUP($AC8,PARAMETROCRIANZA,10,FALSE)</f>
        <v>6</v>
      </c>
      <c r="AS8" s="154">
        <f>IFERROR(AQ8/AF8,0)</f>
        <v>0</v>
      </c>
      <c r="AT8" s="296">
        <f>AS8</f>
        <v>0</v>
      </c>
      <c r="AU8" s="58">
        <f t="shared" ref="AU8:AU39" si="5">VLOOKUP($AC8,PARAMETROCRIANZA,2,FALSE)</f>
        <v>64</v>
      </c>
      <c r="AV8" s="131">
        <v>67.900000000000006</v>
      </c>
      <c r="AW8" s="57">
        <f>AU8-AV8</f>
        <v>-3.9000000000000057</v>
      </c>
      <c r="AX8" s="45">
        <f>VLOOKUP(AC8,PARAMETROCRIANZA,4,FALSE)</f>
        <v>77</v>
      </c>
      <c r="AY8" s="131">
        <v>82</v>
      </c>
      <c r="AZ8" s="57">
        <f>AX8-AY8</f>
        <v>-5</v>
      </c>
      <c r="BA8" s="316"/>
      <c r="BB8" s="118">
        <v>1</v>
      </c>
      <c r="BC8" s="9">
        <v>1</v>
      </c>
      <c r="BD8" s="340">
        <v>83910</v>
      </c>
      <c r="BE8" s="224"/>
      <c r="BF8" s="11">
        <f>BD8</f>
        <v>83910</v>
      </c>
      <c r="BG8" s="41">
        <f t="shared" ref="BG8:BG17" si="6">IFERROR(BF8-BK8,0)</f>
        <v>83870</v>
      </c>
      <c r="BH8" s="130">
        <v>40</v>
      </c>
      <c r="BI8" s="131">
        <v>0</v>
      </c>
      <c r="BJ8" s="131">
        <v>0</v>
      </c>
      <c r="BK8" s="11">
        <f>SUM(BH8:BJ8)</f>
        <v>40</v>
      </c>
      <c r="BL8" s="11">
        <f>BK8</f>
        <v>40</v>
      </c>
      <c r="BM8" s="11">
        <f t="shared" ref="BM8:BM39" si="7">VLOOKUP($BC8,PARAMETROCRIANZA,6,FALSE)</f>
        <v>0.7</v>
      </c>
      <c r="BN8" s="153">
        <f>IFERROR((BK8*1000)/BF8,0)</f>
        <v>0.47670122750566085</v>
      </c>
      <c r="BO8" s="154">
        <f>VLOOKUP($BC8,PARAMETROCRIANZA,8,FALSE)</f>
        <v>0.7</v>
      </c>
      <c r="BP8" s="132">
        <f>IFERROR((BL8*100)/BF8,0)</f>
        <v>4.7670122750566084E-2</v>
      </c>
      <c r="BQ8" s="158"/>
      <c r="BR8" s="11">
        <f t="shared" ref="BR8:BR39" si="8">VLOOKUP($BC8,PARAMETROCRIANZA,10,FALSE)</f>
        <v>6</v>
      </c>
      <c r="BS8" s="43">
        <f>IFERROR(BQ8/BF8,0)</f>
        <v>0</v>
      </c>
      <c r="BT8" s="44">
        <f>BS8</f>
        <v>0</v>
      </c>
      <c r="BU8" s="45">
        <f t="shared" ref="BU8:BU39" si="9">VLOOKUP($BC8,PARAMETROCRIANZA,2,FALSE)</f>
        <v>64</v>
      </c>
      <c r="BV8" s="131">
        <v>63.7</v>
      </c>
      <c r="BW8" s="57">
        <f t="shared" ref="BW8:BW17" si="10">BU8-BV8</f>
        <v>0.29999999999999716</v>
      </c>
      <c r="BX8" s="45">
        <f t="shared" ref="BX8:BX14" si="11">VLOOKUP(BC8,PARAMETROCRIANZA,4,FALSE)</f>
        <v>77</v>
      </c>
      <c r="BY8" s="131">
        <v>77</v>
      </c>
      <c r="BZ8" s="57">
        <f>BX8-BY8</f>
        <v>0</v>
      </c>
      <c r="CA8" s="316"/>
      <c r="CB8" s="118"/>
      <c r="CC8" s="9">
        <v>1</v>
      </c>
      <c r="CD8" s="129"/>
      <c r="CE8" s="224"/>
      <c r="CF8" s="11">
        <f>CD8</f>
        <v>0</v>
      </c>
      <c r="CG8" s="41">
        <f>IFERROR(CF8-CK8,0)</f>
        <v>0</v>
      </c>
      <c r="CH8" s="130"/>
      <c r="CI8" s="131"/>
      <c r="CJ8" s="131"/>
      <c r="CK8" s="11">
        <f>SUM(CH8:CJ8)</f>
        <v>0</v>
      </c>
      <c r="CL8" s="11">
        <f>CK8</f>
        <v>0</v>
      </c>
      <c r="CM8" s="11">
        <f t="shared" ref="CM8:CM39" si="12">VLOOKUP($CC8,PARAMETROCRIANZA,6,FALSE)</f>
        <v>0.7</v>
      </c>
      <c r="CN8" s="153">
        <f>IFERROR((CK8*1000)/CF8,0)</f>
        <v>0</v>
      </c>
      <c r="CO8" s="154">
        <f t="shared" ref="CO8:CO39" si="13">VLOOKUP($CC8,PARAMETROCRIANZA,8,FALSE)</f>
        <v>0.7</v>
      </c>
      <c r="CP8" s="132">
        <f>IFERROR((CL8*100)/CF8,0)</f>
        <v>0</v>
      </c>
      <c r="CQ8" s="158"/>
      <c r="CR8" s="11">
        <f t="shared" ref="CR8:CR39" si="14">VLOOKUP($CC8,PARAMETROCRIANZA,10,FALSE)</f>
        <v>6</v>
      </c>
      <c r="CS8" s="43">
        <f>IFERROR(CQ8/CF8,0)</f>
        <v>0</v>
      </c>
      <c r="CT8" s="44">
        <f>CS8</f>
        <v>0</v>
      </c>
      <c r="CU8" s="45">
        <f t="shared" ref="CU8:CU39" si="15">VLOOKUP($CC8,PARAMETROCRIANZA,2,FALSE)</f>
        <v>64</v>
      </c>
      <c r="CV8" s="131"/>
      <c r="CW8" s="57">
        <f>CU8-CV8</f>
        <v>64</v>
      </c>
      <c r="CX8" s="45">
        <f>VLOOKUP(CC8,PARAMETROCRIANZA,4,FALSE)</f>
        <v>77</v>
      </c>
      <c r="CY8" s="131"/>
      <c r="CZ8" s="57">
        <f>CX8-CY8</f>
        <v>77</v>
      </c>
      <c r="DA8" s="316"/>
      <c r="DB8" s="118"/>
      <c r="DC8" s="9">
        <v>1</v>
      </c>
      <c r="DD8" s="129"/>
      <c r="DE8" s="224"/>
      <c r="DF8" s="11">
        <f>DD8</f>
        <v>0</v>
      </c>
      <c r="DG8" s="41">
        <f>IFERROR(DF8-DK8,0)</f>
        <v>0</v>
      </c>
      <c r="DH8" s="130"/>
      <c r="DI8" s="131"/>
      <c r="DJ8" s="131"/>
      <c r="DK8" s="11">
        <f>SUM(DH8:DJ8)</f>
        <v>0</v>
      </c>
      <c r="DL8" s="11">
        <f>DK8</f>
        <v>0</v>
      </c>
      <c r="DM8" s="11">
        <f t="shared" ref="DM8:DM39" si="16">VLOOKUP($DC8,PARAMETROCRIANZA,6,FALSE)</f>
        <v>0.7</v>
      </c>
      <c r="DN8" s="153">
        <f>IFERROR((DK8*1000)/DF8,0)</f>
        <v>0</v>
      </c>
      <c r="DO8" s="154">
        <f t="shared" ref="DO8:DO39" si="17">VLOOKUP($DC8,PARAMETROCRIANZA,8,FALSE)</f>
        <v>0.7</v>
      </c>
      <c r="DP8" s="132">
        <f>IFERROR((DL8*100)/DF8,0)</f>
        <v>0</v>
      </c>
      <c r="DQ8" s="158"/>
      <c r="DR8" s="11">
        <f t="shared" ref="DR8:DR39" si="18">VLOOKUP($DC8,PARAMETROCRIANZA,10,FALSE)</f>
        <v>6</v>
      </c>
      <c r="DS8" s="43">
        <f>IFERROR(DQ8/DF8,0)</f>
        <v>0</v>
      </c>
      <c r="DT8" s="44">
        <f>DS8</f>
        <v>0</v>
      </c>
      <c r="DU8" s="45">
        <f t="shared" ref="DU8:DU39" si="19">VLOOKUP($DC8,PARAMETROCRIANZA,2,FALSE)</f>
        <v>64</v>
      </c>
      <c r="DV8" s="131"/>
      <c r="DW8" s="57">
        <f>DU8-DV8</f>
        <v>64</v>
      </c>
      <c r="DX8" s="45">
        <f>VLOOKUP(DC8,PARAMETROCRIANZA,4,FALSE)</f>
        <v>77</v>
      </c>
      <c r="DY8" s="131"/>
      <c r="DZ8" s="57">
        <f>DX8-DY8</f>
        <v>77</v>
      </c>
    </row>
    <row r="9" spans="1:130" x14ac:dyDescent="0.25">
      <c r="B9" s="120"/>
      <c r="C9" s="115">
        <f>C8</f>
        <v>1</v>
      </c>
      <c r="D9" s="133"/>
      <c r="E9" s="221"/>
      <c r="F9" s="103">
        <f t="shared" ref="F9:F16" si="20">IFERROR(G8+D9,0)</f>
        <v>0</v>
      </c>
      <c r="G9" s="104">
        <f t="shared" ref="G9:G12" si="21">IFERROR(F9-K9,0)</f>
        <v>0</v>
      </c>
      <c r="H9" s="134"/>
      <c r="I9" s="135"/>
      <c r="J9" s="135"/>
      <c r="K9" s="14">
        <f>SUM(H9:J9)</f>
        <v>0</v>
      </c>
      <c r="L9" s="14">
        <f>L8+K9</f>
        <v>0</v>
      </c>
      <c r="M9" s="184">
        <f t="shared" ref="M9:M71" si="22">VLOOKUP($C9,PARAMETROCRIANZA,6,FALSE)</f>
        <v>0.7</v>
      </c>
      <c r="N9" s="230">
        <f t="shared" ref="N9:N72" si="23">IFERROR((K9*1000)/F9,0)</f>
        <v>0</v>
      </c>
      <c r="O9" s="185">
        <f t="shared" ref="O9:O72" si="24">VLOOKUP($C9,PARAMETROCRIANZA,8,FALSE)</f>
        <v>0.7</v>
      </c>
      <c r="P9" s="157">
        <f t="shared" ref="P9:P72" si="25">IFERROR((L9*100)/F9,0)</f>
        <v>0</v>
      </c>
      <c r="Q9" s="142"/>
      <c r="R9" s="12">
        <f t="shared" si="0"/>
        <v>6</v>
      </c>
      <c r="S9" s="48">
        <f>IFERROR(Q9/F9,0)</f>
        <v>0</v>
      </c>
      <c r="T9" s="49">
        <f>T8+S9</f>
        <v>0</v>
      </c>
      <c r="U9" s="194">
        <f t="shared" ref="U9:U71" si="26">VLOOKUP($C9,PARAMETROCRIANZA,2,FALSE)</f>
        <v>64</v>
      </c>
      <c r="V9" s="103">
        <f t="shared" ref="V9:V14" si="27">V8</f>
        <v>0</v>
      </c>
      <c r="W9" s="59">
        <f t="shared" ref="W9:W71" si="28">U9-V9</f>
        <v>64</v>
      </c>
      <c r="X9" s="51">
        <f t="shared" si="1"/>
        <v>77</v>
      </c>
      <c r="Y9" s="103">
        <f>Y8</f>
        <v>0</v>
      </c>
      <c r="Z9" s="46">
        <f t="shared" ref="Z9:Z72" si="29">X9-Y9</f>
        <v>77</v>
      </c>
      <c r="AB9" s="119">
        <f>AB8+1</f>
        <v>4</v>
      </c>
      <c r="AC9" s="7">
        <f>AC8</f>
        <v>1</v>
      </c>
      <c r="AD9" s="133"/>
      <c r="AE9" s="221"/>
      <c r="AF9" s="14">
        <f t="shared" ref="AF9:AF14" si="30">IFERROR(AG8+AD9,0)</f>
        <v>94686</v>
      </c>
      <c r="AG9" s="46">
        <f>IFERROR(AF9-AK9,0)</f>
        <v>94619</v>
      </c>
      <c r="AH9" s="134"/>
      <c r="AI9" s="135">
        <v>50</v>
      </c>
      <c r="AJ9" s="135">
        <v>17</v>
      </c>
      <c r="AK9" s="14">
        <f>SUM(AH9:AJ9)</f>
        <v>67</v>
      </c>
      <c r="AL9" s="14">
        <f>AL8+AK9</f>
        <v>121</v>
      </c>
      <c r="AM9" s="14">
        <f t="shared" si="2"/>
        <v>0.7</v>
      </c>
      <c r="AN9" s="47">
        <f>IFERROR((AK9*1000)/AF9,0)</f>
        <v>0.70760196861204405</v>
      </c>
      <c r="AO9" s="35">
        <f t="shared" si="3"/>
        <v>0.7</v>
      </c>
      <c r="AP9" s="159">
        <f>IFERROR((AL9*100)/AF9,0)</f>
        <v>0.12779080328665274</v>
      </c>
      <c r="AQ9" s="142"/>
      <c r="AR9" s="14">
        <f t="shared" si="4"/>
        <v>6</v>
      </c>
      <c r="AS9" s="35">
        <f t="shared" ref="AS9:AS13" si="31">IFERROR(AQ9/AF9,0)</f>
        <v>0</v>
      </c>
      <c r="AT9" s="297">
        <f>AT8+AS9</f>
        <v>0</v>
      </c>
      <c r="AU9" s="51">
        <f t="shared" si="5"/>
        <v>64</v>
      </c>
      <c r="AV9" s="103">
        <f>AV8</f>
        <v>67.900000000000006</v>
      </c>
      <c r="AW9" s="59">
        <f t="shared" ref="AW9:AW17" si="32">AU9-AV9</f>
        <v>-3.9000000000000057</v>
      </c>
      <c r="AX9" s="51">
        <f>VLOOKUP(AC9,PARAMETROCRIANZA,4,FALSE)</f>
        <v>77</v>
      </c>
      <c r="AY9" s="103">
        <f>AY8</f>
        <v>82</v>
      </c>
      <c r="AZ9" s="46">
        <f t="shared" ref="AZ9:AZ72" si="33">AX9-AY9</f>
        <v>-5</v>
      </c>
      <c r="BA9" s="316"/>
      <c r="BB9" s="120">
        <f>BB8+1</f>
        <v>2</v>
      </c>
      <c r="BC9" s="7">
        <f>BC8</f>
        <v>1</v>
      </c>
      <c r="BD9" s="341">
        <v>109850</v>
      </c>
      <c r="BE9" s="221"/>
      <c r="BF9" s="14">
        <f>IFERROR(BG8+BD9,0)</f>
        <v>193720</v>
      </c>
      <c r="BG9" s="46">
        <f t="shared" si="6"/>
        <v>193594</v>
      </c>
      <c r="BH9" s="134">
        <v>10</v>
      </c>
      <c r="BI9" s="135">
        <v>88</v>
      </c>
      <c r="BJ9" s="135">
        <v>28</v>
      </c>
      <c r="BK9" s="14">
        <f>SUM(BH9:BJ9)</f>
        <v>126</v>
      </c>
      <c r="BL9" s="14">
        <f>BL8+BK9</f>
        <v>166</v>
      </c>
      <c r="BM9" s="14">
        <f t="shared" si="7"/>
        <v>0.7</v>
      </c>
      <c r="BN9" s="47">
        <f t="shared" ref="BN9:BN72" si="34">IFERROR((BK9*1000)/BF9,0)</f>
        <v>0.65042329134833776</v>
      </c>
      <c r="BO9" s="35">
        <f t="shared" ref="BO9:BO39" si="35">VLOOKUP($BC9,PARAMETROCRIANZA,8,FALSE)</f>
        <v>0.7</v>
      </c>
      <c r="BP9" s="159">
        <f t="shared" ref="BP9:BP72" si="36">IFERROR((BL9*100)/BF9,0)</f>
        <v>8.5690687590336573E-2</v>
      </c>
      <c r="BQ9" s="142"/>
      <c r="BR9" s="12">
        <f t="shared" si="8"/>
        <v>6</v>
      </c>
      <c r="BS9" s="48">
        <f>IFERROR(BQ9/BF9,0)</f>
        <v>0</v>
      </c>
      <c r="BT9" s="49">
        <f>BT8+BS9</f>
        <v>0</v>
      </c>
      <c r="BU9" s="50">
        <f t="shared" si="9"/>
        <v>64</v>
      </c>
      <c r="BV9" s="103">
        <f>BV8</f>
        <v>63.7</v>
      </c>
      <c r="BW9" s="59">
        <f t="shared" si="10"/>
        <v>0.29999999999999716</v>
      </c>
      <c r="BX9" s="51">
        <f t="shared" si="11"/>
        <v>77</v>
      </c>
      <c r="BY9" s="103">
        <f>BY8</f>
        <v>77</v>
      </c>
      <c r="BZ9" s="46">
        <f t="shared" ref="BZ9:BZ72" si="37">BX9-BY9</f>
        <v>0</v>
      </c>
      <c r="CA9" s="316"/>
      <c r="CB9" s="120"/>
      <c r="CC9" s="7">
        <f>CC8</f>
        <v>1</v>
      </c>
      <c r="CD9" s="133"/>
      <c r="CE9" s="221"/>
      <c r="CF9" s="14">
        <f>IFERROR(CG8+CD9,0)</f>
        <v>0</v>
      </c>
      <c r="CG9" s="46">
        <f t="shared" ref="CG9:CG10" si="38">IFERROR(CF9-CK9,0)</f>
        <v>0</v>
      </c>
      <c r="CH9" s="134"/>
      <c r="CI9" s="135"/>
      <c r="CJ9" s="135"/>
      <c r="CK9" s="14">
        <f>SUM(CH9:CJ9)</f>
        <v>0</v>
      </c>
      <c r="CL9" s="14">
        <f>CL8+CK9</f>
        <v>0</v>
      </c>
      <c r="CM9" s="14">
        <f t="shared" si="12"/>
        <v>0.7</v>
      </c>
      <c r="CN9" s="47">
        <f t="shared" ref="CN9:CN72" si="39">IFERROR((CK9*1000)/CF9,0)</f>
        <v>0</v>
      </c>
      <c r="CO9" s="35">
        <f t="shared" si="13"/>
        <v>0.7</v>
      </c>
      <c r="CP9" s="159">
        <f t="shared" ref="CP9:CP72" si="40">IFERROR((CL9*100)/CF9,0)</f>
        <v>0</v>
      </c>
      <c r="CQ9" s="142"/>
      <c r="CR9" s="12">
        <f t="shared" si="14"/>
        <v>6</v>
      </c>
      <c r="CS9" s="48">
        <f>IFERROR(CQ9/CF9,0)</f>
        <v>0</v>
      </c>
      <c r="CT9" s="49">
        <f>CT8+CS9</f>
        <v>0</v>
      </c>
      <c r="CU9" s="50">
        <f t="shared" si="15"/>
        <v>64</v>
      </c>
      <c r="CV9" s="103">
        <f>CV8</f>
        <v>0</v>
      </c>
      <c r="CW9" s="59">
        <f t="shared" ref="CW9:CW17" si="41">CU9-CV9</f>
        <v>64</v>
      </c>
      <c r="CX9" s="51">
        <f t="shared" ref="CX9:CX71" si="42">VLOOKUP(CC9,PARAMETROCRIANZA,4,FALSE)</f>
        <v>77</v>
      </c>
      <c r="CY9" s="103">
        <f>CY8</f>
        <v>0</v>
      </c>
      <c r="CZ9" s="46">
        <f t="shared" ref="CZ9:CZ72" si="43">CX9-CY9</f>
        <v>77</v>
      </c>
      <c r="DA9" s="316"/>
      <c r="DB9" s="120"/>
      <c r="DC9" s="7">
        <f>DC8</f>
        <v>1</v>
      </c>
      <c r="DD9" s="133"/>
      <c r="DE9" s="221"/>
      <c r="DF9" s="14">
        <f>IFERROR(DG8+DD9,0)</f>
        <v>0</v>
      </c>
      <c r="DG9" s="46">
        <f t="shared" ref="DG9:DG12" si="44">IFERROR(DF9-DK9,0)</f>
        <v>0</v>
      </c>
      <c r="DH9" s="134"/>
      <c r="DI9" s="135"/>
      <c r="DJ9" s="135"/>
      <c r="DK9" s="14">
        <f>SUM(DH9:DJ9)</f>
        <v>0</v>
      </c>
      <c r="DL9" s="14">
        <f>DL8+DK9</f>
        <v>0</v>
      </c>
      <c r="DM9" s="14">
        <f t="shared" si="16"/>
        <v>0.7</v>
      </c>
      <c r="DN9" s="47">
        <f t="shared" ref="DN9:DN72" si="45">IFERROR((DK9*1000)/DF9,0)</f>
        <v>0</v>
      </c>
      <c r="DO9" s="35">
        <f t="shared" si="17"/>
        <v>0.7</v>
      </c>
      <c r="DP9" s="159">
        <f t="shared" ref="DP9:DP72" si="46">IFERROR((DL9*100)/DF9,0)</f>
        <v>0</v>
      </c>
      <c r="DQ9" s="142"/>
      <c r="DR9" s="12">
        <f t="shared" si="18"/>
        <v>6</v>
      </c>
      <c r="DS9" s="48">
        <f>IFERROR(DQ9/DF9,0)</f>
        <v>0</v>
      </c>
      <c r="DT9" s="49">
        <f>DT8+DS9</f>
        <v>0</v>
      </c>
      <c r="DU9" s="50">
        <f t="shared" si="19"/>
        <v>64</v>
      </c>
      <c r="DV9" s="103">
        <f>DV8</f>
        <v>0</v>
      </c>
      <c r="DW9" s="59">
        <f t="shared" ref="DW9:DW17" si="47">DU9-DV9</f>
        <v>64</v>
      </c>
      <c r="DX9" s="51">
        <f t="shared" ref="DX9:DX71" si="48">VLOOKUP(DC9,PARAMETROCRIANZA,4,FALSE)</f>
        <v>77</v>
      </c>
      <c r="DY9" s="103">
        <f>DY8</f>
        <v>0</v>
      </c>
      <c r="DZ9" s="46">
        <f>DX9-DY9</f>
        <v>77</v>
      </c>
    </row>
    <row r="10" spans="1:130" x14ac:dyDescent="0.25">
      <c r="B10" s="120"/>
      <c r="C10" s="115">
        <f t="shared" ref="C10:C14" si="49">C9</f>
        <v>1</v>
      </c>
      <c r="D10" s="133"/>
      <c r="E10" s="221"/>
      <c r="F10" s="103">
        <f t="shared" si="20"/>
        <v>0</v>
      </c>
      <c r="G10" s="104">
        <f t="shared" si="21"/>
        <v>0</v>
      </c>
      <c r="H10" s="134"/>
      <c r="I10" s="135"/>
      <c r="J10" s="135"/>
      <c r="K10" s="14">
        <f>SUM(H10:J10)</f>
        <v>0</v>
      </c>
      <c r="L10" s="14">
        <f>L9+K10</f>
        <v>0</v>
      </c>
      <c r="M10" s="184">
        <f t="shared" si="22"/>
        <v>0.7</v>
      </c>
      <c r="N10" s="230">
        <f t="shared" si="23"/>
        <v>0</v>
      </c>
      <c r="O10" s="185">
        <f t="shared" si="24"/>
        <v>0.7</v>
      </c>
      <c r="P10" s="157">
        <f t="shared" si="25"/>
        <v>0</v>
      </c>
      <c r="Q10" s="142"/>
      <c r="R10" s="13">
        <f t="shared" si="0"/>
        <v>6</v>
      </c>
      <c r="S10" s="48">
        <f t="shared" ref="S10:S72" si="50">IFERROR(Q10/F10,0)</f>
        <v>0</v>
      </c>
      <c r="T10" s="49">
        <f>T9+S10</f>
        <v>0</v>
      </c>
      <c r="U10" s="194">
        <f>VLOOKUP($C10,PARAMETROCRIANZA,2,FALSE)</f>
        <v>64</v>
      </c>
      <c r="V10" s="103">
        <f t="shared" si="27"/>
        <v>0</v>
      </c>
      <c r="W10" s="59">
        <f t="shared" si="28"/>
        <v>64</v>
      </c>
      <c r="X10" s="51">
        <f t="shared" si="1"/>
        <v>77</v>
      </c>
      <c r="Y10" s="103">
        <f t="shared" ref="Y10:Y14" si="51">Y9</f>
        <v>0</v>
      </c>
      <c r="Z10" s="46">
        <f>X10-Y10</f>
        <v>77</v>
      </c>
      <c r="AB10" s="119">
        <f t="shared" ref="AB10:AB14" si="52">AB9+1</f>
        <v>5</v>
      </c>
      <c r="AC10" s="7">
        <f t="shared" ref="AC10:AC14" si="53">AC9</f>
        <v>1</v>
      </c>
      <c r="AD10" s="133"/>
      <c r="AE10" s="221"/>
      <c r="AF10" s="14">
        <f t="shared" si="30"/>
        <v>94619</v>
      </c>
      <c r="AG10" s="46">
        <f t="shared" ref="AG10:AG14" si="54">IFERROR(AF10-AK10,0)</f>
        <v>94543</v>
      </c>
      <c r="AH10" s="134"/>
      <c r="AI10" s="135">
        <v>54</v>
      </c>
      <c r="AJ10" s="135">
        <v>22</v>
      </c>
      <c r="AK10" s="14">
        <f>SUM(AH10:AJ10)</f>
        <v>76</v>
      </c>
      <c r="AL10" s="14">
        <f>AL9+AK10</f>
        <v>197</v>
      </c>
      <c r="AM10" s="14">
        <f t="shared" si="2"/>
        <v>0.7</v>
      </c>
      <c r="AN10" s="47">
        <f t="shared" ref="AN10:AN72" si="55">IFERROR((AK10*1000)/AF10,0)</f>
        <v>0.80322134032276815</v>
      </c>
      <c r="AO10" s="35">
        <f t="shared" si="3"/>
        <v>0.7</v>
      </c>
      <c r="AP10" s="159">
        <f>IFERROR((AL10*100)/AF10,0)</f>
        <v>0.2082034263731386</v>
      </c>
      <c r="AQ10" s="142"/>
      <c r="AR10" s="14">
        <f t="shared" si="4"/>
        <v>6</v>
      </c>
      <c r="AS10" s="35">
        <f t="shared" si="31"/>
        <v>0</v>
      </c>
      <c r="AT10" s="297">
        <f>AT9+AS10</f>
        <v>0</v>
      </c>
      <c r="AU10" s="52">
        <f t="shared" si="5"/>
        <v>64</v>
      </c>
      <c r="AV10" s="103">
        <f t="shared" ref="AV10:AV14" si="56">AV9</f>
        <v>67.900000000000006</v>
      </c>
      <c r="AW10" s="59">
        <f>AU10-AV10</f>
        <v>-3.9000000000000057</v>
      </c>
      <c r="AX10" s="51">
        <f t="shared" ref="AX10:AX71" si="57">VLOOKUP(AC10,PARAMETROCRIANZA,4,FALSE)</f>
        <v>77</v>
      </c>
      <c r="AY10" s="103">
        <f t="shared" ref="AY10:AY14" si="58">AY9</f>
        <v>82</v>
      </c>
      <c r="AZ10" s="46">
        <f>AX10-AY10</f>
        <v>-5</v>
      </c>
      <c r="BA10" s="316"/>
      <c r="BB10" s="120">
        <f t="shared" ref="BB10:BB13" si="59">BB9+1</f>
        <v>3</v>
      </c>
      <c r="BC10" s="7">
        <f t="shared" ref="BC10:BC14" si="60">BC9</f>
        <v>1</v>
      </c>
      <c r="BD10" s="133"/>
      <c r="BE10" s="221"/>
      <c r="BF10" s="14">
        <f t="shared" ref="BF10:BF14" si="61">IFERROR(BG9+BD10,0)</f>
        <v>193594</v>
      </c>
      <c r="BG10" s="46">
        <f t="shared" si="6"/>
        <v>193449</v>
      </c>
      <c r="BH10" s="134"/>
      <c r="BI10" s="135">
        <v>112</v>
      </c>
      <c r="BJ10" s="135">
        <v>33</v>
      </c>
      <c r="BK10" s="14">
        <f>SUM(BH10:BJ10)</f>
        <v>145</v>
      </c>
      <c r="BL10" s="14">
        <f>BL9+BK10</f>
        <v>311</v>
      </c>
      <c r="BM10" s="14">
        <f t="shared" si="7"/>
        <v>0.7</v>
      </c>
      <c r="BN10" s="47">
        <f t="shared" si="34"/>
        <v>0.74899015465355334</v>
      </c>
      <c r="BO10" s="35">
        <f t="shared" si="35"/>
        <v>0.7</v>
      </c>
      <c r="BP10" s="159">
        <f t="shared" si="36"/>
        <v>0.16064547454983108</v>
      </c>
      <c r="BQ10" s="142"/>
      <c r="BR10" s="13">
        <f t="shared" si="8"/>
        <v>6</v>
      </c>
      <c r="BS10" s="48">
        <f>IFERROR(BQ10/BF10,0)</f>
        <v>0</v>
      </c>
      <c r="BT10" s="49">
        <f>BT9+BS10</f>
        <v>0</v>
      </c>
      <c r="BU10" s="50">
        <f t="shared" si="9"/>
        <v>64</v>
      </c>
      <c r="BV10" s="103">
        <f t="shared" ref="BV10:BV14" si="62">BV9</f>
        <v>63.7</v>
      </c>
      <c r="BW10" s="59">
        <f t="shared" si="10"/>
        <v>0.29999999999999716</v>
      </c>
      <c r="BX10" s="51">
        <f t="shared" si="11"/>
        <v>77</v>
      </c>
      <c r="BY10" s="103">
        <f t="shared" ref="BY10:BY14" si="63">BY9</f>
        <v>77</v>
      </c>
      <c r="BZ10" s="46">
        <f t="shared" si="37"/>
        <v>0</v>
      </c>
      <c r="CA10" s="316"/>
      <c r="CB10" s="120"/>
      <c r="CC10" s="7">
        <f t="shared" ref="CC10:CC14" si="64">CC9</f>
        <v>1</v>
      </c>
      <c r="CD10" s="133"/>
      <c r="CE10" s="221"/>
      <c r="CF10" s="14">
        <f>IFERROR(CG9+CD10,0)</f>
        <v>0</v>
      </c>
      <c r="CG10" s="46">
        <f t="shared" si="38"/>
        <v>0</v>
      </c>
      <c r="CH10" s="134"/>
      <c r="CI10" s="135"/>
      <c r="CJ10" s="135"/>
      <c r="CK10" s="14">
        <f>SUM(CH10:CJ10)</f>
        <v>0</v>
      </c>
      <c r="CL10" s="14">
        <f>CL9+CK10</f>
        <v>0</v>
      </c>
      <c r="CM10" s="14">
        <f t="shared" si="12"/>
        <v>0.7</v>
      </c>
      <c r="CN10" s="47">
        <f t="shared" si="39"/>
        <v>0</v>
      </c>
      <c r="CO10" s="35">
        <f t="shared" si="13"/>
        <v>0.7</v>
      </c>
      <c r="CP10" s="159">
        <f t="shared" si="40"/>
        <v>0</v>
      </c>
      <c r="CQ10" s="142"/>
      <c r="CR10" s="13">
        <f t="shared" si="14"/>
        <v>6</v>
      </c>
      <c r="CS10" s="48">
        <f t="shared" ref="CS10:CS73" si="65">IFERROR(CQ10/CF10,0)</f>
        <v>0</v>
      </c>
      <c r="CT10" s="49">
        <f t="shared" ref="CT10:CT72" si="66">CT9+CS10</f>
        <v>0</v>
      </c>
      <c r="CU10" s="50">
        <f t="shared" si="15"/>
        <v>64</v>
      </c>
      <c r="CV10" s="103">
        <f t="shared" ref="CV10:CV14" si="67">CV9</f>
        <v>0</v>
      </c>
      <c r="CW10" s="59">
        <f t="shared" si="41"/>
        <v>64</v>
      </c>
      <c r="CX10" s="51">
        <f t="shared" si="42"/>
        <v>77</v>
      </c>
      <c r="CY10" s="103">
        <f t="shared" ref="CY10:CY14" si="68">CY9</f>
        <v>0</v>
      </c>
      <c r="CZ10" s="46">
        <f>CX10-CY10</f>
        <v>77</v>
      </c>
      <c r="DA10" s="316"/>
      <c r="DB10" s="120"/>
      <c r="DC10" s="7">
        <f t="shared" ref="DC10:DC14" si="69">DC9</f>
        <v>1</v>
      </c>
      <c r="DD10" s="133"/>
      <c r="DE10" s="221"/>
      <c r="DF10" s="14">
        <f t="shared" ref="DF10:DF72" si="70">IFERROR(DG9+DD10,0)</f>
        <v>0</v>
      </c>
      <c r="DG10" s="46">
        <f>IFERROR(DF10-DK10,0)</f>
        <v>0</v>
      </c>
      <c r="DH10" s="134"/>
      <c r="DI10" s="135"/>
      <c r="DJ10" s="135"/>
      <c r="DK10" s="14">
        <f>SUM(DH10:DJ10)</f>
        <v>0</v>
      </c>
      <c r="DL10" s="14">
        <f>DL9+DK10</f>
        <v>0</v>
      </c>
      <c r="DM10" s="14">
        <f t="shared" si="16"/>
        <v>0.7</v>
      </c>
      <c r="DN10" s="47">
        <f t="shared" si="45"/>
        <v>0</v>
      </c>
      <c r="DO10" s="35">
        <f t="shared" si="17"/>
        <v>0.7</v>
      </c>
      <c r="DP10" s="159">
        <f t="shared" si="46"/>
        <v>0</v>
      </c>
      <c r="DQ10" s="142"/>
      <c r="DR10" s="13">
        <f t="shared" si="18"/>
        <v>6</v>
      </c>
      <c r="DS10" s="48">
        <f>IFERROR(DQ10/DF10,0)</f>
        <v>0</v>
      </c>
      <c r="DT10" s="49">
        <f t="shared" ref="DT10:DT72" si="71">DT9+DS10</f>
        <v>0</v>
      </c>
      <c r="DU10" s="50">
        <f t="shared" si="19"/>
        <v>64</v>
      </c>
      <c r="DV10" s="103">
        <f t="shared" ref="DV10:DV14" si="72">DV9</f>
        <v>0</v>
      </c>
      <c r="DW10" s="59">
        <f t="shared" si="47"/>
        <v>64</v>
      </c>
      <c r="DX10" s="51">
        <f t="shared" si="48"/>
        <v>77</v>
      </c>
      <c r="DY10" s="103">
        <f t="shared" ref="DY10:DY14" si="73">DY9</f>
        <v>0</v>
      </c>
      <c r="DZ10" s="46">
        <f t="shared" ref="DZ10:DZ72" si="74">DX10-DY10</f>
        <v>77</v>
      </c>
    </row>
    <row r="11" spans="1:130" x14ac:dyDescent="0.25">
      <c r="B11" s="120"/>
      <c r="C11" s="115">
        <f t="shared" si="49"/>
        <v>1</v>
      </c>
      <c r="D11" s="133"/>
      <c r="E11" s="221"/>
      <c r="F11" s="103">
        <f t="shared" si="20"/>
        <v>0</v>
      </c>
      <c r="G11" s="104">
        <f t="shared" si="21"/>
        <v>0</v>
      </c>
      <c r="H11" s="134"/>
      <c r="I11" s="135"/>
      <c r="J11" s="135"/>
      <c r="K11" s="14">
        <f t="shared" ref="K11:K13" si="75">SUM(H11:J11)</f>
        <v>0</v>
      </c>
      <c r="L11" s="14">
        <f>L10+K11</f>
        <v>0</v>
      </c>
      <c r="M11" s="184">
        <f t="shared" si="22"/>
        <v>0.7</v>
      </c>
      <c r="N11" s="230">
        <f t="shared" si="23"/>
        <v>0</v>
      </c>
      <c r="O11" s="185">
        <f t="shared" si="24"/>
        <v>0.7</v>
      </c>
      <c r="P11" s="157">
        <f t="shared" si="25"/>
        <v>0</v>
      </c>
      <c r="Q11" s="142"/>
      <c r="R11" s="13">
        <f t="shared" si="0"/>
        <v>6</v>
      </c>
      <c r="S11" s="48">
        <f t="shared" si="50"/>
        <v>0</v>
      </c>
      <c r="T11" s="49">
        <f>T10+S11</f>
        <v>0</v>
      </c>
      <c r="U11" s="194">
        <f t="shared" si="26"/>
        <v>64</v>
      </c>
      <c r="V11" s="103">
        <f t="shared" si="27"/>
        <v>0</v>
      </c>
      <c r="W11" s="59">
        <f>U11-V11</f>
        <v>64</v>
      </c>
      <c r="X11" s="51">
        <f t="shared" si="1"/>
        <v>77</v>
      </c>
      <c r="Y11" s="103">
        <f t="shared" si="51"/>
        <v>0</v>
      </c>
      <c r="Z11" s="62">
        <f t="shared" si="29"/>
        <v>77</v>
      </c>
      <c r="AB11" s="119">
        <f t="shared" si="52"/>
        <v>6</v>
      </c>
      <c r="AC11" s="7">
        <f t="shared" si="53"/>
        <v>1</v>
      </c>
      <c r="AD11" s="133"/>
      <c r="AE11" s="221"/>
      <c r="AF11" s="14">
        <f t="shared" si="30"/>
        <v>94543</v>
      </c>
      <c r="AG11" s="46">
        <f t="shared" si="54"/>
        <v>94437</v>
      </c>
      <c r="AH11" s="134"/>
      <c r="AI11" s="135">
        <v>106</v>
      </c>
      <c r="AJ11" s="135"/>
      <c r="AK11" s="14">
        <f t="shared" ref="AK11:AK13" si="76">SUM(AH11:AJ11)</f>
        <v>106</v>
      </c>
      <c r="AL11" s="14">
        <f>AL10+AK11</f>
        <v>303</v>
      </c>
      <c r="AM11" s="14">
        <f t="shared" si="2"/>
        <v>0.7</v>
      </c>
      <c r="AN11" s="47">
        <f t="shared" si="55"/>
        <v>1.1211829537882234</v>
      </c>
      <c r="AO11" s="35">
        <f t="shared" si="3"/>
        <v>0.7</v>
      </c>
      <c r="AP11" s="159">
        <f t="shared" ref="AP11:AP73" si="77">IFERROR((AL11*100)/AF11,0)</f>
        <v>0.32048908962059591</v>
      </c>
      <c r="AQ11" s="142"/>
      <c r="AR11" s="14">
        <f t="shared" si="4"/>
        <v>6</v>
      </c>
      <c r="AS11" s="35">
        <f t="shared" si="31"/>
        <v>0</v>
      </c>
      <c r="AT11" s="297">
        <f>AT10+AS11</f>
        <v>0</v>
      </c>
      <c r="AU11" s="51">
        <f t="shared" si="5"/>
        <v>64</v>
      </c>
      <c r="AV11" s="103">
        <f t="shared" si="56"/>
        <v>67.900000000000006</v>
      </c>
      <c r="AW11" s="59">
        <f>AU11-AV11</f>
        <v>-3.9000000000000057</v>
      </c>
      <c r="AX11" s="51">
        <f>VLOOKUP(AC11,PARAMETROCRIANZA,4,FALSE)</f>
        <v>77</v>
      </c>
      <c r="AY11" s="103">
        <f t="shared" si="58"/>
        <v>82</v>
      </c>
      <c r="AZ11" s="62">
        <f t="shared" si="33"/>
        <v>-5</v>
      </c>
      <c r="BA11" s="316"/>
      <c r="BB11" s="120">
        <f t="shared" si="59"/>
        <v>4</v>
      </c>
      <c r="BC11" s="7">
        <f t="shared" si="60"/>
        <v>1</v>
      </c>
      <c r="BD11" s="133"/>
      <c r="BE11" s="221"/>
      <c r="BF11" s="14">
        <f t="shared" si="61"/>
        <v>193449</v>
      </c>
      <c r="BG11" s="46">
        <f t="shared" si="6"/>
        <v>193289</v>
      </c>
      <c r="BH11" s="134"/>
      <c r="BI11" s="135">
        <v>142</v>
      </c>
      <c r="BJ11" s="135">
        <v>18</v>
      </c>
      <c r="BK11" s="14">
        <f t="shared" ref="BK11:BK13" si="78">SUM(BH11:BJ11)</f>
        <v>160</v>
      </c>
      <c r="BL11" s="14">
        <f>BL10+BK11</f>
        <v>471</v>
      </c>
      <c r="BM11" s="14">
        <f t="shared" si="7"/>
        <v>0.7</v>
      </c>
      <c r="BN11" s="47">
        <f t="shared" si="34"/>
        <v>0.82709137808931554</v>
      </c>
      <c r="BO11" s="35">
        <f t="shared" si="35"/>
        <v>0.7</v>
      </c>
      <c r="BP11" s="159">
        <f t="shared" si="36"/>
        <v>0.24347502442504226</v>
      </c>
      <c r="BQ11" s="142"/>
      <c r="BR11" s="13">
        <f t="shared" si="8"/>
        <v>6</v>
      </c>
      <c r="BS11" s="48">
        <f t="shared" ref="BS11:BS74" si="79">IFERROR(BQ11/BF11,0)</f>
        <v>0</v>
      </c>
      <c r="BT11" s="49">
        <f>BT10+BS11</f>
        <v>0</v>
      </c>
      <c r="BU11" s="50">
        <f t="shared" si="9"/>
        <v>64</v>
      </c>
      <c r="BV11" s="103">
        <f t="shared" si="62"/>
        <v>63.7</v>
      </c>
      <c r="BW11" s="59">
        <f t="shared" si="10"/>
        <v>0.29999999999999716</v>
      </c>
      <c r="BX11" s="51">
        <f t="shared" si="11"/>
        <v>77</v>
      </c>
      <c r="BY11" s="103">
        <f t="shared" si="63"/>
        <v>77</v>
      </c>
      <c r="BZ11" s="62">
        <f t="shared" si="37"/>
        <v>0</v>
      </c>
      <c r="CA11" s="316"/>
      <c r="CB11" s="120"/>
      <c r="CC11" s="7">
        <f t="shared" si="64"/>
        <v>1</v>
      </c>
      <c r="CD11" s="133"/>
      <c r="CE11" s="221"/>
      <c r="CF11" s="14">
        <f>IFERROR(CG10+CD11,0)</f>
        <v>0</v>
      </c>
      <c r="CG11" s="46">
        <f>IFERROR(CF11-CK11,0)</f>
        <v>0</v>
      </c>
      <c r="CH11" s="134"/>
      <c r="CI11" s="135"/>
      <c r="CJ11" s="135"/>
      <c r="CK11" s="14">
        <f t="shared" ref="CK11:CK13" si="80">SUM(CH11:CJ11)</f>
        <v>0</v>
      </c>
      <c r="CL11" s="14">
        <f>CL10+CK11</f>
        <v>0</v>
      </c>
      <c r="CM11" s="14">
        <f t="shared" si="12"/>
        <v>0.7</v>
      </c>
      <c r="CN11" s="47">
        <f t="shared" si="39"/>
        <v>0</v>
      </c>
      <c r="CO11" s="35">
        <f t="shared" si="13"/>
        <v>0.7</v>
      </c>
      <c r="CP11" s="159">
        <f t="shared" si="40"/>
        <v>0</v>
      </c>
      <c r="CQ11" s="142"/>
      <c r="CR11" s="13">
        <f t="shared" si="14"/>
        <v>6</v>
      </c>
      <c r="CS11" s="48">
        <f t="shared" si="65"/>
        <v>0</v>
      </c>
      <c r="CT11" s="49">
        <f t="shared" si="66"/>
        <v>0</v>
      </c>
      <c r="CU11" s="50">
        <f t="shared" si="15"/>
        <v>64</v>
      </c>
      <c r="CV11" s="103">
        <f>CV10</f>
        <v>0</v>
      </c>
      <c r="CW11" s="59">
        <f t="shared" si="41"/>
        <v>64</v>
      </c>
      <c r="CX11" s="51">
        <f t="shared" si="42"/>
        <v>77</v>
      </c>
      <c r="CY11" s="103">
        <f t="shared" si="68"/>
        <v>0</v>
      </c>
      <c r="CZ11" s="62">
        <f t="shared" si="43"/>
        <v>77</v>
      </c>
      <c r="DA11" s="316"/>
      <c r="DB11" s="120"/>
      <c r="DC11" s="7">
        <f t="shared" si="69"/>
        <v>1</v>
      </c>
      <c r="DD11" s="133"/>
      <c r="DE11" s="221"/>
      <c r="DF11" s="14">
        <f t="shared" si="70"/>
        <v>0</v>
      </c>
      <c r="DG11" s="46">
        <f t="shared" si="44"/>
        <v>0</v>
      </c>
      <c r="DH11" s="134"/>
      <c r="DI11" s="135"/>
      <c r="DJ11" s="135"/>
      <c r="DK11" s="14">
        <f t="shared" ref="DK11:DK13" si="81">SUM(DH11:DJ11)</f>
        <v>0</v>
      </c>
      <c r="DL11" s="14">
        <f>DL10+DK11</f>
        <v>0</v>
      </c>
      <c r="DM11" s="14">
        <f t="shared" si="16"/>
        <v>0.7</v>
      </c>
      <c r="DN11" s="47">
        <f t="shared" si="45"/>
        <v>0</v>
      </c>
      <c r="DO11" s="35">
        <f t="shared" si="17"/>
        <v>0.7</v>
      </c>
      <c r="DP11" s="159">
        <f t="shared" si="46"/>
        <v>0</v>
      </c>
      <c r="DQ11" s="142"/>
      <c r="DR11" s="13">
        <f t="shared" si="18"/>
        <v>6</v>
      </c>
      <c r="DS11" s="48">
        <f t="shared" ref="DS11:DS74" si="82">IFERROR(DQ11/DF11,0)</f>
        <v>0</v>
      </c>
      <c r="DT11" s="49">
        <f t="shared" si="71"/>
        <v>0</v>
      </c>
      <c r="DU11" s="50">
        <f t="shared" si="19"/>
        <v>64</v>
      </c>
      <c r="DV11" s="103">
        <f>DV10</f>
        <v>0</v>
      </c>
      <c r="DW11" s="59">
        <f>DU11-DV11</f>
        <v>64</v>
      </c>
      <c r="DX11" s="51">
        <f t="shared" si="48"/>
        <v>77</v>
      </c>
      <c r="DY11" s="103">
        <f>DY10</f>
        <v>0</v>
      </c>
      <c r="DZ11" s="62">
        <f t="shared" si="74"/>
        <v>77</v>
      </c>
    </row>
    <row r="12" spans="1:130" x14ac:dyDescent="0.25">
      <c r="B12" s="120"/>
      <c r="C12" s="115">
        <f t="shared" si="49"/>
        <v>1</v>
      </c>
      <c r="D12" s="133"/>
      <c r="E12" s="221"/>
      <c r="F12" s="103">
        <f t="shared" si="20"/>
        <v>0</v>
      </c>
      <c r="G12" s="104">
        <f t="shared" si="21"/>
        <v>0</v>
      </c>
      <c r="H12" s="134"/>
      <c r="I12" s="135"/>
      <c r="J12" s="135"/>
      <c r="K12" s="14">
        <f t="shared" si="75"/>
        <v>0</v>
      </c>
      <c r="L12" s="14">
        <f>L11+K12</f>
        <v>0</v>
      </c>
      <c r="M12" s="184">
        <f t="shared" si="22"/>
        <v>0.7</v>
      </c>
      <c r="N12" s="230">
        <f t="shared" si="23"/>
        <v>0</v>
      </c>
      <c r="O12" s="185">
        <f t="shared" si="24"/>
        <v>0.7</v>
      </c>
      <c r="P12" s="159">
        <f t="shared" si="25"/>
        <v>0</v>
      </c>
      <c r="Q12" s="142"/>
      <c r="R12" s="14">
        <f t="shared" si="0"/>
        <v>6</v>
      </c>
      <c r="S12" s="48">
        <f t="shared" si="50"/>
        <v>0</v>
      </c>
      <c r="T12" s="49">
        <f t="shared" ref="T12:T72" si="83">T11+S12</f>
        <v>0</v>
      </c>
      <c r="U12" s="194">
        <f t="shared" si="26"/>
        <v>64</v>
      </c>
      <c r="V12" s="103">
        <f t="shared" si="27"/>
        <v>0</v>
      </c>
      <c r="W12" s="46">
        <f t="shared" si="28"/>
        <v>64</v>
      </c>
      <c r="X12" s="52">
        <f t="shared" si="1"/>
        <v>77</v>
      </c>
      <c r="Y12" s="103">
        <f t="shared" si="51"/>
        <v>0</v>
      </c>
      <c r="Z12" s="46">
        <f t="shared" si="29"/>
        <v>77</v>
      </c>
      <c r="AB12" s="119">
        <f t="shared" si="52"/>
        <v>7</v>
      </c>
      <c r="AC12" s="7">
        <f t="shared" si="53"/>
        <v>1</v>
      </c>
      <c r="AD12" s="133"/>
      <c r="AE12" s="221"/>
      <c r="AF12" s="14">
        <f t="shared" si="30"/>
        <v>94437</v>
      </c>
      <c r="AG12" s="46">
        <f t="shared" si="54"/>
        <v>94270</v>
      </c>
      <c r="AH12" s="134"/>
      <c r="AI12" s="135">
        <v>167</v>
      </c>
      <c r="AJ12" s="135"/>
      <c r="AK12" s="14">
        <f t="shared" si="76"/>
        <v>167</v>
      </c>
      <c r="AL12" s="14">
        <f>AL11+AK12</f>
        <v>470</v>
      </c>
      <c r="AM12" s="31">
        <f t="shared" si="2"/>
        <v>0.7</v>
      </c>
      <c r="AN12" s="47">
        <f t="shared" si="55"/>
        <v>1.7683746836515348</v>
      </c>
      <c r="AO12" s="35">
        <f t="shared" si="3"/>
        <v>0.7</v>
      </c>
      <c r="AP12" s="159">
        <f t="shared" si="77"/>
        <v>0.49768628821330624</v>
      </c>
      <c r="AQ12" s="142"/>
      <c r="AR12" s="14">
        <f t="shared" si="4"/>
        <v>6</v>
      </c>
      <c r="AS12" s="35">
        <f t="shared" si="31"/>
        <v>0</v>
      </c>
      <c r="AT12" s="297">
        <f>AT11+AS12</f>
        <v>0</v>
      </c>
      <c r="AU12" s="52">
        <f t="shared" si="5"/>
        <v>64</v>
      </c>
      <c r="AV12" s="103">
        <f t="shared" si="56"/>
        <v>67.900000000000006</v>
      </c>
      <c r="AW12" s="46">
        <f t="shared" si="32"/>
        <v>-3.9000000000000057</v>
      </c>
      <c r="AX12" s="52">
        <f t="shared" si="57"/>
        <v>77</v>
      </c>
      <c r="AY12" s="103">
        <f t="shared" si="58"/>
        <v>82</v>
      </c>
      <c r="AZ12" s="46">
        <f>AX12-AY12</f>
        <v>-5</v>
      </c>
      <c r="BA12" s="316"/>
      <c r="BB12" s="120">
        <f t="shared" si="59"/>
        <v>5</v>
      </c>
      <c r="BC12" s="7">
        <f t="shared" si="60"/>
        <v>1</v>
      </c>
      <c r="BD12" s="133"/>
      <c r="BE12" s="221"/>
      <c r="BF12" s="14">
        <f t="shared" si="61"/>
        <v>193289</v>
      </c>
      <c r="BG12" s="46">
        <f t="shared" si="6"/>
        <v>193095</v>
      </c>
      <c r="BH12" s="134"/>
      <c r="BI12" s="135">
        <v>194</v>
      </c>
      <c r="BJ12" s="135"/>
      <c r="BK12" s="14">
        <f t="shared" si="78"/>
        <v>194</v>
      </c>
      <c r="BL12" s="14">
        <f>BL11+BK12</f>
        <v>665</v>
      </c>
      <c r="BM12" s="14">
        <f t="shared" si="7"/>
        <v>0.7</v>
      </c>
      <c r="BN12" s="47">
        <f t="shared" si="34"/>
        <v>1.0036784297088814</v>
      </c>
      <c r="BO12" s="35">
        <f t="shared" si="35"/>
        <v>0.7</v>
      </c>
      <c r="BP12" s="159">
        <f t="shared" si="36"/>
        <v>0.34404441018371457</v>
      </c>
      <c r="BQ12" s="142"/>
      <c r="BR12" s="13">
        <f t="shared" si="8"/>
        <v>6</v>
      </c>
      <c r="BS12" s="48">
        <f t="shared" si="79"/>
        <v>0</v>
      </c>
      <c r="BT12" s="49">
        <f>BT11+BS12</f>
        <v>0</v>
      </c>
      <c r="BU12" s="50">
        <f t="shared" si="9"/>
        <v>64</v>
      </c>
      <c r="BV12" s="103">
        <f t="shared" si="62"/>
        <v>63.7</v>
      </c>
      <c r="BW12" s="46">
        <f t="shared" si="10"/>
        <v>0.29999999999999716</v>
      </c>
      <c r="BX12" s="52">
        <f t="shared" si="11"/>
        <v>77</v>
      </c>
      <c r="BY12" s="103">
        <f t="shared" si="63"/>
        <v>77</v>
      </c>
      <c r="BZ12" s="46">
        <f t="shared" si="37"/>
        <v>0</v>
      </c>
      <c r="CA12" s="316"/>
      <c r="CB12" s="120"/>
      <c r="CC12" s="7">
        <f t="shared" si="64"/>
        <v>1</v>
      </c>
      <c r="CD12" s="133"/>
      <c r="CE12" s="221"/>
      <c r="CF12" s="14">
        <f>IFERROR(CG11+CD12,0)</f>
        <v>0</v>
      </c>
      <c r="CG12" s="46">
        <f>IFERROR(CF12-CK12,0)</f>
        <v>0</v>
      </c>
      <c r="CH12" s="134"/>
      <c r="CI12" s="135"/>
      <c r="CJ12" s="135"/>
      <c r="CK12" s="14">
        <f>SUM(CH12:CJ12)</f>
        <v>0</v>
      </c>
      <c r="CL12" s="14">
        <f>CL11+CK12</f>
        <v>0</v>
      </c>
      <c r="CM12" s="14">
        <f t="shared" si="12"/>
        <v>0.7</v>
      </c>
      <c r="CN12" s="47">
        <f t="shared" si="39"/>
        <v>0</v>
      </c>
      <c r="CO12" s="35">
        <f t="shared" si="13"/>
        <v>0.7</v>
      </c>
      <c r="CP12" s="159">
        <f t="shared" si="40"/>
        <v>0</v>
      </c>
      <c r="CQ12" s="142"/>
      <c r="CR12" s="13">
        <f t="shared" si="14"/>
        <v>6</v>
      </c>
      <c r="CS12" s="48">
        <f t="shared" si="65"/>
        <v>0</v>
      </c>
      <c r="CT12" s="49">
        <f>CT11+CS12</f>
        <v>0</v>
      </c>
      <c r="CU12" s="50">
        <f t="shared" si="15"/>
        <v>64</v>
      </c>
      <c r="CV12" s="103">
        <f t="shared" si="67"/>
        <v>0</v>
      </c>
      <c r="CW12" s="46">
        <f t="shared" si="41"/>
        <v>64</v>
      </c>
      <c r="CX12" s="52">
        <f t="shared" si="42"/>
        <v>77</v>
      </c>
      <c r="CY12" s="103">
        <f>CY11</f>
        <v>0</v>
      </c>
      <c r="CZ12" s="46">
        <f t="shared" si="43"/>
        <v>77</v>
      </c>
      <c r="DA12" s="316"/>
      <c r="DB12" s="120"/>
      <c r="DC12" s="7">
        <f t="shared" si="69"/>
        <v>1</v>
      </c>
      <c r="DD12" s="133"/>
      <c r="DE12" s="221"/>
      <c r="DF12" s="14">
        <f t="shared" si="70"/>
        <v>0</v>
      </c>
      <c r="DG12" s="46">
        <f t="shared" si="44"/>
        <v>0</v>
      </c>
      <c r="DH12" s="134"/>
      <c r="DI12" s="135"/>
      <c r="DJ12" s="135"/>
      <c r="DK12" s="14">
        <f t="shared" si="81"/>
        <v>0</v>
      </c>
      <c r="DL12" s="14">
        <f>DL11+DK12</f>
        <v>0</v>
      </c>
      <c r="DM12" s="14">
        <f t="shared" si="16"/>
        <v>0.7</v>
      </c>
      <c r="DN12" s="47">
        <f t="shared" si="45"/>
        <v>0</v>
      </c>
      <c r="DO12" s="35">
        <f t="shared" si="17"/>
        <v>0.7</v>
      </c>
      <c r="DP12" s="159">
        <f t="shared" si="46"/>
        <v>0</v>
      </c>
      <c r="DQ12" s="142"/>
      <c r="DR12" s="13">
        <f t="shared" si="18"/>
        <v>6</v>
      </c>
      <c r="DS12" s="48">
        <f t="shared" si="82"/>
        <v>0</v>
      </c>
      <c r="DT12" s="49">
        <f>DT11+DS12</f>
        <v>0</v>
      </c>
      <c r="DU12" s="50">
        <f t="shared" si="19"/>
        <v>64</v>
      </c>
      <c r="DV12" s="103">
        <f t="shared" si="72"/>
        <v>0</v>
      </c>
      <c r="DW12" s="46">
        <f t="shared" si="47"/>
        <v>64</v>
      </c>
      <c r="DX12" s="52">
        <f t="shared" si="48"/>
        <v>77</v>
      </c>
      <c r="DY12" s="103">
        <f t="shared" si="73"/>
        <v>0</v>
      </c>
      <c r="DZ12" s="46">
        <f t="shared" si="74"/>
        <v>77</v>
      </c>
    </row>
    <row r="13" spans="1:130" x14ac:dyDescent="0.25">
      <c r="B13" s="120"/>
      <c r="C13" s="115">
        <f t="shared" si="49"/>
        <v>1</v>
      </c>
      <c r="D13" s="133"/>
      <c r="E13" s="221"/>
      <c r="F13" s="103">
        <f t="shared" si="20"/>
        <v>0</v>
      </c>
      <c r="G13" s="104">
        <f>IFERROR(F13-K13,0)</f>
        <v>0</v>
      </c>
      <c r="H13" s="134"/>
      <c r="I13" s="135"/>
      <c r="J13" s="135"/>
      <c r="K13" s="14">
        <f t="shared" si="75"/>
        <v>0</v>
      </c>
      <c r="L13" s="14">
        <f>L12+K13</f>
        <v>0</v>
      </c>
      <c r="M13" s="162">
        <f t="shared" si="22"/>
        <v>0.7</v>
      </c>
      <c r="N13" s="47">
        <f t="shared" si="23"/>
        <v>0</v>
      </c>
      <c r="O13" s="186">
        <f t="shared" si="24"/>
        <v>0.7</v>
      </c>
      <c r="P13" s="155">
        <f t="shared" si="25"/>
        <v>0</v>
      </c>
      <c r="Q13" s="142"/>
      <c r="R13" s="14">
        <f t="shared" si="0"/>
        <v>6</v>
      </c>
      <c r="S13" s="48">
        <f t="shared" si="50"/>
        <v>0</v>
      </c>
      <c r="T13" s="49">
        <f t="shared" si="83"/>
        <v>0</v>
      </c>
      <c r="U13" s="194">
        <f t="shared" si="26"/>
        <v>64</v>
      </c>
      <c r="V13" s="103">
        <f t="shared" si="27"/>
        <v>0</v>
      </c>
      <c r="W13" s="62">
        <f t="shared" si="28"/>
        <v>64</v>
      </c>
      <c r="X13" s="51">
        <f t="shared" si="1"/>
        <v>77</v>
      </c>
      <c r="Y13" s="103">
        <f t="shared" si="51"/>
        <v>0</v>
      </c>
      <c r="Z13" s="62">
        <f t="shared" si="29"/>
        <v>77</v>
      </c>
      <c r="AB13" s="119">
        <f t="shared" si="52"/>
        <v>8</v>
      </c>
      <c r="AC13" s="7">
        <f t="shared" si="53"/>
        <v>1</v>
      </c>
      <c r="AD13" s="133"/>
      <c r="AE13" s="221"/>
      <c r="AF13" s="14">
        <f t="shared" si="30"/>
        <v>94270</v>
      </c>
      <c r="AG13" s="46">
        <f t="shared" si="54"/>
        <v>94085</v>
      </c>
      <c r="AH13" s="134"/>
      <c r="AI13" s="135">
        <v>185</v>
      </c>
      <c r="AJ13" s="135"/>
      <c r="AK13" s="14">
        <f t="shared" si="76"/>
        <v>185</v>
      </c>
      <c r="AL13" s="14">
        <f t="shared" ref="AL13:AL76" si="84">AL12+AK13</f>
        <v>655</v>
      </c>
      <c r="AM13" s="14">
        <f t="shared" si="2"/>
        <v>0.7</v>
      </c>
      <c r="AN13" s="47">
        <f t="shared" si="55"/>
        <v>1.9624482868356847</v>
      </c>
      <c r="AO13" s="35">
        <f t="shared" si="3"/>
        <v>0.7</v>
      </c>
      <c r="AP13" s="159">
        <f t="shared" si="77"/>
        <v>0.6948127718256073</v>
      </c>
      <c r="AQ13" s="142"/>
      <c r="AR13" s="14">
        <f t="shared" si="4"/>
        <v>6</v>
      </c>
      <c r="AS13" s="35">
        <f t="shared" si="31"/>
        <v>0</v>
      </c>
      <c r="AT13" s="297">
        <f t="shared" ref="AT13:AT72" si="85">AT12+AS13</f>
        <v>0</v>
      </c>
      <c r="AU13" s="50">
        <f t="shared" si="5"/>
        <v>64</v>
      </c>
      <c r="AV13" s="103">
        <f t="shared" si="56"/>
        <v>67.900000000000006</v>
      </c>
      <c r="AW13" s="62">
        <f t="shared" si="32"/>
        <v>-3.9000000000000057</v>
      </c>
      <c r="AX13" s="51">
        <f t="shared" si="57"/>
        <v>77</v>
      </c>
      <c r="AY13" s="103">
        <f t="shared" si="58"/>
        <v>82</v>
      </c>
      <c r="AZ13" s="62">
        <f t="shared" si="33"/>
        <v>-5</v>
      </c>
      <c r="BA13" s="316"/>
      <c r="BB13" s="120">
        <f t="shared" si="59"/>
        <v>6</v>
      </c>
      <c r="BC13" s="7">
        <f t="shared" si="60"/>
        <v>1</v>
      </c>
      <c r="BD13" s="133"/>
      <c r="BE13" s="221"/>
      <c r="BF13" s="14">
        <f t="shared" si="61"/>
        <v>193095</v>
      </c>
      <c r="BG13" s="46">
        <f t="shared" si="6"/>
        <v>192888</v>
      </c>
      <c r="BH13" s="134"/>
      <c r="BI13" s="135">
        <v>207</v>
      </c>
      <c r="BJ13" s="135"/>
      <c r="BK13" s="14">
        <f t="shared" si="78"/>
        <v>207</v>
      </c>
      <c r="BL13" s="14">
        <f t="shared" ref="BL13:BL76" si="86">BL12+BK13</f>
        <v>872</v>
      </c>
      <c r="BM13" s="14">
        <f t="shared" si="7"/>
        <v>0.7</v>
      </c>
      <c r="BN13" s="47">
        <f t="shared" si="34"/>
        <v>1.0720111862036821</v>
      </c>
      <c r="BO13" s="35">
        <f t="shared" si="35"/>
        <v>0.7</v>
      </c>
      <c r="BP13" s="159">
        <f t="shared" si="36"/>
        <v>0.45159118568580231</v>
      </c>
      <c r="BQ13" s="142"/>
      <c r="BR13" s="13">
        <f t="shared" si="8"/>
        <v>6</v>
      </c>
      <c r="BS13" s="48">
        <f t="shared" si="79"/>
        <v>0</v>
      </c>
      <c r="BT13" s="49">
        <f t="shared" ref="BT13:BT72" si="87">BT12+BS13</f>
        <v>0</v>
      </c>
      <c r="BU13" s="50">
        <f t="shared" si="9"/>
        <v>64</v>
      </c>
      <c r="BV13" s="103">
        <f t="shared" si="62"/>
        <v>63.7</v>
      </c>
      <c r="BW13" s="62">
        <f t="shared" si="10"/>
        <v>0.29999999999999716</v>
      </c>
      <c r="BX13" s="51">
        <f t="shared" si="11"/>
        <v>77</v>
      </c>
      <c r="BY13" s="103">
        <f t="shared" si="63"/>
        <v>77</v>
      </c>
      <c r="BZ13" s="62">
        <f t="shared" si="37"/>
        <v>0</v>
      </c>
      <c r="CA13" s="316"/>
      <c r="CB13" s="120"/>
      <c r="CC13" s="7">
        <f t="shared" si="64"/>
        <v>1</v>
      </c>
      <c r="CD13" s="133"/>
      <c r="CE13" s="221"/>
      <c r="CF13" s="14">
        <f t="shared" ref="CF13:CF72" si="88">IFERROR(CG12+CD13,0)</f>
        <v>0</v>
      </c>
      <c r="CG13" s="46">
        <f>IFERROR(CF13-CK13,0)</f>
        <v>0</v>
      </c>
      <c r="CH13" s="134"/>
      <c r="CI13" s="135"/>
      <c r="CJ13" s="135"/>
      <c r="CK13" s="14">
        <f t="shared" si="80"/>
        <v>0</v>
      </c>
      <c r="CL13" s="14">
        <f>CL12+CK13</f>
        <v>0</v>
      </c>
      <c r="CM13" s="14">
        <f t="shared" si="12"/>
        <v>0.7</v>
      </c>
      <c r="CN13" s="47">
        <f t="shared" si="39"/>
        <v>0</v>
      </c>
      <c r="CO13" s="35">
        <f t="shared" si="13"/>
        <v>0.7</v>
      </c>
      <c r="CP13" s="159">
        <f t="shared" si="40"/>
        <v>0</v>
      </c>
      <c r="CQ13" s="142"/>
      <c r="CR13" s="13">
        <f t="shared" si="14"/>
        <v>6</v>
      </c>
      <c r="CS13" s="48">
        <f t="shared" si="65"/>
        <v>0</v>
      </c>
      <c r="CT13" s="49">
        <f t="shared" si="66"/>
        <v>0</v>
      </c>
      <c r="CU13" s="50">
        <f t="shared" si="15"/>
        <v>64</v>
      </c>
      <c r="CV13" s="103">
        <f t="shared" si="67"/>
        <v>0</v>
      </c>
      <c r="CW13" s="62">
        <f t="shared" si="41"/>
        <v>64</v>
      </c>
      <c r="CX13" s="51">
        <f t="shared" si="42"/>
        <v>77</v>
      </c>
      <c r="CY13" s="103">
        <f t="shared" si="68"/>
        <v>0</v>
      </c>
      <c r="CZ13" s="62">
        <f t="shared" si="43"/>
        <v>77</v>
      </c>
      <c r="DA13" s="316"/>
      <c r="DB13" s="120"/>
      <c r="DC13" s="7">
        <f t="shared" si="69"/>
        <v>1</v>
      </c>
      <c r="DD13" s="133"/>
      <c r="DE13" s="221"/>
      <c r="DF13" s="14">
        <f t="shared" si="70"/>
        <v>0</v>
      </c>
      <c r="DG13" s="46">
        <f>IFERROR(DF13-DK13,0)</f>
        <v>0</v>
      </c>
      <c r="DH13" s="134"/>
      <c r="DI13" s="135"/>
      <c r="DJ13" s="135"/>
      <c r="DK13" s="14">
        <f t="shared" si="81"/>
        <v>0</v>
      </c>
      <c r="DL13" s="14">
        <f t="shared" ref="DL13:DL76" si="89">DL12+DK13</f>
        <v>0</v>
      </c>
      <c r="DM13" s="14">
        <f t="shared" si="16"/>
        <v>0.7</v>
      </c>
      <c r="DN13" s="47">
        <f t="shared" si="45"/>
        <v>0</v>
      </c>
      <c r="DO13" s="35">
        <f t="shared" si="17"/>
        <v>0.7</v>
      </c>
      <c r="DP13" s="159">
        <f t="shared" si="46"/>
        <v>0</v>
      </c>
      <c r="DQ13" s="142"/>
      <c r="DR13" s="13">
        <f t="shared" si="18"/>
        <v>6</v>
      </c>
      <c r="DS13" s="48">
        <f t="shared" si="82"/>
        <v>0</v>
      </c>
      <c r="DT13" s="49">
        <f t="shared" si="71"/>
        <v>0</v>
      </c>
      <c r="DU13" s="50">
        <f t="shared" si="19"/>
        <v>64</v>
      </c>
      <c r="DV13" s="103">
        <f t="shared" si="72"/>
        <v>0</v>
      </c>
      <c r="DW13" s="62">
        <f t="shared" si="47"/>
        <v>64</v>
      </c>
      <c r="DX13" s="51">
        <f t="shared" si="48"/>
        <v>77</v>
      </c>
      <c r="DY13" s="103">
        <f t="shared" si="73"/>
        <v>0</v>
      </c>
      <c r="DZ13" s="62">
        <f t="shared" si="74"/>
        <v>77</v>
      </c>
    </row>
    <row r="14" spans="1:130" ht="17.25" thickBot="1" x14ac:dyDescent="0.3">
      <c r="B14" s="197"/>
      <c r="C14" s="116">
        <f t="shared" si="49"/>
        <v>1</v>
      </c>
      <c r="D14" s="136"/>
      <c r="E14" s="226"/>
      <c r="F14" s="109">
        <f t="shared" si="20"/>
        <v>0</v>
      </c>
      <c r="G14" s="105">
        <f>IFERROR(F14-K14,0)</f>
        <v>0</v>
      </c>
      <c r="H14" s="137"/>
      <c r="I14" s="138"/>
      <c r="J14" s="138"/>
      <c r="K14" s="32">
        <f>SUM(H14:J14)</f>
        <v>0</v>
      </c>
      <c r="L14" s="32">
        <f t="shared" ref="L14:L76" si="90">L13+K14</f>
        <v>0</v>
      </c>
      <c r="M14" s="192">
        <f t="shared" si="22"/>
        <v>0.7</v>
      </c>
      <c r="N14" s="231">
        <f t="shared" si="23"/>
        <v>0</v>
      </c>
      <c r="O14" s="193">
        <f t="shared" si="24"/>
        <v>0.7</v>
      </c>
      <c r="P14" s="156">
        <f t="shared" si="25"/>
        <v>0</v>
      </c>
      <c r="Q14" s="139"/>
      <c r="R14" s="15">
        <f t="shared" si="0"/>
        <v>6</v>
      </c>
      <c r="S14" s="54">
        <f t="shared" si="50"/>
        <v>0</v>
      </c>
      <c r="T14" s="55">
        <f t="shared" si="83"/>
        <v>0</v>
      </c>
      <c r="U14" s="163">
        <f t="shared" si="26"/>
        <v>64</v>
      </c>
      <c r="V14" s="109">
        <f t="shared" si="27"/>
        <v>0</v>
      </c>
      <c r="W14" s="53">
        <f t="shared" si="28"/>
        <v>64</v>
      </c>
      <c r="X14" s="56">
        <f t="shared" si="1"/>
        <v>77</v>
      </c>
      <c r="Y14" s="109">
        <f t="shared" si="51"/>
        <v>0</v>
      </c>
      <c r="Z14" s="53">
        <f t="shared" si="29"/>
        <v>77</v>
      </c>
      <c r="AB14" s="119">
        <f t="shared" si="52"/>
        <v>9</v>
      </c>
      <c r="AC14" s="95">
        <f t="shared" si="53"/>
        <v>1</v>
      </c>
      <c r="AD14" s="203"/>
      <c r="AE14" s="225"/>
      <c r="AF14" s="13">
        <f t="shared" si="30"/>
        <v>94085</v>
      </c>
      <c r="AG14" s="59">
        <f t="shared" si="54"/>
        <v>93893</v>
      </c>
      <c r="AH14" s="204"/>
      <c r="AI14" s="205">
        <v>192</v>
      </c>
      <c r="AJ14" s="205"/>
      <c r="AK14" s="13">
        <f>SUM(AH14:AJ14)</f>
        <v>192</v>
      </c>
      <c r="AL14" s="13">
        <f t="shared" si="84"/>
        <v>847</v>
      </c>
      <c r="AM14" s="31">
        <f t="shared" si="2"/>
        <v>0.7</v>
      </c>
      <c r="AN14" s="230">
        <f t="shared" si="55"/>
        <v>2.0407078705425943</v>
      </c>
      <c r="AO14" s="161">
        <f t="shared" si="3"/>
        <v>0.7</v>
      </c>
      <c r="AP14" s="157">
        <f>IFERROR((AL14*100)/AF14,0)</f>
        <v>0.90024977414040497</v>
      </c>
      <c r="AQ14" s="237"/>
      <c r="AR14" s="31">
        <f t="shared" si="4"/>
        <v>6</v>
      </c>
      <c r="AS14" s="37">
        <f t="shared" ref="AS14:AS72" si="91">IFERROR(AQ14/AF14,0)</f>
        <v>0</v>
      </c>
      <c r="AT14" s="298">
        <f t="shared" si="85"/>
        <v>0</v>
      </c>
      <c r="AU14" s="50">
        <f t="shared" si="5"/>
        <v>64</v>
      </c>
      <c r="AV14" s="202">
        <f t="shared" si="56"/>
        <v>67.900000000000006</v>
      </c>
      <c r="AW14" s="59">
        <f t="shared" si="32"/>
        <v>-3.9000000000000057</v>
      </c>
      <c r="AX14" s="50">
        <f t="shared" si="57"/>
        <v>77</v>
      </c>
      <c r="AY14" s="202">
        <f t="shared" si="58"/>
        <v>82</v>
      </c>
      <c r="AZ14" s="59">
        <f t="shared" si="33"/>
        <v>-5</v>
      </c>
      <c r="BA14" s="316"/>
      <c r="BB14" s="119">
        <f>BB13+1</f>
        <v>7</v>
      </c>
      <c r="BC14" s="95">
        <f t="shared" si="60"/>
        <v>1</v>
      </c>
      <c r="BD14" s="203"/>
      <c r="BE14" s="225"/>
      <c r="BF14" s="13">
        <f t="shared" si="61"/>
        <v>192888</v>
      </c>
      <c r="BG14" s="59">
        <f t="shared" si="6"/>
        <v>192706</v>
      </c>
      <c r="BH14" s="204"/>
      <c r="BI14" s="205">
        <v>182</v>
      </c>
      <c r="BJ14" s="205"/>
      <c r="BK14" s="13">
        <f>SUM(BH14:BJ14)</f>
        <v>182</v>
      </c>
      <c r="BL14" s="13">
        <f t="shared" si="86"/>
        <v>1054</v>
      </c>
      <c r="BM14" s="13">
        <f t="shared" si="7"/>
        <v>0.7</v>
      </c>
      <c r="BN14" s="230">
        <f t="shared" si="34"/>
        <v>0.94355273526606109</v>
      </c>
      <c r="BO14" s="161">
        <f t="shared" si="35"/>
        <v>0.7</v>
      </c>
      <c r="BP14" s="157">
        <f t="shared" si="36"/>
        <v>0.5464310895441914</v>
      </c>
      <c r="BQ14" s="237"/>
      <c r="BR14" s="13">
        <f t="shared" si="8"/>
        <v>6</v>
      </c>
      <c r="BS14" s="67">
        <f t="shared" si="79"/>
        <v>0</v>
      </c>
      <c r="BT14" s="196">
        <f t="shared" si="87"/>
        <v>0</v>
      </c>
      <c r="BU14" s="50">
        <f t="shared" si="9"/>
        <v>64</v>
      </c>
      <c r="BV14" s="202">
        <f t="shared" si="62"/>
        <v>63.7</v>
      </c>
      <c r="BW14" s="59">
        <f t="shared" si="10"/>
        <v>0.29999999999999716</v>
      </c>
      <c r="BX14" s="50">
        <f t="shared" si="11"/>
        <v>77</v>
      </c>
      <c r="BY14" s="202">
        <f t="shared" si="63"/>
        <v>77</v>
      </c>
      <c r="BZ14" s="59">
        <f t="shared" si="37"/>
        <v>0</v>
      </c>
      <c r="CA14" s="316"/>
      <c r="CB14" s="119"/>
      <c r="CC14" s="95">
        <f t="shared" si="64"/>
        <v>1</v>
      </c>
      <c r="CD14" s="203"/>
      <c r="CE14" s="225"/>
      <c r="CF14" s="13">
        <f t="shared" si="88"/>
        <v>0</v>
      </c>
      <c r="CG14" s="59">
        <f>IFERROR(CF14-CK14,0)</f>
        <v>0</v>
      </c>
      <c r="CH14" s="204"/>
      <c r="CI14" s="205"/>
      <c r="CJ14" s="205"/>
      <c r="CK14" s="13">
        <f>SUM(CH14:CJ14)</f>
        <v>0</v>
      </c>
      <c r="CL14" s="13">
        <f t="shared" ref="CL14:CL76" si="92">CL13+CK14</f>
        <v>0</v>
      </c>
      <c r="CM14" s="13">
        <f t="shared" si="12"/>
        <v>0.7</v>
      </c>
      <c r="CN14" s="230">
        <f t="shared" si="39"/>
        <v>0</v>
      </c>
      <c r="CO14" s="161">
        <f t="shared" si="13"/>
        <v>0.7</v>
      </c>
      <c r="CP14" s="157">
        <f t="shared" si="40"/>
        <v>0</v>
      </c>
      <c r="CQ14" s="237"/>
      <c r="CR14" s="13">
        <f t="shared" si="14"/>
        <v>6</v>
      </c>
      <c r="CS14" s="67">
        <f t="shared" si="65"/>
        <v>0</v>
      </c>
      <c r="CT14" s="196">
        <f t="shared" si="66"/>
        <v>0</v>
      </c>
      <c r="CU14" s="50">
        <f t="shared" si="15"/>
        <v>64</v>
      </c>
      <c r="CV14" s="202">
        <f t="shared" si="67"/>
        <v>0</v>
      </c>
      <c r="CW14" s="59">
        <f t="shared" si="41"/>
        <v>64</v>
      </c>
      <c r="CX14" s="50">
        <f t="shared" si="42"/>
        <v>77</v>
      </c>
      <c r="CY14" s="202">
        <f t="shared" si="68"/>
        <v>0</v>
      </c>
      <c r="CZ14" s="59">
        <f t="shared" si="43"/>
        <v>77</v>
      </c>
      <c r="DA14" s="316"/>
      <c r="DB14" s="119"/>
      <c r="DC14" s="95">
        <f t="shared" si="69"/>
        <v>1</v>
      </c>
      <c r="DD14" s="203"/>
      <c r="DE14" s="225"/>
      <c r="DF14" s="13">
        <f t="shared" si="70"/>
        <v>0</v>
      </c>
      <c r="DG14" s="59">
        <f>IFERROR(DF14-DK14,0)</f>
        <v>0</v>
      </c>
      <c r="DH14" s="204"/>
      <c r="DI14" s="205"/>
      <c r="DJ14" s="205"/>
      <c r="DK14" s="13">
        <f>SUM(DH14:DJ14)</f>
        <v>0</v>
      </c>
      <c r="DL14" s="13">
        <f t="shared" si="89"/>
        <v>0</v>
      </c>
      <c r="DM14" s="13">
        <f t="shared" si="16"/>
        <v>0.7</v>
      </c>
      <c r="DN14" s="230">
        <f t="shared" si="45"/>
        <v>0</v>
      </c>
      <c r="DO14" s="161">
        <f t="shared" si="17"/>
        <v>0.7</v>
      </c>
      <c r="DP14" s="157">
        <f t="shared" si="46"/>
        <v>0</v>
      </c>
      <c r="DQ14" s="237"/>
      <c r="DR14" s="13">
        <f t="shared" si="18"/>
        <v>6</v>
      </c>
      <c r="DS14" s="67">
        <f t="shared" si="82"/>
        <v>0</v>
      </c>
      <c r="DT14" s="196">
        <f t="shared" si="71"/>
        <v>0</v>
      </c>
      <c r="DU14" s="50">
        <f t="shared" si="19"/>
        <v>64</v>
      </c>
      <c r="DV14" s="202">
        <f t="shared" si="72"/>
        <v>0</v>
      </c>
      <c r="DW14" s="59">
        <f t="shared" si="47"/>
        <v>64</v>
      </c>
      <c r="DX14" s="50">
        <f t="shared" si="48"/>
        <v>77</v>
      </c>
      <c r="DY14" s="202">
        <f t="shared" si="73"/>
        <v>0</v>
      </c>
      <c r="DZ14" s="59">
        <f t="shared" si="74"/>
        <v>77</v>
      </c>
    </row>
    <row r="15" spans="1:130" x14ac:dyDescent="0.25">
      <c r="B15" s="118"/>
      <c r="C15" s="114">
        <v>2</v>
      </c>
      <c r="D15" s="129"/>
      <c r="E15" s="224"/>
      <c r="F15" s="101">
        <f t="shared" si="20"/>
        <v>0</v>
      </c>
      <c r="G15" s="106">
        <f t="shared" ref="G15:G78" si="93">IFERROR(F15-K15,0)</f>
        <v>0</v>
      </c>
      <c r="H15" s="130"/>
      <c r="I15" s="131"/>
      <c r="J15" s="131"/>
      <c r="K15" s="11">
        <f t="shared" ref="K15:K78" si="94">SUM(H15:J15)</f>
        <v>0</v>
      </c>
      <c r="L15" s="11">
        <f t="shared" si="90"/>
        <v>0</v>
      </c>
      <c r="M15" s="140">
        <f t="shared" si="22"/>
        <v>0.7</v>
      </c>
      <c r="N15" s="42">
        <f t="shared" si="23"/>
        <v>0</v>
      </c>
      <c r="O15" s="187">
        <f t="shared" si="24"/>
        <v>1.4</v>
      </c>
      <c r="P15" s="132">
        <f t="shared" si="25"/>
        <v>0</v>
      </c>
      <c r="Q15" s="158"/>
      <c r="R15" s="11">
        <f t="shared" si="0"/>
        <v>12</v>
      </c>
      <c r="S15" s="43">
        <f t="shared" si="50"/>
        <v>0</v>
      </c>
      <c r="T15" s="44">
        <f t="shared" si="83"/>
        <v>0</v>
      </c>
      <c r="U15" s="195">
        <f>VLOOKUP($C15,PARAMETROCRIANZA,2,FALSE)</f>
        <v>118</v>
      </c>
      <c r="V15" s="131"/>
      <c r="W15" s="41">
        <f t="shared" si="28"/>
        <v>118</v>
      </c>
      <c r="X15" s="58">
        <f t="shared" si="1"/>
        <v>77</v>
      </c>
      <c r="Y15" s="131"/>
      <c r="Z15" s="41">
        <f t="shared" si="29"/>
        <v>77</v>
      </c>
      <c r="AB15" s="118">
        <v>10</v>
      </c>
      <c r="AC15" s="9">
        <v>2</v>
      </c>
      <c r="AD15" s="129"/>
      <c r="AE15" s="224"/>
      <c r="AF15" s="11">
        <f t="shared" ref="AF15:AF72" si="95">IFERROR(AG14+AD15,0)</f>
        <v>93893</v>
      </c>
      <c r="AG15" s="57">
        <f t="shared" ref="AG15:AG78" si="96">IFERROR(AF15-AK15,0)</f>
        <v>93678</v>
      </c>
      <c r="AH15" s="130"/>
      <c r="AI15" s="131">
        <v>215</v>
      </c>
      <c r="AJ15" s="131"/>
      <c r="AK15" s="11">
        <f t="shared" ref="AK15:AK78" si="97">SUM(AH15:AJ15)</f>
        <v>215</v>
      </c>
      <c r="AL15" s="11">
        <f t="shared" si="84"/>
        <v>1062</v>
      </c>
      <c r="AM15" s="16">
        <f t="shared" si="2"/>
        <v>0.7</v>
      </c>
      <c r="AN15" s="42">
        <f t="shared" si="55"/>
        <v>2.2898405631942742</v>
      </c>
      <c r="AO15" s="21">
        <f t="shared" si="3"/>
        <v>1.4</v>
      </c>
      <c r="AP15" s="165">
        <f t="shared" si="77"/>
        <v>1.1310747340057299</v>
      </c>
      <c r="AQ15" s="158"/>
      <c r="AR15" s="16">
        <f t="shared" si="4"/>
        <v>12</v>
      </c>
      <c r="AS15" s="154">
        <f>IFERROR(AQ15/AF15,0)</f>
        <v>0</v>
      </c>
      <c r="AT15" s="296">
        <f t="shared" si="85"/>
        <v>0</v>
      </c>
      <c r="AU15" s="45">
        <f t="shared" si="5"/>
        <v>118</v>
      </c>
      <c r="AV15" s="131">
        <v>86.24</v>
      </c>
      <c r="AW15" s="41">
        <f t="shared" si="32"/>
        <v>31.760000000000005</v>
      </c>
      <c r="AX15" s="58">
        <f>VLOOKUP(AC15,PARAMETROCRIANZA,4,FALSE)</f>
        <v>77</v>
      </c>
      <c r="AY15" s="131">
        <v>81</v>
      </c>
      <c r="AZ15" s="41">
        <f t="shared" si="33"/>
        <v>-4</v>
      </c>
      <c r="BA15" s="316"/>
      <c r="BB15" s="118">
        <v>8</v>
      </c>
      <c r="BC15" s="9">
        <v>2</v>
      </c>
      <c r="BD15" s="129"/>
      <c r="BE15" s="224"/>
      <c r="BF15" s="11">
        <f t="shared" ref="BF15:BF72" si="98">IFERROR(BG14+BD15,0)</f>
        <v>192706</v>
      </c>
      <c r="BG15" s="57">
        <f t="shared" si="6"/>
        <v>192476</v>
      </c>
      <c r="BH15" s="130"/>
      <c r="BI15" s="131">
        <v>230</v>
      </c>
      <c r="BJ15" s="131"/>
      <c r="BK15" s="11">
        <f t="shared" ref="BK15:BK78" si="99">SUM(BH15:BJ15)</f>
        <v>230</v>
      </c>
      <c r="BL15" s="11">
        <f t="shared" si="86"/>
        <v>1284</v>
      </c>
      <c r="BM15" s="11">
        <f t="shared" si="7"/>
        <v>0.7</v>
      </c>
      <c r="BN15" s="42">
        <f t="shared" si="34"/>
        <v>1.1935279648791424</v>
      </c>
      <c r="BO15" s="21">
        <f t="shared" si="35"/>
        <v>1.4</v>
      </c>
      <c r="BP15" s="165">
        <f t="shared" si="36"/>
        <v>0.66629995952383425</v>
      </c>
      <c r="BQ15" s="158"/>
      <c r="BR15" s="16">
        <f t="shared" si="8"/>
        <v>12</v>
      </c>
      <c r="BS15" s="43">
        <f t="shared" si="79"/>
        <v>0</v>
      </c>
      <c r="BT15" s="44">
        <f t="shared" si="87"/>
        <v>0</v>
      </c>
      <c r="BU15" s="45">
        <f t="shared" si="9"/>
        <v>118</v>
      </c>
      <c r="BV15" s="131">
        <v>82.2</v>
      </c>
      <c r="BW15" s="41">
        <f t="shared" si="10"/>
        <v>35.799999999999997</v>
      </c>
      <c r="BX15" s="58">
        <f t="shared" ref="BX15:BX71" si="100">VLOOKUP(BC15,PARAMETROCRIANZA,4,FALSE)</f>
        <v>77</v>
      </c>
      <c r="BY15" s="131">
        <v>79</v>
      </c>
      <c r="BZ15" s="41">
        <f t="shared" si="37"/>
        <v>-2</v>
      </c>
      <c r="CA15" s="316"/>
      <c r="CB15" s="118"/>
      <c r="CC15" s="9">
        <v>2</v>
      </c>
      <c r="CD15" s="129"/>
      <c r="CE15" s="224"/>
      <c r="CF15" s="11">
        <f t="shared" si="88"/>
        <v>0</v>
      </c>
      <c r="CG15" s="57">
        <f t="shared" ref="CG15:CG78" si="101">IFERROR(CF15-CK15,0)</f>
        <v>0</v>
      </c>
      <c r="CH15" s="130"/>
      <c r="CI15" s="131"/>
      <c r="CJ15" s="131"/>
      <c r="CK15" s="11">
        <f t="shared" ref="CK15:CK78" si="102">SUM(CH15:CJ15)</f>
        <v>0</v>
      </c>
      <c r="CL15" s="11">
        <f t="shared" si="92"/>
        <v>0</v>
      </c>
      <c r="CM15" s="11">
        <f t="shared" si="12"/>
        <v>0.7</v>
      </c>
      <c r="CN15" s="42">
        <f t="shared" si="39"/>
        <v>0</v>
      </c>
      <c r="CO15" s="21">
        <f t="shared" si="13"/>
        <v>1.4</v>
      </c>
      <c r="CP15" s="165">
        <f t="shared" si="40"/>
        <v>0</v>
      </c>
      <c r="CQ15" s="158"/>
      <c r="CR15" s="16">
        <f t="shared" si="14"/>
        <v>12</v>
      </c>
      <c r="CS15" s="43">
        <f t="shared" si="65"/>
        <v>0</v>
      </c>
      <c r="CT15" s="44">
        <f>CT14+CS15</f>
        <v>0</v>
      </c>
      <c r="CU15" s="45">
        <f t="shared" si="15"/>
        <v>118</v>
      </c>
      <c r="CV15" s="131"/>
      <c r="CW15" s="41">
        <f t="shared" si="41"/>
        <v>118</v>
      </c>
      <c r="CX15" s="58">
        <f t="shared" si="42"/>
        <v>77</v>
      </c>
      <c r="CY15" s="131"/>
      <c r="CZ15" s="41">
        <f t="shared" si="43"/>
        <v>77</v>
      </c>
      <c r="DA15" s="316"/>
      <c r="DB15" s="118"/>
      <c r="DC15" s="9">
        <v>2</v>
      </c>
      <c r="DD15" s="129"/>
      <c r="DE15" s="224"/>
      <c r="DF15" s="11">
        <f t="shared" si="70"/>
        <v>0</v>
      </c>
      <c r="DG15" s="57">
        <f t="shared" ref="DG15:DG78" si="103">IFERROR(DF15-DK15,0)</f>
        <v>0</v>
      </c>
      <c r="DH15" s="130"/>
      <c r="DI15" s="131"/>
      <c r="DJ15" s="131"/>
      <c r="DK15" s="11">
        <f t="shared" ref="DK15:DK78" si="104">SUM(DH15:DJ15)</f>
        <v>0</v>
      </c>
      <c r="DL15" s="11">
        <f t="shared" si="89"/>
        <v>0</v>
      </c>
      <c r="DM15" s="11">
        <f t="shared" si="16"/>
        <v>0.7</v>
      </c>
      <c r="DN15" s="42">
        <f t="shared" si="45"/>
        <v>0</v>
      </c>
      <c r="DO15" s="21">
        <f t="shared" si="17"/>
        <v>1.4</v>
      </c>
      <c r="DP15" s="165">
        <f t="shared" si="46"/>
        <v>0</v>
      </c>
      <c r="DQ15" s="158"/>
      <c r="DR15" s="16">
        <f t="shared" si="18"/>
        <v>12</v>
      </c>
      <c r="DS15" s="43">
        <f t="shared" si="82"/>
        <v>0</v>
      </c>
      <c r="DT15" s="44">
        <f t="shared" si="71"/>
        <v>0</v>
      </c>
      <c r="DU15" s="45">
        <f t="shared" si="19"/>
        <v>118</v>
      </c>
      <c r="DV15" s="131"/>
      <c r="DW15" s="41">
        <f t="shared" si="47"/>
        <v>118</v>
      </c>
      <c r="DX15" s="58">
        <f t="shared" si="48"/>
        <v>77</v>
      </c>
      <c r="DY15" s="131"/>
      <c r="DZ15" s="41">
        <f t="shared" si="74"/>
        <v>77</v>
      </c>
    </row>
    <row r="16" spans="1:130" x14ac:dyDescent="0.25">
      <c r="B16" s="120"/>
      <c r="C16" s="115">
        <f>C15</f>
        <v>2</v>
      </c>
      <c r="D16" s="133"/>
      <c r="E16" s="221"/>
      <c r="F16" s="103">
        <f t="shared" si="20"/>
        <v>0</v>
      </c>
      <c r="G16" s="107">
        <f t="shared" si="93"/>
        <v>0</v>
      </c>
      <c r="H16" s="134"/>
      <c r="I16" s="135"/>
      <c r="J16" s="135"/>
      <c r="K16" s="14">
        <f t="shared" si="94"/>
        <v>0</v>
      </c>
      <c r="L16" s="14">
        <f t="shared" si="90"/>
        <v>0</v>
      </c>
      <c r="M16" s="14">
        <f t="shared" si="22"/>
        <v>0.7</v>
      </c>
      <c r="N16" s="231">
        <f t="shared" si="23"/>
        <v>0</v>
      </c>
      <c r="O16" s="185">
        <f t="shared" si="24"/>
        <v>1.4</v>
      </c>
      <c r="P16" s="157">
        <f t="shared" si="25"/>
        <v>0</v>
      </c>
      <c r="Q16" s="142"/>
      <c r="R16" s="17">
        <f t="shared" ref="R16:R72" si="105">VLOOKUP($C16,PARAMETROCRIANZA,10,FALSE)</f>
        <v>12</v>
      </c>
      <c r="S16" s="48">
        <f t="shared" si="50"/>
        <v>0</v>
      </c>
      <c r="T16" s="49">
        <f t="shared" si="83"/>
        <v>0</v>
      </c>
      <c r="U16" s="160">
        <f t="shared" si="26"/>
        <v>118</v>
      </c>
      <c r="V16" s="103">
        <f>V15</f>
        <v>0</v>
      </c>
      <c r="W16" s="46">
        <f t="shared" si="28"/>
        <v>118</v>
      </c>
      <c r="X16" s="61">
        <f t="shared" si="1"/>
        <v>77</v>
      </c>
      <c r="Y16" s="103">
        <f>Y15</f>
        <v>0</v>
      </c>
      <c r="Z16" s="71">
        <f t="shared" si="29"/>
        <v>77</v>
      </c>
      <c r="AB16" s="120">
        <f>AB15+1</f>
        <v>11</v>
      </c>
      <c r="AC16" s="7">
        <f>AC15</f>
        <v>2</v>
      </c>
      <c r="AD16" s="133"/>
      <c r="AE16" s="221"/>
      <c r="AF16" s="14">
        <f t="shared" si="95"/>
        <v>93678</v>
      </c>
      <c r="AG16" s="59">
        <f t="shared" si="96"/>
        <v>93572</v>
      </c>
      <c r="AH16" s="134">
        <v>7</v>
      </c>
      <c r="AI16" s="135">
        <v>99</v>
      </c>
      <c r="AJ16" s="135"/>
      <c r="AK16" s="14">
        <f t="shared" si="97"/>
        <v>106</v>
      </c>
      <c r="AL16" s="14">
        <f t="shared" si="84"/>
        <v>1168</v>
      </c>
      <c r="AM16" s="14">
        <f t="shared" si="2"/>
        <v>0.7</v>
      </c>
      <c r="AN16" s="47">
        <f t="shared" si="55"/>
        <v>1.1315356860735712</v>
      </c>
      <c r="AO16" s="35">
        <f t="shared" si="3"/>
        <v>1.4</v>
      </c>
      <c r="AP16" s="159">
        <f t="shared" si="77"/>
        <v>1.24682422767352</v>
      </c>
      <c r="AQ16" s="142"/>
      <c r="AR16" s="14">
        <f t="shared" si="4"/>
        <v>12</v>
      </c>
      <c r="AS16" s="35">
        <f t="shared" si="91"/>
        <v>0</v>
      </c>
      <c r="AT16" s="297">
        <f t="shared" si="85"/>
        <v>0</v>
      </c>
      <c r="AU16" s="160">
        <f t="shared" si="5"/>
        <v>118</v>
      </c>
      <c r="AV16" s="103">
        <f>AV15</f>
        <v>86.24</v>
      </c>
      <c r="AW16" s="46">
        <f t="shared" si="32"/>
        <v>31.760000000000005</v>
      </c>
      <c r="AX16" s="61">
        <f>VLOOKUP(AC16,PARAMETROCRIANZA,4,FALSE)</f>
        <v>77</v>
      </c>
      <c r="AY16" s="103">
        <f>AY15</f>
        <v>81</v>
      </c>
      <c r="AZ16" s="71">
        <f t="shared" si="33"/>
        <v>-4</v>
      </c>
      <c r="BA16" s="316"/>
      <c r="BB16" s="120">
        <f>BB15+1</f>
        <v>9</v>
      </c>
      <c r="BC16" s="7">
        <f>BC15</f>
        <v>2</v>
      </c>
      <c r="BD16" s="133"/>
      <c r="BE16" s="221"/>
      <c r="BF16" s="14">
        <f t="shared" si="98"/>
        <v>192476</v>
      </c>
      <c r="BG16" s="59">
        <f t="shared" si="6"/>
        <v>192200</v>
      </c>
      <c r="BH16" s="134">
        <v>38</v>
      </c>
      <c r="BI16" s="135">
        <v>238</v>
      </c>
      <c r="BJ16" s="135"/>
      <c r="BK16" s="14">
        <f t="shared" si="99"/>
        <v>276</v>
      </c>
      <c r="BL16" s="14">
        <f t="shared" si="86"/>
        <v>1560</v>
      </c>
      <c r="BM16" s="14">
        <f t="shared" si="7"/>
        <v>0.7</v>
      </c>
      <c r="BN16" s="47">
        <f t="shared" si="34"/>
        <v>1.4339450113260874</v>
      </c>
      <c r="BO16" s="35">
        <f t="shared" si="35"/>
        <v>1.4</v>
      </c>
      <c r="BP16" s="159">
        <f t="shared" si="36"/>
        <v>0.81049065857561464</v>
      </c>
      <c r="BQ16" s="142"/>
      <c r="BR16" s="13">
        <f t="shared" si="8"/>
        <v>12</v>
      </c>
      <c r="BS16" s="48">
        <f t="shared" si="79"/>
        <v>0</v>
      </c>
      <c r="BT16" s="49">
        <f t="shared" si="87"/>
        <v>0</v>
      </c>
      <c r="BU16" s="50">
        <f t="shared" si="9"/>
        <v>118</v>
      </c>
      <c r="BV16" s="103">
        <f>BV15</f>
        <v>82.2</v>
      </c>
      <c r="BW16" s="46">
        <f t="shared" si="10"/>
        <v>35.799999999999997</v>
      </c>
      <c r="BX16" s="61">
        <f>VLOOKUP(BC16,PARAMETROCRIANZA,4,FALSE)</f>
        <v>77</v>
      </c>
      <c r="BY16" s="103">
        <f>BY15</f>
        <v>79</v>
      </c>
      <c r="BZ16" s="71">
        <f t="shared" si="37"/>
        <v>-2</v>
      </c>
      <c r="CA16" s="316"/>
      <c r="CB16" s="120"/>
      <c r="CC16" s="7">
        <f>CC15</f>
        <v>2</v>
      </c>
      <c r="CD16" s="133"/>
      <c r="CE16" s="221"/>
      <c r="CF16" s="14">
        <f t="shared" si="88"/>
        <v>0</v>
      </c>
      <c r="CG16" s="59">
        <f t="shared" si="101"/>
        <v>0</v>
      </c>
      <c r="CH16" s="134"/>
      <c r="CI16" s="135"/>
      <c r="CJ16" s="135"/>
      <c r="CK16" s="14">
        <f t="shared" si="102"/>
        <v>0</v>
      </c>
      <c r="CL16" s="14">
        <f t="shared" si="92"/>
        <v>0</v>
      </c>
      <c r="CM16" s="14">
        <f t="shared" si="12"/>
        <v>0.7</v>
      </c>
      <c r="CN16" s="47">
        <f t="shared" si="39"/>
        <v>0</v>
      </c>
      <c r="CO16" s="35">
        <f t="shared" si="13"/>
        <v>1.4</v>
      </c>
      <c r="CP16" s="159">
        <f t="shared" si="40"/>
        <v>0</v>
      </c>
      <c r="CQ16" s="142"/>
      <c r="CR16" s="13">
        <f t="shared" si="14"/>
        <v>12</v>
      </c>
      <c r="CS16" s="48">
        <f>IFERROR(CQ16/CF16,0)</f>
        <v>0</v>
      </c>
      <c r="CT16" s="49">
        <f t="shared" si="66"/>
        <v>0</v>
      </c>
      <c r="CU16" s="50">
        <f t="shared" si="15"/>
        <v>118</v>
      </c>
      <c r="CV16" s="103">
        <f>CV15</f>
        <v>0</v>
      </c>
      <c r="CW16" s="46">
        <f t="shared" si="41"/>
        <v>118</v>
      </c>
      <c r="CX16" s="61">
        <f t="shared" si="42"/>
        <v>77</v>
      </c>
      <c r="CY16" s="103">
        <f>CY15</f>
        <v>0</v>
      </c>
      <c r="CZ16" s="71">
        <f t="shared" si="43"/>
        <v>77</v>
      </c>
      <c r="DA16" s="316"/>
      <c r="DB16" s="120"/>
      <c r="DC16" s="7">
        <f>DC15</f>
        <v>2</v>
      </c>
      <c r="DD16" s="133"/>
      <c r="DE16" s="221"/>
      <c r="DF16" s="14">
        <f t="shared" si="70"/>
        <v>0</v>
      </c>
      <c r="DG16" s="59">
        <f t="shared" si="103"/>
        <v>0</v>
      </c>
      <c r="DH16" s="134"/>
      <c r="DI16" s="135"/>
      <c r="DJ16" s="135"/>
      <c r="DK16" s="14">
        <f t="shared" si="104"/>
        <v>0</v>
      </c>
      <c r="DL16" s="14">
        <f t="shared" si="89"/>
        <v>0</v>
      </c>
      <c r="DM16" s="14">
        <f t="shared" si="16"/>
        <v>0.7</v>
      </c>
      <c r="DN16" s="47">
        <f t="shared" si="45"/>
        <v>0</v>
      </c>
      <c r="DO16" s="35">
        <f t="shared" si="17"/>
        <v>1.4</v>
      </c>
      <c r="DP16" s="159">
        <f t="shared" si="46"/>
        <v>0</v>
      </c>
      <c r="DQ16" s="142"/>
      <c r="DR16" s="13">
        <f t="shared" si="18"/>
        <v>12</v>
      </c>
      <c r="DS16" s="48">
        <f t="shared" si="82"/>
        <v>0</v>
      </c>
      <c r="DT16" s="49">
        <f t="shared" si="71"/>
        <v>0</v>
      </c>
      <c r="DU16" s="50">
        <f t="shared" si="19"/>
        <v>118</v>
      </c>
      <c r="DV16" s="103">
        <f>DV15</f>
        <v>0</v>
      </c>
      <c r="DW16" s="46">
        <f t="shared" si="47"/>
        <v>118</v>
      </c>
      <c r="DX16" s="61">
        <f t="shared" si="48"/>
        <v>77</v>
      </c>
      <c r="DY16" s="103">
        <f>DY15</f>
        <v>0</v>
      </c>
      <c r="DZ16" s="71">
        <f t="shared" si="74"/>
        <v>77</v>
      </c>
    </row>
    <row r="17" spans="2:130" x14ac:dyDescent="0.25">
      <c r="B17" s="120"/>
      <c r="C17" s="115">
        <f t="shared" ref="C17:C21" si="106">C16</f>
        <v>2</v>
      </c>
      <c r="D17" s="133"/>
      <c r="E17" s="221"/>
      <c r="F17" s="103">
        <f t="shared" ref="F17:F72" si="107">IFERROR(G16+D17,0)</f>
        <v>0</v>
      </c>
      <c r="G17" s="104">
        <f t="shared" si="93"/>
        <v>0</v>
      </c>
      <c r="H17" s="134"/>
      <c r="I17" s="135"/>
      <c r="J17" s="135"/>
      <c r="K17" s="31">
        <f t="shared" si="94"/>
        <v>0</v>
      </c>
      <c r="L17" s="14">
        <f t="shared" si="90"/>
        <v>0</v>
      </c>
      <c r="M17" s="14">
        <f t="shared" si="22"/>
        <v>0.7</v>
      </c>
      <c r="N17" s="47">
        <f t="shared" si="23"/>
        <v>0</v>
      </c>
      <c r="O17" s="185">
        <f t="shared" si="24"/>
        <v>1.4</v>
      </c>
      <c r="P17" s="159">
        <f t="shared" si="25"/>
        <v>0</v>
      </c>
      <c r="Q17" s="142"/>
      <c r="R17" s="17">
        <f t="shared" si="105"/>
        <v>12</v>
      </c>
      <c r="S17" s="48">
        <f t="shared" si="50"/>
        <v>0</v>
      </c>
      <c r="T17" s="49">
        <f t="shared" si="83"/>
        <v>0</v>
      </c>
      <c r="U17" s="160">
        <f t="shared" si="26"/>
        <v>118</v>
      </c>
      <c r="V17" s="103">
        <f t="shared" ref="V17:V21" si="108">V16</f>
        <v>0</v>
      </c>
      <c r="W17" s="46">
        <f t="shared" si="28"/>
        <v>118</v>
      </c>
      <c r="X17" s="61">
        <f t="shared" si="1"/>
        <v>77</v>
      </c>
      <c r="Y17" s="103">
        <f>Y16</f>
        <v>0</v>
      </c>
      <c r="Z17" s="71">
        <f t="shared" si="29"/>
        <v>77</v>
      </c>
      <c r="AB17" s="120">
        <f t="shared" ref="AB17:AB21" si="109">AB16+1</f>
        <v>12</v>
      </c>
      <c r="AC17" s="7">
        <f t="shared" ref="AC17:AC21" si="110">AC16</f>
        <v>2</v>
      </c>
      <c r="AD17" s="133"/>
      <c r="AE17" s="221"/>
      <c r="AF17" s="14">
        <f t="shared" si="95"/>
        <v>93572</v>
      </c>
      <c r="AG17" s="46">
        <f t="shared" si="96"/>
        <v>93475</v>
      </c>
      <c r="AH17" s="134">
        <v>12</v>
      </c>
      <c r="AI17" s="135">
        <v>85</v>
      </c>
      <c r="AJ17" s="135"/>
      <c r="AK17" s="31">
        <f t="shared" si="97"/>
        <v>97</v>
      </c>
      <c r="AL17" s="14">
        <f t="shared" si="84"/>
        <v>1265</v>
      </c>
      <c r="AM17" s="14">
        <f t="shared" si="2"/>
        <v>0.7</v>
      </c>
      <c r="AN17" s="47">
        <f t="shared" si="55"/>
        <v>1.0366348907792931</v>
      </c>
      <c r="AO17" s="35">
        <f t="shared" si="3"/>
        <v>1.4</v>
      </c>
      <c r="AP17" s="159">
        <f t="shared" si="77"/>
        <v>1.3519001410678408</v>
      </c>
      <c r="AQ17" s="142"/>
      <c r="AR17" s="14">
        <f t="shared" si="4"/>
        <v>12</v>
      </c>
      <c r="AS17" s="35">
        <f t="shared" si="91"/>
        <v>0</v>
      </c>
      <c r="AT17" s="297">
        <f t="shared" si="85"/>
        <v>0</v>
      </c>
      <c r="AU17" s="160">
        <f t="shared" si="5"/>
        <v>118</v>
      </c>
      <c r="AV17" s="103">
        <f t="shared" ref="AV17:AV21" si="111">AV16</f>
        <v>86.24</v>
      </c>
      <c r="AW17" s="46">
        <f t="shared" si="32"/>
        <v>31.760000000000005</v>
      </c>
      <c r="AX17" s="61">
        <f>VLOOKUP(AC17,PARAMETROCRIANZA,4,FALSE)</f>
        <v>77</v>
      </c>
      <c r="AY17" s="103">
        <f t="shared" ref="AY17:AY21" si="112">AY16</f>
        <v>81</v>
      </c>
      <c r="AZ17" s="71">
        <f t="shared" si="33"/>
        <v>-4</v>
      </c>
      <c r="BA17" s="316"/>
      <c r="BB17" s="120">
        <f t="shared" ref="BB17:BB21" si="113">BB16+1</f>
        <v>10</v>
      </c>
      <c r="BC17" s="7">
        <f t="shared" ref="BC17:BC21" si="114">BC16</f>
        <v>2</v>
      </c>
      <c r="BD17" s="133"/>
      <c r="BE17" s="221"/>
      <c r="BF17" s="14">
        <f t="shared" si="98"/>
        <v>192200</v>
      </c>
      <c r="BG17" s="46">
        <f t="shared" si="6"/>
        <v>191901</v>
      </c>
      <c r="BH17" s="134">
        <v>66</v>
      </c>
      <c r="BI17" s="135">
        <v>233</v>
      </c>
      <c r="BJ17" s="135"/>
      <c r="BK17" s="31">
        <f t="shared" si="99"/>
        <v>299</v>
      </c>
      <c r="BL17" s="14">
        <f t="shared" si="86"/>
        <v>1859</v>
      </c>
      <c r="BM17" s="14">
        <f t="shared" si="7"/>
        <v>0.7</v>
      </c>
      <c r="BN17" s="47">
        <f t="shared" si="34"/>
        <v>1.5556711758584807</v>
      </c>
      <c r="BO17" s="35">
        <f t="shared" si="35"/>
        <v>1.4</v>
      </c>
      <c r="BP17" s="159">
        <f t="shared" si="36"/>
        <v>0.96722164412070755</v>
      </c>
      <c r="BQ17" s="142"/>
      <c r="BR17" s="13">
        <f t="shared" si="8"/>
        <v>12</v>
      </c>
      <c r="BS17" s="48">
        <f t="shared" si="79"/>
        <v>0</v>
      </c>
      <c r="BT17" s="49">
        <f t="shared" si="87"/>
        <v>0</v>
      </c>
      <c r="BU17" s="50">
        <f t="shared" si="9"/>
        <v>118</v>
      </c>
      <c r="BV17" s="103">
        <f t="shared" ref="BV17:BV21" si="115">BV16</f>
        <v>82.2</v>
      </c>
      <c r="BW17" s="46">
        <f t="shared" si="10"/>
        <v>35.799999999999997</v>
      </c>
      <c r="BX17" s="61">
        <f t="shared" si="100"/>
        <v>77</v>
      </c>
      <c r="BY17" s="103">
        <f t="shared" ref="BY17:BY21" si="116">BY16</f>
        <v>79</v>
      </c>
      <c r="BZ17" s="71">
        <f t="shared" si="37"/>
        <v>-2</v>
      </c>
      <c r="CA17" s="316"/>
      <c r="CB17" s="120"/>
      <c r="CC17" s="7">
        <f t="shared" ref="CC17:CC21" si="117">CC16</f>
        <v>2</v>
      </c>
      <c r="CD17" s="133"/>
      <c r="CE17" s="221"/>
      <c r="CF17" s="14">
        <f t="shared" si="88"/>
        <v>0</v>
      </c>
      <c r="CG17" s="46">
        <f t="shared" si="101"/>
        <v>0</v>
      </c>
      <c r="CH17" s="134"/>
      <c r="CI17" s="135"/>
      <c r="CJ17" s="135"/>
      <c r="CK17" s="31">
        <f t="shared" si="102"/>
        <v>0</v>
      </c>
      <c r="CL17" s="14">
        <f t="shared" si="92"/>
        <v>0</v>
      </c>
      <c r="CM17" s="14">
        <f t="shared" si="12"/>
        <v>0.7</v>
      </c>
      <c r="CN17" s="47">
        <f t="shared" si="39"/>
        <v>0</v>
      </c>
      <c r="CO17" s="35">
        <f t="shared" si="13"/>
        <v>1.4</v>
      </c>
      <c r="CP17" s="159">
        <f t="shared" si="40"/>
        <v>0</v>
      </c>
      <c r="CQ17" s="142"/>
      <c r="CR17" s="13">
        <f t="shared" si="14"/>
        <v>12</v>
      </c>
      <c r="CS17" s="48">
        <f t="shared" si="65"/>
        <v>0</v>
      </c>
      <c r="CT17" s="49">
        <f t="shared" si="66"/>
        <v>0</v>
      </c>
      <c r="CU17" s="50">
        <f t="shared" si="15"/>
        <v>118</v>
      </c>
      <c r="CV17" s="103">
        <f>CV16</f>
        <v>0</v>
      </c>
      <c r="CW17" s="46">
        <f t="shared" si="41"/>
        <v>118</v>
      </c>
      <c r="CX17" s="61">
        <f t="shared" si="42"/>
        <v>77</v>
      </c>
      <c r="CY17" s="103">
        <f t="shared" ref="CY17:CY21" si="118">CY16</f>
        <v>0</v>
      </c>
      <c r="CZ17" s="71">
        <f t="shared" si="43"/>
        <v>77</v>
      </c>
      <c r="DA17" s="316"/>
      <c r="DB17" s="120"/>
      <c r="DC17" s="7">
        <f t="shared" ref="DC17:DC21" si="119">DC16</f>
        <v>2</v>
      </c>
      <c r="DD17" s="133"/>
      <c r="DE17" s="221"/>
      <c r="DF17" s="14">
        <f t="shared" si="70"/>
        <v>0</v>
      </c>
      <c r="DG17" s="46">
        <f t="shared" si="103"/>
        <v>0</v>
      </c>
      <c r="DH17" s="134"/>
      <c r="DI17" s="135"/>
      <c r="DJ17" s="135"/>
      <c r="DK17" s="31">
        <f t="shared" si="104"/>
        <v>0</v>
      </c>
      <c r="DL17" s="14">
        <f t="shared" si="89"/>
        <v>0</v>
      </c>
      <c r="DM17" s="14">
        <f t="shared" si="16"/>
        <v>0.7</v>
      </c>
      <c r="DN17" s="47">
        <f t="shared" si="45"/>
        <v>0</v>
      </c>
      <c r="DO17" s="35">
        <f t="shared" si="17"/>
        <v>1.4</v>
      </c>
      <c r="DP17" s="159">
        <f t="shared" si="46"/>
        <v>0</v>
      </c>
      <c r="DQ17" s="142"/>
      <c r="DR17" s="13">
        <f t="shared" si="18"/>
        <v>12</v>
      </c>
      <c r="DS17" s="48">
        <f t="shared" si="82"/>
        <v>0</v>
      </c>
      <c r="DT17" s="49">
        <f t="shared" si="71"/>
        <v>0</v>
      </c>
      <c r="DU17" s="50">
        <f t="shared" si="19"/>
        <v>118</v>
      </c>
      <c r="DV17" s="103">
        <f>DV16</f>
        <v>0</v>
      </c>
      <c r="DW17" s="46">
        <f t="shared" si="47"/>
        <v>118</v>
      </c>
      <c r="DX17" s="61">
        <f t="shared" si="48"/>
        <v>77</v>
      </c>
      <c r="DY17" s="103">
        <f>DY16</f>
        <v>0</v>
      </c>
      <c r="DZ17" s="71">
        <f t="shared" si="74"/>
        <v>77</v>
      </c>
    </row>
    <row r="18" spans="2:130" x14ac:dyDescent="0.25">
      <c r="B18" s="120"/>
      <c r="C18" s="115">
        <f t="shared" si="106"/>
        <v>2</v>
      </c>
      <c r="D18" s="133"/>
      <c r="E18" s="221"/>
      <c r="F18" s="103">
        <f t="shared" si="107"/>
        <v>0</v>
      </c>
      <c r="G18" s="108">
        <f t="shared" si="93"/>
        <v>0</v>
      </c>
      <c r="H18" s="134"/>
      <c r="I18" s="135"/>
      <c r="J18" s="135"/>
      <c r="K18" s="14">
        <f t="shared" si="94"/>
        <v>0</v>
      </c>
      <c r="L18" s="14">
        <f t="shared" si="90"/>
        <v>0</v>
      </c>
      <c r="M18" s="14">
        <f t="shared" si="22"/>
        <v>0.7</v>
      </c>
      <c r="N18" s="47">
        <f t="shared" si="23"/>
        <v>0</v>
      </c>
      <c r="O18" s="185">
        <f t="shared" si="24"/>
        <v>1.4</v>
      </c>
      <c r="P18" s="155">
        <f t="shared" si="25"/>
        <v>0</v>
      </c>
      <c r="Q18" s="142"/>
      <c r="R18" s="17">
        <f t="shared" si="105"/>
        <v>12</v>
      </c>
      <c r="S18" s="48">
        <f t="shared" si="50"/>
        <v>0</v>
      </c>
      <c r="T18" s="49">
        <f t="shared" si="83"/>
        <v>0</v>
      </c>
      <c r="U18" s="160">
        <f t="shared" si="26"/>
        <v>118</v>
      </c>
      <c r="V18" s="103">
        <f t="shared" si="108"/>
        <v>0</v>
      </c>
      <c r="W18" s="46">
        <f>U18-V18</f>
        <v>118</v>
      </c>
      <c r="X18" s="61">
        <f t="shared" si="1"/>
        <v>77</v>
      </c>
      <c r="Y18" s="103">
        <f>Y17</f>
        <v>0</v>
      </c>
      <c r="Z18" s="71">
        <f t="shared" si="29"/>
        <v>77</v>
      </c>
      <c r="AB18" s="120">
        <f t="shared" si="109"/>
        <v>13</v>
      </c>
      <c r="AC18" s="7">
        <f t="shared" si="110"/>
        <v>2</v>
      </c>
      <c r="AD18" s="133"/>
      <c r="AE18" s="221"/>
      <c r="AF18" s="14">
        <f t="shared" si="95"/>
        <v>93475</v>
      </c>
      <c r="AG18" s="62">
        <f t="shared" si="96"/>
        <v>93395</v>
      </c>
      <c r="AH18" s="134">
        <v>8</v>
      </c>
      <c r="AI18" s="135">
        <v>72</v>
      </c>
      <c r="AJ18" s="135"/>
      <c r="AK18" s="14">
        <f t="shared" si="97"/>
        <v>80</v>
      </c>
      <c r="AL18" s="14">
        <f t="shared" si="84"/>
        <v>1345</v>
      </c>
      <c r="AM18" s="14">
        <f t="shared" si="2"/>
        <v>0.7</v>
      </c>
      <c r="AN18" s="47">
        <f t="shared" si="55"/>
        <v>0.8558438085049479</v>
      </c>
      <c r="AO18" s="35">
        <f t="shared" si="3"/>
        <v>1.4</v>
      </c>
      <c r="AP18" s="159">
        <f t="shared" si="77"/>
        <v>1.4388874030489436</v>
      </c>
      <c r="AQ18" s="142"/>
      <c r="AR18" s="14">
        <f t="shared" si="4"/>
        <v>12</v>
      </c>
      <c r="AS18" s="35">
        <f t="shared" si="91"/>
        <v>0</v>
      </c>
      <c r="AT18" s="297">
        <f t="shared" si="85"/>
        <v>0</v>
      </c>
      <c r="AU18" s="160">
        <f t="shared" si="5"/>
        <v>118</v>
      </c>
      <c r="AV18" s="103">
        <f t="shared" si="111"/>
        <v>86.24</v>
      </c>
      <c r="AW18" s="46">
        <f>AU18-AV18</f>
        <v>31.760000000000005</v>
      </c>
      <c r="AX18" s="61">
        <f>VLOOKUP(AC18,PARAMETROCRIANZA,4,FALSE)</f>
        <v>77</v>
      </c>
      <c r="AY18" s="103">
        <f t="shared" si="112"/>
        <v>81</v>
      </c>
      <c r="AZ18" s="71">
        <f t="shared" si="33"/>
        <v>-4</v>
      </c>
      <c r="BA18" s="316"/>
      <c r="BB18" s="120">
        <f t="shared" si="113"/>
        <v>11</v>
      </c>
      <c r="BC18" s="7">
        <f t="shared" si="114"/>
        <v>2</v>
      </c>
      <c r="BD18" s="133"/>
      <c r="BE18" s="221"/>
      <c r="BF18" s="14">
        <f t="shared" si="98"/>
        <v>191901</v>
      </c>
      <c r="BG18" s="62">
        <f t="shared" ref="BG18:BG78" si="120">IFERROR(BF18-BK18,0)</f>
        <v>191593</v>
      </c>
      <c r="BH18" s="134">
        <v>34</v>
      </c>
      <c r="BI18" s="135">
        <v>274</v>
      </c>
      <c r="BJ18" s="135"/>
      <c r="BK18" s="14">
        <f t="shared" si="99"/>
        <v>308</v>
      </c>
      <c r="BL18" s="14">
        <f t="shared" si="86"/>
        <v>2167</v>
      </c>
      <c r="BM18" s="14">
        <f t="shared" si="7"/>
        <v>0.7</v>
      </c>
      <c r="BN18" s="47">
        <f t="shared" si="34"/>
        <v>1.6049942418226064</v>
      </c>
      <c r="BO18" s="35">
        <f t="shared" si="35"/>
        <v>1.4</v>
      </c>
      <c r="BP18" s="159">
        <f t="shared" si="36"/>
        <v>1.1292280915680482</v>
      </c>
      <c r="BQ18" s="142"/>
      <c r="BR18" s="13">
        <f t="shared" si="8"/>
        <v>12</v>
      </c>
      <c r="BS18" s="48">
        <f t="shared" si="79"/>
        <v>0</v>
      </c>
      <c r="BT18" s="49">
        <f t="shared" si="87"/>
        <v>0</v>
      </c>
      <c r="BU18" s="50">
        <f t="shared" si="9"/>
        <v>118</v>
      </c>
      <c r="BV18" s="103">
        <f t="shared" si="115"/>
        <v>82.2</v>
      </c>
      <c r="BW18" s="46">
        <f>BU18-BV18</f>
        <v>35.799999999999997</v>
      </c>
      <c r="BX18" s="61">
        <f t="shared" si="100"/>
        <v>77</v>
      </c>
      <c r="BY18" s="103">
        <f t="shared" si="116"/>
        <v>79</v>
      </c>
      <c r="BZ18" s="71">
        <f t="shared" si="37"/>
        <v>-2</v>
      </c>
      <c r="CA18" s="316"/>
      <c r="CB18" s="120"/>
      <c r="CC18" s="7">
        <f t="shared" si="117"/>
        <v>2</v>
      </c>
      <c r="CD18" s="133"/>
      <c r="CE18" s="221"/>
      <c r="CF18" s="14">
        <f t="shared" si="88"/>
        <v>0</v>
      </c>
      <c r="CG18" s="62">
        <f t="shared" si="101"/>
        <v>0</v>
      </c>
      <c r="CH18" s="134"/>
      <c r="CI18" s="135"/>
      <c r="CJ18" s="135"/>
      <c r="CK18" s="14">
        <f t="shared" si="102"/>
        <v>0</v>
      </c>
      <c r="CL18" s="14">
        <f t="shared" si="92"/>
        <v>0</v>
      </c>
      <c r="CM18" s="14">
        <f t="shared" si="12"/>
        <v>0.7</v>
      </c>
      <c r="CN18" s="47">
        <f t="shared" si="39"/>
        <v>0</v>
      </c>
      <c r="CO18" s="35">
        <f t="shared" si="13"/>
        <v>1.4</v>
      </c>
      <c r="CP18" s="159">
        <f t="shared" si="40"/>
        <v>0</v>
      </c>
      <c r="CQ18" s="142"/>
      <c r="CR18" s="13">
        <f t="shared" si="14"/>
        <v>12</v>
      </c>
      <c r="CS18" s="48">
        <f t="shared" si="65"/>
        <v>0</v>
      </c>
      <c r="CT18" s="49">
        <f t="shared" si="66"/>
        <v>0</v>
      </c>
      <c r="CU18" s="50">
        <f t="shared" si="15"/>
        <v>118</v>
      </c>
      <c r="CV18" s="103">
        <f t="shared" ref="CV18:CV21" si="121">CV17</f>
        <v>0</v>
      </c>
      <c r="CW18" s="46">
        <f>CU18-CV18</f>
        <v>118</v>
      </c>
      <c r="CX18" s="61">
        <f t="shared" si="42"/>
        <v>77</v>
      </c>
      <c r="CY18" s="103">
        <f t="shared" si="118"/>
        <v>0</v>
      </c>
      <c r="CZ18" s="71">
        <f t="shared" si="43"/>
        <v>77</v>
      </c>
      <c r="DA18" s="316"/>
      <c r="DB18" s="120"/>
      <c r="DC18" s="7">
        <f t="shared" si="119"/>
        <v>2</v>
      </c>
      <c r="DD18" s="133"/>
      <c r="DE18" s="221"/>
      <c r="DF18" s="14">
        <f t="shared" si="70"/>
        <v>0</v>
      </c>
      <c r="DG18" s="62">
        <f t="shared" si="103"/>
        <v>0</v>
      </c>
      <c r="DH18" s="134"/>
      <c r="DI18" s="135"/>
      <c r="DJ18" s="135"/>
      <c r="DK18" s="14">
        <f t="shared" si="104"/>
        <v>0</v>
      </c>
      <c r="DL18" s="14">
        <f t="shared" si="89"/>
        <v>0</v>
      </c>
      <c r="DM18" s="14">
        <f t="shared" si="16"/>
        <v>0.7</v>
      </c>
      <c r="DN18" s="47">
        <f t="shared" si="45"/>
        <v>0</v>
      </c>
      <c r="DO18" s="35">
        <f t="shared" si="17"/>
        <v>1.4</v>
      </c>
      <c r="DP18" s="159">
        <f t="shared" si="46"/>
        <v>0</v>
      </c>
      <c r="DQ18" s="142"/>
      <c r="DR18" s="13">
        <f t="shared" si="18"/>
        <v>12</v>
      </c>
      <c r="DS18" s="48">
        <f t="shared" si="82"/>
        <v>0</v>
      </c>
      <c r="DT18" s="49">
        <f t="shared" si="71"/>
        <v>0</v>
      </c>
      <c r="DU18" s="50">
        <f t="shared" si="19"/>
        <v>118</v>
      </c>
      <c r="DV18" s="103">
        <f t="shared" ref="DV18:DV21" si="122">DV17</f>
        <v>0</v>
      </c>
      <c r="DW18" s="46">
        <f>DU18-DV18</f>
        <v>118</v>
      </c>
      <c r="DX18" s="61">
        <f t="shared" si="48"/>
        <v>77</v>
      </c>
      <c r="DY18" s="103">
        <f t="shared" ref="DY18:DY21" si="123">DY17</f>
        <v>0</v>
      </c>
      <c r="DZ18" s="71">
        <f t="shared" si="74"/>
        <v>77</v>
      </c>
    </row>
    <row r="19" spans="2:130" x14ac:dyDescent="0.25">
      <c r="B19" s="120"/>
      <c r="C19" s="115">
        <f t="shared" si="106"/>
        <v>2</v>
      </c>
      <c r="D19" s="133"/>
      <c r="E19" s="221"/>
      <c r="F19" s="103">
        <f t="shared" si="107"/>
        <v>0</v>
      </c>
      <c r="G19" s="107">
        <f t="shared" si="93"/>
        <v>0</v>
      </c>
      <c r="H19" s="134"/>
      <c r="I19" s="135"/>
      <c r="J19" s="135"/>
      <c r="K19" s="14">
        <f t="shared" si="94"/>
        <v>0</v>
      </c>
      <c r="L19" s="14">
        <f t="shared" si="90"/>
        <v>0</v>
      </c>
      <c r="M19" s="188">
        <f t="shared" si="22"/>
        <v>0.7</v>
      </c>
      <c r="N19" s="47">
        <f t="shared" si="23"/>
        <v>0</v>
      </c>
      <c r="O19" s="190">
        <f t="shared" si="24"/>
        <v>1.4</v>
      </c>
      <c r="P19" s="157">
        <f t="shared" si="25"/>
        <v>0</v>
      </c>
      <c r="Q19" s="142"/>
      <c r="R19" s="17">
        <f t="shared" si="105"/>
        <v>12</v>
      </c>
      <c r="S19" s="48">
        <f t="shared" si="50"/>
        <v>0</v>
      </c>
      <c r="T19" s="49">
        <f t="shared" si="83"/>
        <v>0</v>
      </c>
      <c r="U19" s="12">
        <f t="shared" si="26"/>
        <v>118</v>
      </c>
      <c r="V19" s="103">
        <f t="shared" si="108"/>
        <v>0</v>
      </c>
      <c r="W19" s="62">
        <f>U19-V19</f>
        <v>118</v>
      </c>
      <c r="X19" s="61">
        <f t="shared" si="1"/>
        <v>77</v>
      </c>
      <c r="Y19" s="103">
        <f t="shared" ref="Y19:Y21" si="124">Y18</f>
        <v>0</v>
      </c>
      <c r="Z19" s="71">
        <f t="shared" si="29"/>
        <v>77</v>
      </c>
      <c r="AB19" s="120">
        <f t="shared" si="109"/>
        <v>14</v>
      </c>
      <c r="AC19" s="7">
        <f t="shared" si="110"/>
        <v>2</v>
      </c>
      <c r="AD19" s="133"/>
      <c r="AE19" s="221"/>
      <c r="AF19" s="14">
        <f t="shared" si="95"/>
        <v>93395</v>
      </c>
      <c r="AG19" s="59">
        <f t="shared" si="96"/>
        <v>93334</v>
      </c>
      <c r="AH19" s="134">
        <v>9</v>
      </c>
      <c r="AI19" s="135">
        <v>52</v>
      </c>
      <c r="AJ19" s="135"/>
      <c r="AK19" s="14">
        <f t="shared" si="97"/>
        <v>61</v>
      </c>
      <c r="AL19" s="14">
        <f t="shared" si="84"/>
        <v>1406</v>
      </c>
      <c r="AM19" s="14">
        <f t="shared" si="2"/>
        <v>0.7</v>
      </c>
      <c r="AN19" s="47">
        <f t="shared" si="55"/>
        <v>0.65313988971572357</v>
      </c>
      <c r="AO19" s="35">
        <f t="shared" si="3"/>
        <v>1.4</v>
      </c>
      <c r="AP19" s="159">
        <f t="shared" si="77"/>
        <v>1.5054339097382088</v>
      </c>
      <c r="AQ19" s="142"/>
      <c r="AR19" s="14">
        <f t="shared" si="4"/>
        <v>12</v>
      </c>
      <c r="AS19" s="35">
        <f t="shared" si="91"/>
        <v>0</v>
      </c>
      <c r="AT19" s="297">
        <f t="shared" si="85"/>
        <v>0</v>
      </c>
      <c r="AU19" s="160">
        <f t="shared" si="5"/>
        <v>118</v>
      </c>
      <c r="AV19" s="103">
        <f t="shared" si="111"/>
        <v>86.24</v>
      </c>
      <c r="AW19" s="62">
        <f>AU19-AV19</f>
        <v>31.760000000000005</v>
      </c>
      <c r="AX19" s="61">
        <f t="shared" si="57"/>
        <v>77</v>
      </c>
      <c r="AY19" s="103">
        <f t="shared" si="112"/>
        <v>81</v>
      </c>
      <c r="AZ19" s="71">
        <f t="shared" si="33"/>
        <v>-4</v>
      </c>
      <c r="BA19" s="316"/>
      <c r="BB19" s="120">
        <f t="shared" si="113"/>
        <v>12</v>
      </c>
      <c r="BC19" s="7">
        <f t="shared" si="114"/>
        <v>2</v>
      </c>
      <c r="BD19" s="133"/>
      <c r="BE19" s="221"/>
      <c r="BF19" s="14">
        <f t="shared" si="98"/>
        <v>191593</v>
      </c>
      <c r="BG19" s="59">
        <f t="shared" si="120"/>
        <v>191355</v>
      </c>
      <c r="BH19" s="134">
        <v>18</v>
      </c>
      <c r="BI19" s="135">
        <v>220</v>
      </c>
      <c r="BJ19" s="135"/>
      <c r="BK19" s="14">
        <f t="shared" si="99"/>
        <v>238</v>
      </c>
      <c r="BL19" s="14">
        <f t="shared" si="86"/>
        <v>2405</v>
      </c>
      <c r="BM19" s="14">
        <f t="shared" si="7"/>
        <v>0.7</v>
      </c>
      <c r="BN19" s="47">
        <f t="shared" si="34"/>
        <v>1.2422165736744035</v>
      </c>
      <c r="BO19" s="35">
        <f t="shared" si="35"/>
        <v>1.4</v>
      </c>
      <c r="BP19" s="159">
        <f t="shared" si="36"/>
        <v>1.2552650670953531</v>
      </c>
      <c r="BQ19" s="142"/>
      <c r="BR19" s="13">
        <f t="shared" si="8"/>
        <v>12</v>
      </c>
      <c r="BS19" s="48">
        <f t="shared" si="79"/>
        <v>0</v>
      </c>
      <c r="BT19" s="49">
        <f t="shared" si="87"/>
        <v>0</v>
      </c>
      <c r="BU19" s="50">
        <f t="shared" si="9"/>
        <v>118</v>
      </c>
      <c r="BV19" s="103">
        <f t="shared" si="115"/>
        <v>82.2</v>
      </c>
      <c r="BW19" s="62">
        <f>BU19-BV19</f>
        <v>35.799999999999997</v>
      </c>
      <c r="BX19" s="61">
        <f t="shared" si="100"/>
        <v>77</v>
      </c>
      <c r="BY19" s="103">
        <f t="shared" si="116"/>
        <v>79</v>
      </c>
      <c r="BZ19" s="71">
        <f t="shared" si="37"/>
        <v>-2</v>
      </c>
      <c r="CA19" s="316"/>
      <c r="CB19" s="120"/>
      <c r="CC19" s="7">
        <f t="shared" si="117"/>
        <v>2</v>
      </c>
      <c r="CD19" s="133"/>
      <c r="CE19" s="221"/>
      <c r="CF19" s="14">
        <f t="shared" si="88"/>
        <v>0</v>
      </c>
      <c r="CG19" s="59">
        <f t="shared" si="101"/>
        <v>0</v>
      </c>
      <c r="CH19" s="134"/>
      <c r="CI19" s="135"/>
      <c r="CJ19" s="135"/>
      <c r="CK19" s="14">
        <f t="shared" si="102"/>
        <v>0</v>
      </c>
      <c r="CL19" s="14">
        <f t="shared" si="92"/>
        <v>0</v>
      </c>
      <c r="CM19" s="14">
        <f t="shared" si="12"/>
        <v>0.7</v>
      </c>
      <c r="CN19" s="47">
        <f t="shared" si="39"/>
        <v>0</v>
      </c>
      <c r="CO19" s="35">
        <f t="shared" si="13"/>
        <v>1.4</v>
      </c>
      <c r="CP19" s="159">
        <f t="shared" si="40"/>
        <v>0</v>
      </c>
      <c r="CQ19" s="142"/>
      <c r="CR19" s="13">
        <f t="shared" si="14"/>
        <v>12</v>
      </c>
      <c r="CS19" s="48">
        <f t="shared" si="65"/>
        <v>0</v>
      </c>
      <c r="CT19" s="49">
        <f t="shared" si="66"/>
        <v>0</v>
      </c>
      <c r="CU19" s="50">
        <f t="shared" si="15"/>
        <v>118</v>
      </c>
      <c r="CV19" s="103">
        <f t="shared" si="121"/>
        <v>0</v>
      </c>
      <c r="CW19" s="62">
        <f>CU19-CV19</f>
        <v>118</v>
      </c>
      <c r="CX19" s="61">
        <f>VLOOKUP(CC19,PARAMETROCRIANZA,4,FALSE)</f>
        <v>77</v>
      </c>
      <c r="CY19" s="103">
        <f t="shared" si="118"/>
        <v>0</v>
      </c>
      <c r="CZ19" s="71">
        <f t="shared" si="43"/>
        <v>77</v>
      </c>
      <c r="DA19" s="316"/>
      <c r="DB19" s="120"/>
      <c r="DC19" s="7">
        <f t="shared" si="119"/>
        <v>2</v>
      </c>
      <c r="DD19" s="133"/>
      <c r="DE19" s="221"/>
      <c r="DF19" s="14">
        <f t="shared" si="70"/>
        <v>0</v>
      </c>
      <c r="DG19" s="59">
        <f t="shared" si="103"/>
        <v>0</v>
      </c>
      <c r="DH19" s="134"/>
      <c r="DI19" s="135"/>
      <c r="DJ19" s="135"/>
      <c r="DK19" s="14">
        <f t="shared" si="104"/>
        <v>0</v>
      </c>
      <c r="DL19" s="14">
        <f t="shared" si="89"/>
        <v>0</v>
      </c>
      <c r="DM19" s="14">
        <f t="shared" si="16"/>
        <v>0.7</v>
      </c>
      <c r="DN19" s="47">
        <f t="shared" si="45"/>
        <v>0</v>
      </c>
      <c r="DO19" s="35">
        <f t="shared" si="17"/>
        <v>1.4</v>
      </c>
      <c r="DP19" s="159">
        <f t="shared" si="46"/>
        <v>0</v>
      </c>
      <c r="DQ19" s="142"/>
      <c r="DR19" s="13">
        <f t="shared" si="18"/>
        <v>12</v>
      </c>
      <c r="DS19" s="48">
        <f t="shared" si="82"/>
        <v>0</v>
      </c>
      <c r="DT19" s="49">
        <f t="shared" si="71"/>
        <v>0</v>
      </c>
      <c r="DU19" s="50">
        <f t="shared" si="19"/>
        <v>118</v>
      </c>
      <c r="DV19" s="103">
        <f t="shared" si="122"/>
        <v>0</v>
      </c>
      <c r="DW19" s="62">
        <f>DU19-DV19</f>
        <v>118</v>
      </c>
      <c r="DX19" s="61">
        <f t="shared" si="48"/>
        <v>77</v>
      </c>
      <c r="DY19" s="103">
        <f t="shared" si="123"/>
        <v>0</v>
      </c>
      <c r="DZ19" s="71">
        <f t="shared" si="74"/>
        <v>77</v>
      </c>
    </row>
    <row r="20" spans="2:130" x14ac:dyDescent="0.25">
      <c r="B20" s="120"/>
      <c r="C20" s="115">
        <f t="shared" si="106"/>
        <v>2</v>
      </c>
      <c r="D20" s="133"/>
      <c r="E20" s="221"/>
      <c r="F20" s="103">
        <f t="shared" si="107"/>
        <v>0</v>
      </c>
      <c r="G20" s="104">
        <f t="shared" si="93"/>
        <v>0</v>
      </c>
      <c r="H20" s="134"/>
      <c r="I20" s="135"/>
      <c r="J20" s="135"/>
      <c r="K20" s="14">
        <f t="shared" si="94"/>
        <v>0</v>
      </c>
      <c r="L20" s="14">
        <f t="shared" si="90"/>
        <v>0</v>
      </c>
      <c r="M20" s="189">
        <f t="shared" si="22"/>
        <v>0.7</v>
      </c>
      <c r="N20" s="47">
        <f t="shared" si="23"/>
        <v>0</v>
      </c>
      <c r="O20" s="185">
        <f t="shared" si="24"/>
        <v>1.4</v>
      </c>
      <c r="P20" s="157">
        <f t="shared" si="25"/>
        <v>0</v>
      </c>
      <c r="Q20" s="142"/>
      <c r="R20" s="17">
        <f t="shared" si="105"/>
        <v>12</v>
      </c>
      <c r="S20" s="48">
        <f t="shared" si="50"/>
        <v>0</v>
      </c>
      <c r="T20" s="49">
        <f t="shared" si="83"/>
        <v>0</v>
      </c>
      <c r="U20" s="160">
        <f t="shared" si="26"/>
        <v>118</v>
      </c>
      <c r="V20" s="103">
        <f t="shared" si="108"/>
        <v>0</v>
      </c>
      <c r="W20" s="46">
        <f>U20-V20</f>
        <v>118</v>
      </c>
      <c r="X20" s="61">
        <f t="shared" si="1"/>
        <v>77</v>
      </c>
      <c r="Y20" s="103">
        <f t="shared" si="124"/>
        <v>0</v>
      </c>
      <c r="Z20" s="71">
        <f t="shared" si="29"/>
        <v>77</v>
      </c>
      <c r="AB20" s="120">
        <f t="shared" si="109"/>
        <v>15</v>
      </c>
      <c r="AC20" s="7">
        <f t="shared" si="110"/>
        <v>2</v>
      </c>
      <c r="AD20" s="133"/>
      <c r="AE20" s="221"/>
      <c r="AF20" s="14">
        <f t="shared" si="95"/>
        <v>93334</v>
      </c>
      <c r="AG20" s="46">
        <f t="shared" si="96"/>
        <v>93239</v>
      </c>
      <c r="AH20" s="134">
        <v>12</v>
      </c>
      <c r="AI20" s="135">
        <v>83</v>
      </c>
      <c r="AJ20" s="135"/>
      <c r="AK20" s="14">
        <f t="shared" si="97"/>
        <v>95</v>
      </c>
      <c r="AL20" s="14">
        <f t="shared" si="84"/>
        <v>1501</v>
      </c>
      <c r="AM20" s="14">
        <f t="shared" si="2"/>
        <v>0.7</v>
      </c>
      <c r="AN20" s="47">
        <f t="shared" si="55"/>
        <v>1.0178498725009106</v>
      </c>
      <c r="AO20" s="35">
        <f t="shared" si="3"/>
        <v>1.4</v>
      </c>
      <c r="AP20" s="159">
        <f>IFERROR((AL20*100)/AF20,0)</f>
        <v>1.6082027985514389</v>
      </c>
      <c r="AQ20" s="142"/>
      <c r="AR20" s="14">
        <f t="shared" si="4"/>
        <v>12</v>
      </c>
      <c r="AS20" s="35">
        <f t="shared" si="91"/>
        <v>0</v>
      </c>
      <c r="AT20" s="297">
        <f t="shared" si="85"/>
        <v>0</v>
      </c>
      <c r="AU20" s="160">
        <f t="shared" si="5"/>
        <v>118</v>
      </c>
      <c r="AV20" s="103">
        <f t="shared" si="111"/>
        <v>86.24</v>
      </c>
      <c r="AW20" s="46">
        <f>AU20-AV20</f>
        <v>31.760000000000005</v>
      </c>
      <c r="AX20" s="61">
        <f t="shared" si="57"/>
        <v>77</v>
      </c>
      <c r="AY20" s="103">
        <f t="shared" si="112"/>
        <v>81</v>
      </c>
      <c r="AZ20" s="71">
        <f t="shared" si="33"/>
        <v>-4</v>
      </c>
      <c r="BA20" s="316"/>
      <c r="BB20" s="120">
        <f t="shared" si="113"/>
        <v>13</v>
      </c>
      <c r="BC20" s="7">
        <f t="shared" si="114"/>
        <v>2</v>
      </c>
      <c r="BD20" s="133"/>
      <c r="BE20" s="221"/>
      <c r="BF20" s="14">
        <f t="shared" si="98"/>
        <v>191355</v>
      </c>
      <c r="BG20" s="46">
        <f t="shared" si="120"/>
        <v>191065</v>
      </c>
      <c r="BH20" s="134">
        <v>54</v>
      </c>
      <c r="BI20" s="135">
        <v>236</v>
      </c>
      <c r="BJ20" s="135"/>
      <c r="BK20" s="14">
        <f t="shared" si="99"/>
        <v>290</v>
      </c>
      <c r="BL20" s="14">
        <f t="shared" si="86"/>
        <v>2695</v>
      </c>
      <c r="BM20" s="14">
        <f t="shared" si="7"/>
        <v>0.7</v>
      </c>
      <c r="BN20" s="47">
        <f t="shared" si="34"/>
        <v>1.515507825768859</v>
      </c>
      <c r="BO20" s="35">
        <f t="shared" si="35"/>
        <v>1.4</v>
      </c>
      <c r="BP20" s="159">
        <f t="shared" si="36"/>
        <v>1.4083771001541636</v>
      </c>
      <c r="BQ20" s="142"/>
      <c r="BR20" s="13">
        <f t="shared" si="8"/>
        <v>12</v>
      </c>
      <c r="BS20" s="48">
        <f t="shared" si="79"/>
        <v>0</v>
      </c>
      <c r="BT20" s="49">
        <f t="shared" si="87"/>
        <v>0</v>
      </c>
      <c r="BU20" s="50">
        <f t="shared" si="9"/>
        <v>118</v>
      </c>
      <c r="BV20" s="103">
        <f t="shared" si="115"/>
        <v>82.2</v>
      </c>
      <c r="BW20" s="46">
        <f>BU20-BV20</f>
        <v>35.799999999999997</v>
      </c>
      <c r="BX20" s="61">
        <f t="shared" si="100"/>
        <v>77</v>
      </c>
      <c r="BY20" s="103">
        <f t="shared" si="116"/>
        <v>79</v>
      </c>
      <c r="BZ20" s="71">
        <f t="shared" si="37"/>
        <v>-2</v>
      </c>
      <c r="CA20" s="316"/>
      <c r="CB20" s="120"/>
      <c r="CC20" s="7">
        <f t="shared" si="117"/>
        <v>2</v>
      </c>
      <c r="CD20" s="133"/>
      <c r="CE20" s="221"/>
      <c r="CF20" s="14">
        <f t="shared" si="88"/>
        <v>0</v>
      </c>
      <c r="CG20" s="46">
        <f t="shared" si="101"/>
        <v>0</v>
      </c>
      <c r="CH20" s="134"/>
      <c r="CI20" s="135"/>
      <c r="CJ20" s="135"/>
      <c r="CK20" s="14">
        <f t="shared" si="102"/>
        <v>0</v>
      </c>
      <c r="CL20" s="14">
        <f t="shared" si="92"/>
        <v>0</v>
      </c>
      <c r="CM20" s="14">
        <f t="shared" si="12"/>
        <v>0.7</v>
      </c>
      <c r="CN20" s="47">
        <f t="shared" si="39"/>
        <v>0</v>
      </c>
      <c r="CO20" s="35">
        <f t="shared" si="13"/>
        <v>1.4</v>
      </c>
      <c r="CP20" s="159">
        <f t="shared" si="40"/>
        <v>0</v>
      </c>
      <c r="CQ20" s="142"/>
      <c r="CR20" s="13">
        <f t="shared" si="14"/>
        <v>12</v>
      </c>
      <c r="CS20" s="48">
        <f t="shared" si="65"/>
        <v>0</v>
      </c>
      <c r="CT20" s="49">
        <f t="shared" si="66"/>
        <v>0</v>
      </c>
      <c r="CU20" s="50">
        <f t="shared" si="15"/>
        <v>118</v>
      </c>
      <c r="CV20" s="103">
        <f t="shared" si="121"/>
        <v>0</v>
      </c>
      <c r="CW20" s="46">
        <f>CU20-CV20</f>
        <v>118</v>
      </c>
      <c r="CX20" s="61">
        <f t="shared" si="42"/>
        <v>77</v>
      </c>
      <c r="CY20" s="103">
        <f>CY19</f>
        <v>0</v>
      </c>
      <c r="CZ20" s="71">
        <f t="shared" si="43"/>
        <v>77</v>
      </c>
      <c r="DA20" s="316"/>
      <c r="DB20" s="120"/>
      <c r="DC20" s="7">
        <f t="shared" si="119"/>
        <v>2</v>
      </c>
      <c r="DD20" s="133"/>
      <c r="DE20" s="221"/>
      <c r="DF20" s="14">
        <f t="shared" si="70"/>
        <v>0</v>
      </c>
      <c r="DG20" s="46">
        <f t="shared" si="103"/>
        <v>0</v>
      </c>
      <c r="DH20" s="134"/>
      <c r="DI20" s="135"/>
      <c r="DJ20" s="135"/>
      <c r="DK20" s="14">
        <f t="shared" si="104"/>
        <v>0</v>
      </c>
      <c r="DL20" s="14">
        <f t="shared" si="89"/>
        <v>0</v>
      </c>
      <c r="DM20" s="14">
        <f t="shared" si="16"/>
        <v>0.7</v>
      </c>
      <c r="DN20" s="47">
        <f t="shared" si="45"/>
        <v>0</v>
      </c>
      <c r="DO20" s="35">
        <f t="shared" si="17"/>
        <v>1.4</v>
      </c>
      <c r="DP20" s="159">
        <f t="shared" si="46"/>
        <v>0</v>
      </c>
      <c r="DQ20" s="142"/>
      <c r="DR20" s="13">
        <f t="shared" si="18"/>
        <v>12</v>
      </c>
      <c r="DS20" s="48">
        <f t="shared" si="82"/>
        <v>0</v>
      </c>
      <c r="DT20" s="49">
        <f t="shared" si="71"/>
        <v>0</v>
      </c>
      <c r="DU20" s="50">
        <f t="shared" si="19"/>
        <v>118</v>
      </c>
      <c r="DV20" s="103">
        <f t="shared" si="122"/>
        <v>0</v>
      </c>
      <c r="DW20" s="46">
        <f>DU20-DV20</f>
        <v>118</v>
      </c>
      <c r="DX20" s="61">
        <f t="shared" si="48"/>
        <v>77</v>
      </c>
      <c r="DY20" s="103">
        <f t="shared" si="123"/>
        <v>0</v>
      </c>
      <c r="DZ20" s="71">
        <f t="shared" si="74"/>
        <v>77</v>
      </c>
    </row>
    <row r="21" spans="2:130" ht="17.25" thickBot="1" x14ac:dyDescent="0.3">
      <c r="B21" s="197"/>
      <c r="C21" s="116">
        <f t="shared" si="106"/>
        <v>2</v>
      </c>
      <c r="D21" s="136"/>
      <c r="E21" s="226"/>
      <c r="F21" s="109">
        <f t="shared" si="107"/>
        <v>0</v>
      </c>
      <c r="G21" s="110">
        <f t="shared" si="93"/>
        <v>0</v>
      </c>
      <c r="H21" s="137"/>
      <c r="I21" s="138"/>
      <c r="J21" s="138"/>
      <c r="K21" s="34">
        <f t="shared" si="94"/>
        <v>0</v>
      </c>
      <c r="L21" s="34">
        <f t="shared" si="90"/>
        <v>0</v>
      </c>
      <c r="M21" s="69">
        <f t="shared" si="22"/>
        <v>0.7</v>
      </c>
      <c r="N21" s="166">
        <f t="shared" si="23"/>
        <v>0</v>
      </c>
      <c r="O21" s="191">
        <f t="shared" si="24"/>
        <v>1.4</v>
      </c>
      <c r="P21" s="156">
        <f t="shared" si="25"/>
        <v>0</v>
      </c>
      <c r="Q21" s="139"/>
      <c r="R21" s="15">
        <f t="shared" si="105"/>
        <v>12</v>
      </c>
      <c r="S21" s="54">
        <f t="shared" si="50"/>
        <v>0</v>
      </c>
      <c r="T21" s="55">
        <f t="shared" si="83"/>
        <v>0</v>
      </c>
      <c r="U21" s="15">
        <f t="shared" si="26"/>
        <v>118</v>
      </c>
      <c r="V21" s="109">
        <f t="shared" si="108"/>
        <v>0</v>
      </c>
      <c r="W21" s="63">
        <f>U21-V21</f>
        <v>118</v>
      </c>
      <c r="X21" s="65">
        <f t="shared" si="1"/>
        <v>77</v>
      </c>
      <c r="Y21" s="109">
        <f t="shared" si="124"/>
        <v>0</v>
      </c>
      <c r="Z21" s="63">
        <f t="shared" si="29"/>
        <v>77</v>
      </c>
      <c r="AB21" s="197">
        <f t="shared" si="109"/>
        <v>16</v>
      </c>
      <c r="AC21" s="8">
        <f t="shared" si="110"/>
        <v>2</v>
      </c>
      <c r="AD21" s="136"/>
      <c r="AE21" s="226"/>
      <c r="AF21" s="32">
        <f t="shared" si="95"/>
        <v>93239</v>
      </c>
      <c r="AG21" s="63">
        <f t="shared" si="96"/>
        <v>93141</v>
      </c>
      <c r="AH21" s="137">
        <v>22</v>
      </c>
      <c r="AI21" s="138">
        <v>76</v>
      </c>
      <c r="AJ21" s="138"/>
      <c r="AK21" s="34">
        <f t="shared" si="97"/>
        <v>98</v>
      </c>
      <c r="AL21" s="34">
        <f t="shared" si="84"/>
        <v>1599</v>
      </c>
      <c r="AM21" s="34">
        <f t="shared" si="2"/>
        <v>0.7</v>
      </c>
      <c r="AN21" s="96">
        <f t="shared" si="55"/>
        <v>1.0510623237057455</v>
      </c>
      <c r="AO21" s="36">
        <f t="shared" si="3"/>
        <v>1.4</v>
      </c>
      <c r="AP21" s="156">
        <f t="shared" si="77"/>
        <v>1.7149476077607011</v>
      </c>
      <c r="AQ21" s="139"/>
      <c r="AR21" s="32">
        <f t="shared" si="4"/>
        <v>12</v>
      </c>
      <c r="AS21" s="36">
        <f t="shared" si="91"/>
        <v>0</v>
      </c>
      <c r="AT21" s="299">
        <f t="shared" si="85"/>
        <v>0</v>
      </c>
      <c r="AU21" s="15">
        <f t="shared" si="5"/>
        <v>118</v>
      </c>
      <c r="AV21" s="109">
        <f t="shared" si="111"/>
        <v>86.24</v>
      </c>
      <c r="AW21" s="63">
        <f>AU21-AV21</f>
        <v>31.760000000000005</v>
      </c>
      <c r="AX21" s="65">
        <f t="shared" si="57"/>
        <v>77</v>
      </c>
      <c r="AY21" s="109">
        <f t="shared" si="112"/>
        <v>81</v>
      </c>
      <c r="AZ21" s="63">
        <f t="shared" si="33"/>
        <v>-4</v>
      </c>
      <c r="BA21" s="316"/>
      <c r="BB21" s="197">
        <f t="shared" si="113"/>
        <v>14</v>
      </c>
      <c r="BC21" s="8">
        <f t="shared" si="114"/>
        <v>2</v>
      </c>
      <c r="BD21" s="136"/>
      <c r="BE21" s="226"/>
      <c r="BF21" s="32">
        <f t="shared" si="98"/>
        <v>191065</v>
      </c>
      <c r="BG21" s="63">
        <f t="shared" si="120"/>
        <v>190802</v>
      </c>
      <c r="BH21" s="137">
        <v>21</v>
      </c>
      <c r="BI21" s="138">
        <v>242</v>
      </c>
      <c r="BJ21" s="138"/>
      <c r="BK21" s="34">
        <f t="shared" si="99"/>
        <v>263</v>
      </c>
      <c r="BL21" s="34">
        <f t="shared" si="86"/>
        <v>2958</v>
      </c>
      <c r="BM21" s="32">
        <f t="shared" si="7"/>
        <v>0.7</v>
      </c>
      <c r="BN21" s="96">
        <f t="shared" si="34"/>
        <v>1.3764949101091251</v>
      </c>
      <c r="BO21" s="36">
        <f t="shared" si="35"/>
        <v>1.4</v>
      </c>
      <c r="BP21" s="156">
        <f t="shared" si="36"/>
        <v>1.5481642373014419</v>
      </c>
      <c r="BQ21" s="139"/>
      <c r="BR21" s="32">
        <f t="shared" si="8"/>
        <v>12</v>
      </c>
      <c r="BS21" s="54">
        <f t="shared" si="79"/>
        <v>0</v>
      </c>
      <c r="BT21" s="55">
        <f t="shared" si="87"/>
        <v>0</v>
      </c>
      <c r="BU21" s="56">
        <f t="shared" si="9"/>
        <v>118</v>
      </c>
      <c r="BV21" s="109">
        <f t="shared" si="115"/>
        <v>82.2</v>
      </c>
      <c r="BW21" s="63">
        <f>BU21-BV21</f>
        <v>35.799999999999997</v>
      </c>
      <c r="BX21" s="65">
        <f t="shared" si="100"/>
        <v>77</v>
      </c>
      <c r="BY21" s="109">
        <f t="shared" si="116"/>
        <v>79</v>
      </c>
      <c r="BZ21" s="63">
        <f t="shared" si="37"/>
        <v>-2</v>
      </c>
      <c r="CA21" s="316"/>
      <c r="CB21" s="197"/>
      <c r="CC21" s="8">
        <f t="shared" si="117"/>
        <v>2</v>
      </c>
      <c r="CD21" s="136"/>
      <c r="CE21" s="226"/>
      <c r="CF21" s="32">
        <f t="shared" si="88"/>
        <v>0</v>
      </c>
      <c r="CG21" s="63">
        <f t="shared" si="101"/>
        <v>0</v>
      </c>
      <c r="CH21" s="137"/>
      <c r="CI21" s="138"/>
      <c r="CJ21" s="138"/>
      <c r="CK21" s="34">
        <f t="shared" si="102"/>
        <v>0</v>
      </c>
      <c r="CL21" s="34">
        <f t="shared" si="92"/>
        <v>0</v>
      </c>
      <c r="CM21" s="32">
        <f t="shared" si="12"/>
        <v>0.7</v>
      </c>
      <c r="CN21" s="96">
        <f t="shared" si="39"/>
        <v>0</v>
      </c>
      <c r="CO21" s="36">
        <f t="shared" si="13"/>
        <v>1.4</v>
      </c>
      <c r="CP21" s="156">
        <f t="shared" si="40"/>
        <v>0</v>
      </c>
      <c r="CQ21" s="139"/>
      <c r="CR21" s="32">
        <f t="shared" si="14"/>
        <v>12</v>
      </c>
      <c r="CS21" s="54">
        <f t="shared" si="65"/>
        <v>0</v>
      </c>
      <c r="CT21" s="55">
        <f t="shared" si="66"/>
        <v>0</v>
      </c>
      <c r="CU21" s="56">
        <f t="shared" si="15"/>
        <v>118</v>
      </c>
      <c r="CV21" s="109">
        <f t="shared" si="121"/>
        <v>0</v>
      </c>
      <c r="CW21" s="63">
        <f>CU21-CV21</f>
        <v>118</v>
      </c>
      <c r="CX21" s="65">
        <f t="shared" si="42"/>
        <v>77</v>
      </c>
      <c r="CY21" s="109">
        <f t="shared" si="118"/>
        <v>0</v>
      </c>
      <c r="CZ21" s="63">
        <f>CX21-CY21</f>
        <v>77</v>
      </c>
      <c r="DA21" s="316"/>
      <c r="DB21" s="197"/>
      <c r="DC21" s="8">
        <f t="shared" si="119"/>
        <v>2</v>
      </c>
      <c r="DD21" s="136"/>
      <c r="DE21" s="226"/>
      <c r="DF21" s="32">
        <f t="shared" si="70"/>
        <v>0</v>
      </c>
      <c r="DG21" s="63">
        <f t="shared" si="103"/>
        <v>0</v>
      </c>
      <c r="DH21" s="137"/>
      <c r="DI21" s="138"/>
      <c r="DJ21" s="138"/>
      <c r="DK21" s="34">
        <f t="shared" si="104"/>
        <v>0</v>
      </c>
      <c r="DL21" s="34">
        <f t="shared" si="89"/>
        <v>0</v>
      </c>
      <c r="DM21" s="32">
        <f t="shared" si="16"/>
        <v>0.7</v>
      </c>
      <c r="DN21" s="96">
        <f t="shared" si="45"/>
        <v>0</v>
      </c>
      <c r="DO21" s="36">
        <f t="shared" si="17"/>
        <v>1.4</v>
      </c>
      <c r="DP21" s="156">
        <f t="shared" si="46"/>
        <v>0</v>
      </c>
      <c r="DQ21" s="139"/>
      <c r="DR21" s="32">
        <f t="shared" si="18"/>
        <v>12</v>
      </c>
      <c r="DS21" s="54">
        <f t="shared" si="82"/>
        <v>0</v>
      </c>
      <c r="DT21" s="55">
        <f t="shared" si="71"/>
        <v>0</v>
      </c>
      <c r="DU21" s="56">
        <f t="shared" si="19"/>
        <v>118</v>
      </c>
      <c r="DV21" s="109">
        <f t="shared" si="122"/>
        <v>0</v>
      </c>
      <c r="DW21" s="63">
        <f>DU21-DV21</f>
        <v>118</v>
      </c>
      <c r="DX21" s="65">
        <f t="shared" si="48"/>
        <v>77</v>
      </c>
      <c r="DY21" s="109">
        <f t="shared" si="123"/>
        <v>0</v>
      </c>
      <c r="DZ21" s="63">
        <f t="shared" si="74"/>
        <v>77</v>
      </c>
    </row>
    <row r="22" spans="2:130" x14ac:dyDescent="0.25">
      <c r="B22" s="198"/>
      <c r="C22" s="117">
        <v>3</v>
      </c>
      <c r="D22" s="143"/>
      <c r="E22" s="227"/>
      <c r="F22" s="112">
        <f t="shared" si="107"/>
        <v>0</v>
      </c>
      <c r="G22" s="108">
        <f t="shared" si="93"/>
        <v>0</v>
      </c>
      <c r="H22" s="144"/>
      <c r="I22" s="141"/>
      <c r="J22" s="141"/>
      <c r="K22" s="17">
        <f t="shared" si="94"/>
        <v>0</v>
      </c>
      <c r="L22" s="17">
        <f t="shared" si="90"/>
        <v>0</v>
      </c>
      <c r="M22" s="17">
        <f t="shared" si="22"/>
        <v>0.5</v>
      </c>
      <c r="N22" s="235">
        <f t="shared" si="23"/>
        <v>0</v>
      </c>
      <c r="O22" s="33">
        <f t="shared" si="24"/>
        <v>1.9</v>
      </c>
      <c r="P22" s="155">
        <f t="shared" si="25"/>
        <v>0</v>
      </c>
      <c r="Q22" s="145"/>
      <c r="R22" s="17">
        <f t="shared" si="105"/>
        <v>20</v>
      </c>
      <c r="S22" s="60">
        <f t="shared" si="50"/>
        <v>0</v>
      </c>
      <c r="T22" s="72">
        <f t="shared" si="83"/>
        <v>0</v>
      </c>
      <c r="U22" s="12">
        <f t="shared" si="26"/>
        <v>185</v>
      </c>
      <c r="V22" s="141"/>
      <c r="W22" s="62">
        <f t="shared" si="28"/>
        <v>185</v>
      </c>
      <c r="X22" s="61">
        <f t="shared" si="1"/>
        <v>77</v>
      </c>
      <c r="Y22" s="141"/>
      <c r="Z22" s="71">
        <f t="shared" si="29"/>
        <v>77</v>
      </c>
      <c r="AB22" s="198">
        <v>17</v>
      </c>
      <c r="AC22" s="38">
        <v>3</v>
      </c>
      <c r="AD22" s="143"/>
      <c r="AE22" s="227"/>
      <c r="AF22" s="17">
        <f t="shared" si="95"/>
        <v>93141</v>
      </c>
      <c r="AG22" s="62">
        <f t="shared" si="96"/>
        <v>93051</v>
      </c>
      <c r="AH22" s="144">
        <v>12</v>
      </c>
      <c r="AI22" s="141">
        <v>78</v>
      </c>
      <c r="AJ22" s="141"/>
      <c r="AK22" s="17">
        <f t="shared" si="97"/>
        <v>90</v>
      </c>
      <c r="AL22" s="17">
        <f t="shared" si="84"/>
        <v>1689</v>
      </c>
      <c r="AM22" s="31">
        <f t="shared" si="2"/>
        <v>0.5</v>
      </c>
      <c r="AN22" s="235">
        <f t="shared" si="55"/>
        <v>0.96627693496956224</v>
      </c>
      <c r="AO22" s="33">
        <f t="shared" si="3"/>
        <v>1.9</v>
      </c>
      <c r="AP22" s="210">
        <f t="shared" si="77"/>
        <v>1.8133797146262118</v>
      </c>
      <c r="AQ22" s="145"/>
      <c r="AR22" s="17">
        <f t="shared" si="4"/>
        <v>20</v>
      </c>
      <c r="AS22" s="33">
        <f t="shared" si="91"/>
        <v>0</v>
      </c>
      <c r="AT22" s="300">
        <f t="shared" si="85"/>
        <v>0</v>
      </c>
      <c r="AU22" s="52">
        <f t="shared" si="5"/>
        <v>185</v>
      </c>
      <c r="AV22" s="141">
        <v>162.4</v>
      </c>
      <c r="AW22" s="62">
        <f t="shared" ref="AW22:AW85" si="125">AU22-AV22</f>
        <v>22.599999999999994</v>
      </c>
      <c r="AX22" s="61">
        <f t="shared" si="57"/>
        <v>77</v>
      </c>
      <c r="AY22" s="141">
        <v>82</v>
      </c>
      <c r="AZ22" s="71">
        <f t="shared" si="33"/>
        <v>-5</v>
      </c>
      <c r="BA22" s="316"/>
      <c r="BB22" s="198">
        <v>15</v>
      </c>
      <c r="BC22" s="38">
        <v>3</v>
      </c>
      <c r="BD22" s="143"/>
      <c r="BE22" s="227"/>
      <c r="BF22" s="17">
        <f t="shared" si="98"/>
        <v>190802</v>
      </c>
      <c r="BG22" s="62">
        <f t="shared" si="120"/>
        <v>190533</v>
      </c>
      <c r="BH22" s="144">
        <v>43</v>
      </c>
      <c r="BI22" s="141">
        <v>226</v>
      </c>
      <c r="BJ22" s="141"/>
      <c r="BK22" s="17">
        <f t="shared" si="99"/>
        <v>269</v>
      </c>
      <c r="BL22" s="17">
        <f t="shared" si="86"/>
        <v>3227</v>
      </c>
      <c r="BM22" s="17">
        <f t="shared" si="7"/>
        <v>0.5</v>
      </c>
      <c r="BN22" s="235">
        <f t="shared" si="34"/>
        <v>1.4098384712948502</v>
      </c>
      <c r="BO22" s="33">
        <f t="shared" si="35"/>
        <v>1.9</v>
      </c>
      <c r="BP22" s="210">
        <f t="shared" si="36"/>
        <v>1.6912820620328928</v>
      </c>
      <c r="BQ22" s="145"/>
      <c r="BR22" s="31">
        <f t="shared" si="8"/>
        <v>20</v>
      </c>
      <c r="BS22" s="60">
        <f t="shared" si="79"/>
        <v>0</v>
      </c>
      <c r="BT22" s="72">
        <f t="shared" si="87"/>
        <v>0</v>
      </c>
      <c r="BU22" s="52">
        <f t="shared" si="9"/>
        <v>185</v>
      </c>
      <c r="BV22" s="141">
        <v>168.3</v>
      </c>
      <c r="BW22" s="62">
        <f t="shared" ref="BW22:BW85" si="126">BU22-BV22</f>
        <v>16.699999999999989</v>
      </c>
      <c r="BX22" s="61">
        <f t="shared" si="100"/>
        <v>77</v>
      </c>
      <c r="BY22" s="141">
        <v>78</v>
      </c>
      <c r="BZ22" s="71">
        <f t="shared" si="37"/>
        <v>-1</v>
      </c>
      <c r="CA22" s="316"/>
      <c r="CB22" s="198"/>
      <c r="CC22" s="38">
        <v>3</v>
      </c>
      <c r="CD22" s="143"/>
      <c r="CE22" s="227"/>
      <c r="CF22" s="17">
        <f t="shared" si="88"/>
        <v>0</v>
      </c>
      <c r="CG22" s="62">
        <f t="shared" si="101"/>
        <v>0</v>
      </c>
      <c r="CH22" s="144"/>
      <c r="CI22" s="141"/>
      <c r="CJ22" s="141"/>
      <c r="CK22" s="17">
        <f t="shared" si="102"/>
        <v>0</v>
      </c>
      <c r="CL22" s="17">
        <f t="shared" si="92"/>
        <v>0</v>
      </c>
      <c r="CM22" s="17">
        <f t="shared" si="12"/>
        <v>0.5</v>
      </c>
      <c r="CN22" s="235">
        <f t="shared" si="39"/>
        <v>0</v>
      </c>
      <c r="CO22" s="33">
        <f t="shared" si="13"/>
        <v>1.9</v>
      </c>
      <c r="CP22" s="210">
        <f t="shared" si="40"/>
        <v>0</v>
      </c>
      <c r="CQ22" s="145"/>
      <c r="CR22" s="31">
        <f t="shared" si="14"/>
        <v>20</v>
      </c>
      <c r="CS22" s="60">
        <f t="shared" si="65"/>
        <v>0</v>
      </c>
      <c r="CT22" s="72">
        <f t="shared" si="66"/>
        <v>0</v>
      </c>
      <c r="CU22" s="52">
        <f t="shared" si="15"/>
        <v>185</v>
      </c>
      <c r="CV22" s="141"/>
      <c r="CW22" s="62">
        <f t="shared" ref="CW22:CW85" si="127">CU22-CV22</f>
        <v>185</v>
      </c>
      <c r="CX22" s="61">
        <f t="shared" si="42"/>
        <v>77</v>
      </c>
      <c r="CY22" s="141"/>
      <c r="CZ22" s="71">
        <f t="shared" si="43"/>
        <v>77</v>
      </c>
      <c r="DA22" s="316"/>
      <c r="DB22" s="198"/>
      <c r="DC22" s="38">
        <v>3</v>
      </c>
      <c r="DD22" s="143"/>
      <c r="DE22" s="227"/>
      <c r="DF22" s="17">
        <f t="shared" si="70"/>
        <v>0</v>
      </c>
      <c r="DG22" s="62">
        <f t="shared" si="103"/>
        <v>0</v>
      </c>
      <c r="DH22" s="144"/>
      <c r="DI22" s="141"/>
      <c r="DJ22" s="141"/>
      <c r="DK22" s="17">
        <f t="shared" si="104"/>
        <v>0</v>
      </c>
      <c r="DL22" s="17">
        <f t="shared" si="89"/>
        <v>0</v>
      </c>
      <c r="DM22" s="17">
        <f t="shared" si="16"/>
        <v>0.5</v>
      </c>
      <c r="DN22" s="235">
        <f t="shared" si="45"/>
        <v>0</v>
      </c>
      <c r="DO22" s="33">
        <f t="shared" si="17"/>
        <v>1.9</v>
      </c>
      <c r="DP22" s="210">
        <f t="shared" si="46"/>
        <v>0</v>
      </c>
      <c r="DQ22" s="145"/>
      <c r="DR22" s="31">
        <f t="shared" si="18"/>
        <v>20</v>
      </c>
      <c r="DS22" s="60">
        <f t="shared" si="82"/>
        <v>0</v>
      </c>
      <c r="DT22" s="72">
        <f t="shared" si="71"/>
        <v>0</v>
      </c>
      <c r="DU22" s="52">
        <f t="shared" si="19"/>
        <v>185</v>
      </c>
      <c r="DV22" s="141"/>
      <c r="DW22" s="62">
        <f t="shared" ref="DW22:DW85" si="128">DU22-DV22</f>
        <v>185</v>
      </c>
      <c r="DX22" s="61">
        <f t="shared" si="48"/>
        <v>77</v>
      </c>
      <c r="DY22" s="141"/>
      <c r="DZ22" s="71">
        <f t="shared" si="74"/>
        <v>77</v>
      </c>
    </row>
    <row r="23" spans="2:130" x14ac:dyDescent="0.25">
      <c r="B23" s="120"/>
      <c r="C23" s="115">
        <f>C22</f>
        <v>3</v>
      </c>
      <c r="D23" s="133"/>
      <c r="E23" s="221"/>
      <c r="F23" s="103">
        <f t="shared" si="107"/>
        <v>0</v>
      </c>
      <c r="G23" s="107">
        <f t="shared" si="93"/>
        <v>0</v>
      </c>
      <c r="H23" s="134"/>
      <c r="I23" s="135"/>
      <c r="J23" s="135"/>
      <c r="K23" s="14">
        <f t="shared" si="94"/>
        <v>0</v>
      </c>
      <c r="L23" s="14">
        <f>L22+K23</f>
        <v>0</v>
      </c>
      <c r="M23" s="14">
        <f t="shared" si="22"/>
        <v>0.5</v>
      </c>
      <c r="N23" s="47">
        <f t="shared" si="23"/>
        <v>0</v>
      </c>
      <c r="O23" s="35">
        <f t="shared" si="24"/>
        <v>1.9</v>
      </c>
      <c r="P23" s="157">
        <f t="shared" si="25"/>
        <v>0</v>
      </c>
      <c r="Q23" s="142"/>
      <c r="R23" s="12">
        <f t="shared" si="105"/>
        <v>20</v>
      </c>
      <c r="S23" s="48">
        <f t="shared" si="50"/>
        <v>0</v>
      </c>
      <c r="T23" s="49">
        <f t="shared" si="83"/>
        <v>0</v>
      </c>
      <c r="U23" s="194">
        <f t="shared" si="26"/>
        <v>185</v>
      </c>
      <c r="V23" s="103">
        <f>V22</f>
        <v>0</v>
      </c>
      <c r="W23" s="59">
        <f t="shared" si="28"/>
        <v>185</v>
      </c>
      <c r="X23" s="61">
        <f t="shared" si="1"/>
        <v>77</v>
      </c>
      <c r="Y23" s="103">
        <f>Y22</f>
        <v>0</v>
      </c>
      <c r="Z23" s="71">
        <f t="shared" si="29"/>
        <v>77</v>
      </c>
      <c r="AB23" s="120">
        <f>AB22+1</f>
        <v>18</v>
      </c>
      <c r="AC23" s="7">
        <f>AC22</f>
        <v>3</v>
      </c>
      <c r="AD23" s="133"/>
      <c r="AE23" s="221"/>
      <c r="AF23" s="14">
        <f t="shared" si="95"/>
        <v>93051</v>
      </c>
      <c r="AG23" s="59">
        <f t="shared" si="96"/>
        <v>92965</v>
      </c>
      <c r="AH23" s="134"/>
      <c r="AI23" s="135">
        <v>86</v>
      </c>
      <c r="AJ23" s="135"/>
      <c r="AK23" s="14">
        <f t="shared" si="97"/>
        <v>86</v>
      </c>
      <c r="AL23" s="14">
        <f t="shared" si="84"/>
        <v>1775</v>
      </c>
      <c r="AM23" s="14">
        <f t="shared" si="2"/>
        <v>0.5</v>
      </c>
      <c r="AN23" s="47">
        <f t="shared" si="55"/>
        <v>0.92422435008758641</v>
      </c>
      <c r="AO23" s="35">
        <f t="shared" si="3"/>
        <v>1.9</v>
      </c>
      <c r="AP23" s="159">
        <f t="shared" si="77"/>
        <v>1.9075560714017044</v>
      </c>
      <c r="AQ23" s="142"/>
      <c r="AR23" s="14">
        <f t="shared" si="4"/>
        <v>20</v>
      </c>
      <c r="AS23" s="35">
        <f t="shared" si="91"/>
        <v>0</v>
      </c>
      <c r="AT23" s="301">
        <f t="shared" si="85"/>
        <v>0</v>
      </c>
      <c r="AU23" s="14">
        <f t="shared" si="5"/>
        <v>185</v>
      </c>
      <c r="AV23" s="103">
        <f>AV22</f>
        <v>162.4</v>
      </c>
      <c r="AW23" s="59">
        <f t="shared" si="125"/>
        <v>22.599999999999994</v>
      </c>
      <c r="AX23" s="61">
        <f t="shared" si="57"/>
        <v>77</v>
      </c>
      <c r="AY23" s="103">
        <f>AY22</f>
        <v>82</v>
      </c>
      <c r="AZ23" s="71">
        <f t="shared" si="33"/>
        <v>-5</v>
      </c>
      <c r="BA23" s="316"/>
      <c r="BB23" s="120">
        <f>BB22+1</f>
        <v>16</v>
      </c>
      <c r="BC23" s="7">
        <f>BC22</f>
        <v>3</v>
      </c>
      <c r="BD23" s="133"/>
      <c r="BE23" s="221"/>
      <c r="BF23" s="14">
        <f t="shared" si="98"/>
        <v>190533</v>
      </c>
      <c r="BG23" s="59">
        <f t="shared" si="120"/>
        <v>190369</v>
      </c>
      <c r="BH23" s="134">
        <v>28</v>
      </c>
      <c r="BI23" s="135">
        <v>136</v>
      </c>
      <c r="BJ23" s="135"/>
      <c r="BK23" s="14">
        <f t="shared" si="99"/>
        <v>164</v>
      </c>
      <c r="BL23" s="14">
        <f t="shared" si="86"/>
        <v>3391</v>
      </c>
      <c r="BM23" s="14">
        <f t="shared" si="7"/>
        <v>0.5</v>
      </c>
      <c r="BN23" s="47">
        <f t="shared" si="34"/>
        <v>0.86074328331575112</v>
      </c>
      <c r="BO23" s="35">
        <f t="shared" si="35"/>
        <v>1.9</v>
      </c>
      <c r="BP23" s="159">
        <f t="shared" si="36"/>
        <v>1.7797441912949463</v>
      </c>
      <c r="BQ23" s="142"/>
      <c r="BR23" s="13">
        <f t="shared" si="8"/>
        <v>20</v>
      </c>
      <c r="BS23" s="48">
        <f t="shared" si="79"/>
        <v>0</v>
      </c>
      <c r="BT23" s="49">
        <f t="shared" si="87"/>
        <v>0</v>
      </c>
      <c r="BU23" s="50">
        <f t="shared" si="9"/>
        <v>185</v>
      </c>
      <c r="BV23" s="103">
        <f>BV22</f>
        <v>168.3</v>
      </c>
      <c r="BW23" s="59">
        <f t="shared" si="126"/>
        <v>16.699999999999989</v>
      </c>
      <c r="BX23" s="61">
        <f t="shared" si="100"/>
        <v>77</v>
      </c>
      <c r="BY23" s="103">
        <f>BY22</f>
        <v>78</v>
      </c>
      <c r="BZ23" s="71">
        <f t="shared" si="37"/>
        <v>-1</v>
      </c>
      <c r="CA23" s="316"/>
      <c r="CB23" s="120"/>
      <c r="CC23" s="7">
        <f>CC22</f>
        <v>3</v>
      </c>
      <c r="CD23" s="133"/>
      <c r="CE23" s="221"/>
      <c r="CF23" s="14">
        <f t="shared" si="88"/>
        <v>0</v>
      </c>
      <c r="CG23" s="59">
        <f t="shared" si="101"/>
        <v>0</v>
      </c>
      <c r="CH23" s="134"/>
      <c r="CI23" s="135"/>
      <c r="CJ23" s="135"/>
      <c r="CK23" s="14">
        <f t="shared" si="102"/>
        <v>0</v>
      </c>
      <c r="CL23" s="14">
        <f t="shared" si="92"/>
        <v>0</v>
      </c>
      <c r="CM23" s="14">
        <f t="shared" si="12"/>
        <v>0.5</v>
      </c>
      <c r="CN23" s="47">
        <f t="shared" si="39"/>
        <v>0</v>
      </c>
      <c r="CO23" s="35">
        <f t="shared" si="13"/>
        <v>1.9</v>
      </c>
      <c r="CP23" s="159">
        <f t="shared" si="40"/>
        <v>0</v>
      </c>
      <c r="CQ23" s="142"/>
      <c r="CR23" s="13">
        <f t="shared" si="14"/>
        <v>20</v>
      </c>
      <c r="CS23" s="48">
        <f t="shared" si="65"/>
        <v>0</v>
      </c>
      <c r="CT23" s="49">
        <f t="shared" si="66"/>
        <v>0</v>
      </c>
      <c r="CU23" s="50">
        <f t="shared" si="15"/>
        <v>185</v>
      </c>
      <c r="CV23" s="103">
        <f>CV22</f>
        <v>0</v>
      </c>
      <c r="CW23" s="59">
        <f t="shared" si="127"/>
        <v>185</v>
      </c>
      <c r="CX23" s="61">
        <f t="shared" si="42"/>
        <v>77</v>
      </c>
      <c r="CY23" s="103">
        <f>CY22</f>
        <v>0</v>
      </c>
      <c r="CZ23" s="71">
        <f t="shared" si="43"/>
        <v>77</v>
      </c>
      <c r="DA23" s="316"/>
      <c r="DB23" s="120"/>
      <c r="DC23" s="7">
        <f>DC22</f>
        <v>3</v>
      </c>
      <c r="DD23" s="133"/>
      <c r="DE23" s="221"/>
      <c r="DF23" s="14">
        <f t="shared" si="70"/>
        <v>0</v>
      </c>
      <c r="DG23" s="59">
        <f t="shared" si="103"/>
        <v>0</v>
      </c>
      <c r="DH23" s="134"/>
      <c r="DI23" s="135"/>
      <c r="DJ23" s="135"/>
      <c r="DK23" s="14">
        <f t="shared" si="104"/>
        <v>0</v>
      </c>
      <c r="DL23" s="14">
        <f t="shared" si="89"/>
        <v>0</v>
      </c>
      <c r="DM23" s="14">
        <f t="shared" si="16"/>
        <v>0.5</v>
      </c>
      <c r="DN23" s="47">
        <f t="shared" si="45"/>
        <v>0</v>
      </c>
      <c r="DO23" s="35">
        <f t="shared" si="17"/>
        <v>1.9</v>
      </c>
      <c r="DP23" s="159">
        <f t="shared" si="46"/>
        <v>0</v>
      </c>
      <c r="DQ23" s="142"/>
      <c r="DR23" s="13">
        <f t="shared" si="18"/>
        <v>20</v>
      </c>
      <c r="DS23" s="48">
        <f t="shared" si="82"/>
        <v>0</v>
      </c>
      <c r="DT23" s="49">
        <f t="shared" si="71"/>
        <v>0</v>
      </c>
      <c r="DU23" s="50">
        <f t="shared" si="19"/>
        <v>185</v>
      </c>
      <c r="DV23" s="103">
        <f>DV22</f>
        <v>0</v>
      </c>
      <c r="DW23" s="59">
        <f t="shared" si="128"/>
        <v>185</v>
      </c>
      <c r="DX23" s="61">
        <f t="shared" si="48"/>
        <v>77</v>
      </c>
      <c r="DY23" s="103">
        <f>DY22</f>
        <v>0</v>
      </c>
      <c r="DZ23" s="71">
        <f t="shared" si="74"/>
        <v>77</v>
      </c>
    </row>
    <row r="24" spans="2:130" x14ac:dyDescent="0.25">
      <c r="B24" s="120"/>
      <c r="C24" s="115">
        <f t="shared" ref="C24:C28" si="129">C23</f>
        <v>3</v>
      </c>
      <c r="D24" s="133"/>
      <c r="E24" s="221"/>
      <c r="F24" s="103">
        <f t="shared" si="107"/>
        <v>0</v>
      </c>
      <c r="G24" s="107">
        <f t="shared" si="93"/>
        <v>0</v>
      </c>
      <c r="H24" s="134"/>
      <c r="I24" s="135"/>
      <c r="J24" s="135"/>
      <c r="K24" s="14">
        <f t="shared" si="94"/>
        <v>0</v>
      </c>
      <c r="L24" s="14">
        <f t="shared" si="90"/>
        <v>0</v>
      </c>
      <c r="M24" s="14">
        <f t="shared" si="22"/>
        <v>0.5</v>
      </c>
      <c r="N24" s="231">
        <f t="shared" si="23"/>
        <v>0</v>
      </c>
      <c r="O24" s="35">
        <f t="shared" si="24"/>
        <v>1.9</v>
      </c>
      <c r="P24" s="159">
        <f t="shared" si="25"/>
        <v>0</v>
      </c>
      <c r="Q24" s="142"/>
      <c r="R24" s="14">
        <f t="shared" si="105"/>
        <v>20</v>
      </c>
      <c r="S24" s="48">
        <f t="shared" si="50"/>
        <v>0</v>
      </c>
      <c r="T24" s="49">
        <f t="shared" si="83"/>
        <v>0</v>
      </c>
      <c r="U24" s="160">
        <f t="shared" si="26"/>
        <v>185</v>
      </c>
      <c r="V24" s="103">
        <f t="shared" ref="V24:V28" si="130">V23</f>
        <v>0</v>
      </c>
      <c r="W24" s="59">
        <f t="shared" si="28"/>
        <v>185</v>
      </c>
      <c r="X24" s="61">
        <f t="shared" si="1"/>
        <v>77</v>
      </c>
      <c r="Y24" s="103">
        <f t="shared" ref="Y24:Y28" si="131">Y23</f>
        <v>0</v>
      </c>
      <c r="Z24" s="71">
        <f t="shared" si="29"/>
        <v>77</v>
      </c>
      <c r="AB24" s="120">
        <f t="shared" ref="AB24:AB28" si="132">AB23+1</f>
        <v>19</v>
      </c>
      <c r="AC24" s="7">
        <f t="shared" ref="AC24:AC28" si="133">AC23</f>
        <v>3</v>
      </c>
      <c r="AD24" s="133"/>
      <c r="AE24" s="221"/>
      <c r="AF24" s="14">
        <f t="shared" si="95"/>
        <v>92965</v>
      </c>
      <c r="AG24" s="59">
        <f t="shared" si="96"/>
        <v>92884</v>
      </c>
      <c r="AH24" s="134"/>
      <c r="AI24" s="135">
        <v>81</v>
      </c>
      <c r="AJ24" s="135"/>
      <c r="AK24" s="14">
        <f t="shared" si="97"/>
        <v>81</v>
      </c>
      <c r="AL24" s="14">
        <f t="shared" si="84"/>
        <v>1856</v>
      </c>
      <c r="AM24" s="14">
        <f t="shared" si="2"/>
        <v>0.5</v>
      </c>
      <c r="AN24" s="47">
        <f t="shared" si="55"/>
        <v>0.87129564890012368</v>
      </c>
      <c r="AO24" s="35">
        <f t="shared" si="3"/>
        <v>1.9</v>
      </c>
      <c r="AP24" s="159">
        <f t="shared" si="77"/>
        <v>1.9964502769859624</v>
      </c>
      <c r="AQ24" s="142"/>
      <c r="AR24" s="14">
        <f t="shared" si="4"/>
        <v>20</v>
      </c>
      <c r="AS24" s="35">
        <f t="shared" si="91"/>
        <v>0</v>
      </c>
      <c r="AT24" s="301">
        <f t="shared" si="85"/>
        <v>0</v>
      </c>
      <c r="AU24" s="14">
        <f t="shared" si="5"/>
        <v>185</v>
      </c>
      <c r="AV24" s="103">
        <f t="shared" ref="AV24:AV28" si="134">AV23</f>
        <v>162.4</v>
      </c>
      <c r="AW24" s="59">
        <f t="shared" si="125"/>
        <v>22.599999999999994</v>
      </c>
      <c r="AX24" s="61">
        <f t="shared" si="57"/>
        <v>77</v>
      </c>
      <c r="AY24" s="103">
        <f t="shared" ref="AY24:AY28" si="135">AY23</f>
        <v>82</v>
      </c>
      <c r="AZ24" s="71">
        <f t="shared" si="33"/>
        <v>-5</v>
      </c>
      <c r="BA24" s="316"/>
      <c r="BB24" s="120">
        <f t="shared" ref="BB24:BB28" si="136">BB23+1</f>
        <v>17</v>
      </c>
      <c r="BC24" s="7">
        <f t="shared" ref="BC24:BC28" si="137">BC23</f>
        <v>3</v>
      </c>
      <c r="BD24" s="133"/>
      <c r="BE24" s="221"/>
      <c r="BF24" s="14">
        <f t="shared" si="98"/>
        <v>190369</v>
      </c>
      <c r="BG24" s="59">
        <f t="shared" si="120"/>
        <v>190249</v>
      </c>
      <c r="BH24" s="134">
        <v>12</v>
      </c>
      <c r="BI24" s="135">
        <v>108</v>
      </c>
      <c r="BJ24" s="135"/>
      <c r="BK24" s="14">
        <f t="shared" si="99"/>
        <v>120</v>
      </c>
      <c r="BL24" s="14">
        <f t="shared" si="86"/>
        <v>3511</v>
      </c>
      <c r="BM24" s="14">
        <f t="shared" si="7"/>
        <v>0.5</v>
      </c>
      <c r="BN24" s="47">
        <f t="shared" si="34"/>
        <v>0.63035473212550364</v>
      </c>
      <c r="BO24" s="35">
        <f t="shared" si="35"/>
        <v>1.9</v>
      </c>
      <c r="BP24" s="159">
        <f t="shared" si="36"/>
        <v>1.8443128870772028</v>
      </c>
      <c r="BQ24" s="142"/>
      <c r="BR24" s="13">
        <f t="shared" si="8"/>
        <v>20</v>
      </c>
      <c r="BS24" s="48">
        <f t="shared" si="79"/>
        <v>0</v>
      </c>
      <c r="BT24" s="49">
        <f t="shared" si="87"/>
        <v>0</v>
      </c>
      <c r="BU24" s="50">
        <f t="shared" si="9"/>
        <v>185</v>
      </c>
      <c r="BV24" s="103">
        <f t="shared" ref="BV24:BV27" si="138">BV23</f>
        <v>168.3</v>
      </c>
      <c r="BW24" s="59">
        <f t="shared" si="126"/>
        <v>16.699999999999989</v>
      </c>
      <c r="BX24" s="61">
        <f t="shared" si="100"/>
        <v>77</v>
      </c>
      <c r="BY24" s="103">
        <f t="shared" ref="BY24:BY28" si="139">BY23</f>
        <v>78</v>
      </c>
      <c r="BZ24" s="71">
        <f t="shared" si="37"/>
        <v>-1</v>
      </c>
      <c r="CA24" s="316"/>
      <c r="CB24" s="120"/>
      <c r="CC24" s="7">
        <f t="shared" ref="CC24:CC28" si="140">CC23</f>
        <v>3</v>
      </c>
      <c r="CD24" s="133"/>
      <c r="CE24" s="221"/>
      <c r="CF24" s="14">
        <f t="shared" si="88"/>
        <v>0</v>
      </c>
      <c r="CG24" s="59">
        <f t="shared" si="101"/>
        <v>0</v>
      </c>
      <c r="CH24" s="134"/>
      <c r="CI24" s="135"/>
      <c r="CJ24" s="135"/>
      <c r="CK24" s="14">
        <f t="shared" si="102"/>
        <v>0</v>
      </c>
      <c r="CL24" s="14">
        <f t="shared" si="92"/>
        <v>0</v>
      </c>
      <c r="CM24" s="14">
        <f t="shared" si="12"/>
        <v>0.5</v>
      </c>
      <c r="CN24" s="47">
        <f t="shared" si="39"/>
        <v>0</v>
      </c>
      <c r="CO24" s="35">
        <f t="shared" si="13"/>
        <v>1.9</v>
      </c>
      <c r="CP24" s="159">
        <f t="shared" si="40"/>
        <v>0</v>
      </c>
      <c r="CQ24" s="142"/>
      <c r="CR24" s="13">
        <f t="shared" si="14"/>
        <v>20</v>
      </c>
      <c r="CS24" s="48">
        <f t="shared" si="65"/>
        <v>0</v>
      </c>
      <c r="CT24" s="49">
        <f t="shared" si="66"/>
        <v>0</v>
      </c>
      <c r="CU24" s="50">
        <f t="shared" si="15"/>
        <v>185</v>
      </c>
      <c r="CV24" s="103">
        <f t="shared" ref="CV24:CV27" si="141">CV23</f>
        <v>0</v>
      </c>
      <c r="CW24" s="59">
        <f t="shared" si="127"/>
        <v>185</v>
      </c>
      <c r="CX24" s="61">
        <f t="shared" si="42"/>
        <v>77</v>
      </c>
      <c r="CY24" s="103">
        <f t="shared" ref="CY24:CY27" si="142">CY23</f>
        <v>0</v>
      </c>
      <c r="CZ24" s="71">
        <f t="shared" si="43"/>
        <v>77</v>
      </c>
      <c r="DA24" s="316"/>
      <c r="DB24" s="120"/>
      <c r="DC24" s="7">
        <f t="shared" ref="DC24:DC28" si="143">DC23</f>
        <v>3</v>
      </c>
      <c r="DD24" s="133"/>
      <c r="DE24" s="221"/>
      <c r="DF24" s="14">
        <f t="shared" si="70"/>
        <v>0</v>
      </c>
      <c r="DG24" s="59">
        <f t="shared" si="103"/>
        <v>0</v>
      </c>
      <c r="DH24" s="134"/>
      <c r="DI24" s="135"/>
      <c r="DJ24" s="135"/>
      <c r="DK24" s="14">
        <f t="shared" si="104"/>
        <v>0</v>
      </c>
      <c r="DL24" s="14">
        <f t="shared" si="89"/>
        <v>0</v>
      </c>
      <c r="DM24" s="14">
        <f t="shared" si="16"/>
        <v>0.5</v>
      </c>
      <c r="DN24" s="231">
        <f t="shared" si="45"/>
        <v>0</v>
      </c>
      <c r="DO24" s="37">
        <f t="shared" si="17"/>
        <v>1.9</v>
      </c>
      <c r="DP24" s="155">
        <f t="shared" si="46"/>
        <v>0</v>
      </c>
      <c r="DQ24" s="142"/>
      <c r="DR24" s="13">
        <f t="shared" si="18"/>
        <v>20</v>
      </c>
      <c r="DS24" s="48">
        <f t="shared" si="82"/>
        <v>0</v>
      </c>
      <c r="DT24" s="49">
        <f t="shared" si="71"/>
        <v>0</v>
      </c>
      <c r="DU24" s="50">
        <f t="shared" si="19"/>
        <v>185</v>
      </c>
      <c r="DV24" s="103">
        <f t="shared" ref="DV24:DV27" si="144">DV23</f>
        <v>0</v>
      </c>
      <c r="DW24" s="59">
        <f t="shared" si="128"/>
        <v>185</v>
      </c>
      <c r="DX24" s="61">
        <f t="shared" si="48"/>
        <v>77</v>
      </c>
      <c r="DY24" s="103">
        <f t="shared" ref="DY24:DY27" si="145">DY23</f>
        <v>0</v>
      </c>
      <c r="DZ24" s="71">
        <f t="shared" si="74"/>
        <v>77</v>
      </c>
    </row>
    <row r="25" spans="2:130" x14ac:dyDescent="0.25">
      <c r="B25" s="120"/>
      <c r="C25" s="115">
        <f t="shared" si="129"/>
        <v>3</v>
      </c>
      <c r="D25" s="133"/>
      <c r="E25" s="221"/>
      <c r="F25" s="103">
        <f t="shared" si="107"/>
        <v>0</v>
      </c>
      <c r="G25" s="107">
        <f t="shared" si="93"/>
        <v>0</v>
      </c>
      <c r="H25" s="134"/>
      <c r="I25" s="135"/>
      <c r="J25" s="135"/>
      <c r="K25" s="14">
        <f t="shared" si="94"/>
        <v>0</v>
      </c>
      <c r="L25" s="14">
        <f t="shared" si="90"/>
        <v>0</v>
      </c>
      <c r="M25" s="14">
        <f t="shared" si="22"/>
        <v>0.5</v>
      </c>
      <c r="N25" s="47">
        <f t="shared" si="23"/>
        <v>0</v>
      </c>
      <c r="O25" s="35">
        <f t="shared" si="24"/>
        <v>1.9</v>
      </c>
      <c r="P25" s="155">
        <f t="shared" si="25"/>
        <v>0</v>
      </c>
      <c r="Q25" s="142"/>
      <c r="R25" s="17">
        <f t="shared" si="105"/>
        <v>20</v>
      </c>
      <c r="S25" s="48">
        <f t="shared" si="50"/>
        <v>0</v>
      </c>
      <c r="T25" s="49">
        <f t="shared" si="83"/>
        <v>0</v>
      </c>
      <c r="U25" s="160">
        <f t="shared" si="26"/>
        <v>185</v>
      </c>
      <c r="V25" s="103">
        <f t="shared" si="130"/>
        <v>0</v>
      </c>
      <c r="W25" s="59">
        <f t="shared" si="28"/>
        <v>185</v>
      </c>
      <c r="X25" s="61">
        <f t="shared" si="1"/>
        <v>77</v>
      </c>
      <c r="Y25" s="103">
        <f t="shared" si="131"/>
        <v>0</v>
      </c>
      <c r="Z25" s="71">
        <f t="shared" si="29"/>
        <v>77</v>
      </c>
      <c r="AB25" s="120">
        <f t="shared" si="132"/>
        <v>20</v>
      </c>
      <c r="AC25" s="7">
        <f t="shared" si="133"/>
        <v>3</v>
      </c>
      <c r="AD25" s="133"/>
      <c r="AE25" s="221"/>
      <c r="AF25" s="14">
        <f t="shared" si="95"/>
        <v>92884</v>
      </c>
      <c r="AG25" s="59">
        <f t="shared" si="96"/>
        <v>92808</v>
      </c>
      <c r="AH25" s="134"/>
      <c r="AI25" s="135">
        <v>76</v>
      </c>
      <c r="AJ25" s="135"/>
      <c r="AK25" s="14">
        <f t="shared" si="97"/>
        <v>76</v>
      </c>
      <c r="AL25" s="14">
        <f t="shared" si="84"/>
        <v>1932</v>
      </c>
      <c r="AM25" s="14">
        <f t="shared" si="2"/>
        <v>0.5</v>
      </c>
      <c r="AN25" s="47">
        <f t="shared" si="55"/>
        <v>0.81822488264932602</v>
      </c>
      <c r="AO25" s="35">
        <f t="shared" si="3"/>
        <v>1.9</v>
      </c>
      <c r="AP25" s="159">
        <f t="shared" si="77"/>
        <v>2.0800137806296024</v>
      </c>
      <c r="AQ25" s="142"/>
      <c r="AR25" s="14">
        <f t="shared" si="4"/>
        <v>20</v>
      </c>
      <c r="AS25" s="35">
        <f t="shared" si="91"/>
        <v>0</v>
      </c>
      <c r="AT25" s="301">
        <f t="shared" si="85"/>
        <v>0</v>
      </c>
      <c r="AU25" s="14">
        <f t="shared" si="5"/>
        <v>185</v>
      </c>
      <c r="AV25" s="103">
        <f t="shared" si="134"/>
        <v>162.4</v>
      </c>
      <c r="AW25" s="59">
        <f t="shared" si="125"/>
        <v>22.599999999999994</v>
      </c>
      <c r="AX25" s="61">
        <f t="shared" si="57"/>
        <v>77</v>
      </c>
      <c r="AY25" s="103">
        <f t="shared" si="135"/>
        <v>82</v>
      </c>
      <c r="AZ25" s="71">
        <f t="shared" si="33"/>
        <v>-5</v>
      </c>
      <c r="BA25" s="316"/>
      <c r="BB25" s="120">
        <f t="shared" si="136"/>
        <v>18</v>
      </c>
      <c r="BC25" s="7">
        <f t="shared" si="137"/>
        <v>3</v>
      </c>
      <c r="BD25" s="133"/>
      <c r="BE25" s="221"/>
      <c r="BF25" s="14">
        <f t="shared" si="98"/>
        <v>190249</v>
      </c>
      <c r="BG25" s="59">
        <f t="shared" si="120"/>
        <v>190151</v>
      </c>
      <c r="BH25" s="134">
        <v>12</v>
      </c>
      <c r="BI25" s="135">
        <v>86</v>
      </c>
      <c r="BJ25" s="135"/>
      <c r="BK25" s="14">
        <f t="shared" si="99"/>
        <v>98</v>
      </c>
      <c r="BL25" s="14">
        <f t="shared" si="86"/>
        <v>3609</v>
      </c>
      <c r="BM25" s="14">
        <f t="shared" si="7"/>
        <v>0.5</v>
      </c>
      <c r="BN25" s="231">
        <f t="shared" si="34"/>
        <v>0.51511440270382503</v>
      </c>
      <c r="BO25" s="37">
        <f t="shared" si="35"/>
        <v>1.9</v>
      </c>
      <c r="BP25" s="155">
        <f t="shared" si="36"/>
        <v>1.8969876319980656</v>
      </c>
      <c r="BQ25" s="142"/>
      <c r="BR25" s="13">
        <f t="shared" si="8"/>
        <v>20</v>
      </c>
      <c r="BS25" s="48">
        <f t="shared" si="79"/>
        <v>0</v>
      </c>
      <c r="BT25" s="49">
        <f t="shared" si="87"/>
        <v>0</v>
      </c>
      <c r="BU25" s="50">
        <f t="shared" si="9"/>
        <v>185</v>
      </c>
      <c r="BV25" s="103">
        <f t="shared" si="138"/>
        <v>168.3</v>
      </c>
      <c r="BW25" s="59">
        <f t="shared" si="126"/>
        <v>16.699999999999989</v>
      </c>
      <c r="BX25" s="61">
        <f t="shared" si="100"/>
        <v>77</v>
      </c>
      <c r="BY25" s="103">
        <f t="shared" si="139"/>
        <v>78</v>
      </c>
      <c r="BZ25" s="71">
        <f t="shared" si="37"/>
        <v>-1</v>
      </c>
      <c r="CA25" s="316"/>
      <c r="CB25" s="120"/>
      <c r="CC25" s="7">
        <f t="shared" si="140"/>
        <v>3</v>
      </c>
      <c r="CD25" s="133"/>
      <c r="CE25" s="221"/>
      <c r="CF25" s="14">
        <f t="shared" si="88"/>
        <v>0</v>
      </c>
      <c r="CG25" s="59">
        <f t="shared" si="101"/>
        <v>0</v>
      </c>
      <c r="CH25" s="134"/>
      <c r="CI25" s="135"/>
      <c r="CJ25" s="135"/>
      <c r="CK25" s="14">
        <f t="shared" si="102"/>
        <v>0</v>
      </c>
      <c r="CL25" s="14">
        <f t="shared" si="92"/>
        <v>0</v>
      </c>
      <c r="CM25" s="14">
        <f t="shared" si="12"/>
        <v>0.5</v>
      </c>
      <c r="CN25" s="47">
        <f t="shared" si="39"/>
        <v>0</v>
      </c>
      <c r="CO25" s="35">
        <f t="shared" si="13"/>
        <v>1.9</v>
      </c>
      <c r="CP25" s="159">
        <f t="shared" si="40"/>
        <v>0</v>
      </c>
      <c r="CQ25" s="142"/>
      <c r="CR25" s="13">
        <f t="shared" si="14"/>
        <v>20</v>
      </c>
      <c r="CS25" s="48">
        <f t="shared" si="65"/>
        <v>0</v>
      </c>
      <c r="CT25" s="49">
        <f t="shared" si="66"/>
        <v>0</v>
      </c>
      <c r="CU25" s="50">
        <f t="shared" si="15"/>
        <v>185</v>
      </c>
      <c r="CV25" s="103">
        <f t="shared" si="141"/>
        <v>0</v>
      </c>
      <c r="CW25" s="59">
        <f t="shared" si="127"/>
        <v>185</v>
      </c>
      <c r="CX25" s="61">
        <f t="shared" si="42"/>
        <v>77</v>
      </c>
      <c r="CY25" s="103">
        <f t="shared" si="142"/>
        <v>0</v>
      </c>
      <c r="CZ25" s="71">
        <f t="shared" si="43"/>
        <v>77</v>
      </c>
      <c r="DA25" s="316"/>
      <c r="DB25" s="120"/>
      <c r="DC25" s="7">
        <f t="shared" si="143"/>
        <v>3</v>
      </c>
      <c r="DD25" s="133"/>
      <c r="DE25" s="221"/>
      <c r="DF25" s="14">
        <f t="shared" si="70"/>
        <v>0</v>
      </c>
      <c r="DG25" s="59">
        <f t="shared" si="103"/>
        <v>0</v>
      </c>
      <c r="DH25" s="134"/>
      <c r="DI25" s="135"/>
      <c r="DJ25" s="135"/>
      <c r="DK25" s="14">
        <f t="shared" si="104"/>
        <v>0</v>
      </c>
      <c r="DL25" s="14">
        <f t="shared" si="89"/>
        <v>0</v>
      </c>
      <c r="DM25" s="14">
        <f t="shared" si="16"/>
        <v>0.5</v>
      </c>
      <c r="DN25" s="47">
        <f t="shared" si="45"/>
        <v>0</v>
      </c>
      <c r="DO25" s="35">
        <f t="shared" si="17"/>
        <v>1.9</v>
      </c>
      <c r="DP25" s="159">
        <f t="shared" si="46"/>
        <v>0</v>
      </c>
      <c r="DQ25" s="142"/>
      <c r="DR25" s="13">
        <f t="shared" si="18"/>
        <v>20</v>
      </c>
      <c r="DS25" s="48">
        <f t="shared" si="82"/>
        <v>0</v>
      </c>
      <c r="DT25" s="49">
        <f t="shared" si="71"/>
        <v>0</v>
      </c>
      <c r="DU25" s="50">
        <f t="shared" si="19"/>
        <v>185</v>
      </c>
      <c r="DV25" s="103">
        <f t="shared" si="144"/>
        <v>0</v>
      </c>
      <c r="DW25" s="59">
        <f t="shared" si="128"/>
        <v>185</v>
      </c>
      <c r="DX25" s="61">
        <f t="shared" si="48"/>
        <v>77</v>
      </c>
      <c r="DY25" s="103">
        <f t="shared" si="145"/>
        <v>0</v>
      </c>
      <c r="DZ25" s="71">
        <f t="shared" si="74"/>
        <v>77</v>
      </c>
    </row>
    <row r="26" spans="2:130" x14ac:dyDescent="0.25">
      <c r="B26" s="120"/>
      <c r="C26" s="115">
        <f t="shared" si="129"/>
        <v>3</v>
      </c>
      <c r="D26" s="133"/>
      <c r="E26" s="221"/>
      <c r="F26" s="103">
        <f t="shared" si="107"/>
        <v>0</v>
      </c>
      <c r="G26" s="107">
        <f t="shared" si="93"/>
        <v>0</v>
      </c>
      <c r="H26" s="134"/>
      <c r="I26" s="135"/>
      <c r="J26" s="135"/>
      <c r="K26" s="14">
        <f t="shared" si="94"/>
        <v>0</v>
      </c>
      <c r="L26" s="14">
        <f t="shared" si="90"/>
        <v>0</v>
      </c>
      <c r="M26" s="14">
        <f t="shared" si="22"/>
        <v>0.5</v>
      </c>
      <c r="N26" s="47">
        <f t="shared" si="23"/>
        <v>0</v>
      </c>
      <c r="O26" s="35">
        <f t="shared" si="24"/>
        <v>1.9</v>
      </c>
      <c r="P26" s="159">
        <f t="shared" si="25"/>
        <v>0</v>
      </c>
      <c r="Q26" s="142"/>
      <c r="R26" s="17">
        <f t="shared" si="105"/>
        <v>20</v>
      </c>
      <c r="S26" s="48">
        <f t="shared" si="50"/>
        <v>0</v>
      </c>
      <c r="T26" s="49">
        <f t="shared" si="83"/>
        <v>0</v>
      </c>
      <c r="U26" s="12">
        <f t="shared" si="26"/>
        <v>185</v>
      </c>
      <c r="V26" s="103">
        <f t="shared" si="130"/>
        <v>0</v>
      </c>
      <c r="W26" s="59">
        <f t="shared" si="28"/>
        <v>185</v>
      </c>
      <c r="X26" s="61">
        <f t="shared" si="1"/>
        <v>77</v>
      </c>
      <c r="Y26" s="103">
        <f t="shared" si="131"/>
        <v>0</v>
      </c>
      <c r="Z26" s="71">
        <f t="shared" si="29"/>
        <v>77</v>
      </c>
      <c r="AB26" s="120">
        <f t="shared" si="132"/>
        <v>21</v>
      </c>
      <c r="AC26" s="7">
        <f t="shared" si="133"/>
        <v>3</v>
      </c>
      <c r="AD26" s="133"/>
      <c r="AE26" s="221"/>
      <c r="AF26" s="14">
        <f t="shared" si="95"/>
        <v>92808</v>
      </c>
      <c r="AG26" s="59">
        <f t="shared" si="96"/>
        <v>92746</v>
      </c>
      <c r="AH26" s="134"/>
      <c r="AI26" s="135">
        <v>62</v>
      </c>
      <c r="AJ26" s="135"/>
      <c r="AK26" s="14">
        <f t="shared" si="97"/>
        <v>62</v>
      </c>
      <c r="AL26" s="14">
        <f t="shared" si="84"/>
        <v>1994</v>
      </c>
      <c r="AM26" s="14">
        <f t="shared" si="2"/>
        <v>0.5</v>
      </c>
      <c r="AN26" s="47">
        <f t="shared" si="55"/>
        <v>0.66804585811567974</v>
      </c>
      <c r="AO26" s="35">
        <f t="shared" si="3"/>
        <v>1.9</v>
      </c>
      <c r="AP26" s="159">
        <f t="shared" si="77"/>
        <v>2.1485216791655892</v>
      </c>
      <c r="AQ26" s="142"/>
      <c r="AR26" s="14">
        <f t="shared" si="4"/>
        <v>20</v>
      </c>
      <c r="AS26" s="35">
        <f t="shared" si="91"/>
        <v>0</v>
      </c>
      <c r="AT26" s="301">
        <f t="shared" si="85"/>
        <v>0</v>
      </c>
      <c r="AU26" s="14">
        <f t="shared" si="5"/>
        <v>185</v>
      </c>
      <c r="AV26" s="103">
        <f t="shared" si="134"/>
        <v>162.4</v>
      </c>
      <c r="AW26" s="59">
        <f t="shared" si="125"/>
        <v>22.599999999999994</v>
      </c>
      <c r="AX26" s="61">
        <f t="shared" si="57"/>
        <v>77</v>
      </c>
      <c r="AY26" s="103">
        <f t="shared" si="135"/>
        <v>82</v>
      </c>
      <c r="AZ26" s="71">
        <f t="shared" si="33"/>
        <v>-5</v>
      </c>
      <c r="BA26" s="316"/>
      <c r="BB26" s="120">
        <f t="shared" si="136"/>
        <v>19</v>
      </c>
      <c r="BC26" s="7">
        <f t="shared" si="137"/>
        <v>3</v>
      </c>
      <c r="BD26" s="133"/>
      <c r="BE26" s="221"/>
      <c r="BF26" s="14">
        <f t="shared" si="98"/>
        <v>190151</v>
      </c>
      <c r="BG26" s="59">
        <f t="shared" si="120"/>
        <v>190061</v>
      </c>
      <c r="BH26" s="134"/>
      <c r="BI26" s="135">
        <v>90</v>
      </c>
      <c r="BJ26" s="135"/>
      <c r="BK26" s="14">
        <f t="shared" si="99"/>
        <v>90</v>
      </c>
      <c r="BL26" s="14">
        <f t="shared" si="86"/>
        <v>3699</v>
      </c>
      <c r="BM26" s="14">
        <f t="shared" si="7"/>
        <v>0.5</v>
      </c>
      <c r="BN26" s="47">
        <f t="shared" si="34"/>
        <v>0.47330805517720126</v>
      </c>
      <c r="BO26" s="35">
        <f t="shared" si="35"/>
        <v>1.9</v>
      </c>
      <c r="BP26" s="159">
        <f t="shared" si="36"/>
        <v>1.9452961067782972</v>
      </c>
      <c r="BQ26" s="142"/>
      <c r="BR26" s="13">
        <f t="shared" si="8"/>
        <v>20</v>
      </c>
      <c r="BS26" s="48">
        <f t="shared" si="79"/>
        <v>0</v>
      </c>
      <c r="BT26" s="49">
        <f t="shared" si="87"/>
        <v>0</v>
      </c>
      <c r="BU26" s="50">
        <f t="shared" si="9"/>
        <v>185</v>
      </c>
      <c r="BV26" s="103">
        <f t="shared" si="138"/>
        <v>168.3</v>
      </c>
      <c r="BW26" s="59">
        <f t="shared" si="126"/>
        <v>16.699999999999989</v>
      </c>
      <c r="BX26" s="61">
        <f t="shared" si="100"/>
        <v>77</v>
      </c>
      <c r="BY26" s="103">
        <f t="shared" si="139"/>
        <v>78</v>
      </c>
      <c r="BZ26" s="71">
        <f t="shared" si="37"/>
        <v>-1</v>
      </c>
      <c r="CA26" s="316"/>
      <c r="CB26" s="120"/>
      <c r="CC26" s="7">
        <f t="shared" si="140"/>
        <v>3</v>
      </c>
      <c r="CD26" s="133"/>
      <c r="CE26" s="221"/>
      <c r="CF26" s="14">
        <f t="shared" si="88"/>
        <v>0</v>
      </c>
      <c r="CG26" s="59">
        <f t="shared" si="101"/>
        <v>0</v>
      </c>
      <c r="CH26" s="134"/>
      <c r="CI26" s="135"/>
      <c r="CJ26" s="135"/>
      <c r="CK26" s="14">
        <f t="shared" si="102"/>
        <v>0</v>
      </c>
      <c r="CL26" s="14">
        <f t="shared" si="92"/>
        <v>0</v>
      </c>
      <c r="CM26" s="14">
        <f t="shared" si="12"/>
        <v>0.5</v>
      </c>
      <c r="CN26" s="47">
        <f t="shared" si="39"/>
        <v>0</v>
      </c>
      <c r="CO26" s="35">
        <f t="shared" si="13"/>
        <v>1.9</v>
      </c>
      <c r="CP26" s="159">
        <f t="shared" si="40"/>
        <v>0</v>
      </c>
      <c r="CQ26" s="142"/>
      <c r="CR26" s="13">
        <f t="shared" si="14"/>
        <v>20</v>
      </c>
      <c r="CS26" s="48">
        <f t="shared" si="65"/>
        <v>0</v>
      </c>
      <c r="CT26" s="49">
        <f t="shared" si="66"/>
        <v>0</v>
      </c>
      <c r="CU26" s="50">
        <f t="shared" si="15"/>
        <v>185</v>
      </c>
      <c r="CV26" s="103">
        <f t="shared" si="141"/>
        <v>0</v>
      </c>
      <c r="CW26" s="59">
        <f t="shared" si="127"/>
        <v>185</v>
      </c>
      <c r="CX26" s="61">
        <f t="shared" si="42"/>
        <v>77</v>
      </c>
      <c r="CY26" s="103">
        <f t="shared" si="142"/>
        <v>0</v>
      </c>
      <c r="CZ26" s="71">
        <f t="shared" si="43"/>
        <v>77</v>
      </c>
      <c r="DA26" s="316"/>
      <c r="DB26" s="120"/>
      <c r="DC26" s="7">
        <f t="shared" si="143"/>
        <v>3</v>
      </c>
      <c r="DD26" s="133"/>
      <c r="DE26" s="221"/>
      <c r="DF26" s="14">
        <f t="shared" si="70"/>
        <v>0</v>
      </c>
      <c r="DG26" s="59">
        <f t="shared" si="103"/>
        <v>0</v>
      </c>
      <c r="DH26" s="134"/>
      <c r="DI26" s="135"/>
      <c r="DJ26" s="135"/>
      <c r="DK26" s="14">
        <f t="shared" si="104"/>
        <v>0</v>
      </c>
      <c r="DL26" s="14">
        <f t="shared" si="89"/>
        <v>0</v>
      </c>
      <c r="DM26" s="14">
        <f t="shared" si="16"/>
        <v>0.5</v>
      </c>
      <c r="DN26" s="47">
        <f t="shared" si="45"/>
        <v>0</v>
      </c>
      <c r="DO26" s="35">
        <f t="shared" si="17"/>
        <v>1.9</v>
      </c>
      <c r="DP26" s="159">
        <f t="shared" si="46"/>
        <v>0</v>
      </c>
      <c r="DQ26" s="142"/>
      <c r="DR26" s="13">
        <f t="shared" si="18"/>
        <v>20</v>
      </c>
      <c r="DS26" s="48">
        <f t="shared" si="82"/>
        <v>0</v>
      </c>
      <c r="DT26" s="49">
        <f t="shared" si="71"/>
        <v>0</v>
      </c>
      <c r="DU26" s="50">
        <f t="shared" si="19"/>
        <v>185</v>
      </c>
      <c r="DV26" s="103">
        <f t="shared" si="144"/>
        <v>0</v>
      </c>
      <c r="DW26" s="59">
        <f t="shared" si="128"/>
        <v>185</v>
      </c>
      <c r="DX26" s="61">
        <f t="shared" si="48"/>
        <v>77</v>
      </c>
      <c r="DY26" s="103">
        <f t="shared" si="145"/>
        <v>0</v>
      </c>
      <c r="DZ26" s="71">
        <f t="shared" si="74"/>
        <v>77</v>
      </c>
    </row>
    <row r="27" spans="2:130" x14ac:dyDescent="0.25">
      <c r="B27" s="120"/>
      <c r="C27" s="115">
        <f t="shared" si="129"/>
        <v>3</v>
      </c>
      <c r="D27" s="133"/>
      <c r="E27" s="221"/>
      <c r="F27" s="103">
        <f t="shared" si="107"/>
        <v>0</v>
      </c>
      <c r="G27" s="107">
        <f t="shared" si="93"/>
        <v>0</v>
      </c>
      <c r="H27" s="134"/>
      <c r="I27" s="135"/>
      <c r="J27" s="135"/>
      <c r="K27" s="14">
        <f t="shared" si="94"/>
        <v>0</v>
      </c>
      <c r="L27" s="14">
        <f t="shared" si="90"/>
        <v>0</v>
      </c>
      <c r="M27" s="14">
        <f t="shared" si="22"/>
        <v>0.5</v>
      </c>
      <c r="N27" s="47">
        <f t="shared" si="23"/>
        <v>0</v>
      </c>
      <c r="O27" s="35">
        <f t="shared" si="24"/>
        <v>1.9</v>
      </c>
      <c r="P27" s="155">
        <f t="shared" si="25"/>
        <v>0</v>
      </c>
      <c r="Q27" s="142"/>
      <c r="R27" s="17">
        <f t="shared" si="105"/>
        <v>20</v>
      </c>
      <c r="S27" s="48">
        <f t="shared" si="50"/>
        <v>0</v>
      </c>
      <c r="T27" s="49">
        <f t="shared" si="83"/>
        <v>0</v>
      </c>
      <c r="U27" s="160">
        <f t="shared" si="26"/>
        <v>185</v>
      </c>
      <c r="V27" s="103">
        <f t="shared" si="130"/>
        <v>0</v>
      </c>
      <c r="W27" s="59">
        <f t="shared" si="28"/>
        <v>185</v>
      </c>
      <c r="X27" s="61">
        <f t="shared" si="1"/>
        <v>77</v>
      </c>
      <c r="Y27" s="103">
        <f t="shared" si="131"/>
        <v>0</v>
      </c>
      <c r="Z27" s="71">
        <f t="shared" si="29"/>
        <v>77</v>
      </c>
      <c r="AB27" s="120">
        <f t="shared" si="132"/>
        <v>22</v>
      </c>
      <c r="AC27" s="7">
        <f t="shared" si="133"/>
        <v>3</v>
      </c>
      <c r="AD27" s="133"/>
      <c r="AE27" s="221"/>
      <c r="AF27" s="14">
        <f t="shared" si="95"/>
        <v>92746</v>
      </c>
      <c r="AG27" s="59">
        <f t="shared" si="96"/>
        <v>92699</v>
      </c>
      <c r="AH27" s="134"/>
      <c r="AI27" s="135">
        <v>47</v>
      </c>
      <c r="AJ27" s="135"/>
      <c r="AK27" s="14">
        <f t="shared" si="97"/>
        <v>47</v>
      </c>
      <c r="AL27" s="14">
        <f t="shared" si="84"/>
        <v>2041</v>
      </c>
      <c r="AM27" s="14">
        <f t="shared" si="2"/>
        <v>0.5</v>
      </c>
      <c r="AN27" s="47">
        <f t="shared" si="55"/>
        <v>0.50676039937032324</v>
      </c>
      <c r="AO27" s="35">
        <f t="shared" si="3"/>
        <v>1.9</v>
      </c>
      <c r="AP27" s="159">
        <f t="shared" si="77"/>
        <v>2.2006339896060205</v>
      </c>
      <c r="AQ27" s="142"/>
      <c r="AR27" s="14">
        <f t="shared" si="4"/>
        <v>20</v>
      </c>
      <c r="AS27" s="35">
        <f t="shared" si="91"/>
        <v>0</v>
      </c>
      <c r="AT27" s="301">
        <f t="shared" si="85"/>
        <v>0</v>
      </c>
      <c r="AU27" s="14">
        <f t="shared" si="5"/>
        <v>185</v>
      </c>
      <c r="AV27" s="103">
        <f t="shared" si="134"/>
        <v>162.4</v>
      </c>
      <c r="AW27" s="59">
        <f t="shared" si="125"/>
        <v>22.599999999999994</v>
      </c>
      <c r="AX27" s="61">
        <f t="shared" si="57"/>
        <v>77</v>
      </c>
      <c r="AY27" s="103">
        <f t="shared" si="135"/>
        <v>82</v>
      </c>
      <c r="AZ27" s="71">
        <f t="shared" si="33"/>
        <v>-5</v>
      </c>
      <c r="BA27" s="316"/>
      <c r="BB27" s="120">
        <f t="shared" si="136"/>
        <v>20</v>
      </c>
      <c r="BC27" s="7">
        <f t="shared" si="137"/>
        <v>3</v>
      </c>
      <c r="BD27" s="133"/>
      <c r="BE27" s="221"/>
      <c r="BF27" s="14">
        <f t="shared" si="98"/>
        <v>190061</v>
      </c>
      <c r="BG27" s="59">
        <f t="shared" si="120"/>
        <v>189978</v>
      </c>
      <c r="BH27" s="134"/>
      <c r="BI27" s="135">
        <v>83</v>
      </c>
      <c r="BJ27" s="135"/>
      <c r="BK27" s="14">
        <f t="shared" si="99"/>
        <v>83</v>
      </c>
      <c r="BL27" s="14">
        <f t="shared" si="86"/>
        <v>3782</v>
      </c>
      <c r="BM27" s="14">
        <f t="shared" si="7"/>
        <v>0.5</v>
      </c>
      <c r="BN27" s="47">
        <f t="shared" si="34"/>
        <v>0.43670190096863637</v>
      </c>
      <c r="BO27" s="35">
        <f t="shared" si="35"/>
        <v>1.9</v>
      </c>
      <c r="BP27" s="159">
        <f t="shared" si="36"/>
        <v>1.9898874571847986</v>
      </c>
      <c r="BQ27" s="142"/>
      <c r="BR27" s="13">
        <f t="shared" si="8"/>
        <v>20</v>
      </c>
      <c r="BS27" s="48">
        <f>IFERROR(BQ27/BF27,0)</f>
        <v>0</v>
      </c>
      <c r="BT27" s="49">
        <f>BT26+BS27</f>
        <v>0</v>
      </c>
      <c r="BU27" s="50">
        <f t="shared" si="9"/>
        <v>185</v>
      </c>
      <c r="BV27" s="103">
        <f t="shared" si="138"/>
        <v>168.3</v>
      </c>
      <c r="BW27" s="59">
        <f t="shared" si="126"/>
        <v>16.699999999999989</v>
      </c>
      <c r="BX27" s="61">
        <f t="shared" si="100"/>
        <v>77</v>
      </c>
      <c r="BY27" s="103">
        <f t="shared" si="139"/>
        <v>78</v>
      </c>
      <c r="BZ27" s="71">
        <f t="shared" si="37"/>
        <v>-1</v>
      </c>
      <c r="CA27" s="316"/>
      <c r="CB27" s="120"/>
      <c r="CC27" s="7">
        <f t="shared" si="140"/>
        <v>3</v>
      </c>
      <c r="CD27" s="133"/>
      <c r="CE27" s="221"/>
      <c r="CF27" s="14">
        <f t="shared" si="88"/>
        <v>0</v>
      </c>
      <c r="CG27" s="59">
        <f t="shared" si="101"/>
        <v>0</v>
      </c>
      <c r="CH27" s="134"/>
      <c r="CI27" s="135"/>
      <c r="CJ27" s="135"/>
      <c r="CK27" s="14">
        <f t="shared" si="102"/>
        <v>0</v>
      </c>
      <c r="CL27" s="14">
        <f t="shared" si="92"/>
        <v>0</v>
      </c>
      <c r="CM27" s="14">
        <f t="shared" si="12"/>
        <v>0.5</v>
      </c>
      <c r="CN27" s="47">
        <f t="shared" si="39"/>
        <v>0</v>
      </c>
      <c r="CO27" s="35">
        <f t="shared" si="13"/>
        <v>1.9</v>
      </c>
      <c r="CP27" s="159">
        <f t="shared" si="40"/>
        <v>0</v>
      </c>
      <c r="CQ27" s="142"/>
      <c r="CR27" s="13">
        <f t="shared" si="14"/>
        <v>20</v>
      </c>
      <c r="CS27" s="48">
        <f t="shared" si="65"/>
        <v>0</v>
      </c>
      <c r="CT27" s="49">
        <f t="shared" si="66"/>
        <v>0</v>
      </c>
      <c r="CU27" s="50">
        <f t="shared" si="15"/>
        <v>185</v>
      </c>
      <c r="CV27" s="103">
        <f t="shared" si="141"/>
        <v>0</v>
      </c>
      <c r="CW27" s="59">
        <f t="shared" si="127"/>
        <v>185</v>
      </c>
      <c r="CX27" s="61">
        <f t="shared" si="42"/>
        <v>77</v>
      </c>
      <c r="CY27" s="103">
        <f t="shared" si="142"/>
        <v>0</v>
      </c>
      <c r="CZ27" s="71">
        <f t="shared" si="43"/>
        <v>77</v>
      </c>
      <c r="DA27" s="316"/>
      <c r="DB27" s="120"/>
      <c r="DC27" s="7">
        <f t="shared" si="143"/>
        <v>3</v>
      </c>
      <c r="DD27" s="133"/>
      <c r="DE27" s="221"/>
      <c r="DF27" s="14">
        <f t="shared" si="70"/>
        <v>0</v>
      </c>
      <c r="DG27" s="59">
        <f t="shared" si="103"/>
        <v>0</v>
      </c>
      <c r="DH27" s="134"/>
      <c r="DI27" s="135"/>
      <c r="DJ27" s="135"/>
      <c r="DK27" s="14">
        <f t="shared" si="104"/>
        <v>0</v>
      </c>
      <c r="DL27" s="14">
        <f t="shared" si="89"/>
        <v>0</v>
      </c>
      <c r="DM27" s="14">
        <f t="shared" si="16"/>
        <v>0.5</v>
      </c>
      <c r="DN27" s="47">
        <f t="shared" si="45"/>
        <v>0</v>
      </c>
      <c r="DO27" s="35">
        <f t="shared" si="17"/>
        <v>1.9</v>
      </c>
      <c r="DP27" s="159">
        <f t="shared" si="46"/>
        <v>0</v>
      </c>
      <c r="DQ27" s="142"/>
      <c r="DR27" s="13">
        <f t="shared" si="18"/>
        <v>20</v>
      </c>
      <c r="DS27" s="48">
        <f t="shared" si="82"/>
        <v>0</v>
      </c>
      <c r="DT27" s="49">
        <f t="shared" si="71"/>
        <v>0</v>
      </c>
      <c r="DU27" s="50">
        <f t="shared" si="19"/>
        <v>185</v>
      </c>
      <c r="DV27" s="103">
        <f t="shared" si="144"/>
        <v>0</v>
      </c>
      <c r="DW27" s="59">
        <f t="shared" si="128"/>
        <v>185</v>
      </c>
      <c r="DX27" s="61">
        <f t="shared" si="48"/>
        <v>77</v>
      </c>
      <c r="DY27" s="103">
        <f t="shared" si="145"/>
        <v>0</v>
      </c>
      <c r="DZ27" s="71">
        <f t="shared" si="74"/>
        <v>77</v>
      </c>
    </row>
    <row r="28" spans="2:130" ht="17.25" thickBot="1" x14ac:dyDescent="0.3">
      <c r="B28" s="119"/>
      <c r="C28" s="239">
        <f t="shared" si="129"/>
        <v>3</v>
      </c>
      <c r="D28" s="203"/>
      <c r="E28" s="225"/>
      <c r="F28" s="202">
        <f t="shared" si="107"/>
        <v>0</v>
      </c>
      <c r="G28" s="107">
        <f t="shared" si="93"/>
        <v>0</v>
      </c>
      <c r="H28" s="204"/>
      <c r="I28" s="205"/>
      <c r="J28" s="205"/>
      <c r="K28" s="31">
        <f t="shared" si="94"/>
        <v>0</v>
      </c>
      <c r="L28" s="31">
        <f t="shared" si="90"/>
        <v>0</v>
      </c>
      <c r="M28" s="31">
        <f t="shared" si="22"/>
        <v>0.5</v>
      </c>
      <c r="N28" s="231">
        <f t="shared" si="23"/>
        <v>0</v>
      </c>
      <c r="O28" s="37">
        <f t="shared" si="24"/>
        <v>1.9</v>
      </c>
      <c r="P28" s="157">
        <f t="shared" si="25"/>
        <v>0</v>
      </c>
      <c r="Q28" s="237"/>
      <c r="R28" s="12">
        <f t="shared" si="105"/>
        <v>20</v>
      </c>
      <c r="S28" s="67">
        <f t="shared" si="50"/>
        <v>0</v>
      </c>
      <c r="T28" s="196">
        <f t="shared" si="83"/>
        <v>0</v>
      </c>
      <c r="U28" s="194">
        <f t="shared" si="26"/>
        <v>185</v>
      </c>
      <c r="V28" s="202">
        <f t="shared" si="130"/>
        <v>0</v>
      </c>
      <c r="W28" s="59">
        <f t="shared" si="28"/>
        <v>185</v>
      </c>
      <c r="X28" s="52">
        <f t="shared" si="1"/>
        <v>77</v>
      </c>
      <c r="Y28" s="202">
        <f t="shared" si="131"/>
        <v>0</v>
      </c>
      <c r="Z28" s="62">
        <f t="shared" si="29"/>
        <v>77</v>
      </c>
      <c r="AB28" s="119">
        <f t="shared" si="132"/>
        <v>23</v>
      </c>
      <c r="AC28" s="95">
        <f t="shared" si="133"/>
        <v>3</v>
      </c>
      <c r="AD28" s="203"/>
      <c r="AE28" s="225"/>
      <c r="AF28" s="13">
        <f t="shared" si="95"/>
        <v>92699</v>
      </c>
      <c r="AG28" s="59">
        <f t="shared" si="96"/>
        <v>92659</v>
      </c>
      <c r="AH28" s="204"/>
      <c r="AI28" s="205">
        <v>40</v>
      </c>
      <c r="AJ28" s="205"/>
      <c r="AK28" s="31">
        <f t="shared" si="97"/>
        <v>40</v>
      </c>
      <c r="AL28" s="31">
        <f t="shared" si="84"/>
        <v>2081</v>
      </c>
      <c r="AM28" s="13">
        <f t="shared" si="2"/>
        <v>0.5</v>
      </c>
      <c r="AN28" s="230">
        <f t="shared" si="55"/>
        <v>0.43150411547050133</v>
      </c>
      <c r="AO28" s="161">
        <f t="shared" si="3"/>
        <v>1.9</v>
      </c>
      <c r="AP28" s="157">
        <f t="shared" si="77"/>
        <v>2.2449001607352832</v>
      </c>
      <c r="AQ28" s="237"/>
      <c r="AR28" s="13">
        <f t="shared" si="4"/>
        <v>20</v>
      </c>
      <c r="AS28" s="161">
        <f t="shared" si="91"/>
        <v>0</v>
      </c>
      <c r="AT28" s="302">
        <f t="shared" si="85"/>
        <v>0</v>
      </c>
      <c r="AU28" s="13">
        <f t="shared" si="5"/>
        <v>185</v>
      </c>
      <c r="AV28" s="202">
        <f t="shared" si="134"/>
        <v>162.4</v>
      </c>
      <c r="AW28" s="59">
        <f t="shared" si="125"/>
        <v>22.599999999999994</v>
      </c>
      <c r="AX28" s="50">
        <f t="shared" si="57"/>
        <v>77</v>
      </c>
      <c r="AY28" s="202">
        <f t="shared" si="135"/>
        <v>82</v>
      </c>
      <c r="AZ28" s="62">
        <f t="shared" si="33"/>
        <v>-5</v>
      </c>
      <c r="BA28" s="316"/>
      <c r="BB28" s="119">
        <f t="shared" si="136"/>
        <v>21</v>
      </c>
      <c r="BC28" s="95">
        <f t="shared" si="137"/>
        <v>3</v>
      </c>
      <c r="BD28" s="203"/>
      <c r="BE28" s="225"/>
      <c r="BF28" s="13">
        <f t="shared" si="98"/>
        <v>189978</v>
      </c>
      <c r="BG28" s="59">
        <f t="shared" si="120"/>
        <v>189908</v>
      </c>
      <c r="BH28" s="204"/>
      <c r="BI28" s="205">
        <v>70</v>
      </c>
      <c r="BJ28" s="205"/>
      <c r="BK28" s="31">
        <f t="shared" si="99"/>
        <v>70</v>
      </c>
      <c r="BL28" s="31">
        <f t="shared" si="86"/>
        <v>3852</v>
      </c>
      <c r="BM28" s="13">
        <f t="shared" si="7"/>
        <v>0.5</v>
      </c>
      <c r="BN28" s="230">
        <f t="shared" si="34"/>
        <v>0.36846371685142493</v>
      </c>
      <c r="BO28" s="161">
        <f t="shared" si="35"/>
        <v>1.9</v>
      </c>
      <c r="BP28" s="157">
        <f t="shared" si="36"/>
        <v>2.0276031961595553</v>
      </c>
      <c r="BQ28" s="237"/>
      <c r="BR28" s="13">
        <f t="shared" si="8"/>
        <v>20</v>
      </c>
      <c r="BS28" s="67">
        <f t="shared" si="79"/>
        <v>0</v>
      </c>
      <c r="BT28" s="196">
        <f t="shared" si="87"/>
        <v>0</v>
      </c>
      <c r="BU28" s="50">
        <f t="shared" si="9"/>
        <v>185</v>
      </c>
      <c r="BV28" s="202">
        <f>BV27</f>
        <v>168.3</v>
      </c>
      <c r="BW28" s="59">
        <f>BU28-BV28</f>
        <v>16.699999999999989</v>
      </c>
      <c r="BX28" s="52">
        <f t="shared" si="100"/>
        <v>77</v>
      </c>
      <c r="BY28" s="202">
        <f t="shared" si="139"/>
        <v>78</v>
      </c>
      <c r="BZ28" s="62">
        <f t="shared" si="37"/>
        <v>-1</v>
      </c>
      <c r="CA28" s="316"/>
      <c r="CB28" s="119"/>
      <c r="CC28" s="95">
        <f t="shared" si="140"/>
        <v>3</v>
      </c>
      <c r="CD28" s="203"/>
      <c r="CE28" s="225"/>
      <c r="CF28" s="13">
        <f t="shared" si="88"/>
        <v>0</v>
      </c>
      <c r="CG28" s="59">
        <f t="shared" si="101"/>
        <v>0</v>
      </c>
      <c r="CH28" s="204"/>
      <c r="CI28" s="205"/>
      <c r="CJ28" s="205"/>
      <c r="CK28" s="31">
        <f t="shared" si="102"/>
        <v>0</v>
      </c>
      <c r="CL28" s="31">
        <f t="shared" si="92"/>
        <v>0</v>
      </c>
      <c r="CM28" s="13">
        <f t="shared" si="12"/>
        <v>0.5</v>
      </c>
      <c r="CN28" s="230">
        <f t="shared" si="39"/>
        <v>0</v>
      </c>
      <c r="CO28" s="161">
        <f t="shared" si="13"/>
        <v>1.9</v>
      </c>
      <c r="CP28" s="157">
        <f t="shared" si="40"/>
        <v>0</v>
      </c>
      <c r="CQ28" s="237"/>
      <c r="CR28" s="13">
        <f t="shared" si="14"/>
        <v>20</v>
      </c>
      <c r="CS28" s="67">
        <f t="shared" si="65"/>
        <v>0</v>
      </c>
      <c r="CT28" s="196">
        <f t="shared" si="66"/>
        <v>0</v>
      </c>
      <c r="CU28" s="50">
        <f t="shared" si="15"/>
        <v>185</v>
      </c>
      <c r="CV28" s="202">
        <f>CV27</f>
        <v>0</v>
      </c>
      <c r="CW28" s="59">
        <f t="shared" si="127"/>
        <v>185</v>
      </c>
      <c r="CX28" s="52">
        <f t="shared" si="42"/>
        <v>77</v>
      </c>
      <c r="CY28" s="202">
        <f>CY27</f>
        <v>0</v>
      </c>
      <c r="CZ28" s="62">
        <f t="shared" si="43"/>
        <v>77</v>
      </c>
      <c r="DA28" s="316"/>
      <c r="DB28" s="119"/>
      <c r="DC28" s="95">
        <f t="shared" si="143"/>
        <v>3</v>
      </c>
      <c r="DD28" s="203"/>
      <c r="DE28" s="225"/>
      <c r="DF28" s="13">
        <f t="shared" si="70"/>
        <v>0</v>
      </c>
      <c r="DG28" s="59">
        <f t="shared" si="103"/>
        <v>0</v>
      </c>
      <c r="DH28" s="204"/>
      <c r="DI28" s="205"/>
      <c r="DJ28" s="205"/>
      <c r="DK28" s="31">
        <f t="shared" si="104"/>
        <v>0</v>
      </c>
      <c r="DL28" s="31">
        <f t="shared" si="89"/>
        <v>0</v>
      </c>
      <c r="DM28" s="13">
        <f t="shared" si="16"/>
        <v>0.5</v>
      </c>
      <c r="DN28" s="230">
        <f t="shared" si="45"/>
        <v>0</v>
      </c>
      <c r="DO28" s="161">
        <f t="shared" si="17"/>
        <v>1.9</v>
      </c>
      <c r="DP28" s="157">
        <f t="shared" si="46"/>
        <v>0</v>
      </c>
      <c r="DQ28" s="237"/>
      <c r="DR28" s="13">
        <f t="shared" si="18"/>
        <v>20</v>
      </c>
      <c r="DS28" s="67">
        <f t="shared" si="82"/>
        <v>0</v>
      </c>
      <c r="DT28" s="196">
        <f t="shared" si="71"/>
        <v>0</v>
      </c>
      <c r="DU28" s="50">
        <f t="shared" si="19"/>
        <v>185</v>
      </c>
      <c r="DV28" s="202">
        <f>DV27</f>
        <v>0</v>
      </c>
      <c r="DW28" s="59">
        <f t="shared" si="128"/>
        <v>185</v>
      </c>
      <c r="DX28" s="52">
        <f t="shared" si="48"/>
        <v>77</v>
      </c>
      <c r="DY28" s="202">
        <f>DY27</f>
        <v>0</v>
      </c>
      <c r="DZ28" s="62">
        <f t="shared" si="74"/>
        <v>77</v>
      </c>
    </row>
    <row r="29" spans="2:130" x14ac:dyDescent="0.25">
      <c r="B29" s="118"/>
      <c r="C29" s="114">
        <v>4</v>
      </c>
      <c r="D29" s="129"/>
      <c r="E29" s="224"/>
      <c r="F29" s="101">
        <f t="shared" si="107"/>
        <v>0</v>
      </c>
      <c r="G29" s="102">
        <f t="shared" si="93"/>
        <v>0</v>
      </c>
      <c r="H29" s="130"/>
      <c r="I29" s="131"/>
      <c r="J29" s="131"/>
      <c r="K29" s="11">
        <f t="shared" si="94"/>
        <v>0</v>
      </c>
      <c r="L29" s="11">
        <f t="shared" si="90"/>
        <v>0</v>
      </c>
      <c r="M29" s="11">
        <f t="shared" si="22"/>
        <v>0.3</v>
      </c>
      <c r="N29" s="153">
        <f t="shared" si="23"/>
        <v>0</v>
      </c>
      <c r="O29" s="21">
        <f t="shared" si="24"/>
        <v>2.1999999999999997</v>
      </c>
      <c r="P29" s="132">
        <f t="shared" si="25"/>
        <v>0</v>
      </c>
      <c r="Q29" s="158"/>
      <c r="R29" s="18">
        <f t="shared" si="105"/>
        <v>29</v>
      </c>
      <c r="S29" s="43">
        <f t="shared" si="50"/>
        <v>0</v>
      </c>
      <c r="T29" s="44">
        <f t="shared" si="83"/>
        <v>0</v>
      </c>
      <c r="U29" s="195">
        <f t="shared" si="26"/>
        <v>258</v>
      </c>
      <c r="V29" s="131"/>
      <c r="W29" s="140">
        <f t="shared" si="28"/>
        <v>258</v>
      </c>
      <c r="X29" s="11">
        <f t="shared" si="1"/>
        <v>79</v>
      </c>
      <c r="Y29" s="131"/>
      <c r="Z29" s="41">
        <f t="shared" si="29"/>
        <v>79</v>
      </c>
      <c r="AB29" s="118">
        <v>24</v>
      </c>
      <c r="AC29" s="9">
        <v>4</v>
      </c>
      <c r="AD29" s="129"/>
      <c r="AE29" s="224"/>
      <c r="AF29" s="11">
        <f t="shared" si="95"/>
        <v>92659</v>
      </c>
      <c r="AG29" s="41">
        <f t="shared" si="96"/>
        <v>92627</v>
      </c>
      <c r="AH29" s="130"/>
      <c r="AI29" s="131">
        <v>32</v>
      </c>
      <c r="AJ29" s="131"/>
      <c r="AK29" s="11">
        <f t="shared" si="97"/>
        <v>32</v>
      </c>
      <c r="AL29" s="11">
        <f t="shared" si="84"/>
        <v>2113</v>
      </c>
      <c r="AM29" s="11">
        <f t="shared" si="2"/>
        <v>0.3</v>
      </c>
      <c r="AN29" s="42">
        <f t="shared" si="55"/>
        <v>0.34535231332088628</v>
      </c>
      <c r="AO29" s="21">
        <f t="shared" si="3"/>
        <v>2.1999999999999997</v>
      </c>
      <c r="AP29" s="165">
        <f t="shared" si="77"/>
        <v>2.280404493896977</v>
      </c>
      <c r="AQ29" s="158"/>
      <c r="AR29" s="11">
        <f t="shared" si="4"/>
        <v>29</v>
      </c>
      <c r="AS29" s="21">
        <f t="shared" si="91"/>
        <v>0</v>
      </c>
      <c r="AT29" s="303">
        <f t="shared" si="85"/>
        <v>0</v>
      </c>
      <c r="AU29" s="11">
        <f t="shared" si="5"/>
        <v>258</v>
      </c>
      <c r="AV29" s="131">
        <v>215.2</v>
      </c>
      <c r="AW29" s="140">
        <f t="shared" si="125"/>
        <v>42.800000000000011</v>
      </c>
      <c r="AX29" s="11">
        <f t="shared" si="57"/>
        <v>79</v>
      </c>
      <c r="AY29" s="131">
        <v>84</v>
      </c>
      <c r="AZ29" s="41">
        <f t="shared" si="33"/>
        <v>-5</v>
      </c>
      <c r="BA29" s="316"/>
      <c r="BB29" s="118">
        <v>22</v>
      </c>
      <c r="BC29" s="9">
        <v>4</v>
      </c>
      <c r="BD29" s="129"/>
      <c r="BE29" s="224"/>
      <c r="BF29" s="11">
        <f t="shared" si="98"/>
        <v>189908</v>
      </c>
      <c r="BG29" s="41">
        <f t="shared" si="120"/>
        <v>189846</v>
      </c>
      <c r="BH29" s="130"/>
      <c r="BI29" s="131">
        <v>62</v>
      </c>
      <c r="BJ29" s="131"/>
      <c r="BK29" s="11">
        <f t="shared" si="99"/>
        <v>62</v>
      </c>
      <c r="BL29" s="11">
        <f t="shared" si="86"/>
        <v>3914</v>
      </c>
      <c r="BM29" s="11">
        <f t="shared" si="7"/>
        <v>0.3</v>
      </c>
      <c r="BN29" s="42">
        <f t="shared" si="34"/>
        <v>0.3264738715588601</v>
      </c>
      <c r="BO29" s="21">
        <f t="shared" si="35"/>
        <v>2.1999999999999997</v>
      </c>
      <c r="BP29" s="165">
        <f t="shared" si="36"/>
        <v>2.0609979569054491</v>
      </c>
      <c r="BQ29" s="158"/>
      <c r="BR29" s="16">
        <f t="shared" si="8"/>
        <v>29</v>
      </c>
      <c r="BS29" s="43">
        <f t="shared" si="79"/>
        <v>0</v>
      </c>
      <c r="BT29" s="44">
        <f t="shared" si="87"/>
        <v>0</v>
      </c>
      <c r="BU29" s="45">
        <f t="shared" si="9"/>
        <v>258</v>
      </c>
      <c r="BV29" s="131">
        <v>218</v>
      </c>
      <c r="BW29" s="140">
        <f t="shared" si="126"/>
        <v>40</v>
      </c>
      <c r="BX29" s="11">
        <f>VLOOKUP(BC29,PARAMETROCRIANZA,4,FALSE)</f>
        <v>79</v>
      </c>
      <c r="BY29" s="131">
        <v>81</v>
      </c>
      <c r="BZ29" s="41">
        <f t="shared" si="37"/>
        <v>-2</v>
      </c>
      <c r="CA29" s="316"/>
      <c r="CB29" s="118"/>
      <c r="CC29" s="9">
        <v>4</v>
      </c>
      <c r="CD29" s="129"/>
      <c r="CE29" s="224"/>
      <c r="CF29" s="11">
        <f t="shared" si="88"/>
        <v>0</v>
      </c>
      <c r="CG29" s="41">
        <f t="shared" si="101"/>
        <v>0</v>
      </c>
      <c r="CH29" s="130"/>
      <c r="CI29" s="131"/>
      <c r="CJ29" s="131"/>
      <c r="CK29" s="11">
        <f t="shared" si="102"/>
        <v>0</v>
      </c>
      <c r="CL29" s="11">
        <f t="shared" si="92"/>
        <v>0</v>
      </c>
      <c r="CM29" s="11">
        <f t="shared" si="12"/>
        <v>0.3</v>
      </c>
      <c r="CN29" s="42">
        <f t="shared" si="39"/>
        <v>0</v>
      </c>
      <c r="CO29" s="21">
        <f t="shared" si="13"/>
        <v>2.1999999999999997</v>
      </c>
      <c r="CP29" s="165">
        <f t="shared" si="40"/>
        <v>0</v>
      </c>
      <c r="CQ29" s="158"/>
      <c r="CR29" s="16">
        <f t="shared" si="14"/>
        <v>29</v>
      </c>
      <c r="CS29" s="43">
        <f t="shared" si="65"/>
        <v>0</v>
      </c>
      <c r="CT29" s="44">
        <f t="shared" si="66"/>
        <v>0</v>
      </c>
      <c r="CU29" s="45">
        <f t="shared" si="15"/>
        <v>258</v>
      </c>
      <c r="CV29" s="131"/>
      <c r="CW29" s="140">
        <f t="shared" si="127"/>
        <v>258</v>
      </c>
      <c r="CX29" s="11">
        <f t="shared" si="42"/>
        <v>79</v>
      </c>
      <c r="CY29" s="131"/>
      <c r="CZ29" s="41">
        <f t="shared" si="43"/>
        <v>79</v>
      </c>
      <c r="DA29" s="316"/>
      <c r="DB29" s="118"/>
      <c r="DC29" s="9">
        <v>4</v>
      </c>
      <c r="DD29" s="129"/>
      <c r="DE29" s="224"/>
      <c r="DF29" s="11">
        <f t="shared" si="70"/>
        <v>0</v>
      </c>
      <c r="DG29" s="41">
        <f t="shared" si="103"/>
        <v>0</v>
      </c>
      <c r="DH29" s="130"/>
      <c r="DI29" s="131"/>
      <c r="DJ29" s="131"/>
      <c r="DK29" s="11">
        <f t="shared" si="104"/>
        <v>0</v>
      </c>
      <c r="DL29" s="11">
        <f t="shared" si="89"/>
        <v>0</v>
      </c>
      <c r="DM29" s="11">
        <f t="shared" si="16"/>
        <v>0.3</v>
      </c>
      <c r="DN29" s="42">
        <f t="shared" si="45"/>
        <v>0</v>
      </c>
      <c r="DO29" s="21">
        <f t="shared" si="17"/>
        <v>2.1999999999999997</v>
      </c>
      <c r="DP29" s="165">
        <f t="shared" si="46"/>
        <v>0</v>
      </c>
      <c r="DQ29" s="158"/>
      <c r="DR29" s="16">
        <f t="shared" si="18"/>
        <v>29</v>
      </c>
      <c r="DS29" s="43">
        <f t="shared" si="82"/>
        <v>0</v>
      </c>
      <c r="DT29" s="44">
        <f t="shared" si="71"/>
        <v>0</v>
      </c>
      <c r="DU29" s="45">
        <f t="shared" si="19"/>
        <v>258</v>
      </c>
      <c r="DV29" s="131"/>
      <c r="DW29" s="140">
        <f t="shared" si="128"/>
        <v>258</v>
      </c>
      <c r="DX29" s="11">
        <f t="shared" si="48"/>
        <v>79</v>
      </c>
      <c r="DY29" s="131"/>
      <c r="DZ29" s="41">
        <f t="shared" si="74"/>
        <v>79</v>
      </c>
    </row>
    <row r="30" spans="2:130" x14ac:dyDescent="0.25">
      <c r="B30" s="120"/>
      <c r="C30" s="115">
        <f>C29</f>
        <v>4</v>
      </c>
      <c r="D30" s="133"/>
      <c r="E30" s="221"/>
      <c r="F30" s="103">
        <f t="shared" si="107"/>
        <v>0</v>
      </c>
      <c r="G30" s="108">
        <f t="shared" si="93"/>
        <v>0</v>
      </c>
      <c r="H30" s="134"/>
      <c r="I30" s="135"/>
      <c r="J30" s="135"/>
      <c r="K30" s="14">
        <f t="shared" si="94"/>
        <v>0</v>
      </c>
      <c r="L30" s="14">
        <f t="shared" si="90"/>
        <v>0</v>
      </c>
      <c r="M30" s="14">
        <f t="shared" si="22"/>
        <v>0.3</v>
      </c>
      <c r="N30" s="47">
        <f t="shared" si="23"/>
        <v>0</v>
      </c>
      <c r="O30" s="35">
        <f t="shared" si="24"/>
        <v>2.1999999999999997</v>
      </c>
      <c r="P30" s="159">
        <f t="shared" si="25"/>
        <v>0</v>
      </c>
      <c r="Q30" s="142"/>
      <c r="R30" s="14">
        <f t="shared" si="105"/>
        <v>29</v>
      </c>
      <c r="S30" s="48">
        <f t="shared" si="50"/>
        <v>0</v>
      </c>
      <c r="T30" s="49">
        <f t="shared" si="83"/>
        <v>0</v>
      </c>
      <c r="U30" s="39">
        <f t="shared" si="26"/>
        <v>258</v>
      </c>
      <c r="V30" s="112">
        <f>V29</f>
        <v>0</v>
      </c>
      <c r="W30" s="71">
        <f t="shared" si="28"/>
        <v>258</v>
      </c>
      <c r="X30" s="61">
        <f t="shared" si="1"/>
        <v>79</v>
      </c>
      <c r="Y30" s="112">
        <f>Y29</f>
        <v>0</v>
      </c>
      <c r="Z30" s="71">
        <f t="shared" si="29"/>
        <v>79</v>
      </c>
      <c r="AB30" s="120">
        <f>AB29+1</f>
        <v>25</v>
      </c>
      <c r="AC30" s="7">
        <f>AC29</f>
        <v>4</v>
      </c>
      <c r="AD30" s="133"/>
      <c r="AE30" s="221"/>
      <c r="AF30" s="14">
        <f t="shared" si="95"/>
        <v>92627</v>
      </c>
      <c r="AG30" s="62">
        <f t="shared" si="96"/>
        <v>92583</v>
      </c>
      <c r="AH30" s="134">
        <v>20</v>
      </c>
      <c r="AI30" s="135">
        <v>24</v>
      </c>
      <c r="AJ30" s="135"/>
      <c r="AK30" s="14">
        <f t="shared" si="97"/>
        <v>44</v>
      </c>
      <c r="AL30" s="14">
        <f t="shared" si="84"/>
        <v>2157</v>
      </c>
      <c r="AM30" s="14">
        <f t="shared" si="2"/>
        <v>0.3</v>
      </c>
      <c r="AN30" s="47">
        <f t="shared" si="55"/>
        <v>0.47502348127435845</v>
      </c>
      <c r="AO30" s="35">
        <f t="shared" si="3"/>
        <v>2.1999999999999997</v>
      </c>
      <c r="AP30" s="159">
        <f t="shared" si="77"/>
        <v>2.3286946570654345</v>
      </c>
      <c r="AQ30" s="142"/>
      <c r="AR30" s="14">
        <f t="shared" si="4"/>
        <v>29</v>
      </c>
      <c r="AS30" s="35">
        <f t="shared" si="91"/>
        <v>0</v>
      </c>
      <c r="AT30" s="301">
        <f t="shared" si="85"/>
        <v>0</v>
      </c>
      <c r="AU30" s="14">
        <f t="shared" si="5"/>
        <v>258</v>
      </c>
      <c r="AV30" s="112">
        <f>AV29</f>
        <v>215.2</v>
      </c>
      <c r="AW30" s="71">
        <f t="shared" si="125"/>
        <v>42.800000000000011</v>
      </c>
      <c r="AX30" s="61">
        <f t="shared" si="57"/>
        <v>79</v>
      </c>
      <c r="AY30" s="112">
        <f>AY29</f>
        <v>84</v>
      </c>
      <c r="AZ30" s="71">
        <f t="shared" si="33"/>
        <v>-5</v>
      </c>
      <c r="BA30" s="316"/>
      <c r="BB30" s="120">
        <f>BB29+1</f>
        <v>23</v>
      </c>
      <c r="BC30" s="7">
        <f>BC29</f>
        <v>4</v>
      </c>
      <c r="BD30" s="133"/>
      <c r="BE30" s="221"/>
      <c r="BF30" s="14">
        <f t="shared" si="98"/>
        <v>189846</v>
      </c>
      <c r="BG30" s="62">
        <f t="shared" si="120"/>
        <v>189811</v>
      </c>
      <c r="BH30" s="134">
        <v>3</v>
      </c>
      <c r="BI30" s="135">
        <v>32</v>
      </c>
      <c r="BJ30" s="135"/>
      <c r="BK30" s="14">
        <f t="shared" si="99"/>
        <v>35</v>
      </c>
      <c r="BL30" s="14">
        <f t="shared" si="86"/>
        <v>3949</v>
      </c>
      <c r="BM30" s="14">
        <f t="shared" si="7"/>
        <v>0.3</v>
      </c>
      <c r="BN30" s="47">
        <f t="shared" si="34"/>
        <v>0.18435995491082247</v>
      </c>
      <c r="BO30" s="35">
        <f t="shared" si="35"/>
        <v>2.1999999999999997</v>
      </c>
      <c r="BP30" s="159">
        <f t="shared" si="36"/>
        <v>2.0801070341223937</v>
      </c>
      <c r="BQ30" s="142"/>
      <c r="BR30" s="13">
        <f t="shared" si="8"/>
        <v>29</v>
      </c>
      <c r="BS30" s="48">
        <f t="shared" si="79"/>
        <v>0</v>
      </c>
      <c r="BT30" s="49">
        <f t="shared" si="87"/>
        <v>0</v>
      </c>
      <c r="BU30" s="50">
        <f t="shared" si="9"/>
        <v>258</v>
      </c>
      <c r="BV30" s="112">
        <f>BV29</f>
        <v>218</v>
      </c>
      <c r="BW30" s="71">
        <f t="shared" si="126"/>
        <v>40</v>
      </c>
      <c r="BX30" s="61">
        <f t="shared" si="100"/>
        <v>79</v>
      </c>
      <c r="BY30" s="112">
        <f>BY29</f>
        <v>81</v>
      </c>
      <c r="BZ30" s="71">
        <f t="shared" si="37"/>
        <v>-2</v>
      </c>
      <c r="CA30" s="316"/>
      <c r="CB30" s="120"/>
      <c r="CC30" s="7">
        <f>CC29</f>
        <v>4</v>
      </c>
      <c r="CD30" s="133"/>
      <c r="CE30" s="221"/>
      <c r="CF30" s="14">
        <f t="shared" si="88"/>
        <v>0</v>
      </c>
      <c r="CG30" s="62">
        <f t="shared" si="101"/>
        <v>0</v>
      </c>
      <c r="CH30" s="134"/>
      <c r="CI30" s="135"/>
      <c r="CJ30" s="135"/>
      <c r="CK30" s="14">
        <f t="shared" si="102"/>
        <v>0</v>
      </c>
      <c r="CL30" s="14">
        <f t="shared" si="92"/>
        <v>0</v>
      </c>
      <c r="CM30" s="14">
        <f t="shared" si="12"/>
        <v>0.3</v>
      </c>
      <c r="CN30" s="47">
        <f t="shared" si="39"/>
        <v>0</v>
      </c>
      <c r="CO30" s="35">
        <f t="shared" si="13"/>
        <v>2.1999999999999997</v>
      </c>
      <c r="CP30" s="159">
        <f t="shared" si="40"/>
        <v>0</v>
      </c>
      <c r="CQ30" s="142"/>
      <c r="CR30" s="13">
        <f t="shared" si="14"/>
        <v>29</v>
      </c>
      <c r="CS30" s="48">
        <f t="shared" si="65"/>
        <v>0</v>
      </c>
      <c r="CT30" s="49">
        <f t="shared" si="66"/>
        <v>0</v>
      </c>
      <c r="CU30" s="50">
        <f t="shared" si="15"/>
        <v>258</v>
      </c>
      <c r="CV30" s="112">
        <f>CV29</f>
        <v>0</v>
      </c>
      <c r="CW30" s="71">
        <f t="shared" si="127"/>
        <v>258</v>
      </c>
      <c r="CX30" s="61">
        <f t="shared" si="42"/>
        <v>79</v>
      </c>
      <c r="CY30" s="112">
        <f>CY29</f>
        <v>0</v>
      </c>
      <c r="CZ30" s="71">
        <f t="shared" si="43"/>
        <v>79</v>
      </c>
      <c r="DA30" s="316"/>
      <c r="DB30" s="120"/>
      <c r="DC30" s="7">
        <f>DC29</f>
        <v>4</v>
      </c>
      <c r="DD30" s="133"/>
      <c r="DE30" s="221"/>
      <c r="DF30" s="14">
        <f t="shared" si="70"/>
        <v>0</v>
      </c>
      <c r="DG30" s="62">
        <f t="shared" si="103"/>
        <v>0</v>
      </c>
      <c r="DH30" s="134"/>
      <c r="DI30" s="135"/>
      <c r="DJ30" s="135"/>
      <c r="DK30" s="14">
        <f t="shared" si="104"/>
        <v>0</v>
      </c>
      <c r="DL30" s="14">
        <f t="shared" si="89"/>
        <v>0</v>
      </c>
      <c r="DM30" s="14">
        <f t="shared" si="16"/>
        <v>0.3</v>
      </c>
      <c r="DN30" s="47">
        <f t="shared" si="45"/>
        <v>0</v>
      </c>
      <c r="DO30" s="35">
        <f t="shared" si="17"/>
        <v>2.1999999999999997</v>
      </c>
      <c r="DP30" s="159">
        <f t="shared" si="46"/>
        <v>0</v>
      </c>
      <c r="DQ30" s="142"/>
      <c r="DR30" s="13">
        <f t="shared" si="18"/>
        <v>29</v>
      </c>
      <c r="DS30" s="48">
        <f t="shared" si="82"/>
        <v>0</v>
      </c>
      <c r="DT30" s="49">
        <f t="shared" si="71"/>
        <v>0</v>
      </c>
      <c r="DU30" s="50">
        <f t="shared" si="19"/>
        <v>258</v>
      </c>
      <c r="DV30" s="112">
        <f>DV29</f>
        <v>0</v>
      </c>
      <c r="DW30" s="71">
        <f t="shared" si="128"/>
        <v>258</v>
      </c>
      <c r="DX30" s="61">
        <f t="shared" si="48"/>
        <v>79</v>
      </c>
      <c r="DY30" s="112">
        <f>DY29</f>
        <v>0</v>
      </c>
      <c r="DZ30" s="71">
        <f t="shared" si="74"/>
        <v>79</v>
      </c>
    </row>
    <row r="31" spans="2:130" x14ac:dyDescent="0.25">
      <c r="B31" s="120"/>
      <c r="C31" s="115">
        <f t="shared" ref="C31:C35" si="146">C30</f>
        <v>4</v>
      </c>
      <c r="D31" s="133"/>
      <c r="E31" s="221"/>
      <c r="F31" s="103">
        <f t="shared" si="107"/>
        <v>0</v>
      </c>
      <c r="G31" s="107">
        <f t="shared" si="93"/>
        <v>0</v>
      </c>
      <c r="H31" s="134"/>
      <c r="I31" s="135"/>
      <c r="J31" s="135"/>
      <c r="K31" s="14">
        <f t="shared" si="94"/>
        <v>0</v>
      </c>
      <c r="L31" s="14">
        <f t="shared" si="90"/>
        <v>0</v>
      </c>
      <c r="M31" s="14">
        <f t="shared" si="22"/>
        <v>0.3</v>
      </c>
      <c r="N31" s="47">
        <f t="shared" si="23"/>
        <v>0</v>
      </c>
      <c r="O31" s="35">
        <f t="shared" si="24"/>
        <v>2.1999999999999997</v>
      </c>
      <c r="P31" s="159">
        <f t="shared" si="25"/>
        <v>0</v>
      </c>
      <c r="Q31" s="142"/>
      <c r="R31" s="17">
        <f t="shared" si="105"/>
        <v>29</v>
      </c>
      <c r="S31" s="48">
        <f t="shared" si="50"/>
        <v>0</v>
      </c>
      <c r="T31" s="49">
        <f t="shared" si="83"/>
        <v>0</v>
      </c>
      <c r="U31" s="160">
        <f t="shared" si="26"/>
        <v>258</v>
      </c>
      <c r="V31" s="112">
        <f t="shared" ref="V31:V35" si="147">V30</f>
        <v>0</v>
      </c>
      <c r="W31" s="46">
        <f t="shared" si="28"/>
        <v>258</v>
      </c>
      <c r="X31" s="51">
        <f t="shared" si="1"/>
        <v>79</v>
      </c>
      <c r="Y31" s="112">
        <f t="shared" ref="Y31:Y35" si="148">Y30</f>
        <v>0</v>
      </c>
      <c r="Z31" s="46">
        <f t="shared" si="29"/>
        <v>79</v>
      </c>
      <c r="AB31" s="120">
        <f t="shared" ref="AB31:AB35" si="149">AB30+1</f>
        <v>26</v>
      </c>
      <c r="AC31" s="7">
        <f t="shared" ref="AC31:AC35" si="150">AC30</f>
        <v>4</v>
      </c>
      <c r="AD31" s="133"/>
      <c r="AE31" s="221"/>
      <c r="AF31" s="14">
        <f t="shared" si="95"/>
        <v>92583</v>
      </c>
      <c r="AG31" s="59">
        <f t="shared" si="96"/>
        <v>92550</v>
      </c>
      <c r="AH31" s="134"/>
      <c r="AI31" s="135">
        <v>33</v>
      </c>
      <c r="AJ31" s="135"/>
      <c r="AK31" s="14">
        <f t="shared" si="97"/>
        <v>33</v>
      </c>
      <c r="AL31" s="14">
        <f t="shared" si="84"/>
        <v>2190</v>
      </c>
      <c r="AM31" s="14">
        <f t="shared" si="2"/>
        <v>0.3</v>
      </c>
      <c r="AN31" s="47">
        <f t="shared" si="55"/>
        <v>0.35643692686562328</v>
      </c>
      <c r="AO31" s="35">
        <f t="shared" si="3"/>
        <v>2.1999999999999997</v>
      </c>
      <c r="AP31" s="159">
        <f t="shared" si="77"/>
        <v>2.3654450601082271</v>
      </c>
      <c r="AQ31" s="142"/>
      <c r="AR31" s="14">
        <f t="shared" si="4"/>
        <v>29</v>
      </c>
      <c r="AS31" s="35">
        <f t="shared" si="91"/>
        <v>0</v>
      </c>
      <c r="AT31" s="301">
        <f t="shared" si="85"/>
        <v>0</v>
      </c>
      <c r="AU31" s="14">
        <f t="shared" si="5"/>
        <v>258</v>
      </c>
      <c r="AV31" s="112">
        <f t="shared" ref="AV31:AV35" si="151">AV30</f>
        <v>215.2</v>
      </c>
      <c r="AW31" s="46">
        <f t="shared" si="125"/>
        <v>42.800000000000011</v>
      </c>
      <c r="AX31" s="51">
        <f t="shared" si="57"/>
        <v>79</v>
      </c>
      <c r="AY31" s="112">
        <f t="shared" ref="AY31:AY35" si="152">AY30</f>
        <v>84</v>
      </c>
      <c r="AZ31" s="46">
        <f t="shared" si="33"/>
        <v>-5</v>
      </c>
      <c r="BA31" s="316"/>
      <c r="BB31" s="120">
        <f t="shared" ref="BB31:BB35" si="153">BB30+1</f>
        <v>24</v>
      </c>
      <c r="BC31" s="7">
        <f t="shared" ref="BC31:BC35" si="154">BC30</f>
        <v>4</v>
      </c>
      <c r="BD31" s="133"/>
      <c r="BE31" s="221"/>
      <c r="BF31" s="14">
        <f t="shared" si="98"/>
        <v>189811</v>
      </c>
      <c r="BG31" s="59">
        <f t="shared" si="120"/>
        <v>189779</v>
      </c>
      <c r="BH31" s="134"/>
      <c r="BI31" s="135">
        <v>32</v>
      </c>
      <c r="BJ31" s="135"/>
      <c r="BK31" s="14">
        <f t="shared" si="99"/>
        <v>32</v>
      </c>
      <c r="BL31" s="14">
        <f t="shared" si="86"/>
        <v>3981</v>
      </c>
      <c r="BM31" s="14">
        <f t="shared" si="7"/>
        <v>0.3</v>
      </c>
      <c r="BN31" s="47">
        <f t="shared" si="34"/>
        <v>0.1685887540764234</v>
      </c>
      <c r="BO31" s="35">
        <f t="shared" si="35"/>
        <v>2.1999999999999997</v>
      </c>
      <c r="BP31" s="159">
        <f t="shared" si="36"/>
        <v>2.0973494686820047</v>
      </c>
      <c r="BQ31" s="142"/>
      <c r="BR31" s="13">
        <f t="shared" si="8"/>
        <v>29</v>
      </c>
      <c r="BS31" s="48">
        <f t="shared" si="79"/>
        <v>0</v>
      </c>
      <c r="BT31" s="49">
        <f t="shared" si="87"/>
        <v>0</v>
      </c>
      <c r="BU31" s="50">
        <f t="shared" si="9"/>
        <v>258</v>
      </c>
      <c r="BV31" s="112">
        <f t="shared" ref="BV31:BV35" si="155">BV30</f>
        <v>218</v>
      </c>
      <c r="BW31" s="46">
        <f t="shared" si="126"/>
        <v>40</v>
      </c>
      <c r="BX31" s="51">
        <f t="shared" si="100"/>
        <v>79</v>
      </c>
      <c r="BY31" s="112">
        <f t="shared" ref="BY31:BY35" si="156">BY30</f>
        <v>81</v>
      </c>
      <c r="BZ31" s="46">
        <f>BX31-BY31</f>
        <v>-2</v>
      </c>
      <c r="CA31" s="316"/>
      <c r="CB31" s="120"/>
      <c r="CC31" s="7">
        <f t="shared" ref="CC31:CC35" si="157">CC30</f>
        <v>4</v>
      </c>
      <c r="CD31" s="133"/>
      <c r="CE31" s="221"/>
      <c r="CF31" s="14">
        <f t="shared" si="88"/>
        <v>0</v>
      </c>
      <c r="CG31" s="59">
        <f t="shared" si="101"/>
        <v>0</v>
      </c>
      <c r="CH31" s="134"/>
      <c r="CI31" s="135"/>
      <c r="CJ31" s="135"/>
      <c r="CK31" s="14">
        <f t="shared" si="102"/>
        <v>0</v>
      </c>
      <c r="CL31" s="14">
        <f t="shared" si="92"/>
        <v>0</v>
      </c>
      <c r="CM31" s="14">
        <f t="shared" si="12"/>
        <v>0.3</v>
      </c>
      <c r="CN31" s="231">
        <f t="shared" si="39"/>
        <v>0</v>
      </c>
      <c r="CO31" s="37">
        <f t="shared" si="13"/>
        <v>2.1999999999999997</v>
      </c>
      <c r="CP31" s="155">
        <f t="shared" si="40"/>
        <v>0</v>
      </c>
      <c r="CQ31" s="142"/>
      <c r="CR31" s="13">
        <f t="shared" si="14"/>
        <v>29</v>
      </c>
      <c r="CS31" s="48">
        <f t="shared" si="65"/>
        <v>0</v>
      </c>
      <c r="CT31" s="49">
        <f t="shared" si="66"/>
        <v>0</v>
      </c>
      <c r="CU31" s="50">
        <f t="shared" si="15"/>
        <v>258</v>
      </c>
      <c r="CV31" s="112">
        <f t="shared" ref="CV31:CV35" si="158">CV30</f>
        <v>0</v>
      </c>
      <c r="CW31" s="46">
        <f t="shared" si="127"/>
        <v>258</v>
      </c>
      <c r="CX31" s="51">
        <f t="shared" si="42"/>
        <v>79</v>
      </c>
      <c r="CY31" s="112">
        <f t="shared" ref="CY31:CY35" si="159">CY30</f>
        <v>0</v>
      </c>
      <c r="CZ31" s="46">
        <f t="shared" si="43"/>
        <v>79</v>
      </c>
      <c r="DA31" s="316"/>
      <c r="DB31" s="120"/>
      <c r="DC31" s="7">
        <f t="shared" ref="DC31:DC35" si="160">DC30</f>
        <v>4</v>
      </c>
      <c r="DD31" s="133"/>
      <c r="DE31" s="221"/>
      <c r="DF31" s="14">
        <f t="shared" si="70"/>
        <v>0</v>
      </c>
      <c r="DG31" s="59">
        <f t="shared" si="103"/>
        <v>0</v>
      </c>
      <c r="DH31" s="134"/>
      <c r="DI31" s="135"/>
      <c r="DJ31" s="135"/>
      <c r="DK31" s="14">
        <f t="shared" si="104"/>
        <v>0</v>
      </c>
      <c r="DL31" s="14">
        <f t="shared" si="89"/>
        <v>0</v>
      </c>
      <c r="DM31" s="14">
        <f t="shared" si="16"/>
        <v>0.3</v>
      </c>
      <c r="DN31" s="47">
        <f t="shared" si="45"/>
        <v>0</v>
      </c>
      <c r="DO31" s="35">
        <f t="shared" si="17"/>
        <v>2.1999999999999997</v>
      </c>
      <c r="DP31" s="159">
        <f t="shared" si="46"/>
        <v>0</v>
      </c>
      <c r="DQ31" s="142"/>
      <c r="DR31" s="13">
        <f t="shared" si="18"/>
        <v>29</v>
      </c>
      <c r="DS31" s="48">
        <f t="shared" si="82"/>
        <v>0</v>
      </c>
      <c r="DT31" s="49">
        <f t="shared" si="71"/>
        <v>0</v>
      </c>
      <c r="DU31" s="50">
        <f t="shared" si="19"/>
        <v>258</v>
      </c>
      <c r="DV31" s="112">
        <f t="shared" ref="DV31:DV35" si="161">DV30</f>
        <v>0</v>
      </c>
      <c r="DW31" s="46">
        <f t="shared" si="128"/>
        <v>258</v>
      </c>
      <c r="DX31" s="51">
        <f t="shared" si="48"/>
        <v>79</v>
      </c>
      <c r="DY31" s="112">
        <f t="shared" ref="DY31:DY35" si="162">DY30</f>
        <v>0</v>
      </c>
      <c r="DZ31" s="46">
        <f t="shared" si="74"/>
        <v>79</v>
      </c>
    </row>
    <row r="32" spans="2:130" x14ac:dyDescent="0.25">
      <c r="B32" s="120"/>
      <c r="C32" s="115">
        <f t="shared" si="146"/>
        <v>4</v>
      </c>
      <c r="D32" s="133"/>
      <c r="E32" s="221"/>
      <c r="F32" s="103">
        <f t="shared" si="107"/>
        <v>0</v>
      </c>
      <c r="G32" s="107">
        <f t="shared" si="93"/>
        <v>0</v>
      </c>
      <c r="H32" s="134"/>
      <c r="I32" s="135"/>
      <c r="J32" s="135"/>
      <c r="K32" s="14">
        <f t="shared" si="94"/>
        <v>0</v>
      </c>
      <c r="L32" s="14">
        <f t="shared" si="90"/>
        <v>0</v>
      </c>
      <c r="M32" s="14">
        <f t="shared" si="22"/>
        <v>0.3</v>
      </c>
      <c r="N32" s="47">
        <f t="shared" si="23"/>
        <v>0</v>
      </c>
      <c r="O32" s="35">
        <f t="shared" si="24"/>
        <v>2.1999999999999997</v>
      </c>
      <c r="P32" s="155">
        <f t="shared" si="25"/>
        <v>0</v>
      </c>
      <c r="Q32" s="142"/>
      <c r="R32" s="17">
        <f t="shared" si="105"/>
        <v>29</v>
      </c>
      <c r="S32" s="48">
        <f t="shared" si="50"/>
        <v>0</v>
      </c>
      <c r="T32" s="49">
        <f t="shared" si="83"/>
        <v>0</v>
      </c>
      <c r="U32" s="160">
        <f t="shared" si="26"/>
        <v>258</v>
      </c>
      <c r="V32" s="112">
        <f t="shared" si="147"/>
        <v>0</v>
      </c>
      <c r="W32" s="46">
        <f t="shared" si="28"/>
        <v>258</v>
      </c>
      <c r="X32" s="51">
        <f t="shared" si="1"/>
        <v>79</v>
      </c>
      <c r="Y32" s="112">
        <f t="shared" si="148"/>
        <v>0</v>
      </c>
      <c r="Z32" s="46">
        <f t="shared" si="29"/>
        <v>79</v>
      </c>
      <c r="AB32" s="120">
        <f t="shared" si="149"/>
        <v>27</v>
      </c>
      <c r="AC32" s="7">
        <f t="shared" si="150"/>
        <v>4</v>
      </c>
      <c r="AD32" s="133"/>
      <c r="AE32" s="221"/>
      <c r="AF32" s="14">
        <f t="shared" si="95"/>
        <v>92550</v>
      </c>
      <c r="AG32" s="59">
        <f t="shared" si="96"/>
        <v>92522</v>
      </c>
      <c r="AH32" s="134"/>
      <c r="AI32" s="135">
        <v>28</v>
      </c>
      <c r="AJ32" s="135"/>
      <c r="AK32" s="14">
        <f t="shared" si="97"/>
        <v>28</v>
      </c>
      <c r="AL32" s="14">
        <f t="shared" si="84"/>
        <v>2218</v>
      </c>
      <c r="AM32" s="14">
        <f t="shared" si="2"/>
        <v>0.3</v>
      </c>
      <c r="AN32" s="47">
        <f t="shared" si="55"/>
        <v>0.30253916801728797</v>
      </c>
      <c r="AO32" s="35">
        <f t="shared" si="3"/>
        <v>2.1999999999999997</v>
      </c>
      <c r="AP32" s="159">
        <f t="shared" si="77"/>
        <v>2.396542409508374</v>
      </c>
      <c r="AQ32" s="142"/>
      <c r="AR32" s="14">
        <f t="shared" si="4"/>
        <v>29</v>
      </c>
      <c r="AS32" s="35">
        <f t="shared" si="91"/>
        <v>0</v>
      </c>
      <c r="AT32" s="301">
        <f t="shared" si="85"/>
        <v>0</v>
      </c>
      <c r="AU32" s="14">
        <f t="shared" si="5"/>
        <v>258</v>
      </c>
      <c r="AV32" s="112">
        <f t="shared" si="151"/>
        <v>215.2</v>
      </c>
      <c r="AW32" s="46">
        <f t="shared" si="125"/>
        <v>42.800000000000011</v>
      </c>
      <c r="AX32" s="51">
        <f t="shared" si="57"/>
        <v>79</v>
      </c>
      <c r="AY32" s="112">
        <f t="shared" si="152"/>
        <v>84</v>
      </c>
      <c r="AZ32" s="46">
        <f t="shared" si="33"/>
        <v>-5</v>
      </c>
      <c r="BA32" s="316"/>
      <c r="BB32" s="120">
        <f t="shared" si="153"/>
        <v>25</v>
      </c>
      <c r="BC32" s="7">
        <f t="shared" si="154"/>
        <v>4</v>
      </c>
      <c r="BD32" s="133"/>
      <c r="BE32" s="221"/>
      <c r="BF32" s="14">
        <f t="shared" si="98"/>
        <v>189779</v>
      </c>
      <c r="BG32" s="59">
        <f t="shared" si="120"/>
        <v>189734</v>
      </c>
      <c r="BH32" s="134">
        <v>15</v>
      </c>
      <c r="BI32" s="135">
        <v>30</v>
      </c>
      <c r="BJ32" s="135"/>
      <c r="BK32" s="14">
        <f t="shared" si="99"/>
        <v>45</v>
      </c>
      <c r="BL32" s="14">
        <f t="shared" si="86"/>
        <v>4026</v>
      </c>
      <c r="BM32" s="14">
        <f t="shared" si="7"/>
        <v>0.3</v>
      </c>
      <c r="BN32" s="47">
        <f t="shared" si="34"/>
        <v>0.23711791083312694</v>
      </c>
      <c r="BO32" s="35">
        <f t="shared" si="35"/>
        <v>2.1999999999999997</v>
      </c>
      <c r="BP32" s="159">
        <f t="shared" si="36"/>
        <v>2.121414908920376</v>
      </c>
      <c r="BQ32" s="142"/>
      <c r="BR32" s="13">
        <f t="shared" si="8"/>
        <v>29</v>
      </c>
      <c r="BS32" s="48">
        <f t="shared" si="79"/>
        <v>0</v>
      </c>
      <c r="BT32" s="49">
        <f t="shared" si="87"/>
        <v>0</v>
      </c>
      <c r="BU32" s="50">
        <f t="shared" si="9"/>
        <v>258</v>
      </c>
      <c r="BV32" s="112">
        <f t="shared" si="155"/>
        <v>218</v>
      </c>
      <c r="BW32" s="46">
        <f t="shared" si="126"/>
        <v>40</v>
      </c>
      <c r="BX32" s="51">
        <f t="shared" si="100"/>
        <v>79</v>
      </c>
      <c r="BY32" s="112">
        <f t="shared" si="156"/>
        <v>81</v>
      </c>
      <c r="BZ32" s="46">
        <f t="shared" si="37"/>
        <v>-2</v>
      </c>
      <c r="CA32" s="316"/>
      <c r="CB32" s="120"/>
      <c r="CC32" s="7">
        <f t="shared" si="157"/>
        <v>4</v>
      </c>
      <c r="CD32" s="133"/>
      <c r="CE32" s="221"/>
      <c r="CF32" s="14">
        <f t="shared" si="88"/>
        <v>0</v>
      </c>
      <c r="CG32" s="59">
        <f t="shared" si="101"/>
        <v>0</v>
      </c>
      <c r="CH32" s="134"/>
      <c r="CI32" s="135"/>
      <c r="CJ32" s="135"/>
      <c r="CK32" s="14">
        <f t="shared" si="102"/>
        <v>0</v>
      </c>
      <c r="CL32" s="14">
        <f t="shared" si="92"/>
        <v>0</v>
      </c>
      <c r="CM32" s="14">
        <f t="shared" si="12"/>
        <v>0.3</v>
      </c>
      <c r="CN32" s="47">
        <f t="shared" si="39"/>
        <v>0</v>
      </c>
      <c r="CO32" s="35">
        <f t="shared" si="13"/>
        <v>2.1999999999999997</v>
      </c>
      <c r="CP32" s="159">
        <f t="shared" si="40"/>
        <v>0</v>
      </c>
      <c r="CQ32" s="142"/>
      <c r="CR32" s="13">
        <f t="shared" si="14"/>
        <v>29</v>
      </c>
      <c r="CS32" s="48">
        <f t="shared" si="65"/>
        <v>0</v>
      </c>
      <c r="CT32" s="49">
        <f t="shared" si="66"/>
        <v>0</v>
      </c>
      <c r="CU32" s="50">
        <f t="shared" si="15"/>
        <v>258</v>
      </c>
      <c r="CV32" s="112">
        <f t="shared" si="158"/>
        <v>0</v>
      </c>
      <c r="CW32" s="46">
        <f t="shared" si="127"/>
        <v>258</v>
      </c>
      <c r="CX32" s="51">
        <f t="shared" si="42"/>
        <v>79</v>
      </c>
      <c r="CY32" s="112">
        <f t="shared" si="159"/>
        <v>0</v>
      </c>
      <c r="CZ32" s="46">
        <f t="shared" si="43"/>
        <v>79</v>
      </c>
      <c r="DA32" s="316"/>
      <c r="DB32" s="120"/>
      <c r="DC32" s="7">
        <f t="shared" si="160"/>
        <v>4</v>
      </c>
      <c r="DD32" s="133"/>
      <c r="DE32" s="221"/>
      <c r="DF32" s="14">
        <f t="shared" si="70"/>
        <v>0</v>
      </c>
      <c r="DG32" s="59">
        <f t="shared" si="103"/>
        <v>0</v>
      </c>
      <c r="DH32" s="134"/>
      <c r="DI32" s="135"/>
      <c r="DJ32" s="135"/>
      <c r="DK32" s="14">
        <f t="shared" si="104"/>
        <v>0</v>
      </c>
      <c r="DL32" s="14">
        <f t="shared" si="89"/>
        <v>0</v>
      </c>
      <c r="DM32" s="14">
        <f t="shared" si="16"/>
        <v>0.3</v>
      </c>
      <c r="DN32" s="47">
        <f t="shared" si="45"/>
        <v>0</v>
      </c>
      <c r="DO32" s="35">
        <f t="shared" si="17"/>
        <v>2.1999999999999997</v>
      </c>
      <c r="DP32" s="159">
        <f t="shared" si="46"/>
        <v>0</v>
      </c>
      <c r="DQ32" s="142"/>
      <c r="DR32" s="13">
        <f t="shared" si="18"/>
        <v>29</v>
      </c>
      <c r="DS32" s="48">
        <f t="shared" si="82"/>
        <v>0</v>
      </c>
      <c r="DT32" s="49">
        <f t="shared" si="71"/>
        <v>0</v>
      </c>
      <c r="DU32" s="50">
        <f t="shared" si="19"/>
        <v>258</v>
      </c>
      <c r="DV32" s="112">
        <f t="shared" si="161"/>
        <v>0</v>
      </c>
      <c r="DW32" s="46">
        <f t="shared" si="128"/>
        <v>258</v>
      </c>
      <c r="DX32" s="51">
        <f t="shared" si="48"/>
        <v>79</v>
      </c>
      <c r="DY32" s="112">
        <f t="shared" si="162"/>
        <v>0</v>
      </c>
      <c r="DZ32" s="46">
        <f t="shared" si="74"/>
        <v>79</v>
      </c>
    </row>
    <row r="33" spans="1:130" x14ac:dyDescent="0.25">
      <c r="B33" s="120"/>
      <c r="C33" s="115">
        <f t="shared" si="146"/>
        <v>4</v>
      </c>
      <c r="D33" s="133"/>
      <c r="E33" s="221"/>
      <c r="F33" s="103">
        <f t="shared" si="107"/>
        <v>0</v>
      </c>
      <c r="G33" s="107">
        <f t="shared" si="93"/>
        <v>0</v>
      </c>
      <c r="H33" s="134"/>
      <c r="I33" s="135"/>
      <c r="J33" s="135"/>
      <c r="K33" s="14">
        <f t="shared" si="94"/>
        <v>0</v>
      </c>
      <c r="L33" s="14">
        <f t="shared" si="90"/>
        <v>0</v>
      </c>
      <c r="M33" s="14">
        <f t="shared" si="22"/>
        <v>0.3</v>
      </c>
      <c r="N33" s="47">
        <f t="shared" si="23"/>
        <v>0</v>
      </c>
      <c r="O33" s="35">
        <f t="shared" si="24"/>
        <v>2.1999999999999997</v>
      </c>
      <c r="P33" s="157">
        <f t="shared" si="25"/>
        <v>0</v>
      </c>
      <c r="Q33" s="142"/>
      <c r="R33" s="12">
        <f t="shared" si="105"/>
        <v>29</v>
      </c>
      <c r="S33" s="48">
        <f t="shared" si="50"/>
        <v>0</v>
      </c>
      <c r="T33" s="49">
        <f t="shared" si="83"/>
        <v>0</v>
      </c>
      <c r="U33" s="160">
        <f t="shared" si="26"/>
        <v>258</v>
      </c>
      <c r="V33" s="112">
        <f t="shared" si="147"/>
        <v>0</v>
      </c>
      <c r="W33" s="46">
        <f t="shared" si="28"/>
        <v>258</v>
      </c>
      <c r="X33" s="51">
        <f t="shared" si="1"/>
        <v>79</v>
      </c>
      <c r="Y33" s="112">
        <f t="shared" si="148"/>
        <v>0</v>
      </c>
      <c r="Z33" s="46">
        <f t="shared" si="29"/>
        <v>79</v>
      </c>
      <c r="AB33" s="120">
        <f t="shared" si="149"/>
        <v>28</v>
      </c>
      <c r="AC33" s="7">
        <f t="shared" si="150"/>
        <v>4</v>
      </c>
      <c r="AD33" s="133"/>
      <c r="AE33" s="221"/>
      <c r="AF33" s="14">
        <f t="shared" si="95"/>
        <v>92522</v>
      </c>
      <c r="AG33" s="59">
        <f t="shared" si="96"/>
        <v>92496</v>
      </c>
      <c r="AH33" s="134"/>
      <c r="AI33" s="135">
        <v>26</v>
      </c>
      <c r="AJ33" s="135"/>
      <c r="AK33" s="14">
        <f t="shared" si="97"/>
        <v>26</v>
      </c>
      <c r="AL33" s="14">
        <f t="shared" si="84"/>
        <v>2244</v>
      </c>
      <c r="AM33" s="14">
        <f t="shared" si="2"/>
        <v>0.3</v>
      </c>
      <c r="AN33" s="231">
        <f t="shared" si="55"/>
        <v>0.28101424526058666</v>
      </c>
      <c r="AO33" s="37">
        <f t="shared" si="3"/>
        <v>2.1999999999999997</v>
      </c>
      <c r="AP33" s="155">
        <f t="shared" si="77"/>
        <v>2.4253691014029095</v>
      </c>
      <c r="AQ33" s="142"/>
      <c r="AR33" s="14">
        <f t="shared" si="4"/>
        <v>29</v>
      </c>
      <c r="AS33" s="35">
        <f t="shared" si="91"/>
        <v>0</v>
      </c>
      <c r="AT33" s="301">
        <f t="shared" si="85"/>
        <v>0</v>
      </c>
      <c r="AU33" s="14">
        <f t="shared" si="5"/>
        <v>258</v>
      </c>
      <c r="AV33" s="112">
        <f t="shared" si="151"/>
        <v>215.2</v>
      </c>
      <c r="AW33" s="46">
        <f t="shared" si="125"/>
        <v>42.800000000000011</v>
      </c>
      <c r="AX33" s="51">
        <f t="shared" si="57"/>
        <v>79</v>
      </c>
      <c r="AY33" s="112">
        <f t="shared" si="152"/>
        <v>84</v>
      </c>
      <c r="AZ33" s="46">
        <f t="shared" si="33"/>
        <v>-5</v>
      </c>
      <c r="BA33" s="316"/>
      <c r="BB33" s="120">
        <f t="shared" si="153"/>
        <v>26</v>
      </c>
      <c r="BC33" s="7">
        <f t="shared" si="154"/>
        <v>4</v>
      </c>
      <c r="BD33" s="133"/>
      <c r="BE33" s="221"/>
      <c r="BF33" s="14">
        <f t="shared" si="98"/>
        <v>189734</v>
      </c>
      <c r="BG33" s="59">
        <f t="shared" si="120"/>
        <v>189707</v>
      </c>
      <c r="BH33" s="134"/>
      <c r="BI33" s="135">
        <v>27</v>
      </c>
      <c r="BJ33" s="135"/>
      <c r="BK33" s="14">
        <f t="shared" si="99"/>
        <v>27</v>
      </c>
      <c r="BL33" s="14">
        <f t="shared" si="86"/>
        <v>4053</v>
      </c>
      <c r="BM33" s="14">
        <f t="shared" si="7"/>
        <v>0.3</v>
      </c>
      <c r="BN33" s="47">
        <f t="shared" si="34"/>
        <v>0.14230448944311511</v>
      </c>
      <c r="BO33" s="35">
        <f t="shared" si="35"/>
        <v>2.1999999999999997</v>
      </c>
      <c r="BP33" s="159">
        <f t="shared" si="36"/>
        <v>2.1361485026405389</v>
      </c>
      <c r="BQ33" s="142"/>
      <c r="BR33" s="13">
        <f t="shared" si="8"/>
        <v>29</v>
      </c>
      <c r="BS33" s="48">
        <f t="shared" si="79"/>
        <v>0</v>
      </c>
      <c r="BT33" s="49">
        <f t="shared" si="87"/>
        <v>0</v>
      </c>
      <c r="BU33" s="50">
        <f t="shared" si="9"/>
        <v>258</v>
      </c>
      <c r="BV33" s="112">
        <f t="shared" si="155"/>
        <v>218</v>
      </c>
      <c r="BW33" s="46">
        <f t="shared" si="126"/>
        <v>40</v>
      </c>
      <c r="BX33" s="51">
        <f t="shared" si="100"/>
        <v>79</v>
      </c>
      <c r="BY33" s="112">
        <f t="shared" si="156"/>
        <v>81</v>
      </c>
      <c r="BZ33" s="46">
        <f t="shared" si="37"/>
        <v>-2</v>
      </c>
      <c r="CA33" s="316"/>
      <c r="CB33" s="120"/>
      <c r="CC33" s="7">
        <f t="shared" si="157"/>
        <v>4</v>
      </c>
      <c r="CD33" s="133"/>
      <c r="CE33" s="221"/>
      <c r="CF33" s="14">
        <f t="shared" si="88"/>
        <v>0</v>
      </c>
      <c r="CG33" s="59">
        <f t="shared" si="101"/>
        <v>0</v>
      </c>
      <c r="CH33" s="134"/>
      <c r="CI33" s="135"/>
      <c r="CJ33" s="135"/>
      <c r="CK33" s="14">
        <f t="shared" si="102"/>
        <v>0</v>
      </c>
      <c r="CL33" s="14">
        <f t="shared" si="92"/>
        <v>0</v>
      </c>
      <c r="CM33" s="14">
        <f t="shared" si="12"/>
        <v>0.3</v>
      </c>
      <c r="CN33" s="47">
        <f t="shared" si="39"/>
        <v>0</v>
      </c>
      <c r="CO33" s="35">
        <f t="shared" si="13"/>
        <v>2.1999999999999997</v>
      </c>
      <c r="CP33" s="159">
        <f t="shared" si="40"/>
        <v>0</v>
      </c>
      <c r="CQ33" s="142"/>
      <c r="CR33" s="13">
        <f t="shared" si="14"/>
        <v>29</v>
      </c>
      <c r="CS33" s="48">
        <f t="shared" si="65"/>
        <v>0</v>
      </c>
      <c r="CT33" s="49">
        <f t="shared" si="66"/>
        <v>0</v>
      </c>
      <c r="CU33" s="50">
        <f t="shared" si="15"/>
        <v>258</v>
      </c>
      <c r="CV33" s="112">
        <f t="shared" si="158"/>
        <v>0</v>
      </c>
      <c r="CW33" s="46">
        <f t="shared" si="127"/>
        <v>258</v>
      </c>
      <c r="CX33" s="51">
        <f t="shared" si="42"/>
        <v>79</v>
      </c>
      <c r="CY33" s="112">
        <f t="shared" si="159"/>
        <v>0</v>
      </c>
      <c r="CZ33" s="46">
        <f t="shared" si="43"/>
        <v>79</v>
      </c>
      <c r="DA33" s="316"/>
      <c r="DB33" s="120"/>
      <c r="DC33" s="7">
        <f t="shared" si="160"/>
        <v>4</v>
      </c>
      <c r="DD33" s="133"/>
      <c r="DE33" s="221"/>
      <c r="DF33" s="14">
        <f t="shared" si="70"/>
        <v>0</v>
      </c>
      <c r="DG33" s="59">
        <f t="shared" si="103"/>
        <v>0</v>
      </c>
      <c r="DH33" s="134"/>
      <c r="DI33" s="135"/>
      <c r="DJ33" s="135"/>
      <c r="DK33" s="14">
        <f t="shared" si="104"/>
        <v>0</v>
      </c>
      <c r="DL33" s="14">
        <f t="shared" si="89"/>
        <v>0</v>
      </c>
      <c r="DM33" s="14">
        <f t="shared" si="16"/>
        <v>0.3</v>
      </c>
      <c r="DN33" s="47">
        <f t="shared" si="45"/>
        <v>0</v>
      </c>
      <c r="DO33" s="35">
        <f t="shared" si="17"/>
        <v>2.1999999999999997</v>
      </c>
      <c r="DP33" s="159">
        <f t="shared" si="46"/>
        <v>0</v>
      </c>
      <c r="DQ33" s="142"/>
      <c r="DR33" s="13">
        <f t="shared" si="18"/>
        <v>29</v>
      </c>
      <c r="DS33" s="48">
        <f t="shared" si="82"/>
        <v>0</v>
      </c>
      <c r="DT33" s="49">
        <f t="shared" si="71"/>
        <v>0</v>
      </c>
      <c r="DU33" s="50">
        <f t="shared" si="19"/>
        <v>258</v>
      </c>
      <c r="DV33" s="112">
        <f t="shared" si="161"/>
        <v>0</v>
      </c>
      <c r="DW33" s="46">
        <f t="shared" si="128"/>
        <v>258</v>
      </c>
      <c r="DX33" s="51">
        <f t="shared" si="48"/>
        <v>79</v>
      </c>
      <c r="DY33" s="112">
        <f t="shared" si="162"/>
        <v>0</v>
      </c>
      <c r="DZ33" s="46">
        <f t="shared" si="74"/>
        <v>79</v>
      </c>
    </row>
    <row r="34" spans="1:130" x14ac:dyDescent="0.25">
      <c r="B34" s="120"/>
      <c r="C34" s="115">
        <f t="shared" si="146"/>
        <v>4</v>
      </c>
      <c r="D34" s="133"/>
      <c r="E34" s="221"/>
      <c r="F34" s="103">
        <f t="shared" si="107"/>
        <v>0</v>
      </c>
      <c r="G34" s="107">
        <f t="shared" si="93"/>
        <v>0</v>
      </c>
      <c r="H34" s="134"/>
      <c r="I34" s="135"/>
      <c r="J34" s="135"/>
      <c r="K34" s="14">
        <f t="shared" si="94"/>
        <v>0</v>
      </c>
      <c r="L34" s="14">
        <f t="shared" si="90"/>
        <v>0</v>
      </c>
      <c r="M34" s="14">
        <f t="shared" si="22"/>
        <v>0.3</v>
      </c>
      <c r="N34" s="47">
        <f t="shared" si="23"/>
        <v>0</v>
      </c>
      <c r="O34" s="35">
        <f t="shared" si="24"/>
        <v>2.1999999999999997</v>
      </c>
      <c r="P34" s="159">
        <f t="shared" si="25"/>
        <v>0</v>
      </c>
      <c r="Q34" s="142"/>
      <c r="R34" s="14">
        <f t="shared" si="105"/>
        <v>29</v>
      </c>
      <c r="S34" s="48">
        <f t="shared" si="50"/>
        <v>0</v>
      </c>
      <c r="T34" s="49">
        <f t="shared" si="83"/>
        <v>0</v>
      </c>
      <c r="U34" s="160">
        <f t="shared" si="26"/>
        <v>258</v>
      </c>
      <c r="V34" s="112">
        <f t="shared" si="147"/>
        <v>0</v>
      </c>
      <c r="W34" s="46">
        <f t="shared" si="28"/>
        <v>258</v>
      </c>
      <c r="X34" s="51">
        <f t="shared" si="1"/>
        <v>79</v>
      </c>
      <c r="Y34" s="112">
        <f t="shared" si="148"/>
        <v>0</v>
      </c>
      <c r="Z34" s="46">
        <f t="shared" si="29"/>
        <v>79</v>
      </c>
      <c r="AB34" s="120">
        <f t="shared" si="149"/>
        <v>29</v>
      </c>
      <c r="AC34" s="7">
        <f t="shared" si="150"/>
        <v>4</v>
      </c>
      <c r="AD34" s="133"/>
      <c r="AE34" s="221"/>
      <c r="AF34" s="14">
        <f t="shared" si="95"/>
        <v>92496</v>
      </c>
      <c r="AG34" s="59">
        <f t="shared" si="96"/>
        <v>92473</v>
      </c>
      <c r="AH34" s="134"/>
      <c r="AI34" s="135">
        <v>23</v>
      </c>
      <c r="AJ34" s="135"/>
      <c r="AK34" s="14">
        <f t="shared" si="97"/>
        <v>23</v>
      </c>
      <c r="AL34" s="14">
        <f t="shared" si="84"/>
        <v>2267</v>
      </c>
      <c r="AM34" s="14">
        <f t="shared" si="2"/>
        <v>0.3</v>
      </c>
      <c r="AN34" s="47">
        <f t="shared" si="55"/>
        <v>0.24865940148763191</v>
      </c>
      <c r="AO34" s="35">
        <f t="shared" si="3"/>
        <v>2.1999999999999997</v>
      </c>
      <c r="AP34" s="159">
        <f t="shared" si="77"/>
        <v>2.4509167964020064</v>
      </c>
      <c r="AQ34" s="142"/>
      <c r="AR34" s="14">
        <f t="shared" si="4"/>
        <v>29</v>
      </c>
      <c r="AS34" s="35">
        <f t="shared" si="91"/>
        <v>0</v>
      </c>
      <c r="AT34" s="301">
        <f t="shared" si="85"/>
        <v>0</v>
      </c>
      <c r="AU34" s="14">
        <f t="shared" si="5"/>
        <v>258</v>
      </c>
      <c r="AV34" s="112">
        <f t="shared" si="151"/>
        <v>215.2</v>
      </c>
      <c r="AW34" s="46">
        <f t="shared" si="125"/>
        <v>42.800000000000011</v>
      </c>
      <c r="AX34" s="51">
        <f t="shared" si="57"/>
        <v>79</v>
      </c>
      <c r="AY34" s="112">
        <f t="shared" si="152"/>
        <v>84</v>
      </c>
      <c r="AZ34" s="46">
        <f t="shared" si="33"/>
        <v>-5</v>
      </c>
      <c r="BA34" s="316"/>
      <c r="BB34" s="120">
        <f t="shared" si="153"/>
        <v>27</v>
      </c>
      <c r="BC34" s="7">
        <f t="shared" si="154"/>
        <v>4</v>
      </c>
      <c r="BD34" s="133"/>
      <c r="BE34" s="221"/>
      <c r="BF34" s="14">
        <f t="shared" si="98"/>
        <v>189707</v>
      </c>
      <c r="BG34" s="59">
        <f t="shared" si="120"/>
        <v>189685</v>
      </c>
      <c r="BH34" s="134"/>
      <c r="BI34" s="135">
        <v>22</v>
      </c>
      <c r="BJ34" s="135"/>
      <c r="BK34" s="14">
        <f t="shared" si="99"/>
        <v>22</v>
      </c>
      <c r="BL34" s="14">
        <f t="shared" si="86"/>
        <v>4075</v>
      </c>
      <c r="BM34" s="14">
        <f t="shared" si="7"/>
        <v>0.3</v>
      </c>
      <c r="BN34" s="231">
        <f t="shared" si="34"/>
        <v>0.11596830902391583</v>
      </c>
      <c r="BO34" s="37">
        <f t="shared" si="35"/>
        <v>2.1999999999999997</v>
      </c>
      <c r="BP34" s="155">
        <f t="shared" si="36"/>
        <v>2.1480493603293498</v>
      </c>
      <c r="BQ34" s="142"/>
      <c r="BR34" s="13">
        <f t="shared" si="8"/>
        <v>29</v>
      </c>
      <c r="BS34" s="48">
        <f t="shared" si="79"/>
        <v>0</v>
      </c>
      <c r="BT34" s="49">
        <f t="shared" si="87"/>
        <v>0</v>
      </c>
      <c r="BU34" s="50">
        <f t="shared" si="9"/>
        <v>258</v>
      </c>
      <c r="BV34" s="112">
        <f t="shared" si="155"/>
        <v>218</v>
      </c>
      <c r="BW34" s="46">
        <f t="shared" si="126"/>
        <v>40</v>
      </c>
      <c r="BX34" s="51">
        <f t="shared" si="100"/>
        <v>79</v>
      </c>
      <c r="BY34" s="112">
        <f t="shared" si="156"/>
        <v>81</v>
      </c>
      <c r="BZ34" s="46">
        <f t="shared" si="37"/>
        <v>-2</v>
      </c>
      <c r="CA34" s="316"/>
      <c r="CB34" s="120"/>
      <c r="CC34" s="7">
        <f t="shared" si="157"/>
        <v>4</v>
      </c>
      <c r="CD34" s="133"/>
      <c r="CE34" s="221"/>
      <c r="CF34" s="14">
        <f t="shared" si="88"/>
        <v>0</v>
      </c>
      <c r="CG34" s="59">
        <f t="shared" si="101"/>
        <v>0</v>
      </c>
      <c r="CH34" s="134"/>
      <c r="CI34" s="135"/>
      <c r="CJ34" s="135"/>
      <c r="CK34" s="14">
        <f t="shared" si="102"/>
        <v>0</v>
      </c>
      <c r="CL34" s="14">
        <f t="shared" si="92"/>
        <v>0</v>
      </c>
      <c r="CM34" s="14">
        <f t="shared" si="12"/>
        <v>0.3</v>
      </c>
      <c r="CN34" s="47">
        <f t="shared" si="39"/>
        <v>0</v>
      </c>
      <c r="CO34" s="35">
        <f t="shared" si="13"/>
        <v>2.1999999999999997</v>
      </c>
      <c r="CP34" s="159">
        <f t="shared" si="40"/>
        <v>0</v>
      </c>
      <c r="CQ34" s="142"/>
      <c r="CR34" s="13">
        <f t="shared" si="14"/>
        <v>29</v>
      </c>
      <c r="CS34" s="48">
        <f t="shared" si="65"/>
        <v>0</v>
      </c>
      <c r="CT34" s="49">
        <f t="shared" si="66"/>
        <v>0</v>
      </c>
      <c r="CU34" s="50">
        <f t="shared" si="15"/>
        <v>258</v>
      </c>
      <c r="CV34" s="112">
        <f t="shared" si="158"/>
        <v>0</v>
      </c>
      <c r="CW34" s="46">
        <f t="shared" si="127"/>
        <v>258</v>
      </c>
      <c r="CX34" s="51">
        <f t="shared" si="42"/>
        <v>79</v>
      </c>
      <c r="CY34" s="112">
        <f t="shared" si="159"/>
        <v>0</v>
      </c>
      <c r="CZ34" s="46">
        <f t="shared" si="43"/>
        <v>79</v>
      </c>
      <c r="DA34" s="316"/>
      <c r="DB34" s="120"/>
      <c r="DC34" s="7">
        <f t="shared" si="160"/>
        <v>4</v>
      </c>
      <c r="DD34" s="133"/>
      <c r="DE34" s="221"/>
      <c r="DF34" s="14">
        <f t="shared" si="70"/>
        <v>0</v>
      </c>
      <c r="DG34" s="59">
        <f t="shared" si="103"/>
        <v>0</v>
      </c>
      <c r="DH34" s="134"/>
      <c r="DI34" s="135"/>
      <c r="DJ34" s="135"/>
      <c r="DK34" s="14">
        <f t="shared" si="104"/>
        <v>0</v>
      </c>
      <c r="DL34" s="14">
        <f t="shared" si="89"/>
        <v>0</v>
      </c>
      <c r="DM34" s="14">
        <f t="shared" si="16"/>
        <v>0.3</v>
      </c>
      <c r="DN34" s="47">
        <f t="shared" si="45"/>
        <v>0</v>
      </c>
      <c r="DO34" s="35">
        <f t="shared" si="17"/>
        <v>2.1999999999999997</v>
      </c>
      <c r="DP34" s="159">
        <f t="shared" si="46"/>
        <v>0</v>
      </c>
      <c r="DQ34" s="142"/>
      <c r="DR34" s="13">
        <f t="shared" si="18"/>
        <v>29</v>
      </c>
      <c r="DS34" s="48">
        <f t="shared" si="82"/>
        <v>0</v>
      </c>
      <c r="DT34" s="49">
        <f t="shared" si="71"/>
        <v>0</v>
      </c>
      <c r="DU34" s="50">
        <f t="shared" si="19"/>
        <v>258</v>
      </c>
      <c r="DV34" s="112">
        <f t="shared" si="161"/>
        <v>0</v>
      </c>
      <c r="DW34" s="46">
        <f t="shared" si="128"/>
        <v>258</v>
      </c>
      <c r="DX34" s="51">
        <f t="shared" si="48"/>
        <v>79</v>
      </c>
      <c r="DY34" s="112">
        <f t="shared" si="162"/>
        <v>0</v>
      </c>
      <c r="DZ34" s="46">
        <f t="shared" si="74"/>
        <v>79</v>
      </c>
    </row>
    <row r="35" spans="1:130" ht="17.25" thickBot="1" x14ac:dyDescent="0.3">
      <c r="B35" s="197"/>
      <c r="C35" s="116">
        <f t="shared" si="146"/>
        <v>4</v>
      </c>
      <c r="D35" s="136"/>
      <c r="E35" s="226"/>
      <c r="F35" s="109">
        <f t="shared" si="107"/>
        <v>0</v>
      </c>
      <c r="G35" s="105">
        <f t="shared" si="93"/>
        <v>0</v>
      </c>
      <c r="H35" s="137"/>
      <c r="I35" s="138"/>
      <c r="J35" s="138"/>
      <c r="K35" s="34">
        <f t="shared" si="94"/>
        <v>0</v>
      </c>
      <c r="L35" s="34">
        <f t="shared" si="90"/>
        <v>0</v>
      </c>
      <c r="M35" s="34">
        <f t="shared" si="22"/>
        <v>0.3</v>
      </c>
      <c r="N35" s="166">
        <f t="shared" si="23"/>
        <v>0</v>
      </c>
      <c r="O35" s="40">
        <f t="shared" si="24"/>
        <v>2.1999999999999997</v>
      </c>
      <c r="P35" s="167">
        <f t="shared" si="25"/>
        <v>0</v>
      </c>
      <c r="Q35" s="139"/>
      <c r="R35" s="15">
        <f t="shared" si="105"/>
        <v>29</v>
      </c>
      <c r="S35" s="54">
        <f t="shared" si="50"/>
        <v>0</v>
      </c>
      <c r="T35" s="55">
        <f t="shared" si="83"/>
        <v>0</v>
      </c>
      <c r="U35" s="15">
        <f t="shared" si="26"/>
        <v>258</v>
      </c>
      <c r="V35" s="164">
        <f t="shared" si="147"/>
        <v>0</v>
      </c>
      <c r="W35" s="63">
        <f t="shared" si="28"/>
        <v>258</v>
      </c>
      <c r="X35" s="65">
        <f t="shared" si="1"/>
        <v>79</v>
      </c>
      <c r="Y35" s="164">
        <f t="shared" si="148"/>
        <v>0</v>
      </c>
      <c r="Z35" s="63">
        <f t="shared" si="29"/>
        <v>79</v>
      </c>
      <c r="AB35" s="197">
        <f t="shared" si="149"/>
        <v>30</v>
      </c>
      <c r="AC35" s="8">
        <f t="shared" si="150"/>
        <v>4</v>
      </c>
      <c r="AD35" s="136"/>
      <c r="AE35" s="226"/>
      <c r="AF35" s="32">
        <f t="shared" si="95"/>
        <v>92473</v>
      </c>
      <c r="AG35" s="53">
        <f t="shared" si="96"/>
        <v>92453</v>
      </c>
      <c r="AH35" s="137"/>
      <c r="AI35" s="138">
        <v>20</v>
      </c>
      <c r="AJ35" s="138"/>
      <c r="AK35" s="34">
        <f t="shared" si="97"/>
        <v>20</v>
      </c>
      <c r="AL35" s="34">
        <f t="shared" si="84"/>
        <v>2287</v>
      </c>
      <c r="AM35" s="32">
        <f t="shared" si="2"/>
        <v>0.3</v>
      </c>
      <c r="AN35" s="96">
        <f t="shared" si="55"/>
        <v>0.21627934640381516</v>
      </c>
      <c r="AO35" s="36">
        <f t="shared" si="3"/>
        <v>2.1999999999999997</v>
      </c>
      <c r="AP35" s="156">
        <f t="shared" si="77"/>
        <v>2.4731543261276263</v>
      </c>
      <c r="AQ35" s="139"/>
      <c r="AR35" s="32">
        <f t="shared" si="4"/>
        <v>29</v>
      </c>
      <c r="AS35" s="36">
        <f t="shared" si="91"/>
        <v>0</v>
      </c>
      <c r="AT35" s="304">
        <f t="shared" si="85"/>
        <v>0</v>
      </c>
      <c r="AU35" s="32">
        <f t="shared" si="5"/>
        <v>258</v>
      </c>
      <c r="AV35" s="164">
        <f t="shared" si="151"/>
        <v>215.2</v>
      </c>
      <c r="AW35" s="63">
        <f t="shared" si="125"/>
        <v>42.800000000000011</v>
      </c>
      <c r="AX35" s="65">
        <f t="shared" si="57"/>
        <v>79</v>
      </c>
      <c r="AY35" s="164">
        <f t="shared" si="152"/>
        <v>84</v>
      </c>
      <c r="AZ35" s="63">
        <f t="shared" si="33"/>
        <v>-5</v>
      </c>
      <c r="BA35" s="316"/>
      <c r="BB35" s="197">
        <f t="shared" si="153"/>
        <v>28</v>
      </c>
      <c r="BC35" s="8">
        <f t="shared" si="154"/>
        <v>4</v>
      </c>
      <c r="BD35" s="136"/>
      <c r="BE35" s="226"/>
      <c r="BF35" s="32">
        <f t="shared" si="98"/>
        <v>189685</v>
      </c>
      <c r="BG35" s="53">
        <f t="shared" si="120"/>
        <v>189665</v>
      </c>
      <c r="BH35" s="137"/>
      <c r="BI35" s="138">
        <v>20</v>
      </c>
      <c r="BJ35" s="138"/>
      <c r="BK35" s="34">
        <f t="shared" si="99"/>
        <v>20</v>
      </c>
      <c r="BL35" s="34">
        <f t="shared" si="86"/>
        <v>4095</v>
      </c>
      <c r="BM35" s="32">
        <f t="shared" si="7"/>
        <v>0.3</v>
      </c>
      <c r="BN35" s="96">
        <f t="shared" si="34"/>
        <v>0.10543796293855602</v>
      </c>
      <c r="BO35" s="36">
        <f t="shared" si="35"/>
        <v>2.1999999999999997</v>
      </c>
      <c r="BP35" s="156">
        <f t="shared" si="36"/>
        <v>2.1588422911669345</v>
      </c>
      <c r="BQ35" s="139"/>
      <c r="BR35" s="32">
        <f t="shared" si="8"/>
        <v>29</v>
      </c>
      <c r="BS35" s="54">
        <f t="shared" si="79"/>
        <v>0</v>
      </c>
      <c r="BT35" s="55">
        <f t="shared" si="87"/>
        <v>0</v>
      </c>
      <c r="BU35" s="56">
        <f t="shared" si="9"/>
        <v>258</v>
      </c>
      <c r="BV35" s="164">
        <f t="shared" si="155"/>
        <v>218</v>
      </c>
      <c r="BW35" s="63">
        <f t="shared" si="126"/>
        <v>40</v>
      </c>
      <c r="BX35" s="65">
        <f t="shared" si="100"/>
        <v>79</v>
      </c>
      <c r="BY35" s="164">
        <f t="shared" si="156"/>
        <v>81</v>
      </c>
      <c r="BZ35" s="63">
        <f t="shared" si="37"/>
        <v>-2</v>
      </c>
      <c r="CA35" s="316"/>
      <c r="CB35" s="197"/>
      <c r="CC35" s="8">
        <f t="shared" si="157"/>
        <v>4</v>
      </c>
      <c r="CD35" s="136"/>
      <c r="CE35" s="226"/>
      <c r="CF35" s="32">
        <f t="shared" si="88"/>
        <v>0</v>
      </c>
      <c r="CG35" s="53">
        <f t="shared" si="101"/>
        <v>0</v>
      </c>
      <c r="CH35" s="137"/>
      <c r="CI35" s="138"/>
      <c r="CJ35" s="138"/>
      <c r="CK35" s="34">
        <f t="shared" si="102"/>
        <v>0</v>
      </c>
      <c r="CL35" s="34">
        <f t="shared" si="92"/>
        <v>0</v>
      </c>
      <c r="CM35" s="32">
        <f t="shared" si="12"/>
        <v>0.3</v>
      </c>
      <c r="CN35" s="96">
        <f t="shared" si="39"/>
        <v>0</v>
      </c>
      <c r="CO35" s="36">
        <f t="shared" si="13"/>
        <v>2.1999999999999997</v>
      </c>
      <c r="CP35" s="156">
        <f t="shared" si="40"/>
        <v>0</v>
      </c>
      <c r="CQ35" s="139"/>
      <c r="CR35" s="32">
        <f t="shared" si="14"/>
        <v>29</v>
      </c>
      <c r="CS35" s="54">
        <f t="shared" si="65"/>
        <v>0</v>
      </c>
      <c r="CT35" s="55">
        <f t="shared" si="66"/>
        <v>0</v>
      </c>
      <c r="CU35" s="56">
        <f t="shared" si="15"/>
        <v>258</v>
      </c>
      <c r="CV35" s="164">
        <f t="shared" si="158"/>
        <v>0</v>
      </c>
      <c r="CW35" s="63">
        <f t="shared" si="127"/>
        <v>258</v>
      </c>
      <c r="CX35" s="65">
        <f t="shared" si="42"/>
        <v>79</v>
      </c>
      <c r="CY35" s="164">
        <f t="shared" si="159"/>
        <v>0</v>
      </c>
      <c r="CZ35" s="63">
        <f t="shared" si="43"/>
        <v>79</v>
      </c>
      <c r="DA35" s="316"/>
      <c r="DB35" s="197"/>
      <c r="DC35" s="8">
        <f t="shared" si="160"/>
        <v>4</v>
      </c>
      <c r="DD35" s="136"/>
      <c r="DE35" s="226"/>
      <c r="DF35" s="32">
        <f t="shared" si="70"/>
        <v>0</v>
      </c>
      <c r="DG35" s="53">
        <f t="shared" si="103"/>
        <v>0</v>
      </c>
      <c r="DH35" s="137"/>
      <c r="DI35" s="138"/>
      <c r="DJ35" s="138"/>
      <c r="DK35" s="34">
        <f t="shared" si="104"/>
        <v>0</v>
      </c>
      <c r="DL35" s="34">
        <f t="shared" si="89"/>
        <v>0</v>
      </c>
      <c r="DM35" s="32">
        <f t="shared" si="16"/>
        <v>0.3</v>
      </c>
      <c r="DN35" s="96">
        <f t="shared" si="45"/>
        <v>0</v>
      </c>
      <c r="DO35" s="36">
        <f t="shared" si="17"/>
        <v>2.1999999999999997</v>
      </c>
      <c r="DP35" s="156">
        <f t="shared" si="46"/>
        <v>0</v>
      </c>
      <c r="DQ35" s="139"/>
      <c r="DR35" s="32">
        <f t="shared" si="18"/>
        <v>29</v>
      </c>
      <c r="DS35" s="54">
        <f t="shared" si="82"/>
        <v>0</v>
      </c>
      <c r="DT35" s="55">
        <f t="shared" si="71"/>
        <v>0</v>
      </c>
      <c r="DU35" s="56">
        <f t="shared" si="19"/>
        <v>258</v>
      </c>
      <c r="DV35" s="164">
        <f t="shared" si="161"/>
        <v>0</v>
      </c>
      <c r="DW35" s="63">
        <f t="shared" si="128"/>
        <v>258</v>
      </c>
      <c r="DX35" s="65">
        <f t="shared" si="48"/>
        <v>79</v>
      </c>
      <c r="DY35" s="164">
        <f t="shared" si="162"/>
        <v>0</v>
      </c>
      <c r="DZ35" s="63">
        <f t="shared" si="74"/>
        <v>79</v>
      </c>
    </row>
    <row r="36" spans="1:130" x14ac:dyDescent="0.25">
      <c r="B36" s="198">
        <v>29</v>
      </c>
      <c r="C36" s="117">
        <v>5</v>
      </c>
      <c r="D36" s="143"/>
      <c r="E36" s="227"/>
      <c r="F36" s="112">
        <f t="shared" si="107"/>
        <v>0</v>
      </c>
      <c r="G36" s="108">
        <f t="shared" si="93"/>
        <v>0</v>
      </c>
      <c r="H36" s="144"/>
      <c r="I36" s="141"/>
      <c r="J36" s="141"/>
      <c r="K36" s="17">
        <f t="shared" si="94"/>
        <v>0</v>
      </c>
      <c r="L36" s="17">
        <f t="shared" si="90"/>
        <v>0</v>
      </c>
      <c r="M36" s="17">
        <f t="shared" si="22"/>
        <v>0.18</v>
      </c>
      <c r="N36" s="231">
        <f t="shared" si="23"/>
        <v>0</v>
      </c>
      <c r="O36" s="33">
        <f t="shared" si="24"/>
        <v>2.38</v>
      </c>
      <c r="P36" s="155">
        <f t="shared" si="25"/>
        <v>0</v>
      </c>
      <c r="Q36" s="145"/>
      <c r="R36" s="12">
        <f t="shared" si="105"/>
        <v>36</v>
      </c>
      <c r="S36" s="60">
        <f t="shared" si="50"/>
        <v>0</v>
      </c>
      <c r="T36" s="72">
        <f t="shared" si="83"/>
        <v>0</v>
      </c>
      <c r="U36" s="39">
        <f t="shared" si="26"/>
        <v>336</v>
      </c>
      <c r="V36" s="141"/>
      <c r="W36" s="71">
        <f t="shared" si="28"/>
        <v>336</v>
      </c>
      <c r="X36" s="61">
        <f t="shared" si="1"/>
        <v>79</v>
      </c>
      <c r="Y36" s="141"/>
      <c r="Z36" s="71">
        <f t="shared" si="29"/>
        <v>79</v>
      </c>
      <c r="AB36" s="198">
        <v>31</v>
      </c>
      <c r="AC36" s="38">
        <v>5</v>
      </c>
      <c r="AD36" s="143"/>
      <c r="AE36" s="227"/>
      <c r="AF36" s="17">
        <f t="shared" si="95"/>
        <v>92453</v>
      </c>
      <c r="AG36" s="62">
        <f t="shared" si="96"/>
        <v>92433</v>
      </c>
      <c r="AH36" s="144"/>
      <c r="AI36" s="141">
        <v>20</v>
      </c>
      <c r="AJ36" s="141"/>
      <c r="AK36" s="17">
        <f t="shared" si="97"/>
        <v>20</v>
      </c>
      <c r="AL36" s="17">
        <f t="shared" si="84"/>
        <v>2307</v>
      </c>
      <c r="AM36" s="17">
        <f t="shared" si="2"/>
        <v>0.18</v>
      </c>
      <c r="AN36" s="235">
        <f t="shared" si="55"/>
        <v>0.2163261332785307</v>
      </c>
      <c r="AO36" s="33">
        <f t="shared" si="3"/>
        <v>2.38</v>
      </c>
      <c r="AP36" s="210">
        <f t="shared" si="77"/>
        <v>2.4953219473678518</v>
      </c>
      <c r="AQ36" s="145"/>
      <c r="AR36" s="17">
        <f t="shared" si="4"/>
        <v>36</v>
      </c>
      <c r="AS36" s="33">
        <f t="shared" si="91"/>
        <v>0</v>
      </c>
      <c r="AT36" s="305">
        <f t="shared" si="85"/>
        <v>0</v>
      </c>
      <c r="AU36" s="17">
        <f t="shared" si="5"/>
        <v>336</v>
      </c>
      <c r="AV36" s="141">
        <v>322</v>
      </c>
      <c r="AW36" s="71">
        <f t="shared" si="125"/>
        <v>14</v>
      </c>
      <c r="AX36" s="61">
        <f t="shared" si="57"/>
        <v>79</v>
      </c>
      <c r="AY36" s="141">
        <v>82</v>
      </c>
      <c r="AZ36" s="71">
        <f t="shared" si="33"/>
        <v>-3</v>
      </c>
      <c r="BA36" s="316"/>
      <c r="BB36" s="198">
        <v>29</v>
      </c>
      <c r="BC36" s="38">
        <v>5</v>
      </c>
      <c r="BD36" s="143"/>
      <c r="BE36" s="227"/>
      <c r="BF36" s="17">
        <f t="shared" si="98"/>
        <v>189665</v>
      </c>
      <c r="BG36" s="62">
        <f t="shared" si="120"/>
        <v>189647</v>
      </c>
      <c r="BH36" s="144"/>
      <c r="BI36" s="141">
        <v>18</v>
      </c>
      <c r="BJ36" s="141"/>
      <c r="BK36" s="17">
        <f t="shared" si="99"/>
        <v>18</v>
      </c>
      <c r="BL36" s="17">
        <f t="shared" si="86"/>
        <v>4113</v>
      </c>
      <c r="BM36" s="17">
        <f t="shared" si="7"/>
        <v>0.18</v>
      </c>
      <c r="BN36" s="235">
        <f t="shared" si="34"/>
        <v>9.4904173147391455E-2</v>
      </c>
      <c r="BO36" s="33">
        <f t="shared" si="35"/>
        <v>2.38</v>
      </c>
      <c r="BP36" s="210">
        <f t="shared" si="36"/>
        <v>2.1685603564178946</v>
      </c>
      <c r="BQ36" s="145"/>
      <c r="BR36" s="31">
        <f t="shared" si="8"/>
        <v>36</v>
      </c>
      <c r="BS36" s="60">
        <f t="shared" si="79"/>
        <v>0</v>
      </c>
      <c r="BT36" s="72">
        <f t="shared" si="87"/>
        <v>0</v>
      </c>
      <c r="BU36" s="52">
        <f t="shared" si="9"/>
        <v>336</v>
      </c>
      <c r="BV36" s="141">
        <v>311</v>
      </c>
      <c r="BW36" s="71">
        <f t="shared" si="126"/>
        <v>25</v>
      </c>
      <c r="BX36" s="61">
        <f t="shared" si="100"/>
        <v>79</v>
      </c>
      <c r="BY36" s="141">
        <v>79</v>
      </c>
      <c r="BZ36" s="71">
        <f t="shared" si="37"/>
        <v>0</v>
      </c>
      <c r="CA36" s="316"/>
      <c r="CB36" s="118"/>
      <c r="CC36" s="9">
        <v>5</v>
      </c>
      <c r="CD36" s="129"/>
      <c r="CE36" s="224"/>
      <c r="CF36" s="11">
        <f t="shared" si="88"/>
        <v>0</v>
      </c>
      <c r="CG36" s="57">
        <f t="shared" si="101"/>
        <v>0</v>
      </c>
      <c r="CH36" s="130"/>
      <c r="CI36" s="131"/>
      <c r="CJ36" s="131"/>
      <c r="CK36" s="11">
        <f t="shared" si="102"/>
        <v>0</v>
      </c>
      <c r="CL36" s="11">
        <f t="shared" si="92"/>
        <v>0</v>
      </c>
      <c r="CM36" s="11">
        <f t="shared" si="12"/>
        <v>0.18</v>
      </c>
      <c r="CN36" s="42">
        <f t="shared" si="39"/>
        <v>0</v>
      </c>
      <c r="CO36" s="21">
        <f t="shared" si="13"/>
        <v>2.38</v>
      </c>
      <c r="CP36" s="165">
        <f t="shared" si="40"/>
        <v>0</v>
      </c>
      <c r="CQ36" s="158"/>
      <c r="CR36" s="16">
        <f t="shared" si="14"/>
        <v>36</v>
      </c>
      <c r="CS36" s="43">
        <f t="shared" si="65"/>
        <v>0</v>
      </c>
      <c r="CT36" s="44">
        <f t="shared" si="66"/>
        <v>0</v>
      </c>
      <c r="CU36" s="45">
        <f t="shared" si="15"/>
        <v>336</v>
      </c>
      <c r="CV36" s="131"/>
      <c r="CW36" s="41">
        <f t="shared" si="127"/>
        <v>336</v>
      </c>
      <c r="CX36" s="58">
        <f t="shared" si="42"/>
        <v>79</v>
      </c>
      <c r="CY36" s="131"/>
      <c r="CZ36" s="41">
        <f t="shared" si="43"/>
        <v>79</v>
      </c>
      <c r="DA36" s="316"/>
      <c r="DB36" s="198"/>
      <c r="DC36" s="38">
        <v>5</v>
      </c>
      <c r="DD36" s="143"/>
      <c r="DE36" s="227"/>
      <c r="DF36" s="17">
        <f t="shared" si="70"/>
        <v>0</v>
      </c>
      <c r="DG36" s="62">
        <f t="shared" si="103"/>
        <v>0</v>
      </c>
      <c r="DH36" s="144"/>
      <c r="DI36" s="141"/>
      <c r="DJ36" s="141"/>
      <c r="DK36" s="17">
        <f t="shared" si="104"/>
        <v>0</v>
      </c>
      <c r="DL36" s="17">
        <f t="shared" si="89"/>
        <v>0</v>
      </c>
      <c r="DM36" s="17">
        <f t="shared" si="16"/>
        <v>0.18</v>
      </c>
      <c r="DN36" s="235">
        <f t="shared" si="45"/>
        <v>0</v>
      </c>
      <c r="DO36" s="33">
        <f t="shared" si="17"/>
        <v>2.38</v>
      </c>
      <c r="DP36" s="210">
        <f t="shared" si="46"/>
        <v>0</v>
      </c>
      <c r="DQ36" s="145"/>
      <c r="DR36" s="31">
        <f t="shared" si="18"/>
        <v>36</v>
      </c>
      <c r="DS36" s="60">
        <f t="shared" si="82"/>
        <v>0</v>
      </c>
      <c r="DT36" s="72">
        <f t="shared" si="71"/>
        <v>0</v>
      </c>
      <c r="DU36" s="52">
        <f t="shared" si="19"/>
        <v>336</v>
      </c>
      <c r="DV36" s="141"/>
      <c r="DW36" s="71">
        <f t="shared" si="128"/>
        <v>336</v>
      </c>
      <c r="DX36" s="61">
        <f t="shared" si="48"/>
        <v>79</v>
      </c>
      <c r="DY36" s="141"/>
      <c r="DZ36" s="71">
        <f t="shared" si="74"/>
        <v>79</v>
      </c>
    </row>
    <row r="37" spans="1:130" x14ac:dyDescent="0.25">
      <c r="B37" s="120">
        <v>30</v>
      </c>
      <c r="C37" s="115">
        <f>C36</f>
        <v>5</v>
      </c>
      <c r="D37" s="133"/>
      <c r="E37" s="221"/>
      <c r="F37" s="103">
        <f t="shared" si="107"/>
        <v>0</v>
      </c>
      <c r="G37" s="104">
        <f t="shared" si="93"/>
        <v>0</v>
      </c>
      <c r="H37" s="134"/>
      <c r="I37" s="135"/>
      <c r="J37" s="135"/>
      <c r="K37" s="14">
        <f t="shared" si="94"/>
        <v>0</v>
      </c>
      <c r="L37" s="14">
        <f t="shared" si="90"/>
        <v>0</v>
      </c>
      <c r="M37" s="14">
        <f t="shared" si="22"/>
        <v>0.18</v>
      </c>
      <c r="N37" s="47">
        <f t="shared" si="23"/>
        <v>0</v>
      </c>
      <c r="O37" s="35">
        <f t="shared" si="24"/>
        <v>2.38</v>
      </c>
      <c r="P37" s="159">
        <f t="shared" si="25"/>
        <v>0</v>
      </c>
      <c r="Q37" s="142"/>
      <c r="R37" s="13">
        <f t="shared" si="105"/>
        <v>36</v>
      </c>
      <c r="S37" s="48">
        <f t="shared" si="50"/>
        <v>0</v>
      </c>
      <c r="T37" s="49">
        <f t="shared" si="83"/>
        <v>0</v>
      </c>
      <c r="U37" s="160">
        <f t="shared" si="26"/>
        <v>336</v>
      </c>
      <c r="V37" s="181">
        <f>V36</f>
        <v>0</v>
      </c>
      <c r="W37" s="206">
        <f t="shared" si="28"/>
        <v>336</v>
      </c>
      <c r="X37" s="182">
        <f t="shared" si="1"/>
        <v>79</v>
      </c>
      <c r="Y37" s="181">
        <f>Y36</f>
        <v>0</v>
      </c>
      <c r="Z37" s="46">
        <f t="shared" si="29"/>
        <v>79</v>
      </c>
      <c r="AA37" s="168" t="s">
        <v>82</v>
      </c>
      <c r="AB37" s="169">
        <v>1</v>
      </c>
      <c r="AC37" s="170">
        <f>AC36</f>
        <v>5</v>
      </c>
      <c r="AD37" s="171"/>
      <c r="AE37" s="220"/>
      <c r="AF37" s="172">
        <f t="shared" si="95"/>
        <v>92433</v>
      </c>
      <c r="AG37" s="173">
        <f t="shared" si="96"/>
        <v>92419</v>
      </c>
      <c r="AH37" s="174"/>
      <c r="AI37" s="175">
        <v>14</v>
      </c>
      <c r="AJ37" s="175"/>
      <c r="AK37" s="172">
        <f t="shared" si="97"/>
        <v>14</v>
      </c>
      <c r="AL37" s="172">
        <f>AL36+AK37</f>
        <v>2321</v>
      </c>
      <c r="AM37" s="172">
        <f t="shared" si="2"/>
        <v>0.18</v>
      </c>
      <c r="AN37" s="232">
        <f t="shared" si="55"/>
        <v>0.15146105828005149</v>
      </c>
      <c r="AO37" s="176">
        <f t="shared" si="3"/>
        <v>2.38</v>
      </c>
      <c r="AP37" s="238">
        <f t="shared" si="77"/>
        <v>2.5110079733428536</v>
      </c>
      <c r="AQ37" s="234"/>
      <c r="AR37" s="172">
        <f t="shared" si="4"/>
        <v>36</v>
      </c>
      <c r="AS37" s="176">
        <f t="shared" si="91"/>
        <v>0</v>
      </c>
      <c r="AT37" s="306">
        <f t="shared" si="85"/>
        <v>0</v>
      </c>
      <c r="AU37" s="172">
        <f t="shared" si="5"/>
        <v>336</v>
      </c>
      <c r="AV37" s="178">
        <f>AV36</f>
        <v>322</v>
      </c>
      <c r="AW37" s="173">
        <f t="shared" si="125"/>
        <v>14</v>
      </c>
      <c r="AX37" s="179">
        <f t="shared" si="57"/>
        <v>79</v>
      </c>
      <c r="AY37" s="178">
        <f>AY36</f>
        <v>82</v>
      </c>
      <c r="AZ37" s="173">
        <f t="shared" si="33"/>
        <v>-3</v>
      </c>
      <c r="BA37" s="316"/>
      <c r="BB37" s="120">
        <f>BB36+1</f>
        <v>30</v>
      </c>
      <c r="BC37" s="7">
        <f>BC36</f>
        <v>5</v>
      </c>
      <c r="BD37" s="133"/>
      <c r="BE37" s="221"/>
      <c r="BF37" s="14">
        <f t="shared" si="98"/>
        <v>189647</v>
      </c>
      <c r="BG37" s="46">
        <f t="shared" si="120"/>
        <v>189629</v>
      </c>
      <c r="BH37" s="134"/>
      <c r="BI37" s="135">
        <v>18</v>
      </c>
      <c r="BJ37" s="135"/>
      <c r="BK37" s="14">
        <f t="shared" si="99"/>
        <v>18</v>
      </c>
      <c r="BL37" s="14">
        <f t="shared" si="86"/>
        <v>4131</v>
      </c>
      <c r="BM37" s="14">
        <f t="shared" si="7"/>
        <v>0.18</v>
      </c>
      <c r="BN37" s="47">
        <f t="shared" si="34"/>
        <v>9.4913180804336472E-2</v>
      </c>
      <c r="BO37" s="35">
        <f t="shared" si="35"/>
        <v>2.38</v>
      </c>
      <c r="BP37" s="159">
        <f t="shared" si="36"/>
        <v>2.1782574994595221</v>
      </c>
      <c r="BQ37" s="142"/>
      <c r="BR37" s="13">
        <f t="shared" si="8"/>
        <v>36</v>
      </c>
      <c r="BS37" s="48">
        <f t="shared" si="79"/>
        <v>0</v>
      </c>
      <c r="BT37" s="49">
        <f t="shared" si="87"/>
        <v>0</v>
      </c>
      <c r="BU37" s="50">
        <f t="shared" si="9"/>
        <v>336</v>
      </c>
      <c r="BV37" s="181">
        <f>BV36</f>
        <v>311</v>
      </c>
      <c r="BW37" s="206">
        <f t="shared" si="126"/>
        <v>25</v>
      </c>
      <c r="BX37" s="182">
        <f t="shared" si="100"/>
        <v>79</v>
      </c>
      <c r="BY37" s="181">
        <f>BY36</f>
        <v>79</v>
      </c>
      <c r="BZ37" s="46">
        <f t="shared" si="37"/>
        <v>0</v>
      </c>
      <c r="CA37" s="316"/>
      <c r="CB37" s="120"/>
      <c r="CC37" s="7">
        <f>CC36</f>
        <v>5</v>
      </c>
      <c r="CD37" s="133"/>
      <c r="CE37" s="221"/>
      <c r="CF37" s="14">
        <f t="shared" si="88"/>
        <v>0</v>
      </c>
      <c r="CG37" s="46">
        <f t="shared" si="101"/>
        <v>0</v>
      </c>
      <c r="CH37" s="134"/>
      <c r="CI37" s="135"/>
      <c r="CJ37" s="135"/>
      <c r="CK37" s="14">
        <f t="shared" si="102"/>
        <v>0</v>
      </c>
      <c r="CL37" s="14">
        <f t="shared" si="92"/>
        <v>0</v>
      </c>
      <c r="CM37" s="14">
        <f t="shared" si="12"/>
        <v>0.18</v>
      </c>
      <c r="CN37" s="47">
        <f t="shared" si="39"/>
        <v>0</v>
      </c>
      <c r="CO37" s="35">
        <f t="shared" si="13"/>
        <v>2.38</v>
      </c>
      <c r="CP37" s="159">
        <f t="shared" si="40"/>
        <v>0</v>
      </c>
      <c r="CQ37" s="142"/>
      <c r="CR37" s="13">
        <f t="shared" si="14"/>
        <v>36</v>
      </c>
      <c r="CS37" s="48">
        <f t="shared" si="65"/>
        <v>0</v>
      </c>
      <c r="CT37" s="49">
        <f t="shared" si="66"/>
        <v>0</v>
      </c>
      <c r="CU37" s="50">
        <f t="shared" si="15"/>
        <v>336</v>
      </c>
      <c r="CV37" s="181">
        <f>CV36</f>
        <v>0</v>
      </c>
      <c r="CW37" s="46">
        <f t="shared" si="127"/>
        <v>336</v>
      </c>
      <c r="CX37" s="51">
        <f t="shared" si="42"/>
        <v>79</v>
      </c>
      <c r="CY37" s="181">
        <f>CY36</f>
        <v>0</v>
      </c>
      <c r="CZ37" s="46">
        <f t="shared" si="43"/>
        <v>79</v>
      </c>
      <c r="DA37" s="316"/>
      <c r="DB37" s="120"/>
      <c r="DC37" s="7">
        <f>DC36</f>
        <v>5</v>
      </c>
      <c r="DD37" s="133"/>
      <c r="DE37" s="221"/>
      <c r="DF37" s="14">
        <f t="shared" si="70"/>
        <v>0</v>
      </c>
      <c r="DG37" s="46">
        <f t="shared" si="103"/>
        <v>0</v>
      </c>
      <c r="DH37" s="134"/>
      <c r="DI37" s="135"/>
      <c r="DJ37" s="135"/>
      <c r="DK37" s="14">
        <f t="shared" si="104"/>
        <v>0</v>
      </c>
      <c r="DL37" s="14">
        <f t="shared" si="89"/>
        <v>0</v>
      </c>
      <c r="DM37" s="14">
        <f t="shared" si="16"/>
        <v>0.18</v>
      </c>
      <c r="DN37" s="47">
        <f t="shared" si="45"/>
        <v>0</v>
      </c>
      <c r="DO37" s="35">
        <f t="shared" si="17"/>
        <v>2.38</v>
      </c>
      <c r="DP37" s="159">
        <f t="shared" si="46"/>
        <v>0</v>
      </c>
      <c r="DQ37" s="142"/>
      <c r="DR37" s="13">
        <f t="shared" si="18"/>
        <v>36</v>
      </c>
      <c r="DS37" s="48">
        <f t="shared" si="82"/>
        <v>0</v>
      </c>
      <c r="DT37" s="49">
        <f t="shared" si="71"/>
        <v>0</v>
      </c>
      <c r="DU37" s="50">
        <f t="shared" si="19"/>
        <v>336</v>
      </c>
      <c r="DV37" s="181">
        <f>DV36</f>
        <v>0</v>
      </c>
      <c r="DW37" s="46">
        <f t="shared" si="128"/>
        <v>336</v>
      </c>
      <c r="DX37" s="51">
        <f t="shared" si="48"/>
        <v>79</v>
      </c>
      <c r="DY37" s="181">
        <f>DY36</f>
        <v>0</v>
      </c>
      <c r="DZ37" s="46">
        <f t="shared" si="74"/>
        <v>79</v>
      </c>
    </row>
    <row r="38" spans="1:130" x14ac:dyDescent="0.25">
      <c r="B38" s="120">
        <v>31</v>
      </c>
      <c r="C38" s="115">
        <f t="shared" ref="C38:C42" si="163">C37</f>
        <v>5</v>
      </c>
      <c r="D38" s="133"/>
      <c r="E38" s="221"/>
      <c r="F38" s="103">
        <f t="shared" si="107"/>
        <v>0</v>
      </c>
      <c r="G38" s="108">
        <f t="shared" si="93"/>
        <v>0</v>
      </c>
      <c r="H38" s="134"/>
      <c r="I38" s="135"/>
      <c r="J38" s="135"/>
      <c r="K38" s="14">
        <f t="shared" si="94"/>
        <v>0</v>
      </c>
      <c r="L38" s="14">
        <f t="shared" si="90"/>
        <v>0</v>
      </c>
      <c r="M38" s="14">
        <f t="shared" si="22"/>
        <v>0.18</v>
      </c>
      <c r="N38" s="47">
        <f t="shared" si="23"/>
        <v>0</v>
      </c>
      <c r="O38" s="35">
        <f t="shared" si="24"/>
        <v>2.38</v>
      </c>
      <c r="P38" s="159">
        <f t="shared" si="25"/>
        <v>0</v>
      </c>
      <c r="Q38" s="142"/>
      <c r="R38" s="14">
        <f t="shared" si="105"/>
        <v>36</v>
      </c>
      <c r="S38" s="48">
        <f t="shared" si="50"/>
        <v>0</v>
      </c>
      <c r="T38" s="49">
        <f t="shared" si="83"/>
        <v>0</v>
      </c>
      <c r="U38" s="160">
        <f t="shared" si="26"/>
        <v>336</v>
      </c>
      <c r="V38" s="103">
        <f>V37</f>
        <v>0</v>
      </c>
      <c r="W38" s="46">
        <f t="shared" si="28"/>
        <v>336</v>
      </c>
      <c r="X38" s="51">
        <f t="shared" si="1"/>
        <v>79</v>
      </c>
      <c r="Y38" s="103">
        <f>Y37</f>
        <v>0</v>
      </c>
      <c r="Z38" s="46">
        <f t="shared" si="29"/>
        <v>79</v>
      </c>
      <c r="AB38" s="120">
        <f>AB37+1</f>
        <v>2</v>
      </c>
      <c r="AC38" s="7">
        <f t="shared" ref="AC38:AC42" si="164">AC37</f>
        <v>5</v>
      </c>
      <c r="AD38" s="133"/>
      <c r="AE38" s="221"/>
      <c r="AF38" s="14">
        <f t="shared" si="95"/>
        <v>92419</v>
      </c>
      <c r="AG38" s="62">
        <f t="shared" si="96"/>
        <v>92402</v>
      </c>
      <c r="AH38" s="134"/>
      <c r="AI38" s="135">
        <v>17</v>
      </c>
      <c r="AJ38" s="135"/>
      <c r="AK38" s="14">
        <f t="shared" si="97"/>
        <v>17</v>
      </c>
      <c r="AL38" s="14">
        <f t="shared" si="84"/>
        <v>2338</v>
      </c>
      <c r="AM38" s="14">
        <f t="shared" si="2"/>
        <v>0.18</v>
      </c>
      <c r="AN38" s="47">
        <f t="shared" si="55"/>
        <v>0.18394485982319653</v>
      </c>
      <c r="AO38" s="35">
        <f t="shared" si="3"/>
        <v>2.38</v>
      </c>
      <c r="AP38" s="159">
        <f>IFERROR((AL38*100)/AF38,0)</f>
        <v>2.5297828368625499</v>
      </c>
      <c r="AQ38" s="142"/>
      <c r="AR38" s="14">
        <f t="shared" si="4"/>
        <v>36</v>
      </c>
      <c r="AS38" s="35">
        <f t="shared" si="91"/>
        <v>0</v>
      </c>
      <c r="AT38" s="301">
        <f t="shared" si="85"/>
        <v>0</v>
      </c>
      <c r="AU38" s="14">
        <f t="shared" si="5"/>
        <v>336</v>
      </c>
      <c r="AV38" s="103">
        <f>AV37</f>
        <v>322</v>
      </c>
      <c r="AW38" s="46">
        <f t="shared" si="125"/>
        <v>14</v>
      </c>
      <c r="AX38" s="51">
        <f t="shared" si="57"/>
        <v>79</v>
      </c>
      <c r="AY38" s="103">
        <f>AY37</f>
        <v>82</v>
      </c>
      <c r="AZ38" s="46">
        <f t="shared" si="33"/>
        <v>-3</v>
      </c>
      <c r="BA38" s="316"/>
      <c r="BB38" s="120">
        <f>BB37+1</f>
        <v>31</v>
      </c>
      <c r="BC38" s="7">
        <f t="shared" ref="BC38:BC42" si="165">BC37</f>
        <v>5</v>
      </c>
      <c r="BD38" s="133"/>
      <c r="BE38" s="221"/>
      <c r="BF38" s="14">
        <f t="shared" si="98"/>
        <v>189629</v>
      </c>
      <c r="BG38" s="62">
        <f t="shared" si="120"/>
        <v>189603</v>
      </c>
      <c r="BH38" s="134">
        <v>9</v>
      </c>
      <c r="BI38" s="135">
        <v>17</v>
      </c>
      <c r="BJ38" s="135"/>
      <c r="BK38" s="14">
        <f t="shared" si="99"/>
        <v>26</v>
      </c>
      <c r="BL38" s="14">
        <f t="shared" si="86"/>
        <v>4157</v>
      </c>
      <c r="BM38" s="14">
        <f t="shared" si="7"/>
        <v>0.18</v>
      </c>
      <c r="BN38" s="47">
        <f t="shared" si="34"/>
        <v>0.13710983024748324</v>
      </c>
      <c r="BO38" s="35">
        <f t="shared" si="35"/>
        <v>2.38</v>
      </c>
      <c r="BP38" s="159">
        <f t="shared" si="36"/>
        <v>2.1921752474568765</v>
      </c>
      <c r="BQ38" s="142"/>
      <c r="BR38" s="13">
        <f t="shared" si="8"/>
        <v>36</v>
      </c>
      <c r="BS38" s="48">
        <f t="shared" si="79"/>
        <v>0</v>
      </c>
      <c r="BT38" s="49">
        <f t="shared" si="87"/>
        <v>0</v>
      </c>
      <c r="BU38" s="50">
        <f t="shared" si="9"/>
        <v>336</v>
      </c>
      <c r="BV38" s="103">
        <f>BV37</f>
        <v>311</v>
      </c>
      <c r="BW38" s="46">
        <f t="shared" si="126"/>
        <v>25</v>
      </c>
      <c r="BX38" s="51">
        <f t="shared" si="100"/>
        <v>79</v>
      </c>
      <c r="BY38" s="103">
        <f>BY37</f>
        <v>79</v>
      </c>
      <c r="BZ38" s="46">
        <f t="shared" si="37"/>
        <v>0</v>
      </c>
      <c r="CA38" s="316"/>
      <c r="CB38" s="120"/>
      <c r="CC38" s="7">
        <f t="shared" ref="CC38:CC42" si="166">CC37</f>
        <v>5</v>
      </c>
      <c r="CD38" s="133"/>
      <c r="CE38" s="221"/>
      <c r="CF38" s="14">
        <f t="shared" si="88"/>
        <v>0</v>
      </c>
      <c r="CG38" s="62">
        <f t="shared" si="101"/>
        <v>0</v>
      </c>
      <c r="CH38" s="134"/>
      <c r="CI38" s="135"/>
      <c r="CJ38" s="135"/>
      <c r="CK38" s="14">
        <f t="shared" si="102"/>
        <v>0</v>
      </c>
      <c r="CL38" s="14">
        <f t="shared" si="92"/>
        <v>0</v>
      </c>
      <c r="CM38" s="14">
        <f t="shared" si="12"/>
        <v>0.18</v>
      </c>
      <c r="CN38" s="47">
        <f t="shared" si="39"/>
        <v>0</v>
      </c>
      <c r="CO38" s="35">
        <f t="shared" si="13"/>
        <v>2.38</v>
      </c>
      <c r="CP38" s="159">
        <f t="shared" si="40"/>
        <v>0</v>
      </c>
      <c r="CQ38" s="142"/>
      <c r="CR38" s="13">
        <f t="shared" si="14"/>
        <v>36</v>
      </c>
      <c r="CS38" s="48">
        <f t="shared" si="65"/>
        <v>0</v>
      </c>
      <c r="CT38" s="49">
        <f t="shared" si="66"/>
        <v>0</v>
      </c>
      <c r="CU38" s="50">
        <f t="shared" si="15"/>
        <v>336</v>
      </c>
      <c r="CV38" s="103">
        <f>CV37</f>
        <v>0</v>
      </c>
      <c r="CW38" s="46">
        <f t="shared" si="127"/>
        <v>336</v>
      </c>
      <c r="CX38" s="51">
        <f t="shared" si="42"/>
        <v>79</v>
      </c>
      <c r="CY38" s="103">
        <f>CY37</f>
        <v>0</v>
      </c>
      <c r="CZ38" s="46">
        <f t="shared" si="43"/>
        <v>79</v>
      </c>
      <c r="DA38" s="316"/>
      <c r="DB38" s="120"/>
      <c r="DC38" s="7">
        <f t="shared" ref="DC38:DC42" si="167">DC37</f>
        <v>5</v>
      </c>
      <c r="DD38" s="133"/>
      <c r="DE38" s="221"/>
      <c r="DF38" s="14">
        <f t="shared" si="70"/>
        <v>0</v>
      </c>
      <c r="DG38" s="62">
        <f t="shared" si="103"/>
        <v>0</v>
      </c>
      <c r="DH38" s="134"/>
      <c r="DI38" s="135"/>
      <c r="DJ38" s="135"/>
      <c r="DK38" s="14">
        <f t="shared" si="104"/>
        <v>0</v>
      </c>
      <c r="DL38" s="14">
        <f t="shared" si="89"/>
        <v>0</v>
      </c>
      <c r="DM38" s="14">
        <f t="shared" si="16"/>
        <v>0.18</v>
      </c>
      <c r="DN38" s="47">
        <f t="shared" si="45"/>
        <v>0</v>
      </c>
      <c r="DO38" s="35">
        <f t="shared" si="17"/>
        <v>2.38</v>
      </c>
      <c r="DP38" s="159">
        <f t="shared" si="46"/>
        <v>0</v>
      </c>
      <c r="DQ38" s="142"/>
      <c r="DR38" s="13">
        <f t="shared" si="18"/>
        <v>36</v>
      </c>
      <c r="DS38" s="48">
        <f t="shared" si="82"/>
        <v>0</v>
      </c>
      <c r="DT38" s="49">
        <f t="shared" si="71"/>
        <v>0</v>
      </c>
      <c r="DU38" s="50">
        <f t="shared" si="19"/>
        <v>336</v>
      </c>
      <c r="DV38" s="103">
        <f>DV37</f>
        <v>0</v>
      </c>
      <c r="DW38" s="46">
        <f t="shared" si="128"/>
        <v>336</v>
      </c>
      <c r="DX38" s="51">
        <f t="shared" si="48"/>
        <v>79</v>
      </c>
      <c r="DY38" s="103">
        <f>DY37</f>
        <v>0</v>
      </c>
      <c r="DZ38" s="46">
        <f t="shared" si="74"/>
        <v>79</v>
      </c>
    </row>
    <row r="39" spans="1:130" x14ac:dyDescent="0.25">
      <c r="A39" s="168" t="s">
        <v>82</v>
      </c>
      <c r="B39" s="169">
        <v>1</v>
      </c>
      <c r="C39" s="216">
        <f t="shared" si="163"/>
        <v>5</v>
      </c>
      <c r="D39" s="171"/>
      <c r="E39" s="220"/>
      <c r="F39" s="178">
        <f t="shared" si="107"/>
        <v>0</v>
      </c>
      <c r="G39" s="217">
        <f t="shared" si="93"/>
        <v>0</v>
      </c>
      <c r="H39" s="174"/>
      <c r="I39" s="175"/>
      <c r="J39" s="175"/>
      <c r="K39" s="172">
        <f t="shared" si="94"/>
        <v>0</v>
      </c>
      <c r="L39" s="172">
        <f t="shared" si="90"/>
        <v>0</v>
      </c>
      <c r="M39" s="172">
        <f t="shared" si="22"/>
        <v>0.18</v>
      </c>
      <c r="N39" s="232">
        <f t="shared" si="23"/>
        <v>0</v>
      </c>
      <c r="O39" s="176">
        <f t="shared" si="24"/>
        <v>2.38</v>
      </c>
      <c r="P39" s="233">
        <f t="shared" si="25"/>
        <v>0</v>
      </c>
      <c r="Q39" s="234"/>
      <c r="R39" s="172">
        <f t="shared" si="105"/>
        <v>36</v>
      </c>
      <c r="S39" s="177">
        <f t="shared" si="50"/>
        <v>0</v>
      </c>
      <c r="T39" s="200">
        <f t="shared" si="83"/>
        <v>0</v>
      </c>
      <c r="U39" s="218">
        <f t="shared" si="26"/>
        <v>336</v>
      </c>
      <c r="V39" s="178">
        <v>311</v>
      </c>
      <c r="W39" s="173">
        <f t="shared" si="28"/>
        <v>25</v>
      </c>
      <c r="X39" s="179">
        <f t="shared" si="1"/>
        <v>79</v>
      </c>
      <c r="Y39" s="178">
        <v>79</v>
      </c>
      <c r="Z39" s="173">
        <f t="shared" si="29"/>
        <v>0</v>
      </c>
      <c r="AB39" s="120">
        <f t="shared" ref="AB39:AB42" si="168">AB38+1</f>
        <v>3</v>
      </c>
      <c r="AC39" s="7">
        <f t="shared" si="164"/>
        <v>5</v>
      </c>
      <c r="AD39" s="133"/>
      <c r="AE39" s="221"/>
      <c r="AF39" s="14">
        <f t="shared" si="95"/>
        <v>92402</v>
      </c>
      <c r="AG39" s="46">
        <f t="shared" si="96"/>
        <v>92393</v>
      </c>
      <c r="AH39" s="134"/>
      <c r="AI39" s="135">
        <v>9</v>
      </c>
      <c r="AJ39" s="135"/>
      <c r="AK39" s="14">
        <f t="shared" si="97"/>
        <v>9</v>
      </c>
      <c r="AL39" s="14">
        <f t="shared" si="84"/>
        <v>2347</v>
      </c>
      <c r="AM39" s="14">
        <f t="shared" si="2"/>
        <v>0.18</v>
      </c>
      <c r="AN39" s="47">
        <f t="shared" si="55"/>
        <v>9.7400489166901152E-2</v>
      </c>
      <c r="AO39" s="35">
        <f t="shared" si="3"/>
        <v>2.38</v>
      </c>
      <c r="AP39" s="159">
        <f t="shared" si="77"/>
        <v>2.5399883119413</v>
      </c>
      <c r="AQ39" s="142"/>
      <c r="AR39" s="14">
        <f t="shared" si="4"/>
        <v>36</v>
      </c>
      <c r="AS39" s="35">
        <f t="shared" si="91"/>
        <v>0</v>
      </c>
      <c r="AT39" s="301">
        <f t="shared" si="85"/>
        <v>0</v>
      </c>
      <c r="AU39" s="14">
        <f t="shared" si="5"/>
        <v>336</v>
      </c>
      <c r="AV39" s="103">
        <f t="shared" ref="AV39:AV42" si="169">AV38</f>
        <v>322</v>
      </c>
      <c r="AW39" s="46">
        <f t="shared" si="125"/>
        <v>14</v>
      </c>
      <c r="AX39" s="51">
        <f t="shared" si="57"/>
        <v>79</v>
      </c>
      <c r="AY39" s="103">
        <f t="shared" ref="AY39:AY42" si="170">AY38</f>
        <v>82</v>
      </c>
      <c r="AZ39" s="46">
        <f t="shared" si="33"/>
        <v>-3</v>
      </c>
      <c r="BA39" s="321" t="s">
        <v>82</v>
      </c>
      <c r="BB39" s="274">
        <v>1</v>
      </c>
      <c r="BC39" s="275">
        <f t="shared" si="165"/>
        <v>5</v>
      </c>
      <c r="BD39" s="276"/>
      <c r="BE39" s="277"/>
      <c r="BF39" s="278">
        <f t="shared" si="98"/>
        <v>189603</v>
      </c>
      <c r="BG39" s="279">
        <f t="shared" si="120"/>
        <v>189560</v>
      </c>
      <c r="BH39" s="280">
        <v>32</v>
      </c>
      <c r="BI39" s="281">
        <v>11</v>
      </c>
      <c r="BJ39" s="281"/>
      <c r="BK39" s="278">
        <f t="shared" si="99"/>
        <v>43</v>
      </c>
      <c r="BL39" s="278">
        <f t="shared" si="86"/>
        <v>4200</v>
      </c>
      <c r="BM39" s="278">
        <f t="shared" si="7"/>
        <v>0.18</v>
      </c>
      <c r="BN39" s="271">
        <f t="shared" si="34"/>
        <v>0.2267896605011524</v>
      </c>
      <c r="BO39" s="272">
        <f t="shared" si="35"/>
        <v>2.38</v>
      </c>
      <c r="BP39" s="273">
        <f t="shared" si="36"/>
        <v>2.2151548234996281</v>
      </c>
      <c r="BQ39" s="282"/>
      <c r="BR39" s="283">
        <f t="shared" si="8"/>
        <v>36</v>
      </c>
      <c r="BS39" s="284">
        <f t="shared" si="79"/>
        <v>0</v>
      </c>
      <c r="BT39" s="285">
        <f t="shared" si="87"/>
        <v>0</v>
      </c>
      <c r="BU39" s="286">
        <f t="shared" si="9"/>
        <v>336</v>
      </c>
      <c r="BV39" s="287">
        <f t="shared" ref="BV39:BV42" si="171">BV38</f>
        <v>311</v>
      </c>
      <c r="BW39" s="279">
        <f t="shared" si="126"/>
        <v>25</v>
      </c>
      <c r="BX39" s="288">
        <f t="shared" si="100"/>
        <v>79</v>
      </c>
      <c r="BY39" s="287">
        <f t="shared" ref="BY39:BY42" si="172">BY38</f>
        <v>79</v>
      </c>
      <c r="BZ39" s="279">
        <f t="shared" si="37"/>
        <v>0</v>
      </c>
      <c r="CA39" s="316"/>
      <c r="CB39" s="120"/>
      <c r="CC39" s="7">
        <f t="shared" si="166"/>
        <v>5</v>
      </c>
      <c r="CD39" s="133"/>
      <c r="CE39" s="221"/>
      <c r="CF39" s="14">
        <f t="shared" si="88"/>
        <v>0</v>
      </c>
      <c r="CG39" s="46">
        <f t="shared" si="101"/>
        <v>0</v>
      </c>
      <c r="CH39" s="134"/>
      <c r="CI39" s="135"/>
      <c r="CJ39" s="135"/>
      <c r="CK39" s="14">
        <f t="shared" si="102"/>
        <v>0</v>
      </c>
      <c r="CL39" s="14">
        <f t="shared" si="92"/>
        <v>0</v>
      </c>
      <c r="CM39" s="14">
        <f t="shared" si="12"/>
        <v>0.18</v>
      </c>
      <c r="CN39" s="47">
        <f t="shared" si="39"/>
        <v>0</v>
      </c>
      <c r="CO39" s="35">
        <f t="shared" si="13"/>
        <v>2.38</v>
      </c>
      <c r="CP39" s="159">
        <f t="shared" si="40"/>
        <v>0</v>
      </c>
      <c r="CQ39" s="142"/>
      <c r="CR39" s="13">
        <f t="shared" si="14"/>
        <v>36</v>
      </c>
      <c r="CS39" s="48">
        <f t="shared" si="65"/>
        <v>0</v>
      </c>
      <c r="CT39" s="49">
        <f t="shared" si="66"/>
        <v>0</v>
      </c>
      <c r="CU39" s="50">
        <f t="shared" si="15"/>
        <v>336</v>
      </c>
      <c r="CV39" s="181">
        <f t="shared" ref="CV39:CV42" si="173">CV38</f>
        <v>0</v>
      </c>
      <c r="CW39" s="206">
        <f t="shared" si="127"/>
        <v>336</v>
      </c>
      <c r="CX39" s="182">
        <f t="shared" si="42"/>
        <v>79</v>
      </c>
      <c r="CY39" s="181">
        <f t="shared" ref="CY39:CY42" si="174">CY38</f>
        <v>0</v>
      </c>
      <c r="CZ39" s="46">
        <f t="shared" si="43"/>
        <v>79</v>
      </c>
      <c r="DA39" s="316"/>
      <c r="DB39" s="120"/>
      <c r="DC39" s="7">
        <f t="shared" si="167"/>
        <v>5</v>
      </c>
      <c r="DD39" s="133"/>
      <c r="DE39" s="221"/>
      <c r="DF39" s="14">
        <f t="shared" si="70"/>
        <v>0</v>
      </c>
      <c r="DG39" s="46">
        <f t="shared" si="103"/>
        <v>0</v>
      </c>
      <c r="DH39" s="134"/>
      <c r="DI39" s="135"/>
      <c r="DJ39" s="135"/>
      <c r="DK39" s="14">
        <f t="shared" si="104"/>
        <v>0</v>
      </c>
      <c r="DL39" s="14">
        <f t="shared" si="89"/>
        <v>0</v>
      </c>
      <c r="DM39" s="14">
        <f t="shared" si="16"/>
        <v>0.18</v>
      </c>
      <c r="DN39" s="231">
        <f t="shared" si="45"/>
        <v>0</v>
      </c>
      <c r="DO39" s="37">
        <f t="shared" si="17"/>
        <v>2.38</v>
      </c>
      <c r="DP39" s="155">
        <f t="shared" si="46"/>
        <v>0</v>
      </c>
      <c r="DQ39" s="142"/>
      <c r="DR39" s="13">
        <f t="shared" si="18"/>
        <v>36</v>
      </c>
      <c r="DS39" s="48">
        <f t="shared" si="82"/>
        <v>0</v>
      </c>
      <c r="DT39" s="49">
        <f t="shared" si="71"/>
        <v>0</v>
      </c>
      <c r="DU39" s="50">
        <f t="shared" si="19"/>
        <v>336</v>
      </c>
      <c r="DV39" s="181">
        <f t="shared" ref="DV39:DV42" si="175">DV38</f>
        <v>0</v>
      </c>
      <c r="DW39" s="46">
        <f t="shared" si="128"/>
        <v>336</v>
      </c>
      <c r="DX39" s="51">
        <f t="shared" si="48"/>
        <v>79</v>
      </c>
      <c r="DY39" s="181">
        <f t="shared" ref="DY39:DY42" si="176">DY38</f>
        <v>0</v>
      </c>
      <c r="DZ39" s="46">
        <f t="shared" si="74"/>
        <v>79</v>
      </c>
    </row>
    <row r="40" spans="1:130" x14ac:dyDescent="0.25">
      <c r="B40" s="120">
        <v>2</v>
      </c>
      <c r="C40" s="115">
        <f t="shared" si="163"/>
        <v>5</v>
      </c>
      <c r="D40" s="215">
        <v>6016</v>
      </c>
      <c r="E40" s="221"/>
      <c r="F40" s="103">
        <f t="shared" si="107"/>
        <v>6016</v>
      </c>
      <c r="G40" s="104">
        <f t="shared" si="93"/>
        <v>6015</v>
      </c>
      <c r="H40" s="134"/>
      <c r="I40" s="135">
        <v>1</v>
      </c>
      <c r="J40" s="135"/>
      <c r="K40" s="14">
        <f t="shared" si="94"/>
        <v>1</v>
      </c>
      <c r="L40" s="14">
        <f t="shared" si="90"/>
        <v>1</v>
      </c>
      <c r="M40" s="14">
        <f t="shared" si="22"/>
        <v>0.18</v>
      </c>
      <c r="N40" s="47">
        <f t="shared" si="23"/>
        <v>0.16622340425531915</v>
      </c>
      <c r="O40" s="35">
        <f t="shared" si="24"/>
        <v>2.38</v>
      </c>
      <c r="P40" s="157">
        <f t="shared" si="25"/>
        <v>1.6622340425531915E-2</v>
      </c>
      <c r="Q40" s="142"/>
      <c r="R40" s="14">
        <f t="shared" si="105"/>
        <v>36</v>
      </c>
      <c r="S40" s="48">
        <f t="shared" si="50"/>
        <v>0</v>
      </c>
      <c r="T40" s="49">
        <f t="shared" si="83"/>
        <v>0</v>
      </c>
      <c r="U40" s="160">
        <f t="shared" si="26"/>
        <v>336</v>
      </c>
      <c r="V40" s="103">
        <f t="shared" ref="V40:V42" si="177">V39</f>
        <v>311</v>
      </c>
      <c r="W40" s="46">
        <f t="shared" si="28"/>
        <v>25</v>
      </c>
      <c r="X40" s="51">
        <f t="shared" si="1"/>
        <v>79</v>
      </c>
      <c r="Y40" s="103">
        <f t="shared" ref="Y40:Y42" si="178">Y39</f>
        <v>79</v>
      </c>
      <c r="Z40" s="46">
        <f t="shared" si="29"/>
        <v>0</v>
      </c>
      <c r="AB40" s="120">
        <f t="shared" si="168"/>
        <v>4</v>
      </c>
      <c r="AC40" s="7">
        <f t="shared" si="164"/>
        <v>5</v>
      </c>
      <c r="AD40" s="133"/>
      <c r="AE40" s="221"/>
      <c r="AF40" s="14">
        <f t="shared" si="95"/>
        <v>92393</v>
      </c>
      <c r="AG40" s="46">
        <f t="shared" si="96"/>
        <v>92383</v>
      </c>
      <c r="AH40" s="134"/>
      <c r="AI40" s="135">
        <v>10</v>
      </c>
      <c r="AJ40" s="135"/>
      <c r="AK40" s="14">
        <f t="shared" si="97"/>
        <v>10</v>
      </c>
      <c r="AL40" s="14">
        <f t="shared" si="84"/>
        <v>2357</v>
      </c>
      <c r="AM40" s="14">
        <f t="shared" ref="AM40:AM71" si="179">VLOOKUP($AC40,PARAMETROCRIANZA,6,FALSE)</f>
        <v>0.18</v>
      </c>
      <c r="AN40" s="47">
        <f t="shared" si="55"/>
        <v>0.10823330771811718</v>
      </c>
      <c r="AO40" s="35">
        <f t="shared" ref="AO40:AO71" si="180">VLOOKUP($AC40,PARAMETROCRIANZA,8,FALSE)</f>
        <v>2.38</v>
      </c>
      <c r="AP40" s="159">
        <f t="shared" si="77"/>
        <v>2.5510590629160217</v>
      </c>
      <c r="AQ40" s="142"/>
      <c r="AR40" s="14">
        <f t="shared" ref="AR40:AR71" si="181">VLOOKUP($AC40,PARAMETROCRIANZA,10,FALSE)</f>
        <v>36</v>
      </c>
      <c r="AS40" s="35">
        <f t="shared" si="91"/>
        <v>0</v>
      </c>
      <c r="AT40" s="301">
        <f t="shared" si="85"/>
        <v>0</v>
      </c>
      <c r="AU40" s="14">
        <f t="shared" ref="AU40:AU71" si="182">VLOOKUP($AC40,PARAMETROCRIANZA,2,FALSE)</f>
        <v>336</v>
      </c>
      <c r="AV40" s="103">
        <f t="shared" si="169"/>
        <v>322</v>
      </c>
      <c r="AW40" s="46">
        <f t="shared" si="125"/>
        <v>14</v>
      </c>
      <c r="AX40" s="51">
        <f t="shared" si="57"/>
        <v>79</v>
      </c>
      <c r="AY40" s="103">
        <f t="shared" si="170"/>
        <v>82</v>
      </c>
      <c r="AZ40" s="46">
        <f t="shared" si="33"/>
        <v>-3</v>
      </c>
      <c r="BA40" s="316"/>
      <c r="BB40" s="120">
        <f t="shared" ref="BB40:BB42" si="183">BB39+1</f>
        <v>2</v>
      </c>
      <c r="BC40" s="7">
        <f t="shared" si="165"/>
        <v>5</v>
      </c>
      <c r="BD40" s="229"/>
      <c r="BE40" s="228">
        <v>6016</v>
      </c>
      <c r="BF40" s="14">
        <f>IFERROR(BG39+BD40-BE40,0)</f>
        <v>183544</v>
      </c>
      <c r="BG40" s="46">
        <f>IFERROR(BF40-BK40,0)</f>
        <v>183411</v>
      </c>
      <c r="BH40" s="134">
        <v>116</v>
      </c>
      <c r="BI40" s="135">
        <v>17</v>
      </c>
      <c r="BJ40" s="135"/>
      <c r="BK40" s="14">
        <f t="shared" si="99"/>
        <v>133</v>
      </c>
      <c r="BL40" s="14">
        <f t="shared" si="86"/>
        <v>4333</v>
      </c>
      <c r="BM40" s="14">
        <f t="shared" ref="BM40:BM71" si="184">VLOOKUP($BC40,PARAMETROCRIANZA,6,FALSE)</f>
        <v>0.18</v>
      </c>
      <c r="BN40" s="47">
        <f t="shared" si="34"/>
        <v>0.72462188902933355</v>
      </c>
      <c r="BO40" s="35">
        <f t="shared" ref="BO40:BO71" si="185">VLOOKUP($BC40,PARAMETROCRIANZA,8,FALSE)</f>
        <v>2.38</v>
      </c>
      <c r="BP40" s="159">
        <f t="shared" si="36"/>
        <v>2.36074183846925</v>
      </c>
      <c r="BQ40" s="142"/>
      <c r="BR40" s="13">
        <f t="shared" ref="BR40:BR71" si="186">VLOOKUP($BC40,PARAMETROCRIANZA,10,FALSE)</f>
        <v>36</v>
      </c>
      <c r="BS40" s="48">
        <f t="shared" si="79"/>
        <v>0</v>
      </c>
      <c r="BT40" s="49">
        <f t="shared" si="87"/>
        <v>0</v>
      </c>
      <c r="BU40" s="50">
        <f t="shared" ref="BU40:BU71" si="187">VLOOKUP($BC40,PARAMETROCRIANZA,2,FALSE)</f>
        <v>336</v>
      </c>
      <c r="BV40" s="103">
        <f t="shared" si="171"/>
        <v>311</v>
      </c>
      <c r="BW40" s="46">
        <f t="shared" si="126"/>
        <v>25</v>
      </c>
      <c r="BX40" s="51">
        <f t="shared" si="100"/>
        <v>79</v>
      </c>
      <c r="BY40" s="103">
        <f t="shared" si="172"/>
        <v>79</v>
      </c>
      <c r="BZ40" s="46">
        <f t="shared" si="37"/>
        <v>0</v>
      </c>
      <c r="CA40" s="316"/>
      <c r="CB40" s="120"/>
      <c r="CC40" s="7">
        <f t="shared" si="166"/>
        <v>5</v>
      </c>
      <c r="CD40" s="133"/>
      <c r="CE40" s="221"/>
      <c r="CF40" s="14">
        <f t="shared" si="88"/>
        <v>0</v>
      </c>
      <c r="CG40" s="46">
        <f t="shared" si="101"/>
        <v>0</v>
      </c>
      <c r="CH40" s="134"/>
      <c r="CI40" s="135"/>
      <c r="CJ40" s="135"/>
      <c r="CK40" s="14">
        <f t="shared" si="102"/>
        <v>0</v>
      </c>
      <c r="CL40" s="14">
        <f t="shared" si="92"/>
        <v>0</v>
      </c>
      <c r="CM40" s="14">
        <f t="shared" ref="CM40:CM71" si="188">VLOOKUP($CC40,PARAMETROCRIANZA,6,FALSE)</f>
        <v>0.18</v>
      </c>
      <c r="CN40" s="47">
        <f t="shared" si="39"/>
        <v>0</v>
      </c>
      <c r="CO40" s="35">
        <f t="shared" ref="CO40:CO71" si="189">VLOOKUP($CC40,PARAMETROCRIANZA,8,FALSE)</f>
        <v>2.38</v>
      </c>
      <c r="CP40" s="159">
        <f t="shared" si="40"/>
        <v>0</v>
      </c>
      <c r="CQ40" s="142"/>
      <c r="CR40" s="13">
        <f t="shared" ref="CR40:CR71" si="190">VLOOKUP($CC40,PARAMETROCRIANZA,10,FALSE)</f>
        <v>36</v>
      </c>
      <c r="CS40" s="48">
        <f t="shared" si="65"/>
        <v>0</v>
      </c>
      <c r="CT40" s="49">
        <f t="shared" si="66"/>
        <v>0</v>
      </c>
      <c r="CU40" s="50">
        <f t="shared" ref="CU40:CU71" si="191">VLOOKUP($CC40,PARAMETROCRIANZA,2,FALSE)</f>
        <v>336</v>
      </c>
      <c r="CV40" s="103">
        <f t="shared" si="173"/>
        <v>0</v>
      </c>
      <c r="CW40" s="46">
        <f t="shared" si="127"/>
        <v>336</v>
      </c>
      <c r="CX40" s="51">
        <f t="shared" si="42"/>
        <v>79</v>
      </c>
      <c r="CY40" s="103">
        <f t="shared" si="174"/>
        <v>0</v>
      </c>
      <c r="CZ40" s="46">
        <f t="shared" si="43"/>
        <v>79</v>
      </c>
      <c r="DA40" s="316"/>
      <c r="DB40" s="120"/>
      <c r="DC40" s="7">
        <f t="shared" si="167"/>
        <v>5</v>
      </c>
      <c r="DD40" s="133"/>
      <c r="DE40" s="221"/>
      <c r="DF40" s="14">
        <f t="shared" si="70"/>
        <v>0</v>
      </c>
      <c r="DG40" s="46">
        <f t="shared" si="103"/>
        <v>0</v>
      </c>
      <c r="DH40" s="134"/>
      <c r="DI40" s="135"/>
      <c r="DJ40" s="135"/>
      <c r="DK40" s="14">
        <f t="shared" si="104"/>
        <v>0</v>
      </c>
      <c r="DL40" s="14">
        <f t="shared" si="89"/>
        <v>0</v>
      </c>
      <c r="DM40" s="14">
        <f t="shared" ref="DM40:DM71" si="192">VLOOKUP($DC40,PARAMETROCRIANZA,6,FALSE)</f>
        <v>0.18</v>
      </c>
      <c r="DN40" s="47">
        <f t="shared" si="45"/>
        <v>0</v>
      </c>
      <c r="DO40" s="35">
        <f t="shared" ref="DO40:DO71" si="193">VLOOKUP($DC40,PARAMETROCRIANZA,8,FALSE)</f>
        <v>2.38</v>
      </c>
      <c r="DP40" s="159">
        <f t="shared" si="46"/>
        <v>0</v>
      </c>
      <c r="DQ40" s="142"/>
      <c r="DR40" s="13">
        <f t="shared" ref="DR40:DR71" si="194">VLOOKUP($DC40,PARAMETROCRIANZA,10,FALSE)</f>
        <v>36</v>
      </c>
      <c r="DS40" s="48">
        <f t="shared" si="82"/>
        <v>0</v>
      </c>
      <c r="DT40" s="49">
        <f t="shared" si="71"/>
        <v>0</v>
      </c>
      <c r="DU40" s="50">
        <f t="shared" ref="DU40:DU71" si="195">VLOOKUP($DC40,PARAMETROCRIANZA,2,FALSE)</f>
        <v>336</v>
      </c>
      <c r="DV40" s="103">
        <f t="shared" si="175"/>
        <v>0</v>
      </c>
      <c r="DW40" s="46">
        <f t="shared" si="128"/>
        <v>336</v>
      </c>
      <c r="DX40" s="51">
        <f t="shared" si="48"/>
        <v>79</v>
      </c>
      <c r="DY40" s="103">
        <f t="shared" si="176"/>
        <v>0</v>
      </c>
      <c r="DZ40" s="46">
        <f t="shared" si="74"/>
        <v>79</v>
      </c>
    </row>
    <row r="41" spans="1:130" x14ac:dyDescent="0.25">
      <c r="B41" s="120">
        <v>3</v>
      </c>
      <c r="C41" s="115">
        <f t="shared" si="163"/>
        <v>5</v>
      </c>
      <c r="D41" s="215">
        <v>11824</v>
      </c>
      <c r="E41" s="221"/>
      <c r="F41" s="103">
        <f t="shared" si="107"/>
        <v>17839</v>
      </c>
      <c r="G41" s="108">
        <f t="shared" si="93"/>
        <v>17836</v>
      </c>
      <c r="H41" s="134"/>
      <c r="I41" s="135">
        <v>3</v>
      </c>
      <c r="J41" s="135"/>
      <c r="K41" s="14">
        <f t="shared" si="94"/>
        <v>3</v>
      </c>
      <c r="L41" s="14">
        <f t="shared" si="90"/>
        <v>4</v>
      </c>
      <c r="M41" s="14">
        <f t="shared" si="22"/>
        <v>0.18</v>
      </c>
      <c r="N41" s="47">
        <f t="shared" si="23"/>
        <v>0.16817086159538092</v>
      </c>
      <c r="O41" s="35">
        <f t="shared" si="24"/>
        <v>2.38</v>
      </c>
      <c r="P41" s="157">
        <f t="shared" si="25"/>
        <v>2.2422781546050787E-2</v>
      </c>
      <c r="Q41" s="142"/>
      <c r="R41" s="17">
        <f t="shared" si="105"/>
        <v>36</v>
      </c>
      <c r="S41" s="48">
        <f t="shared" si="50"/>
        <v>0</v>
      </c>
      <c r="T41" s="49">
        <f t="shared" si="83"/>
        <v>0</v>
      </c>
      <c r="U41" s="160">
        <f t="shared" si="26"/>
        <v>336</v>
      </c>
      <c r="V41" s="103">
        <f t="shared" si="177"/>
        <v>311</v>
      </c>
      <c r="W41" s="46">
        <f t="shared" si="28"/>
        <v>25</v>
      </c>
      <c r="X41" s="51">
        <f t="shared" si="1"/>
        <v>79</v>
      </c>
      <c r="Y41" s="103">
        <f t="shared" si="178"/>
        <v>79</v>
      </c>
      <c r="Z41" s="46">
        <f t="shared" si="29"/>
        <v>0</v>
      </c>
      <c r="AB41" s="120">
        <f t="shared" si="168"/>
        <v>5</v>
      </c>
      <c r="AC41" s="7">
        <f t="shared" si="164"/>
        <v>5</v>
      </c>
      <c r="AD41" s="133"/>
      <c r="AE41" s="221"/>
      <c r="AF41" s="14">
        <f t="shared" si="95"/>
        <v>92383</v>
      </c>
      <c r="AG41" s="62">
        <f t="shared" si="96"/>
        <v>92367</v>
      </c>
      <c r="AH41" s="134"/>
      <c r="AI41" s="135">
        <v>16</v>
      </c>
      <c r="AJ41" s="135"/>
      <c r="AK41" s="14">
        <f t="shared" si="97"/>
        <v>16</v>
      </c>
      <c r="AL41" s="14">
        <f t="shared" si="84"/>
        <v>2373</v>
      </c>
      <c r="AM41" s="14">
        <f t="shared" si="179"/>
        <v>0.18</v>
      </c>
      <c r="AN41" s="47">
        <f t="shared" si="55"/>
        <v>0.17319203749607612</v>
      </c>
      <c r="AO41" s="35">
        <f t="shared" si="180"/>
        <v>2.38</v>
      </c>
      <c r="AP41" s="159">
        <f t="shared" si="77"/>
        <v>2.5686544061136791</v>
      </c>
      <c r="AQ41" s="142"/>
      <c r="AR41" s="14">
        <f t="shared" si="181"/>
        <v>36</v>
      </c>
      <c r="AS41" s="35">
        <f t="shared" si="91"/>
        <v>0</v>
      </c>
      <c r="AT41" s="301">
        <f t="shared" si="85"/>
        <v>0</v>
      </c>
      <c r="AU41" s="14">
        <f t="shared" si="182"/>
        <v>336</v>
      </c>
      <c r="AV41" s="103">
        <f t="shared" si="169"/>
        <v>322</v>
      </c>
      <c r="AW41" s="46">
        <f t="shared" si="125"/>
        <v>14</v>
      </c>
      <c r="AX41" s="51">
        <f t="shared" si="57"/>
        <v>79</v>
      </c>
      <c r="AY41" s="103">
        <f t="shared" si="170"/>
        <v>82</v>
      </c>
      <c r="AZ41" s="46">
        <f t="shared" si="33"/>
        <v>-3</v>
      </c>
      <c r="BA41" s="316"/>
      <c r="BB41" s="120">
        <f t="shared" si="183"/>
        <v>3</v>
      </c>
      <c r="BC41" s="7">
        <f t="shared" si="165"/>
        <v>5</v>
      </c>
      <c r="BD41" s="133"/>
      <c r="BE41" s="228">
        <v>11824</v>
      </c>
      <c r="BF41" s="14">
        <f>IFERROR(BG40+BD41-BE41,0)</f>
        <v>171587</v>
      </c>
      <c r="BG41" s="62">
        <f t="shared" si="120"/>
        <v>171499</v>
      </c>
      <c r="BH41" s="134">
        <v>76</v>
      </c>
      <c r="BI41" s="135">
        <v>12</v>
      </c>
      <c r="BJ41" s="135"/>
      <c r="BK41" s="14">
        <f t="shared" si="99"/>
        <v>88</v>
      </c>
      <c r="BL41" s="14">
        <f t="shared" si="86"/>
        <v>4421</v>
      </c>
      <c r="BM41" s="14">
        <f t="shared" si="184"/>
        <v>0.18</v>
      </c>
      <c r="BN41" s="47">
        <f t="shared" si="34"/>
        <v>0.51285936580277058</v>
      </c>
      <c r="BO41" s="35">
        <f t="shared" si="185"/>
        <v>2.38</v>
      </c>
      <c r="BP41" s="159">
        <f t="shared" si="36"/>
        <v>2.5765355184250556</v>
      </c>
      <c r="BQ41" s="142"/>
      <c r="BR41" s="13">
        <f t="shared" si="186"/>
        <v>36</v>
      </c>
      <c r="BS41" s="48">
        <f t="shared" si="79"/>
        <v>0</v>
      </c>
      <c r="BT41" s="49">
        <f t="shared" si="87"/>
        <v>0</v>
      </c>
      <c r="BU41" s="50">
        <f t="shared" si="187"/>
        <v>336</v>
      </c>
      <c r="BV41" s="103">
        <f t="shared" si="171"/>
        <v>311</v>
      </c>
      <c r="BW41" s="46">
        <f t="shared" si="126"/>
        <v>25</v>
      </c>
      <c r="BX41" s="51">
        <f t="shared" si="100"/>
        <v>79</v>
      </c>
      <c r="BY41" s="103">
        <f t="shared" si="172"/>
        <v>79</v>
      </c>
      <c r="BZ41" s="46">
        <f t="shared" si="37"/>
        <v>0</v>
      </c>
      <c r="CA41" s="316"/>
      <c r="CB41" s="120"/>
      <c r="CC41" s="7">
        <f t="shared" si="166"/>
        <v>5</v>
      </c>
      <c r="CD41" s="133"/>
      <c r="CE41" s="221"/>
      <c r="CF41" s="14">
        <f t="shared" si="88"/>
        <v>0</v>
      </c>
      <c r="CG41" s="62">
        <f t="shared" si="101"/>
        <v>0</v>
      </c>
      <c r="CH41" s="134"/>
      <c r="CI41" s="135"/>
      <c r="CJ41" s="135"/>
      <c r="CK41" s="14">
        <f t="shared" si="102"/>
        <v>0</v>
      </c>
      <c r="CL41" s="14">
        <f t="shared" si="92"/>
        <v>0</v>
      </c>
      <c r="CM41" s="14">
        <f t="shared" si="188"/>
        <v>0.18</v>
      </c>
      <c r="CN41" s="47">
        <f t="shared" si="39"/>
        <v>0</v>
      </c>
      <c r="CO41" s="35">
        <f t="shared" si="189"/>
        <v>2.38</v>
      </c>
      <c r="CP41" s="159">
        <f t="shared" si="40"/>
        <v>0</v>
      </c>
      <c r="CQ41" s="142"/>
      <c r="CR41" s="13">
        <f t="shared" si="190"/>
        <v>36</v>
      </c>
      <c r="CS41" s="48">
        <f t="shared" si="65"/>
        <v>0</v>
      </c>
      <c r="CT41" s="49">
        <f t="shared" si="66"/>
        <v>0</v>
      </c>
      <c r="CU41" s="50">
        <f t="shared" si="191"/>
        <v>336</v>
      </c>
      <c r="CV41" s="103">
        <f t="shared" si="173"/>
        <v>0</v>
      </c>
      <c r="CW41" s="46">
        <f t="shared" si="127"/>
        <v>336</v>
      </c>
      <c r="CX41" s="51">
        <f t="shared" si="42"/>
        <v>79</v>
      </c>
      <c r="CY41" s="103">
        <f t="shared" si="174"/>
        <v>0</v>
      </c>
      <c r="CZ41" s="46">
        <f t="shared" si="43"/>
        <v>79</v>
      </c>
      <c r="DA41" s="316"/>
      <c r="DB41" s="120"/>
      <c r="DC41" s="7">
        <f t="shared" si="167"/>
        <v>5</v>
      </c>
      <c r="DD41" s="133"/>
      <c r="DE41" s="221"/>
      <c r="DF41" s="14">
        <f t="shared" si="70"/>
        <v>0</v>
      </c>
      <c r="DG41" s="62">
        <f t="shared" si="103"/>
        <v>0</v>
      </c>
      <c r="DH41" s="134"/>
      <c r="DI41" s="135"/>
      <c r="DJ41" s="135"/>
      <c r="DK41" s="14">
        <f t="shared" si="104"/>
        <v>0</v>
      </c>
      <c r="DL41" s="14">
        <f t="shared" si="89"/>
        <v>0</v>
      </c>
      <c r="DM41" s="14">
        <f t="shared" si="192"/>
        <v>0.18</v>
      </c>
      <c r="DN41" s="47">
        <f t="shared" si="45"/>
        <v>0</v>
      </c>
      <c r="DO41" s="35">
        <f t="shared" si="193"/>
        <v>2.38</v>
      </c>
      <c r="DP41" s="159">
        <f t="shared" si="46"/>
        <v>0</v>
      </c>
      <c r="DQ41" s="142"/>
      <c r="DR41" s="13">
        <f t="shared" si="194"/>
        <v>36</v>
      </c>
      <c r="DS41" s="48">
        <f t="shared" si="82"/>
        <v>0</v>
      </c>
      <c r="DT41" s="49">
        <f t="shared" si="71"/>
        <v>0</v>
      </c>
      <c r="DU41" s="50">
        <f t="shared" si="195"/>
        <v>336</v>
      </c>
      <c r="DV41" s="103">
        <f t="shared" si="175"/>
        <v>0</v>
      </c>
      <c r="DW41" s="46">
        <f t="shared" si="128"/>
        <v>336</v>
      </c>
      <c r="DX41" s="51">
        <f t="shared" si="48"/>
        <v>79</v>
      </c>
      <c r="DY41" s="103">
        <f t="shared" si="176"/>
        <v>0</v>
      </c>
      <c r="DZ41" s="46">
        <f t="shared" si="74"/>
        <v>79</v>
      </c>
    </row>
    <row r="42" spans="1:130" ht="17.25" thickBot="1" x14ac:dyDescent="0.3">
      <c r="B42" s="120">
        <v>4</v>
      </c>
      <c r="C42" s="116">
        <f t="shared" si="163"/>
        <v>5</v>
      </c>
      <c r="D42" s="136"/>
      <c r="E42" s="226"/>
      <c r="F42" s="109">
        <f t="shared" si="107"/>
        <v>17836</v>
      </c>
      <c r="G42" s="105">
        <f t="shared" si="93"/>
        <v>17833</v>
      </c>
      <c r="H42" s="204"/>
      <c r="I42" s="205">
        <v>3</v>
      </c>
      <c r="J42" s="205"/>
      <c r="K42" s="31">
        <f t="shared" si="94"/>
        <v>3</v>
      </c>
      <c r="L42" s="31">
        <f t="shared" si="90"/>
        <v>7</v>
      </c>
      <c r="M42" s="31">
        <f t="shared" si="22"/>
        <v>0.18</v>
      </c>
      <c r="N42" s="231">
        <f t="shared" si="23"/>
        <v>0.16819914779098452</v>
      </c>
      <c r="O42" s="37">
        <f t="shared" si="24"/>
        <v>2.38</v>
      </c>
      <c r="P42" s="156">
        <f t="shared" si="25"/>
        <v>3.924646781789639E-2</v>
      </c>
      <c r="Q42" s="237"/>
      <c r="R42" s="12">
        <f t="shared" si="105"/>
        <v>36</v>
      </c>
      <c r="S42" s="67">
        <f t="shared" si="50"/>
        <v>0</v>
      </c>
      <c r="T42" s="196">
        <f t="shared" si="83"/>
        <v>0</v>
      </c>
      <c r="U42" s="15">
        <f t="shared" si="26"/>
        <v>336</v>
      </c>
      <c r="V42" s="109">
        <f t="shared" si="177"/>
        <v>311</v>
      </c>
      <c r="W42" s="63">
        <f t="shared" si="28"/>
        <v>25</v>
      </c>
      <c r="X42" s="65">
        <f t="shared" si="1"/>
        <v>79</v>
      </c>
      <c r="Y42" s="109">
        <f t="shared" si="178"/>
        <v>79</v>
      </c>
      <c r="Z42" s="63">
        <f t="shared" si="29"/>
        <v>0</v>
      </c>
      <c r="AB42" s="119">
        <f t="shared" si="168"/>
        <v>6</v>
      </c>
      <c r="AC42" s="95">
        <f t="shared" si="164"/>
        <v>5</v>
      </c>
      <c r="AD42" s="203"/>
      <c r="AE42" s="225"/>
      <c r="AF42" s="13">
        <f t="shared" si="95"/>
        <v>92367</v>
      </c>
      <c r="AG42" s="59">
        <f t="shared" si="96"/>
        <v>92355</v>
      </c>
      <c r="AH42" s="204"/>
      <c r="AI42" s="205">
        <v>12</v>
      </c>
      <c r="AJ42" s="205"/>
      <c r="AK42" s="31">
        <f t="shared" si="97"/>
        <v>12</v>
      </c>
      <c r="AL42" s="31">
        <f t="shared" si="84"/>
        <v>2385</v>
      </c>
      <c r="AM42" s="13">
        <f t="shared" si="179"/>
        <v>0.18</v>
      </c>
      <c r="AN42" s="230">
        <f t="shared" si="55"/>
        <v>0.12991652863035499</v>
      </c>
      <c r="AO42" s="161">
        <f t="shared" si="180"/>
        <v>2.38</v>
      </c>
      <c r="AP42" s="157">
        <f t="shared" si="77"/>
        <v>2.5820910065283056</v>
      </c>
      <c r="AQ42" s="237"/>
      <c r="AR42" s="13">
        <f t="shared" si="181"/>
        <v>36</v>
      </c>
      <c r="AS42" s="161">
        <f t="shared" si="91"/>
        <v>0</v>
      </c>
      <c r="AT42" s="302">
        <f t="shared" si="85"/>
        <v>0</v>
      </c>
      <c r="AU42" s="13">
        <f t="shared" si="182"/>
        <v>336</v>
      </c>
      <c r="AV42" s="202">
        <f t="shared" si="169"/>
        <v>322</v>
      </c>
      <c r="AW42" s="62">
        <f t="shared" si="125"/>
        <v>14</v>
      </c>
      <c r="AX42" s="52">
        <f t="shared" si="57"/>
        <v>79</v>
      </c>
      <c r="AY42" s="202">
        <f t="shared" si="170"/>
        <v>82</v>
      </c>
      <c r="AZ42" s="62">
        <f t="shared" si="33"/>
        <v>-3</v>
      </c>
      <c r="BA42" s="316"/>
      <c r="BB42" s="119">
        <f t="shared" si="183"/>
        <v>4</v>
      </c>
      <c r="BC42" s="95">
        <f t="shared" si="165"/>
        <v>5</v>
      </c>
      <c r="BD42" s="203"/>
      <c r="BE42" s="225"/>
      <c r="BF42" s="13">
        <f>IFERROR(BG41+BD42,0)</f>
        <v>171499</v>
      </c>
      <c r="BG42" s="59">
        <f t="shared" si="120"/>
        <v>171429</v>
      </c>
      <c r="BH42" s="204">
        <v>63</v>
      </c>
      <c r="BI42" s="205">
        <v>7</v>
      </c>
      <c r="BJ42" s="205"/>
      <c r="BK42" s="31">
        <f t="shared" si="99"/>
        <v>70</v>
      </c>
      <c r="BL42" s="31">
        <f t="shared" si="86"/>
        <v>4491</v>
      </c>
      <c r="BM42" s="13">
        <f t="shared" si="184"/>
        <v>0.18</v>
      </c>
      <c r="BN42" s="230">
        <f t="shared" si="34"/>
        <v>0.40816564528073052</v>
      </c>
      <c r="BO42" s="161">
        <f t="shared" si="185"/>
        <v>2.38</v>
      </c>
      <c r="BP42" s="157">
        <f t="shared" si="36"/>
        <v>2.6186741613653726</v>
      </c>
      <c r="BQ42" s="237"/>
      <c r="BR42" s="13">
        <f t="shared" si="186"/>
        <v>36</v>
      </c>
      <c r="BS42" s="67">
        <f t="shared" si="79"/>
        <v>0</v>
      </c>
      <c r="BT42" s="196">
        <f t="shared" si="87"/>
        <v>0</v>
      </c>
      <c r="BU42" s="50">
        <f t="shared" si="187"/>
        <v>336</v>
      </c>
      <c r="BV42" s="202">
        <f t="shared" si="171"/>
        <v>311</v>
      </c>
      <c r="BW42" s="62">
        <f t="shared" si="126"/>
        <v>25</v>
      </c>
      <c r="BX42" s="52">
        <f t="shared" si="100"/>
        <v>79</v>
      </c>
      <c r="BY42" s="202">
        <f t="shared" si="172"/>
        <v>79</v>
      </c>
      <c r="BZ42" s="62">
        <f t="shared" si="37"/>
        <v>0</v>
      </c>
      <c r="CA42" s="316"/>
      <c r="CB42" s="197"/>
      <c r="CC42" s="8">
        <f t="shared" si="166"/>
        <v>5</v>
      </c>
      <c r="CD42" s="136"/>
      <c r="CE42" s="226"/>
      <c r="CF42" s="32">
        <f t="shared" si="88"/>
        <v>0</v>
      </c>
      <c r="CG42" s="53">
        <f t="shared" si="101"/>
        <v>0</v>
      </c>
      <c r="CH42" s="137"/>
      <c r="CI42" s="138"/>
      <c r="CJ42" s="138"/>
      <c r="CK42" s="34">
        <f t="shared" si="102"/>
        <v>0</v>
      </c>
      <c r="CL42" s="34">
        <f t="shared" si="92"/>
        <v>0</v>
      </c>
      <c r="CM42" s="32">
        <f t="shared" si="188"/>
        <v>0.18</v>
      </c>
      <c r="CN42" s="96">
        <f t="shared" si="39"/>
        <v>0</v>
      </c>
      <c r="CO42" s="36">
        <f t="shared" si="189"/>
        <v>2.38</v>
      </c>
      <c r="CP42" s="156">
        <f t="shared" si="40"/>
        <v>0</v>
      </c>
      <c r="CQ42" s="139"/>
      <c r="CR42" s="32">
        <f t="shared" si="190"/>
        <v>36</v>
      </c>
      <c r="CS42" s="54">
        <f t="shared" si="65"/>
        <v>0</v>
      </c>
      <c r="CT42" s="55">
        <f t="shared" si="66"/>
        <v>0</v>
      </c>
      <c r="CU42" s="56">
        <f t="shared" si="191"/>
        <v>336</v>
      </c>
      <c r="CV42" s="109">
        <f t="shared" si="173"/>
        <v>0</v>
      </c>
      <c r="CW42" s="63">
        <f t="shared" si="127"/>
        <v>336</v>
      </c>
      <c r="CX42" s="65">
        <f t="shared" si="42"/>
        <v>79</v>
      </c>
      <c r="CY42" s="109">
        <f t="shared" si="174"/>
        <v>0</v>
      </c>
      <c r="CZ42" s="63">
        <f t="shared" si="43"/>
        <v>79</v>
      </c>
      <c r="DA42" s="316"/>
      <c r="DB42" s="119"/>
      <c r="DC42" s="95">
        <f t="shared" si="167"/>
        <v>5</v>
      </c>
      <c r="DD42" s="203"/>
      <c r="DE42" s="225"/>
      <c r="DF42" s="13">
        <f t="shared" si="70"/>
        <v>0</v>
      </c>
      <c r="DG42" s="59">
        <f t="shared" si="103"/>
        <v>0</v>
      </c>
      <c r="DH42" s="204"/>
      <c r="DI42" s="205"/>
      <c r="DJ42" s="205"/>
      <c r="DK42" s="31">
        <f t="shared" si="104"/>
        <v>0</v>
      </c>
      <c r="DL42" s="31">
        <f t="shared" si="89"/>
        <v>0</v>
      </c>
      <c r="DM42" s="13">
        <f t="shared" si="192"/>
        <v>0.18</v>
      </c>
      <c r="DN42" s="230">
        <f t="shared" si="45"/>
        <v>0</v>
      </c>
      <c r="DO42" s="161">
        <f t="shared" si="193"/>
        <v>2.38</v>
      </c>
      <c r="DP42" s="157">
        <f t="shared" si="46"/>
        <v>0</v>
      </c>
      <c r="DQ42" s="237"/>
      <c r="DR42" s="13">
        <f t="shared" si="194"/>
        <v>36</v>
      </c>
      <c r="DS42" s="67">
        <f t="shared" si="82"/>
        <v>0</v>
      </c>
      <c r="DT42" s="196">
        <f t="shared" si="71"/>
        <v>0</v>
      </c>
      <c r="DU42" s="50">
        <f t="shared" si="195"/>
        <v>336</v>
      </c>
      <c r="DV42" s="202">
        <f t="shared" si="175"/>
        <v>0</v>
      </c>
      <c r="DW42" s="62">
        <f t="shared" si="128"/>
        <v>336</v>
      </c>
      <c r="DX42" s="52">
        <f t="shared" si="48"/>
        <v>79</v>
      </c>
      <c r="DY42" s="202">
        <f t="shared" si="176"/>
        <v>0</v>
      </c>
      <c r="DZ42" s="62">
        <f t="shared" si="74"/>
        <v>79</v>
      </c>
    </row>
    <row r="43" spans="1:130" x14ac:dyDescent="0.25">
      <c r="B43" s="118">
        <v>5</v>
      </c>
      <c r="C43" s="114">
        <v>6</v>
      </c>
      <c r="D43" s="345">
        <v>10528</v>
      </c>
      <c r="E43" s="224"/>
      <c r="F43" s="101">
        <f t="shared" si="107"/>
        <v>28361</v>
      </c>
      <c r="G43" s="102">
        <f t="shared" si="93"/>
        <v>28359</v>
      </c>
      <c r="H43" s="130"/>
      <c r="I43" s="131">
        <v>2</v>
      </c>
      <c r="J43" s="131"/>
      <c r="K43" s="11">
        <f t="shared" si="94"/>
        <v>2</v>
      </c>
      <c r="L43" s="11">
        <f t="shared" si="90"/>
        <v>9</v>
      </c>
      <c r="M43" s="11">
        <f t="shared" si="22"/>
        <v>0.18</v>
      </c>
      <c r="N43" s="153">
        <f t="shared" si="23"/>
        <v>7.0519375198335746E-2</v>
      </c>
      <c r="O43" s="21">
        <f t="shared" si="24"/>
        <v>2.56</v>
      </c>
      <c r="P43" s="132">
        <f t="shared" si="25"/>
        <v>3.1733718839251086E-2</v>
      </c>
      <c r="Q43" s="158"/>
      <c r="R43" s="18">
        <f t="shared" si="105"/>
        <v>40</v>
      </c>
      <c r="S43" s="43">
        <f t="shared" si="50"/>
        <v>0</v>
      </c>
      <c r="T43" s="44">
        <f t="shared" si="83"/>
        <v>0</v>
      </c>
      <c r="U43" s="195">
        <f t="shared" si="26"/>
        <v>419</v>
      </c>
      <c r="V43" s="131">
        <v>401</v>
      </c>
      <c r="W43" s="41">
        <f t="shared" si="28"/>
        <v>18</v>
      </c>
      <c r="X43" s="58">
        <f t="shared" si="1"/>
        <v>79</v>
      </c>
      <c r="Y43" s="131">
        <v>88</v>
      </c>
      <c r="Z43" s="41">
        <f t="shared" si="29"/>
        <v>-9</v>
      </c>
      <c r="AB43" s="118">
        <v>7</v>
      </c>
      <c r="AC43" s="9">
        <v>6</v>
      </c>
      <c r="AD43" s="129"/>
      <c r="AE43" s="224"/>
      <c r="AF43" s="11">
        <f t="shared" si="95"/>
        <v>92355</v>
      </c>
      <c r="AG43" s="41">
        <f t="shared" si="96"/>
        <v>92344</v>
      </c>
      <c r="AH43" s="130"/>
      <c r="AI43" s="131">
        <v>11</v>
      </c>
      <c r="AJ43" s="131"/>
      <c r="AK43" s="11">
        <f t="shared" si="97"/>
        <v>11</v>
      </c>
      <c r="AL43" s="11">
        <f t="shared" si="84"/>
        <v>2396</v>
      </c>
      <c r="AM43" s="11">
        <f t="shared" si="179"/>
        <v>0.18</v>
      </c>
      <c r="AN43" s="42">
        <f t="shared" si="55"/>
        <v>0.11910562503383683</v>
      </c>
      <c r="AO43" s="21">
        <f t="shared" si="180"/>
        <v>2.56</v>
      </c>
      <c r="AP43" s="165">
        <f t="shared" si="77"/>
        <v>2.5943370689188456</v>
      </c>
      <c r="AQ43" s="158"/>
      <c r="AR43" s="11">
        <f t="shared" si="181"/>
        <v>40</v>
      </c>
      <c r="AS43" s="21">
        <f t="shared" si="91"/>
        <v>0</v>
      </c>
      <c r="AT43" s="303">
        <f t="shared" si="85"/>
        <v>0</v>
      </c>
      <c r="AU43" s="11">
        <f t="shared" si="182"/>
        <v>419</v>
      </c>
      <c r="AV43" s="131">
        <v>409</v>
      </c>
      <c r="AW43" s="41">
        <f t="shared" si="125"/>
        <v>10</v>
      </c>
      <c r="AX43" s="58">
        <f t="shared" si="57"/>
        <v>79</v>
      </c>
      <c r="AY43" s="131">
        <v>89</v>
      </c>
      <c r="AZ43" s="41">
        <f t="shared" si="33"/>
        <v>-10</v>
      </c>
      <c r="BA43" s="316"/>
      <c r="BB43" s="118">
        <v>5</v>
      </c>
      <c r="BC43" s="9">
        <v>6</v>
      </c>
      <c r="BD43" s="129"/>
      <c r="BE43" s="343">
        <v>10528</v>
      </c>
      <c r="BF43" s="11">
        <f t="shared" ref="BF43:BF48" si="196">IFERROR(BG42+BD43-BE43,0)</f>
        <v>160901</v>
      </c>
      <c r="BG43" s="41">
        <f t="shared" si="120"/>
        <v>160850</v>
      </c>
      <c r="BH43" s="130">
        <v>42</v>
      </c>
      <c r="BI43" s="131">
        <v>9</v>
      </c>
      <c r="BJ43" s="131"/>
      <c r="BK43" s="11">
        <f t="shared" si="99"/>
        <v>51</v>
      </c>
      <c r="BL43" s="11">
        <f t="shared" si="86"/>
        <v>4542</v>
      </c>
      <c r="BM43" s="11">
        <f t="shared" si="184"/>
        <v>0.18</v>
      </c>
      <c r="BN43" s="42">
        <f t="shared" si="34"/>
        <v>0.31696509033505077</v>
      </c>
      <c r="BO43" s="21">
        <f t="shared" si="185"/>
        <v>2.56</v>
      </c>
      <c r="BP43" s="165">
        <f t="shared" si="36"/>
        <v>2.8228538045133345</v>
      </c>
      <c r="BQ43" s="158"/>
      <c r="BR43" s="16">
        <f t="shared" si="186"/>
        <v>40</v>
      </c>
      <c r="BS43" s="43">
        <f t="shared" si="79"/>
        <v>0</v>
      </c>
      <c r="BT43" s="44">
        <f t="shared" si="87"/>
        <v>0</v>
      </c>
      <c r="BU43" s="45">
        <f t="shared" si="187"/>
        <v>419</v>
      </c>
      <c r="BV43" s="131">
        <v>401</v>
      </c>
      <c r="BW43" s="41">
        <f t="shared" si="126"/>
        <v>18</v>
      </c>
      <c r="BX43" s="58">
        <f t="shared" si="100"/>
        <v>79</v>
      </c>
      <c r="BY43" s="131">
        <v>88</v>
      </c>
      <c r="BZ43" s="41">
        <f t="shared" si="37"/>
        <v>-9</v>
      </c>
      <c r="CA43" s="316"/>
      <c r="CB43" s="198"/>
      <c r="CC43" s="38">
        <v>6</v>
      </c>
      <c r="CD43" s="143"/>
      <c r="CE43" s="227"/>
      <c r="CF43" s="17">
        <f t="shared" si="88"/>
        <v>0</v>
      </c>
      <c r="CG43" s="71">
        <f t="shared" si="101"/>
        <v>0</v>
      </c>
      <c r="CH43" s="144"/>
      <c r="CI43" s="141"/>
      <c r="CJ43" s="141"/>
      <c r="CK43" s="17">
        <f t="shared" si="102"/>
        <v>0</v>
      </c>
      <c r="CL43" s="17">
        <f t="shared" si="92"/>
        <v>0</v>
      </c>
      <c r="CM43" s="17">
        <f t="shared" si="188"/>
        <v>0.18</v>
      </c>
      <c r="CN43" s="235">
        <f t="shared" si="39"/>
        <v>0</v>
      </c>
      <c r="CO43" s="33">
        <f t="shared" si="189"/>
        <v>2.56</v>
      </c>
      <c r="CP43" s="210">
        <f t="shared" si="40"/>
        <v>0</v>
      </c>
      <c r="CQ43" s="145"/>
      <c r="CR43" s="31">
        <f t="shared" si="190"/>
        <v>40</v>
      </c>
      <c r="CS43" s="60">
        <f t="shared" si="65"/>
        <v>0</v>
      </c>
      <c r="CT43" s="72">
        <f t="shared" si="66"/>
        <v>0</v>
      </c>
      <c r="CU43" s="52">
        <f t="shared" si="191"/>
        <v>419</v>
      </c>
      <c r="CV43" s="141"/>
      <c r="CW43" s="71">
        <f t="shared" si="127"/>
        <v>419</v>
      </c>
      <c r="CX43" s="61">
        <f t="shared" si="42"/>
        <v>79</v>
      </c>
      <c r="CY43" s="141"/>
      <c r="CZ43" s="71">
        <f t="shared" si="43"/>
        <v>79</v>
      </c>
      <c r="DA43" s="316"/>
      <c r="DB43" s="118"/>
      <c r="DC43" s="9">
        <v>6</v>
      </c>
      <c r="DD43" s="129"/>
      <c r="DE43" s="224"/>
      <c r="DF43" s="11">
        <f t="shared" si="70"/>
        <v>0</v>
      </c>
      <c r="DG43" s="41">
        <f t="shared" si="103"/>
        <v>0</v>
      </c>
      <c r="DH43" s="130"/>
      <c r="DI43" s="131"/>
      <c r="DJ43" s="131"/>
      <c r="DK43" s="11">
        <f t="shared" si="104"/>
        <v>0</v>
      </c>
      <c r="DL43" s="11">
        <f t="shared" si="89"/>
        <v>0</v>
      </c>
      <c r="DM43" s="11">
        <f t="shared" si="192"/>
        <v>0.18</v>
      </c>
      <c r="DN43" s="42">
        <f t="shared" si="45"/>
        <v>0</v>
      </c>
      <c r="DO43" s="21">
        <f t="shared" si="193"/>
        <v>2.56</v>
      </c>
      <c r="DP43" s="165">
        <f t="shared" si="46"/>
        <v>0</v>
      </c>
      <c r="DQ43" s="158"/>
      <c r="DR43" s="16">
        <f t="shared" si="194"/>
        <v>40</v>
      </c>
      <c r="DS43" s="43">
        <f t="shared" si="82"/>
        <v>0</v>
      </c>
      <c r="DT43" s="44">
        <f t="shared" si="71"/>
        <v>0</v>
      </c>
      <c r="DU43" s="45">
        <f t="shared" si="195"/>
        <v>419</v>
      </c>
      <c r="DV43" s="131"/>
      <c r="DW43" s="41">
        <f t="shared" si="128"/>
        <v>419</v>
      </c>
      <c r="DX43" s="58">
        <f t="shared" si="48"/>
        <v>79</v>
      </c>
      <c r="DY43" s="131"/>
      <c r="DZ43" s="41">
        <f t="shared" si="74"/>
        <v>79</v>
      </c>
    </row>
    <row r="44" spans="1:130" x14ac:dyDescent="0.25">
      <c r="B44" s="120">
        <f>B43+1</f>
        <v>6</v>
      </c>
      <c r="C44" s="115">
        <f>C43</f>
        <v>6</v>
      </c>
      <c r="D44" s="215">
        <v>12864</v>
      </c>
      <c r="E44" s="221"/>
      <c r="F44" s="103">
        <f t="shared" si="107"/>
        <v>41223</v>
      </c>
      <c r="G44" s="108">
        <f t="shared" si="93"/>
        <v>41221</v>
      </c>
      <c r="H44" s="134"/>
      <c r="I44" s="135">
        <v>2</v>
      </c>
      <c r="J44" s="135"/>
      <c r="K44" s="14">
        <f t="shared" si="94"/>
        <v>2</v>
      </c>
      <c r="L44" s="14">
        <f t="shared" si="90"/>
        <v>11</v>
      </c>
      <c r="M44" s="14">
        <f t="shared" si="22"/>
        <v>0.18</v>
      </c>
      <c r="N44" s="47">
        <f t="shared" si="23"/>
        <v>4.8516604807995536E-2</v>
      </c>
      <c r="O44" s="35">
        <f t="shared" si="24"/>
        <v>2.56</v>
      </c>
      <c r="P44" s="159">
        <f t="shared" si="25"/>
        <v>2.6684132644397545E-2</v>
      </c>
      <c r="Q44" s="142"/>
      <c r="R44" s="13">
        <f t="shared" si="105"/>
        <v>40</v>
      </c>
      <c r="S44" s="48">
        <f t="shared" si="50"/>
        <v>0</v>
      </c>
      <c r="T44" s="49">
        <f t="shared" si="83"/>
        <v>0</v>
      </c>
      <c r="U44" s="160">
        <f t="shared" si="26"/>
        <v>419</v>
      </c>
      <c r="V44" s="103">
        <f>V43</f>
        <v>401</v>
      </c>
      <c r="W44" s="46">
        <f t="shared" si="28"/>
        <v>18</v>
      </c>
      <c r="X44" s="51">
        <f t="shared" si="1"/>
        <v>79</v>
      </c>
      <c r="Y44" s="103">
        <f>Y43</f>
        <v>88</v>
      </c>
      <c r="Z44" s="46">
        <f t="shared" si="29"/>
        <v>-9</v>
      </c>
      <c r="AB44" s="120">
        <f>AB43+1</f>
        <v>8</v>
      </c>
      <c r="AC44" s="7">
        <f>AC43</f>
        <v>6</v>
      </c>
      <c r="AD44" s="133"/>
      <c r="AE44" s="221"/>
      <c r="AF44" s="14">
        <f t="shared" si="95"/>
        <v>92344</v>
      </c>
      <c r="AG44" s="62">
        <f t="shared" si="96"/>
        <v>92336</v>
      </c>
      <c r="AH44" s="134"/>
      <c r="AI44" s="135">
        <v>8</v>
      </c>
      <c r="AJ44" s="135"/>
      <c r="AK44" s="14">
        <f t="shared" si="97"/>
        <v>8</v>
      </c>
      <c r="AL44" s="14">
        <f t="shared" si="84"/>
        <v>2404</v>
      </c>
      <c r="AM44" s="14">
        <f t="shared" si="179"/>
        <v>0.18</v>
      </c>
      <c r="AN44" s="231">
        <f t="shared" si="55"/>
        <v>8.6632591180802215E-2</v>
      </c>
      <c r="AO44" s="37">
        <f t="shared" si="180"/>
        <v>2.56</v>
      </c>
      <c r="AP44" s="155">
        <f t="shared" si="77"/>
        <v>2.6033093649831067</v>
      </c>
      <c r="AQ44" s="142"/>
      <c r="AR44" s="14">
        <f t="shared" si="181"/>
        <v>40</v>
      </c>
      <c r="AS44" s="35">
        <f t="shared" si="91"/>
        <v>0</v>
      </c>
      <c r="AT44" s="301">
        <f t="shared" si="85"/>
        <v>0</v>
      </c>
      <c r="AU44" s="14">
        <f t="shared" si="182"/>
        <v>419</v>
      </c>
      <c r="AV44" s="103">
        <f>AV43</f>
        <v>409</v>
      </c>
      <c r="AW44" s="46">
        <f t="shared" si="125"/>
        <v>10</v>
      </c>
      <c r="AX44" s="51">
        <f t="shared" si="57"/>
        <v>79</v>
      </c>
      <c r="AY44" s="103">
        <f>AY43</f>
        <v>89</v>
      </c>
      <c r="AZ44" s="46">
        <f t="shared" si="33"/>
        <v>-10</v>
      </c>
      <c r="BA44" s="316"/>
      <c r="BB44" s="120">
        <f>BB43+1</f>
        <v>6</v>
      </c>
      <c r="BC44" s="7">
        <f>BC43</f>
        <v>6</v>
      </c>
      <c r="BD44" s="133"/>
      <c r="BE44" s="228">
        <v>12864</v>
      </c>
      <c r="BF44" s="14">
        <f t="shared" si="196"/>
        <v>147986</v>
      </c>
      <c r="BG44" s="62">
        <f t="shared" si="120"/>
        <v>147879</v>
      </c>
      <c r="BH44" s="134">
        <v>82</v>
      </c>
      <c r="BI44" s="135">
        <v>25</v>
      </c>
      <c r="BJ44" s="135"/>
      <c r="BK44" s="14">
        <f t="shared" si="99"/>
        <v>107</v>
      </c>
      <c r="BL44" s="14">
        <f t="shared" si="86"/>
        <v>4649</v>
      </c>
      <c r="BM44" s="14">
        <f t="shared" si="184"/>
        <v>0.18</v>
      </c>
      <c r="BN44" s="47">
        <f t="shared" si="34"/>
        <v>0.72304136877812764</v>
      </c>
      <c r="BO44" s="35">
        <f t="shared" si="185"/>
        <v>2.56</v>
      </c>
      <c r="BP44" s="159">
        <f t="shared" si="36"/>
        <v>3.1415133864014164</v>
      </c>
      <c r="BQ44" s="142"/>
      <c r="BR44" s="13">
        <f t="shared" si="186"/>
        <v>40</v>
      </c>
      <c r="BS44" s="48">
        <f t="shared" si="79"/>
        <v>0</v>
      </c>
      <c r="BT44" s="49">
        <f t="shared" si="87"/>
        <v>0</v>
      </c>
      <c r="BU44" s="50">
        <f t="shared" si="187"/>
        <v>419</v>
      </c>
      <c r="BV44" s="103">
        <f>BV43</f>
        <v>401</v>
      </c>
      <c r="BW44" s="46">
        <f t="shared" si="126"/>
        <v>18</v>
      </c>
      <c r="BX44" s="51">
        <f t="shared" si="100"/>
        <v>79</v>
      </c>
      <c r="BY44" s="103">
        <f>BY43</f>
        <v>88</v>
      </c>
      <c r="BZ44" s="46">
        <f t="shared" si="37"/>
        <v>-9</v>
      </c>
      <c r="CA44" s="316"/>
      <c r="CB44" s="120"/>
      <c r="CC44" s="7">
        <f>CC43</f>
        <v>6</v>
      </c>
      <c r="CD44" s="133"/>
      <c r="CE44" s="221"/>
      <c r="CF44" s="14">
        <f t="shared" si="88"/>
        <v>0</v>
      </c>
      <c r="CG44" s="62">
        <f t="shared" si="101"/>
        <v>0</v>
      </c>
      <c r="CH44" s="134"/>
      <c r="CI44" s="135"/>
      <c r="CJ44" s="135"/>
      <c r="CK44" s="14">
        <f t="shared" si="102"/>
        <v>0</v>
      </c>
      <c r="CL44" s="14">
        <f t="shared" si="92"/>
        <v>0</v>
      </c>
      <c r="CM44" s="14">
        <f t="shared" si="188"/>
        <v>0.18</v>
      </c>
      <c r="CN44" s="47">
        <f t="shared" si="39"/>
        <v>0</v>
      </c>
      <c r="CO44" s="35">
        <f t="shared" si="189"/>
        <v>2.56</v>
      </c>
      <c r="CP44" s="159">
        <f t="shared" si="40"/>
        <v>0</v>
      </c>
      <c r="CQ44" s="142"/>
      <c r="CR44" s="13">
        <f t="shared" si="190"/>
        <v>40</v>
      </c>
      <c r="CS44" s="48">
        <f t="shared" si="65"/>
        <v>0</v>
      </c>
      <c r="CT44" s="49">
        <f t="shared" si="66"/>
        <v>0</v>
      </c>
      <c r="CU44" s="50">
        <f t="shared" si="191"/>
        <v>419</v>
      </c>
      <c r="CV44" s="103">
        <f>CV43</f>
        <v>0</v>
      </c>
      <c r="CW44" s="46">
        <f t="shared" si="127"/>
        <v>419</v>
      </c>
      <c r="CX44" s="51">
        <f t="shared" si="42"/>
        <v>79</v>
      </c>
      <c r="CY44" s="103">
        <f>CY43</f>
        <v>0</v>
      </c>
      <c r="CZ44" s="46">
        <f t="shared" si="43"/>
        <v>79</v>
      </c>
      <c r="DA44" s="316"/>
      <c r="DB44" s="120"/>
      <c r="DC44" s="7">
        <f>DC43</f>
        <v>6</v>
      </c>
      <c r="DD44" s="133"/>
      <c r="DE44" s="221"/>
      <c r="DF44" s="14">
        <f t="shared" si="70"/>
        <v>0</v>
      </c>
      <c r="DG44" s="62">
        <f t="shared" si="103"/>
        <v>0</v>
      </c>
      <c r="DH44" s="134"/>
      <c r="DI44" s="135"/>
      <c r="DJ44" s="135"/>
      <c r="DK44" s="14">
        <f t="shared" si="104"/>
        <v>0</v>
      </c>
      <c r="DL44" s="14">
        <f t="shared" si="89"/>
        <v>0</v>
      </c>
      <c r="DM44" s="14">
        <f t="shared" si="192"/>
        <v>0.18</v>
      </c>
      <c r="DN44" s="47">
        <f t="shared" si="45"/>
        <v>0</v>
      </c>
      <c r="DO44" s="35">
        <f t="shared" si="193"/>
        <v>2.56</v>
      </c>
      <c r="DP44" s="159">
        <f t="shared" si="46"/>
        <v>0</v>
      </c>
      <c r="DQ44" s="142"/>
      <c r="DR44" s="13">
        <f t="shared" si="194"/>
        <v>40</v>
      </c>
      <c r="DS44" s="48">
        <f t="shared" si="82"/>
        <v>0</v>
      </c>
      <c r="DT44" s="49">
        <f t="shared" si="71"/>
        <v>0</v>
      </c>
      <c r="DU44" s="50">
        <f t="shared" si="195"/>
        <v>419</v>
      </c>
      <c r="DV44" s="103">
        <f>DV43</f>
        <v>0</v>
      </c>
      <c r="DW44" s="46">
        <f t="shared" si="128"/>
        <v>419</v>
      </c>
      <c r="DX44" s="51">
        <f t="shared" si="48"/>
        <v>79</v>
      </c>
      <c r="DY44" s="103">
        <f>DY43</f>
        <v>0</v>
      </c>
      <c r="DZ44" s="46">
        <f t="shared" si="74"/>
        <v>79</v>
      </c>
    </row>
    <row r="45" spans="1:130" x14ac:dyDescent="0.25">
      <c r="B45" s="120">
        <f t="shared" ref="B45:B48" si="197">B44+1</f>
        <v>7</v>
      </c>
      <c r="C45" s="115">
        <f t="shared" ref="C45:C49" si="198">C44</f>
        <v>6</v>
      </c>
      <c r="D45" s="133"/>
      <c r="E45" s="221"/>
      <c r="F45" s="103">
        <f>IFERROR(G44+D45,0)</f>
        <v>41221</v>
      </c>
      <c r="G45" s="107">
        <f t="shared" si="93"/>
        <v>41218</v>
      </c>
      <c r="H45" s="134"/>
      <c r="I45" s="135">
        <v>3</v>
      </c>
      <c r="J45" s="135"/>
      <c r="K45" s="14">
        <f t="shared" si="94"/>
        <v>3</v>
      </c>
      <c r="L45" s="14">
        <f t="shared" si="90"/>
        <v>14</v>
      </c>
      <c r="M45" s="14">
        <f t="shared" si="22"/>
        <v>0.18</v>
      </c>
      <c r="N45" s="47">
        <f t="shared" si="23"/>
        <v>7.277843817471677E-2</v>
      </c>
      <c r="O45" s="35">
        <f t="shared" si="24"/>
        <v>2.56</v>
      </c>
      <c r="P45" s="155">
        <f t="shared" si="25"/>
        <v>3.3963271148201163E-2</v>
      </c>
      <c r="Q45" s="142"/>
      <c r="R45" s="13">
        <f t="shared" si="105"/>
        <v>40</v>
      </c>
      <c r="S45" s="48">
        <f t="shared" si="50"/>
        <v>0</v>
      </c>
      <c r="T45" s="49">
        <f t="shared" si="83"/>
        <v>0</v>
      </c>
      <c r="U45" s="160">
        <f t="shared" si="26"/>
        <v>419</v>
      </c>
      <c r="V45" s="103">
        <f t="shared" ref="V45:V49" si="199">V44</f>
        <v>401</v>
      </c>
      <c r="W45" s="46">
        <f t="shared" si="28"/>
        <v>18</v>
      </c>
      <c r="X45" s="51">
        <f t="shared" si="1"/>
        <v>79</v>
      </c>
      <c r="Y45" s="103">
        <f t="shared" ref="Y45:Y49" si="200">Y44</f>
        <v>88</v>
      </c>
      <c r="Z45" s="46">
        <f t="shared" si="29"/>
        <v>-9</v>
      </c>
      <c r="AB45" s="120">
        <f t="shared" ref="AB45:AB49" si="201">AB44+1</f>
        <v>9</v>
      </c>
      <c r="AC45" s="7">
        <f t="shared" ref="AC45:AC49" si="202">AC44</f>
        <v>6</v>
      </c>
      <c r="AD45" s="133"/>
      <c r="AE45" s="221"/>
      <c r="AF45" s="14">
        <f t="shared" si="95"/>
        <v>92336</v>
      </c>
      <c r="AG45" s="59">
        <f t="shared" si="96"/>
        <v>92330</v>
      </c>
      <c r="AH45" s="134"/>
      <c r="AI45" s="135">
        <v>6</v>
      </c>
      <c r="AJ45" s="135"/>
      <c r="AK45" s="14">
        <f t="shared" si="97"/>
        <v>6</v>
      </c>
      <c r="AL45" s="14">
        <f t="shared" si="84"/>
        <v>2410</v>
      </c>
      <c r="AM45" s="14">
        <f t="shared" si="179"/>
        <v>0.18</v>
      </c>
      <c r="AN45" s="47">
        <f t="shared" si="55"/>
        <v>6.4980072777681516E-2</v>
      </c>
      <c r="AO45" s="35">
        <f t="shared" si="180"/>
        <v>2.56</v>
      </c>
      <c r="AP45" s="159">
        <f t="shared" si="77"/>
        <v>2.610032923236874</v>
      </c>
      <c r="AQ45" s="142"/>
      <c r="AR45" s="14">
        <f t="shared" si="181"/>
        <v>40</v>
      </c>
      <c r="AS45" s="35">
        <f t="shared" si="91"/>
        <v>0</v>
      </c>
      <c r="AT45" s="301">
        <f t="shared" si="85"/>
        <v>0</v>
      </c>
      <c r="AU45" s="14">
        <f t="shared" si="182"/>
        <v>419</v>
      </c>
      <c r="AV45" s="103">
        <f t="shared" ref="AV45:AV49" si="203">AV44</f>
        <v>409</v>
      </c>
      <c r="AW45" s="46">
        <f t="shared" si="125"/>
        <v>10</v>
      </c>
      <c r="AX45" s="51">
        <f t="shared" si="57"/>
        <v>79</v>
      </c>
      <c r="AY45" s="103">
        <f t="shared" ref="AY45:AY49" si="204">AY44</f>
        <v>89</v>
      </c>
      <c r="AZ45" s="46">
        <f t="shared" si="33"/>
        <v>-10</v>
      </c>
      <c r="BA45" s="316"/>
      <c r="BB45" s="120">
        <f t="shared" ref="BB45:BB49" si="205">BB44+1</f>
        <v>7</v>
      </c>
      <c r="BC45" s="7">
        <f t="shared" ref="BC45:BC49" si="206">BC44</f>
        <v>6</v>
      </c>
      <c r="BD45" s="133"/>
      <c r="BE45" s="228">
        <v>8000</v>
      </c>
      <c r="BF45" s="14">
        <f t="shared" si="196"/>
        <v>139879</v>
      </c>
      <c r="BG45" s="59">
        <f t="shared" si="120"/>
        <v>139813</v>
      </c>
      <c r="BH45" s="134">
        <v>58</v>
      </c>
      <c r="BI45" s="135">
        <v>8</v>
      </c>
      <c r="BJ45" s="135"/>
      <c r="BK45" s="14">
        <f t="shared" si="99"/>
        <v>66</v>
      </c>
      <c r="BL45" s="14">
        <f t="shared" si="86"/>
        <v>4715</v>
      </c>
      <c r="BM45" s="14">
        <f t="shared" si="184"/>
        <v>0.18</v>
      </c>
      <c r="BN45" s="47">
        <f t="shared" si="34"/>
        <v>0.47183637286511915</v>
      </c>
      <c r="BO45" s="35">
        <f t="shared" si="185"/>
        <v>2.56</v>
      </c>
      <c r="BP45" s="159">
        <f t="shared" si="36"/>
        <v>3.3707704516046011</v>
      </c>
      <c r="BQ45" s="142"/>
      <c r="BR45" s="13">
        <f t="shared" si="186"/>
        <v>40</v>
      </c>
      <c r="BS45" s="48">
        <f t="shared" si="79"/>
        <v>0</v>
      </c>
      <c r="BT45" s="49">
        <f t="shared" si="87"/>
        <v>0</v>
      </c>
      <c r="BU45" s="50">
        <f t="shared" si="187"/>
        <v>419</v>
      </c>
      <c r="BV45" s="103">
        <f t="shared" ref="BV45:BV49" si="207">BV44</f>
        <v>401</v>
      </c>
      <c r="BW45" s="46">
        <f t="shared" si="126"/>
        <v>18</v>
      </c>
      <c r="BX45" s="51">
        <f t="shared" si="100"/>
        <v>79</v>
      </c>
      <c r="BY45" s="103">
        <f t="shared" ref="BY45:BY49" si="208">BY44</f>
        <v>88</v>
      </c>
      <c r="BZ45" s="46">
        <f t="shared" si="37"/>
        <v>-9</v>
      </c>
      <c r="CA45" s="316"/>
      <c r="CB45" s="120"/>
      <c r="CC45" s="7">
        <f t="shared" ref="CC45:CC49" si="209">CC44</f>
        <v>6</v>
      </c>
      <c r="CD45" s="133"/>
      <c r="CE45" s="221"/>
      <c r="CF45" s="14">
        <f t="shared" si="88"/>
        <v>0</v>
      </c>
      <c r="CG45" s="59">
        <f t="shared" si="101"/>
        <v>0</v>
      </c>
      <c r="CH45" s="134"/>
      <c r="CI45" s="135"/>
      <c r="CJ45" s="135"/>
      <c r="CK45" s="14">
        <f t="shared" si="102"/>
        <v>0</v>
      </c>
      <c r="CL45" s="14">
        <f t="shared" si="92"/>
        <v>0</v>
      </c>
      <c r="CM45" s="14">
        <f t="shared" si="188"/>
        <v>0.18</v>
      </c>
      <c r="CN45" s="231">
        <f t="shared" si="39"/>
        <v>0</v>
      </c>
      <c r="CO45" s="37">
        <f t="shared" si="189"/>
        <v>2.56</v>
      </c>
      <c r="CP45" s="155">
        <f t="shared" si="40"/>
        <v>0</v>
      </c>
      <c r="CQ45" s="142"/>
      <c r="CR45" s="13">
        <f t="shared" si="190"/>
        <v>40</v>
      </c>
      <c r="CS45" s="48">
        <f t="shared" si="65"/>
        <v>0</v>
      </c>
      <c r="CT45" s="49">
        <f t="shared" si="66"/>
        <v>0</v>
      </c>
      <c r="CU45" s="50">
        <f t="shared" si="191"/>
        <v>419</v>
      </c>
      <c r="CV45" s="103">
        <f t="shared" ref="CV45:CV49" si="210">CV44</f>
        <v>0</v>
      </c>
      <c r="CW45" s="46">
        <f t="shared" si="127"/>
        <v>419</v>
      </c>
      <c r="CX45" s="51">
        <f t="shared" si="42"/>
        <v>79</v>
      </c>
      <c r="CY45" s="103">
        <f t="shared" ref="CY45:CY49" si="211">CY44</f>
        <v>0</v>
      </c>
      <c r="CZ45" s="46">
        <f t="shared" si="43"/>
        <v>79</v>
      </c>
      <c r="DA45" s="316"/>
      <c r="DB45" s="120"/>
      <c r="DC45" s="7">
        <f t="shared" ref="DC45:DC49" si="212">DC44</f>
        <v>6</v>
      </c>
      <c r="DD45" s="133"/>
      <c r="DE45" s="221"/>
      <c r="DF45" s="14">
        <f t="shared" si="70"/>
        <v>0</v>
      </c>
      <c r="DG45" s="59">
        <f t="shared" si="103"/>
        <v>0</v>
      </c>
      <c r="DH45" s="134"/>
      <c r="DI45" s="135"/>
      <c r="DJ45" s="135"/>
      <c r="DK45" s="14">
        <f t="shared" si="104"/>
        <v>0</v>
      </c>
      <c r="DL45" s="14">
        <f t="shared" si="89"/>
        <v>0</v>
      </c>
      <c r="DM45" s="14">
        <f t="shared" si="192"/>
        <v>0.18</v>
      </c>
      <c r="DN45" s="47">
        <f t="shared" si="45"/>
        <v>0</v>
      </c>
      <c r="DO45" s="35">
        <f t="shared" si="193"/>
        <v>2.56</v>
      </c>
      <c r="DP45" s="159">
        <f t="shared" si="46"/>
        <v>0</v>
      </c>
      <c r="DQ45" s="142"/>
      <c r="DR45" s="13">
        <f t="shared" si="194"/>
        <v>40</v>
      </c>
      <c r="DS45" s="48">
        <f t="shared" si="82"/>
        <v>0</v>
      </c>
      <c r="DT45" s="49">
        <f t="shared" si="71"/>
        <v>0</v>
      </c>
      <c r="DU45" s="50">
        <f t="shared" si="195"/>
        <v>419</v>
      </c>
      <c r="DV45" s="103">
        <f t="shared" ref="DV45:DV49" si="213">DV44</f>
        <v>0</v>
      </c>
      <c r="DW45" s="46">
        <f t="shared" si="128"/>
        <v>419</v>
      </c>
      <c r="DX45" s="51">
        <f t="shared" si="48"/>
        <v>79</v>
      </c>
      <c r="DY45" s="103">
        <f t="shared" ref="DY45:DY49" si="214">DY44</f>
        <v>0</v>
      </c>
      <c r="DZ45" s="46">
        <f t="shared" si="74"/>
        <v>79</v>
      </c>
    </row>
    <row r="46" spans="1:130" x14ac:dyDescent="0.25">
      <c r="B46" s="120">
        <f t="shared" si="197"/>
        <v>8</v>
      </c>
      <c r="C46" s="115">
        <f t="shared" si="198"/>
        <v>6</v>
      </c>
      <c r="D46" s="215">
        <v>8000</v>
      </c>
      <c r="E46" s="221"/>
      <c r="F46" s="103">
        <f>IFERROR(G45+D46,0)</f>
        <v>49218</v>
      </c>
      <c r="G46" s="107">
        <f t="shared" si="93"/>
        <v>49217</v>
      </c>
      <c r="H46" s="134"/>
      <c r="I46" s="135">
        <v>1</v>
      </c>
      <c r="J46" s="135"/>
      <c r="K46" s="14">
        <f t="shared" si="94"/>
        <v>1</v>
      </c>
      <c r="L46" s="14">
        <f t="shared" si="90"/>
        <v>15</v>
      </c>
      <c r="M46" s="14">
        <f t="shared" si="22"/>
        <v>0.18</v>
      </c>
      <c r="N46" s="47">
        <f t="shared" si="23"/>
        <v>2.0317769921573407E-2</v>
      </c>
      <c r="O46" s="35">
        <f t="shared" si="24"/>
        <v>2.56</v>
      </c>
      <c r="P46" s="157">
        <f t="shared" si="25"/>
        <v>3.0476654882360111E-2</v>
      </c>
      <c r="Q46" s="142"/>
      <c r="R46" s="14">
        <f t="shared" si="105"/>
        <v>40</v>
      </c>
      <c r="S46" s="48">
        <f t="shared" si="50"/>
        <v>0</v>
      </c>
      <c r="T46" s="49">
        <f t="shared" si="83"/>
        <v>0</v>
      </c>
      <c r="U46" s="160">
        <f t="shared" si="26"/>
        <v>419</v>
      </c>
      <c r="V46" s="103">
        <f t="shared" si="199"/>
        <v>401</v>
      </c>
      <c r="W46" s="46">
        <f t="shared" si="28"/>
        <v>18</v>
      </c>
      <c r="X46" s="51">
        <f t="shared" si="1"/>
        <v>79</v>
      </c>
      <c r="Y46" s="103">
        <f t="shared" si="200"/>
        <v>88</v>
      </c>
      <c r="Z46" s="46">
        <f t="shared" si="29"/>
        <v>-9</v>
      </c>
      <c r="AB46" s="120">
        <f t="shared" si="201"/>
        <v>10</v>
      </c>
      <c r="AC46" s="7">
        <f t="shared" si="202"/>
        <v>6</v>
      </c>
      <c r="AD46" s="133"/>
      <c r="AE46" s="221"/>
      <c r="AF46" s="14">
        <f t="shared" si="95"/>
        <v>92330</v>
      </c>
      <c r="AG46" s="59">
        <f t="shared" si="96"/>
        <v>92324</v>
      </c>
      <c r="AH46" s="134"/>
      <c r="AI46" s="135">
        <v>6</v>
      </c>
      <c r="AJ46" s="135"/>
      <c r="AK46" s="14">
        <f t="shared" si="97"/>
        <v>6</v>
      </c>
      <c r="AL46" s="14">
        <f t="shared" si="84"/>
        <v>2416</v>
      </c>
      <c r="AM46" s="14">
        <f t="shared" si="179"/>
        <v>0.18</v>
      </c>
      <c r="AN46" s="47">
        <f t="shared" si="55"/>
        <v>6.4984295461930033E-2</v>
      </c>
      <c r="AO46" s="35">
        <f t="shared" si="180"/>
        <v>2.56</v>
      </c>
      <c r="AP46" s="159">
        <f t="shared" si="77"/>
        <v>2.6167009639337162</v>
      </c>
      <c r="AQ46" s="142"/>
      <c r="AR46" s="14">
        <f t="shared" si="181"/>
        <v>40</v>
      </c>
      <c r="AS46" s="35">
        <f t="shared" si="91"/>
        <v>0</v>
      </c>
      <c r="AT46" s="301">
        <f t="shared" si="85"/>
        <v>0</v>
      </c>
      <c r="AU46" s="14">
        <f t="shared" si="182"/>
        <v>419</v>
      </c>
      <c r="AV46" s="103">
        <f t="shared" si="203"/>
        <v>409</v>
      </c>
      <c r="AW46" s="46">
        <f t="shared" si="125"/>
        <v>10</v>
      </c>
      <c r="AX46" s="51">
        <f t="shared" si="57"/>
        <v>79</v>
      </c>
      <c r="AY46" s="103">
        <f t="shared" si="204"/>
        <v>89</v>
      </c>
      <c r="AZ46" s="46">
        <f t="shared" si="33"/>
        <v>-10</v>
      </c>
      <c r="BA46" s="316"/>
      <c r="BB46" s="120">
        <f t="shared" si="205"/>
        <v>8</v>
      </c>
      <c r="BC46" s="7">
        <f t="shared" si="206"/>
        <v>6</v>
      </c>
      <c r="BD46" s="133"/>
      <c r="BE46" s="228">
        <v>6800</v>
      </c>
      <c r="BF46" s="14">
        <f t="shared" si="196"/>
        <v>133013</v>
      </c>
      <c r="BG46" s="59">
        <f>IFERROR(BF46-BK46,0)</f>
        <v>132963</v>
      </c>
      <c r="BH46" s="134">
        <v>42</v>
      </c>
      <c r="BI46" s="135">
        <v>8</v>
      </c>
      <c r="BJ46" s="135"/>
      <c r="BK46" s="14">
        <f t="shared" si="99"/>
        <v>50</v>
      </c>
      <c r="BL46" s="14">
        <f t="shared" si="86"/>
        <v>4765</v>
      </c>
      <c r="BM46" s="14">
        <f t="shared" si="184"/>
        <v>0.18</v>
      </c>
      <c r="BN46" s="47">
        <f t="shared" si="34"/>
        <v>0.37590310721508424</v>
      </c>
      <c r="BO46" s="35">
        <f t="shared" si="185"/>
        <v>2.56</v>
      </c>
      <c r="BP46" s="159">
        <f t="shared" si="36"/>
        <v>3.582356611759753</v>
      </c>
      <c r="BQ46" s="142"/>
      <c r="BR46" s="13">
        <f t="shared" si="186"/>
        <v>40</v>
      </c>
      <c r="BS46" s="48">
        <f t="shared" si="79"/>
        <v>0</v>
      </c>
      <c r="BT46" s="49">
        <f t="shared" si="87"/>
        <v>0</v>
      </c>
      <c r="BU46" s="50">
        <f t="shared" si="187"/>
        <v>419</v>
      </c>
      <c r="BV46" s="103">
        <f t="shared" si="207"/>
        <v>401</v>
      </c>
      <c r="BW46" s="46">
        <f t="shared" si="126"/>
        <v>18</v>
      </c>
      <c r="BX46" s="51">
        <f t="shared" si="100"/>
        <v>79</v>
      </c>
      <c r="BY46" s="103">
        <f t="shared" si="208"/>
        <v>88</v>
      </c>
      <c r="BZ46" s="46">
        <f t="shared" si="37"/>
        <v>-9</v>
      </c>
      <c r="CA46" s="316"/>
      <c r="CB46" s="120"/>
      <c r="CC46" s="7">
        <f t="shared" si="209"/>
        <v>6</v>
      </c>
      <c r="CD46" s="133"/>
      <c r="CE46" s="221"/>
      <c r="CF46" s="14">
        <f t="shared" si="88"/>
        <v>0</v>
      </c>
      <c r="CG46" s="59">
        <f t="shared" si="101"/>
        <v>0</v>
      </c>
      <c r="CH46" s="134"/>
      <c r="CI46" s="135"/>
      <c r="CJ46" s="135"/>
      <c r="CK46" s="14">
        <f t="shared" si="102"/>
        <v>0</v>
      </c>
      <c r="CL46" s="14">
        <f t="shared" si="92"/>
        <v>0</v>
      </c>
      <c r="CM46" s="14">
        <f t="shared" si="188"/>
        <v>0.18</v>
      </c>
      <c r="CN46" s="47">
        <f t="shared" si="39"/>
        <v>0</v>
      </c>
      <c r="CO46" s="35">
        <f t="shared" si="189"/>
        <v>2.56</v>
      </c>
      <c r="CP46" s="159">
        <f t="shared" si="40"/>
        <v>0</v>
      </c>
      <c r="CQ46" s="142"/>
      <c r="CR46" s="13">
        <f t="shared" si="190"/>
        <v>40</v>
      </c>
      <c r="CS46" s="48">
        <f t="shared" si="65"/>
        <v>0</v>
      </c>
      <c r="CT46" s="49">
        <f t="shared" si="66"/>
        <v>0</v>
      </c>
      <c r="CU46" s="50">
        <f t="shared" si="191"/>
        <v>419</v>
      </c>
      <c r="CV46" s="103">
        <f t="shared" si="210"/>
        <v>0</v>
      </c>
      <c r="CW46" s="46">
        <f t="shared" si="127"/>
        <v>419</v>
      </c>
      <c r="CX46" s="51">
        <f t="shared" si="42"/>
        <v>79</v>
      </c>
      <c r="CY46" s="103">
        <f t="shared" si="211"/>
        <v>0</v>
      </c>
      <c r="CZ46" s="46">
        <f t="shared" si="43"/>
        <v>79</v>
      </c>
      <c r="DA46" s="316"/>
      <c r="DB46" s="120"/>
      <c r="DC46" s="7">
        <f t="shared" si="212"/>
        <v>6</v>
      </c>
      <c r="DD46" s="133"/>
      <c r="DE46" s="221"/>
      <c r="DF46" s="14">
        <f t="shared" si="70"/>
        <v>0</v>
      </c>
      <c r="DG46" s="59">
        <f t="shared" si="103"/>
        <v>0</v>
      </c>
      <c r="DH46" s="134"/>
      <c r="DI46" s="135"/>
      <c r="DJ46" s="135"/>
      <c r="DK46" s="14">
        <f t="shared" si="104"/>
        <v>0</v>
      </c>
      <c r="DL46" s="14">
        <f t="shared" si="89"/>
        <v>0</v>
      </c>
      <c r="DM46" s="14">
        <f t="shared" si="192"/>
        <v>0.18</v>
      </c>
      <c r="DN46" s="47">
        <f t="shared" si="45"/>
        <v>0</v>
      </c>
      <c r="DO46" s="35">
        <f t="shared" si="193"/>
        <v>2.56</v>
      </c>
      <c r="DP46" s="159">
        <f t="shared" si="46"/>
        <v>0</v>
      </c>
      <c r="DQ46" s="142"/>
      <c r="DR46" s="13">
        <f t="shared" si="194"/>
        <v>40</v>
      </c>
      <c r="DS46" s="48">
        <f t="shared" si="82"/>
        <v>0</v>
      </c>
      <c r="DT46" s="49">
        <f t="shared" si="71"/>
        <v>0</v>
      </c>
      <c r="DU46" s="50">
        <f t="shared" si="195"/>
        <v>419</v>
      </c>
      <c r="DV46" s="103">
        <f t="shared" si="213"/>
        <v>0</v>
      </c>
      <c r="DW46" s="46">
        <f t="shared" si="128"/>
        <v>419</v>
      </c>
      <c r="DX46" s="51">
        <f t="shared" si="48"/>
        <v>79</v>
      </c>
      <c r="DY46" s="103">
        <f t="shared" si="214"/>
        <v>0</v>
      </c>
      <c r="DZ46" s="46">
        <f t="shared" si="74"/>
        <v>79</v>
      </c>
    </row>
    <row r="47" spans="1:130" x14ac:dyDescent="0.25">
      <c r="B47" s="120">
        <f t="shared" si="197"/>
        <v>9</v>
      </c>
      <c r="C47" s="115">
        <f t="shared" si="198"/>
        <v>6</v>
      </c>
      <c r="D47" s="215">
        <v>6800</v>
      </c>
      <c r="E47" s="221"/>
      <c r="F47" s="103">
        <f t="shared" si="107"/>
        <v>56017</v>
      </c>
      <c r="G47" s="107">
        <f t="shared" si="93"/>
        <v>56015</v>
      </c>
      <c r="H47" s="134"/>
      <c r="I47" s="135">
        <v>2</v>
      </c>
      <c r="J47" s="135"/>
      <c r="K47" s="14">
        <f t="shared" si="94"/>
        <v>2</v>
      </c>
      <c r="L47" s="14">
        <f t="shared" si="90"/>
        <v>17</v>
      </c>
      <c r="M47" s="14">
        <f t="shared" si="22"/>
        <v>0.18</v>
      </c>
      <c r="N47" s="47">
        <f t="shared" si="23"/>
        <v>3.5703447167824053E-2</v>
      </c>
      <c r="O47" s="35">
        <f t="shared" si="24"/>
        <v>2.56</v>
      </c>
      <c r="P47" s="159">
        <f t="shared" si="25"/>
        <v>3.0347930092650445E-2</v>
      </c>
      <c r="Q47" s="142"/>
      <c r="R47" s="17">
        <f t="shared" si="105"/>
        <v>40</v>
      </c>
      <c r="S47" s="48">
        <f t="shared" si="50"/>
        <v>0</v>
      </c>
      <c r="T47" s="49">
        <f t="shared" si="83"/>
        <v>0</v>
      </c>
      <c r="U47" s="160">
        <f t="shared" si="26"/>
        <v>419</v>
      </c>
      <c r="V47" s="103">
        <f t="shared" si="199"/>
        <v>401</v>
      </c>
      <c r="W47" s="46">
        <f t="shared" si="28"/>
        <v>18</v>
      </c>
      <c r="X47" s="51">
        <f t="shared" si="1"/>
        <v>79</v>
      </c>
      <c r="Y47" s="103">
        <f t="shared" si="200"/>
        <v>88</v>
      </c>
      <c r="Z47" s="46">
        <f t="shared" si="29"/>
        <v>-9</v>
      </c>
      <c r="AB47" s="120">
        <f t="shared" si="201"/>
        <v>11</v>
      </c>
      <c r="AC47" s="7">
        <f t="shared" si="202"/>
        <v>6</v>
      </c>
      <c r="AD47" s="133"/>
      <c r="AE47" s="221"/>
      <c r="AF47" s="14">
        <f t="shared" si="95"/>
        <v>92324</v>
      </c>
      <c r="AG47" s="59">
        <f t="shared" si="96"/>
        <v>92306</v>
      </c>
      <c r="AH47" s="134">
        <v>11</v>
      </c>
      <c r="AI47" s="135">
        <v>7</v>
      </c>
      <c r="AJ47" s="135"/>
      <c r="AK47" s="14">
        <f t="shared" si="97"/>
        <v>18</v>
      </c>
      <c r="AL47" s="14">
        <f t="shared" si="84"/>
        <v>2434</v>
      </c>
      <c r="AM47" s="14">
        <f t="shared" si="179"/>
        <v>0.18</v>
      </c>
      <c r="AN47" s="47">
        <f t="shared" si="55"/>
        <v>0.19496555608509164</v>
      </c>
      <c r="AO47" s="35">
        <f t="shared" si="180"/>
        <v>2.56</v>
      </c>
      <c r="AP47" s="159">
        <f t="shared" si="77"/>
        <v>2.636367575061739</v>
      </c>
      <c r="AQ47" s="142">
        <v>5116</v>
      </c>
      <c r="AR47" s="14">
        <f>VLOOKUP($AC47,PARAMETROCRIANZA,10,FALSE)</f>
        <v>40</v>
      </c>
      <c r="AS47" s="35">
        <f>IFERROR(AQ47/AF47,0)</f>
        <v>5.5413543607296042E-2</v>
      </c>
      <c r="AT47" s="301">
        <f>AT46+AS47</f>
        <v>5.5413543607296042E-2</v>
      </c>
      <c r="AU47" s="14">
        <f t="shared" si="182"/>
        <v>419</v>
      </c>
      <c r="AV47" s="103">
        <f t="shared" si="203"/>
        <v>409</v>
      </c>
      <c r="AW47" s="46">
        <f t="shared" si="125"/>
        <v>10</v>
      </c>
      <c r="AX47" s="51">
        <f t="shared" si="57"/>
        <v>79</v>
      </c>
      <c r="AY47" s="103">
        <f t="shared" si="204"/>
        <v>89</v>
      </c>
      <c r="AZ47" s="46">
        <f t="shared" si="33"/>
        <v>-10</v>
      </c>
      <c r="BA47" s="316"/>
      <c r="BB47" s="120">
        <f t="shared" si="205"/>
        <v>9</v>
      </c>
      <c r="BC47" s="7">
        <f t="shared" si="206"/>
        <v>6</v>
      </c>
      <c r="BD47" s="133"/>
      <c r="BE47" s="228">
        <v>3616</v>
      </c>
      <c r="BF47" s="14">
        <f t="shared" si="196"/>
        <v>129347</v>
      </c>
      <c r="BG47" s="59">
        <f t="shared" si="120"/>
        <v>129311</v>
      </c>
      <c r="BH47" s="134">
        <v>27</v>
      </c>
      <c r="BI47" s="135">
        <v>9</v>
      </c>
      <c r="BJ47" s="135"/>
      <c r="BK47" s="14">
        <f t="shared" si="99"/>
        <v>36</v>
      </c>
      <c r="BL47" s="14">
        <f t="shared" si="86"/>
        <v>4801</v>
      </c>
      <c r="BM47" s="14">
        <f t="shared" si="184"/>
        <v>0.18</v>
      </c>
      <c r="BN47" s="47">
        <f t="shared" si="34"/>
        <v>0.27832110524403347</v>
      </c>
      <c r="BO47" s="35">
        <f t="shared" si="185"/>
        <v>2.56</v>
      </c>
      <c r="BP47" s="159">
        <f t="shared" si="36"/>
        <v>3.7117211841016799</v>
      </c>
      <c r="BQ47" s="142"/>
      <c r="BR47" s="13">
        <f t="shared" si="186"/>
        <v>40</v>
      </c>
      <c r="BS47" s="48">
        <f t="shared" si="79"/>
        <v>0</v>
      </c>
      <c r="BT47" s="49">
        <f t="shared" si="87"/>
        <v>0</v>
      </c>
      <c r="BU47" s="50">
        <f t="shared" si="187"/>
        <v>419</v>
      </c>
      <c r="BV47" s="103">
        <f t="shared" si="207"/>
        <v>401</v>
      </c>
      <c r="BW47" s="46">
        <f t="shared" si="126"/>
        <v>18</v>
      </c>
      <c r="BX47" s="51">
        <f t="shared" si="100"/>
        <v>79</v>
      </c>
      <c r="BY47" s="103">
        <f t="shared" si="208"/>
        <v>88</v>
      </c>
      <c r="BZ47" s="46">
        <f t="shared" si="37"/>
        <v>-9</v>
      </c>
      <c r="CA47" s="316"/>
      <c r="CB47" s="120"/>
      <c r="CC47" s="7">
        <f t="shared" si="209"/>
        <v>6</v>
      </c>
      <c r="CD47" s="133"/>
      <c r="CE47" s="221"/>
      <c r="CF47" s="14">
        <f t="shared" si="88"/>
        <v>0</v>
      </c>
      <c r="CG47" s="59">
        <f t="shared" si="101"/>
        <v>0</v>
      </c>
      <c r="CH47" s="134"/>
      <c r="CI47" s="135"/>
      <c r="CJ47" s="135"/>
      <c r="CK47" s="14">
        <f t="shared" si="102"/>
        <v>0</v>
      </c>
      <c r="CL47" s="14">
        <f t="shared" si="92"/>
        <v>0</v>
      </c>
      <c r="CM47" s="14">
        <f t="shared" si="188"/>
        <v>0.18</v>
      </c>
      <c r="CN47" s="47">
        <f t="shared" si="39"/>
        <v>0</v>
      </c>
      <c r="CO47" s="35">
        <f t="shared" si="189"/>
        <v>2.56</v>
      </c>
      <c r="CP47" s="159">
        <f t="shared" si="40"/>
        <v>0</v>
      </c>
      <c r="CQ47" s="142"/>
      <c r="CR47" s="13">
        <f t="shared" si="190"/>
        <v>40</v>
      </c>
      <c r="CS47" s="48">
        <f t="shared" si="65"/>
        <v>0</v>
      </c>
      <c r="CT47" s="49">
        <f t="shared" si="66"/>
        <v>0</v>
      </c>
      <c r="CU47" s="50">
        <f t="shared" si="191"/>
        <v>419</v>
      </c>
      <c r="CV47" s="103">
        <f t="shared" si="210"/>
        <v>0</v>
      </c>
      <c r="CW47" s="46">
        <f t="shared" si="127"/>
        <v>419</v>
      </c>
      <c r="CX47" s="51">
        <f t="shared" si="42"/>
        <v>79</v>
      </c>
      <c r="CY47" s="103">
        <f t="shared" si="211"/>
        <v>0</v>
      </c>
      <c r="CZ47" s="46">
        <f t="shared" si="43"/>
        <v>79</v>
      </c>
      <c r="DA47" s="316"/>
      <c r="DB47" s="120"/>
      <c r="DC47" s="7">
        <f t="shared" si="212"/>
        <v>6</v>
      </c>
      <c r="DD47" s="133"/>
      <c r="DE47" s="221"/>
      <c r="DF47" s="14">
        <f t="shared" si="70"/>
        <v>0</v>
      </c>
      <c r="DG47" s="59">
        <f t="shared" si="103"/>
        <v>0</v>
      </c>
      <c r="DH47" s="134"/>
      <c r="DI47" s="135"/>
      <c r="DJ47" s="135"/>
      <c r="DK47" s="14">
        <f t="shared" si="104"/>
        <v>0</v>
      </c>
      <c r="DL47" s="14">
        <f t="shared" si="89"/>
        <v>0</v>
      </c>
      <c r="DM47" s="14">
        <f t="shared" si="192"/>
        <v>0.18</v>
      </c>
      <c r="DN47" s="47">
        <f t="shared" si="45"/>
        <v>0</v>
      </c>
      <c r="DO47" s="35">
        <f t="shared" si="193"/>
        <v>2.56</v>
      </c>
      <c r="DP47" s="159">
        <f t="shared" si="46"/>
        <v>0</v>
      </c>
      <c r="DQ47" s="142"/>
      <c r="DR47" s="13">
        <f t="shared" si="194"/>
        <v>40</v>
      </c>
      <c r="DS47" s="48">
        <f t="shared" si="82"/>
        <v>0</v>
      </c>
      <c r="DT47" s="49">
        <f t="shared" si="71"/>
        <v>0</v>
      </c>
      <c r="DU47" s="50">
        <f t="shared" si="195"/>
        <v>419</v>
      </c>
      <c r="DV47" s="103">
        <f t="shared" si="213"/>
        <v>0</v>
      </c>
      <c r="DW47" s="46">
        <f t="shared" si="128"/>
        <v>419</v>
      </c>
      <c r="DX47" s="51">
        <f t="shared" si="48"/>
        <v>79</v>
      </c>
      <c r="DY47" s="103">
        <f t="shared" si="214"/>
        <v>0</v>
      </c>
      <c r="DZ47" s="46">
        <f t="shared" si="74"/>
        <v>79</v>
      </c>
    </row>
    <row r="48" spans="1:130" x14ac:dyDescent="0.25">
      <c r="B48" s="120">
        <f t="shared" si="197"/>
        <v>10</v>
      </c>
      <c r="C48" s="115">
        <f t="shared" si="198"/>
        <v>6</v>
      </c>
      <c r="D48" s="215">
        <v>3616</v>
      </c>
      <c r="E48" s="221"/>
      <c r="F48" s="103">
        <f t="shared" si="107"/>
        <v>59631</v>
      </c>
      <c r="G48" s="107">
        <f t="shared" si="93"/>
        <v>59624</v>
      </c>
      <c r="H48" s="134">
        <v>4</v>
      </c>
      <c r="I48" s="135">
        <v>3</v>
      </c>
      <c r="J48" s="135"/>
      <c r="K48" s="14">
        <f t="shared" si="94"/>
        <v>7</v>
      </c>
      <c r="L48" s="14">
        <f t="shared" si="90"/>
        <v>24</v>
      </c>
      <c r="M48" s="14">
        <f t="shared" si="22"/>
        <v>0.18</v>
      </c>
      <c r="N48" s="47">
        <f t="shared" si="23"/>
        <v>0.11738860659723969</v>
      </c>
      <c r="O48" s="35">
        <f t="shared" si="24"/>
        <v>2.56</v>
      </c>
      <c r="P48" s="155">
        <f t="shared" si="25"/>
        <v>4.0247522261910751E-2</v>
      </c>
      <c r="Q48" s="142"/>
      <c r="R48" s="17">
        <f t="shared" si="105"/>
        <v>40</v>
      </c>
      <c r="S48" s="48">
        <f t="shared" si="50"/>
        <v>0</v>
      </c>
      <c r="T48" s="49">
        <f t="shared" si="83"/>
        <v>0</v>
      </c>
      <c r="U48" s="160">
        <f t="shared" si="26"/>
        <v>419</v>
      </c>
      <c r="V48" s="103">
        <f t="shared" si="199"/>
        <v>401</v>
      </c>
      <c r="W48" s="46">
        <f t="shared" si="28"/>
        <v>18</v>
      </c>
      <c r="X48" s="51">
        <f t="shared" si="1"/>
        <v>79</v>
      </c>
      <c r="Y48" s="103">
        <f t="shared" si="200"/>
        <v>88</v>
      </c>
      <c r="Z48" s="46">
        <f t="shared" si="29"/>
        <v>-9</v>
      </c>
      <c r="AB48" s="120">
        <f t="shared" si="201"/>
        <v>12</v>
      </c>
      <c r="AC48" s="7">
        <f t="shared" si="202"/>
        <v>6</v>
      </c>
      <c r="AD48" s="133"/>
      <c r="AE48" s="221"/>
      <c r="AF48" s="14">
        <f t="shared" si="95"/>
        <v>92306</v>
      </c>
      <c r="AG48" s="59">
        <f t="shared" si="96"/>
        <v>92284</v>
      </c>
      <c r="AH48" s="134">
        <v>16</v>
      </c>
      <c r="AI48" s="135">
        <v>6</v>
      </c>
      <c r="AJ48" s="135"/>
      <c r="AK48" s="14">
        <f t="shared" si="97"/>
        <v>22</v>
      </c>
      <c r="AL48" s="14">
        <f t="shared" si="84"/>
        <v>2456</v>
      </c>
      <c r="AM48" s="14">
        <f t="shared" si="179"/>
        <v>0.18</v>
      </c>
      <c r="AN48" s="47">
        <f t="shared" si="55"/>
        <v>0.23833770285788572</v>
      </c>
      <c r="AO48" s="35">
        <f t="shared" si="180"/>
        <v>2.56</v>
      </c>
      <c r="AP48" s="159">
        <f t="shared" si="77"/>
        <v>2.6607154464498515</v>
      </c>
      <c r="AQ48" s="142"/>
      <c r="AR48" s="14">
        <f t="shared" si="181"/>
        <v>40</v>
      </c>
      <c r="AS48" s="35">
        <f t="shared" si="91"/>
        <v>0</v>
      </c>
      <c r="AT48" s="301">
        <f t="shared" si="85"/>
        <v>5.5413543607296042E-2</v>
      </c>
      <c r="AU48" s="14">
        <f t="shared" si="182"/>
        <v>419</v>
      </c>
      <c r="AV48" s="103">
        <f t="shared" si="203"/>
        <v>409</v>
      </c>
      <c r="AW48" s="46">
        <f t="shared" si="125"/>
        <v>10</v>
      </c>
      <c r="AX48" s="51">
        <f t="shared" si="57"/>
        <v>79</v>
      </c>
      <c r="AY48" s="103">
        <f t="shared" si="204"/>
        <v>89</v>
      </c>
      <c r="AZ48" s="46">
        <f t="shared" si="33"/>
        <v>-10</v>
      </c>
      <c r="BA48" s="316"/>
      <c r="BB48" s="120">
        <f t="shared" si="205"/>
        <v>10</v>
      </c>
      <c r="BC48" s="7">
        <f t="shared" si="206"/>
        <v>6</v>
      </c>
      <c r="BD48" s="133"/>
      <c r="BE48" s="228">
        <v>7104</v>
      </c>
      <c r="BF48" s="14">
        <f t="shared" si="196"/>
        <v>122207</v>
      </c>
      <c r="BG48" s="59">
        <f t="shared" si="120"/>
        <v>122165</v>
      </c>
      <c r="BH48" s="134">
        <v>36</v>
      </c>
      <c r="BI48" s="135">
        <v>6</v>
      </c>
      <c r="BJ48" s="135"/>
      <c r="BK48" s="14">
        <f t="shared" si="99"/>
        <v>42</v>
      </c>
      <c r="BL48" s="14">
        <f t="shared" si="86"/>
        <v>4843</v>
      </c>
      <c r="BM48" s="14">
        <f t="shared" si="184"/>
        <v>0.18</v>
      </c>
      <c r="BN48" s="47">
        <f t="shared" si="34"/>
        <v>0.34367916731447462</v>
      </c>
      <c r="BO48" s="35">
        <f t="shared" si="185"/>
        <v>2.56</v>
      </c>
      <c r="BP48" s="159">
        <f t="shared" si="36"/>
        <v>3.962948112628573</v>
      </c>
      <c r="BQ48" s="142"/>
      <c r="BR48" s="13">
        <f t="shared" si="186"/>
        <v>40</v>
      </c>
      <c r="BS48" s="48">
        <f t="shared" si="79"/>
        <v>0</v>
      </c>
      <c r="BT48" s="49">
        <f t="shared" si="87"/>
        <v>0</v>
      </c>
      <c r="BU48" s="50">
        <f t="shared" si="187"/>
        <v>419</v>
      </c>
      <c r="BV48" s="103">
        <f t="shared" si="207"/>
        <v>401</v>
      </c>
      <c r="BW48" s="46">
        <f t="shared" si="126"/>
        <v>18</v>
      </c>
      <c r="BX48" s="51">
        <f t="shared" si="100"/>
        <v>79</v>
      </c>
      <c r="BY48" s="103">
        <f t="shared" si="208"/>
        <v>88</v>
      </c>
      <c r="BZ48" s="46">
        <f t="shared" si="37"/>
        <v>-9</v>
      </c>
      <c r="CA48" s="316"/>
      <c r="CB48" s="120"/>
      <c r="CC48" s="7">
        <f t="shared" si="209"/>
        <v>6</v>
      </c>
      <c r="CD48" s="133"/>
      <c r="CE48" s="221"/>
      <c r="CF48" s="14">
        <f t="shared" si="88"/>
        <v>0</v>
      </c>
      <c r="CG48" s="59">
        <f t="shared" si="101"/>
        <v>0</v>
      </c>
      <c r="CH48" s="134"/>
      <c r="CI48" s="135"/>
      <c r="CJ48" s="135"/>
      <c r="CK48" s="14">
        <f t="shared" si="102"/>
        <v>0</v>
      </c>
      <c r="CL48" s="14">
        <f t="shared" si="92"/>
        <v>0</v>
      </c>
      <c r="CM48" s="14">
        <f t="shared" si="188"/>
        <v>0.18</v>
      </c>
      <c r="CN48" s="47">
        <f t="shared" si="39"/>
        <v>0</v>
      </c>
      <c r="CO48" s="35">
        <f t="shared" si="189"/>
        <v>2.56</v>
      </c>
      <c r="CP48" s="159">
        <f t="shared" si="40"/>
        <v>0</v>
      </c>
      <c r="CQ48" s="142"/>
      <c r="CR48" s="13">
        <f t="shared" si="190"/>
        <v>40</v>
      </c>
      <c r="CS48" s="48">
        <f t="shared" si="65"/>
        <v>0</v>
      </c>
      <c r="CT48" s="49">
        <f t="shared" si="66"/>
        <v>0</v>
      </c>
      <c r="CU48" s="50">
        <f t="shared" si="191"/>
        <v>419</v>
      </c>
      <c r="CV48" s="103">
        <f t="shared" si="210"/>
        <v>0</v>
      </c>
      <c r="CW48" s="46">
        <f t="shared" si="127"/>
        <v>419</v>
      </c>
      <c r="CX48" s="51">
        <f t="shared" si="42"/>
        <v>79</v>
      </c>
      <c r="CY48" s="103">
        <f t="shared" si="211"/>
        <v>0</v>
      </c>
      <c r="CZ48" s="46">
        <f t="shared" si="43"/>
        <v>79</v>
      </c>
      <c r="DA48" s="316"/>
      <c r="DB48" s="120"/>
      <c r="DC48" s="7">
        <f t="shared" si="212"/>
        <v>6</v>
      </c>
      <c r="DD48" s="133"/>
      <c r="DE48" s="221"/>
      <c r="DF48" s="14">
        <f t="shared" si="70"/>
        <v>0</v>
      </c>
      <c r="DG48" s="59">
        <f t="shared" si="103"/>
        <v>0</v>
      </c>
      <c r="DH48" s="134"/>
      <c r="DI48" s="135"/>
      <c r="DJ48" s="135"/>
      <c r="DK48" s="14">
        <f t="shared" si="104"/>
        <v>0</v>
      </c>
      <c r="DL48" s="14">
        <f t="shared" si="89"/>
        <v>0</v>
      </c>
      <c r="DM48" s="14">
        <f t="shared" si="192"/>
        <v>0.18</v>
      </c>
      <c r="DN48" s="47">
        <f t="shared" si="45"/>
        <v>0</v>
      </c>
      <c r="DO48" s="35">
        <f t="shared" si="193"/>
        <v>2.56</v>
      </c>
      <c r="DP48" s="159">
        <f t="shared" si="46"/>
        <v>0</v>
      </c>
      <c r="DQ48" s="142"/>
      <c r="DR48" s="13">
        <f t="shared" si="194"/>
        <v>40</v>
      </c>
      <c r="DS48" s="48">
        <f t="shared" si="82"/>
        <v>0</v>
      </c>
      <c r="DT48" s="49">
        <f t="shared" si="71"/>
        <v>0</v>
      </c>
      <c r="DU48" s="50">
        <f t="shared" si="195"/>
        <v>419</v>
      </c>
      <c r="DV48" s="103">
        <f t="shared" si="213"/>
        <v>0</v>
      </c>
      <c r="DW48" s="46">
        <f t="shared" si="128"/>
        <v>419</v>
      </c>
      <c r="DX48" s="51">
        <f t="shared" si="48"/>
        <v>79</v>
      </c>
      <c r="DY48" s="103">
        <f t="shared" si="214"/>
        <v>0</v>
      </c>
      <c r="DZ48" s="46">
        <f t="shared" si="74"/>
        <v>79</v>
      </c>
    </row>
    <row r="49" spans="2:130" ht="17.25" thickBot="1" x14ac:dyDescent="0.3">
      <c r="B49" s="120">
        <f>B48+1</f>
        <v>11</v>
      </c>
      <c r="C49" s="116">
        <f t="shared" si="198"/>
        <v>6</v>
      </c>
      <c r="D49" s="346">
        <v>7104</v>
      </c>
      <c r="E49" s="226"/>
      <c r="F49" s="109">
        <f t="shared" si="107"/>
        <v>66728</v>
      </c>
      <c r="G49" s="105">
        <f t="shared" si="93"/>
        <v>66723</v>
      </c>
      <c r="H49" s="137">
        <v>2</v>
      </c>
      <c r="I49" s="138">
        <v>3</v>
      </c>
      <c r="J49" s="138"/>
      <c r="K49" s="34">
        <f t="shared" si="94"/>
        <v>5</v>
      </c>
      <c r="L49" s="34">
        <f t="shared" si="90"/>
        <v>29</v>
      </c>
      <c r="M49" s="34">
        <f t="shared" si="22"/>
        <v>0.18</v>
      </c>
      <c r="N49" s="231">
        <f t="shared" si="23"/>
        <v>7.493106342165208E-2</v>
      </c>
      <c r="O49" s="40">
        <f t="shared" si="24"/>
        <v>2.56</v>
      </c>
      <c r="P49" s="156">
        <f t="shared" si="25"/>
        <v>4.3460016784558207E-2</v>
      </c>
      <c r="Q49" s="139">
        <v>7800</v>
      </c>
      <c r="R49" s="15">
        <f t="shared" si="105"/>
        <v>40</v>
      </c>
      <c r="S49" s="54">
        <f t="shared" si="50"/>
        <v>0.11689245893777725</v>
      </c>
      <c r="T49" s="55">
        <f t="shared" si="83"/>
        <v>0.11689245893777725</v>
      </c>
      <c r="U49" s="15">
        <f t="shared" si="26"/>
        <v>419</v>
      </c>
      <c r="V49" s="109">
        <f t="shared" si="199"/>
        <v>401</v>
      </c>
      <c r="W49" s="63">
        <f t="shared" si="28"/>
        <v>18</v>
      </c>
      <c r="X49" s="65">
        <f t="shared" si="1"/>
        <v>79</v>
      </c>
      <c r="Y49" s="109">
        <f t="shared" si="200"/>
        <v>88</v>
      </c>
      <c r="Z49" s="63">
        <f t="shared" si="29"/>
        <v>-9</v>
      </c>
      <c r="AB49" s="197">
        <f t="shared" si="201"/>
        <v>13</v>
      </c>
      <c r="AC49" s="8">
        <f t="shared" si="202"/>
        <v>6</v>
      </c>
      <c r="AD49" s="136"/>
      <c r="AE49" s="226"/>
      <c r="AF49" s="32">
        <f t="shared" si="95"/>
        <v>92284</v>
      </c>
      <c r="AG49" s="53">
        <f t="shared" si="96"/>
        <v>92260</v>
      </c>
      <c r="AH49" s="137">
        <v>18</v>
      </c>
      <c r="AI49" s="138">
        <v>6</v>
      </c>
      <c r="AJ49" s="138"/>
      <c r="AK49" s="34">
        <f t="shared" si="97"/>
        <v>24</v>
      </c>
      <c r="AL49" s="34">
        <f t="shared" si="84"/>
        <v>2480</v>
      </c>
      <c r="AM49" s="32">
        <f t="shared" si="179"/>
        <v>0.18</v>
      </c>
      <c r="AN49" s="96">
        <f t="shared" si="55"/>
        <v>0.2600667504659529</v>
      </c>
      <c r="AO49" s="36">
        <f t="shared" si="180"/>
        <v>2.56</v>
      </c>
      <c r="AP49" s="156">
        <f t="shared" si="77"/>
        <v>2.6873564214815135</v>
      </c>
      <c r="AQ49" s="139"/>
      <c r="AR49" s="32">
        <f t="shared" si="181"/>
        <v>40</v>
      </c>
      <c r="AS49" s="36">
        <f t="shared" si="91"/>
        <v>0</v>
      </c>
      <c r="AT49" s="304">
        <f t="shared" si="85"/>
        <v>5.5413543607296042E-2</v>
      </c>
      <c r="AU49" s="32">
        <f t="shared" si="182"/>
        <v>419</v>
      </c>
      <c r="AV49" s="109">
        <f t="shared" si="203"/>
        <v>409</v>
      </c>
      <c r="AW49" s="63">
        <f t="shared" si="125"/>
        <v>10</v>
      </c>
      <c r="AX49" s="65">
        <f t="shared" si="57"/>
        <v>79</v>
      </c>
      <c r="AY49" s="109">
        <f t="shared" si="204"/>
        <v>89</v>
      </c>
      <c r="AZ49" s="63">
        <f t="shared" si="33"/>
        <v>-10</v>
      </c>
      <c r="BA49" s="316"/>
      <c r="BB49" s="197">
        <f t="shared" si="205"/>
        <v>11</v>
      </c>
      <c r="BC49" s="8">
        <f t="shared" si="206"/>
        <v>6</v>
      </c>
      <c r="BD49" s="136"/>
      <c r="BE49" s="226"/>
      <c r="BF49" s="32">
        <f t="shared" si="98"/>
        <v>122165</v>
      </c>
      <c r="BG49" s="53">
        <f t="shared" si="120"/>
        <v>122134</v>
      </c>
      <c r="BH49" s="137">
        <v>23</v>
      </c>
      <c r="BI49" s="138">
        <v>8</v>
      </c>
      <c r="BJ49" s="138"/>
      <c r="BK49" s="34">
        <f t="shared" si="99"/>
        <v>31</v>
      </c>
      <c r="BL49" s="34">
        <f t="shared" si="86"/>
        <v>4874</v>
      </c>
      <c r="BM49" s="32">
        <f t="shared" si="184"/>
        <v>0.18</v>
      </c>
      <c r="BN49" s="96">
        <f t="shared" si="34"/>
        <v>0.2537551671919126</v>
      </c>
      <c r="BO49" s="36">
        <f t="shared" si="185"/>
        <v>2.56</v>
      </c>
      <c r="BP49" s="156">
        <f t="shared" si="36"/>
        <v>3.9896860803012317</v>
      </c>
      <c r="BQ49" s="139">
        <v>8800</v>
      </c>
      <c r="BR49" s="32">
        <f t="shared" si="186"/>
        <v>40</v>
      </c>
      <c r="BS49" s="54">
        <f t="shared" si="79"/>
        <v>7.2033724880284866E-2</v>
      </c>
      <c r="BT49" s="55">
        <f t="shared" si="87"/>
        <v>7.2033724880284866E-2</v>
      </c>
      <c r="BU49" s="56">
        <f t="shared" si="187"/>
        <v>419</v>
      </c>
      <c r="BV49" s="109">
        <f t="shared" si="207"/>
        <v>401</v>
      </c>
      <c r="BW49" s="63">
        <f t="shared" si="126"/>
        <v>18</v>
      </c>
      <c r="BX49" s="65">
        <f t="shared" si="100"/>
        <v>79</v>
      </c>
      <c r="BY49" s="109">
        <f t="shared" si="208"/>
        <v>88</v>
      </c>
      <c r="BZ49" s="63">
        <f t="shared" si="37"/>
        <v>-9</v>
      </c>
      <c r="CA49" s="316"/>
      <c r="CB49" s="119"/>
      <c r="CC49" s="95">
        <f t="shared" si="209"/>
        <v>6</v>
      </c>
      <c r="CD49" s="203"/>
      <c r="CE49" s="225"/>
      <c r="CF49" s="13">
        <f t="shared" si="88"/>
        <v>0</v>
      </c>
      <c r="CG49" s="59">
        <f t="shared" si="101"/>
        <v>0</v>
      </c>
      <c r="CH49" s="204"/>
      <c r="CI49" s="205"/>
      <c r="CJ49" s="205"/>
      <c r="CK49" s="31">
        <f t="shared" si="102"/>
        <v>0</v>
      </c>
      <c r="CL49" s="31">
        <f t="shared" si="92"/>
        <v>0</v>
      </c>
      <c r="CM49" s="13">
        <f t="shared" si="188"/>
        <v>0.18</v>
      </c>
      <c r="CN49" s="230">
        <f t="shared" si="39"/>
        <v>0</v>
      </c>
      <c r="CO49" s="161">
        <f t="shared" si="189"/>
        <v>2.56</v>
      </c>
      <c r="CP49" s="157">
        <f t="shared" si="40"/>
        <v>0</v>
      </c>
      <c r="CQ49" s="237"/>
      <c r="CR49" s="13">
        <f t="shared" si="190"/>
        <v>40</v>
      </c>
      <c r="CS49" s="67">
        <f t="shared" si="65"/>
        <v>0</v>
      </c>
      <c r="CT49" s="196">
        <f t="shared" si="66"/>
        <v>0</v>
      </c>
      <c r="CU49" s="50">
        <f t="shared" si="191"/>
        <v>419</v>
      </c>
      <c r="CV49" s="202">
        <f t="shared" si="210"/>
        <v>0</v>
      </c>
      <c r="CW49" s="62">
        <f t="shared" si="127"/>
        <v>419</v>
      </c>
      <c r="CX49" s="52">
        <f t="shared" si="42"/>
        <v>79</v>
      </c>
      <c r="CY49" s="202">
        <f t="shared" si="211"/>
        <v>0</v>
      </c>
      <c r="CZ49" s="62">
        <f t="shared" si="43"/>
        <v>79</v>
      </c>
      <c r="DA49" s="316"/>
      <c r="DB49" s="197"/>
      <c r="DC49" s="8">
        <f t="shared" si="212"/>
        <v>6</v>
      </c>
      <c r="DD49" s="136"/>
      <c r="DE49" s="226"/>
      <c r="DF49" s="32">
        <f t="shared" si="70"/>
        <v>0</v>
      </c>
      <c r="DG49" s="53">
        <f t="shared" si="103"/>
        <v>0</v>
      </c>
      <c r="DH49" s="137"/>
      <c r="DI49" s="138"/>
      <c r="DJ49" s="138"/>
      <c r="DK49" s="34">
        <f t="shared" si="104"/>
        <v>0</v>
      </c>
      <c r="DL49" s="34">
        <f t="shared" si="89"/>
        <v>0</v>
      </c>
      <c r="DM49" s="32">
        <f t="shared" si="192"/>
        <v>0.18</v>
      </c>
      <c r="DN49" s="96">
        <f t="shared" si="45"/>
        <v>0</v>
      </c>
      <c r="DO49" s="36">
        <f t="shared" si="193"/>
        <v>2.56</v>
      </c>
      <c r="DP49" s="156">
        <f t="shared" si="46"/>
        <v>0</v>
      </c>
      <c r="DQ49" s="139"/>
      <c r="DR49" s="32">
        <f t="shared" si="194"/>
        <v>40</v>
      </c>
      <c r="DS49" s="54">
        <f t="shared" si="82"/>
        <v>0</v>
      </c>
      <c r="DT49" s="55">
        <f t="shared" si="71"/>
        <v>0</v>
      </c>
      <c r="DU49" s="56">
        <f t="shared" si="195"/>
        <v>419</v>
      </c>
      <c r="DV49" s="109">
        <f t="shared" si="213"/>
        <v>0</v>
      </c>
      <c r="DW49" s="63">
        <f t="shared" si="128"/>
        <v>419</v>
      </c>
      <c r="DX49" s="65">
        <f t="shared" si="48"/>
        <v>79</v>
      </c>
      <c r="DY49" s="109">
        <f t="shared" si="214"/>
        <v>0</v>
      </c>
      <c r="DZ49" s="63">
        <f t="shared" si="74"/>
        <v>79</v>
      </c>
    </row>
    <row r="50" spans="2:130" x14ac:dyDescent="0.25">
      <c r="B50" s="118">
        <v>12</v>
      </c>
      <c r="C50" s="114">
        <v>7</v>
      </c>
      <c r="D50" s="345">
        <v>12080</v>
      </c>
      <c r="E50" s="224"/>
      <c r="F50" s="101">
        <f t="shared" si="107"/>
        <v>78803</v>
      </c>
      <c r="G50" s="102">
        <f t="shared" si="93"/>
        <v>78800</v>
      </c>
      <c r="H50" s="130"/>
      <c r="I50" s="131">
        <v>3</v>
      </c>
      <c r="J50" s="131"/>
      <c r="K50" s="11">
        <f t="shared" si="94"/>
        <v>3</v>
      </c>
      <c r="L50" s="11">
        <f t="shared" si="90"/>
        <v>32</v>
      </c>
      <c r="M50" s="11">
        <f t="shared" si="22"/>
        <v>0.16</v>
      </c>
      <c r="N50" s="153">
        <f t="shared" si="23"/>
        <v>3.8069616638960448E-2</v>
      </c>
      <c r="O50" s="21">
        <f t="shared" si="24"/>
        <v>2.72</v>
      </c>
      <c r="P50" s="132">
        <f t="shared" si="25"/>
        <v>4.0607591081557808E-2</v>
      </c>
      <c r="Q50" s="158"/>
      <c r="R50" s="18">
        <f t="shared" si="105"/>
        <v>43</v>
      </c>
      <c r="S50" s="43">
        <f t="shared" si="50"/>
        <v>0</v>
      </c>
      <c r="T50" s="44">
        <f t="shared" si="83"/>
        <v>0.11689245893777725</v>
      </c>
      <c r="U50" s="195">
        <f t="shared" si="26"/>
        <v>502</v>
      </c>
      <c r="V50" s="131">
        <v>490</v>
      </c>
      <c r="W50" s="41">
        <f t="shared" si="28"/>
        <v>12</v>
      </c>
      <c r="X50" s="58">
        <f t="shared" si="1"/>
        <v>79</v>
      </c>
      <c r="Y50" s="131">
        <v>86</v>
      </c>
      <c r="Z50" s="41">
        <f t="shared" si="29"/>
        <v>-7</v>
      </c>
      <c r="AB50" s="198">
        <v>14</v>
      </c>
      <c r="AC50" s="38">
        <v>7</v>
      </c>
      <c r="AD50" s="143"/>
      <c r="AE50" s="227"/>
      <c r="AF50" s="17">
        <f t="shared" si="95"/>
        <v>92260</v>
      </c>
      <c r="AG50" s="71">
        <f t="shared" si="96"/>
        <v>92241</v>
      </c>
      <c r="AH50" s="144">
        <v>15</v>
      </c>
      <c r="AI50" s="141">
        <v>4</v>
      </c>
      <c r="AJ50" s="141"/>
      <c r="AK50" s="17">
        <f t="shared" si="97"/>
        <v>19</v>
      </c>
      <c r="AL50" s="17">
        <f t="shared" si="84"/>
        <v>2499</v>
      </c>
      <c r="AM50" s="17">
        <f t="shared" si="179"/>
        <v>0.16</v>
      </c>
      <c r="AN50" s="235">
        <f t="shared" si="55"/>
        <v>0.20593973553002384</v>
      </c>
      <c r="AO50" s="33">
        <f t="shared" si="180"/>
        <v>2.72</v>
      </c>
      <c r="AP50" s="210">
        <f t="shared" si="77"/>
        <v>2.7086494688922609</v>
      </c>
      <c r="AQ50" s="145"/>
      <c r="AR50" s="17">
        <f t="shared" si="181"/>
        <v>43</v>
      </c>
      <c r="AS50" s="33">
        <f t="shared" si="91"/>
        <v>0</v>
      </c>
      <c r="AT50" s="305">
        <f t="shared" si="85"/>
        <v>5.5413543607296042E-2</v>
      </c>
      <c r="AU50" s="17">
        <f t="shared" si="182"/>
        <v>502</v>
      </c>
      <c r="AV50" s="141">
        <v>492</v>
      </c>
      <c r="AW50" s="71">
        <f t="shared" si="125"/>
        <v>10</v>
      </c>
      <c r="AX50" s="61">
        <f t="shared" si="57"/>
        <v>79</v>
      </c>
      <c r="AY50" s="141">
        <v>87</v>
      </c>
      <c r="AZ50" s="71">
        <f t="shared" si="33"/>
        <v>-8</v>
      </c>
      <c r="BA50" s="316"/>
      <c r="BB50" s="198">
        <v>12</v>
      </c>
      <c r="BC50" s="38">
        <v>7</v>
      </c>
      <c r="BD50" s="143"/>
      <c r="BE50" s="344">
        <v>12080</v>
      </c>
      <c r="BF50" s="17">
        <f>IFERROR(BG49+BD50-BE50,0)</f>
        <v>110054</v>
      </c>
      <c r="BG50" s="71">
        <f t="shared" si="120"/>
        <v>110026</v>
      </c>
      <c r="BH50" s="144">
        <v>22</v>
      </c>
      <c r="BI50" s="141">
        <v>6</v>
      </c>
      <c r="BJ50" s="141"/>
      <c r="BK50" s="17">
        <f t="shared" si="99"/>
        <v>28</v>
      </c>
      <c r="BL50" s="17">
        <f t="shared" si="86"/>
        <v>4902</v>
      </c>
      <c r="BM50" s="17">
        <f t="shared" si="184"/>
        <v>0.16</v>
      </c>
      <c r="BN50" s="235">
        <f t="shared" si="34"/>
        <v>0.25442055718102025</v>
      </c>
      <c r="BO50" s="33">
        <f t="shared" si="185"/>
        <v>2.72</v>
      </c>
      <c r="BP50" s="210">
        <f t="shared" si="36"/>
        <v>4.454177040362004</v>
      </c>
      <c r="BQ50" s="145"/>
      <c r="BR50" s="31">
        <f t="shared" si="186"/>
        <v>43</v>
      </c>
      <c r="BS50" s="60">
        <f t="shared" si="79"/>
        <v>0</v>
      </c>
      <c r="BT50" s="72">
        <f t="shared" si="87"/>
        <v>7.2033724880284866E-2</v>
      </c>
      <c r="BU50" s="52">
        <f t="shared" si="187"/>
        <v>502</v>
      </c>
      <c r="BV50" s="141">
        <v>490</v>
      </c>
      <c r="BW50" s="71">
        <f t="shared" si="126"/>
        <v>12</v>
      </c>
      <c r="BX50" s="61">
        <f t="shared" si="100"/>
        <v>79</v>
      </c>
      <c r="BY50" s="141">
        <v>86</v>
      </c>
      <c r="BZ50" s="71">
        <f t="shared" si="37"/>
        <v>-7</v>
      </c>
      <c r="CA50" s="316"/>
      <c r="CB50" s="118"/>
      <c r="CC50" s="9">
        <v>7</v>
      </c>
      <c r="CD50" s="129"/>
      <c r="CE50" s="224"/>
      <c r="CF50" s="11">
        <f t="shared" si="88"/>
        <v>0</v>
      </c>
      <c r="CG50" s="41">
        <f t="shared" si="101"/>
        <v>0</v>
      </c>
      <c r="CH50" s="130"/>
      <c r="CI50" s="131"/>
      <c r="CJ50" s="131"/>
      <c r="CK50" s="11">
        <f t="shared" si="102"/>
        <v>0</v>
      </c>
      <c r="CL50" s="11">
        <f t="shared" si="92"/>
        <v>0</v>
      </c>
      <c r="CM50" s="11">
        <f t="shared" si="188"/>
        <v>0.16</v>
      </c>
      <c r="CN50" s="42">
        <f t="shared" si="39"/>
        <v>0</v>
      </c>
      <c r="CO50" s="21">
        <f t="shared" si="189"/>
        <v>2.72</v>
      </c>
      <c r="CP50" s="165">
        <f t="shared" si="40"/>
        <v>0</v>
      </c>
      <c r="CQ50" s="158"/>
      <c r="CR50" s="16">
        <f t="shared" si="190"/>
        <v>43</v>
      </c>
      <c r="CS50" s="43">
        <f t="shared" si="65"/>
        <v>0</v>
      </c>
      <c r="CT50" s="44">
        <f t="shared" si="66"/>
        <v>0</v>
      </c>
      <c r="CU50" s="45">
        <f t="shared" si="191"/>
        <v>502</v>
      </c>
      <c r="CV50" s="131"/>
      <c r="CW50" s="41">
        <f t="shared" si="127"/>
        <v>502</v>
      </c>
      <c r="CX50" s="58">
        <f t="shared" si="42"/>
        <v>79</v>
      </c>
      <c r="CY50" s="131"/>
      <c r="CZ50" s="41">
        <f t="shared" si="43"/>
        <v>79</v>
      </c>
      <c r="DA50" s="316"/>
      <c r="DB50" s="198"/>
      <c r="DC50" s="38">
        <v>7</v>
      </c>
      <c r="DD50" s="143"/>
      <c r="DE50" s="227"/>
      <c r="DF50" s="17">
        <f t="shared" si="70"/>
        <v>0</v>
      </c>
      <c r="DG50" s="71">
        <f t="shared" si="103"/>
        <v>0</v>
      </c>
      <c r="DH50" s="144"/>
      <c r="DI50" s="141"/>
      <c r="DJ50" s="141"/>
      <c r="DK50" s="17">
        <f t="shared" si="104"/>
        <v>0</v>
      </c>
      <c r="DL50" s="17">
        <f t="shared" si="89"/>
        <v>0</v>
      </c>
      <c r="DM50" s="17">
        <f t="shared" si="192"/>
        <v>0.16</v>
      </c>
      <c r="DN50" s="235">
        <f t="shared" si="45"/>
        <v>0</v>
      </c>
      <c r="DO50" s="33">
        <f t="shared" si="193"/>
        <v>2.72</v>
      </c>
      <c r="DP50" s="210">
        <f t="shared" si="46"/>
        <v>0</v>
      </c>
      <c r="DQ50" s="145"/>
      <c r="DR50" s="31">
        <f t="shared" si="194"/>
        <v>43</v>
      </c>
      <c r="DS50" s="60">
        <f t="shared" si="82"/>
        <v>0</v>
      </c>
      <c r="DT50" s="72">
        <f t="shared" si="71"/>
        <v>0</v>
      </c>
      <c r="DU50" s="52">
        <f t="shared" si="195"/>
        <v>502</v>
      </c>
      <c r="DV50" s="141"/>
      <c r="DW50" s="71">
        <f t="shared" si="128"/>
        <v>502</v>
      </c>
      <c r="DX50" s="61">
        <f t="shared" si="48"/>
        <v>79</v>
      </c>
      <c r="DY50" s="141"/>
      <c r="DZ50" s="71">
        <f t="shared" si="74"/>
        <v>79</v>
      </c>
    </row>
    <row r="51" spans="2:130" x14ac:dyDescent="0.25">
      <c r="B51" s="120">
        <f>B50+1</f>
        <v>13</v>
      </c>
      <c r="C51" s="115">
        <f>C50</f>
        <v>7</v>
      </c>
      <c r="D51" s="215">
        <v>14725</v>
      </c>
      <c r="E51" s="221"/>
      <c r="F51" s="103">
        <f t="shared" si="107"/>
        <v>93525</v>
      </c>
      <c r="G51" s="104">
        <f t="shared" si="93"/>
        <v>93521</v>
      </c>
      <c r="H51" s="134">
        <v>1</v>
      </c>
      <c r="I51" s="135">
        <v>3</v>
      </c>
      <c r="J51" s="135"/>
      <c r="K51" s="14">
        <f t="shared" si="94"/>
        <v>4</v>
      </c>
      <c r="L51" s="14">
        <f t="shared" si="90"/>
        <v>36</v>
      </c>
      <c r="M51" s="14">
        <f t="shared" si="22"/>
        <v>0.16</v>
      </c>
      <c r="N51" s="47">
        <f t="shared" si="23"/>
        <v>4.2769313017909649E-2</v>
      </c>
      <c r="O51" s="35">
        <f t="shared" si="24"/>
        <v>2.72</v>
      </c>
      <c r="P51" s="157">
        <f t="shared" si="25"/>
        <v>3.8492381716118684E-2</v>
      </c>
      <c r="Q51" s="142"/>
      <c r="R51" s="13">
        <f t="shared" si="105"/>
        <v>43</v>
      </c>
      <c r="S51" s="48">
        <f t="shared" si="50"/>
        <v>0</v>
      </c>
      <c r="T51" s="49">
        <f t="shared" si="83"/>
        <v>0.11689245893777725</v>
      </c>
      <c r="U51" s="160">
        <f t="shared" si="26"/>
        <v>502</v>
      </c>
      <c r="V51" s="103">
        <f>V50</f>
        <v>490</v>
      </c>
      <c r="W51" s="46">
        <f t="shared" si="28"/>
        <v>12</v>
      </c>
      <c r="X51" s="51">
        <f t="shared" si="1"/>
        <v>79</v>
      </c>
      <c r="Y51" s="103">
        <f>Y50</f>
        <v>86</v>
      </c>
      <c r="Z51" s="46">
        <f t="shared" si="29"/>
        <v>-7</v>
      </c>
      <c r="AB51" s="120">
        <f>AB50+1</f>
        <v>15</v>
      </c>
      <c r="AC51" s="7">
        <f>AC50</f>
        <v>7</v>
      </c>
      <c r="AD51" s="133"/>
      <c r="AE51" s="221"/>
      <c r="AF51" s="14">
        <f t="shared" si="95"/>
        <v>92241</v>
      </c>
      <c r="AG51" s="46">
        <f t="shared" si="96"/>
        <v>92218</v>
      </c>
      <c r="AH51" s="134">
        <v>18</v>
      </c>
      <c r="AI51" s="135">
        <v>5</v>
      </c>
      <c r="AJ51" s="135"/>
      <c r="AK51" s="14">
        <f t="shared" si="97"/>
        <v>23</v>
      </c>
      <c r="AL51" s="14">
        <f t="shared" si="84"/>
        <v>2522</v>
      </c>
      <c r="AM51" s="14">
        <f t="shared" si="179"/>
        <v>0.16</v>
      </c>
      <c r="AN51" s="47">
        <f t="shared" si="55"/>
        <v>0.24934681974393166</v>
      </c>
      <c r="AO51" s="35">
        <f t="shared" si="180"/>
        <v>2.72</v>
      </c>
      <c r="AP51" s="159">
        <f t="shared" si="77"/>
        <v>2.7341420843225896</v>
      </c>
      <c r="AQ51" s="142"/>
      <c r="AR51" s="14">
        <f t="shared" si="181"/>
        <v>43</v>
      </c>
      <c r="AS51" s="35">
        <f t="shared" si="91"/>
        <v>0</v>
      </c>
      <c r="AT51" s="301">
        <f t="shared" si="85"/>
        <v>5.5413543607296042E-2</v>
      </c>
      <c r="AU51" s="14">
        <f t="shared" si="182"/>
        <v>502</v>
      </c>
      <c r="AV51" s="103">
        <f>AV50</f>
        <v>492</v>
      </c>
      <c r="AW51" s="46">
        <f t="shared" si="125"/>
        <v>10</v>
      </c>
      <c r="AX51" s="51">
        <f t="shared" si="57"/>
        <v>79</v>
      </c>
      <c r="AY51" s="103">
        <f>AY50</f>
        <v>87</v>
      </c>
      <c r="AZ51" s="46">
        <f t="shared" si="33"/>
        <v>-8</v>
      </c>
      <c r="BA51" s="316"/>
      <c r="BB51" s="120">
        <f>BB50+1</f>
        <v>13</v>
      </c>
      <c r="BC51" s="7">
        <f>BC50</f>
        <v>7</v>
      </c>
      <c r="BD51" s="133"/>
      <c r="BE51" s="228">
        <v>14725</v>
      </c>
      <c r="BF51" s="14">
        <f>IFERROR(BG50+BD51-BE51,0)</f>
        <v>95301</v>
      </c>
      <c r="BG51" s="46">
        <f t="shared" si="120"/>
        <v>95280</v>
      </c>
      <c r="BH51" s="134">
        <v>16</v>
      </c>
      <c r="BI51" s="135">
        <v>5</v>
      </c>
      <c r="BJ51" s="135"/>
      <c r="BK51" s="14">
        <f t="shared" si="99"/>
        <v>21</v>
      </c>
      <c r="BL51" s="14">
        <f t="shared" si="86"/>
        <v>4923</v>
      </c>
      <c r="BM51" s="14">
        <f t="shared" si="184"/>
        <v>0.16</v>
      </c>
      <c r="BN51" s="47">
        <f t="shared" si="34"/>
        <v>0.22035445588189001</v>
      </c>
      <c r="BO51" s="35">
        <f t="shared" si="185"/>
        <v>2.72</v>
      </c>
      <c r="BP51" s="159">
        <f t="shared" si="36"/>
        <v>5.1657380300311644</v>
      </c>
      <c r="BQ51" s="142"/>
      <c r="BR51" s="13">
        <f t="shared" si="186"/>
        <v>43</v>
      </c>
      <c r="BS51" s="48">
        <f t="shared" si="79"/>
        <v>0</v>
      </c>
      <c r="BT51" s="49">
        <f t="shared" si="87"/>
        <v>7.2033724880284866E-2</v>
      </c>
      <c r="BU51" s="50">
        <f t="shared" si="187"/>
        <v>502</v>
      </c>
      <c r="BV51" s="103">
        <f>BV50</f>
        <v>490</v>
      </c>
      <c r="BW51" s="46">
        <f t="shared" si="126"/>
        <v>12</v>
      </c>
      <c r="BX51" s="51">
        <f t="shared" si="100"/>
        <v>79</v>
      </c>
      <c r="BY51" s="103">
        <f>BY50</f>
        <v>86</v>
      </c>
      <c r="BZ51" s="46">
        <f t="shared" si="37"/>
        <v>-7</v>
      </c>
      <c r="CA51" s="316"/>
      <c r="CB51" s="120"/>
      <c r="CC51" s="7">
        <f>CC50</f>
        <v>7</v>
      </c>
      <c r="CD51" s="133"/>
      <c r="CE51" s="221"/>
      <c r="CF51" s="14">
        <f t="shared" si="88"/>
        <v>0</v>
      </c>
      <c r="CG51" s="46">
        <f t="shared" si="101"/>
        <v>0</v>
      </c>
      <c r="CH51" s="134"/>
      <c r="CI51" s="135"/>
      <c r="CJ51" s="135"/>
      <c r="CK51" s="14">
        <f t="shared" si="102"/>
        <v>0</v>
      </c>
      <c r="CL51" s="14">
        <f t="shared" si="92"/>
        <v>0</v>
      </c>
      <c r="CM51" s="14">
        <f t="shared" si="188"/>
        <v>0.16</v>
      </c>
      <c r="CN51" s="47">
        <f t="shared" si="39"/>
        <v>0</v>
      </c>
      <c r="CO51" s="35">
        <f t="shared" si="189"/>
        <v>2.72</v>
      </c>
      <c r="CP51" s="159">
        <f t="shared" si="40"/>
        <v>0</v>
      </c>
      <c r="CQ51" s="142"/>
      <c r="CR51" s="13">
        <f t="shared" si="190"/>
        <v>43</v>
      </c>
      <c r="CS51" s="48">
        <f t="shared" si="65"/>
        <v>0</v>
      </c>
      <c r="CT51" s="49">
        <f t="shared" si="66"/>
        <v>0</v>
      </c>
      <c r="CU51" s="50">
        <f t="shared" si="191"/>
        <v>502</v>
      </c>
      <c r="CV51" s="103">
        <f>CV50</f>
        <v>0</v>
      </c>
      <c r="CW51" s="46">
        <f t="shared" si="127"/>
        <v>502</v>
      </c>
      <c r="CX51" s="51">
        <f t="shared" si="42"/>
        <v>79</v>
      </c>
      <c r="CY51" s="103">
        <f>CY50</f>
        <v>0</v>
      </c>
      <c r="CZ51" s="46">
        <f t="shared" si="43"/>
        <v>79</v>
      </c>
      <c r="DA51" s="316"/>
      <c r="DB51" s="120"/>
      <c r="DC51" s="7">
        <f>DC50</f>
        <v>7</v>
      </c>
      <c r="DD51" s="133"/>
      <c r="DE51" s="221"/>
      <c r="DF51" s="14">
        <f t="shared" si="70"/>
        <v>0</v>
      </c>
      <c r="DG51" s="46">
        <f t="shared" si="103"/>
        <v>0</v>
      </c>
      <c r="DH51" s="134"/>
      <c r="DI51" s="135"/>
      <c r="DJ51" s="135"/>
      <c r="DK51" s="14">
        <f t="shared" si="104"/>
        <v>0</v>
      </c>
      <c r="DL51" s="14">
        <f t="shared" si="89"/>
        <v>0</v>
      </c>
      <c r="DM51" s="14">
        <f t="shared" si="192"/>
        <v>0.16</v>
      </c>
      <c r="DN51" s="47">
        <f t="shared" si="45"/>
        <v>0</v>
      </c>
      <c r="DO51" s="35">
        <f t="shared" si="193"/>
        <v>2.72</v>
      </c>
      <c r="DP51" s="159">
        <f t="shared" si="46"/>
        <v>0</v>
      </c>
      <c r="DQ51" s="142"/>
      <c r="DR51" s="13">
        <f t="shared" si="194"/>
        <v>43</v>
      </c>
      <c r="DS51" s="48">
        <f t="shared" si="82"/>
        <v>0</v>
      </c>
      <c r="DT51" s="49">
        <f t="shared" si="71"/>
        <v>0</v>
      </c>
      <c r="DU51" s="50">
        <f t="shared" si="195"/>
        <v>502</v>
      </c>
      <c r="DV51" s="103">
        <f>DV50</f>
        <v>0</v>
      </c>
      <c r="DW51" s="46">
        <f t="shared" si="128"/>
        <v>502</v>
      </c>
      <c r="DX51" s="51">
        <f t="shared" si="48"/>
        <v>79</v>
      </c>
      <c r="DY51" s="103">
        <f>DY50</f>
        <v>0</v>
      </c>
      <c r="DZ51" s="46">
        <f t="shared" si="74"/>
        <v>79</v>
      </c>
    </row>
    <row r="52" spans="2:130" x14ac:dyDescent="0.25">
      <c r="B52" s="120">
        <f t="shared" ref="B52:B56" si="215">B51+1</f>
        <v>14</v>
      </c>
      <c r="C52" s="115">
        <f t="shared" ref="C52:C63" si="216">C51</f>
        <v>7</v>
      </c>
      <c r="D52" s="133"/>
      <c r="E52" s="221"/>
      <c r="F52" s="103">
        <f t="shared" si="107"/>
        <v>93521</v>
      </c>
      <c r="G52" s="108">
        <f t="shared" si="93"/>
        <v>93517</v>
      </c>
      <c r="H52" s="134"/>
      <c r="I52" s="135">
        <v>4</v>
      </c>
      <c r="J52" s="135"/>
      <c r="K52" s="14">
        <f t="shared" si="94"/>
        <v>4</v>
      </c>
      <c r="L52" s="14">
        <f t="shared" si="90"/>
        <v>40</v>
      </c>
      <c r="M52" s="14">
        <f t="shared" si="22"/>
        <v>0.16</v>
      </c>
      <c r="N52" s="47">
        <f t="shared" si="23"/>
        <v>4.2771142310283249E-2</v>
      </c>
      <c r="O52" s="35">
        <f t="shared" si="24"/>
        <v>2.72</v>
      </c>
      <c r="P52" s="159">
        <f t="shared" si="25"/>
        <v>4.2771142310283249E-2</v>
      </c>
      <c r="Q52" s="142"/>
      <c r="R52" s="13">
        <f t="shared" si="105"/>
        <v>43</v>
      </c>
      <c r="S52" s="48">
        <f t="shared" si="50"/>
        <v>0</v>
      </c>
      <c r="T52" s="49">
        <f t="shared" si="83"/>
        <v>0.11689245893777725</v>
      </c>
      <c r="U52" s="160">
        <f t="shared" si="26"/>
        <v>502</v>
      </c>
      <c r="V52" s="103">
        <f t="shared" ref="V52:V56" si="217">V51</f>
        <v>490</v>
      </c>
      <c r="W52" s="46">
        <f t="shared" si="28"/>
        <v>12</v>
      </c>
      <c r="X52" s="51">
        <f t="shared" si="1"/>
        <v>79</v>
      </c>
      <c r="Y52" s="103">
        <f t="shared" ref="Y52:Y56" si="218">Y51</f>
        <v>86</v>
      </c>
      <c r="Z52" s="46">
        <f t="shared" si="29"/>
        <v>-7</v>
      </c>
      <c r="AB52" s="120">
        <f t="shared" ref="AB52:AB56" si="219">AB51+1</f>
        <v>16</v>
      </c>
      <c r="AC52" s="7">
        <f t="shared" ref="AC52:AC63" si="220">AC51</f>
        <v>7</v>
      </c>
      <c r="AD52" s="133"/>
      <c r="AE52" s="221"/>
      <c r="AF52" s="14">
        <f t="shared" si="95"/>
        <v>92218</v>
      </c>
      <c r="AG52" s="62">
        <f t="shared" si="96"/>
        <v>92175</v>
      </c>
      <c r="AH52" s="134">
        <v>37</v>
      </c>
      <c r="AI52" s="135">
        <v>6</v>
      </c>
      <c r="AJ52" s="135"/>
      <c r="AK52" s="14">
        <f t="shared" si="97"/>
        <v>43</v>
      </c>
      <c r="AL52" s="14">
        <f t="shared" si="84"/>
        <v>2565</v>
      </c>
      <c r="AM52" s="14">
        <f t="shared" si="179"/>
        <v>0.16</v>
      </c>
      <c r="AN52" s="47">
        <f t="shared" si="55"/>
        <v>0.46628640829339174</v>
      </c>
      <c r="AO52" s="35">
        <f t="shared" si="180"/>
        <v>2.72</v>
      </c>
      <c r="AP52" s="159">
        <f t="shared" si="77"/>
        <v>2.7814526448198835</v>
      </c>
      <c r="AQ52" s="142"/>
      <c r="AR52" s="14">
        <f t="shared" si="181"/>
        <v>43</v>
      </c>
      <c r="AS52" s="35">
        <f t="shared" si="91"/>
        <v>0</v>
      </c>
      <c r="AT52" s="301">
        <f t="shared" si="85"/>
        <v>5.5413543607296042E-2</v>
      </c>
      <c r="AU52" s="14">
        <f t="shared" si="182"/>
        <v>502</v>
      </c>
      <c r="AV52" s="103">
        <f t="shared" ref="AV52:AV56" si="221">AV51</f>
        <v>492</v>
      </c>
      <c r="AW52" s="46">
        <f t="shared" si="125"/>
        <v>10</v>
      </c>
      <c r="AX52" s="51">
        <f t="shared" si="57"/>
        <v>79</v>
      </c>
      <c r="AY52" s="103">
        <f t="shared" ref="AY52:AY56" si="222">AY51</f>
        <v>87</v>
      </c>
      <c r="AZ52" s="46">
        <f t="shared" si="33"/>
        <v>-8</v>
      </c>
      <c r="BA52" s="316"/>
      <c r="BB52" s="120">
        <f t="shared" ref="BB52:BB56" si="223">BB51+1</f>
        <v>14</v>
      </c>
      <c r="BC52" s="7">
        <f t="shared" ref="BC52:BC63" si="224">BC51</f>
        <v>7</v>
      </c>
      <c r="BD52" s="133"/>
      <c r="BE52" s="221"/>
      <c r="BF52" s="14">
        <f t="shared" si="98"/>
        <v>95280</v>
      </c>
      <c r="BG52" s="62">
        <f t="shared" si="120"/>
        <v>95268</v>
      </c>
      <c r="BH52" s="134"/>
      <c r="BI52" s="135">
        <v>12</v>
      </c>
      <c r="BJ52" s="135"/>
      <c r="BK52" s="14">
        <f t="shared" si="99"/>
        <v>12</v>
      </c>
      <c r="BL52" s="14">
        <f t="shared" si="86"/>
        <v>4935</v>
      </c>
      <c r="BM52" s="14">
        <f t="shared" si="184"/>
        <v>0.16</v>
      </c>
      <c r="BN52" s="47">
        <f t="shared" si="34"/>
        <v>0.12594458438287154</v>
      </c>
      <c r="BO52" s="35">
        <f t="shared" si="185"/>
        <v>2.72</v>
      </c>
      <c r="BP52" s="159">
        <f t="shared" si="36"/>
        <v>5.1794710327455915</v>
      </c>
      <c r="BQ52" s="142"/>
      <c r="BR52" s="13">
        <f t="shared" si="186"/>
        <v>43</v>
      </c>
      <c r="BS52" s="48">
        <f t="shared" si="79"/>
        <v>0</v>
      </c>
      <c r="BT52" s="49">
        <f t="shared" si="87"/>
        <v>7.2033724880284866E-2</v>
      </c>
      <c r="BU52" s="50">
        <f t="shared" si="187"/>
        <v>502</v>
      </c>
      <c r="BV52" s="103">
        <f t="shared" ref="BV52:BV56" si="225">BV51</f>
        <v>490</v>
      </c>
      <c r="BW52" s="46">
        <f t="shared" si="126"/>
        <v>12</v>
      </c>
      <c r="BX52" s="51">
        <f t="shared" si="100"/>
        <v>79</v>
      </c>
      <c r="BY52" s="103">
        <f t="shared" ref="BY52:BY56" si="226">BY51</f>
        <v>86</v>
      </c>
      <c r="BZ52" s="46">
        <f t="shared" si="37"/>
        <v>-7</v>
      </c>
      <c r="CA52" s="316"/>
      <c r="CB52" s="120"/>
      <c r="CC52" s="7">
        <f t="shared" ref="CC52:CC63" si="227">CC51</f>
        <v>7</v>
      </c>
      <c r="CD52" s="133"/>
      <c r="CE52" s="221"/>
      <c r="CF52" s="14">
        <f t="shared" si="88"/>
        <v>0</v>
      </c>
      <c r="CG52" s="62">
        <f t="shared" si="101"/>
        <v>0</v>
      </c>
      <c r="CH52" s="134"/>
      <c r="CI52" s="135"/>
      <c r="CJ52" s="135"/>
      <c r="CK52" s="14">
        <f t="shared" si="102"/>
        <v>0</v>
      </c>
      <c r="CL52" s="14">
        <f t="shared" si="92"/>
        <v>0</v>
      </c>
      <c r="CM52" s="14">
        <f t="shared" si="188"/>
        <v>0.16</v>
      </c>
      <c r="CN52" s="47">
        <f t="shared" si="39"/>
        <v>0</v>
      </c>
      <c r="CO52" s="35">
        <f t="shared" si="189"/>
        <v>2.72</v>
      </c>
      <c r="CP52" s="159">
        <f t="shared" si="40"/>
        <v>0</v>
      </c>
      <c r="CQ52" s="142"/>
      <c r="CR52" s="13">
        <f t="shared" si="190"/>
        <v>43</v>
      </c>
      <c r="CS52" s="48">
        <f t="shared" si="65"/>
        <v>0</v>
      </c>
      <c r="CT52" s="49">
        <f t="shared" si="66"/>
        <v>0</v>
      </c>
      <c r="CU52" s="50">
        <f t="shared" si="191"/>
        <v>502</v>
      </c>
      <c r="CV52" s="103">
        <f t="shared" ref="CV52:CV56" si="228">CV51</f>
        <v>0</v>
      </c>
      <c r="CW52" s="46">
        <f t="shared" si="127"/>
        <v>502</v>
      </c>
      <c r="CX52" s="51">
        <f t="shared" si="42"/>
        <v>79</v>
      </c>
      <c r="CY52" s="103">
        <f t="shared" ref="CY52:CY56" si="229">CY51</f>
        <v>0</v>
      </c>
      <c r="CZ52" s="46">
        <f t="shared" si="43"/>
        <v>79</v>
      </c>
      <c r="DA52" s="316"/>
      <c r="DB52" s="120"/>
      <c r="DC52" s="7">
        <f t="shared" ref="DC52:DC63" si="230">DC51</f>
        <v>7</v>
      </c>
      <c r="DD52" s="133"/>
      <c r="DE52" s="221"/>
      <c r="DF52" s="14">
        <f t="shared" si="70"/>
        <v>0</v>
      </c>
      <c r="DG52" s="62">
        <f t="shared" si="103"/>
        <v>0</v>
      </c>
      <c r="DH52" s="134"/>
      <c r="DI52" s="135"/>
      <c r="DJ52" s="135"/>
      <c r="DK52" s="14">
        <f t="shared" si="104"/>
        <v>0</v>
      </c>
      <c r="DL52" s="14">
        <f t="shared" si="89"/>
        <v>0</v>
      </c>
      <c r="DM52" s="14">
        <f t="shared" si="192"/>
        <v>0.16</v>
      </c>
      <c r="DN52" s="47">
        <f t="shared" si="45"/>
        <v>0</v>
      </c>
      <c r="DO52" s="35">
        <f t="shared" si="193"/>
        <v>2.72</v>
      </c>
      <c r="DP52" s="159">
        <f t="shared" si="46"/>
        <v>0</v>
      </c>
      <c r="DQ52" s="142"/>
      <c r="DR52" s="13">
        <f t="shared" si="194"/>
        <v>43</v>
      </c>
      <c r="DS52" s="48">
        <f t="shared" si="82"/>
        <v>0</v>
      </c>
      <c r="DT52" s="49">
        <f t="shared" si="71"/>
        <v>0</v>
      </c>
      <c r="DU52" s="50">
        <f t="shared" si="195"/>
        <v>502</v>
      </c>
      <c r="DV52" s="103">
        <f t="shared" ref="DV52:DV56" si="231">DV51</f>
        <v>0</v>
      </c>
      <c r="DW52" s="46">
        <f t="shared" si="128"/>
        <v>502</v>
      </c>
      <c r="DX52" s="51">
        <f t="shared" si="48"/>
        <v>79</v>
      </c>
      <c r="DY52" s="103">
        <f t="shared" ref="DY52:DY56" si="232">DY51</f>
        <v>0</v>
      </c>
      <c r="DZ52" s="46">
        <f t="shared" si="74"/>
        <v>79</v>
      </c>
    </row>
    <row r="53" spans="2:130" x14ac:dyDescent="0.25">
      <c r="B53" s="120">
        <f t="shared" si="215"/>
        <v>15</v>
      </c>
      <c r="C53" s="115">
        <f t="shared" si="216"/>
        <v>7</v>
      </c>
      <c r="D53" s="133"/>
      <c r="E53" s="221"/>
      <c r="F53" s="103">
        <f t="shared" si="107"/>
        <v>93517</v>
      </c>
      <c r="G53" s="107">
        <f t="shared" si="93"/>
        <v>93512</v>
      </c>
      <c r="H53" s="134"/>
      <c r="I53" s="135">
        <v>5</v>
      </c>
      <c r="J53" s="135"/>
      <c r="K53" s="14">
        <f t="shared" si="94"/>
        <v>5</v>
      </c>
      <c r="L53" s="14">
        <f t="shared" si="90"/>
        <v>45</v>
      </c>
      <c r="M53" s="14">
        <f t="shared" si="22"/>
        <v>0.16</v>
      </c>
      <c r="N53" s="47">
        <f t="shared" si="23"/>
        <v>5.3466214698931744E-2</v>
      </c>
      <c r="O53" s="35">
        <f t="shared" si="24"/>
        <v>2.72</v>
      </c>
      <c r="P53" s="159">
        <f t="shared" si="25"/>
        <v>4.8119593229038568E-2</v>
      </c>
      <c r="Q53" s="142"/>
      <c r="R53" s="14">
        <f t="shared" si="105"/>
        <v>43</v>
      </c>
      <c r="S53" s="48">
        <f t="shared" si="50"/>
        <v>0</v>
      </c>
      <c r="T53" s="49">
        <f t="shared" si="83"/>
        <v>0.11689245893777725</v>
      </c>
      <c r="U53" s="160">
        <f t="shared" si="26"/>
        <v>502</v>
      </c>
      <c r="V53" s="103">
        <f t="shared" si="217"/>
        <v>490</v>
      </c>
      <c r="W53" s="46">
        <f t="shared" si="28"/>
        <v>12</v>
      </c>
      <c r="X53" s="51">
        <f t="shared" si="1"/>
        <v>79</v>
      </c>
      <c r="Y53" s="103">
        <f t="shared" si="218"/>
        <v>86</v>
      </c>
      <c r="Z53" s="46">
        <f t="shared" si="29"/>
        <v>-7</v>
      </c>
      <c r="AB53" s="120">
        <f t="shared" si="219"/>
        <v>17</v>
      </c>
      <c r="AC53" s="7">
        <f t="shared" si="220"/>
        <v>7</v>
      </c>
      <c r="AD53" s="133"/>
      <c r="AE53" s="221"/>
      <c r="AF53" s="14">
        <f t="shared" si="95"/>
        <v>92175</v>
      </c>
      <c r="AG53" s="59">
        <f t="shared" si="96"/>
        <v>92145</v>
      </c>
      <c r="AH53" s="134">
        <v>26</v>
      </c>
      <c r="AI53" s="135">
        <v>4</v>
      </c>
      <c r="AJ53" s="135"/>
      <c r="AK53" s="14">
        <f t="shared" si="97"/>
        <v>30</v>
      </c>
      <c r="AL53" s="14">
        <f t="shared" si="84"/>
        <v>2595</v>
      </c>
      <c r="AM53" s="14">
        <f t="shared" si="179"/>
        <v>0.16</v>
      </c>
      <c r="AN53" s="47">
        <f t="shared" si="55"/>
        <v>0.32546786004882017</v>
      </c>
      <c r="AO53" s="35">
        <f t="shared" si="180"/>
        <v>2.72</v>
      </c>
      <c r="AP53" s="159">
        <f t="shared" si="77"/>
        <v>2.8152969894222943</v>
      </c>
      <c r="AQ53" s="142"/>
      <c r="AR53" s="14">
        <f t="shared" si="181"/>
        <v>43</v>
      </c>
      <c r="AS53" s="35">
        <f t="shared" si="91"/>
        <v>0</v>
      </c>
      <c r="AT53" s="301">
        <f t="shared" si="85"/>
        <v>5.5413543607296042E-2</v>
      </c>
      <c r="AU53" s="14">
        <f t="shared" si="182"/>
        <v>502</v>
      </c>
      <c r="AV53" s="103">
        <f t="shared" si="221"/>
        <v>492</v>
      </c>
      <c r="AW53" s="46">
        <f t="shared" si="125"/>
        <v>10</v>
      </c>
      <c r="AX53" s="51">
        <f t="shared" si="57"/>
        <v>79</v>
      </c>
      <c r="AY53" s="103">
        <f t="shared" si="222"/>
        <v>87</v>
      </c>
      <c r="AZ53" s="46">
        <f t="shared" si="33"/>
        <v>-8</v>
      </c>
      <c r="BA53" s="316"/>
      <c r="BB53" s="120">
        <f t="shared" si="223"/>
        <v>15</v>
      </c>
      <c r="BC53" s="7">
        <f t="shared" si="224"/>
        <v>7</v>
      </c>
      <c r="BD53" s="133"/>
      <c r="BE53" s="221"/>
      <c r="BF53" s="14">
        <f t="shared" si="98"/>
        <v>95268</v>
      </c>
      <c r="BG53" s="59">
        <f t="shared" si="120"/>
        <v>95253</v>
      </c>
      <c r="BH53" s="134">
        <v>4</v>
      </c>
      <c r="BI53" s="135">
        <v>11</v>
      </c>
      <c r="BJ53" s="135"/>
      <c r="BK53" s="14">
        <f t="shared" si="99"/>
        <v>15</v>
      </c>
      <c r="BL53" s="14">
        <f t="shared" si="86"/>
        <v>4950</v>
      </c>
      <c r="BM53" s="14">
        <f t="shared" si="184"/>
        <v>0.16</v>
      </c>
      <c r="BN53" s="47">
        <f t="shared" si="34"/>
        <v>0.15745056052399548</v>
      </c>
      <c r="BO53" s="35">
        <f t="shared" si="185"/>
        <v>2.72</v>
      </c>
      <c r="BP53" s="159">
        <f t="shared" si="36"/>
        <v>5.1958684972918503</v>
      </c>
      <c r="BQ53" s="142"/>
      <c r="BR53" s="13">
        <f t="shared" si="186"/>
        <v>43</v>
      </c>
      <c r="BS53" s="48">
        <f t="shared" si="79"/>
        <v>0</v>
      </c>
      <c r="BT53" s="49">
        <f t="shared" si="87"/>
        <v>7.2033724880284866E-2</v>
      </c>
      <c r="BU53" s="50">
        <f t="shared" si="187"/>
        <v>502</v>
      </c>
      <c r="BV53" s="103">
        <f t="shared" si="225"/>
        <v>490</v>
      </c>
      <c r="BW53" s="46">
        <f t="shared" si="126"/>
        <v>12</v>
      </c>
      <c r="BX53" s="51">
        <f t="shared" si="100"/>
        <v>79</v>
      </c>
      <c r="BY53" s="103">
        <f t="shared" si="226"/>
        <v>86</v>
      </c>
      <c r="BZ53" s="46">
        <f t="shared" si="37"/>
        <v>-7</v>
      </c>
      <c r="CA53" s="316"/>
      <c r="CB53" s="120"/>
      <c r="CC53" s="7">
        <f t="shared" si="227"/>
        <v>7</v>
      </c>
      <c r="CD53" s="133"/>
      <c r="CE53" s="221"/>
      <c r="CF53" s="14">
        <f t="shared" si="88"/>
        <v>0</v>
      </c>
      <c r="CG53" s="59">
        <f t="shared" si="101"/>
        <v>0</v>
      </c>
      <c r="CH53" s="134"/>
      <c r="CI53" s="135"/>
      <c r="CJ53" s="135"/>
      <c r="CK53" s="14">
        <f t="shared" si="102"/>
        <v>0</v>
      </c>
      <c r="CL53" s="14">
        <f t="shared" si="92"/>
        <v>0</v>
      </c>
      <c r="CM53" s="14">
        <f t="shared" si="188"/>
        <v>0.16</v>
      </c>
      <c r="CN53" s="47">
        <f t="shared" si="39"/>
        <v>0</v>
      </c>
      <c r="CO53" s="35">
        <f t="shared" si="189"/>
        <v>2.72</v>
      </c>
      <c r="CP53" s="159">
        <f t="shared" si="40"/>
        <v>0</v>
      </c>
      <c r="CQ53" s="142"/>
      <c r="CR53" s="13">
        <f t="shared" si="190"/>
        <v>43</v>
      </c>
      <c r="CS53" s="48">
        <f t="shared" si="65"/>
        <v>0</v>
      </c>
      <c r="CT53" s="49">
        <f t="shared" si="66"/>
        <v>0</v>
      </c>
      <c r="CU53" s="50">
        <f t="shared" si="191"/>
        <v>502</v>
      </c>
      <c r="CV53" s="103">
        <f t="shared" si="228"/>
        <v>0</v>
      </c>
      <c r="CW53" s="46">
        <f t="shared" si="127"/>
        <v>502</v>
      </c>
      <c r="CX53" s="51">
        <f t="shared" si="42"/>
        <v>79</v>
      </c>
      <c r="CY53" s="103">
        <f t="shared" si="229"/>
        <v>0</v>
      </c>
      <c r="CZ53" s="46">
        <f t="shared" si="43"/>
        <v>79</v>
      </c>
      <c r="DA53" s="316"/>
      <c r="DB53" s="120"/>
      <c r="DC53" s="7">
        <f t="shared" si="230"/>
        <v>7</v>
      </c>
      <c r="DD53" s="133"/>
      <c r="DE53" s="221"/>
      <c r="DF53" s="14">
        <f t="shared" si="70"/>
        <v>0</v>
      </c>
      <c r="DG53" s="59">
        <f t="shared" si="103"/>
        <v>0</v>
      </c>
      <c r="DH53" s="134"/>
      <c r="DI53" s="135"/>
      <c r="DJ53" s="135"/>
      <c r="DK53" s="14">
        <f t="shared" si="104"/>
        <v>0</v>
      </c>
      <c r="DL53" s="14">
        <f t="shared" si="89"/>
        <v>0</v>
      </c>
      <c r="DM53" s="14">
        <f t="shared" si="192"/>
        <v>0.16</v>
      </c>
      <c r="DN53" s="47">
        <f t="shared" si="45"/>
        <v>0</v>
      </c>
      <c r="DO53" s="35">
        <f t="shared" si="193"/>
        <v>2.72</v>
      </c>
      <c r="DP53" s="159">
        <f t="shared" si="46"/>
        <v>0</v>
      </c>
      <c r="DQ53" s="142"/>
      <c r="DR53" s="13">
        <f t="shared" si="194"/>
        <v>43</v>
      </c>
      <c r="DS53" s="48">
        <f t="shared" si="82"/>
        <v>0</v>
      </c>
      <c r="DT53" s="49">
        <f t="shared" si="71"/>
        <v>0</v>
      </c>
      <c r="DU53" s="50">
        <f t="shared" si="195"/>
        <v>502</v>
      </c>
      <c r="DV53" s="103">
        <f t="shared" si="231"/>
        <v>0</v>
      </c>
      <c r="DW53" s="46">
        <f t="shared" si="128"/>
        <v>502</v>
      </c>
      <c r="DX53" s="51">
        <f t="shared" si="48"/>
        <v>79</v>
      </c>
      <c r="DY53" s="103">
        <f t="shared" si="232"/>
        <v>0</v>
      </c>
      <c r="DZ53" s="46">
        <f t="shared" si="74"/>
        <v>79</v>
      </c>
    </row>
    <row r="54" spans="2:130" x14ac:dyDescent="0.25">
      <c r="B54" s="120">
        <f t="shared" si="215"/>
        <v>16</v>
      </c>
      <c r="C54" s="115">
        <f t="shared" si="216"/>
        <v>7</v>
      </c>
      <c r="D54" s="133"/>
      <c r="E54" s="221"/>
      <c r="F54" s="103">
        <f t="shared" si="107"/>
        <v>93512</v>
      </c>
      <c r="G54" s="107">
        <f t="shared" si="93"/>
        <v>93506</v>
      </c>
      <c r="H54" s="134"/>
      <c r="I54" s="135">
        <v>6</v>
      </c>
      <c r="J54" s="135"/>
      <c r="K54" s="14">
        <f t="shared" si="94"/>
        <v>6</v>
      </c>
      <c r="L54" s="14">
        <f t="shared" si="90"/>
        <v>51</v>
      </c>
      <c r="M54" s="14">
        <f t="shared" si="22"/>
        <v>0.16</v>
      </c>
      <c r="N54" s="47">
        <f t="shared" si="23"/>
        <v>6.4162888185473527E-2</v>
      </c>
      <c r="O54" s="35">
        <f t="shared" si="24"/>
        <v>2.72</v>
      </c>
      <c r="P54" s="159">
        <f t="shared" si="25"/>
        <v>5.4538454957652492E-2</v>
      </c>
      <c r="Q54" s="142"/>
      <c r="R54" s="17">
        <f t="shared" si="105"/>
        <v>43</v>
      </c>
      <c r="S54" s="48">
        <f t="shared" si="50"/>
        <v>0</v>
      </c>
      <c r="T54" s="49">
        <f t="shared" si="83"/>
        <v>0.11689245893777725</v>
      </c>
      <c r="U54" s="160">
        <f t="shared" si="26"/>
        <v>502</v>
      </c>
      <c r="V54" s="103">
        <f t="shared" si="217"/>
        <v>490</v>
      </c>
      <c r="W54" s="46">
        <f t="shared" si="28"/>
        <v>12</v>
      </c>
      <c r="X54" s="51">
        <f t="shared" si="1"/>
        <v>79</v>
      </c>
      <c r="Y54" s="103">
        <f t="shared" si="218"/>
        <v>86</v>
      </c>
      <c r="Z54" s="46">
        <f t="shared" si="29"/>
        <v>-7</v>
      </c>
      <c r="AB54" s="120">
        <f t="shared" si="219"/>
        <v>18</v>
      </c>
      <c r="AC54" s="7">
        <f t="shared" si="220"/>
        <v>7</v>
      </c>
      <c r="AD54" s="133"/>
      <c r="AE54" s="221"/>
      <c r="AF54" s="14">
        <f t="shared" si="95"/>
        <v>92145</v>
      </c>
      <c r="AG54" s="59">
        <f t="shared" si="96"/>
        <v>92136</v>
      </c>
      <c r="AH54" s="134"/>
      <c r="AI54" s="135">
        <v>9</v>
      </c>
      <c r="AJ54" s="135"/>
      <c r="AK54" s="14">
        <f t="shared" si="97"/>
        <v>9</v>
      </c>
      <c r="AL54" s="14">
        <f t="shared" si="84"/>
        <v>2604</v>
      </c>
      <c r="AM54" s="14">
        <f t="shared" si="179"/>
        <v>0.16</v>
      </c>
      <c r="AN54" s="47">
        <f t="shared" si="55"/>
        <v>9.767214715936838E-2</v>
      </c>
      <c r="AO54" s="35">
        <f t="shared" si="180"/>
        <v>2.72</v>
      </c>
      <c r="AP54" s="159">
        <f t="shared" si="77"/>
        <v>2.8259807911443922</v>
      </c>
      <c r="AQ54" s="142"/>
      <c r="AR54" s="14">
        <f t="shared" si="181"/>
        <v>43</v>
      </c>
      <c r="AS54" s="35">
        <f t="shared" si="91"/>
        <v>0</v>
      </c>
      <c r="AT54" s="301">
        <f t="shared" si="85"/>
        <v>5.5413543607296042E-2</v>
      </c>
      <c r="AU54" s="14">
        <f t="shared" si="182"/>
        <v>502</v>
      </c>
      <c r="AV54" s="103">
        <f t="shared" si="221"/>
        <v>492</v>
      </c>
      <c r="AW54" s="46">
        <f t="shared" si="125"/>
        <v>10</v>
      </c>
      <c r="AX54" s="51">
        <f t="shared" si="57"/>
        <v>79</v>
      </c>
      <c r="AY54" s="103">
        <f t="shared" si="222"/>
        <v>87</v>
      </c>
      <c r="AZ54" s="46">
        <f t="shared" si="33"/>
        <v>-8</v>
      </c>
      <c r="BA54" s="316"/>
      <c r="BB54" s="120">
        <f t="shared" si="223"/>
        <v>16</v>
      </c>
      <c r="BC54" s="7">
        <f t="shared" si="224"/>
        <v>7</v>
      </c>
      <c r="BD54" s="133"/>
      <c r="BE54" s="221"/>
      <c r="BF54" s="14">
        <f t="shared" si="98"/>
        <v>95253</v>
      </c>
      <c r="BG54" s="59">
        <f t="shared" si="120"/>
        <v>95241</v>
      </c>
      <c r="BH54" s="134"/>
      <c r="BI54" s="135">
        <v>12</v>
      </c>
      <c r="BJ54" s="135"/>
      <c r="BK54" s="14">
        <f t="shared" si="99"/>
        <v>12</v>
      </c>
      <c r="BL54" s="14">
        <f t="shared" si="86"/>
        <v>4962</v>
      </c>
      <c r="BM54" s="14">
        <f t="shared" si="184"/>
        <v>0.16</v>
      </c>
      <c r="BN54" s="47">
        <f t="shared" si="34"/>
        <v>0.1259802840855406</v>
      </c>
      <c r="BO54" s="35">
        <f t="shared" si="185"/>
        <v>2.72</v>
      </c>
      <c r="BP54" s="159">
        <f t="shared" si="36"/>
        <v>5.2092847469371044</v>
      </c>
      <c r="BQ54" s="142"/>
      <c r="BR54" s="13">
        <f t="shared" si="186"/>
        <v>43</v>
      </c>
      <c r="BS54" s="48">
        <f t="shared" si="79"/>
        <v>0</v>
      </c>
      <c r="BT54" s="68">
        <f t="shared" si="87"/>
        <v>7.2033724880284866E-2</v>
      </c>
      <c r="BU54" s="50">
        <f t="shared" si="187"/>
        <v>502</v>
      </c>
      <c r="BV54" s="103">
        <f t="shared" si="225"/>
        <v>490</v>
      </c>
      <c r="BW54" s="46">
        <f t="shared" si="126"/>
        <v>12</v>
      </c>
      <c r="BX54" s="51">
        <f t="shared" si="100"/>
        <v>79</v>
      </c>
      <c r="BY54" s="103">
        <f t="shared" si="226"/>
        <v>86</v>
      </c>
      <c r="BZ54" s="46">
        <f t="shared" si="37"/>
        <v>-7</v>
      </c>
      <c r="CA54" s="316"/>
      <c r="CB54" s="120"/>
      <c r="CC54" s="7">
        <f t="shared" si="227"/>
        <v>7</v>
      </c>
      <c r="CD54" s="133"/>
      <c r="CE54" s="221"/>
      <c r="CF54" s="14">
        <f t="shared" si="88"/>
        <v>0</v>
      </c>
      <c r="CG54" s="59">
        <f t="shared" si="101"/>
        <v>0</v>
      </c>
      <c r="CH54" s="134"/>
      <c r="CI54" s="135"/>
      <c r="CJ54" s="135"/>
      <c r="CK54" s="14">
        <f t="shared" si="102"/>
        <v>0</v>
      </c>
      <c r="CL54" s="14">
        <f t="shared" si="92"/>
        <v>0</v>
      </c>
      <c r="CM54" s="14">
        <f t="shared" si="188"/>
        <v>0.16</v>
      </c>
      <c r="CN54" s="47">
        <f t="shared" si="39"/>
        <v>0</v>
      </c>
      <c r="CO54" s="35">
        <f t="shared" si="189"/>
        <v>2.72</v>
      </c>
      <c r="CP54" s="159">
        <f t="shared" si="40"/>
        <v>0</v>
      </c>
      <c r="CQ54" s="142"/>
      <c r="CR54" s="13">
        <f t="shared" si="190"/>
        <v>43</v>
      </c>
      <c r="CS54" s="48">
        <f t="shared" si="65"/>
        <v>0</v>
      </c>
      <c r="CT54" s="68">
        <f t="shared" si="66"/>
        <v>0</v>
      </c>
      <c r="CU54" s="50">
        <f t="shared" si="191"/>
        <v>502</v>
      </c>
      <c r="CV54" s="103">
        <f t="shared" si="228"/>
        <v>0</v>
      </c>
      <c r="CW54" s="46">
        <f t="shared" si="127"/>
        <v>502</v>
      </c>
      <c r="CX54" s="51">
        <f t="shared" si="42"/>
        <v>79</v>
      </c>
      <c r="CY54" s="103">
        <f t="shared" si="229"/>
        <v>0</v>
      </c>
      <c r="CZ54" s="46">
        <f t="shared" si="43"/>
        <v>79</v>
      </c>
      <c r="DA54" s="316"/>
      <c r="DB54" s="120"/>
      <c r="DC54" s="7">
        <f t="shared" si="230"/>
        <v>7</v>
      </c>
      <c r="DD54" s="133"/>
      <c r="DE54" s="221"/>
      <c r="DF54" s="14">
        <f t="shared" si="70"/>
        <v>0</v>
      </c>
      <c r="DG54" s="59">
        <f t="shared" si="103"/>
        <v>0</v>
      </c>
      <c r="DH54" s="134"/>
      <c r="DI54" s="135"/>
      <c r="DJ54" s="135"/>
      <c r="DK54" s="14">
        <f t="shared" si="104"/>
        <v>0</v>
      </c>
      <c r="DL54" s="14">
        <f t="shared" si="89"/>
        <v>0</v>
      </c>
      <c r="DM54" s="14">
        <f t="shared" si="192"/>
        <v>0.16</v>
      </c>
      <c r="DN54" s="47">
        <f t="shared" si="45"/>
        <v>0</v>
      </c>
      <c r="DO54" s="35">
        <f t="shared" si="193"/>
        <v>2.72</v>
      </c>
      <c r="DP54" s="159">
        <f t="shared" si="46"/>
        <v>0</v>
      </c>
      <c r="DQ54" s="142"/>
      <c r="DR54" s="13">
        <f t="shared" si="194"/>
        <v>43</v>
      </c>
      <c r="DS54" s="48">
        <f t="shared" si="82"/>
        <v>0</v>
      </c>
      <c r="DT54" s="68">
        <f t="shared" si="71"/>
        <v>0</v>
      </c>
      <c r="DU54" s="50">
        <f t="shared" si="195"/>
        <v>502</v>
      </c>
      <c r="DV54" s="103">
        <f t="shared" si="231"/>
        <v>0</v>
      </c>
      <c r="DW54" s="46">
        <f t="shared" si="128"/>
        <v>502</v>
      </c>
      <c r="DX54" s="51">
        <f t="shared" si="48"/>
        <v>79</v>
      </c>
      <c r="DY54" s="103">
        <f t="shared" si="232"/>
        <v>0</v>
      </c>
      <c r="DZ54" s="46">
        <f t="shared" si="74"/>
        <v>79</v>
      </c>
    </row>
    <row r="55" spans="2:130" x14ac:dyDescent="0.25">
      <c r="B55" s="120">
        <f t="shared" si="215"/>
        <v>17</v>
      </c>
      <c r="C55" s="115">
        <f t="shared" si="216"/>
        <v>7</v>
      </c>
      <c r="D55" s="133"/>
      <c r="E55" s="221"/>
      <c r="F55" s="103">
        <f t="shared" si="107"/>
        <v>93506</v>
      </c>
      <c r="G55" s="104">
        <f t="shared" si="93"/>
        <v>93499</v>
      </c>
      <c r="H55" s="134"/>
      <c r="I55" s="135">
        <v>7</v>
      </c>
      <c r="J55" s="135"/>
      <c r="K55" s="14">
        <f t="shared" si="94"/>
        <v>7</v>
      </c>
      <c r="L55" s="14">
        <f t="shared" si="90"/>
        <v>58</v>
      </c>
      <c r="M55" s="14">
        <f t="shared" si="22"/>
        <v>0.16</v>
      </c>
      <c r="N55" s="47">
        <f t="shared" si="23"/>
        <v>7.4861506213505014E-2</v>
      </c>
      <c r="O55" s="35">
        <f t="shared" si="24"/>
        <v>2.72</v>
      </c>
      <c r="P55" s="159">
        <f t="shared" si="25"/>
        <v>6.2028105148332728E-2</v>
      </c>
      <c r="Q55" s="142"/>
      <c r="R55" s="17">
        <f t="shared" si="105"/>
        <v>43</v>
      </c>
      <c r="S55" s="48">
        <f t="shared" si="50"/>
        <v>0</v>
      </c>
      <c r="T55" s="49">
        <f t="shared" si="83"/>
        <v>0.11689245893777725</v>
      </c>
      <c r="U55" s="160">
        <f t="shared" si="26"/>
        <v>502</v>
      </c>
      <c r="V55" s="103">
        <f t="shared" si="217"/>
        <v>490</v>
      </c>
      <c r="W55" s="46">
        <f t="shared" si="28"/>
        <v>12</v>
      </c>
      <c r="X55" s="51">
        <f t="shared" si="1"/>
        <v>79</v>
      </c>
      <c r="Y55" s="103">
        <f t="shared" si="218"/>
        <v>86</v>
      </c>
      <c r="Z55" s="46">
        <f t="shared" si="29"/>
        <v>-7</v>
      </c>
      <c r="AB55" s="120">
        <f t="shared" si="219"/>
        <v>19</v>
      </c>
      <c r="AC55" s="7">
        <f t="shared" si="220"/>
        <v>7</v>
      </c>
      <c r="AD55" s="133"/>
      <c r="AE55" s="221"/>
      <c r="AF55" s="14">
        <f t="shared" si="95"/>
        <v>92136</v>
      </c>
      <c r="AG55" s="46">
        <f t="shared" si="96"/>
        <v>92130</v>
      </c>
      <c r="AH55" s="134"/>
      <c r="AI55" s="135">
        <v>6</v>
      </c>
      <c r="AJ55" s="135"/>
      <c r="AK55" s="14">
        <f t="shared" si="97"/>
        <v>6</v>
      </c>
      <c r="AL55" s="14">
        <f t="shared" si="84"/>
        <v>2610</v>
      </c>
      <c r="AM55" s="14">
        <f t="shared" si="179"/>
        <v>0.16</v>
      </c>
      <c r="AN55" s="47">
        <f t="shared" si="55"/>
        <v>6.5121125293045062E-2</v>
      </c>
      <c r="AO55" s="35">
        <f t="shared" si="180"/>
        <v>2.72</v>
      </c>
      <c r="AP55" s="159">
        <f t="shared" si="77"/>
        <v>2.8327689502474604</v>
      </c>
      <c r="AQ55" s="142"/>
      <c r="AR55" s="14">
        <f t="shared" si="181"/>
        <v>43</v>
      </c>
      <c r="AS55" s="35">
        <f t="shared" si="91"/>
        <v>0</v>
      </c>
      <c r="AT55" s="301">
        <f t="shared" si="85"/>
        <v>5.5413543607296042E-2</v>
      </c>
      <c r="AU55" s="14">
        <f t="shared" si="182"/>
        <v>502</v>
      </c>
      <c r="AV55" s="103">
        <f t="shared" si="221"/>
        <v>492</v>
      </c>
      <c r="AW55" s="46">
        <f t="shared" si="125"/>
        <v>10</v>
      </c>
      <c r="AX55" s="51">
        <f t="shared" si="57"/>
        <v>79</v>
      </c>
      <c r="AY55" s="103">
        <f t="shared" si="222"/>
        <v>87</v>
      </c>
      <c r="AZ55" s="46">
        <f t="shared" si="33"/>
        <v>-8</v>
      </c>
      <c r="BA55" s="316"/>
      <c r="BB55" s="120">
        <f t="shared" si="223"/>
        <v>17</v>
      </c>
      <c r="BC55" s="7">
        <f t="shared" si="224"/>
        <v>7</v>
      </c>
      <c r="BD55" s="133"/>
      <c r="BE55" s="221"/>
      <c r="BF55" s="14">
        <f t="shared" si="98"/>
        <v>95241</v>
      </c>
      <c r="BG55" s="46">
        <f t="shared" si="120"/>
        <v>95232</v>
      </c>
      <c r="BH55" s="134"/>
      <c r="BI55" s="135">
        <v>9</v>
      </c>
      <c r="BJ55" s="135"/>
      <c r="BK55" s="14">
        <f t="shared" si="99"/>
        <v>9</v>
      </c>
      <c r="BL55" s="14">
        <f t="shared" si="86"/>
        <v>4971</v>
      </c>
      <c r="BM55" s="14">
        <f t="shared" si="184"/>
        <v>0.16</v>
      </c>
      <c r="BN55" s="47">
        <f t="shared" si="34"/>
        <v>9.4497117837905945E-2</v>
      </c>
      <c r="BO55" s="35">
        <f t="shared" si="185"/>
        <v>2.72</v>
      </c>
      <c r="BP55" s="159">
        <f t="shared" si="36"/>
        <v>5.2193908085803384</v>
      </c>
      <c r="BQ55" s="142"/>
      <c r="BR55" s="13">
        <f t="shared" si="186"/>
        <v>43</v>
      </c>
      <c r="BS55" s="48">
        <f t="shared" si="79"/>
        <v>0</v>
      </c>
      <c r="BT55" s="49">
        <f t="shared" si="87"/>
        <v>7.2033724880284866E-2</v>
      </c>
      <c r="BU55" s="50">
        <f t="shared" si="187"/>
        <v>502</v>
      </c>
      <c r="BV55" s="103">
        <f t="shared" si="225"/>
        <v>490</v>
      </c>
      <c r="BW55" s="46">
        <f t="shared" si="126"/>
        <v>12</v>
      </c>
      <c r="BX55" s="51">
        <f t="shared" si="100"/>
        <v>79</v>
      </c>
      <c r="BY55" s="103">
        <f t="shared" si="226"/>
        <v>86</v>
      </c>
      <c r="BZ55" s="46">
        <f t="shared" si="37"/>
        <v>-7</v>
      </c>
      <c r="CA55" s="316"/>
      <c r="CB55" s="120"/>
      <c r="CC55" s="7">
        <f t="shared" si="227"/>
        <v>7</v>
      </c>
      <c r="CD55" s="133"/>
      <c r="CE55" s="221"/>
      <c r="CF55" s="14">
        <f t="shared" si="88"/>
        <v>0</v>
      </c>
      <c r="CG55" s="46">
        <f t="shared" si="101"/>
        <v>0</v>
      </c>
      <c r="CH55" s="134"/>
      <c r="CI55" s="135"/>
      <c r="CJ55" s="135"/>
      <c r="CK55" s="14">
        <f t="shared" si="102"/>
        <v>0</v>
      </c>
      <c r="CL55" s="14">
        <f t="shared" si="92"/>
        <v>0</v>
      </c>
      <c r="CM55" s="14">
        <f t="shared" si="188"/>
        <v>0.16</v>
      </c>
      <c r="CN55" s="47">
        <f t="shared" si="39"/>
        <v>0</v>
      </c>
      <c r="CO55" s="35">
        <f t="shared" si="189"/>
        <v>2.72</v>
      </c>
      <c r="CP55" s="159">
        <f t="shared" si="40"/>
        <v>0</v>
      </c>
      <c r="CQ55" s="142"/>
      <c r="CR55" s="13">
        <f t="shared" si="190"/>
        <v>43</v>
      </c>
      <c r="CS55" s="48">
        <f t="shared" si="65"/>
        <v>0</v>
      </c>
      <c r="CT55" s="49">
        <f t="shared" si="66"/>
        <v>0</v>
      </c>
      <c r="CU55" s="50">
        <f t="shared" si="191"/>
        <v>502</v>
      </c>
      <c r="CV55" s="103">
        <f t="shared" si="228"/>
        <v>0</v>
      </c>
      <c r="CW55" s="46">
        <f t="shared" si="127"/>
        <v>502</v>
      </c>
      <c r="CX55" s="51">
        <f t="shared" si="42"/>
        <v>79</v>
      </c>
      <c r="CY55" s="103">
        <f t="shared" si="229"/>
        <v>0</v>
      </c>
      <c r="CZ55" s="46">
        <f t="shared" si="43"/>
        <v>79</v>
      </c>
      <c r="DA55" s="316"/>
      <c r="DB55" s="120"/>
      <c r="DC55" s="7">
        <f t="shared" si="230"/>
        <v>7</v>
      </c>
      <c r="DD55" s="133"/>
      <c r="DE55" s="221"/>
      <c r="DF55" s="14">
        <f t="shared" si="70"/>
        <v>0</v>
      </c>
      <c r="DG55" s="46">
        <f t="shared" si="103"/>
        <v>0</v>
      </c>
      <c r="DH55" s="134"/>
      <c r="DI55" s="135"/>
      <c r="DJ55" s="135"/>
      <c r="DK55" s="14">
        <f t="shared" si="104"/>
        <v>0</v>
      </c>
      <c r="DL55" s="14">
        <f t="shared" si="89"/>
        <v>0</v>
      </c>
      <c r="DM55" s="14">
        <f t="shared" si="192"/>
        <v>0.16</v>
      </c>
      <c r="DN55" s="47">
        <f t="shared" si="45"/>
        <v>0</v>
      </c>
      <c r="DO55" s="35">
        <f t="shared" si="193"/>
        <v>2.72</v>
      </c>
      <c r="DP55" s="159">
        <f t="shared" si="46"/>
        <v>0</v>
      </c>
      <c r="DQ55" s="142"/>
      <c r="DR55" s="13">
        <f t="shared" si="194"/>
        <v>43</v>
      </c>
      <c r="DS55" s="48">
        <f t="shared" si="82"/>
        <v>0</v>
      </c>
      <c r="DT55" s="49">
        <f t="shared" si="71"/>
        <v>0</v>
      </c>
      <c r="DU55" s="50">
        <f t="shared" si="195"/>
        <v>502</v>
      </c>
      <c r="DV55" s="103">
        <f t="shared" si="231"/>
        <v>0</v>
      </c>
      <c r="DW55" s="46">
        <f t="shared" si="128"/>
        <v>502</v>
      </c>
      <c r="DX55" s="51">
        <f t="shared" si="48"/>
        <v>79</v>
      </c>
      <c r="DY55" s="103">
        <f t="shared" si="232"/>
        <v>0</v>
      </c>
      <c r="DZ55" s="46">
        <f t="shared" si="74"/>
        <v>79</v>
      </c>
    </row>
    <row r="56" spans="2:130" ht="17.25" thickBot="1" x14ac:dyDescent="0.3">
      <c r="B56" s="119">
        <f t="shared" si="215"/>
        <v>18</v>
      </c>
      <c r="C56" s="239">
        <f t="shared" si="216"/>
        <v>7</v>
      </c>
      <c r="D56" s="203"/>
      <c r="E56" s="225"/>
      <c r="F56" s="202">
        <f t="shared" si="107"/>
        <v>93499</v>
      </c>
      <c r="G56" s="108">
        <f t="shared" si="93"/>
        <v>93498</v>
      </c>
      <c r="H56" s="204"/>
      <c r="I56" s="205">
        <v>1</v>
      </c>
      <c r="J56" s="205"/>
      <c r="K56" s="31">
        <f t="shared" si="94"/>
        <v>1</v>
      </c>
      <c r="L56" s="31">
        <f t="shared" si="90"/>
        <v>59</v>
      </c>
      <c r="M56" s="31">
        <f t="shared" si="22"/>
        <v>0.16</v>
      </c>
      <c r="N56" s="231">
        <f t="shared" si="23"/>
        <v>1.0695301554027316E-2</v>
      </c>
      <c r="O56" s="37">
        <f t="shared" si="24"/>
        <v>2.72</v>
      </c>
      <c r="P56" s="157">
        <f t="shared" si="25"/>
        <v>6.3102279168761169E-2</v>
      </c>
      <c r="Q56" s="237"/>
      <c r="R56" s="12">
        <f t="shared" si="105"/>
        <v>43</v>
      </c>
      <c r="S56" s="67">
        <f t="shared" si="50"/>
        <v>0</v>
      </c>
      <c r="T56" s="196">
        <f t="shared" si="83"/>
        <v>0.11689245893777725</v>
      </c>
      <c r="U56" s="12">
        <f t="shared" si="26"/>
        <v>502</v>
      </c>
      <c r="V56" s="202">
        <f t="shared" si="217"/>
        <v>490</v>
      </c>
      <c r="W56" s="62">
        <f t="shared" si="28"/>
        <v>12</v>
      </c>
      <c r="X56" s="52">
        <f t="shared" si="1"/>
        <v>79</v>
      </c>
      <c r="Y56" s="202">
        <f t="shared" si="218"/>
        <v>86</v>
      </c>
      <c r="Z56" s="62">
        <f t="shared" si="29"/>
        <v>-7</v>
      </c>
      <c r="AB56" s="120">
        <f t="shared" si="219"/>
        <v>20</v>
      </c>
      <c r="AC56" s="8">
        <f t="shared" si="220"/>
        <v>7</v>
      </c>
      <c r="AD56" s="136"/>
      <c r="AE56" s="226"/>
      <c r="AF56" s="32">
        <f t="shared" si="95"/>
        <v>92130</v>
      </c>
      <c r="AG56" s="63">
        <f t="shared" si="96"/>
        <v>92122</v>
      </c>
      <c r="AH56" s="137"/>
      <c r="AI56" s="138">
        <v>8</v>
      </c>
      <c r="AJ56" s="138"/>
      <c r="AK56" s="34">
        <f t="shared" si="97"/>
        <v>8</v>
      </c>
      <c r="AL56" s="34">
        <f t="shared" si="84"/>
        <v>2618</v>
      </c>
      <c r="AM56" s="32">
        <f t="shared" si="179"/>
        <v>0.16</v>
      </c>
      <c r="AN56" s="231">
        <f t="shared" si="55"/>
        <v>8.6833821773580816E-2</v>
      </c>
      <c r="AO56" s="40">
        <f t="shared" si="180"/>
        <v>2.72</v>
      </c>
      <c r="AP56" s="155">
        <f t="shared" si="77"/>
        <v>2.8416368175404321</v>
      </c>
      <c r="AQ56" s="139"/>
      <c r="AR56" s="32">
        <f t="shared" si="181"/>
        <v>43</v>
      </c>
      <c r="AS56" s="36">
        <f t="shared" si="91"/>
        <v>0</v>
      </c>
      <c r="AT56" s="304">
        <f t="shared" si="85"/>
        <v>5.5413543607296042E-2</v>
      </c>
      <c r="AU56" s="32">
        <f t="shared" si="182"/>
        <v>502</v>
      </c>
      <c r="AV56" s="109">
        <f t="shared" si="221"/>
        <v>492</v>
      </c>
      <c r="AW56" s="63">
        <f t="shared" si="125"/>
        <v>10</v>
      </c>
      <c r="AX56" s="65">
        <f t="shared" si="57"/>
        <v>79</v>
      </c>
      <c r="AY56" s="103">
        <f t="shared" si="222"/>
        <v>87</v>
      </c>
      <c r="AZ56" s="63">
        <f t="shared" si="33"/>
        <v>-8</v>
      </c>
      <c r="BA56" s="316"/>
      <c r="BB56" s="119">
        <f t="shared" si="223"/>
        <v>18</v>
      </c>
      <c r="BC56" s="95">
        <f t="shared" si="224"/>
        <v>7</v>
      </c>
      <c r="BD56" s="203"/>
      <c r="BE56" s="225"/>
      <c r="BF56" s="13">
        <f t="shared" si="98"/>
        <v>95232</v>
      </c>
      <c r="BG56" s="62">
        <f t="shared" si="120"/>
        <v>95224</v>
      </c>
      <c r="BH56" s="204"/>
      <c r="BI56" s="205">
        <v>8</v>
      </c>
      <c r="BJ56" s="205"/>
      <c r="BK56" s="31">
        <f t="shared" si="99"/>
        <v>8</v>
      </c>
      <c r="BL56" s="31">
        <f t="shared" si="86"/>
        <v>4979</v>
      </c>
      <c r="BM56" s="13">
        <f t="shared" si="184"/>
        <v>0.16</v>
      </c>
      <c r="BN56" s="230">
        <f t="shared" si="34"/>
        <v>8.4005376344086016E-2</v>
      </c>
      <c r="BO56" s="161">
        <f t="shared" si="185"/>
        <v>2.72</v>
      </c>
      <c r="BP56" s="157">
        <f t="shared" si="36"/>
        <v>5.228284610215054</v>
      </c>
      <c r="BQ56" s="237"/>
      <c r="BR56" s="13">
        <f t="shared" si="186"/>
        <v>43</v>
      </c>
      <c r="BS56" s="67">
        <f t="shared" si="79"/>
        <v>0</v>
      </c>
      <c r="BT56" s="196">
        <f t="shared" si="87"/>
        <v>7.2033724880284866E-2</v>
      </c>
      <c r="BU56" s="50">
        <f t="shared" si="187"/>
        <v>502</v>
      </c>
      <c r="BV56" s="202">
        <f t="shared" si="225"/>
        <v>490</v>
      </c>
      <c r="BW56" s="62">
        <f t="shared" si="126"/>
        <v>12</v>
      </c>
      <c r="BX56" s="52">
        <f t="shared" si="100"/>
        <v>79</v>
      </c>
      <c r="BY56" s="202">
        <f t="shared" si="226"/>
        <v>86</v>
      </c>
      <c r="BZ56" s="62">
        <f t="shared" si="37"/>
        <v>-7</v>
      </c>
      <c r="CA56" s="316"/>
      <c r="CB56" s="197"/>
      <c r="CC56" s="8">
        <f t="shared" si="227"/>
        <v>7</v>
      </c>
      <c r="CD56" s="136"/>
      <c r="CE56" s="226"/>
      <c r="CF56" s="32">
        <f t="shared" si="88"/>
        <v>0</v>
      </c>
      <c r="CG56" s="63">
        <f t="shared" si="101"/>
        <v>0</v>
      </c>
      <c r="CH56" s="137"/>
      <c r="CI56" s="138"/>
      <c r="CJ56" s="138"/>
      <c r="CK56" s="34">
        <f t="shared" si="102"/>
        <v>0</v>
      </c>
      <c r="CL56" s="34">
        <f t="shared" si="92"/>
        <v>0</v>
      </c>
      <c r="CM56" s="32">
        <f t="shared" si="188"/>
        <v>0.16</v>
      </c>
      <c r="CN56" s="96">
        <f t="shared" si="39"/>
        <v>0</v>
      </c>
      <c r="CO56" s="36">
        <f t="shared" si="189"/>
        <v>2.72</v>
      </c>
      <c r="CP56" s="156">
        <f t="shared" si="40"/>
        <v>0</v>
      </c>
      <c r="CQ56" s="139"/>
      <c r="CR56" s="32">
        <f t="shared" si="190"/>
        <v>43</v>
      </c>
      <c r="CS56" s="54">
        <f t="shared" si="65"/>
        <v>0</v>
      </c>
      <c r="CT56" s="55">
        <f t="shared" si="66"/>
        <v>0</v>
      </c>
      <c r="CU56" s="56">
        <f t="shared" si="191"/>
        <v>502</v>
      </c>
      <c r="CV56" s="109">
        <f t="shared" si="228"/>
        <v>0</v>
      </c>
      <c r="CW56" s="63">
        <f t="shared" si="127"/>
        <v>502</v>
      </c>
      <c r="CX56" s="65">
        <f t="shared" si="42"/>
        <v>79</v>
      </c>
      <c r="CY56" s="109">
        <f t="shared" si="229"/>
        <v>0</v>
      </c>
      <c r="CZ56" s="63">
        <f t="shared" si="43"/>
        <v>79</v>
      </c>
      <c r="DA56" s="316"/>
      <c r="DB56" s="119"/>
      <c r="DC56" s="95">
        <f t="shared" si="230"/>
        <v>7</v>
      </c>
      <c r="DD56" s="203"/>
      <c r="DE56" s="225"/>
      <c r="DF56" s="13">
        <f t="shared" si="70"/>
        <v>0</v>
      </c>
      <c r="DG56" s="62">
        <f t="shared" si="103"/>
        <v>0</v>
      </c>
      <c r="DH56" s="204"/>
      <c r="DI56" s="205"/>
      <c r="DJ56" s="205"/>
      <c r="DK56" s="31">
        <f t="shared" si="104"/>
        <v>0</v>
      </c>
      <c r="DL56" s="31">
        <f t="shared" si="89"/>
        <v>0</v>
      </c>
      <c r="DM56" s="13">
        <f t="shared" si="192"/>
        <v>0.16</v>
      </c>
      <c r="DN56" s="230">
        <f t="shared" si="45"/>
        <v>0</v>
      </c>
      <c r="DO56" s="161">
        <f t="shared" si="193"/>
        <v>2.72</v>
      </c>
      <c r="DP56" s="157">
        <f t="shared" si="46"/>
        <v>0</v>
      </c>
      <c r="DQ56" s="237"/>
      <c r="DR56" s="13">
        <f t="shared" si="194"/>
        <v>43</v>
      </c>
      <c r="DS56" s="67">
        <f t="shared" si="82"/>
        <v>0</v>
      </c>
      <c r="DT56" s="196">
        <f t="shared" si="71"/>
        <v>0</v>
      </c>
      <c r="DU56" s="50">
        <f t="shared" si="195"/>
        <v>502</v>
      </c>
      <c r="DV56" s="202">
        <f t="shared" si="231"/>
        <v>0</v>
      </c>
      <c r="DW56" s="62">
        <f t="shared" si="128"/>
        <v>502</v>
      </c>
      <c r="DX56" s="52">
        <f t="shared" si="48"/>
        <v>79</v>
      </c>
      <c r="DY56" s="202">
        <f t="shared" si="232"/>
        <v>0</v>
      </c>
      <c r="DZ56" s="62">
        <f t="shared" si="74"/>
        <v>79</v>
      </c>
    </row>
    <row r="57" spans="2:130" x14ac:dyDescent="0.25">
      <c r="B57" s="118">
        <v>19</v>
      </c>
      <c r="C57" s="114">
        <v>8</v>
      </c>
      <c r="D57" s="129"/>
      <c r="E57" s="224"/>
      <c r="F57" s="101">
        <f t="shared" si="107"/>
        <v>93498</v>
      </c>
      <c r="G57" s="102">
        <f t="shared" si="93"/>
        <v>93492</v>
      </c>
      <c r="H57" s="130"/>
      <c r="I57" s="131">
        <v>6</v>
      </c>
      <c r="J57" s="131"/>
      <c r="K57" s="11">
        <f t="shared" si="94"/>
        <v>6</v>
      </c>
      <c r="L57" s="11">
        <f t="shared" si="90"/>
        <v>65</v>
      </c>
      <c r="M57" s="11">
        <f t="shared" si="22"/>
        <v>0.16</v>
      </c>
      <c r="N57" s="153">
        <f t="shared" si="23"/>
        <v>6.4172495668356547E-2</v>
      </c>
      <c r="O57" s="21">
        <f t="shared" si="24"/>
        <v>2.8800000000000003</v>
      </c>
      <c r="P57" s="165">
        <f t="shared" si="25"/>
        <v>6.9520203640719591E-2</v>
      </c>
      <c r="Q57" s="158"/>
      <c r="R57" s="18">
        <f t="shared" si="105"/>
        <v>45</v>
      </c>
      <c r="S57" s="43">
        <f t="shared" si="50"/>
        <v>0</v>
      </c>
      <c r="T57" s="44">
        <f t="shared" si="83"/>
        <v>0.11689245893777725</v>
      </c>
      <c r="U57" s="195">
        <f t="shared" si="26"/>
        <v>585</v>
      </c>
      <c r="V57" s="131">
        <v>586</v>
      </c>
      <c r="W57" s="41">
        <f t="shared" si="28"/>
        <v>-1</v>
      </c>
      <c r="X57" s="58">
        <f t="shared" si="1"/>
        <v>79</v>
      </c>
      <c r="Y57" s="131">
        <v>86</v>
      </c>
      <c r="Z57" s="41">
        <f t="shared" si="29"/>
        <v>-7</v>
      </c>
      <c r="AB57" s="118">
        <v>21</v>
      </c>
      <c r="AC57" s="9">
        <v>8</v>
      </c>
      <c r="AD57" s="129"/>
      <c r="AE57" s="224"/>
      <c r="AF57" s="11">
        <f t="shared" si="95"/>
        <v>92122</v>
      </c>
      <c r="AG57" s="41">
        <f t="shared" si="96"/>
        <v>92113</v>
      </c>
      <c r="AH57" s="130"/>
      <c r="AI57" s="131">
        <v>9</v>
      </c>
      <c r="AJ57" s="131"/>
      <c r="AK57" s="11">
        <f t="shared" si="97"/>
        <v>9</v>
      </c>
      <c r="AL57" s="11">
        <f t="shared" si="84"/>
        <v>2627</v>
      </c>
      <c r="AM57" s="11">
        <f t="shared" si="179"/>
        <v>0.16</v>
      </c>
      <c r="AN57" s="153">
        <f t="shared" si="55"/>
        <v>9.7696532858600554E-2</v>
      </c>
      <c r="AO57" s="154">
        <f t="shared" si="180"/>
        <v>2.8800000000000003</v>
      </c>
      <c r="AP57" s="132">
        <f t="shared" si="77"/>
        <v>2.8516532424393737</v>
      </c>
      <c r="AQ57" s="158"/>
      <c r="AR57" s="11">
        <f t="shared" si="181"/>
        <v>45</v>
      </c>
      <c r="AS57" s="21">
        <f t="shared" si="91"/>
        <v>0</v>
      </c>
      <c r="AT57" s="303">
        <f t="shared" si="85"/>
        <v>5.5413543607296042E-2</v>
      </c>
      <c r="AU57" s="11">
        <f t="shared" si="182"/>
        <v>585</v>
      </c>
      <c r="AV57" s="131">
        <v>578</v>
      </c>
      <c r="AW57" s="41">
        <f t="shared" si="125"/>
        <v>7</v>
      </c>
      <c r="AX57" s="58">
        <f t="shared" si="57"/>
        <v>79</v>
      </c>
      <c r="AY57" s="131">
        <v>86</v>
      </c>
      <c r="AZ57" s="41">
        <f t="shared" si="33"/>
        <v>-7</v>
      </c>
      <c r="BA57" s="316"/>
      <c r="BB57" s="118">
        <v>19</v>
      </c>
      <c r="BC57" s="9">
        <v>8</v>
      </c>
      <c r="BD57" s="129"/>
      <c r="BE57" s="224"/>
      <c r="BF57" s="11">
        <f t="shared" si="98"/>
        <v>95224</v>
      </c>
      <c r="BG57" s="41">
        <f t="shared" si="120"/>
        <v>95215</v>
      </c>
      <c r="BH57" s="130"/>
      <c r="BI57" s="131">
        <v>9</v>
      </c>
      <c r="BJ57" s="131"/>
      <c r="BK57" s="11">
        <f t="shared" si="99"/>
        <v>9</v>
      </c>
      <c r="BL57" s="11">
        <f t="shared" si="86"/>
        <v>4988</v>
      </c>
      <c r="BM57" s="11">
        <f t="shared" si="184"/>
        <v>0.16</v>
      </c>
      <c r="BN57" s="153">
        <f t="shared" si="34"/>
        <v>9.4513988070234395E-2</v>
      </c>
      <c r="BO57" s="154">
        <f t="shared" si="185"/>
        <v>2.8800000000000003</v>
      </c>
      <c r="BP57" s="132">
        <f t="shared" si="36"/>
        <v>5.2381752499369902</v>
      </c>
      <c r="BQ57" s="158"/>
      <c r="BR57" s="16">
        <f t="shared" si="186"/>
        <v>45</v>
      </c>
      <c r="BS57" s="43">
        <f t="shared" si="79"/>
        <v>0</v>
      </c>
      <c r="BT57" s="44">
        <f t="shared" si="87"/>
        <v>7.2033724880284866E-2</v>
      </c>
      <c r="BU57" s="45">
        <f t="shared" si="187"/>
        <v>585</v>
      </c>
      <c r="BV57" s="131">
        <v>586</v>
      </c>
      <c r="BW57" s="41">
        <f t="shared" si="126"/>
        <v>-1</v>
      </c>
      <c r="BX57" s="58">
        <f t="shared" si="100"/>
        <v>79</v>
      </c>
      <c r="BY57" s="131">
        <v>86</v>
      </c>
      <c r="BZ57" s="41">
        <f t="shared" si="37"/>
        <v>-7</v>
      </c>
      <c r="CA57" s="316"/>
      <c r="CB57" s="198"/>
      <c r="CC57" s="38">
        <v>8</v>
      </c>
      <c r="CD57" s="143"/>
      <c r="CE57" s="227"/>
      <c r="CF57" s="17">
        <f t="shared" si="88"/>
        <v>0</v>
      </c>
      <c r="CG57" s="71">
        <f t="shared" si="101"/>
        <v>0</v>
      </c>
      <c r="CH57" s="144"/>
      <c r="CI57" s="141"/>
      <c r="CJ57" s="141"/>
      <c r="CK57" s="17">
        <f t="shared" si="102"/>
        <v>0</v>
      </c>
      <c r="CL57" s="17">
        <f t="shared" si="92"/>
        <v>0</v>
      </c>
      <c r="CM57" s="17">
        <f t="shared" si="188"/>
        <v>0.16</v>
      </c>
      <c r="CN57" s="231">
        <f t="shared" si="39"/>
        <v>0</v>
      </c>
      <c r="CO57" s="37">
        <f t="shared" si="189"/>
        <v>2.8800000000000003</v>
      </c>
      <c r="CP57" s="155">
        <f t="shared" si="40"/>
        <v>0</v>
      </c>
      <c r="CQ57" s="145"/>
      <c r="CR57" s="31">
        <f t="shared" si="190"/>
        <v>45</v>
      </c>
      <c r="CS57" s="60">
        <f t="shared" si="65"/>
        <v>0</v>
      </c>
      <c r="CT57" s="72">
        <f t="shared" si="66"/>
        <v>0</v>
      </c>
      <c r="CU57" s="52">
        <f t="shared" si="191"/>
        <v>585</v>
      </c>
      <c r="CV57" s="141"/>
      <c r="CW57" s="71">
        <f t="shared" si="127"/>
        <v>585</v>
      </c>
      <c r="CX57" s="61">
        <f t="shared" si="42"/>
        <v>79</v>
      </c>
      <c r="CY57" s="141"/>
      <c r="CZ57" s="71">
        <f t="shared" si="43"/>
        <v>79</v>
      </c>
      <c r="DA57" s="316"/>
      <c r="DB57" s="118"/>
      <c r="DC57" s="9">
        <v>8</v>
      </c>
      <c r="DD57" s="129"/>
      <c r="DE57" s="224"/>
      <c r="DF57" s="11">
        <f t="shared" si="70"/>
        <v>0</v>
      </c>
      <c r="DG57" s="41">
        <f t="shared" si="103"/>
        <v>0</v>
      </c>
      <c r="DH57" s="130"/>
      <c r="DI57" s="131"/>
      <c r="DJ57" s="131"/>
      <c r="DK57" s="11">
        <f t="shared" si="104"/>
        <v>0</v>
      </c>
      <c r="DL57" s="11">
        <f t="shared" si="89"/>
        <v>0</v>
      </c>
      <c r="DM57" s="11">
        <f t="shared" si="192"/>
        <v>0.16</v>
      </c>
      <c r="DN57" s="42">
        <f t="shared" si="45"/>
        <v>0</v>
      </c>
      <c r="DO57" s="21">
        <f t="shared" si="193"/>
        <v>2.8800000000000003</v>
      </c>
      <c r="DP57" s="165">
        <f t="shared" si="46"/>
        <v>0</v>
      </c>
      <c r="DQ57" s="158"/>
      <c r="DR57" s="16">
        <f t="shared" si="194"/>
        <v>45</v>
      </c>
      <c r="DS57" s="43">
        <f t="shared" si="82"/>
        <v>0</v>
      </c>
      <c r="DT57" s="44">
        <f t="shared" si="71"/>
        <v>0</v>
      </c>
      <c r="DU57" s="45">
        <f t="shared" si="195"/>
        <v>585</v>
      </c>
      <c r="DV57" s="131"/>
      <c r="DW57" s="41">
        <f t="shared" si="128"/>
        <v>585</v>
      </c>
      <c r="DX57" s="58">
        <f t="shared" si="48"/>
        <v>79</v>
      </c>
      <c r="DY57" s="131"/>
      <c r="DZ57" s="41">
        <f t="shared" si="74"/>
        <v>79</v>
      </c>
    </row>
    <row r="58" spans="2:130" x14ac:dyDescent="0.25">
      <c r="B58" s="120">
        <f>B57+1</f>
        <v>20</v>
      </c>
      <c r="C58" s="115">
        <f t="shared" si="216"/>
        <v>8</v>
      </c>
      <c r="D58" s="133"/>
      <c r="E58" s="221"/>
      <c r="F58" s="103">
        <f t="shared" si="107"/>
        <v>93492</v>
      </c>
      <c r="G58" s="108">
        <f t="shared" si="93"/>
        <v>93487</v>
      </c>
      <c r="H58" s="134"/>
      <c r="I58" s="135">
        <v>5</v>
      </c>
      <c r="J58" s="135"/>
      <c r="K58" s="14">
        <f t="shared" si="94"/>
        <v>5</v>
      </c>
      <c r="L58" s="14">
        <f t="shared" si="90"/>
        <v>70</v>
      </c>
      <c r="M58" s="14">
        <f t="shared" si="22"/>
        <v>0.16</v>
      </c>
      <c r="N58" s="47">
        <f t="shared" si="23"/>
        <v>5.3480511701535963E-2</v>
      </c>
      <c r="O58" s="35">
        <f t="shared" si="24"/>
        <v>2.8800000000000003</v>
      </c>
      <c r="P58" s="159">
        <f t="shared" si="25"/>
        <v>7.4872716382150345E-2</v>
      </c>
      <c r="Q58" s="142"/>
      <c r="R58" s="13">
        <f t="shared" si="105"/>
        <v>45</v>
      </c>
      <c r="S58" s="48">
        <f t="shared" si="50"/>
        <v>0</v>
      </c>
      <c r="T58" s="49">
        <f t="shared" si="83"/>
        <v>0.11689245893777725</v>
      </c>
      <c r="U58" s="160">
        <f t="shared" si="26"/>
        <v>585</v>
      </c>
      <c r="V58" s="103">
        <f>V57</f>
        <v>586</v>
      </c>
      <c r="W58" s="46">
        <f t="shared" si="28"/>
        <v>-1</v>
      </c>
      <c r="X58" s="51">
        <f t="shared" si="1"/>
        <v>79</v>
      </c>
      <c r="Y58" s="103">
        <f>Y57</f>
        <v>86</v>
      </c>
      <c r="Z58" s="46">
        <f t="shared" si="29"/>
        <v>-7</v>
      </c>
      <c r="AB58" s="120">
        <f>AB57+1</f>
        <v>22</v>
      </c>
      <c r="AC58" s="7">
        <f t="shared" si="220"/>
        <v>8</v>
      </c>
      <c r="AD58" s="133"/>
      <c r="AE58" s="221"/>
      <c r="AF58" s="14">
        <f t="shared" si="95"/>
        <v>92113</v>
      </c>
      <c r="AG58" s="62">
        <f t="shared" si="96"/>
        <v>92094</v>
      </c>
      <c r="AH58" s="134">
        <v>9</v>
      </c>
      <c r="AI58" s="135">
        <v>10</v>
      </c>
      <c r="AJ58" s="135"/>
      <c r="AK58" s="14">
        <f t="shared" si="97"/>
        <v>19</v>
      </c>
      <c r="AL58" s="14">
        <f t="shared" si="84"/>
        <v>2646</v>
      </c>
      <c r="AM58" s="14">
        <f t="shared" si="179"/>
        <v>0.16</v>
      </c>
      <c r="AN58" s="47">
        <f t="shared" si="55"/>
        <v>0.20626838774114403</v>
      </c>
      <c r="AO58" s="35">
        <f t="shared" si="180"/>
        <v>2.8800000000000003</v>
      </c>
      <c r="AP58" s="159">
        <f t="shared" si="77"/>
        <v>2.8725587050687742</v>
      </c>
      <c r="AQ58" s="142"/>
      <c r="AR58" s="14">
        <f t="shared" si="181"/>
        <v>45</v>
      </c>
      <c r="AS58" s="35">
        <f t="shared" si="91"/>
        <v>0</v>
      </c>
      <c r="AT58" s="301">
        <f t="shared" si="85"/>
        <v>5.5413543607296042E-2</v>
      </c>
      <c r="AU58" s="14">
        <f t="shared" si="182"/>
        <v>585</v>
      </c>
      <c r="AV58" s="103">
        <f>AV57</f>
        <v>578</v>
      </c>
      <c r="AW58" s="46">
        <f t="shared" si="125"/>
        <v>7</v>
      </c>
      <c r="AX58" s="51">
        <f t="shared" si="57"/>
        <v>79</v>
      </c>
      <c r="AY58" s="103">
        <f>AY57</f>
        <v>86</v>
      </c>
      <c r="AZ58" s="46">
        <f t="shared" si="33"/>
        <v>-7</v>
      </c>
      <c r="BA58" s="316"/>
      <c r="BB58" s="120">
        <f>BB57+1</f>
        <v>20</v>
      </c>
      <c r="BC58" s="7">
        <f t="shared" si="224"/>
        <v>8</v>
      </c>
      <c r="BD58" s="133"/>
      <c r="BE58" s="221"/>
      <c r="BF58" s="14">
        <f t="shared" si="98"/>
        <v>95215</v>
      </c>
      <c r="BG58" s="62">
        <f t="shared" si="120"/>
        <v>95206</v>
      </c>
      <c r="BH58" s="134"/>
      <c r="BI58" s="135">
        <v>9</v>
      </c>
      <c r="BJ58" s="135"/>
      <c r="BK58" s="14">
        <f t="shared" si="99"/>
        <v>9</v>
      </c>
      <c r="BL58" s="14">
        <f t="shared" si="86"/>
        <v>4997</v>
      </c>
      <c r="BM58" s="14">
        <f t="shared" si="184"/>
        <v>0.16</v>
      </c>
      <c r="BN58" s="47">
        <f t="shared" si="34"/>
        <v>9.4522921808538565E-2</v>
      </c>
      <c r="BO58" s="35">
        <f t="shared" si="185"/>
        <v>2.8800000000000003</v>
      </c>
      <c r="BP58" s="159">
        <f t="shared" si="36"/>
        <v>5.2481226697474135</v>
      </c>
      <c r="BQ58" s="142"/>
      <c r="BR58" s="13">
        <f t="shared" si="186"/>
        <v>45</v>
      </c>
      <c r="BS58" s="48">
        <f t="shared" si="79"/>
        <v>0</v>
      </c>
      <c r="BT58" s="49">
        <f t="shared" si="87"/>
        <v>7.2033724880284866E-2</v>
      </c>
      <c r="BU58" s="50">
        <f t="shared" si="187"/>
        <v>585</v>
      </c>
      <c r="BV58" s="103">
        <f>BV57</f>
        <v>586</v>
      </c>
      <c r="BW58" s="46">
        <f t="shared" si="126"/>
        <v>-1</v>
      </c>
      <c r="BX58" s="51">
        <f t="shared" si="100"/>
        <v>79</v>
      </c>
      <c r="BY58" s="103">
        <f>BY57</f>
        <v>86</v>
      </c>
      <c r="BZ58" s="46">
        <f t="shared" si="37"/>
        <v>-7</v>
      </c>
      <c r="CA58" s="316"/>
      <c r="CB58" s="120"/>
      <c r="CC58" s="7">
        <f t="shared" si="227"/>
        <v>8</v>
      </c>
      <c r="CD58" s="133"/>
      <c r="CE58" s="221"/>
      <c r="CF58" s="14">
        <f t="shared" si="88"/>
        <v>0</v>
      </c>
      <c r="CG58" s="62">
        <f t="shared" si="101"/>
        <v>0</v>
      </c>
      <c r="CH58" s="134"/>
      <c r="CI58" s="135"/>
      <c r="CJ58" s="135"/>
      <c r="CK58" s="14">
        <f t="shared" si="102"/>
        <v>0</v>
      </c>
      <c r="CL58" s="14">
        <f t="shared" si="92"/>
        <v>0</v>
      </c>
      <c r="CM58" s="14">
        <f t="shared" si="188"/>
        <v>0.16</v>
      </c>
      <c r="CN58" s="47">
        <f t="shared" si="39"/>
        <v>0</v>
      </c>
      <c r="CO58" s="35">
        <f t="shared" si="189"/>
        <v>2.8800000000000003</v>
      </c>
      <c r="CP58" s="159">
        <f t="shared" si="40"/>
        <v>0</v>
      </c>
      <c r="CQ58" s="142"/>
      <c r="CR58" s="13">
        <f t="shared" si="190"/>
        <v>45</v>
      </c>
      <c r="CS58" s="48">
        <f t="shared" si="65"/>
        <v>0</v>
      </c>
      <c r="CT58" s="49">
        <f t="shared" si="66"/>
        <v>0</v>
      </c>
      <c r="CU58" s="50">
        <f t="shared" si="191"/>
        <v>585</v>
      </c>
      <c r="CV58" s="103">
        <f>CV57</f>
        <v>0</v>
      </c>
      <c r="CW58" s="46">
        <f t="shared" si="127"/>
        <v>585</v>
      </c>
      <c r="CX58" s="51">
        <f t="shared" si="42"/>
        <v>79</v>
      </c>
      <c r="CY58" s="103">
        <f>CY57</f>
        <v>0</v>
      </c>
      <c r="CZ58" s="46">
        <f t="shared" si="43"/>
        <v>79</v>
      </c>
      <c r="DA58" s="316"/>
      <c r="DB58" s="120"/>
      <c r="DC58" s="7">
        <f t="shared" si="230"/>
        <v>8</v>
      </c>
      <c r="DD58" s="133"/>
      <c r="DE58" s="221"/>
      <c r="DF58" s="14">
        <f t="shared" si="70"/>
        <v>0</v>
      </c>
      <c r="DG58" s="62">
        <f t="shared" si="103"/>
        <v>0</v>
      </c>
      <c r="DH58" s="134"/>
      <c r="DI58" s="135"/>
      <c r="DJ58" s="135"/>
      <c r="DK58" s="14">
        <f t="shared" si="104"/>
        <v>0</v>
      </c>
      <c r="DL58" s="14">
        <f t="shared" si="89"/>
        <v>0</v>
      </c>
      <c r="DM58" s="14">
        <f t="shared" si="192"/>
        <v>0.16</v>
      </c>
      <c r="DN58" s="47">
        <f t="shared" si="45"/>
        <v>0</v>
      </c>
      <c r="DO58" s="35">
        <f t="shared" si="193"/>
        <v>2.8800000000000003</v>
      </c>
      <c r="DP58" s="159">
        <f t="shared" si="46"/>
        <v>0</v>
      </c>
      <c r="DQ58" s="142"/>
      <c r="DR58" s="13">
        <f t="shared" si="194"/>
        <v>45</v>
      </c>
      <c r="DS58" s="48">
        <f t="shared" si="82"/>
        <v>0</v>
      </c>
      <c r="DT58" s="49">
        <f t="shared" si="71"/>
        <v>0</v>
      </c>
      <c r="DU58" s="50">
        <f t="shared" si="195"/>
        <v>585</v>
      </c>
      <c r="DV58" s="103">
        <f>DV57</f>
        <v>0</v>
      </c>
      <c r="DW58" s="46">
        <f t="shared" si="128"/>
        <v>585</v>
      </c>
      <c r="DX58" s="51">
        <f t="shared" si="48"/>
        <v>79</v>
      </c>
      <c r="DY58" s="103">
        <f>DY57</f>
        <v>0</v>
      </c>
      <c r="DZ58" s="46">
        <f t="shared" si="74"/>
        <v>79</v>
      </c>
    </row>
    <row r="59" spans="2:130" x14ac:dyDescent="0.25">
      <c r="B59" s="120">
        <f t="shared" ref="B59:B63" si="233">B58+1</f>
        <v>21</v>
      </c>
      <c r="C59" s="115">
        <f t="shared" si="216"/>
        <v>8</v>
      </c>
      <c r="D59" s="133"/>
      <c r="E59" s="221"/>
      <c r="F59" s="103">
        <f t="shared" si="107"/>
        <v>93487</v>
      </c>
      <c r="G59" s="107">
        <f t="shared" si="93"/>
        <v>93481</v>
      </c>
      <c r="H59" s="134"/>
      <c r="I59" s="135">
        <v>6</v>
      </c>
      <c r="J59" s="135"/>
      <c r="K59" s="14">
        <f t="shared" si="94"/>
        <v>6</v>
      </c>
      <c r="L59" s="14">
        <f t="shared" si="90"/>
        <v>76</v>
      </c>
      <c r="M59" s="17">
        <f t="shared" si="22"/>
        <v>0.16</v>
      </c>
      <c r="N59" s="47">
        <f t="shared" si="23"/>
        <v>6.4180046423566908E-2</v>
      </c>
      <c r="O59" s="33">
        <f t="shared" si="24"/>
        <v>2.8800000000000003</v>
      </c>
      <c r="P59" s="159">
        <f t="shared" si="25"/>
        <v>8.129472546985142E-2</v>
      </c>
      <c r="Q59" s="142"/>
      <c r="R59" s="13">
        <f t="shared" si="105"/>
        <v>45</v>
      </c>
      <c r="S59" s="48">
        <f t="shared" si="50"/>
        <v>0</v>
      </c>
      <c r="T59" s="49">
        <f t="shared" si="83"/>
        <v>0.11689245893777725</v>
      </c>
      <c r="U59" s="160">
        <f t="shared" si="26"/>
        <v>585</v>
      </c>
      <c r="V59" s="103">
        <f t="shared" ref="V59:V63" si="234">V58</f>
        <v>586</v>
      </c>
      <c r="W59" s="46">
        <f t="shared" si="28"/>
        <v>-1</v>
      </c>
      <c r="X59" s="51">
        <f t="shared" si="1"/>
        <v>79</v>
      </c>
      <c r="Y59" s="103">
        <f t="shared" ref="Y59:Y63" si="235">Y58</f>
        <v>86</v>
      </c>
      <c r="Z59" s="46">
        <f t="shared" si="29"/>
        <v>-7</v>
      </c>
      <c r="AB59" s="120">
        <f t="shared" ref="AB59:AB63" si="236">AB58+1</f>
        <v>23</v>
      </c>
      <c r="AC59" s="7">
        <f t="shared" si="220"/>
        <v>8</v>
      </c>
      <c r="AD59" s="133"/>
      <c r="AE59" s="221"/>
      <c r="AF59" s="14">
        <f t="shared" si="95"/>
        <v>92094</v>
      </c>
      <c r="AG59" s="59">
        <f t="shared" si="96"/>
        <v>92086</v>
      </c>
      <c r="AH59" s="134"/>
      <c r="AI59" s="135">
        <v>8</v>
      </c>
      <c r="AJ59" s="135"/>
      <c r="AK59" s="14">
        <f t="shared" si="97"/>
        <v>8</v>
      </c>
      <c r="AL59" s="14">
        <f t="shared" si="84"/>
        <v>2654</v>
      </c>
      <c r="AM59" s="14">
        <f t="shared" si="179"/>
        <v>0.16</v>
      </c>
      <c r="AN59" s="47">
        <f t="shared" si="55"/>
        <v>8.6867765543900799E-2</v>
      </c>
      <c r="AO59" s="35">
        <f t="shared" si="180"/>
        <v>2.8800000000000003</v>
      </c>
      <c r="AP59" s="159">
        <f t="shared" si="77"/>
        <v>2.8818381219189089</v>
      </c>
      <c r="AQ59" s="142"/>
      <c r="AR59" s="14">
        <f t="shared" si="181"/>
        <v>45</v>
      </c>
      <c r="AS59" s="35">
        <f t="shared" si="91"/>
        <v>0</v>
      </c>
      <c r="AT59" s="301">
        <f t="shared" si="85"/>
        <v>5.5413543607296042E-2</v>
      </c>
      <c r="AU59" s="14">
        <f t="shared" si="182"/>
        <v>585</v>
      </c>
      <c r="AV59" s="103">
        <f t="shared" ref="AV59:AV63" si="237">AV58</f>
        <v>578</v>
      </c>
      <c r="AW59" s="46">
        <f t="shared" si="125"/>
        <v>7</v>
      </c>
      <c r="AX59" s="51">
        <f t="shared" si="57"/>
        <v>79</v>
      </c>
      <c r="AY59" s="103">
        <f t="shared" ref="AY59:AY63" si="238">AY58</f>
        <v>86</v>
      </c>
      <c r="AZ59" s="46">
        <f t="shared" si="33"/>
        <v>-7</v>
      </c>
      <c r="BA59" s="316"/>
      <c r="BB59" s="120">
        <f t="shared" ref="BB59:BB63" si="239">BB58+1</f>
        <v>21</v>
      </c>
      <c r="BC59" s="7">
        <f t="shared" si="224"/>
        <v>8</v>
      </c>
      <c r="BD59" s="133"/>
      <c r="BE59" s="221"/>
      <c r="BF59" s="14">
        <f t="shared" si="98"/>
        <v>95206</v>
      </c>
      <c r="BG59" s="59">
        <f t="shared" si="120"/>
        <v>95190</v>
      </c>
      <c r="BH59" s="134">
        <v>5</v>
      </c>
      <c r="BI59" s="135">
        <v>11</v>
      </c>
      <c r="BJ59" s="135"/>
      <c r="BK59" s="14">
        <f t="shared" si="99"/>
        <v>16</v>
      </c>
      <c r="BL59" s="14">
        <f t="shared" si="86"/>
        <v>5013</v>
      </c>
      <c r="BM59" s="14">
        <f t="shared" si="184"/>
        <v>0.16</v>
      </c>
      <c r="BN59" s="47">
        <f t="shared" si="34"/>
        <v>0.168056635086024</v>
      </c>
      <c r="BO59" s="35">
        <f t="shared" si="185"/>
        <v>2.8800000000000003</v>
      </c>
      <c r="BP59" s="159">
        <f t="shared" si="36"/>
        <v>5.2654244480389893</v>
      </c>
      <c r="BQ59" s="142"/>
      <c r="BR59" s="13">
        <f t="shared" si="186"/>
        <v>45</v>
      </c>
      <c r="BS59" s="48">
        <f t="shared" si="79"/>
        <v>0</v>
      </c>
      <c r="BT59" s="49">
        <f t="shared" si="87"/>
        <v>7.2033724880284866E-2</v>
      </c>
      <c r="BU59" s="50">
        <f t="shared" si="187"/>
        <v>585</v>
      </c>
      <c r="BV59" s="103">
        <f t="shared" ref="BV59:BV63" si="240">BV58</f>
        <v>586</v>
      </c>
      <c r="BW59" s="46">
        <f t="shared" si="126"/>
        <v>-1</v>
      </c>
      <c r="BX59" s="51">
        <f t="shared" si="100"/>
        <v>79</v>
      </c>
      <c r="BY59" s="103">
        <f t="shared" ref="BY59:BY63" si="241">BY58</f>
        <v>86</v>
      </c>
      <c r="BZ59" s="46">
        <f t="shared" si="37"/>
        <v>-7</v>
      </c>
      <c r="CA59" s="316"/>
      <c r="CB59" s="120"/>
      <c r="CC59" s="7">
        <f t="shared" si="227"/>
        <v>8</v>
      </c>
      <c r="CD59" s="133"/>
      <c r="CE59" s="221"/>
      <c r="CF59" s="14">
        <f t="shared" si="88"/>
        <v>0</v>
      </c>
      <c r="CG59" s="59">
        <f t="shared" si="101"/>
        <v>0</v>
      </c>
      <c r="CH59" s="134"/>
      <c r="CI59" s="135"/>
      <c r="CJ59" s="135"/>
      <c r="CK59" s="14">
        <f t="shared" si="102"/>
        <v>0</v>
      </c>
      <c r="CL59" s="14">
        <f t="shared" si="92"/>
        <v>0</v>
      </c>
      <c r="CM59" s="14">
        <f t="shared" si="188"/>
        <v>0.16</v>
      </c>
      <c r="CN59" s="47">
        <f t="shared" si="39"/>
        <v>0</v>
      </c>
      <c r="CO59" s="35">
        <f t="shared" si="189"/>
        <v>2.8800000000000003</v>
      </c>
      <c r="CP59" s="159">
        <f t="shared" si="40"/>
        <v>0</v>
      </c>
      <c r="CQ59" s="142"/>
      <c r="CR59" s="13">
        <f t="shared" si="190"/>
        <v>45</v>
      </c>
      <c r="CS59" s="48">
        <f t="shared" si="65"/>
        <v>0</v>
      </c>
      <c r="CT59" s="49">
        <f t="shared" si="66"/>
        <v>0</v>
      </c>
      <c r="CU59" s="50">
        <f t="shared" si="191"/>
        <v>585</v>
      </c>
      <c r="CV59" s="103">
        <f t="shared" ref="CV59:CV63" si="242">CV58</f>
        <v>0</v>
      </c>
      <c r="CW59" s="46">
        <f t="shared" si="127"/>
        <v>585</v>
      </c>
      <c r="CX59" s="51">
        <f t="shared" si="42"/>
        <v>79</v>
      </c>
      <c r="CY59" s="103">
        <f t="shared" ref="CY59:CY63" si="243">CY58</f>
        <v>0</v>
      </c>
      <c r="CZ59" s="46">
        <f t="shared" si="43"/>
        <v>79</v>
      </c>
      <c r="DA59" s="316"/>
      <c r="DB59" s="120"/>
      <c r="DC59" s="7">
        <f t="shared" si="230"/>
        <v>8</v>
      </c>
      <c r="DD59" s="133"/>
      <c r="DE59" s="221"/>
      <c r="DF59" s="14">
        <f t="shared" si="70"/>
        <v>0</v>
      </c>
      <c r="DG59" s="59">
        <f t="shared" si="103"/>
        <v>0</v>
      </c>
      <c r="DH59" s="134"/>
      <c r="DI59" s="135"/>
      <c r="DJ59" s="135"/>
      <c r="DK59" s="14">
        <f t="shared" si="104"/>
        <v>0</v>
      </c>
      <c r="DL59" s="14">
        <f t="shared" si="89"/>
        <v>0</v>
      </c>
      <c r="DM59" s="14">
        <f t="shared" si="192"/>
        <v>0.16</v>
      </c>
      <c r="DN59" s="47">
        <f t="shared" si="45"/>
        <v>0</v>
      </c>
      <c r="DO59" s="35">
        <f t="shared" si="193"/>
        <v>2.8800000000000003</v>
      </c>
      <c r="DP59" s="159">
        <f t="shared" si="46"/>
        <v>0</v>
      </c>
      <c r="DQ59" s="142"/>
      <c r="DR59" s="13">
        <f t="shared" si="194"/>
        <v>45</v>
      </c>
      <c r="DS59" s="48">
        <f t="shared" si="82"/>
        <v>0</v>
      </c>
      <c r="DT59" s="49">
        <f t="shared" si="71"/>
        <v>0</v>
      </c>
      <c r="DU59" s="50">
        <f t="shared" si="195"/>
        <v>585</v>
      </c>
      <c r="DV59" s="103">
        <f t="shared" ref="DV59:DV63" si="244">DV58</f>
        <v>0</v>
      </c>
      <c r="DW59" s="46">
        <f t="shared" si="128"/>
        <v>585</v>
      </c>
      <c r="DX59" s="51">
        <f t="shared" si="48"/>
        <v>79</v>
      </c>
      <c r="DY59" s="103">
        <f t="shared" ref="DY59:DY63" si="245">DY58</f>
        <v>0</v>
      </c>
      <c r="DZ59" s="46">
        <f t="shared" si="74"/>
        <v>79</v>
      </c>
    </row>
    <row r="60" spans="2:130" x14ac:dyDescent="0.25">
      <c r="B60" s="120">
        <f t="shared" si="233"/>
        <v>22</v>
      </c>
      <c r="C60" s="115">
        <f t="shared" si="216"/>
        <v>8</v>
      </c>
      <c r="D60" s="133"/>
      <c r="E60" s="221"/>
      <c r="F60" s="103">
        <f t="shared" si="107"/>
        <v>93481</v>
      </c>
      <c r="G60" s="104">
        <f t="shared" si="93"/>
        <v>93475</v>
      </c>
      <c r="H60" s="134"/>
      <c r="I60" s="135">
        <v>6</v>
      </c>
      <c r="J60" s="135"/>
      <c r="K60" s="14">
        <f t="shared" si="94"/>
        <v>6</v>
      </c>
      <c r="L60" s="14">
        <f t="shared" si="90"/>
        <v>82</v>
      </c>
      <c r="M60" s="14">
        <f t="shared" si="22"/>
        <v>0.16</v>
      </c>
      <c r="N60" s="47">
        <f t="shared" si="23"/>
        <v>6.4184165766305451E-2</v>
      </c>
      <c r="O60" s="35">
        <f t="shared" si="24"/>
        <v>2.8800000000000003</v>
      </c>
      <c r="P60" s="159">
        <f t="shared" si="25"/>
        <v>8.771835988061745E-2</v>
      </c>
      <c r="Q60" s="142"/>
      <c r="R60" s="14">
        <f t="shared" si="105"/>
        <v>45</v>
      </c>
      <c r="S60" s="48">
        <f t="shared" si="50"/>
        <v>0</v>
      </c>
      <c r="T60" s="49">
        <f t="shared" si="83"/>
        <v>0.11689245893777725</v>
      </c>
      <c r="U60" s="160">
        <f t="shared" si="26"/>
        <v>585</v>
      </c>
      <c r="V60" s="103">
        <f t="shared" si="234"/>
        <v>586</v>
      </c>
      <c r="W60" s="46">
        <f t="shared" si="28"/>
        <v>-1</v>
      </c>
      <c r="X60" s="51">
        <f t="shared" si="1"/>
        <v>79</v>
      </c>
      <c r="Y60" s="103">
        <f t="shared" si="235"/>
        <v>86</v>
      </c>
      <c r="Z60" s="46">
        <f t="shared" si="29"/>
        <v>-7</v>
      </c>
      <c r="AB60" s="120">
        <f t="shared" si="236"/>
        <v>24</v>
      </c>
      <c r="AC60" s="7">
        <f t="shared" si="220"/>
        <v>8</v>
      </c>
      <c r="AD60" s="133"/>
      <c r="AE60" s="221"/>
      <c r="AF60" s="14">
        <f t="shared" si="95"/>
        <v>92086</v>
      </c>
      <c r="AG60" s="46">
        <f t="shared" si="96"/>
        <v>92081</v>
      </c>
      <c r="AH60" s="134"/>
      <c r="AI60" s="135">
        <v>5</v>
      </c>
      <c r="AJ60" s="135"/>
      <c r="AK60" s="14">
        <f t="shared" si="97"/>
        <v>5</v>
      </c>
      <c r="AL60" s="14">
        <f t="shared" si="84"/>
        <v>2659</v>
      </c>
      <c r="AM60" s="14">
        <f t="shared" si="179"/>
        <v>0.16</v>
      </c>
      <c r="AN60" s="47">
        <f t="shared" si="55"/>
        <v>5.4297070130095777E-2</v>
      </c>
      <c r="AO60" s="35">
        <f t="shared" si="180"/>
        <v>2.8800000000000003</v>
      </c>
      <c r="AP60" s="159">
        <f t="shared" si="77"/>
        <v>2.8875181895184934</v>
      </c>
      <c r="AQ60" s="142"/>
      <c r="AR60" s="14">
        <f t="shared" si="181"/>
        <v>45</v>
      </c>
      <c r="AS60" s="35">
        <f t="shared" si="91"/>
        <v>0</v>
      </c>
      <c r="AT60" s="301">
        <f t="shared" si="85"/>
        <v>5.5413543607296042E-2</v>
      </c>
      <c r="AU60" s="14">
        <f t="shared" si="182"/>
        <v>585</v>
      </c>
      <c r="AV60" s="103">
        <f t="shared" si="237"/>
        <v>578</v>
      </c>
      <c r="AW60" s="46">
        <f t="shared" si="125"/>
        <v>7</v>
      </c>
      <c r="AX60" s="51">
        <f t="shared" si="57"/>
        <v>79</v>
      </c>
      <c r="AY60" s="103">
        <f t="shared" si="238"/>
        <v>86</v>
      </c>
      <c r="AZ60" s="46">
        <f t="shared" si="33"/>
        <v>-7</v>
      </c>
      <c r="BA60" s="316"/>
      <c r="BB60" s="120">
        <f t="shared" si="239"/>
        <v>22</v>
      </c>
      <c r="BC60" s="7">
        <f t="shared" si="224"/>
        <v>8</v>
      </c>
      <c r="BD60" s="133"/>
      <c r="BE60" s="221"/>
      <c r="BF60" s="14">
        <f t="shared" si="98"/>
        <v>95190</v>
      </c>
      <c r="BG60" s="46">
        <f t="shared" si="120"/>
        <v>95180</v>
      </c>
      <c r="BH60" s="134"/>
      <c r="BI60" s="135">
        <v>10</v>
      </c>
      <c r="BJ60" s="135"/>
      <c r="BK60" s="14">
        <f t="shared" si="99"/>
        <v>10</v>
      </c>
      <c r="BL60" s="14">
        <f t="shared" si="86"/>
        <v>5023</v>
      </c>
      <c r="BM60" s="14">
        <f t="shared" si="184"/>
        <v>0.16</v>
      </c>
      <c r="BN60" s="47">
        <f t="shared" si="34"/>
        <v>0.10505305179115454</v>
      </c>
      <c r="BO60" s="35">
        <f t="shared" si="185"/>
        <v>2.8800000000000003</v>
      </c>
      <c r="BP60" s="159">
        <f t="shared" si="36"/>
        <v>5.2768147914696923</v>
      </c>
      <c r="BQ60" s="142"/>
      <c r="BR60" s="13">
        <f t="shared" si="186"/>
        <v>45</v>
      </c>
      <c r="BS60" s="48">
        <f t="shared" si="79"/>
        <v>0</v>
      </c>
      <c r="BT60" s="49">
        <f t="shared" si="87"/>
        <v>7.2033724880284866E-2</v>
      </c>
      <c r="BU60" s="50">
        <f t="shared" si="187"/>
        <v>585</v>
      </c>
      <c r="BV60" s="103">
        <f t="shared" si="240"/>
        <v>586</v>
      </c>
      <c r="BW60" s="46">
        <f t="shared" si="126"/>
        <v>-1</v>
      </c>
      <c r="BX60" s="51">
        <f t="shared" si="100"/>
        <v>79</v>
      </c>
      <c r="BY60" s="103">
        <f t="shared" si="241"/>
        <v>86</v>
      </c>
      <c r="BZ60" s="46">
        <f t="shared" si="37"/>
        <v>-7</v>
      </c>
      <c r="CA60" s="316"/>
      <c r="CB60" s="120"/>
      <c r="CC60" s="7">
        <f t="shared" si="227"/>
        <v>8</v>
      </c>
      <c r="CD60" s="133"/>
      <c r="CE60" s="221"/>
      <c r="CF60" s="14">
        <f t="shared" si="88"/>
        <v>0</v>
      </c>
      <c r="CG60" s="46">
        <f t="shared" si="101"/>
        <v>0</v>
      </c>
      <c r="CH60" s="134"/>
      <c r="CI60" s="135"/>
      <c r="CJ60" s="135"/>
      <c r="CK60" s="14">
        <f t="shared" si="102"/>
        <v>0</v>
      </c>
      <c r="CL60" s="14">
        <f t="shared" si="92"/>
        <v>0</v>
      </c>
      <c r="CM60" s="14">
        <f t="shared" si="188"/>
        <v>0.16</v>
      </c>
      <c r="CN60" s="47">
        <f t="shared" si="39"/>
        <v>0</v>
      </c>
      <c r="CO60" s="35">
        <f t="shared" si="189"/>
        <v>2.8800000000000003</v>
      </c>
      <c r="CP60" s="159">
        <f t="shared" si="40"/>
        <v>0</v>
      </c>
      <c r="CQ60" s="142"/>
      <c r="CR60" s="13">
        <f t="shared" si="190"/>
        <v>45</v>
      </c>
      <c r="CS60" s="48">
        <f t="shared" si="65"/>
        <v>0</v>
      </c>
      <c r="CT60" s="49">
        <f t="shared" si="66"/>
        <v>0</v>
      </c>
      <c r="CU60" s="50">
        <f t="shared" si="191"/>
        <v>585</v>
      </c>
      <c r="CV60" s="103">
        <f t="shared" si="242"/>
        <v>0</v>
      </c>
      <c r="CW60" s="46">
        <f t="shared" si="127"/>
        <v>585</v>
      </c>
      <c r="CX60" s="51">
        <f t="shared" si="42"/>
        <v>79</v>
      </c>
      <c r="CY60" s="103">
        <f t="shared" si="243"/>
        <v>0</v>
      </c>
      <c r="CZ60" s="46">
        <f t="shared" si="43"/>
        <v>79</v>
      </c>
      <c r="DA60" s="316"/>
      <c r="DB60" s="120"/>
      <c r="DC60" s="7">
        <f t="shared" si="230"/>
        <v>8</v>
      </c>
      <c r="DD60" s="133"/>
      <c r="DE60" s="221"/>
      <c r="DF60" s="14">
        <f t="shared" si="70"/>
        <v>0</v>
      </c>
      <c r="DG60" s="46">
        <f t="shared" si="103"/>
        <v>0</v>
      </c>
      <c r="DH60" s="134"/>
      <c r="DI60" s="135"/>
      <c r="DJ60" s="135"/>
      <c r="DK60" s="14">
        <f t="shared" si="104"/>
        <v>0</v>
      </c>
      <c r="DL60" s="14">
        <f t="shared" si="89"/>
        <v>0</v>
      </c>
      <c r="DM60" s="14">
        <f t="shared" si="192"/>
        <v>0.16</v>
      </c>
      <c r="DN60" s="47">
        <f t="shared" si="45"/>
        <v>0</v>
      </c>
      <c r="DO60" s="35">
        <f t="shared" si="193"/>
        <v>2.8800000000000003</v>
      </c>
      <c r="DP60" s="159">
        <f t="shared" si="46"/>
        <v>0</v>
      </c>
      <c r="DQ60" s="142"/>
      <c r="DR60" s="13">
        <f t="shared" si="194"/>
        <v>45</v>
      </c>
      <c r="DS60" s="48">
        <f t="shared" si="82"/>
        <v>0</v>
      </c>
      <c r="DT60" s="49">
        <f t="shared" si="71"/>
        <v>0</v>
      </c>
      <c r="DU60" s="50">
        <f t="shared" si="195"/>
        <v>585</v>
      </c>
      <c r="DV60" s="103">
        <f t="shared" si="244"/>
        <v>0</v>
      </c>
      <c r="DW60" s="46">
        <f t="shared" si="128"/>
        <v>585</v>
      </c>
      <c r="DX60" s="51">
        <f t="shared" si="48"/>
        <v>79</v>
      </c>
      <c r="DY60" s="103">
        <f t="shared" si="245"/>
        <v>0</v>
      </c>
      <c r="DZ60" s="46">
        <f t="shared" si="74"/>
        <v>79</v>
      </c>
    </row>
    <row r="61" spans="2:130" x14ac:dyDescent="0.25">
      <c r="B61" s="120">
        <f t="shared" si="233"/>
        <v>23</v>
      </c>
      <c r="C61" s="115">
        <f t="shared" si="216"/>
        <v>8</v>
      </c>
      <c r="D61" s="133"/>
      <c r="E61" s="221"/>
      <c r="F61" s="103">
        <f t="shared" si="107"/>
        <v>93475</v>
      </c>
      <c r="G61" s="108">
        <f t="shared" si="93"/>
        <v>93465</v>
      </c>
      <c r="H61" s="134"/>
      <c r="I61" s="135">
        <v>10</v>
      </c>
      <c r="J61" s="135"/>
      <c r="K61" s="14">
        <f t="shared" si="94"/>
        <v>10</v>
      </c>
      <c r="L61" s="14">
        <f t="shared" si="90"/>
        <v>92</v>
      </c>
      <c r="M61" s="14">
        <f t="shared" si="22"/>
        <v>0.16</v>
      </c>
      <c r="N61" s="47">
        <f t="shared" si="23"/>
        <v>0.10698047606311849</v>
      </c>
      <c r="O61" s="35">
        <f t="shared" si="24"/>
        <v>2.8800000000000003</v>
      </c>
      <c r="P61" s="159">
        <f t="shared" si="25"/>
        <v>9.8422037978069005E-2</v>
      </c>
      <c r="Q61" s="142"/>
      <c r="R61" s="17">
        <f t="shared" si="105"/>
        <v>45</v>
      </c>
      <c r="S61" s="48">
        <f t="shared" si="50"/>
        <v>0</v>
      </c>
      <c r="T61" s="49">
        <f t="shared" si="83"/>
        <v>0.11689245893777725</v>
      </c>
      <c r="U61" s="39">
        <f t="shared" si="26"/>
        <v>585</v>
      </c>
      <c r="V61" s="103">
        <f t="shared" si="234"/>
        <v>586</v>
      </c>
      <c r="W61" s="71">
        <f t="shared" si="28"/>
        <v>-1</v>
      </c>
      <c r="X61" s="61">
        <f t="shared" si="1"/>
        <v>79</v>
      </c>
      <c r="Y61" s="103">
        <f t="shared" si="235"/>
        <v>86</v>
      </c>
      <c r="Z61" s="71">
        <f t="shared" si="29"/>
        <v>-7</v>
      </c>
      <c r="AB61" s="120">
        <f t="shared" si="236"/>
        <v>25</v>
      </c>
      <c r="AC61" s="7">
        <f t="shared" si="220"/>
        <v>8</v>
      </c>
      <c r="AD61" s="133"/>
      <c r="AE61" s="221"/>
      <c r="AF61" s="14">
        <f t="shared" si="95"/>
        <v>92081</v>
      </c>
      <c r="AG61" s="62">
        <f t="shared" si="96"/>
        <v>92077</v>
      </c>
      <c r="AH61" s="134"/>
      <c r="AI61" s="135">
        <v>4</v>
      </c>
      <c r="AJ61" s="135"/>
      <c r="AK61" s="14">
        <f t="shared" si="97"/>
        <v>4</v>
      </c>
      <c r="AL61" s="14">
        <f t="shared" si="84"/>
        <v>2663</v>
      </c>
      <c r="AM61" s="14">
        <f t="shared" si="179"/>
        <v>0.16</v>
      </c>
      <c r="AN61" s="47">
        <f t="shared" si="55"/>
        <v>4.3440014769605025E-2</v>
      </c>
      <c r="AO61" s="35">
        <f t="shared" si="180"/>
        <v>2.8800000000000003</v>
      </c>
      <c r="AP61" s="159">
        <f t="shared" si="77"/>
        <v>2.8920189832864542</v>
      </c>
      <c r="AQ61" s="142"/>
      <c r="AR61" s="14">
        <f t="shared" si="181"/>
        <v>45</v>
      </c>
      <c r="AS61" s="35">
        <f t="shared" si="91"/>
        <v>0</v>
      </c>
      <c r="AT61" s="301">
        <f t="shared" si="85"/>
        <v>5.5413543607296042E-2</v>
      </c>
      <c r="AU61" s="14">
        <f t="shared" si="182"/>
        <v>585</v>
      </c>
      <c r="AV61" s="103">
        <f t="shared" si="237"/>
        <v>578</v>
      </c>
      <c r="AW61" s="71">
        <f t="shared" si="125"/>
        <v>7</v>
      </c>
      <c r="AX61" s="61">
        <f t="shared" si="57"/>
        <v>79</v>
      </c>
      <c r="AY61" s="103">
        <f t="shared" si="238"/>
        <v>86</v>
      </c>
      <c r="AZ61" s="71">
        <f t="shared" si="33"/>
        <v>-7</v>
      </c>
      <c r="BA61" s="316"/>
      <c r="BB61" s="120">
        <f t="shared" si="239"/>
        <v>23</v>
      </c>
      <c r="BC61" s="7">
        <f t="shared" si="224"/>
        <v>8</v>
      </c>
      <c r="BD61" s="133"/>
      <c r="BE61" s="221"/>
      <c r="BF61" s="14">
        <f t="shared" si="98"/>
        <v>95180</v>
      </c>
      <c r="BG61" s="62">
        <f t="shared" si="120"/>
        <v>95171</v>
      </c>
      <c r="BH61" s="134"/>
      <c r="BI61" s="135">
        <v>9</v>
      </c>
      <c r="BJ61" s="135"/>
      <c r="BK61" s="14">
        <f t="shared" si="99"/>
        <v>9</v>
      </c>
      <c r="BL61" s="14">
        <f t="shared" si="86"/>
        <v>5032</v>
      </c>
      <c r="BM61" s="14">
        <f t="shared" si="184"/>
        <v>0.16</v>
      </c>
      <c r="BN61" s="47">
        <f t="shared" si="34"/>
        <v>9.4557680184912798E-2</v>
      </c>
      <c r="BO61" s="35">
        <f t="shared" si="185"/>
        <v>2.8800000000000003</v>
      </c>
      <c r="BP61" s="159">
        <f t="shared" si="36"/>
        <v>5.286824963227569</v>
      </c>
      <c r="BQ61" s="142"/>
      <c r="BR61" s="13">
        <f t="shared" si="186"/>
        <v>45</v>
      </c>
      <c r="BS61" s="48">
        <f t="shared" si="79"/>
        <v>0</v>
      </c>
      <c r="BT61" s="49">
        <f t="shared" si="87"/>
        <v>7.2033724880284866E-2</v>
      </c>
      <c r="BU61" s="50">
        <f t="shared" si="187"/>
        <v>585</v>
      </c>
      <c r="BV61" s="103">
        <f t="shared" si="240"/>
        <v>586</v>
      </c>
      <c r="BW61" s="71">
        <f t="shared" si="126"/>
        <v>-1</v>
      </c>
      <c r="BX61" s="61">
        <f t="shared" si="100"/>
        <v>79</v>
      </c>
      <c r="BY61" s="103">
        <f t="shared" si="241"/>
        <v>86</v>
      </c>
      <c r="BZ61" s="71">
        <f t="shared" si="37"/>
        <v>-7</v>
      </c>
      <c r="CA61" s="316"/>
      <c r="CB61" s="120"/>
      <c r="CC61" s="7">
        <f t="shared" si="227"/>
        <v>8</v>
      </c>
      <c r="CD61" s="133"/>
      <c r="CE61" s="221"/>
      <c r="CF61" s="14">
        <f t="shared" si="88"/>
        <v>0</v>
      </c>
      <c r="CG61" s="62">
        <f t="shared" si="101"/>
        <v>0</v>
      </c>
      <c r="CH61" s="134"/>
      <c r="CI61" s="135"/>
      <c r="CJ61" s="135"/>
      <c r="CK61" s="14">
        <f t="shared" si="102"/>
        <v>0</v>
      </c>
      <c r="CL61" s="14">
        <f t="shared" si="92"/>
        <v>0</v>
      </c>
      <c r="CM61" s="14">
        <f t="shared" si="188"/>
        <v>0.16</v>
      </c>
      <c r="CN61" s="47">
        <f t="shared" si="39"/>
        <v>0</v>
      </c>
      <c r="CO61" s="35">
        <f t="shared" si="189"/>
        <v>2.8800000000000003</v>
      </c>
      <c r="CP61" s="159">
        <f t="shared" si="40"/>
        <v>0</v>
      </c>
      <c r="CQ61" s="142"/>
      <c r="CR61" s="13">
        <f t="shared" si="190"/>
        <v>45</v>
      </c>
      <c r="CS61" s="48">
        <f t="shared" si="65"/>
        <v>0</v>
      </c>
      <c r="CT61" s="49">
        <f t="shared" si="66"/>
        <v>0</v>
      </c>
      <c r="CU61" s="50">
        <f t="shared" si="191"/>
        <v>585</v>
      </c>
      <c r="CV61" s="103">
        <f t="shared" si="242"/>
        <v>0</v>
      </c>
      <c r="CW61" s="71">
        <f t="shared" si="127"/>
        <v>585</v>
      </c>
      <c r="CX61" s="61">
        <f t="shared" si="42"/>
        <v>79</v>
      </c>
      <c r="CY61" s="103">
        <f t="shared" si="243"/>
        <v>0</v>
      </c>
      <c r="CZ61" s="71">
        <f t="shared" si="43"/>
        <v>79</v>
      </c>
      <c r="DA61" s="316"/>
      <c r="DB61" s="120"/>
      <c r="DC61" s="7">
        <f t="shared" si="230"/>
        <v>8</v>
      </c>
      <c r="DD61" s="133"/>
      <c r="DE61" s="221"/>
      <c r="DF61" s="14">
        <f t="shared" si="70"/>
        <v>0</v>
      </c>
      <c r="DG61" s="62">
        <f t="shared" si="103"/>
        <v>0</v>
      </c>
      <c r="DH61" s="134"/>
      <c r="DI61" s="135"/>
      <c r="DJ61" s="135"/>
      <c r="DK61" s="14">
        <f t="shared" si="104"/>
        <v>0</v>
      </c>
      <c r="DL61" s="14">
        <f t="shared" si="89"/>
        <v>0</v>
      </c>
      <c r="DM61" s="14">
        <f t="shared" si="192"/>
        <v>0.16</v>
      </c>
      <c r="DN61" s="47">
        <f t="shared" si="45"/>
        <v>0</v>
      </c>
      <c r="DO61" s="35">
        <f t="shared" si="193"/>
        <v>2.8800000000000003</v>
      </c>
      <c r="DP61" s="159">
        <f t="shared" si="46"/>
        <v>0</v>
      </c>
      <c r="DQ61" s="142"/>
      <c r="DR61" s="13">
        <f t="shared" si="194"/>
        <v>45</v>
      </c>
      <c r="DS61" s="48">
        <f t="shared" si="82"/>
        <v>0</v>
      </c>
      <c r="DT61" s="49">
        <f t="shared" si="71"/>
        <v>0</v>
      </c>
      <c r="DU61" s="50">
        <f t="shared" si="195"/>
        <v>585</v>
      </c>
      <c r="DV61" s="103">
        <f t="shared" si="244"/>
        <v>0</v>
      </c>
      <c r="DW61" s="71">
        <f t="shared" si="128"/>
        <v>585</v>
      </c>
      <c r="DX61" s="61">
        <f t="shared" si="48"/>
        <v>79</v>
      </c>
      <c r="DY61" s="103">
        <f t="shared" si="245"/>
        <v>0</v>
      </c>
      <c r="DZ61" s="71">
        <f t="shared" si="74"/>
        <v>79</v>
      </c>
    </row>
    <row r="62" spans="2:130" x14ac:dyDescent="0.25">
      <c r="B62" s="120">
        <f t="shared" si="233"/>
        <v>24</v>
      </c>
      <c r="C62" s="115">
        <f t="shared" si="216"/>
        <v>8</v>
      </c>
      <c r="D62" s="133"/>
      <c r="E62" s="221"/>
      <c r="F62" s="103">
        <f t="shared" si="107"/>
        <v>93465</v>
      </c>
      <c r="G62" s="107">
        <f t="shared" si="93"/>
        <v>93457</v>
      </c>
      <c r="H62" s="134"/>
      <c r="I62" s="135">
        <v>8</v>
      </c>
      <c r="J62" s="135"/>
      <c r="K62" s="14">
        <f t="shared" si="94"/>
        <v>8</v>
      </c>
      <c r="L62" s="14">
        <f t="shared" si="90"/>
        <v>100</v>
      </c>
      <c r="M62" s="14">
        <f t="shared" si="22"/>
        <v>0.16</v>
      </c>
      <c r="N62" s="47">
        <f t="shared" si="23"/>
        <v>8.5593537687904564E-2</v>
      </c>
      <c r="O62" s="35">
        <f t="shared" si="24"/>
        <v>2.8800000000000003</v>
      </c>
      <c r="P62" s="159">
        <f t="shared" si="25"/>
        <v>0.1069919221098807</v>
      </c>
      <c r="Q62" s="142"/>
      <c r="R62" s="17">
        <f t="shared" si="105"/>
        <v>45</v>
      </c>
      <c r="S62" s="48">
        <f t="shared" si="50"/>
        <v>0</v>
      </c>
      <c r="T62" s="49">
        <f t="shared" si="83"/>
        <v>0.11689245893777725</v>
      </c>
      <c r="U62" s="12">
        <f t="shared" si="26"/>
        <v>585</v>
      </c>
      <c r="V62" s="103">
        <f t="shared" si="234"/>
        <v>586</v>
      </c>
      <c r="W62" s="62">
        <f t="shared" si="28"/>
        <v>-1</v>
      </c>
      <c r="X62" s="52">
        <f t="shared" si="1"/>
        <v>79</v>
      </c>
      <c r="Y62" s="103">
        <f t="shared" si="235"/>
        <v>86</v>
      </c>
      <c r="Z62" s="62">
        <f t="shared" si="29"/>
        <v>-7</v>
      </c>
      <c r="AB62" s="120">
        <f t="shared" si="236"/>
        <v>26</v>
      </c>
      <c r="AC62" s="7">
        <f t="shared" si="220"/>
        <v>8</v>
      </c>
      <c r="AD62" s="133"/>
      <c r="AE62" s="221"/>
      <c r="AF62" s="14">
        <f t="shared" si="95"/>
        <v>92077</v>
      </c>
      <c r="AG62" s="59">
        <f t="shared" si="96"/>
        <v>92072</v>
      </c>
      <c r="AH62" s="134"/>
      <c r="AI62" s="135">
        <v>5</v>
      </c>
      <c r="AJ62" s="135"/>
      <c r="AK62" s="14">
        <f t="shared" si="97"/>
        <v>5</v>
      </c>
      <c r="AL62" s="14">
        <f t="shared" si="84"/>
        <v>2668</v>
      </c>
      <c r="AM62" s="14">
        <f t="shared" si="179"/>
        <v>0.16</v>
      </c>
      <c r="AN62" s="47">
        <f t="shared" si="55"/>
        <v>5.4302377358080738E-2</v>
      </c>
      <c r="AO62" s="35">
        <f t="shared" si="180"/>
        <v>2.8800000000000003</v>
      </c>
      <c r="AP62" s="159">
        <f t="shared" si="77"/>
        <v>2.8975748558271883</v>
      </c>
      <c r="AQ62" s="142"/>
      <c r="AR62" s="14">
        <f t="shared" si="181"/>
        <v>45</v>
      </c>
      <c r="AS62" s="35">
        <f t="shared" si="91"/>
        <v>0</v>
      </c>
      <c r="AT62" s="301">
        <f t="shared" si="85"/>
        <v>5.5413543607296042E-2</v>
      </c>
      <c r="AU62" s="14">
        <f t="shared" si="182"/>
        <v>585</v>
      </c>
      <c r="AV62" s="103">
        <f t="shared" si="237"/>
        <v>578</v>
      </c>
      <c r="AW62" s="62">
        <f t="shared" si="125"/>
        <v>7</v>
      </c>
      <c r="AX62" s="52">
        <f t="shared" si="57"/>
        <v>79</v>
      </c>
      <c r="AY62" s="103">
        <f t="shared" si="238"/>
        <v>86</v>
      </c>
      <c r="AZ62" s="62">
        <f t="shared" si="33"/>
        <v>-7</v>
      </c>
      <c r="BA62" s="316"/>
      <c r="BB62" s="120">
        <f t="shared" si="239"/>
        <v>24</v>
      </c>
      <c r="BC62" s="7">
        <f t="shared" si="224"/>
        <v>8</v>
      </c>
      <c r="BD62" s="133"/>
      <c r="BE62" s="221"/>
      <c r="BF62" s="14">
        <f t="shared" si="98"/>
        <v>95171</v>
      </c>
      <c r="BG62" s="59">
        <f t="shared" si="120"/>
        <v>95163</v>
      </c>
      <c r="BH62" s="134"/>
      <c r="BI62" s="135">
        <v>8</v>
      </c>
      <c r="BJ62" s="135"/>
      <c r="BK62" s="14">
        <f t="shared" si="99"/>
        <v>8</v>
      </c>
      <c r="BL62" s="14">
        <f t="shared" si="86"/>
        <v>5040</v>
      </c>
      <c r="BM62" s="14">
        <f t="shared" si="184"/>
        <v>0.16</v>
      </c>
      <c r="BN62" s="47">
        <f t="shared" si="34"/>
        <v>8.4059219720292941E-2</v>
      </c>
      <c r="BO62" s="35">
        <f t="shared" si="185"/>
        <v>2.8800000000000003</v>
      </c>
      <c r="BP62" s="159">
        <f t="shared" si="36"/>
        <v>5.2957308423784557</v>
      </c>
      <c r="BQ62" s="142"/>
      <c r="BR62" s="13">
        <f t="shared" si="186"/>
        <v>45</v>
      </c>
      <c r="BS62" s="48">
        <f t="shared" si="79"/>
        <v>0</v>
      </c>
      <c r="BT62" s="49">
        <f t="shared" si="87"/>
        <v>7.2033724880284866E-2</v>
      </c>
      <c r="BU62" s="50">
        <f t="shared" si="187"/>
        <v>585</v>
      </c>
      <c r="BV62" s="103">
        <f t="shared" si="240"/>
        <v>586</v>
      </c>
      <c r="BW62" s="62">
        <f t="shared" si="126"/>
        <v>-1</v>
      </c>
      <c r="BX62" s="52">
        <f t="shared" si="100"/>
        <v>79</v>
      </c>
      <c r="BY62" s="103">
        <f t="shared" si="241"/>
        <v>86</v>
      </c>
      <c r="BZ62" s="62">
        <f t="shared" si="37"/>
        <v>-7</v>
      </c>
      <c r="CA62" s="316"/>
      <c r="CB62" s="120"/>
      <c r="CC62" s="7">
        <f t="shared" si="227"/>
        <v>8</v>
      </c>
      <c r="CD62" s="133"/>
      <c r="CE62" s="221"/>
      <c r="CF62" s="14">
        <f t="shared" si="88"/>
        <v>0</v>
      </c>
      <c r="CG62" s="59">
        <f t="shared" si="101"/>
        <v>0</v>
      </c>
      <c r="CH62" s="134"/>
      <c r="CI62" s="135"/>
      <c r="CJ62" s="135"/>
      <c r="CK62" s="14">
        <f t="shared" si="102"/>
        <v>0</v>
      </c>
      <c r="CL62" s="14">
        <f t="shared" si="92"/>
        <v>0</v>
      </c>
      <c r="CM62" s="14">
        <f t="shared" si="188"/>
        <v>0.16</v>
      </c>
      <c r="CN62" s="47">
        <f t="shared" si="39"/>
        <v>0</v>
      </c>
      <c r="CO62" s="35">
        <f t="shared" si="189"/>
        <v>2.8800000000000003</v>
      </c>
      <c r="CP62" s="159">
        <f t="shared" si="40"/>
        <v>0</v>
      </c>
      <c r="CQ62" s="142"/>
      <c r="CR62" s="13">
        <f t="shared" si="190"/>
        <v>45</v>
      </c>
      <c r="CS62" s="48">
        <f t="shared" si="65"/>
        <v>0</v>
      </c>
      <c r="CT62" s="49">
        <f t="shared" si="66"/>
        <v>0</v>
      </c>
      <c r="CU62" s="50">
        <f t="shared" si="191"/>
        <v>585</v>
      </c>
      <c r="CV62" s="103">
        <f t="shared" si="242"/>
        <v>0</v>
      </c>
      <c r="CW62" s="62">
        <f t="shared" si="127"/>
        <v>585</v>
      </c>
      <c r="CX62" s="52">
        <f t="shared" si="42"/>
        <v>79</v>
      </c>
      <c r="CY62" s="103">
        <f t="shared" si="243"/>
        <v>0</v>
      </c>
      <c r="CZ62" s="62">
        <f t="shared" si="43"/>
        <v>79</v>
      </c>
      <c r="DA62" s="316"/>
      <c r="DB62" s="120"/>
      <c r="DC62" s="7">
        <f t="shared" si="230"/>
        <v>8</v>
      </c>
      <c r="DD62" s="133"/>
      <c r="DE62" s="221"/>
      <c r="DF62" s="14">
        <f t="shared" si="70"/>
        <v>0</v>
      </c>
      <c r="DG62" s="59">
        <f t="shared" si="103"/>
        <v>0</v>
      </c>
      <c r="DH62" s="134"/>
      <c r="DI62" s="135"/>
      <c r="DJ62" s="135"/>
      <c r="DK62" s="14">
        <f t="shared" si="104"/>
        <v>0</v>
      </c>
      <c r="DL62" s="14">
        <f t="shared" si="89"/>
        <v>0</v>
      </c>
      <c r="DM62" s="14">
        <f t="shared" si="192"/>
        <v>0.16</v>
      </c>
      <c r="DN62" s="47">
        <f t="shared" si="45"/>
        <v>0</v>
      </c>
      <c r="DO62" s="35">
        <f t="shared" si="193"/>
        <v>2.8800000000000003</v>
      </c>
      <c r="DP62" s="159">
        <f t="shared" si="46"/>
        <v>0</v>
      </c>
      <c r="DQ62" s="142"/>
      <c r="DR62" s="13">
        <f t="shared" si="194"/>
        <v>45</v>
      </c>
      <c r="DS62" s="48">
        <f t="shared" si="82"/>
        <v>0</v>
      </c>
      <c r="DT62" s="49">
        <f t="shared" si="71"/>
        <v>0</v>
      </c>
      <c r="DU62" s="50">
        <f t="shared" si="195"/>
        <v>585</v>
      </c>
      <c r="DV62" s="103">
        <f t="shared" si="244"/>
        <v>0</v>
      </c>
      <c r="DW62" s="62">
        <f t="shared" si="128"/>
        <v>585</v>
      </c>
      <c r="DX62" s="52">
        <f t="shared" si="48"/>
        <v>79</v>
      </c>
      <c r="DY62" s="103">
        <f t="shared" si="245"/>
        <v>0</v>
      </c>
      <c r="DZ62" s="62">
        <f t="shared" si="74"/>
        <v>79</v>
      </c>
    </row>
    <row r="63" spans="2:130" ht="17.25" thickBot="1" x14ac:dyDescent="0.3">
      <c r="B63" s="197">
        <f t="shared" si="233"/>
        <v>25</v>
      </c>
      <c r="C63" s="116">
        <f t="shared" si="216"/>
        <v>8</v>
      </c>
      <c r="D63" s="136"/>
      <c r="E63" s="226"/>
      <c r="F63" s="109">
        <f t="shared" si="107"/>
        <v>93457</v>
      </c>
      <c r="G63" s="111">
        <f t="shared" si="93"/>
        <v>93454</v>
      </c>
      <c r="H63" s="137"/>
      <c r="I63" s="138">
        <v>3</v>
      </c>
      <c r="J63" s="138"/>
      <c r="K63" s="34">
        <f t="shared" si="94"/>
        <v>3</v>
      </c>
      <c r="L63" s="34">
        <f t="shared" si="90"/>
        <v>103</v>
      </c>
      <c r="M63" s="34">
        <f t="shared" si="22"/>
        <v>0.16</v>
      </c>
      <c r="N63" s="96">
        <f t="shared" si="23"/>
        <v>3.2100324213274557E-2</v>
      </c>
      <c r="O63" s="40">
        <f t="shared" si="24"/>
        <v>2.8800000000000003</v>
      </c>
      <c r="P63" s="156">
        <f t="shared" si="25"/>
        <v>0.11021111313224263</v>
      </c>
      <c r="Q63" s="139"/>
      <c r="R63" s="15">
        <f t="shared" si="105"/>
        <v>45</v>
      </c>
      <c r="S63" s="54">
        <f t="shared" si="50"/>
        <v>0</v>
      </c>
      <c r="T63" s="55">
        <f t="shared" si="83"/>
        <v>0.11689245893777725</v>
      </c>
      <c r="U63" s="163">
        <f t="shared" si="26"/>
        <v>585</v>
      </c>
      <c r="V63" s="109">
        <f t="shared" si="234"/>
        <v>586</v>
      </c>
      <c r="W63" s="53">
        <f t="shared" si="28"/>
        <v>-1</v>
      </c>
      <c r="X63" s="56">
        <f t="shared" si="1"/>
        <v>79</v>
      </c>
      <c r="Y63" s="109">
        <f t="shared" si="235"/>
        <v>86</v>
      </c>
      <c r="Z63" s="53">
        <f t="shared" si="29"/>
        <v>-7</v>
      </c>
      <c r="AB63" s="197">
        <f t="shared" si="236"/>
        <v>27</v>
      </c>
      <c r="AC63" s="8">
        <f t="shared" si="220"/>
        <v>8</v>
      </c>
      <c r="AD63" s="136"/>
      <c r="AE63" s="226"/>
      <c r="AF63" s="32">
        <f t="shared" si="95"/>
        <v>92072</v>
      </c>
      <c r="AG63" s="69">
        <f t="shared" si="96"/>
        <v>92066</v>
      </c>
      <c r="AH63" s="137"/>
      <c r="AI63" s="138">
        <v>6</v>
      </c>
      <c r="AJ63" s="138"/>
      <c r="AK63" s="34">
        <f t="shared" si="97"/>
        <v>6</v>
      </c>
      <c r="AL63" s="34">
        <f t="shared" si="84"/>
        <v>2674</v>
      </c>
      <c r="AM63" s="32">
        <f t="shared" si="179"/>
        <v>0.16</v>
      </c>
      <c r="AN63" s="96">
        <f t="shared" si="55"/>
        <v>6.5166391519680247E-2</v>
      </c>
      <c r="AO63" s="36">
        <f t="shared" si="180"/>
        <v>2.8800000000000003</v>
      </c>
      <c r="AP63" s="156">
        <f t="shared" si="77"/>
        <v>2.9042488487270832</v>
      </c>
      <c r="AQ63" s="139"/>
      <c r="AR63" s="32">
        <f t="shared" si="181"/>
        <v>45</v>
      </c>
      <c r="AS63" s="36">
        <f t="shared" si="91"/>
        <v>0</v>
      </c>
      <c r="AT63" s="304">
        <f t="shared" si="85"/>
        <v>5.5413543607296042E-2</v>
      </c>
      <c r="AU63" s="32">
        <f t="shared" si="182"/>
        <v>585</v>
      </c>
      <c r="AV63" s="109">
        <f t="shared" si="237"/>
        <v>578</v>
      </c>
      <c r="AW63" s="53">
        <f t="shared" si="125"/>
        <v>7</v>
      </c>
      <c r="AX63" s="56">
        <f t="shared" si="57"/>
        <v>79</v>
      </c>
      <c r="AY63" s="109">
        <f t="shared" si="238"/>
        <v>86</v>
      </c>
      <c r="AZ63" s="53">
        <f t="shared" si="33"/>
        <v>-7</v>
      </c>
      <c r="BA63" s="316"/>
      <c r="BB63" s="197">
        <f t="shared" si="239"/>
        <v>25</v>
      </c>
      <c r="BC63" s="8">
        <f t="shared" si="224"/>
        <v>8</v>
      </c>
      <c r="BD63" s="136"/>
      <c r="BE63" s="226"/>
      <c r="BF63" s="32">
        <f t="shared" si="98"/>
        <v>95163</v>
      </c>
      <c r="BG63" s="69">
        <f t="shared" si="120"/>
        <v>95153</v>
      </c>
      <c r="BH63" s="137"/>
      <c r="BI63" s="138">
        <v>10</v>
      </c>
      <c r="BJ63" s="138"/>
      <c r="BK63" s="34">
        <f t="shared" si="99"/>
        <v>10</v>
      </c>
      <c r="BL63" s="34">
        <f t="shared" si="86"/>
        <v>5050</v>
      </c>
      <c r="BM63" s="32">
        <f t="shared" si="184"/>
        <v>0.16</v>
      </c>
      <c r="BN63" s="96">
        <f t="shared" si="34"/>
        <v>0.10508285783340164</v>
      </c>
      <c r="BO63" s="36">
        <f t="shared" si="185"/>
        <v>2.8800000000000003</v>
      </c>
      <c r="BP63" s="156">
        <f t="shared" si="36"/>
        <v>5.3066843205867826</v>
      </c>
      <c r="BQ63" s="139"/>
      <c r="BR63" s="32">
        <f t="shared" si="186"/>
        <v>45</v>
      </c>
      <c r="BS63" s="54">
        <f t="shared" si="79"/>
        <v>0</v>
      </c>
      <c r="BT63" s="70">
        <f t="shared" si="87"/>
        <v>7.2033724880284866E-2</v>
      </c>
      <c r="BU63" s="56">
        <f t="shared" si="187"/>
        <v>585</v>
      </c>
      <c r="BV63" s="109">
        <f t="shared" si="240"/>
        <v>586</v>
      </c>
      <c r="BW63" s="53">
        <f t="shared" si="126"/>
        <v>-1</v>
      </c>
      <c r="BX63" s="56">
        <f t="shared" si="100"/>
        <v>79</v>
      </c>
      <c r="BY63" s="109">
        <f t="shared" si="241"/>
        <v>86</v>
      </c>
      <c r="BZ63" s="53">
        <f t="shared" si="37"/>
        <v>-7</v>
      </c>
      <c r="CA63" s="316"/>
      <c r="CB63" s="119"/>
      <c r="CC63" s="95">
        <f t="shared" si="227"/>
        <v>8</v>
      </c>
      <c r="CD63" s="203"/>
      <c r="CE63" s="225"/>
      <c r="CF63" s="13">
        <f t="shared" si="88"/>
        <v>0</v>
      </c>
      <c r="CG63" s="189">
        <f t="shared" si="101"/>
        <v>0</v>
      </c>
      <c r="CH63" s="204"/>
      <c r="CI63" s="205"/>
      <c r="CJ63" s="205"/>
      <c r="CK63" s="31">
        <f t="shared" si="102"/>
        <v>0</v>
      </c>
      <c r="CL63" s="31">
        <f t="shared" si="92"/>
        <v>0</v>
      </c>
      <c r="CM63" s="13">
        <f t="shared" si="188"/>
        <v>0.16</v>
      </c>
      <c r="CN63" s="230">
        <f t="shared" si="39"/>
        <v>0</v>
      </c>
      <c r="CO63" s="161">
        <f t="shared" si="189"/>
        <v>2.8800000000000003</v>
      </c>
      <c r="CP63" s="157">
        <f t="shared" si="40"/>
        <v>0</v>
      </c>
      <c r="CQ63" s="237"/>
      <c r="CR63" s="13">
        <f t="shared" si="190"/>
        <v>45</v>
      </c>
      <c r="CS63" s="67">
        <f t="shared" si="65"/>
        <v>0</v>
      </c>
      <c r="CT63" s="253">
        <f t="shared" si="66"/>
        <v>0</v>
      </c>
      <c r="CU63" s="50">
        <f t="shared" si="191"/>
        <v>585</v>
      </c>
      <c r="CV63" s="202">
        <f t="shared" si="242"/>
        <v>0</v>
      </c>
      <c r="CW63" s="59">
        <f t="shared" si="127"/>
        <v>585</v>
      </c>
      <c r="CX63" s="50">
        <f t="shared" si="42"/>
        <v>79</v>
      </c>
      <c r="CY63" s="202">
        <f t="shared" si="243"/>
        <v>0</v>
      </c>
      <c r="CZ63" s="59">
        <f t="shared" si="43"/>
        <v>79</v>
      </c>
      <c r="DA63" s="316"/>
      <c r="DB63" s="197"/>
      <c r="DC63" s="8">
        <f t="shared" si="230"/>
        <v>8</v>
      </c>
      <c r="DD63" s="136"/>
      <c r="DE63" s="226"/>
      <c r="DF63" s="32">
        <f t="shared" si="70"/>
        <v>0</v>
      </c>
      <c r="DG63" s="69">
        <f t="shared" si="103"/>
        <v>0</v>
      </c>
      <c r="DH63" s="137"/>
      <c r="DI63" s="138"/>
      <c r="DJ63" s="138"/>
      <c r="DK63" s="34">
        <f t="shared" si="104"/>
        <v>0</v>
      </c>
      <c r="DL63" s="34">
        <f t="shared" si="89"/>
        <v>0</v>
      </c>
      <c r="DM63" s="32">
        <f t="shared" si="192"/>
        <v>0.16</v>
      </c>
      <c r="DN63" s="96">
        <f t="shared" si="45"/>
        <v>0</v>
      </c>
      <c r="DO63" s="36">
        <f t="shared" si="193"/>
        <v>2.8800000000000003</v>
      </c>
      <c r="DP63" s="156">
        <f t="shared" si="46"/>
        <v>0</v>
      </c>
      <c r="DQ63" s="139"/>
      <c r="DR63" s="32">
        <f t="shared" si="194"/>
        <v>45</v>
      </c>
      <c r="DS63" s="54">
        <f t="shared" si="82"/>
        <v>0</v>
      </c>
      <c r="DT63" s="70">
        <f t="shared" si="71"/>
        <v>0</v>
      </c>
      <c r="DU63" s="56">
        <f t="shared" si="195"/>
        <v>585</v>
      </c>
      <c r="DV63" s="109">
        <f t="shared" si="244"/>
        <v>0</v>
      </c>
      <c r="DW63" s="53">
        <f t="shared" si="128"/>
        <v>585</v>
      </c>
      <c r="DX63" s="56">
        <f t="shared" si="48"/>
        <v>79</v>
      </c>
      <c r="DY63" s="109">
        <f t="shared" si="245"/>
        <v>0</v>
      </c>
      <c r="DZ63" s="53">
        <f t="shared" si="74"/>
        <v>79</v>
      </c>
    </row>
    <row r="64" spans="2:130" x14ac:dyDescent="0.25">
      <c r="B64" s="198">
        <v>26</v>
      </c>
      <c r="C64" s="117">
        <v>9</v>
      </c>
      <c r="D64" s="143"/>
      <c r="E64" s="227"/>
      <c r="F64" s="112">
        <f t="shared" si="107"/>
        <v>93454</v>
      </c>
      <c r="G64" s="108">
        <f t="shared" si="93"/>
        <v>93453</v>
      </c>
      <c r="H64" s="144"/>
      <c r="I64" s="141">
        <v>1</v>
      </c>
      <c r="J64" s="141"/>
      <c r="K64" s="17">
        <f t="shared" si="94"/>
        <v>1</v>
      </c>
      <c r="L64" s="17">
        <f t="shared" si="90"/>
        <v>104</v>
      </c>
      <c r="M64" s="17">
        <f t="shared" si="22"/>
        <v>0.16</v>
      </c>
      <c r="N64" s="235">
        <f t="shared" si="23"/>
        <v>1.0700451559055793E-2</v>
      </c>
      <c r="O64" s="33">
        <f t="shared" si="24"/>
        <v>3.0400000000000005</v>
      </c>
      <c r="P64" s="210">
        <f t="shared" si="25"/>
        <v>0.11128469621418023</v>
      </c>
      <c r="Q64" s="145"/>
      <c r="R64" s="12">
        <f t="shared" si="105"/>
        <v>47</v>
      </c>
      <c r="S64" s="60">
        <f t="shared" si="50"/>
        <v>0</v>
      </c>
      <c r="T64" s="72">
        <f t="shared" si="83"/>
        <v>0.11689245893777725</v>
      </c>
      <c r="U64" s="39">
        <f t="shared" si="26"/>
        <v>668</v>
      </c>
      <c r="V64" s="141">
        <v>681</v>
      </c>
      <c r="W64" s="71">
        <f t="shared" si="28"/>
        <v>-13</v>
      </c>
      <c r="X64" s="61">
        <f t="shared" si="1"/>
        <v>79</v>
      </c>
      <c r="Y64" s="141">
        <v>88</v>
      </c>
      <c r="Z64" s="71">
        <f t="shared" si="29"/>
        <v>-9</v>
      </c>
      <c r="AB64" s="198">
        <v>28</v>
      </c>
      <c r="AC64" s="38">
        <v>9</v>
      </c>
      <c r="AD64" s="143"/>
      <c r="AE64" s="227"/>
      <c r="AF64" s="17">
        <f t="shared" si="95"/>
        <v>92066</v>
      </c>
      <c r="AG64" s="62">
        <f t="shared" si="96"/>
        <v>92062</v>
      </c>
      <c r="AH64" s="144"/>
      <c r="AI64" s="141">
        <v>4</v>
      </c>
      <c r="AJ64" s="141"/>
      <c r="AK64" s="17">
        <f t="shared" si="97"/>
        <v>4</v>
      </c>
      <c r="AL64" s="17">
        <f t="shared" si="84"/>
        <v>2678</v>
      </c>
      <c r="AM64" s="17">
        <f t="shared" si="179"/>
        <v>0.16</v>
      </c>
      <c r="AN64" s="235">
        <f t="shared" si="55"/>
        <v>4.3447092303347597E-2</v>
      </c>
      <c r="AO64" s="33">
        <f t="shared" si="180"/>
        <v>3.0400000000000005</v>
      </c>
      <c r="AP64" s="210">
        <f t="shared" si="77"/>
        <v>2.9087828297091218</v>
      </c>
      <c r="AQ64" s="145"/>
      <c r="AR64" s="17">
        <f t="shared" si="181"/>
        <v>47</v>
      </c>
      <c r="AS64" s="33">
        <f t="shared" si="91"/>
        <v>0</v>
      </c>
      <c r="AT64" s="305">
        <f t="shared" si="85"/>
        <v>5.5413543607296042E-2</v>
      </c>
      <c r="AU64" s="17">
        <f t="shared" si="182"/>
        <v>668</v>
      </c>
      <c r="AV64" s="141">
        <v>673</v>
      </c>
      <c r="AW64" s="71">
        <f t="shared" si="125"/>
        <v>-5</v>
      </c>
      <c r="AX64" s="61">
        <f t="shared" si="57"/>
        <v>79</v>
      </c>
      <c r="AY64" s="141">
        <v>86</v>
      </c>
      <c r="AZ64" s="71">
        <f t="shared" si="33"/>
        <v>-7</v>
      </c>
      <c r="BA64" s="316"/>
      <c r="BB64" s="198">
        <v>26</v>
      </c>
      <c r="BC64" s="38">
        <v>9</v>
      </c>
      <c r="BD64" s="143"/>
      <c r="BE64" s="227"/>
      <c r="BF64" s="17">
        <f t="shared" si="98"/>
        <v>95153</v>
      </c>
      <c r="BG64" s="62">
        <f t="shared" si="120"/>
        <v>95144</v>
      </c>
      <c r="BH64" s="144"/>
      <c r="BI64" s="141">
        <v>9</v>
      </c>
      <c r="BJ64" s="141"/>
      <c r="BK64" s="17">
        <f t="shared" si="99"/>
        <v>9</v>
      </c>
      <c r="BL64" s="17">
        <f t="shared" si="86"/>
        <v>5059</v>
      </c>
      <c r="BM64" s="17">
        <f t="shared" si="184"/>
        <v>0.16</v>
      </c>
      <c r="BN64" s="235">
        <f t="shared" si="34"/>
        <v>9.4584511260811535E-2</v>
      </c>
      <c r="BO64" s="33">
        <f t="shared" si="185"/>
        <v>3.0400000000000005</v>
      </c>
      <c r="BP64" s="210">
        <f t="shared" si="36"/>
        <v>5.3167004718716173</v>
      </c>
      <c r="BQ64" s="145"/>
      <c r="BR64" s="31">
        <f t="shared" si="186"/>
        <v>47</v>
      </c>
      <c r="BS64" s="60">
        <f t="shared" si="79"/>
        <v>0</v>
      </c>
      <c r="BT64" s="72">
        <f t="shared" si="87"/>
        <v>7.2033724880284866E-2</v>
      </c>
      <c r="BU64" s="52">
        <f t="shared" si="187"/>
        <v>668</v>
      </c>
      <c r="BV64" s="141">
        <v>681</v>
      </c>
      <c r="BW64" s="71">
        <f t="shared" si="126"/>
        <v>-13</v>
      </c>
      <c r="BX64" s="61">
        <f t="shared" si="100"/>
        <v>79</v>
      </c>
      <c r="BY64" s="141">
        <v>88</v>
      </c>
      <c r="BZ64" s="71">
        <f t="shared" si="37"/>
        <v>-9</v>
      </c>
      <c r="CA64" s="316"/>
      <c r="CB64" s="118"/>
      <c r="CC64" s="9">
        <v>9</v>
      </c>
      <c r="CD64" s="129"/>
      <c r="CE64" s="224"/>
      <c r="CF64" s="11">
        <f t="shared" si="88"/>
        <v>0</v>
      </c>
      <c r="CG64" s="57">
        <f t="shared" si="101"/>
        <v>0</v>
      </c>
      <c r="CH64" s="130"/>
      <c r="CI64" s="131"/>
      <c r="CJ64" s="131"/>
      <c r="CK64" s="11">
        <f t="shared" si="102"/>
        <v>0</v>
      </c>
      <c r="CL64" s="11">
        <f t="shared" si="92"/>
        <v>0</v>
      </c>
      <c r="CM64" s="11">
        <f t="shared" si="188"/>
        <v>0.16</v>
      </c>
      <c r="CN64" s="42">
        <f t="shared" si="39"/>
        <v>0</v>
      </c>
      <c r="CO64" s="21">
        <f t="shared" si="189"/>
        <v>3.0400000000000005</v>
      </c>
      <c r="CP64" s="165">
        <f t="shared" si="40"/>
        <v>0</v>
      </c>
      <c r="CQ64" s="158"/>
      <c r="CR64" s="16">
        <f t="shared" si="190"/>
        <v>47</v>
      </c>
      <c r="CS64" s="43">
        <f t="shared" si="65"/>
        <v>0</v>
      </c>
      <c r="CT64" s="44">
        <f t="shared" si="66"/>
        <v>0</v>
      </c>
      <c r="CU64" s="45">
        <f t="shared" si="191"/>
        <v>668</v>
      </c>
      <c r="CV64" s="131"/>
      <c r="CW64" s="41">
        <f t="shared" si="127"/>
        <v>668</v>
      </c>
      <c r="CX64" s="58">
        <f t="shared" si="42"/>
        <v>79</v>
      </c>
      <c r="CY64" s="131"/>
      <c r="CZ64" s="41">
        <f t="shared" si="43"/>
        <v>79</v>
      </c>
      <c r="DA64" s="316"/>
      <c r="DB64" s="198"/>
      <c r="DC64" s="38">
        <v>9</v>
      </c>
      <c r="DD64" s="143"/>
      <c r="DE64" s="227"/>
      <c r="DF64" s="17">
        <f t="shared" si="70"/>
        <v>0</v>
      </c>
      <c r="DG64" s="62">
        <f t="shared" si="103"/>
        <v>0</v>
      </c>
      <c r="DH64" s="144"/>
      <c r="DI64" s="141"/>
      <c r="DJ64" s="141"/>
      <c r="DK64" s="17">
        <f t="shared" si="104"/>
        <v>0</v>
      </c>
      <c r="DL64" s="17">
        <f t="shared" si="89"/>
        <v>0</v>
      </c>
      <c r="DM64" s="17">
        <f t="shared" si="192"/>
        <v>0.16</v>
      </c>
      <c r="DN64" s="235">
        <f t="shared" si="45"/>
        <v>0</v>
      </c>
      <c r="DO64" s="33">
        <f t="shared" si="193"/>
        <v>3.0400000000000005</v>
      </c>
      <c r="DP64" s="210">
        <f t="shared" si="46"/>
        <v>0</v>
      </c>
      <c r="DQ64" s="145"/>
      <c r="DR64" s="31">
        <f t="shared" si="194"/>
        <v>47</v>
      </c>
      <c r="DS64" s="60">
        <f t="shared" si="82"/>
        <v>0</v>
      </c>
      <c r="DT64" s="72">
        <f t="shared" si="71"/>
        <v>0</v>
      </c>
      <c r="DU64" s="52">
        <f t="shared" si="195"/>
        <v>668</v>
      </c>
      <c r="DV64" s="141"/>
      <c r="DW64" s="71">
        <f t="shared" si="128"/>
        <v>668</v>
      </c>
      <c r="DX64" s="61">
        <f t="shared" si="48"/>
        <v>79</v>
      </c>
      <c r="DY64" s="141"/>
      <c r="DZ64" s="71">
        <f t="shared" si="74"/>
        <v>79</v>
      </c>
    </row>
    <row r="65" spans="2:130" x14ac:dyDescent="0.25">
      <c r="B65" s="120">
        <f>B64+1</f>
        <v>27</v>
      </c>
      <c r="C65" s="115">
        <f>C64</f>
        <v>9</v>
      </c>
      <c r="D65" s="133"/>
      <c r="E65" s="221"/>
      <c r="F65" s="103">
        <f t="shared" si="107"/>
        <v>93453</v>
      </c>
      <c r="G65" s="107">
        <f t="shared" si="93"/>
        <v>93452</v>
      </c>
      <c r="H65" s="134"/>
      <c r="I65" s="135">
        <v>1</v>
      </c>
      <c r="J65" s="135"/>
      <c r="K65" s="14">
        <f t="shared" si="94"/>
        <v>1</v>
      </c>
      <c r="L65" s="14">
        <f t="shared" si="90"/>
        <v>105</v>
      </c>
      <c r="M65" s="14">
        <f t="shared" si="22"/>
        <v>0.16</v>
      </c>
      <c r="N65" s="47">
        <f t="shared" si="23"/>
        <v>1.0700566059944572E-2</v>
      </c>
      <c r="O65" s="35">
        <f t="shared" si="24"/>
        <v>3.0400000000000005</v>
      </c>
      <c r="P65" s="159">
        <f t="shared" si="25"/>
        <v>0.11235594362941799</v>
      </c>
      <c r="Q65" s="142"/>
      <c r="R65" s="13">
        <f t="shared" si="105"/>
        <v>47</v>
      </c>
      <c r="S65" s="48">
        <f t="shared" si="50"/>
        <v>0</v>
      </c>
      <c r="T65" s="49">
        <f t="shared" si="83"/>
        <v>0.11689245893777725</v>
      </c>
      <c r="U65" s="160">
        <f t="shared" si="26"/>
        <v>668</v>
      </c>
      <c r="V65" s="103">
        <f>V64</f>
        <v>681</v>
      </c>
      <c r="W65" s="46">
        <f t="shared" si="28"/>
        <v>-13</v>
      </c>
      <c r="X65" s="51">
        <f t="shared" si="1"/>
        <v>79</v>
      </c>
      <c r="Y65" s="103">
        <f>Y64</f>
        <v>88</v>
      </c>
      <c r="Z65" s="46">
        <f t="shared" si="29"/>
        <v>-9</v>
      </c>
      <c r="AB65" s="120">
        <f>AB64+1</f>
        <v>29</v>
      </c>
      <c r="AC65" s="7">
        <f>AC64</f>
        <v>9</v>
      </c>
      <c r="AD65" s="133"/>
      <c r="AE65" s="221"/>
      <c r="AF65" s="14">
        <f t="shared" si="95"/>
        <v>92062</v>
      </c>
      <c r="AG65" s="59">
        <f t="shared" si="96"/>
        <v>92060</v>
      </c>
      <c r="AH65" s="134"/>
      <c r="AI65" s="135">
        <v>2</v>
      </c>
      <c r="AJ65" s="135"/>
      <c r="AK65" s="14">
        <f t="shared" si="97"/>
        <v>2</v>
      </c>
      <c r="AL65" s="14">
        <f t="shared" si="84"/>
        <v>2680</v>
      </c>
      <c r="AM65" s="14">
        <f t="shared" si="179"/>
        <v>0.16</v>
      </c>
      <c r="AN65" s="47">
        <f t="shared" si="55"/>
        <v>2.1724490017596836E-2</v>
      </c>
      <c r="AO65" s="35">
        <f t="shared" si="180"/>
        <v>3.0400000000000005</v>
      </c>
      <c r="AP65" s="159">
        <f t="shared" si="77"/>
        <v>2.9110816623579763</v>
      </c>
      <c r="AQ65" s="142"/>
      <c r="AR65" s="14">
        <f t="shared" si="181"/>
        <v>47</v>
      </c>
      <c r="AS65" s="35">
        <f t="shared" si="91"/>
        <v>0</v>
      </c>
      <c r="AT65" s="301">
        <f t="shared" si="85"/>
        <v>5.5413543607296042E-2</v>
      </c>
      <c r="AU65" s="14">
        <f t="shared" si="182"/>
        <v>668</v>
      </c>
      <c r="AV65" s="103">
        <f>AV64</f>
        <v>673</v>
      </c>
      <c r="AW65" s="46">
        <f t="shared" si="125"/>
        <v>-5</v>
      </c>
      <c r="AX65" s="51">
        <f t="shared" si="57"/>
        <v>79</v>
      </c>
      <c r="AY65" s="103">
        <f>AY64</f>
        <v>86</v>
      </c>
      <c r="AZ65" s="46">
        <f t="shared" si="33"/>
        <v>-7</v>
      </c>
      <c r="BA65" s="316"/>
      <c r="BB65" s="120">
        <f>BB64+1</f>
        <v>27</v>
      </c>
      <c r="BC65" s="7">
        <f>BC64</f>
        <v>9</v>
      </c>
      <c r="BD65" s="133"/>
      <c r="BE65" s="221"/>
      <c r="BF65" s="14">
        <f t="shared" si="98"/>
        <v>95144</v>
      </c>
      <c r="BG65" s="59">
        <f t="shared" si="120"/>
        <v>95138</v>
      </c>
      <c r="BH65" s="134"/>
      <c r="BI65" s="135">
        <v>6</v>
      </c>
      <c r="BJ65" s="135"/>
      <c r="BK65" s="14">
        <f t="shared" si="99"/>
        <v>6</v>
      </c>
      <c r="BL65" s="14">
        <f t="shared" si="86"/>
        <v>5065</v>
      </c>
      <c r="BM65" s="14">
        <f t="shared" si="184"/>
        <v>0.16</v>
      </c>
      <c r="BN65" s="47">
        <f t="shared" si="34"/>
        <v>6.3062305557891191E-2</v>
      </c>
      <c r="BO65" s="35">
        <f t="shared" si="185"/>
        <v>3.0400000000000005</v>
      </c>
      <c r="BP65" s="159">
        <f t="shared" si="36"/>
        <v>5.3235096275119815</v>
      </c>
      <c r="BQ65" s="142"/>
      <c r="BR65" s="13">
        <f t="shared" si="186"/>
        <v>47</v>
      </c>
      <c r="BS65" s="48">
        <f t="shared" si="79"/>
        <v>0</v>
      </c>
      <c r="BT65" s="49">
        <f t="shared" si="87"/>
        <v>7.2033724880284866E-2</v>
      </c>
      <c r="BU65" s="50">
        <f t="shared" si="187"/>
        <v>668</v>
      </c>
      <c r="BV65" s="103">
        <f>BV64</f>
        <v>681</v>
      </c>
      <c r="BW65" s="46">
        <f t="shared" si="126"/>
        <v>-13</v>
      </c>
      <c r="BX65" s="51">
        <f t="shared" si="100"/>
        <v>79</v>
      </c>
      <c r="BY65" s="103">
        <f>BY64</f>
        <v>88</v>
      </c>
      <c r="BZ65" s="46">
        <f t="shared" si="37"/>
        <v>-9</v>
      </c>
      <c r="CA65" s="316"/>
      <c r="CB65" s="120"/>
      <c r="CC65" s="7">
        <f>CC64</f>
        <v>9</v>
      </c>
      <c r="CD65" s="133"/>
      <c r="CE65" s="221"/>
      <c r="CF65" s="14">
        <f t="shared" si="88"/>
        <v>0</v>
      </c>
      <c r="CG65" s="59">
        <f t="shared" si="101"/>
        <v>0</v>
      </c>
      <c r="CH65" s="134"/>
      <c r="CI65" s="135"/>
      <c r="CJ65" s="135"/>
      <c r="CK65" s="14">
        <f t="shared" si="102"/>
        <v>0</v>
      </c>
      <c r="CL65" s="14">
        <f t="shared" si="92"/>
        <v>0</v>
      </c>
      <c r="CM65" s="14">
        <f t="shared" si="188"/>
        <v>0.16</v>
      </c>
      <c r="CN65" s="47">
        <f t="shared" si="39"/>
        <v>0</v>
      </c>
      <c r="CO65" s="35">
        <f t="shared" si="189"/>
        <v>3.0400000000000005</v>
      </c>
      <c r="CP65" s="159">
        <f t="shared" si="40"/>
        <v>0</v>
      </c>
      <c r="CQ65" s="142"/>
      <c r="CR65" s="13">
        <f t="shared" si="190"/>
        <v>47</v>
      </c>
      <c r="CS65" s="48">
        <f t="shared" si="65"/>
        <v>0</v>
      </c>
      <c r="CT65" s="49">
        <f t="shared" si="66"/>
        <v>0</v>
      </c>
      <c r="CU65" s="50">
        <f t="shared" si="191"/>
        <v>668</v>
      </c>
      <c r="CV65" s="103">
        <f>CV64</f>
        <v>0</v>
      </c>
      <c r="CW65" s="46">
        <f t="shared" si="127"/>
        <v>668</v>
      </c>
      <c r="CX65" s="51">
        <f t="shared" si="42"/>
        <v>79</v>
      </c>
      <c r="CY65" s="103">
        <f>CY64</f>
        <v>0</v>
      </c>
      <c r="CZ65" s="46">
        <f t="shared" si="43"/>
        <v>79</v>
      </c>
      <c r="DA65" s="316"/>
      <c r="DB65" s="120"/>
      <c r="DC65" s="7">
        <f>DC64</f>
        <v>9</v>
      </c>
      <c r="DD65" s="133"/>
      <c r="DE65" s="221"/>
      <c r="DF65" s="14">
        <f t="shared" si="70"/>
        <v>0</v>
      </c>
      <c r="DG65" s="59">
        <f t="shared" si="103"/>
        <v>0</v>
      </c>
      <c r="DH65" s="134"/>
      <c r="DI65" s="135"/>
      <c r="DJ65" s="135"/>
      <c r="DK65" s="14">
        <f t="shared" si="104"/>
        <v>0</v>
      </c>
      <c r="DL65" s="14">
        <f t="shared" si="89"/>
        <v>0</v>
      </c>
      <c r="DM65" s="14">
        <f t="shared" si="192"/>
        <v>0.16</v>
      </c>
      <c r="DN65" s="47">
        <f t="shared" si="45"/>
        <v>0</v>
      </c>
      <c r="DO65" s="35">
        <f t="shared" si="193"/>
        <v>3.0400000000000005</v>
      </c>
      <c r="DP65" s="159">
        <f t="shared" si="46"/>
        <v>0</v>
      </c>
      <c r="DQ65" s="142"/>
      <c r="DR65" s="13">
        <f t="shared" si="194"/>
        <v>47</v>
      </c>
      <c r="DS65" s="48">
        <f t="shared" si="82"/>
        <v>0</v>
      </c>
      <c r="DT65" s="49">
        <f t="shared" si="71"/>
        <v>0</v>
      </c>
      <c r="DU65" s="50">
        <f t="shared" si="195"/>
        <v>668</v>
      </c>
      <c r="DV65" s="103">
        <f>DV64</f>
        <v>0</v>
      </c>
      <c r="DW65" s="46">
        <f t="shared" si="128"/>
        <v>668</v>
      </c>
      <c r="DX65" s="51">
        <f t="shared" si="48"/>
        <v>79</v>
      </c>
      <c r="DY65" s="103">
        <f>DY64</f>
        <v>0</v>
      </c>
      <c r="DZ65" s="46">
        <f t="shared" si="74"/>
        <v>79</v>
      </c>
    </row>
    <row r="66" spans="2:130" x14ac:dyDescent="0.25">
      <c r="B66" s="120">
        <f t="shared" ref="B66:B68" si="246">B65+1</f>
        <v>28</v>
      </c>
      <c r="C66" s="115">
        <f t="shared" ref="C66:C70" si="247">C65</f>
        <v>9</v>
      </c>
      <c r="D66" s="133"/>
      <c r="E66" s="221"/>
      <c r="F66" s="103">
        <f t="shared" si="107"/>
        <v>93452</v>
      </c>
      <c r="G66" s="107">
        <f t="shared" si="93"/>
        <v>93451</v>
      </c>
      <c r="H66" s="134"/>
      <c r="I66" s="135">
        <v>1</v>
      </c>
      <c r="J66" s="135"/>
      <c r="K66" s="14">
        <f t="shared" si="94"/>
        <v>1</v>
      </c>
      <c r="L66" s="14">
        <f t="shared" si="90"/>
        <v>106</v>
      </c>
      <c r="M66" s="14">
        <f t="shared" si="22"/>
        <v>0.16</v>
      </c>
      <c r="N66" s="47">
        <f t="shared" si="23"/>
        <v>1.0700680563283825E-2</v>
      </c>
      <c r="O66" s="35">
        <f t="shared" si="24"/>
        <v>3.0400000000000005</v>
      </c>
      <c r="P66" s="159">
        <f t="shared" si="25"/>
        <v>0.11342721397080854</v>
      </c>
      <c r="Q66" s="142"/>
      <c r="R66" s="13">
        <f t="shared" si="105"/>
        <v>47</v>
      </c>
      <c r="S66" s="48">
        <f t="shared" si="50"/>
        <v>0</v>
      </c>
      <c r="T66" s="49">
        <f t="shared" si="83"/>
        <v>0.11689245893777725</v>
      </c>
      <c r="U66" s="160">
        <f t="shared" si="26"/>
        <v>668</v>
      </c>
      <c r="V66" s="103">
        <f>V65</f>
        <v>681</v>
      </c>
      <c r="W66" s="46">
        <f t="shared" si="28"/>
        <v>-13</v>
      </c>
      <c r="X66" s="51">
        <f t="shared" si="1"/>
        <v>79</v>
      </c>
      <c r="Y66" s="103">
        <f>Y65</f>
        <v>88</v>
      </c>
      <c r="Z66" s="46">
        <f t="shared" si="29"/>
        <v>-9</v>
      </c>
      <c r="AB66" s="120">
        <f>AB65+1</f>
        <v>30</v>
      </c>
      <c r="AC66" s="7">
        <f t="shared" ref="AC66:AC70" si="248">AC65</f>
        <v>9</v>
      </c>
      <c r="AD66" s="133"/>
      <c r="AE66" s="221"/>
      <c r="AF66" s="14">
        <f t="shared" si="95"/>
        <v>92060</v>
      </c>
      <c r="AG66" s="59">
        <f t="shared" si="96"/>
        <v>92056</v>
      </c>
      <c r="AH66" s="134"/>
      <c r="AI66" s="135">
        <v>4</v>
      </c>
      <c r="AJ66" s="135"/>
      <c r="AK66" s="14">
        <f t="shared" si="97"/>
        <v>4</v>
      </c>
      <c r="AL66" s="14">
        <f t="shared" si="84"/>
        <v>2684</v>
      </c>
      <c r="AM66" s="14">
        <f t="shared" si="179"/>
        <v>0.16</v>
      </c>
      <c r="AN66" s="231">
        <f t="shared" si="55"/>
        <v>4.3449923962633065E-2</v>
      </c>
      <c r="AO66" s="37">
        <f t="shared" si="180"/>
        <v>3.0400000000000005</v>
      </c>
      <c r="AP66" s="155">
        <f t="shared" si="77"/>
        <v>2.9154898978926789</v>
      </c>
      <c r="AQ66" s="142"/>
      <c r="AR66" s="14">
        <f t="shared" si="181"/>
        <v>47</v>
      </c>
      <c r="AS66" s="35">
        <f t="shared" si="91"/>
        <v>0</v>
      </c>
      <c r="AT66" s="301">
        <f t="shared" si="85"/>
        <v>5.5413543607296042E-2</v>
      </c>
      <c r="AU66" s="14">
        <f t="shared" si="182"/>
        <v>668</v>
      </c>
      <c r="AV66" s="103">
        <f>AV65</f>
        <v>673</v>
      </c>
      <c r="AW66" s="46">
        <f t="shared" si="125"/>
        <v>-5</v>
      </c>
      <c r="AX66" s="51">
        <f t="shared" si="57"/>
        <v>79</v>
      </c>
      <c r="AY66" s="103">
        <f>AY65</f>
        <v>86</v>
      </c>
      <c r="AZ66" s="46">
        <f t="shared" si="33"/>
        <v>-7</v>
      </c>
      <c r="BA66" s="316"/>
      <c r="BB66" s="120">
        <f t="shared" ref="BB66:BB70" si="249">BB65+1</f>
        <v>28</v>
      </c>
      <c r="BC66" s="7">
        <f t="shared" ref="BC66:BC70" si="250">BC65</f>
        <v>9</v>
      </c>
      <c r="BD66" s="133"/>
      <c r="BE66" s="221"/>
      <c r="BF66" s="14">
        <f t="shared" si="98"/>
        <v>95138</v>
      </c>
      <c r="BG66" s="59">
        <f t="shared" si="120"/>
        <v>95133</v>
      </c>
      <c r="BH66" s="134"/>
      <c r="BI66" s="135">
        <v>5</v>
      </c>
      <c r="BJ66" s="135"/>
      <c r="BK66" s="14">
        <f t="shared" si="99"/>
        <v>5</v>
      </c>
      <c r="BL66" s="14">
        <f t="shared" si="86"/>
        <v>5070</v>
      </c>
      <c r="BM66" s="14">
        <f t="shared" si="184"/>
        <v>0.16</v>
      </c>
      <c r="BN66" s="47">
        <f t="shared" si="34"/>
        <v>5.2555235552565749E-2</v>
      </c>
      <c r="BO66" s="35">
        <f t="shared" si="185"/>
        <v>3.0400000000000005</v>
      </c>
      <c r="BP66" s="159">
        <f t="shared" si="36"/>
        <v>5.3291008850301669</v>
      </c>
      <c r="BQ66" s="142"/>
      <c r="BR66" s="13">
        <f t="shared" si="186"/>
        <v>47</v>
      </c>
      <c r="BS66" s="48">
        <f t="shared" si="79"/>
        <v>0</v>
      </c>
      <c r="BT66" s="49">
        <f t="shared" si="87"/>
        <v>7.2033724880284866E-2</v>
      </c>
      <c r="BU66" s="50">
        <f t="shared" si="187"/>
        <v>668</v>
      </c>
      <c r="BV66" s="103">
        <f>BV65</f>
        <v>681</v>
      </c>
      <c r="BW66" s="46">
        <f t="shared" si="126"/>
        <v>-13</v>
      </c>
      <c r="BX66" s="51">
        <f t="shared" si="100"/>
        <v>79</v>
      </c>
      <c r="BY66" s="103">
        <f>BY65</f>
        <v>88</v>
      </c>
      <c r="BZ66" s="46">
        <f t="shared" si="37"/>
        <v>-9</v>
      </c>
      <c r="CA66" s="316"/>
      <c r="CB66" s="120"/>
      <c r="CC66" s="7">
        <f t="shared" ref="CC66:CC70" si="251">CC65</f>
        <v>9</v>
      </c>
      <c r="CD66" s="133"/>
      <c r="CE66" s="221"/>
      <c r="CF66" s="14">
        <f t="shared" si="88"/>
        <v>0</v>
      </c>
      <c r="CG66" s="59">
        <f t="shared" si="101"/>
        <v>0</v>
      </c>
      <c r="CH66" s="134"/>
      <c r="CI66" s="135"/>
      <c r="CJ66" s="135"/>
      <c r="CK66" s="14">
        <f t="shared" si="102"/>
        <v>0</v>
      </c>
      <c r="CL66" s="14">
        <f t="shared" si="92"/>
        <v>0</v>
      </c>
      <c r="CM66" s="14">
        <f t="shared" si="188"/>
        <v>0.16</v>
      </c>
      <c r="CN66" s="47">
        <f t="shared" si="39"/>
        <v>0</v>
      </c>
      <c r="CO66" s="35">
        <f t="shared" si="189"/>
        <v>3.0400000000000005</v>
      </c>
      <c r="CP66" s="159">
        <f t="shared" si="40"/>
        <v>0</v>
      </c>
      <c r="CQ66" s="142"/>
      <c r="CR66" s="13">
        <f t="shared" si="190"/>
        <v>47</v>
      </c>
      <c r="CS66" s="48">
        <f t="shared" si="65"/>
        <v>0</v>
      </c>
      <c r="CT66" s="49">
        <f t="shared" si="66"/>
        <v>0</v>
      </c>
      <c r="CU66" s="50">
        <f t="shared" si="191"/>
        <v>668</v>
      </c>
      <c r="CV66" s="103">
        <f>CV65</f>
        <v>0</v>
      </c>
      <c r="CW66" s="46">
        <f t="shared" si="127"/>
        <v>668</v>
      </c>
      <c r="CX66" s="51">
        <f t="shared" si="42"/>
        <v>79</v>
      </c>
      <c r="CY66" s="103">
        <f>CY65</f>
        <v>0</v>
      </c>
      <c r="CZ66" s="46">
        <f t="shared" si="43"/>
        <v>79</v>
      </c>
      <c r="DA66" s="316"/>
      <c r="DB66" s="120"/>
      <c r="DC66" s="7">
        <f t="shared" ref="DC66:DC70" si="252">DC65</f>
        <v>9</v>
      </c>
      <c r="DD66" s="133"/>
      <c r="DE66" s="221"/>
      <c r="DF66" s="14">
        <f t="shared" si="70"/>
        <v>0</v>
      </c>
      <c r="DG66" s="59">
        <f t="shared" si="103"/>
        <v>0</v>
      </c>
      <c r="DH66" s="134"/>
      <c r="DI66" s="135"/>
      <c r="DJ66" s="135"/>
      <c r="DK66" s="14">
        <f t="shared" si="104"/>
        <v>0</v>
      </c>
      <c r="DL66" s="14">
        <f t="shared" si="89"/>
        <v>0</v>
      </c>
      <c r="DM66" s="14">
        <f t="shared" si="192"/>
        <v>0.16</v>
      </c>
      <c r="DN66" s="47">
        <f t="shared" si="45"/>
        <v>0</v>
      </c>
      <c r="DO66" s="35">
        <f t="shared" si="193"/>
        <v>3.0400000000000005</v>
      </c>
      <c r="DP66" s="159">
        <f t="shared" si="46"/>
        <v>0</v>
      </c>
      <c r="DQ66" s="142"/>
      <c r="DR66" s="13">
        <f t="shared" si="194"/>
        <v>47</v>
      </c>
      <c r="DS66" s="48">
        <f t="shared" si="82"/>
        <v>0</v>
      </c>
      <c r="DT66" s="49">
        <f t="shared" si="71"/>
        <v>0</v>
      </c>
      <c r="DU66" s="50">
        <f t="shared" si="195"/>
        <v>668</v>
      </c>
      <c r="DV66" s="103">
        <f>DV65</f>
        <v>0</v>
      </c>
      <c r="DW66" s="46">
        <f t="shared" si="128"/>
        <v>668</v>
      </c>
      <c r="DX66" s="51">
        <f t="shared" si="48"/>
        <v>79</v>
      </c>
      <c r="DY66" s="103">
        <f>DY65</f>
        <v>0</v>
      </c>
      <c r="DZ66" s="46">
        <f t="shared" si="74"/>
        <v>79</v>
      </c>
    </row>
    <row r="67" spans="2:130" x14ac:dyDescent="0.25">
      <c r="B67" s="120">
        <f t="shared" si="246"/>
        <v>29</v>
      </c>
      <c r="C67" s="115">
        <f t="shared" si="247"/>
        <v>9</v>
      </c>
      <c r="D67" s="133"/>
      <c r="E67" s="221"/>
      <c r="F67" s="103">
        <f t="shared" si="107"/>
        <v>93451</v>
      </c>
      <c r="G67" s="107">
        <f t="shared" si="93"/>
        <v>93449</v>
      </c>
      <c r="H67" s="134"/>
      <c r="I67" s="135">
        <v>2</v>
      </c>
      <c r="J67" s="135"/>
      <c r="K67" s="14">
        <f t="shared" si="94"/>
        <v>2</v>
      </c>
      <c r="L67" s="14">
        <f t="shared" si="90"/>
        <v>108</v>
      </c>
      <c r="M67" s="14">
        <f t="shared" si="22"/>
        <v>0.16</v>
      </c>
      <c r="N67" s="47">
        <f t="shared" si="23"/>
        <v>2.1401590138147266E-2</v>
      </c>
      <c r="O67" s="35">
        <f t="shared" si="24"/>
        <v>3.0400000000000005</v>
      </c>
      <c r="P67" s="159">
        <f t="shared" si="25"/>
        <v>0.11556858674599522</v>
      </c>
      <c r="Q67" s="142"/>
      <c r="R67" s="14">
        <f t="shared" si="105"/>
        <v>47</v>
      </c>
      <c r="S67" s="48">
        <f t="shared" si="50"/>
        <v>0</v>
      </c>
      <c r="T67" s="49">
        <f t="shared" si="83"/>
        <v>0.11689245893777725</v>
      </c>
      <c r="U67" s="160">
        <f t="shared" si="26"/>
        <v>668</v>
      </c>
      <c r="V67" s="181">
        <f>V66</f>
        <v>681</v>
      </c>
      <c r="W67" s="206">
        <f t="shared" si="28"/>
        <v>-13</v>
      </c>
      <c r="X67" s="182">
        <f t="shared" si="1"/>
        <v>79</v>
      </c>
      <c r="Y67" s="181">
        <f>Y66</f>
        <v>88</v>
      </c>
      <c r="Z67" s="206">
        <f t="shared" si="29"/>
        <v>-9</v>
      </c>
      <c r="AA67" s="168" t="s">
        <v>83</v>
      </c>
      <c r="AB67" s="169">
        <v>1</v>
      </c>
      <c r="AC67" s="170">
        <f t="shared" si="248"/>
        <v>9</v>
      </c>
      <c r="AD67" s="171"/>
      <c r="AE67" s="220"/>
      <c r="AF67" s="172">
        <f t="shared" si="95"/>
        <v>92056</v>
      </c>
      <c r="AG67" s="180">
        <f t="shared" si="96"/>
        <v>92054</v>
      </c>
      <c r="AH67" s="174"/>
      <c r="AI67" s="175">
        <v>2</v>
      </c>
      <c r="AJ67" s="175"/>
      <c r="AK67" s="172">
        <f t="shared" si="97"/>
        <v>2</v>
      </c>
      <c r="AL67" s="172">
        <f t="shared" si="84"/>
        <v>2686</v>
      </c>
      <c r="AM67" s="172">
        <f t="shared" si="179"/>
        <v>0.16</v>
      </c>
      <c r="AN67" s="232">
        <f t="shared" si="55"/>
        <v>2.1725905970278962E-2</v>
      </c>
      <c r="AO67" s="176">
        <f t="shared" si="180"/>
        <v>3.0400000000000005</v>
      </c>
      <c r="AP67" s="238">
        <f t="shared" si="77"/>
        <v>2.9177891718084643</v>
      </c>
      <c r="AQ67" s="234"/>
      <c r="AR67" s="172">
        <f t="shared" si="181"/>
        <v>47</v>
      </c>
      <c r="AS67" s="176">
        <f t="shared" si="91"/>
        <v>0</v>
      </c>
      <c r="AT67" s="306">
        <f t="shared" si="85"/>
        <v>5.5413543607296042E-2</v>
      </c>
      <c r="AU67" s="172">
        <f t="shared" si="182"/>
        <v>668</v>
      </c>
      <c r="AV67" s="178">
        <f>AV66</f>
        <v>673</v>
      </c>
      <c r="AW67" s="173">
        <f t="shared" si="125"/>
        <v>-5</v>
      </c>
      <c r="AX67" s="179">
        <f t="shared" si="57"/>
        <v>79</v>
      </c>
      <c r="AY67" s="178">
        <f>AY66</f>
        <v>86</v>
      </c>
      <c r="AZ67" s="173">
        <f t="shared" si="33"/>
        <v>-7</v>
      </c>
      <c r="BA67" s="316"/>
      <c r="BB67" s="120">
        <f t="shared" si="249"/>
        <v>29</v>
      </c>
      <c r="BC67" s="7">
        <f t="shared" si="250"/>
        <v>9</v>
      </c>
      <c r="BD67" s="133"/>
      <c r="BE67" s="221"/>
      <c r="BF67" s="14">
        <f t="shared" si="98"/>
        <v>95133</v>
      </c>
      <c r="BG67" s="59">
        <f t="shared" si="120"/>
        <v>95129</v>
      </c>
      <c r="BH67" s="134"/>
      <c r="BI67" s="135">
        <v>4</v>
      </c>
      <c r="BJ67" s="135"/>
      <c r="BK67" s="14">
        <f t="shared" si="99"/>
        <v>4</v>
      </c>
      <c r="BL67" s="14">
        <f t="shared" si="86"/>
        <v>5074</v>
      </c>
      <c r="BM67" s="14">
        <f t="shared" si="184"/>
        <v>0.16</v>
      </c>
      <c r="BN67" s="47">
        <f t="shared" si="34"/>
        <v>4.2046398200414156E-2</v>
      </c>
      <c r="BO67" s="35">
        <f t="shared" si="185"/>
        <v>3.0400000000000005</v>
      </c>
      <c r="BP67" s="159">
        <f t="shared" si="36"/>
        <v>5.333585611722536</v>
      </c>
      <c r="BQ67" s="142"/>
      <c r="BR67" s="13">
        <f t="shared" si="186"/>
        <v>47</v>
      </c>
      <c r="BS67" s="48">
        <f t="shared" si="79"/>
        <v>0</v>
      </c>
      <c r="BT67" s="49">
        <f t="shared" si="87"/>
        <v>7.2033724880284866E-2</v>
      </c>
      <c r="BU67" s="50">
        <f t="shared" si="187"/>
        <v>668</v>
      </c>
      <c r="BV67" s="181">
        <f>BV66</f>
        <v>681</v>
      </c>
      <c r="BW67" s="206">
        <f t="shared" si="126"/>
        <v>-13</v>
      </c>
      <c r="BX67" s="182">
        <f t="shared" si="100"/>
        <v>79</v>
      </c>
      <c r="BY67" s="181">
        <f>BY66</f>
        <v>88</v>
      </c>
      <c r="BZ67" s="206">
        <f t="shared" si="37"/>
        <v>-9</v>
      </c>
      <c r="CA67" s="316"/>
      <c r="CB67" s="120"/>
      <c r="CC67" s="7">
        <f t="shared" si="251"/>
        <v>9</v>
      </c>
      <c r="CD67" s="133"/>
      <c r="CE67" s="221"/>
      <c r="CF67" s="14">
        <f t="shared" si="88"/>
        <v>0</v>
      </c>
      <c r="CG67" s="59">
        <f t="shared" si="101"/>
        <v>0</v>
      </c>
      <c r="CH67" s="134"/>
      <c r="CI67" s="135"/>
      <c r="CJ67" s="135"/>
      <c r="CK67" s="14">
        <f t="shared" si="102"/>
        <v>0</v>
      </c>
      <c r="CL67" s="14">
        <f t="shared" si="92"/>
        <v>0</v>
      </c>
      <c r="CM67" s="14">
        <f t="shared" si="188"/>
        <v>0.16</v>
      </c>
      <c r="CN67" s="47">
        <f t="shared" si="39"/>
        <v>0</v>
      </c>
      <c r="CO67" s="35">
        <f t="shared" si="189"/>
        <v>3.0400000000000005</v>
      </c>
      <c r="CP67" s="159">
        <f t="shared" si="40"/>
        <v>0</v>
      </c>
      <c r="CQ67" s="142"/>
      <c r="CR67" s="13">
        <f t="shared" si="190"/>
        <v>47</v>
      </c>
      <c r="CS67" s="48">
        <f t="shared" si="65"/>
        <v>0</v>
      </c>
      <c r="CT67" s="49">
        <f t="shared" si="66"/>
        <v>0</v>
      </c>
      <c r="CU67" s="50">
        <f t="shared" si="191"/>
        <v>668</v>
      </c>
      <c r="CV67" s="181">
        <f>CV66</f>
        <v>0</v>
      </c>
      <c r="CW67" s="46">
        <f t="shared" si="127"/>
        <v>668</v>
      </c>
      <c r="CX67" s="51">
        <f t="shared" si="42"/>
        <v>79</v>
      </c>
      <c r="CY67" s="181">
        <f>CY66</f>
        <v>0</v>
      </c>
      <c r="CZ67" s="46">
        <f t="shared" si="43"/>
        <v>79</v>
      </c>
      <c r="DA67" s="316"/>
      <c r="DB67" s="120"/>
      <c r="DC67" s="7">
        <f t="shared" si="252"/>
        <v>9</v>
      </c>
      <c r="DD67" s="133"/>
      <c r="DE67" s="221"/>
      <c r="DF67" s="14">
        <f t="shared" si="70"/>
        <v>0</v>
      </c>
      <c r="DG67" s="59">
        <f t="shared" si="103"/>
        <v>0</v>
      </c>
      <c r="DH67" s="134"/>
      <c r="DI67" s="135"/>
      <c r="DJ67" s="135"/>
      <c r="DK67" s="14">
        <f t="shared" si="104"/>
        <v>0</v>
      </c>
      <c r="DL67" s="14">
        <f t="shared" si="89"/>
        <v>0</v>
      </c>
      <c r="DM67" s="14">
        <f t="shared" si="192"/>
        <v>0.16</v>
      </c>
      <c r="DN67" s="47">
        <f t="shared" si="45"/>
        <v>0</v>
      </c>
      <c r="DO67" s="35">
        <f t="shared" si="193"/>
        <v>3.0400000000000005</v>
      </c>
      <c r="DP67" s="159">
        <f t="shared" si="46"/>
        <v>0</v>
      </c>
      <c r="DQ67" s="142"/>
      <c r="DR67" s="13">
        <f t="shared" si="194"/>
        <v>47</v>
      </c>
      <c r="DS67" s="48">
        <f t="shared" si="82"/>
        <v>0</v>
      </c>
      <c r="DT67" s="49">
        <f t="shared" si="71"/>
        <v>0</v>
      </c>
      <c r="DU67" s="50">
        <f t="shared" si="195"/>
        <v>668</v>
      </c>
      <c r="DV67" s="181">
        <f>DV66</f>
        <v>0</v>
      </c>
      <c r="DW67" s="46">
        <f t="shared" si="128"/>
        <v>668</v>
      </c>
      <c r="DX67" s="51">
        <f t="shared" si="48"/>
        <v>79</v>
      </c>
      <c r="DY67" s="181">
        <f>DY66</f>
        <v>0</v>
      </c>
      <c r="DZ67" s="46">
        <f t="shared" si="74"/>
        <v>79</v>
      </c>
    </row>
    <row r="68" spans="2:130" x14ac:dyDescent="0.25">
      <c r="B68" s="120">
        <f t="shared" si="246"/>
        <v>30</v>
      </c>
      <c r="C68" s="115">
        <f t="shared" si="247"/>
        <v>9</v>
      </c>
      <c r="D68" s="133"/>
      <c r="E68" s="221"/>
      <c r="F68" s="103">
        <f t="shared" si="107"/>
        <v>93449</v>
      </c>
      <c r="G68" s="104">
        <f t="shared" si="93"/>
        <v>93446</v>
      </c>
      <c r="H68" s="134"/>
      <c r="I68" s="135">
        <v>3</v>
      </c>
      <c r="J68" s="135"/>
      <c r="K68" s="14">
        <f t="shared" si="94"/>
        <v>3</v>
      </c>
      <c r="L68" s="14">
        <f t="shared" si="90"/>
        <v>111</v>
      </c>
      <c r="M68" s="14">
        <f t="shared" si="22"/>
        <v>0.16</v>
      </c>
      <c r="N68" s="47">
        <f t="shared" si="23"/>
        <v>3.2103072264015667E-2</v>
      </c>
      <c r="O68" s="35">
        <f t="shared" si="24"/>
        <v>3.0400000000000005</v>
      </c>
      <c r="P68" s="159">
        <f t="shared" si="25"/>
        <v>0.11878136737685796</v>
      </c>
      <c r="Q68" s="142"/>
      <c r="R68" s="17">
        <f t="shared" si="105"/>
        <v>47</v>
      </c>
      <c r="S68" s="48">
        <f t="shared" si="50"/>
        <v>0</v>
      </c>
      <c r="T68" s="49">
        <f t="shared" si="83"/>
        <v>0.11689245893777725</v>
      </c>
      <c r="U68" s="160">
        <f t="shared" si="26"/>
        <v>668</v>
      </c>
      <c r="V68" s="103">
        <f>V67</f>
        <v>681</v>
      </c>
      <c r="W68" s="46">
        <f t="shared" si="28"/>
        <v>-13</v>
      </c>
      <c r="X68" s="51">
        <f t="shared" si="1"/>
        <v>79</v>
      </c>
      <c r="Y68" s="103">
        <f>Y67</f>
        <v>88</v>
      </c>
      <c r="Z68" s="46">
        <f t="shared" si="29"/>
        <v>-9</v>
      </c>
      <c r="AB68" s="120">
        <f>AB67+1</f>
        <v>2</v>
      </c>
      <c r="AC68" s="7">
        <f t="shared" si="248"/>
        <v>9</v>
      </c>
      <c r="AD68" s="133"/>
      <c r="AE68" s="221"/>
      <c r="AF68" s="14">
        <f t="shared" si="95"/>
        <v>92054</v>
      </c>
      <c r="AG68" s="46">
        <f t="shared" si="96"/>
        <v>92051</v>
      </c>
      <c r="AH68" s="134"/>
      <c r="AI68" s="135">
        <v>3</v>
      </c>
      <c r="AJ68" s="135"/>
      <c r="AK68" s="14">
        <f t="shared" si="97"/>
        <v>3</v>
      </c>
      <c r="AL68" s="14">
        <f t="shared" si="84"/>
        <v>2689</v>
      </c>
      <c r="AM68" s="14">
        <f t="shared" si="179"/>
        <v>0.16</v>
      </c>
      <c r="AN68" s="47">
        <f t="shared" si="55"/>
        <v>3.2589566993286551E-2</v>
      </c>
      <c r="AO68" s="35">
        <f t="shared" si="180"/>
        <v>3.0400000000000005</v>
      </c>
      <c r="AP68" s="159">
        <f t="shared" si="77"/>
        <v>2.921111521498251</v>
      </c>
      <c r="AQ68" s="142"/>
      <c r="AR68" s="14">
        <f t="shared" si="181"/>
        <v>47</v>
      </c>
      <c r="AS68" s="35">
        <f t="shared" si="91"/>
        <v>0</v>
      </c>
      <c r="AT68" s="301">
        <f t="shared" si="85"/>
        <v>5.5413543607296042E-2</v>
      </c>
      <c r="AU68" s="14">
        <f t="shared" si="182"/>
        <v>668</v>
      </c>
      <c r="AV68" s="103">
        <f>AV67</f>
        <v>673</v>
      </c>
      <c r="AW68" s="46">
        <f t="shared" si="125"/>
        <v>-5</v>
      </c>
      <c r="AX68" s="51">
        <f t="shared" si="57"/>
        <v>79</v>
      </c>
      <c r="AY68" s="103">
        <f>AY67</f>
        <v>86</v>
      </c>
      <c r="AZ68" s="46">
        <f t="shared" si="33"/>
        <v>-7</v>
      </c>
      <c r="BA68" s="316"/>
      <c r="BB68" s="120">
        <f t="shared" si="249"/>
        <v>30</v>
      </c>
      <c r="BC68" s="7">
        <f t="shared" si="250"/>
        <v>9</v>
      </c>
      <c r="BD68" s="133"/>
      <c r="BE68" s="221"/>
      <c r="BF68" s="14">
        <f t="shared" si="98"/>
        <v>95129</v>
      </c>
      <c r="BG68" s="46">
        <f t="shared" si="120"/>
        <v>95126</v>
      </c>
      <c r="BH68" s="134"/>
      <c r="BI68" s="135">
        <v>3</v>
      </c>
      <c r="BJ68" s="135"/>
      <c r="BK68" s="14">
        <f t="shared" si="99"/>
        <v>3</v>
      </c>
      <c r="BL68" s="14">
        <f t="shared" si="86"/>
        <v>5077</v>
      </c>
      <c r="BM68" s="14">
        <f t="shared" si="184"/>
        <v>0.16</v>
      </c>
      <c r="BN68" s="47">
        <f t="shared" si="34"/>
        <v>3.1536124630764543E-2</v>
      </c>
      <c r="BO68" s="35">
        <f t="shared" si="185"/>
        <v>3.0400000000000005</v>
      </c>
      <c r="BP68" s="159">
        <f t="shared" si="36"/>
        <v>5.3369634916797191</v>
      </c>
      <c r="BQ68" s="142"/>
      <c r="BR68" s="13">
        <f t="shared" si="186"/>
        <v>47</v>
      </c>
      <c r="BS68" s="48">
        <f t="shared" si="79"/>
        <v>0</v>
      </c>
      <c r="BT68" s="49">
        <f t="shared" si="87"/>
        <v>7.2033724880284866E-2</v>
      </c>
      <c r="BU68" s="50">
        <f t="shared" si="187"/>
        <v>668</v>
      </c>
      <c r="BV68" s="103">
        <f>BV67</f>
        <v>681</v>
      </c>
      <c r="BW68" s="46">
        <f t="shared" si="126"/>
        <v>-13</v>
      </c>
      <c r="BX68" s="51">
        <f t="shared" si="100"/>
        <v>79</v>
      </c>
      <c r="BY68" s="103">
        <f>BY67</f>
        <v>88</v>
      </c>
      <c r="BZ68" s="46">
        <f t="shared" si="37"/>
        <v>-9</v>
      </c>
      <c r="CA68" s="316"/>
      <c r="CB68" s="120"/>
      <c r="CC68" s="7">
        <f t="shared" si="251"/>
        <v>9</v>
      </c>
      <c r="CD68" s="133"/>
      <c r="CE68" s="221"/>
      <c r="CF68" s="14">
        <f t="shared" si="88"/>
        <v>0</v>
      </c>
      <c r="CG68" s="46">
        <f t="shared" si="101"/>
        <v>0</v>
      </c>
      <c r="CH68" s="134"/>
      <c r="CI68" s="135"/>
      <c r="CJ68" s="135"/>
      <c r="CK68" s="14">
        <f t="shared" si="102"/>
        <v>0</v>
      </c>
      <c r="CL68" s="14">
        <f t="shared" si="92"/>
        <v>0</v>
      </c>
      <c r="CM68" s="14">
        <f t="shared" si="188"/>
        <v>0.16</v>
      </c>
      <c r="CN68" s="47">
        <f t="shared" si="39"/>
        <v>0</v>
      </c>
      <c r="CO68" s="35">
        <f t="shared" si="189"/>
        <v>3.0400000000000005</v>
      </c>
      <c r="CP68" s="159">
        <f t="shared" si="40"/>
        <v>0</v>
      </c>
      <c r="CQ68" s="142"/>
      <c r="CR68" s="13">
        <f t="shared" si="190"/>
        <v>47</v>
      </c>
      <c r="CS68" s="48">
        <f t="shared" si="65"/>
        <v>0</v>
      </c>
      <c r="CT68" s="49">
        <f t="shared" si="66"/>
        <v>0</v>
      </c>
      <c r="CU68" s="50">
        <f t="shared" si="191"/>
        <v>668</v>
      </c>
      <c r="CV68" s="103">
        <f>CV67</f>
        <v>0</v>
      </c>
      <c r="CW68" s="46">
        <f t="shared" si="127"/>
        <v>668</v>
      </c>
      <c r="CX68" s="51">
        <f t="shared" si="42"/>
        <v>79</v>
      </c>
      <c r="CY68" s="103">
        <f>CY67</f>
        <v>0</v>
      </c>
      <c r="CZ68" s="46">
        <f t="shared" si="43"/>
        <v>79</v>
      </c>
      <c r="DA68" s="316"/>
      <c r="DB68" s="120"/>
      <c r="DC68" s="7">
        <f t="shared" si="252"/>
        <v>9</v>
      </c>
      <c r="DD68" s="133"/>
      <c r="DE68" s="221"/>
      <c r="DF68" s="14">
        <f t="shared" si="70"/>
        <v>0</v>
      </c>
      <c r="DG68" s="46">
        <f t="shared" si="103"/>
        <v>0</v>
      </c>
      <c r="DH68" s="134"/>
      <c r="DI68" s="135"/>
      <c r="DJ68" s="135"/>
      <c r="DK68" s="14">
        <f t="shared" si="104"/>
        <v>0</v>
      </c>
      <c r="DL68" s="14">
        <f t="shared" si="89"/>
        <v>0</v>
      </c>
      <c r="DM68" s="14">
        <f t="shared" si="192"/>
        <v>0.16</v>
      </c>
      <c r="DN68" s="47">
        <f t="shared" si="45"/>
        <v>0</v>
      </c>
      <c r="DO68" s="35">
        <f t="shared" si="193"/>
        <v>3.0400000000000005</v>
      </c>
      <c r="DP68" s="159">
        <f t="shared" si="46"/>
        <v>0</v>
      </c>
      <c r="DQ68" s="142"/>
      <c r="DR68" s="13">
        <f t="shared" si="194"/>
        <v>47</v>
      </c>
      <c r="DS68" s="48">
        <f t="shared" si="82"/>
        <v>0</v>
      </c>
      <c r="DT68" s="49">
        <f t="shared" si="71"/>
        <v>0</v>
      </c>
      <c r="DU68" s="50">
        <f t="shared" si="195"/>
        <v>668</v>
      </c>
      <c r="DV68" s="103">
        <f>DV67</f>
        <v>0</v>
      </c>
      <c r="DW68" s="46">
        <f t="shared" si="128"/>
        <v>668</v>
      </c>
      <c r="DX68" s="51">
        <f t="shared" si="48"/>
        <v>79</v>
      </c>
      <c r="DY68" s="103">
        <f>DY67</f>
        <v>0</v>
      </c>
      <c r="DZ68" s="46">
        <f t="shared" si="74"/>
        <v>79</v>
      </c>
    </row>
    <row r="69" spans="2:130" x14ac:dyDescent="0.25">
      <c r="B69" s="120">
        <f>1</f>
        <v>1</v>
      </c>
      <c r="C69" s="115">
        <f t="shared" si="247"/>
        <v>9</v>
      </c>
      <c r="D69" s="133"/>
      <c r="E69" s="221"/>
      <c r="F69" s="103">
        <f t="shared" si="107"/>
        <v>93446</v>
      </c>
      <c r="G69" s="108">
        <f t="shared" si="93"/>
        <v>93443</v>
      </c>
      <c r="H69" s="134"/>
      <c r="I69" s="135">
        <v>3</v>
      </c>
      <c r="J69" s="135"/>
      <c r="K69" s="14">
        <f t="shared" si="94"/>
        <v>3</v>
      </c>
      <c r="L69" s="14">
        <f t="shared" si="90"/>
        <v>114</v>
      </c>
      <c r="M69" s="14">
        <f t="shared" si="22"/>
        <v>0.16</v>
      </c>
      <c r="N69" s="47">
        <f t="shared" si="23"/>
        <v>3.2104102904351173E-2</v>
      </c>
      <c r="O69" s="35">
        <f t="shared" si="24"/>
        <v>3.0400000000000005</v>
      </c>
      <c r="P69" s="159">
        <f t="shared" si="25"/>
        <v>0.12199559103653447</v>
      </c>
      <c r="Q69" s="142"/>
      <c r="R69" s="17">
        <f t="shared" si="105"/>
        <v>47</v>
      </c>
      <c r="S69" s="48">
        <f t="shared" si="50"/>
        <v>0</v>
      </c>
      <c r="T69" s="49">
        <f t="shared" si="83"/>
        <v>0.11689245893777725</v>
      </c>
      <c r="U69" s="160">
        <f t="shared" si="26"/>
        <v>668</v>
      </c>
      <c r="V69" s="103">
        <f t="shared" ref="V69:V70" si="253">V68</f>
        <v>681</v>
      </c>
      <c r="W69" s="46">
        <f t="shared" si="28"/>
        <v>-13</v>
      </c>
      <c r="X69" s="51">
        <f t="shared" si="1"/>
        <v>79</v>
      </c>
      <c r="Y69" s="103">
        <f t="shared" ref="Y69:Y70" si="254">Y68</f>
        <v>88</v>
      </c>
      <c r="Z69" s="46">
        <f t="shared" si="29"/>
        <v>-9</v>
      </c>
      <c r="AB69" s="120">
        <f t="shared" ref="AB69:AB70" si="255">AB68+1</f>
        <v>3</v>
      </c>
      <c r="AC69" s="7">
        <f t="shared" si="248"/>
        <v>9</v>
      </c>
      <c r="AD69" s="133"/>
      <c r="AE69" s="221"/>
      <c r="AF69" s="14">
        <f t="shared" si="95"/>
        <v>92051</v>
      </c>
      <c r="AG69" s="62">
        <f t="shared" si="96"/>
        <v>92047</v>
      </c>
      <c r="AH69" s="134"/>
      <c r="AI69" s="135">
        <v>4</v>
      </c>
      <c r="AJ69" s="135"/>
      <c r="AK69" s="14">
        <f t="shared" si="97"/>
        <v>4</v>
      </c>
      <c r="AL69" s="14">
        <f t="shared" si="84"/>
        <v>2693</v>
      </c>
      <c r="AM69" s="14">
        <f t="shared" si="179"/>
        <v>0.16</v>
      </c>
      <c r="AN69" s="47">
        <f t="shared" si="55"/>
        <v>4.3454172143702945E-2</v>
      </c>
      <c r="AO69" s="35">
        <f t="shared" si="180"/>
        <v>3.0400000000000005</v>
      </c>
      <c r="AP69" s="159">
        <f t="shared" si="77"/>
        <v>2.9255521395748008</v>
      </c>
      <c r="AQ69" s="142"/>
      <c r="AR69" s="14">
        <f t="shared" si="181"/>
        <v>47</v>
      </c>
      <c r="AS69" s="35">
        <f t="shared" si="91"/>
        <v>0</v>
      </c>
      <c r="AT69" s="301">
        <f t="shared" si="85"/>
        <v>5.5413543607296042E-2</v>
      </c>
      <c r="AU69" s="14">
        <f t="shared" si="182"/>
        <v>668</v>
      </c>
      <c r="AV69" s="103">
        <f t="shared" ref="AV69:AV70" si="256">AV68</f>
        <v>673</v>
      </c>
      <c r="AW69" s="46">
        <f t="shared" si="125"/>
        <v>-5</v>
      </c>
      <c r="AX69" s="51">
        <f t="shared" si="57"/>
        <v>79</v>
      </c>
      <c r="AY69" s="103">
        <f t="shared" ref="AY69:AY70" si="257">AY68</f>
        <v>86</v>
      </c>
      <c r="AZ69" s="46">
        <f t="shared" si="33"/>
        <v>-7</v>
      </c>
      <c r="BA69" s="321" t="s">
        <v>83</v>
      </c>
      <c r="BB69" s="274">
        <v>1</v>
      </c>
      <c r="BC69" s="275">
        <f t="shared" si="250"/>
        <v>9</v>
      </c>
      <c r="BD69" s="276"/>
      <c r="BE69" s="277"/>
      <c r="BF69" s="278">
        <f t="shared" si="98"/>
        <v>95126</v>
      </c>
      <c r="BG69" s="289">
        <f t="shared" si="120"/>
        <v>95123</v>
      </c>
      <c r="BH69" s="280"/>
      <c r="BI69" s="281">
        <v>3</v>
      </c>
      <c r="BJ69" s="281"/>
      <c r="BK69" s="278">
        <f t="shared" si="99"/>
        <v>3</v>
      </c>
      <c r="BL69" s="278">
        <f t="shared" si="86"/>
        <v>5080</v>
      </c>
      <c r="BM69" s="278">
        <f t="shared" si="184"/>
        <v>0.16</v>
      </c>
      <c r="BN69" s="268">
        <f t="shared" si="34"/>
        <v>3.1537119189285791E-2</v>
      </c>
      <c r="BO69" s="269">
        <f t="shared" si="185"/>
        <v>3.0400000000000005</v>
      </c>
      <c r="BP69" s="270">
        <f t="shared" si="36"/>
        <v>5.3402855160523934</v>
      </c>
      <c r="BQ69" s="282"/>
      <c r="BR69" s="283">
        <f t="shared" si="186"/>
        <v>47</v>
      </c>
      <c r="BS69" s="284">
        <f t="shared" si="79"/>
        <v>0</v>
      </c>
      <c r="BT69" s="290">
        <f t="shared" si="87"/>
        <v>7.2033724880284866E-2</v>
      </c>
      <c r="BU69" s="286">
        <f t="shared" si="187"/>
        <v>668</v>
      </c>
      <c r="BV69" s="287">
        <f t="shared" ref="BV69:BV70" si="258">BV68</f>
        <v>681</v>
      </c>
      <c r="BW69" s="279">
        <f t="shared" si="126"/>
        <v>-13</v>
      </c>
      <c r="BX69" s="288">
        <f t="shared" si="100"/>
        <v>79</v>
      </c>
      <c r="BY69" s="287">
        <f t="shared" ref="BY69:BY70" si="259">BY68</f>
        <v>88</v>
      </c>
      <c r="BZ69" s="279">
        <f t="shared" si="37"/>
        <v>-9</v>
      </c>
      <c r="CA69" s="316"/>
      <c r="CB69" s="120"/>
      <c r="CC69" s="7">
        <f t="shared" si="251"/>
        <v>9</v>
      </c>
      <c r="CD69" s="133"/>
      <c r="CE69" s="221"/>
      <c r="CF69" s="14">
        <f t="shared" si="88"/>
        <v>0</v>
      </c>
      <c r="CG69" s="62">
        <f t="shared" si="101"/>
        <v>0</v>
      </c>
      <c r="CH69" s="134"/>
      <c r="CI69" s="135"/>
      <c r="CJ69" s="135"/>
      <c r="CK69" s="14">
        <f t="shared" si="102"/>
        <v>0</v>
      </c>
      <c r="CL69" s="14">
        <f t="shared" si="92"/>
        <v>0</v>
      </c>
      <c r="CM69" s="14">
        <f t="shared" si="188"/>
        <v>0.16</v>
      </c>
      <c r="CN69" s="47">
        <f t="shared" si="39"/>
        <v>0</v>
      </c>
      <c r="CO69" s="35">
        <f t="shared" si="189"/>
        <v>3.0400000000000005</v>
      </c>
      <c r="CP69" s="159">
        <f t="shared" si="40"/>
        <v>0</v>
      </c>
      <c r="CQ69" s="142"/>
      <c r="CR69" s="13">
        <f t="shared" si="190"/>
        <v>47</v>
      </c>
      <c r="CS69" s="48">
        <f t="shared" si="65"/>
        <v>0</v>
      </c>
      <c r="CT69" s="68">
        <f t="shared" si="66"/>
        <v>0</v>
      </c>
      <c r="CU69" s="50">
        <f t="shared" si="191"/>
        <v>668</v>
      </c>
      <c r="CV69" s="181">
        <f t="shared" ref="CV69:CV70" si="260">CV68</f>
        <v>0</v>
      </c>
      <c r="CW69" s="206">
        <f t="shared" si="127"/>
        <v>668</v>
      </c>
      <c r="CX69" s="182">
        <f t="shared" si="42"/>
        <v>79</v>
      </c>
      <c r="CY69" s="181">
        <f t="shared" ref="CY69:CY70" si="261">CY68</f>
        <v>0</v>
      </c>
      <c r="CZ69" s="206">
        <f t="shared" si="43"/>
        <v>79</v>
      </c>
      <c r="DA69" s="316"/>
      <c r="DB69" s="120"/>
      <c r="DC69" s="7">
        <f t="shared" si="252"/>
        <v>9</v>
      </c>
      <c r="DD69" s="133"/>
      <c r="DE69" s="221"/>
      <c r="DF69" s="14">
        <f t="shared" si="70"/>
        <v>0</v>
      </c>
      <c r="DG69" s="62">
        <f t="shared" si="103"/>
        <v>0</v>
      </c>
      <c r="DH69" s="134"/>
      <c r="DI69" s="135"/>
      <c r="DJ69" s="135"/>
      <c r="DK69" s="14">
        <f t="shared" si="104"/>
        <v>0</v>
      </c>
      <c r="DL69" s="14">
        <f t="shared" si="89"/>
        <v>0</v>
      </c>
      <c r="DM69" s="14">
        <f t="shared" si="192"/>
        <v>0.16</v>
      </c>
      <c r="DN69" s="47">
        <f t="shared" si="45"/>
        <v>0</v>
      </c>
      <c r="DO69" s="35">
        <f t="shared" si="193"/>
        <v>3.0400000000000005</v>
      </c>
      <c r="DP69" s="159">
        <f t="shared" si="46"/>
        <v>0</v>
      </c>
      <c r="DQ69" s="142"/>
      <c r="DR69" s="13">
        <f t="shared" si="194"/>
        <v>47</v>
      </c>
      <c r="DS69" s="48">
        <f t="shared" si="82"/>
        <v>0</v>
      </c>
      <c r="DT69" s="68">
        <f t="shared" si="71"/>
        <v>0</v>
      </c>
      <c r="DU69" s="50">
        <f t="shared" si="195"/>
        <v>668</v>
      </c>
      <c r="DV69" s="181">
        <f t="shared" ref="DV69:DV70" si="262">DV68</f>
        <v>0</v>
      </c>
      <c r="DW69" s="46">
        <f t="shared" si="128"/>
        <v>668</v>
      </c>
      <c r="DX69" s="51">
        <f t="shared" si="48"/>
        <v>79</v>
      </c>
      <c r="DY69" s="181">
        <f t="shared" ref="DY69:DY70" si="263">DY68</f>
        <v>0</v>
      </c>
      <c r="DZ69" s="46">
        <f t="shared" si="74"/>
        <v>79</v>
      </c>
    </row>
    <row r="70" spans="2:130" ht="17.25" thickBot="1" x14ac:dyDescent="0.3">
      <c r="B70" s="119">
        <f>B69+1</f>
        <v>2</v>
      </c>
      <c r="C70" s="239">
        <f t="shared" si="247"/>
        <v>9</v>
      </c>
      <c r="D70" s="203"/>
      <c r="E70" s="225"/>
      <c r="F70" s="202">
        <f t="shared" si="107"/>
        <v>93443</v>
      </c>
      <c r="G70" s="107">
        <f t="shared" si="93"/>
        <v>93441</v>
      </c>
      <c r="H70" s="204"/>
      <c r="I70" s="205">
        <v>2</v>
      </c>
      <c r="J70" s="205"/>
      <c r="K70" s="31">
        <f t="shared" si="94"/>
        <v>2</v>
      </c>
      <c r="L70" s="31">
        <f t="shared" si="90"/>
        <v>116</v>
      </c>
      <c r="M70" s="31">
        <f t="shared" si="22"/>
        <v>0.16</v>
      </c>
      <c r="N70" s="230">
        <f t="shared" si="23"/>
        <v>2.1403422407242918E-2</v>
      </c>
      <c r="O70" s="37">
        <f t="shared" si="24"/>
        <v>3.0400000000000005</v>
      </c>
      <c r="P70" s="157">
        <f t="shared" si="25"/>
        <v>0.12413984996200893</v>
      </c>
      <c r="Q70" s="237"/>
      <c r="R70" s="12">
        <f t="shared" si="105"/>
        <v>47</v>
      </c>
      <c r="S70" s="67">
        <f t="shared" si="50"/>
        <v>0</v>
      </c>
      <c r="T70" s="196">
        <f t="shared" si="83"/>
        <v>0.11689245893777725</v>
      </c>
      <c r="U70" s="12">
        <f t="shared" si="26"/>
        <v>668</v>
      </c>
      <c r="V70" s="202">
        <f t="shared" si="253"/>
        <v>681</v>
      </c>
      <c r="W70" s="62">
        <f t="shared" si="28"/>
        <v>-13</v>
      </c>
      <c r="X70" s="52">
        <f t="shared" si="1"/>
        <v>79</v>
      </c>
      <c r="Y70" s="202">
        <f t="shared" si="254"/>
        <v>88</v>
      </c>
      <c r="Z70" s="62">
        <f t="shared" si="29"/>
        <v>-9</v>
      </c>
      <c r="AB70" s="119">
        <f t="shared" si="255"/>
        <v>4</v>
      </c>
      <c r="AC70" s="95">
        <f t="shared" si="248"/>
        <v>9</v>
      </c>
      <c r="AD70" s="203"/>
      <c r="AE70" s="225"/>
      <c r="AF70" s="13">
        <f t="shared" si="95"/>
        <v>92047</v>
      </c>
      <c r="AG70" s="59">
        <f t="shared" si="96"/>
        <v>92043</v>
      </c>
      <c r="AH70" s="204"/>
      <c r="AI70" s="205">
        <v>4</v>
      </c>
      <c r="AJ70" s="205"/>
      <c r="AK70" s="31">
        <f t="shared" si="97"/>
        <v>4</v>
      </c>
      <c r="AL70" s="31">
        <f t="shared" si="84"/>
        <v>2697</v>
      </c>
      <c r="AM70" s="13">
        <f t="shared" si="179"/>
        <v>0.16</v>
      </c>
      <c r="AN70" s="230">
        <f t="shared" si="55"/>
        <v>4.3456060490836203E-2</v>
      </c>
      <c r="AO70" s="161">
        <f t="shared" si="180"/>
        <v>3.0400000000000005</v>
      </c>
      <c r="AP70" s="157">
        <f t="shared" si="77"/>
        <v>2.9300248785946308</v>
      </c>
      <c r="AQ70" s="237"/>
      <c r="AR70" s="13">
        <f t="shared" si="181"/>
        <v>47</v>
      </c>
      <c r="AS70" s="161">
        <f t="shared" si="91"/>
        <v>0</v>
      </c>
      <c r="AT70" s="302">
        <f t="shared" si="85"/>
        <v>5.5413543607296042E-2</v>
      </c>
      <c r="AU70" s="13">
        <f t="shared" si="182"/>
        <v>668</v>
      </c>
      <c r="AV70" s="202">
        <f t="shared" si="256"/>
        <v>673</v>
      </c>
      <c r="AW70" s="62">
        <f t="shared" si="125"/>
        <v>-5</v>
      </c>
      <c r="AX70" s="52">
        <f t="shared" si="57"/>
        <v>79</v>
      </c>
      <c r="AY70" s="202">
        <f t="shared" si="257"/>
        <v>86</v>
      </c>
      <c r="AZ70" s="62">
        <f t="shared" si="33"/>
        <v>-7</v>
      </c>
      <c r="BA70" s="316"/>
      <c r="BB70" s="119">
        <f t="shared" si="249"/>
        <v>2</v>
      </c>
      <c r="BC70" s="95">
        <f t="shared" si="250"/>
        <v>9</v>
      </c>
      <c r="BD70" s="203"/>
      <c r="BE70" s="225"/>
      <c r="BF70" s="13">
        <f t="shared" si="98"/>
        <v>95123</v>
      </c>
      <c r="BG70" s="59">
        <f t="shared" si="120"/>
        <v>95120</v>
      </c>
      <c r="BH70" s="204"/>
      <c r="BI70" s="205">
        <v>3</v>
      </c>
      <c r="BJ70" s="205"/>
      <c r="BK70" s="31">
        <f t="shared" si="99"/>
        <v>3</v>
      </c>
      <c r="BL70" s="31">
        <f t="shared" si="86"/>
        <v>5083</v>
      </c>
      <c r="BM70" s="13">
        <f t="shared" si="184"/>
        <v>0.16</v>
      </c>
      <c r="BN70" s="230">
        <f t="shared" si="34"/>
        <v>3.1538113810540037E-2</v>
      </c>
      <c r="BO70" s="161">
        <f t="shared" si="185"/>
        <v>3.0400000000000005</v>
      </c>
      <c r="BP70" s="157">
        <f t="shared" si="36"/>
        <v>5.3436077499658339</v>
      </c>
      <c r="BQ70" s="237"/>
      <c r="BR70" s="13">
        <f t="shared" si="186"/>
        <v>47</v>
      </c>
      <c r="BS70" s="67">
        <f t="shared" si="79"/>
        <v>0</v>
      </c>
      <c r="BT70" s="196">
        <f t="shared" si="87"/>
        <v>7.2033724880284866E-2</v>
      </c>
      <c r="BU70" s="50">
        <f t="shared" si="187"/>
        <v>668</v>
      </c>
      <c r="BV70" s="202">
        <f t="shared" si="258"/>
        <v>681</v>
      </c>
      <c r="BW70" s="62">
        <f t="shared" si="126"/>
        <v>-13</v>
      </c>
      <c r="BX70" s="52">
        <f t="shared" si="100"/>
        <v>79</v>
      </c>
      <c r="BY70" s="202">
        <f t="shared" si="259"/>
        <v>88</v>
      </c>
      <c r="BZ70" s="62">
        <f t="shared" si="37"/>
        <v>-9</v>
      </c>
      <c r="CA70" s="316"/>
      <c r="CB70" s="197"/>
      <c r="CC70" s="8">
        <f t="shared" si="251"/>
        <v>9</v>
      </c>
      <c r="CD70" s="136"/>
      <c r="CE70" s="226"/>
      <c r="CF70" s="32">
        <f t="shared" si="88"/>
        <v>0</v>
      </c>
      <c r="CG70" s="53">
        <f t="shared" si="101"/>
        <v>0</v>
      </c>
      <c r="CH70" s="137"/>
      <c r="CI70" s="138"/>
      <c r="CJ70" s="138"/>
      <c r="CK70" s="34">
        <f t="shared" si="102"/>
        <v>0</v>
      </c>
      <c r="CL70" s="34">
        <f t="shared" si="92"/>
        <v>0</v>
      </c>
      <c r="CM70" s="32">
        <f t="shared" si="188"/>
        <v>0.16</v>
      </c>
      <c r="CN70" s="96">
        <f t="shared" si="39"/>
        <v>0</v>
      </c>
      <c r="CO70" s="36">
        <f t="shared" si="189"/>
        <v>3.0400000000000005</v>
      </c>
      <c r="CP70" s="156">
        <f t="shared" si="40"/>
        <v>0</v>
      </c>
      <c r="CQ70" s="139"/>
      <c r="CR70" s="32">
        <f t="shared" si="190"/>
        <v>47</v>
      </c>
      <c r="CS70" s="54">
        <f t="shared" si="65"/>
        <v>0</v>
      </c>
      <c r="CT70" s="55">
        <f t="shared" si="66"/>
        <v>0</v>
      </c>
      <c r="CU70" s="56">
        <f t="shared" si="191"/>
        <v>668</v>
      </c>
      <c r="CV70" s="109">
        <f t="shared" si="260"/>
        <v>0</v>
      </c>
      <c r="CW70" s="63">
        <f t="shared" si="127"/>
        <v>668</v>
      </c>
      <c r="CX70" s="65">
        <f t="shared" si="42"/>
        <v>79</v>
      </c>
      <c r="CY70" s="109">
        <f t="shared" si="261"/>
        <v>0</v>
      </c>
      <c r="CZ70" s="63">
        <f t="shared" si="43"/>
        <v>79</v>
      </c>
      <c r="DA70" s="316"/>
      <c r="DB70" s="119"/>
      <c r="DC70" s="95">
        <f t="shared" si="252"/>
        <v>9</v>
      </c>
      <c r="DD70" s="203"/>
      <c r="DE70" s="225"/>
      <c r="DF70" s="13">
        <f t="shared" si="70"/>
        <v>0</v>
      </c>
      <c r="DG70" s="59">
        <f t="shared" si="103"/>
        <v>0</v>
      </c>
      <c r="DH70" s="204"/>
      <c r="DI70" s="205"/>
      <c r="DJ70" s="205"/>
      <c r="DK70" s="31">
        <f t="shared" si="104"/>
        <v>0</v>
      </c>
      <c r="DL70" s="31">
        <f t="shared" si="89"/>
        <v>0</v>
      </c>
      <c r="DM70" s="13">
        <f t="shared" si="192"/>
        <v>0.16</v>
      </c>
      <c r="DN70" s="230">
        <f t="shared" si="45"/>
        <v>0</v>
      </c>
      <c r="DO70" s="161">
        <f t="shared" si="193"/>
        <v>3.0400000000000005</v>
      </c>
      <c r="DP70" s="157">
        <f t="shared" si="46"/>
        <v>0</v>
      </c>
      <c r="DQ70" s="237"/>
      <c r="DR70" s="13">
        <f t="shared" si="194"/>
        <v>47</v>
      </c>
      <c r="DS70" s="67">
        <f t="shared" si="82"/>
        <v>0</v>
      </c>
      <c r="DT70" s="196">
        <f t="shared" si="71"/>
        <v>0</v>
      </c>
      <c r="DU70" s="50">
        <f t="shared" si="195"/>
        <v>668</v>
      </c>
      <c r="DV70" s="202">
        <f t="shared" si="262"/>
        <v>0</v>
      </c>
      <c r="DW70" s="62">
        <f t="shared" si="128"/>
        <v>668</v>
      </c>
      <c r="DX70" s="52">
        <f t="shared" si="48"/>
        <v>79</v>
      </c>
      <c r="DY70" s="202">
        <f t="shared" si="263"/>
        <v>0</v>
      </c>
      <c r="DZ70" s="62">
        <f t="shared" si="74"/>
        <v>79</v>
      </c>
    </row>
    <row r="71" spans="2:130" x14ac:dyDescent="0.25">
      <c r="B71" s="119">
        <f>B70+1</f>
        <v>3</v>
      </c>
      <c r="C71" s="114">
        <v>10</v>
      </c>
      <c r="D71" s="129"/>
      <c r="E71" s="224"/>
      <c r="F71" s="101">
        <f t="shared" si="107"/>
        <v>93441</v>
      </c>
      <c r="G71" s="102">
        <f t="shared" si="93"/>
        <v>93438</v>
      </c>
      <c r="H71" s="130"/>
      <c r="I71" s="131">
        <v>3</v>
      </c>
      <c r="J71" s="131"/>
      <c r="K71" s="11">
        <f t="shared" si="94"/>
        <v>3</v>
      </c>
      <c r="L71" s="11">
        <f t="shared" si="90"/>
        <v>119</v>
      </c>
      <c r="M71" s="11">
        <f t="shared" si="22"/>
        <v>0.16</v>
      </c>
      <c r="N71" s="42">
        <f t="shared" si="23"/>
        <v>3.2105820785308374E-2</v>
      </c>
      <c r="O71" s="21">
        <f t="shared" si="24"/>
        <v>3.2000000000000006</v>
      </c>
      <c r="P71" s="165">
        <f t="shared" si="25"/>
        <v>0.12735308911505655</v>
      </c>
      <c r="Q71" s="158"/>
      <c r="R71" s="195">
        <f t="shared" si="105"/>
        <v>49</v>
      </c>
      <c r="S71" s="43">
        <f t="shared" si="50"/>
        <v>0</v>
      </c>
      <c r="T71" s="44">
        <f t="shared" si="83"/>
        <v>0.11689245893777725</v>
      </c>
      <c r="U71" s="195">
        <f t="shared" si="26"/>
        <v>746</v>
      </c>
      <c r="V71" s="131">
        <v>782</v>
      </c>
      <c r="W71" s="41">
        <f t="shared" si="28"/>
        <v>-36</v>
      </c>
      <c r="X71" s="58">
        <f t="shared" si="1"/>
        <v>80</v>
      </c>
      <c r="Y71" s="131">
        <v>86</v>
      </c>
      <c r="Z71" s="41">
        <f t="shared" si="29"/>
        <v>-6</v>
      </c>
      <c r="AB71" s="118">
        <v>5</v>
      </c>
      <c r="AC71" s="9">
        <v>10</v>
      </c>
      <c r="AD71" s="129"/>
      <c r="AE71" s="224"/>
      <c r="AF71" s="11">
        <f t="shared" si="95"/>
        <v>92043</v>
      </c>
      <c r="AG71" s="41">
        <f t="shared" si="96"/>
        <v>92031</v>
      </c>
      <c r="AH71" s="130">
        <v>9</v>
      </c>
      <c r="AI71" s="131">
        <v>3</v>
      </c>
      <c r="AJ71" s="131"/>
      <c r="AK71" s="11">
        <f t="shared" si="97"/>
        <v>12</v>
      </c>
      <c r="AL71" s="11">
        <f t="shared" si="84"/>
        <v>2709</v>
      </c>
      <c r="AM71" s="11">
        <f t="shared" si="179"/>
        <v>0.16</v>
      </c>
      <c r="AN71" s="42">
        <f t="shared" si="55"/>
        <v>0.13037384700629054</v>
      </c>
      <c r="AO71" s="21">
        <f t="shared" si="180"/>
        <v>3.2000000000000006</v>
      </c>
      <c r="AP71" s="165">
        <f t="shared" si="77"/>
        <v>2.9431895961670089</v>
      </c>
      <c r="AQ71" s="158"/>
      <c r="AR71" s="11">
        <f t="shared" si="181"/>
        <v>49</v>
      </c>
      <c r="AS71" s="21">
        <f t="shared" si="91"/>
        <v>0</v>
      </c>
      <c r="AT71" s="303">
        <f t="shared" si="85"/>
        <v>5.5413543607296042E-2</v>
      </c>
      <c r="AU71" s="11">
        <f t="shared" si="182"/>
        <v>746</v>
      </c>
      <c r="AV71" s="131">
        <v>784</v>
      </c>
      <c r="AW71" s="41">
        <f t="shared" si="125"/>
        <v>-38</v>
      </c>
      <c r="AX71" s="58">
        <f t="shared" si="57"/>
        <v>80</v>
      </c>
      <c r="AY71" s="131">
        <v>88</v>
      </c>
      <c r="AZ71" s="41">
        <f t="shared" si="33"/>
        <v>-8</v>
      </c>
      <c r="BA71" s="316"/>
      <c r="BB71" s="118">
        <v>3</v>
      </c>
      <c r="BC71" s="9">
        <v>10</v>
      </c>
      <c r="BD71" s="129"/>
      <c r="BE71" s="224"/>
      <c r="BF71" s="11">
        <f t="shared" si="98"/>
        <v>95120</v>
      </c>
      <c r="BG71" s="41">
        <f t="shared" si="120"/>
        <v>95108</v>
      </c>
      <c r="BH71" s="130">
        <v>8</v>
      </c>
      <c r="BI71" s="131">
        <v>4</v>
      </c>
      <c r="BJ71" s="131"/>
      <c r="BK71" s="11">
        <f t="shared" si="99"/>
        <v>12</v>
      </c>
      <c r="BL71" s="11">
        <f t="shared" si="86"/>
        <v>5095</v>
      </c>
      <c r="BM71" s="11">
        <f t="shared" si="184"/>
        <v>0.16</v>
      </c>
      <c r="BN71" s="42">
        <f t="shared" si="34"/>
        <v>0.12615643397813289</v>
      </c>
      <c r="BO71" s="21">
        <f t="shared" si="185"/>
        <v>3.2000000000000006</v>
      </c>
      <c r="BP71" s="165">
        <f t="shared" si="36"/>
        <v>5.3563919259882251</v>
      </c>
      <c r="BQ71" s="158"/>
      <c r="BR71" s="16">
        <f t="shared" si="186"/>
        <v>49</v>
      </c>
      <c r="BS71" s="43">
        <f t="shared" si="79"/>
        <v>0</v>
      </c>
      <c r="BT71" s="44">
        <f t="shared" si="87"/>
        <v>7.2033724880284866E-2</v>
      </c>
      <c r="BU71" s="45">
        <f t="shared" si="187"/>
        <v>746</v>
      </c>
      <c r="BV71" s="131">
        <v>782</v>
      </c>
      <c r="BW71" s="41">
        <f t="shared" si="126"/>
        <v>-36</v>
      </c>
      <c r="BX71" s="58">
        <f t="shared" si="100"/>
        <v>80</v>
      </c>
      <c r="BY71" s="131">
        <v>86</v>
      </c>
      <c r="BZ71" s="41">
        <f t="shared" si="37"/>
        <v>-6</v>
      </c>
      <c r="CA71" s="316"/>
      <c r="CB71" s="198"/>
      <c r="CC71" s="38">
        <v>10</v>
      </c>
      <c r="CD71" s="143"/>
      <c r="CE71" s="227"/>
      <c r="CF71" s="17">
        <f t="shared" si="88"/>
        <v>0</v>
      </c>
      <c r="CG71" s="71">
        <f t="shared" si="101"/>
        <v>0</v>
      </c>
      <c r="CH71" s="144"/>
      <c r="CI71" s="141"/>
      <c r="CJ71" s="141"/>
      <c r="CK71" s="17">
        <f t="shared" si="102"/>
        <v>0</v>
      </c>
      <c r="CL71" s="17">
        <f t="shared" si="92"/>
        <v>0</v>
      </c>
      <c r="CM71" s="17">
        <f t="shared" si="188"/>
        <v>0.16</v>
      </c>
      <c r="CN71" s="235">
        <f t="shared" si="39"/>
        <v>0</v>
      </c>
      <c r="CO71" s="33">
        <f t="shared" si="189"/>
        <v>3.2000000000000006</v>
      </c>
      <c r="CP71" s="210">
        <f t="shared" si="40"/>
        <v>0</v>
      </c>
      <c r="CQ71" s="145"/>
      <c r="CR71" s="31">
        <f t="shared" si="190"/>
        <v>49</v>
      </c>
      <c r="CS71" s="60">
        <f t="shared" si="65"/>
        <v>0</v>
      </c>
      <c r="CT71" s="72">
        <f t="shared" si="66"/>
        <v>0</v>
      </c>
      <c r="CU71" s="52">
        <f t="shared" si="191"/>
        <v>746</v>
      </c>
      <c r="CV71" s="141"/>
      <c r="CW71" s="71">
        <f t="shared" si="127"/>
        <v>746</v>
      </c>
      <c r="CX71" s="61">
        <f t="shared" si="42"/>
        <v>80</v>
      </c>
      <c r="CY71" s="141"/>
      <c r="CZ71" s="71">
        <f t="shared" si="43"/>
        <v>80</v>
      </c>
      <c r="DA71" s="316"/>
      <c r="DB71" s="118"/>
      <c r="DC71" s="9">
        <v>10</v>
      </c>
      <c r="DD71" s="129"/>
      <c r="DE71" s="224"/>
      <c r="DF71" s="11">
        <f t="shared" si="70"/>
        <v>0</v>
      </c>
      <c r="DG71" s="41">
        <f t="shared" si="103"/>
        <v>0</v>
      </c>
      <c r="DH71" s="130"/>
      <c r="DI71" s="131"/>
      <c r="DJ71" s="131"/>
      <c r="DK71" s="11">
        <f t="shared" si="104"/>
        <v>0</v>
      </c>
      <c r="DL71" s="11">
        <f t="shared" si="89"/>
        <v>0</v>
      </c>
      <c r="DM71" s="11">
        <f t="shared" si="192"/>
        <v>0.16</v>
      </c>
      <c r="DN71" s="42">
        <f t="shared" si="45"/>
        <v>0</v>
      </c>
      <c r="DO71" s="21">
        <f t="shared" si="193"/>
        <v>3.2000000000000006</v>
      </c>
      <c r="DP71" s="165">
        <f t="shared" si="46"/>
        <v>0</v>
      </c>
      <c r="DQ71" s="158"/>
      <c r="DR71" s="16">
        <f t="shared" si="194"/>
        <v>49</v>
      </c>
      <c r="DS71" s="43">
        <f t="shared" si="82"/>
        <v>0</v>
      </c>
      <c r="DT71" s="44">
        <f t="shared" si="71"/>
        <v>0</v>
      </c>
      <c r="DU71" s="45">
        <f t="shared" si="195"/>
        <v>746</v>
      </c>
      <c r="DV71" s="131"/>
      <c r="DW71" s="41">
        <f t="shared" si="128"/>
        <v>746</v>
      </c>
      <c r="DX71" s="58">
        <f t="shared" si="48"/>
        <v>80</v>
      </c>
      <c r="DY71" s="131"/>
      <c r="DZ71" s="41">
        <f t="shared" si="74"/>
        <v>80</v>
      </c>
    </row>
    <row r="72" spans="2:130" x14ac:dyDescent="0.25">
      <c r="B72" s="120">
        <f>B71+1</f>
        <v>4</v>
      </c>
      <c r="C72" s="115">
        <f>C71</f>
        <v>10</v>
      </c>
      <c r="D72" s="133"/>
      <c r="E72" s="221"/>
      <c r="F72" s="103">
        <f t="shared" si="107"/>
        <v>93438</v>
      </c>
      <c r="G72" s="108">
        <f t="shared" si="93"/>
        <v>93432</v>
      </c>
      <c r="H72" s="134">
        <v>3</v>
      </c>
      <c r="I72" s="135">
        <v>3</v>
      </c>
      <c r="J72" s="135"/>
      <c r="K72" s="14">
        <f t="shared" si="94"/>
        <v>6</v>
      </c>
      <c r="L72" s="14">
        <f t="shared" si="90"/>
        <v>125</v>
      </c>
      <c r="M72" s="14">
        <f t="shared" ref="M72:M133" si="264">VLOOKUP($C72,PARAMETROCRIANZA,6,FALSE)</f>
        <v>0.16</v>
      </c>
      <c r="N72" s="47">
        <f t="shared" si="23"/>
        <v>6.4213703204263783E-2</v>
      </c>
      <c r="O72" s="35">
        <f t="shared" si="24"/>
        <v>3.2000000000000006</v>
      </c>
      <c r="P72" s="159">
        <f t="shared" si="25"/>
        <v>0.13377854834221622</v>
      </c>
      <c r="Q72" s="145"/>
      <c r="R72" s="12">
        <f t="shared" si="105"/>
        <v>49</v>
      </c>
      <c r="S72" s="48">
        <f t="shared" si="50"/>
        <v>0</v>
      </c>
      <c r="T72" s="72">
        <f t="shared" si="83"/>
        <v>0.11689245893777725</v>
      </c>
      <c r="U72" s="160">
        <f t="shared" ref="U72:U133" si="265">VLOOKUP($C72,PARAMETROCRIANZA,2,FALSE)</f>
        <v>746</v>
      </c>
      <c r="V72" s="103">
        <f>V71</f>
        <v>782</v>
      </c>
      <c r="W72" s="46">
        <f t="shared" ref="W72:W133" si="266">U72-V72</f>
        <v>-36</v>
      </c>
      <c r="X72" s="51">
        <f t="shared" ref="X72:X133" si="267">VLOOKUP(C72,PARAMETROCRIANZA,4,FALSE)</f>
        <v>80</v>
      </c>
      <c r="Y72" s="103">
        <f>Y71</f>
        <v>86</v>
      </c>
      <c r="Z72" s="46">
        <f t="shared" si="29"/>
        <v>-6</v>
      </c>
      <c r="AB72" s="120">
        <f>AB71+1</f>
        <v>6</v>
      </c>
      <c r="AC72" s="7">
        <f>AC71</f>
        <v>10</v>
      </c>
      <c r="AD72" s="133"/>
      <c r="AE72" s="221"/>
      <c r="AF72" s="14">
        <f t="shared" si="95"/>
        <v>92031</v>
      </c>
      <c r="AG72" s="62">
        <f t="shared" si="96"/>
        <v>92020</v>
      </c>
      <c r="AH72" s="134">
        <v>8</v>
      </c>
      <c r="AI72" s="135">
        <v>3</v>
      </c>
      <c r="AJ72" s="135"/>
      <c r="AK72" s="14">
        <f t="shared" si="97"/>
        <v>11</v>
      </c>
      <c r="AL72" s="14">
        <f t="shared" si="84"/>
        <v>2720</v>
      </c>
      <c r="AM72" s="14">
        <f t="shared" ref="AM72:AM103" si="268">VLOOKUP($AC72,PARAMETROCRIANZA,6,FALSE)</f>
        <v>0.16</v>
      </c>
      <c r="AN72" s="47">
        <f t="shared" si="55"/>
        <v>0.11952494268235703</v>
      </c>
      <c r="AO72" s="35">
        <f t="shared" ref="AO72:AO103" si="269">VLOOKUP($AC72,PARAMETROCRIANZA,8,FALSE)</f>
        <v>3.2000000000000006</v>
      </c>
      <c r="AP72" s="159">
        <f t="shared" si="77"/>
        <v>2.9555258554182831</v>
      </c>
      <c r="AQ72" s="145"/>
      <c r="AR72" s="14">
        <f t="shared" ref="AR72:AR103" si="270">VLOOKUP($AC72,PARAMETROCRIANZA,10,FALSE)</f>
        <v>49</v>
      </c>
      <c r="AS72" s="35">
        <f t="shared" si="91"/>
        <v>0</v>
      </c>
      <c r="AT72" s="305">
        <f t="shared" si="85"/>
        <v>5.5413543607296042E-2</v>
      </c>
      <c r="AU72" s="14">
        <f t="shared" ref="AU72:AU103" si="271">VLOOKUP($AC72,PARAMETROCRIANZA,2,FALSE)</f>
        <v>746</v>
      </c>
      <c r="AV72" s="103">
        <f>AV71</f>
        <v>784</v>
      </c>
      <c r="AW72" s="46">
        <f t="shared" si="125"/>
        <v>-38</v>
      </c>
      <c r="AX72" s="51">
        <f t="shared" ref="AX72:AX133" si="272">VLOOKUP(AC72,PARAMETROCRIANZA,4,FALSE)</f>
        <v>80</v>
      </c>
      <c r="AY72" s="103">
        <f>AY71</f>
        <v>88</v>
      </c>
      <c r="AZ72" s="46">
        <f t="shared" si="33"/>
        <v>-8</v>
      </c>
      <c r="BA72" s="316"/>
      <c r="BB72" s="120">
        <f>BB71+1</f>
        <v>4</v>
      </c>
      <c r="BC72" s="7">
        <f>BC71</f>
        <v>10</v>
      </c>
      <c r="BD72" s="133"/>
      <c r="BE72" s="221"/>
      <c r="BF72" s="14">
        <f t="shared" si="98"/>
        <v>95108</v>
      </c>
      <c r="BG72" s="62">
        <f t="shared" si="120"/>
        <v>95086</v>
      </c>
      <c r="BH72" s="134">
        <v>18</v>
      </c>
      <c r="BI72" s="135">
        <v>4</v>
      </c>
      <c r="BJ72" s="135"/>
      <c r="BK72" s="14">
        <f t="shared" si="99"/>
        <v>22</v>
      </c>
      <c r="BL72" s="14">
        <f t="shared" si="86"/>
        <v>5117</v>
      </c>
      <c r="BM72" s="14">
        <f t="shared" ref="BM72:BM103" si="273">VLOOKUP($BC72,PARAMETROCRIANZA,6,FALSE)</f>
        <v>0.16</v>
      </c>
      <c r="BN72" s="47">
        <f t="shared" si="34"/>
        <v>0.23131597762543635</v>
      </c>
      <c r="BO72" s="35">
        <f t="shared" ref="BO72:BO103" si="274">VLOOKUP($BC72,PARAMETROCRIANZA,8,FALSE)</f>
        <v>3.2000000000000006</v>
      </c>
      <c r="BP72" s="159">
        <f t="shared" si="36"/>
        <v>5.3801993523152625</v>
      </c>
      <c r="BQ72" s="145"/>
      <c r="BR72" s="13">
        <f t="shared" ref="BR72:BR103" si="275">VLOOKUP($BC72,PARAMETROCRIANZA,10,FALSE)</f>
        <v>49</v>
      </c>
      <c r="BS72" s="48">
        <f t="shared" si="79"/>
        <v>0</v>
      </c>
      <c r="BT72" s="73">
        <f t="shared" si="87"/>
        <v>7.2033724880284866E-2</v>
      </c>
      <c r="BU72" s="50">
        <f t="shared" ref="BU72:BU103" si="276">VLOOKUP($BC72,PARAMETROCRIANZA,2,FALSE)</f>
        <v>746</v>
      </c>
      <c r="BV72" s="103">
        <f>BV71</f>
        <v>782</v>
      </c>
      <c r="BW72" s="46">
        <f t="shared" si="126"/>
        <v>-36</v>
      </c>
      <c r="BX72" s="51">
        <f t="shared" ref="BX72:BX133" si="277">VLOOKUP(BC72,PARAMETROCRIANZA,4,FALSE)</f>
        <v>80</v>
      </c>
      <c r="BY72" s="103">
        <f>BY71</f>
        <v>86</v>
      </c>
      <c r="BZ72" s="46">
        <f t="shared" si="37"/>
        <v>-6</v>
      </c>
      <c r="CA72" s="316"/>
      <c r="CB72" s="120"/>
      <c r="CC72" s="7">
        <f>CC71</f>
        <v>10</v>
      </c>
      <c r="CD72" s="133"/>
      <c r="CE72" s="221"/>
      <c r="CF72" s="14">
        <f t="shared" si="88"/>
        <v>0</v>
      </c>
      <c r="CG72" s="62">
        <f t="shared" si="101"/>
        <v>0</v>
      </c>
      <c r="CH72" s="134"/>
      <c r="CI72" s="135"/>
      <c r="CJ72" s="135"/>
      <c r="CK72" s="14">
        <f t="shared" si="102"/>
        <v>0</v>
      </c>
      <c r="CL72" s="14">
        <f t="shared" si="92"/>
        <v>0</v>
      </c>
      <c r="CM72" s="14">
        <f t="shared" ref="CM72:CM103" si="278">VLOOKUP($CC72,PARAMETROCRIANZA,6,FALSE)</f>
        <v>0.16</v>
      </c>
      <c r="CN72" s="231">
        <f t="shared" si="39"/>
        <v>0</v>
      </c>
      <c r="CO72" s="37">
        <f t="shared" ref="CO72:CO103" si="279">VLOOKUP($CC72,PARAMETROCRIANZA,8,FALSE)</f>
        <v>3.2000000000000006</v>
      </c>
      <c r="CP72" s="155">
        <f t="shared" si="40"/>
        <v>0</v>
      </c>
      <c r="CQ72" s="145"/>
      <c r="CR72" s="13">
        <f t="shared" ref="CR72:CR103" si="280">VLOOKUP($CC72,PARAMETROCRIANZA,10,FALSE)</f>
        <v>49</v>
      </c>
      <c r="CS72" s="48">
        <f t="shared" si="65"/>
        <v>0</v>
      </c>
      <c r="CT72" s="73">
        <f t="shared" si="66"/>
        <v>0</v>
      </c>
      <c r="CU72" s="50">
        <f t="shared" ref="CU72:CU103" si="281">VLOOKUP($CC72,PARAMETROCRIANZA,2,FALSE)</f>
        <v>746</v>
      </c>
      <c r="CV72" s="103">
        <f>CV71</f>
        <v>0</v>
      </c>
      <c r="CW72" s="46">
        <f t="shared" si="127"/>
        <v>746</v>
      </c>
      <c r="CX72" s="51">
        <f t="shared" ref="CX72:CX133" si="282">VLOOKUP(CC72,PARAMETROCRIANZA,4,FALSE)</f>
        <v>80</v>
      </c>
      <c r="CY72" s="103">
        <f>CY71</f>
        <v>0</v>
      </c>
      <c r="CZ72" s="46">
        <f t="shared" si="43"/>
        <v>80</v>
      </c>
      <c r="DA72" s="316"/>
      <c r="DB72" s="120"/>
      <c r="DC72" s="7">
        <f>DC71</f>
        <v>10</v>
      </c>
      <c r="DD72" s="133"/>
      <c r="DE72" s="221"/>
      <c r="DF72" s="14">
        <f t="shared" si="70"/>
        <v>0</v>
      </c>
      <c r="DG72" s="62">
        <f t="shared" si="103"/>
        <v>0</v>
      </c>
      <c r="DH72" s="134"/>
      <c r="DI72" s="135"/>
      <c r="DJ72" s="135"/>
      <c r="DK72" s="14">
        <f t="shared" si="104"/>
        <v>0</v>
      </c>
      <c r="DL72" s="14">
        <f t="shared" si="89"/>
        <v>0</v>
      </c>
      <c r="DM72" s="14">
        <f t="shared" ref="DM72:DM103" si="283">VLOOKUP($DC72,PARAMETROCRIANZA,6,FALSE)</f>
        <v>0.16</v>
      </c>
      <c r="DN72" s="47">
        <f t="shared" si="45"/>
        <v>0</v>
      </c>
      <c r="DO72" s="35">
        <f t="shared" ref="DO72:DO103" si="284">VLOOKUP($DC72,PARAMETROCRIANZA,8,FALSE)</f>
        <v>3.2000000000000006</v>
      </c>
      <c r="DP72" s="159">
        <f t="shared" si="46"/>
        <v>0</v>
      </c>
      <c r="DQ72" s="145"/>
      <c r="DR72" s="13">
        <f t="shared" ref="DR72:DR103" si="285">VLOOKUP($DC72,PARAMETROCRIANZA,10,FALSE)</f>
        <v>49</v>
      </c>
      <c r="DS72" s="48">
        <f t="shared" si="82"/>
        <v>0</v>
      </c>
      <c r="DT72" s="73">
        <f t="shared" si="71"/>
        <v>0</v>
      </c>
      <c r="DU72" s="50">
        <f t="shared" ref="DU72:DU103" si="286">VLOOKUP($DC72,PARAMETROCRIANZA,2,FALSE)</f>
        <v>746</v>
      </c>
      <c r="DV72" s="103">
        <f>DV71</f>
        <v>0</v>
      </c>
      <c r="DW72" s="46">
        <f t="shared" si="128"/>
        <v>746</v>
      </c>
      <c r="DX72" s="51">
        <f t="shared" ref="DX72:DX133" si="287">VLOOKUP(DC72,PARAMETROCRIANZA,4,FALSE)</f>
        <v>80</v>
      </c>
      <c r="DY72" s="103">
        <f>DY71</f>
        <v>0</v>
      </c>
      <c r="DZ72" s="46">
        <f t="shared" si="74"/>
        <v>80</v>
      </c>
    </row>
    <row r="73" spans="2:130" x14ac:dyDescent="0.25">
      <c r="B73" s="120">
        <f t="shared" ref="B73:B83" si="288">B72+1</f>
        <v>5</v>
      </c>
      <c r="C73" s="115">
        <f t="shared" ref="C73:C77" si="289">C72</f>
        <v>10</v>
      </c>
      <c r="D73" s="133"/>
      <c r="E73" s="221"/>
      <c r="F73" s="103">
        <f t="shared" ref="F73:F133" si="290">IFERROR(G72+D73,0)</f>
        <v>93432</v>
      </c>
      <c r="G73" s="107">
        <f t="shared" si="93"/>
        <v>93424</v>
      </c>
      <c r="H73" s="134">
        <v>5</v>
      </c>
      <c r="I73" s="135">
        <v>3</v>
      </c>
      <c r="J73" s="135"/>
      <c r="K73" s="14">
        <f t="shared" si="94"/>
        <v>8</v>
      </c>
      <c r="L73" s="14">
        <f t="shared" si="90"/>
        <v>133</v>
      </c>
      <c r="M73" s="14">
        <f t="shared" si="264"/>
        <v>0.16</v>
      </c>
      <c r="N73" s="47">
        <f t="shared" ref="N73:N133" si="291">IFERROR((K73*1000)/F73,0)</f>
        <v>8.5623769158318347E-2</v>
      </c>
      <c r="O73" s="35">
        <f t="shared" ref="O73:O133" si="292">VLOOKUP($C73,PARAMETROCRIANZA,8,FALSE)</f>
        <v>3.2000000000000006</v>
      </c>
      <c r="P73" s="159">
        <f t="shared" ref="P73:P133" si="293">IFERROR((L73*100)/F73,0)</f>
        <v>0.14234951622570424</v>
      </c>
      <c r="Q73" s="142"/>
      <c r="R73" s="13">
        <f t="shared" ref="R73:R133" si="294">VLOOKUP($C73,PARAMETROCRIANZA,10,FALSE)</f>
        <v>49</v>
      </c>
      <c r="S73" s="48">
        <f t="shared" ref="S73:S133" si="295">IFERROR(Q73/F73,0)</f>
        <v>0</v>
      </c>
      <c r="T73" s="49">
        <f t="shared" ref="T73:T133" si="296">T72+S73</f>
        <v>0.11689245893777725</v>
      </c>
      <c r="U73" s="160">
        <f t="shared" si="265"/>
        <v>746</v>
      </c>
      <c r="V73" s="103">
        <f t="shared" ref="V73:V77" si="297">V72</f>
        <v>782</v>
      </c>
      <c r="W73" s="46">
        <f t="shared" si="266"/>
        <v>-36</v>
      </c>
      <c r="X73" s="51">
        <f t="shared" si="267"/>
        <v>80</v>
      </c>
      <c r="Y73" s="103">
        <f t="shared" ref="Y73:Y77" si="298">Y72</f>
        <v>86</v>
      </c>
      <c r="Z73" s="46">
        <f t="shared" ref="Z73:Z133" si="299">X73-Y73</f>
        <v>-6</v>
      </c>
      <c r="AB73" s="120">
        <f t="shared" ref="AB73:AB77" si="300">AB72+1</f>
        <v>7</v>
      </c>
      <c r="AC73" s="7">
        <f t="shared" ref="AC73:AC77" si="301">AC72</f>
        <v>10</v>
      </c>
      <c r="AD73" s="133"/>
      <c r="AE73" s="221"/>
      <c r="AF73" s="14">
        <f t="shared" ref="AF73:AF133" si="302">IFERROR(AG72+AD73,0)</f>
        <v>92020</v>
      </c>
      <c r="AG73" s="59">
        <f t="shared" si="96"/>
        <v>91999</v>
      </c>
      <c r="AH73" s="134">
        <v>17</v>
      </c>
      <c r="AI73" s="135">
        <v>4</v>
      </c>
      <c r="AJ73" s="135"/>
      <c r="AK73" s="14">
        <f t="shared" si="97"/>
        <v>21</v>
      </c>
      <c r="AL73" s="14">
        <f t="shared" si="84"/>
        <v>2741</v>
      </c>
      <c r="AM73" s="14">
        <f t="shared" si="268"/>
        <v>0.16</v>
      </c>
      <c r="AN73" s="47">
        <f t="shared" ref="AN73:AN133" si="303">IFERROR((AK73*1000)/AF73,0)</f>
        <v>0.22821125842208215</v>
      </c>
      <c r="AO73" s="35">
        <f t="shared" si="269"/>
        <v>3.2000000000000006</v>
      </c>
      <c r="AP73" s="159">
        <f t="shared" si="77"/>
        <v>2.9787002825472721</v>
      </c>
      <c r="AQ73" s="142"/>
      <c r="AR73" s="14">
        <f t="shared" si="270"/>
        <v>49</v>
      </c>
      <c r="AS73" s="35">
        <f t="shared" ref="AS73:AS133" si="304">IFERROR(AQ73/AF73,0)</f>
        <v>0</v>
      </c>
      <c r="AT73" s="301">
        <f t="shared" ref="AT73:AT133" si="305">AT72+AS73</f>
        <v>5.5413543607296042E-2</v>
      </c>
      <c r="AU73" s="14">
        <f t="shared" si="271"/>
        <v>746</v>
      </c>
      <c r="AV73" s="103">
        <f t="shared" ref="AV73:AV77" si="306">AV72</f>
        <v>784</v>
      </c>
      <c r="AW73" s="46">
        <f t="shared" si="125"/>
        <v>-38</v>
      </c>
      <c r="AX73" s="51">
        <f t="shared" si="272"/>
        <v>80</v>
      </c>
      <c r="AY73" s="103">
        <f t="shared" ref="AY73:AY77" si="307">AY72</f>
        <v>88</v>
      </c>
      <c r="AZ73" s="46">
        <f t="shared" ref="AZ73:AZ133" si="308">AX73-AY73</f>
        <v>-8</v>
      </c>
      <c r="BA73" s="316"/>
      <c r="BB73" s="120">
        <f t="shared" ref="BB73:BB77" si="309">BB72+1</f>
        <v>5</v>
      </c>
      <c r="BC73" s="7">
        <f t="shared" ref="BC73:BC77" si="310">BC72</f>
        <v>10</v>
      </c>
      <c r="BD73" s="133"/>
      <c r="BE73" s="221"/>
      <c r="BF73" s="14">
        <f t="shared" ref="BF73:BF133" si="311">IFERROR(BG72+BD73,0)</f>
        <v>95086</v>
      </c>
      <c r="BG73" s="59">
        <f t="shared" si="120"/>
        <v>95084</v>
      </c>
      <c r="BH73" s="134"/>
      <c r="BI73" s="135">
        <v>2</v>
      </c>
      <c r="BJ73" s="135"/>
      <c r="BK73" s="14">
        <f t="shared" si="99"/>
        <v>2</v>
      </c>
      <c r="BL73" s="14">
        <f t="shared" si="86"/>
        <v>5119</v>
      </c>
      <c r="BM73" s="14">
        <f t="shared" si="273"/>
        <v>0.16</v>
      </c>
      <c r="BN73" s="47">
        <f t="shared" ref="BN73:BN133" si="312">IFERROR((BK73*1000)/BF73,0)</f>
        <v>2.103359064425888E-2</v>
      </c>
      <c r="BO73" s="35">
        <f t="shared" si="274"/>
        <v>3.2000000000000006</v>
      </c>
      <c r="BP73" s="159">
        <f t="shared" ref="BP73:BP133" si="313">IFERROR((BL73*100)/BF73,0)</f>
        <v>5.3835475253980611</v>
      </c>
      <c r="BQ73" s="142"/>
      <c r="BR73" s="13">
        <f t="shared" si="275"/>
        <v>49</v>
      </c>
      <c r="BS73" s="48">
        <f t="shared" si="79"/>
        <v>0</v>
      </c>
      <c r="BT73" s="49">
        <f t="shared" ref="BT73:BT133" si="314">BT72+BS73</f>
        <v>7.2033724880284866E-2</v>
      </c>
      <c r="BU73" s="50">
        <f t="shared" si="276"/>
        <v>746</v>
      </c>
      <c r="BV73" s="103">
        <f t="shared" ref="BV73:BV77" si="315">BV72</f>
        <v>782</v>
      </c>
      <c r="BW73" s="46">
        <f t="shared" si="126"/>
        <v>-36</v>
      </c>
      <c r="BX73" s="51">
        <f t="shared" si="277"/>
        <v>80</v>
      </c>
      <c r="BY73" s="103">
        <f t="shared" ref="BY73:BY77" si="316">BY72</f>
        <v>86</v>
      </c>
      <c r="BZ73" s="46">
        <f t="shared" ref="BZ73:BZ133" si="317">BX73-BY73</f>
        <v>-6</v>
      </c>
      <c r="CA73" s="316"/>
      <c r="CB73" s="120"/>
      <c r="CC73" s="7">
        <f t="shared" ref="CC73:CC77" si="318">CC72</f>
        <v>10</v>
      </c>
      <c r="CD73" s="133"/>
      <c r="CE73" s="221"/>
      <c r="CF73" s="14">
        <f t="shared" ref="CF73:CF133" si="319">IFERROR(CG72+CD73,0)</f>
        <v>0</v>
      </c>
      <c r="CG73" s="59">
        <f t="shared" si="101"/>
        <v>0</v>
      </c>
      <c r="CH73" s="134"/>
      <c r="CI73" s="135"/>
      <c r="CJ73" s="135"/>
      <c r="CK73" s="14">
        <f t="shared" si="102"/>
        <v>0</v>
      </c>
      <c r="CL73" s="14">
        <f t="shared" si="92"/>
        <v>0</v>
      </c>
      <c r="CM73" s="14">
        <f t="shared" si="278"/>
        <v>0.16</v>
      </c>
      <c r="CN73" s="47">
        <f t="shared" ref="CN73:CN133" si="320">IFERROR((CK73*1000)/CF73,0)</f>
        <v>0</v>
      </c>
      <c r="CO73" s="35">
        <f t="shared" si="279"/>
        <v>3.2000000000000006</v>
      </c>
      <c r="CP73" s="159">
        <f t="shared" ref="CP73:CP133" si="321">IFERROR((CL73*100)/CF73,0)</f>
        <v>0</v>
      </c>
      <c r="CQ73" s="142"/>
      <c r="CR73" s="13">
        <f t="shared" si="280"/>
        <v>49</v>
      </c>
      <c r="CS73" s="48">
        <f t="shared" si="65"/>
        <v>0</v>
      </c>
      <c r="CT73" s="49">
        <f t="shared" ref="CT73:CT133" si="322">CT72+CS73</f>
        <v>0</v>
      </c>
      <c r="CU73" s="50">
        <f t="shared" si="281"/>
        <v>746</v>
      </c>
      <c r="CV73" s="103">
        <f t="shared" ref="CV73:CV77" si="323">CV72</f>
        <v>0</v>
      </c>
      <c r="CW73" s="46">
        <f t="shared" si="127"/>
        <v>746</v>
      </c>
      <c r="CX73" s="51">
        <f t="shared" si="282"/>
        <v>80</v>
      </c>
      <c r="CY73" s="103">
        <f t="shared" ref="CY73:CY77" si="324">CY72</f>
        <v>0</v>
      </c>
      <c r="CZ73" s="46">
        <f t="shared" ref="CZ73:CZ133" si="325">CX73-CY73</f>
        <v>80</v>
      </c>
      <c r="DA73" s="316"/>
      <c r="DB73" s="120"/>
      <c r="DC73" s="7">
        <f t="shared" ref="DC73:DC77" si="326">DC72</f>
        <v>10</v>
      </c>
      <c r="DD73" s="133"/>
      <c r="DE73" s="221"/>
      <c r="DF73" s="14">
        <f t="shared" ref="DF73:DF133" si="327">IFERROR(DG72+DD73,0)</f>
        <v>0</v>
      </c>
      <c r="DG73" s="59">
        <f t="shared" si="103"/>
        <v>0</v>
      </c>
      <c r="DH73" s="134"/>
      <c r="DI73" s="135"/>
      <c r="DJ73" s="135"/>
      <c r="DK73" s="14">
        <f t="shared" si="104"/>
        <v>0</v>
      </c>
      <c r="DL73" s="14">
        <f t="shared" si="89"/>
        <v>0</v>
      </c>
      <c r="DM73" s="14">
        <f t="shared" si="283"/>
        <v>0.16</v>
      </c>
      <c r="DN73" s="47">
        <f t="shared" ref="DN73:DN133" si="328">IFERROR((DK73*1000)/DF73,0)</f>
        <v>0</v>
      </c>
      <c r="DO73" s="35">
        <f t="shared" si="284"/>
        <v>3.2000000000000006</v>
      </c>
      <c r="DP73" s="159">
        <f t="shared" ref="DP73:DP133" si="329">IFERROR((DL73*100)/DF73,0)</f>
        <v>0</v>
      </c>
      <c r="DQ73" s="142"/>
      <c r="DR73" s="13">
        <f t="shared" si="285"/>
        <v>49</v>
      </c>
      <c r="DS73" s="48">
        <f t="shared" si="82"/>
        <v>0</v>
      </c>
      <c r="DT73" s="49">
        <f t="shared" ref="DT73:DT133" si="330">DT72+DS73</f>
        <v>0</v>
      </c>
      <c r="DU73" s="50">
        <f t="shared" si="286"/>
        <v>746</v>
      </c>
      <c r="DV73" s="103">
        <f t="shared" ref="DV73:DV77" si="331">DV72</f>
        <v>0</v>
      </c>
      <c r="DW73" s="46">
        <f t="shared" si="128"/>
        <v>746</v>
      </c>
      <c r="DX73" s="51">
        <f t="shared" si="287"/>
        <v>80</v>
      </c>
      <c r="DY73" s="103">
        <f t="shared" ref="DY73:DY77" si="332">DY72</f>
        <v>0</v>
      </c>
      <c r="DZ73" s="46">
        <f t="shared" ref="DZ73:DZ133" si="333">DX73-DY73</f>
        <v>80</v>
      </c>
    </row>
    <row r="74" spans="2:130" x14ac:dyDescent="0.25">
      <c r="B74" s="120">
        <f t="shared" si="288"/>
        <v>6</v>
      </c>
      <c r="C74" s="115">
        <f t="shared" si="289"/>
        <v>10</v>
      </c>
      <c r="D74" s="133"/>
      <c r="E74" s="221"/>
      <c r="F74" s="103">
        <f t="shared" si="290"/>
        <v>93424</v>
      </c>
      <c r="G74" s="107">
        <f t="shared" si="93"/>
        <v>93410</v>
      </c>
      <c r="H74" s="134">
        <v>12</v>
      </c>
      <c r="I74" s="135">
        <v>2</v>
      </c>
      <c r="J74" s="135"/>
      <c r="K74" s="14">
        <f t="shared" si="94"/>
        <v>14</v>
      </c>
      <c r="L74" s="14">
        <f t="shared" si="90"/>
        <v>147</v>
      </c>
      <c r="M74" s="14">
        <f t="shared" si="264"/>
        <v>0.16</v>
      </c>
      <c r="N74" s="47">
        <f t="shared" si="291"/>
        <v>0.14985442712793287</v>
      </c>
      <c r="O74" s="35">
        <f t="shared" si="292"/>
        <v>3.2000000000000006</v>
      </c>
      <c r="P74" s="159">
        <f t="shared" si="293"/>
        <v>0.15734714848432951</v>
      </c>
      <c r="Q74" s="142"/>
      <c r="R74" s="13">
        <f t="shared" si="294"/>
        <v>49</v>
      </c>
      <c r="S74" s="48">
        <f t="shared" si="295"/>
        <v>0</v>
      </c>
      <c r="T74" s="49">
        <f t="shared" si="296"/>
        <v>0.11689245893777725</v>
      </c>
      <c r="U74" s="160">
        <f t="shared" si="265"/>
        <v>746</v>
      </c>
      <c r="V74" s="103">
        <f t="shared" si="297"/>
        <v>782</v>
      </c>
      <c r="W74" s="46">
        <f t="shared" si="266"/>
        <v>-36</v>
      </c>
      <c r="X74" s="51">
        <f t="shared" si="267"/>
        <v>80</v>
      </c>
      <c r="Y74" s="103">
        <f t="shared" si="298"/>
        <v>86</v>
      </c>
      <c r="Z74" s="46">
        <f t="shared" si="299"/>
        <v>-6</v>
      </c>
      <c r="AB74" s="120">
        <f t="shared" si="300"/>
        <v>8</v>
      </c>
      <c r="AC74" s="7">
        <f t="shared" si="301"/>
        <v>10</v>
      </c>
      <c r="AD74" s="133"/>
      <c r="AE74" s="221"/>
      <c r="AF74" s="14">
        <f t="shared" si="302"/>
        <v>91999</v>
      </c>
      <c r="AG74" s="59">
        <f t="shared" si="96"/>
        <v>91978</v>
      </c>
      <c r="AH74" s="134">
        <v>15</v>
      </c>
      <c r="AI74" s="135">
        <v>6</v>
      </c>
      <c r="AJ74" s="135"/>
      <c r="AK74" s="14">
        <f t="shared" si="97"/>
        <v>21</v>
      </c>
      <c r="AL74" s="14">
        <f t="shared" si="84"/>
        <v>2762</v>
      </c>
      <c r="AM74" s="14">
        <f t="shared" si="268"/>
        <v>0.16</v>
      </c>
      <c r="AN74" s="47">
        <f t="shared" si="303"/>
        <v>0.22826335068859444</v>
      </c>
      <c r="AO74" s="35">
        <f t="shared" si="269"/>
        <v>3.2000000000000006</v>
      </c>
      <c r="AP74" s="159">
        <f t="shared" ref="AP74:AP133" si="334">IFERROR((AL74*100)/AF74,0)</f>
        <v>3.0022065457233231</v>
      </c>
      <c r="AQ74" s="142"/>
      <c r="AR74" s="14">
        <f t="shared" si="270"/>
        <v>49</v>
      </c>
      <c r="AS74" s="35">
        <f t="shared" si="304"/>
        <v>0</v>
      </c>
      <c r="AT74" s="301">
        <f t="shared" si="305"/>
        <v>5.5413543607296042E-2</v>
      </c>
      <c r="AU74" s="14">
        <f t="shared" si="271"/>
        <v>746</v>
      </c>
      <c r="AV74" s="103">
        <f t="shared" si="306"/>
        <v>784</v>
      </c>
      <c r="AW74" s="46">
        <f t="shared" si="125"/>
        <v>-38</v>
      </c>
      <c r="AX74" s="51">
        <f t="shared" si="272"/>
        <v>80</v>
      </c>
      <c r="AY74" s="103">
        <f t="shared" si="307"/>
        <v>88</v>
      </c>
      <c r="AZ74" s="46">
        <f t="shared" si="308"/>
        <v>-8</v>
      </c>
      <c r="BA74" s="316"/>
      <c r="BB74" s="120">
        <f t="shared" si="309"/>
        <v>6</v>
      </c>
      <c r="BC74" s="7">
        <f t="shared" si="310"/>
        <v>10</v>
      </c>
      <c r="BD74" s="133"/>
      <c r="BE74" s="221"/>
      <c r="BF74" s="14">
        <f t="shared" si="311"/>
        <v>95084</v>
      </c>
      <c r="BG74" s="59">
        <f t="shared" si="120"/>
        <v>95081</v>
      </c>
      <c r="BH74" s="134"/>
      <c r="BI74" s="135">
        <v>3</v>
      </c>
      <c r="BJ74" s="135"/>
      <c r="BK74" s="14">
        <f t="shared" si="99"/>
        <v>3</v>
      </c>
      <c r="BL74" s="14">
        <f t="shared" si="86"/>
        <v>5122</v>
      </c>
      <c r="BM74" s="14">
        <f t="shared" si="273"/>
        <v>0.16</v>
      </c>
      <c r="BN74" s="47">
        <f t="shared" si="312"/>
        <v>3.1551049598249968E-2</v>
      </c>
      <c r="BO74" s="35">
        <f t="shared" si="274"/>
        <v>3.2000000000000006</v>
      </c>
      <c r="BP74" s="159">
        <f t="shared" si="313"/>
        <v>5.386815868074545</v>
      </c>
      <c r="BQ74" s="142"/>
      <c r="BR74" s="13">
        <f t="shared" si="275"/>
        <v>49</v>
      </c>
      <c r="BS74" s="48">
        <f t="shared" si="79"/>
        <v>0</v>
      </c>
      <c r="BT74" s="68">
        <f t="shared" si="314"/>
        <v>7.2033724880284866E-2</v>
      </c>
      <c r="BU74" s="50">
        <f t="shared" si="276"/>
        <v>746</v>
      </c>
      <c r="BV74" s="103">
        <f t="shared" si="315"/>
        <v>782</v>
      </c>
      <c r="BW74" s="46">
        <f t="shared" si="126"/>
        <v>-36</v>
      </c>
      <c r="BX74" s="51">
        <f t="shared" si="277"/>
        <v>80</v>
      </c>
      <c r="BY74" s="103">
        <f t="shared" si="316"/>
        <v>86</v>
      </c>
      <c r="BZ74" s="46">
        <f t="shared" si="317"/>
        <v>-6</v>
      </c>
      <c r="CA74" s="316"/>
      <c r="CB74" s="120"/>
      <c r="CC74" s="7">
        <f t="shared" si="318"/>
        <v>10</v>
      </c>
      <c r="CD74" s="133"/>
      <c r="CE74" s="221"/>
      <c r="CF74" s="14">
        <f t="shared" si="319"/>
        <v>0</v>
      </c>
      <c r="CG74" s="59">
        <f t="shared" si="101"/>
        <v>0</v>
      </c>
      <c r="CH74" s="134"/>
      <c r="CI74" s="135"/>
      <c r="CJ74" s="135"/>
      <c r="CK74" s="14">
        <f t="shared" si="102"/>
        <v>0</v>
      </c>
      <c r="CL74" s="14">
        <f t="shared" si="92"/>
        <v>0</v>
      </c>
      <c r="CM74" s="14">
        <f t="shared" si="278"/>
        <v>0.16</v>
      </c>
      <c r="CN74" s="47">
        <f t="shared" si="320"/>
        <v>0</v>
      </c>
      <c r="CO74" s="35">
        <f t="shared" si="279"/>
        <v>3.2000000000000006</v>
      </c>
      <c r="CP74" s="159">
        <f t="shared" si="321"/>
        <v>0</v>
      </c>
      <c r="CQ74" s="142"/>
      <c r="CR74" s="13">
        <f t="shared" si="280"/>
        <v>49</v>
      </c>
      <c r="CS74" s="48">
        <f t="shared" ref="CS74:CS133" si="335">IFERROR(CQ74/CF74,0)</f>
        <v>0</v>
      </c>
      <c r="CT74" s="68">
        <f t="shared" si="322"/>
        <v>0</v>
      </c>
      <c r="CU74" s="50">
        <f t="shared" si="281"/>
        <v>746</v>
      </c>
      <c r="CV74" s="103">
        <f t="shared" si="323"/>
        <v>0</v>
      </c>
      <c r="CW74" s="46">
        <f t="shared" si="127"/>
        <v>746</v>
      </c>
      <c r="CX74" s="51">
        <f t="shared" si="282"/>
        <v>80</v>
      </c>
      <c r="CY74" s="103">
        <f t="shared" si="324"/>
        <v>0</v>
      </c>
      <c r="CZ74" s="46">
        <f t="shared" si="325"/>
        <v>80</v>
      </c>
      <c r="DA74" s="316"/>
      <c r="DB74" s="120"/>
      <c r="DC74" s="7">
        <f t="shared" si="326"/>
        <v>10</v>
      </c>
      <c r="DD74" s="133"/>
      <c r="DE74" s="221"/>
      <c r="DF74" s="14">
        <f t="shared" si="327"/>
        <v>0</v>
      </c>
      <c r="DG74" s="59">
        <f t="shared" si="103"/>
        <v>0</v>
      </c>
      <c r="DH74" s="134"/>
      <c r="DI74" s="135"/>
      <c r="DJ74" s="135"/>
      <c r="DK74" s="14">
        <f t="shared" si="104"/>
        <v>0</v>
      </c>
      <c r="DL74" s="14">
        <f t="shared" si="89"/>
        <v>0</v>
      </c>
      <c r="DM74" s="14">
        <f t="shared" si="283"/>
        <v>0.16</v>
      </c>
      <c r="DN74" s="47">
        <f t="shared" si="328"/>
        <v>0</v>
      </c>
      <c r="DO74" s="35">
        <f t="shared" si="284"/>
        <v>3.2000000000000006</v>
      </c>
      <c r="DP74" s="159">
        <f t="shared" si="329"/>
        <v>0</v>
      </c>
      <c r="DQ74" s="142"/>
      <c r="DR74" s="13">
        <f t="shared" si="285"/>
        <v>49</v>
      </c>
      <c r="DS74" s="48">
        <f t="shared" si="82"/>
        <v>0</v>
      </c>
      <c r="DT74" s="68">
        <f t="shared" si="330"/>
        <v>0</v>
      </c>
      <c r="DU74" s="50">
        <f t="shared" si="286"/>
        <v>746</v>
      </c>
      <c r="DV74" s="103">
        <f t="shared" si="331"/>
        <v>0</v>
      </c>
      <c r="DW74" s="46">
        <f t="shared" si="128"/>
        <v>746</v>
      </c>
      <c r="DX74" s="51">
        <f t="shared" si="287"/>
        <v>80</v>
      </c>
      <c r="DY74" s="103">
        <f t="shared" si="332"/>
        <v>0</v>
      </c>
      <c r="DZ74" s="46">
        <f t="shared" si="333"/>
        <v>80</v>
      </c>
    </row>
    <row r="75" spans="2:130" x14ac:dyDescent="0.25">
      <c r="B75" s="120">
        <f t="shared" si="288"/>
        <v>7</v>
      </c>
      <c r="C75" s="115">
        <f t="shared" si="289"/>
        <v>10</v>
      </c>
      <c r="D75" s="133"/>
      <c r="E75" s="221"/>
      <c r="F75" s="103">
        <f t="shared" si="290"/>
        <v>93410</v>
      </c>
      <c r="G75" s="107">
        <f t="shared" si="93"/>
        <v>93402</v>
      </c>
      <c r="H75" s="134">
        <v>6</v>
      </c>
      <c r="I75" s="135">
        <v>2</v>
      </c>
      <c r="J75" s="135"/>
      <c r="K75" s="14">
        <f t="shared" si="94"/>
        <v>8</v>
      </c>
      <c r="L75" s="14">
        <f t="shared" si="90"/>
        <v>155</v>
      </c>
      <c r="M75" s="14">
        <f t="shared" si="264"/>
        <v>0.16</v>
      </c>
      <c r="N75" s="47">
        <f t="shared" si="291"/>
        <v>8.5643935338828817E-2</v>
      </c>
      <c r="O75" s="35">
        <f t="shared" si="292"/>
        <v>3.2000000000000006</v>
      </c>
      <c r="P75" s="159">
        <f t="shared" si="293"/>
        <v>0.16593512471898084</v>
      </c>
      <c r="Q75" s="142"/>
      <c r="R75" s="14">
        <f t="shared" si="294"/>
        <v>49</v>
      </c>
      <c r="S75" s="48">
        <f t="shared" si="295"/>
        <v>0</v>
      </c>
      <c r="T75" s="49">
        <f t="shared" si="296"/>
        <v>0.11689245893777725</v>
      </c>
      <c r="U75" s="39">
        <f t="shared" si="265"/>
        <v>746</v>
      </c>
      <c r="V75" s="103">
        <f t="shared" si="297"/>
        <v>782</v>
      </c>
      <c r="W75" s="71">
        <f t="shared" si="266"/>
        <v>-36</v>
      </c>
      <c r="X75" s="61">
        <f t="shared" si="267"/>
        <v>80</v>
      </c>
      <c r="Y75" s="103">
        <f t="shared" si="298"/>
        <v>86</v>
      </c>
      <c r="Z75" s="71">
        <f t="shared" si="299"/>
        <v>-6</v>
      </c>
      <c r="AB75" s="120">
        <f t="shared" si="300"/>
        <v>9</v>
      </c>
      <c r="AC75" s="7">
        <f t="shared" si="301"/>
        <v>10</v>
      </c>
      <c r="AD75" s="133"/>
      <c r="AE75" s="221"/>
      <c r="AF75" s="14">
        <f t="shared" si="302"/>
        <v>91978</v>
      </c>
      <c r="AG75" s="59">
        <f t="shared" si="96"/>
        <v>91970</v>
      </c>
      <c r="AH75" s="134"/>
      <c r="AI75" s="135">
        <v>8</v>
      </c>
      <c r="AJ75" s="135"/>
      <c r="AK75" s="14">
        <f t="shared" si="97"/>
        <v>8</v>
      </c>
      <c r="AL75" s="14">
        <f t="shared" si="84"/>
        <v>2770</v>
      </c>
      <c r="AM75" s="14">
        <f t="shared" si="268"/>
        <v>0.16</v>
      </c>
      <c r="AN75" s="231">
        <f t="shared" si="303"/>
        <v>8.6977320663636962E-2</v>
      </c>
      <c r="AO75" s="37">
        <f t="shared" si="269"/>
        <v>3.2000000000000006</v>
      </c>
      <c r="AP75" s="155">
        <f t="shared" si="334"/>
        <v>3.0115897279784298</v>
      </c>
      <c r="AQ75" s="142"/>
      <c r="AR75" s="14">
        <f t="shared" si="270"/>
        <v>49</v>
      </c>
      <c r="AS75" s="35">
        <f t="shared" si="304"/>
        <v>0</v>
      </c>
      <c r="AT75" s="301">
        <f t="shared" si="305"/>
        <v>5.5413543607296042E-2</v>
      </c>
      <c r="AU75" s="14">
        <f t="shared" si="271"/>
        <v>746</v>
      </c>
      <c r="AV75" s="103">
        <f t="shared" si="306"/>
        <v>784</v>
      </c>
      <c r="AW75" s="71">
        <f t="shared" si="125"/>
        <v>-38</v>
      </c>
      <c r="AX75" s="61">
        <f t="shared" si="272"/>
        <v>80</v>
      </c>
      <c r="AY75" s="103">
        <f t="shared" si="307"/>
        <v>88</v>
      </c>
      <c r="AZ75" s="71">
        <f t="shared" si="308"/>
        <v>-8</v>
      </c>
      <c r="BA75" s="316"/>
      <c r="BB75" s="120">
        <f t="shared" si="309"/>
        <v>7</v>
      </c>
      <c r="BC75" s="7">
        <f t="shared" si="310"/>
        <v>10</v>
      </c>
      <c r="BD75" s="133"/>
      <c r="BE75" s="221"/>
      <c r="BF75" s="14">
        <f t="shared" si="311"/>
        <v>95081</v>
      </c>
      <c r="BG75" s="59">
        <f t="shared" si="120"/>
        <v>95076</v>
      </c>
      <c r="BH75" s="134"/>
      <c r="BI75" s="135">
        <v>5</v>
      </c>
      <c r="BJ75" s="135"/>
      <c r="BK75" s="14">
        <f t="shared" si="99"/>
        <v>5</v>
      </c>
      <c r="BL75" s="14">
        <f t="shared" si="86"/>
        <v>5127</v>
      </c>
      <c r="BM75" s="14">
        <f t="shared" si="273"/>
        <v>0.16</v>
      </c>
      <c r="BN75" s="47">
        <f t="shared" si="312"/>
        <v>5.258674183064966E-2</v>
      </c>
      <c r="BO75" s="35">
        <f t="shared" si="274"/>
        <v>3.2000000000000006</v>
      </c>
      <c r="BP75" s="159">
        <f t="shared" si="313"/>
        <v>5.3922445073148157</v>
      </c>
      <c r="BQ75" s="142"/>
      <c r="BR75" s="13">
        <f t="shared" si="275"/>
        <v>49</v>
      </c>
      <c r="BS75" s="48">
        <f t="shared" ref="BS75:BS133" si="336">IFERROR(BQ75/BF75,0)</f>
        <v>0</v>
      </c>
      <c r="BT75" s="68">
        <f t="shared" si="314"/>
        <v>7.2033724880284866E-2</v>
      </c>
      <c r="BU75" s="50">
        <f t="shared" si="276"/>
        <v>746</v>
      </c>
      <c r="BV75" s="103">
        <f t="shared" si="315"/>
        <v>782</v>
      </c>
      <c r="BW75" s="71">
        <f t="shared" si="126"/>
        <v>-36</v>
      </c>
      <c r="BX75" s="61">
        <f t="shared" si="277"/>
        <v>80</v>
      </c>
      <c r="BY75" s="103">
        <f t="shared" si="316"/>
        <v>86</v>
      </c>
      <c r="BZ75" s="71">
        <f t="shared" si="317"/>
        <v>-6</v>
      </c>
      <c r="CA75" s="316"/>
      <c r="CB75" s="120"/>
      <c r="CC75" s="7">
        <f t="shared" si="318"/>
        <v>10</v>
      </c>
      <c r="CD75" s="133"/>
      <c r="CE75" s="221"/>
      <c r="CF75" s="14">
        <f t="shared" si="319"/>
        <v>0</v>
      </c>
      <c r="CG75" s="59">
        <f t="shared" si="101"/>
        <v>0</v>
      </c>
      <c r="CH75" s="134"/>
      <c r="CI75" s="135"/>
      <c r="CJ75" s="135"/>
      <c r="CK75" s="14">
        <f t="shared" si="102"/>
        <v>0</v>
      </c>
      <c r="CL75" s="14">
        <f t="shared" si="92"/>
        <v>0</v>
      </c>
      <c r="CM75" s="14">
        <f t="shared" si="278"/>
        <v>0.16</v>
      </c>
      <c r="CN75" s="47">
        <f t="shared" si="320"/>
        <v>0</v>
      </c>
      <c r="CO75" s="35">
        <f t="shared" si="279"/>
        <v>3.2000000000000006</v>
      </c>
      <c r="CP75" s="159">
        <f t="shared" si="321"/>
        <v>0</v>
      </c>
      <c r="CQ75" s="142"/>
      <c r="CR75" s="13">
        <f t="shared" si="280"/>
        <v>49</v>
      </c>
      <c r="CS75" s="48">
        <f t="shared" si="335"/>
        <v>0</v>
      </c>
      <c r="CT75" s="68">
        <f t="shared" si="322"/>
        <v>0</v>
      </c>
      <c r="CU75" s="50">
        <f t="shared" si="281"/>
        <v>746</v>
      </c>
      <c r="CV75" s="103">
        <f t="shared" si="323"/>
        <v>0</v>
      </c>
      <c r="CW75" s="71">
        <f t="shared" si="127"/>
        <v>746</v>
      </c>
      <c r="CX75" s="61">
        <f t="shared" si="282"/>
        <v>80</v>
      </c>
      <c r="CY75" s="103">
        <f t="shared" si="324"/>
        <v>0</v>
      </c>
      <c r="CZ75" s="71">
        <f t="shared" si="325"/>
        <v>80</v>
      </c>
      <c r="DA75" s="316"/>
      <c r="DB75" s="120"/>
      <c r="DC75" s="7">
        <f t="shared" si="326"/>
        <v>10</v>
      </c>
      <c r="DD75" s="133"/>
      <c r="DE75" s="221"/>
      <c r="DF75" s="14">
        <f t="shared" si="327"/>
        <v>0</v>
      </c>
      <c r="DG75" s="59">
        <f t="shared" si="103"/>
        <v>0</v>
      </c>
      <c r="DH75" s="134"/>
      <c r="DI75" s="135"/>
      <c r="DJ75" s="135"/>
      <c r="DK75" s="14">
        <f t="shared" si="104"/>
        <v>0</v>
      </c>
      <c r="DL75" s="14">
        <f t="shared" si="89"/>
        <v>0</v>
      </c>
      <c r="DM75" s="14">
        <f t="shared" si="283"/>
        <v>0.16</v>
      </c>
      <c r="DN75" s="47">
        <f t="shared" si="328"/>
        <v>0</v>
      </c>
      <c r="DO75" s="35">
        <f t="shared" si="284"/>
        <v>3.2000000000000006</v>
      </c>
      <c r="DP75" s="159">
        <f t="shared" si="329"/>
        <v>0</v>
      </c>
      <c r="DQ75" s="142"/>
      <c r="DR75" s="13">
        <f t="shared" si="285"/>
        <v>49</v>
      </c>
      <c r="DS75" s="48">
        <f t="shared" ref="DS75:DS133" si="337">IFERROR(DQ75/DF75,0)</f>
        <v>0</v>
      </c>
      <c r="DT75" s="68">
        <f t="shared" si="330"/>
        <v>0</v>
      </c>
      <c r="DU75" s="50">
        <f t="shared" si="286"/>
        <v>746</v>
      </c>
      <c r="DV75" s="103">
        <f t="shared" si="331"/>
        <v>0</v>
      </c>
      <c r="DW75" s="71">
        <f t="shared" si="128"/>
        <v>746</v>
      </c>
      <c r="DX75" s="61">
        <f t="shared" si="287"/>
        <v>80</v>
      </c>
      <c r="DY75" s="103">
        <f t="shared" si="332"/>
        <v>0</v>
      </c>
      <c r="DZ75" s="71">
        <f t="shared" si="333"/>
        <v>80</v>
      </c>
    </row>
    <row r="76" spans="2:130" x14ac:dyDescent="0.25">
      <c r="B76" s="120">
        <f t="shared" si="288"/>
        <v>8</v>
      </c>
      <c r="C76" s="115">
        <f t="shared" si="289"/>
        <v>10</v>
      </c>
      <c r="D76" s="133"/>
      <c r="E76" s="221"/>
      <c r="F76" s="103">
        <f t="shared" si="290"/>
        <v>93402</v>
      </c>
      <c r="G76" s="107">
        <f t="shared" si="93"/>
        <v>93396</v>
      </c>
      <c r="H76" s="134"/>
      <c r="I76" s="135">
        <v>6</v>
      </c>
      <c r="J76" s="135"/>
      <c r="K76" s="14">
        <f t="shared" si="94"/>
        <v>6</v>
      </c>
      <c r="L76" s="14">
        <f t="shared" si="90"/>
        <v>161</v>
      </c>
      <c r="M76" s="14">
        <f t="shared" si="264"/>
        <v>0.16</v>
      </c>
      <c r="N76" s="47">
        <f t="shared" si="291"/>
        <v>6.4238453138048435E-2</v>
      </c>
      <c r="O76" s="35">
        <f t="shared" si="292"/>
        <v>3.2000000000000006</v>
      </c>
      <c r="P76" s="159">
        <f t="shared" si="293"/>
        <v>0.17237318258709663</v>
      </c>
      <c r="Q76" s="142"/>
      <c r="R76" s="17">
        <f t="shared" si="294"/>
        <v>49</v>
      </c>
      <c r="S76" s="48">
        <f t="shared" si="295"/>
        <v>0</v>
      </c>
      <c r="T76" s="49">
        <f t="shared" si="296"/>
        <v>0.11689245893777725</v>
      </c>
      <c r="U76" s="160">
        <f t="shared" si="265"/>
        <v>746</v>
      </c>
      <c r="V76" s="103">
        <f t="shared" si="297"/>
        <v>782</v>
      </c>
      <c r="W76" s="46">
        <f t="shared" si="266"/>
        <v>-36</v>
      </c>
      <c r="X76" s="51">
        <f t="shared" si="267"/>
        <v>80</v>
      </c>
      <c r="Y76" s="103">
        <f t="shared" si="298"/>
        <v>86</v>
      </c>
      <c r="Z76" s="46">
        <f t="shared" si="299"/>
        <v>-6</v>
      </c>
      <c r="AB76" s="120">
        <f t="shared" si="300"/>
        <v>10</v>
      </c>
      <c r="AC76" s="7">
        <f t="shared" si="301"/>
        <v>10</v>
      </c>
      <c r="AD76" s="133"/>
      <c r="AE76" s="221"/>
      <c r="AF76" s="14">
        <f t="shared" si="302"/>
        <v>91970</v>
      </c>
      <c r="AG76" s="59">
        <f t="shared" si="96"/>
        <v>91965</v>
      </c>
      <c r="AH76" s="134"/>
      <c r="AI76" s="135">
        <v>5</v>
      </c>
      <c r="AJ76" s="135"/>
      <c r="AK76" s="14">
        <f t="shared" si="97"/>
        <v>5</v>
      </c>
      <c r="AL76" s="14">
        <f t="shared" si="84"/>
        <v>2775</v>
      </c>
      <c r="AM76" s="14">
        <f t="shared" si="268"/>
        <v>0.16</v>
      </c>
      <c r="AN76" s="47">
        <f t="shared" si="303"/>
        <v>5.436555398499511E-2</v>
      </c>
      <c r="AO76" s="35">
        <f t="shared" si="269"/>
        <v>3.2000000000000006</v>
      </c>
      <c r="AP76" s="159">
        <f t="shared" si="334"/>
        <v>3.0172882461672286</v>
      </c>
      <c r="AQ76" s="142"/>
      <c r="AR76" s="14">
        <f t="shared" si="270"/>
        <v>49</v>
      </c>
      <c r="AS76" s="35">
        <f t="shared" si="304"/>
        <v>0</v>
      </c>
      <c r="AT76" s="301">
        <f t="shared" si="305"/>
        <v>5.5413543607296042E-2</v>
      </c>
      <c r="AU76" s="14">
        <f t="shared" si="271"/>
        <v>746</v>
      </c>
      <c r="AV76" s="103">
        <f t="shared" si="306"/>
        <v>784</v>
      </c>
      <c r="AW76" s="46">
        <f t="shared" si="125"/>
        <v>-38</v>
      </c>
      <c r="AX76" s="51">
        <f t="shared" si="272"/>
        <v>80</v>
      </c>
      <c r="AY76" s="103">
        <f t="shared" si="307"/>
        <v>88</v>
      </c>
      <c r="AZ76" s="46">
        <f t="shared" si="308"/>
        <v>-8</v>
      </c>
      <c r="BA76" s="316"/>
      <c r="BB76" s="120">
        <f t="shared" si="309"/>
        <v>8</v>
      </c>
      <c r="BC76" s="7">
        <f t="shared" si="310"/>
        <v>10</v>
      </c>
      <c r="BD76" s="133"/>
      <c r="BE76" s="221"/>
      <c r="BF76" s="14">
        <f t="shared" si="311"/>
        <v>95076</v>
      </c>
      <c r="BG76" s="59">
        <f t="shared" si="120"/>
        <v>95072</v>
      </c>
      <c r="BH76" s="134"/>
      <c r="BI76" s="135">
        <v>4</v>
      </c>
      <c r="BJ76" s="135"/>
      <c r="BK76" s="14">
        <f t="shared" si="99"/>
        <v>4</v>
      </c>
      <c r="BL76" s="14">
        <f t="shared" si="86"/>
        <v>5131</v>
      </c>
      <c r="BM76" s="14">
        <f t="shared" si="273"/>
        <v>0.16</v>
      </c>
      <c r="BN76" s="47">
        <f t="shared" si="312"/>
        <v>4.207160587319618E-2</v>
      </c>
      <c r="BO76" s="35">
        <f t="shared" si="274"/>
        <v>3.2000000000000006</v>
      </c>
      <c r="BP76" s="159">
        <f t="shared" si="313"/>
        <v>5.3967352433842404</v>
      </c>
      <c r="BQ76" s="142"/>
      <c r="BR76" s="13">
        <f t="shared" si="275"/>
        <v>49</v>
      </c>
      <c r="BS76" s="48">
        <f t="shared" si="336"/>
        <v>0</v>
      </c>
      <c r="BT76" s="49">
        <f t="shared" si="314"/>
        <v>7.2033724880284866E-2</v>
      </c>
      <c r="BU76" s="50">
        <f t="shared" si="276"/>
        <v>746</v>
      </c>
      <c r="BV76" s="103">
        <f t="shared" si="315"/>
        <v>782</v>
      </c>
      <c r="BW76" s="46">
        <f t="shared" si="126"/>
        <v>-36</v>
      </c>
      <c r="BX76" s="51">
        <f t="shared" si="277"/>
        <v>80</v>
      </c>
      <c r="BY76" s="103">
        <f t="shared" si="316"/>
        <v>86</v>
      </c>
      <c r="BZ76" s="46">
        <f t="shared" si="317"/>
        <v>-6</v>
      </c>
      <c r="CA76" s="316"/>
      <c r="CB76" s="120"/>
      <c r="CC76" s="7">
        <f t="shared" si="318"/>
        <v>10</v>
      </c>
      <c r="CD76" s="133"/>
      <c r="CE76" s="221"/>
      <c r="CF76" s="14">
        <f t="shared" si="319"/>
        <v>0</v>
      </c>
      <c r="CG76" s="59">
        <f t="shared" si="101"/>
        <v>0</v>
      </c>
      <c r="CH76" s="134"/>
      <c r="CI76" s="135"/>
      <c r="CJ76" s="135"/>
      <c r="CK76" s="14">
        <f t="shared" si="102"/>
        <v>0</v>
      </c>
      <c r="CL76" s="14">
        <f t="shared" si="92"/>
        <v>0</v>
      </c>
      <c r="CM76" s="14">
        <f t="shared" si="278"/>
        <v>0.16</v>
      </c>
      <c r="CN76" s="47">
        <f t="shared" si="320"/>
        <v>0</v>
      </c>
      <c r="CO76" s="35">
        <f t="shared" si="279"/>
        <v>3.2000000000000006</v>
      </c>
      <c r="CP76" s="159">
        <f t="shared" si="321"/>
        <v>0</v>
      </c>
      <c r="CQ76" s="142"/>
      <c r="CR76" s="13">
        <f t="shared" si="280"/>
        <v>49</v>
      </c>
      <c r="CS76" s="48">
        <f t="shared" si="335"/>
        <v>0</v>
      </c>
      <c r="CT76" s="49">
        <f t="shared" si="322"/>
        <v>0</v>
      </c>
      <c r="CU76" s="50">
        <f t="shared" si="281"/>
        <v>746</v>
      </c>
      <c r="CV76" s="103">
        <f t="shared" si="323"/>
        <v>0</v>
      </c>
      <c r="CW76" s="46">
        <f t="shared" si="127"/>
        <v>746</v>
      </c>
      <c r="CX76" s="51">
        <f t="shared" si="282"/>
        <v>80</v>
      </c>
      <c r="CY76" s="103">
        <f t="shared" si="324"/>
        <v>0</v>
      </c>
      <c r="CZ76" s="46">
        <f t="shared" si="325"/>
        <v>80</v>
      </c>
      <c r="DA76" s="316"/>
      <c r="DB76" s="120"/>
      <c r="DC76" s="7">
        <f t="shared" si="326"/>
        <v>10</v>
      </c>
      <c r="DD76" s="133"/>
      <c r="DE76" s="221"/>
      <c r="DF76" s="14">
        <f t="shared" si="327"/>
        <v>0</v>
      </c>
      <c r="DG76" s="59">
        <f t="shared" si="103"/>
        <v>0</v>
      </c>
      <c r="DH76" s="134"/>
      <c r="DI76" s="135"/>
      <c r="DJ76" s="135"/>
      <c r="DK76" s="14">
        <f t="shared" si="104"/>
        <v>0</v>
      </c>
      <c r="DL76" s="14">
        <f t="shared" si="89"/>
        <v>0</v>
      </c>
      <c r="DM76" s="14">
        <f t="shared" si="283"/>
        <v>0.16</v>
      </c>
      <c r="DN76" s="47">
        <f t="shared" si="328"/>
        <v>0</v>
      </c>
      <c r="DO76" s="35">
        <f t="shared" si="284"/>
        <v>3.2000000000000006</v>
      </c>
      <c r="DP76" s="159">
        <f t="shared" si="329"/>
        <v>0</v>
      </c>
      <c r="DQ76" s="142"/>
      <c r="DR76" s="13">
        <f t="shared" si="285"/>
        <v>49</v>
      </c>
      <c r="DS76" s="48">
        <f t="shared" si="337"/>
        <v>0</v>
      </c>
      <c r="DT76" s="49">
        <f t="shared" si="330"/>
        <v>0</v>
      </c>
      <c r="DU76" s="50">
        <f t="shared" si="286"/>
        <v>746</v>
      </c>
      <c r="DV76" s="103">
        <f t="shared" si="331"/>
        <v>0</v>
      </c>
      <c r="DW76" s="46">
        <f t="shared" si="128"/>
        <v>746</v>
      </c>
      <c r="DX76" s="51">
        <f t="shared" si="287"/>
        <v>80</v>
      </c>
      <c r="DY76" s="103">
        <f t="shared" si="332"/>
        <v>0</v>
      </c>
      <c r="DZ76" s="46">
        <f t="shared" si="333"/>
        <v>80</v>
      </c>
    </row>
    <row r="77" spans="2:130" ht="17.25" thickBot="1" x14ac:dyDescent="0.3">
      <c r="B77" s="120">
        <f t="shared" si="288"/>
        <v>9</v>
      </c>
      <c r="C77" s="116">
        <f t="shared" si="289"/>
        <v>10</v>
      </c>
      <c r="D77" s="136"/>
      <c r="E77" s="226"/>
      <c r="F77" s="109">
        <f t="shared" si="290"/>
        <v>93396</v>
      </c>
      <c r="G77" s="105">
        <f t="shared" si="93"/>
        <v>93394</v>
      </c>
      <c r="H77" s="137"/>
      <c r="I77" s="138">
        <v>2</v>
      </c>
      <c r="J77" s="138"/>
      <c r="K77" s="34">
        <f t="shared" si="94"/>
        <v>2</v>
      </c>
      <c r="L77" s="34">
        <f t="shared" ref="L77:L133" si="338">L76+K77</f>
        <v>163</v>
      </c>
      <c r="M77" s="34">
        <f t="shared" si="264"/>
        <v>0.16</v>
      </c>
      <c r="N77" s="96">
        <f t="shared" si="291"/>
        <v>2.141419332733736E-2</v>
      </c>
      <c r="O77" s="40">
        <f t="shared" si="292"/>
        <v>3.2000000000000006</v>
      </c>
      <c r="P77" s="156">
        <f t="shared" si="293"/>
        <v>0.17452567561779947</v>
      </c>
      <c r="Q77" s="139"/>
      <c r="R77" s="15">
        <f t="shared" si="294"/>
        <v>49</v>
      </c>
      <c r="S77" s="54">
        <f t="shared" si="295"/>
        <v>0</v>
      </c>
      <c r="T77" s="55">
        <f t="shared" si="296"/>
        <v>0.11689245893777725</v>
      </c>
      <c r="U77" s="15">
        <f t="shared" si="265"/>
        <v>746</v>
      </c>
      <c r="V77" s="109">
        <f t="shared" si="297"/>
        <v>782</v>
      </c>
      <c r="W77" s="63">
        <f t="shared" si="266"/>
        <v>-36</v>
      </c>
      <c r="X77" s="65">
        <f t="shared" si="267"/>
        <v>80</v>
      </c>
      <c r="Y77" s="109">
        <f t="shared" si="298"/>
        <v>86</v>
      </c>
      <c r="Z77" s="63">
        <f t="shared" si="299"/>
        <v>-6</v>
      </c>
      <c r="AB77" s="197">
        <f t="shared" si="300"/>
        <v>11</v>
      </c>
      <c r="AC77" s="8">
        <f t="shared" si="301"/>
        <v>10</v>
      </c>
      <c r="AD77" s="136"/>
      <c r="AE77" s="226"/>
      <c r="AF77" s="32">
        <f t="shared" si="302"/>
        <v>91965</v>
      </c>
      <c r="AG77" s="53">
        <f t="shared" si="96"/>
        <v>91959</v>
      </c>
      <c r="AH77" s="137"/>
      <c r="AI77" s="138">
        <v>6</v>
      </c>
      <c r="AJ77" s="138"/>
      <c r="AK77" s="34">
        <f t="shared" si="97"/>
        <v>6</v>
      </c>
      <c r="AL77" s="34">
        <f t="shared" ref="AL77:AL133" si="339">AL76+AK77</f>
        <v>2781</v>
      </c>
      <c r="AM77" s="32">
        <f t="shared" si="268"/>
        <v>0.16</v>
      </c>
      <c r="AN77" s="96">
        <f t="shared" si="303"/>
        <v>6.5242211710977008E-2</v>
      </c>
      <c r="AO77" s="36">
        <f t="shared" si="269"/>
        <v>3.2000000000000006</v>
      </c>
      <c r="AP77" s="156">
        <f t="shared" si="334"/>
        <v>3.0239765128037841</v>
      </c>
      <c r="AQ77" s="139"/>
      <c r="AR77" s="32">
        <f t="shared" si="270"/>
        <v>49</v>
      </c>
      <c r="AS77" s="36">
        <f t="shared" si="304"/>
        <v>0</v>
      </c>
      <c r="AT77" s="304">
        <f t="shared" si="305"/>
        <v>5.5413543607296042E-2</v>
      </c>
      <c r="AU77" s="32">
        <f t="shared" si="271"/>
        <v>746</v>
      </c>
      <c r="AV77" s="109">
        <f t="shared" si="306"/>
        <v>784</v>
      </c>
      <c r="AW77" s="63">
        <f t="shared" si="125"/>
        <v>-38</v>
      </c>
      <c r="AX77" s="65">
        <f t="shared" si="272"/>
        <v>80</v>
      </c>
      <c r="AY77" s="109">
        <f t="shared" si="307"/>
        <v>88</v>
      </c>
      <c r="AZ77" s="63">
        <f t="shared" si="308"/>
        <v>-8</v>
      </c>
      <c r="BA77" s="316"/>
      <c r="BB77" s="197">
        <f t="shared" si="309"/>
        <v>9</v>
      </c>
      <c r="BC77" s="8">
        <f t="shared" si="310"/>
        <v>10</v>
      </c>
      <c r="BD77" s="136"/>
      <c r="BE77" s="226"/>
      <c r="BF77" s="32">
        <f t="shared" si="311"/>
        <v>95072</v>
      </c>
      <c r="BG77" s="53">
        <f t="shared" si="120"/>
        <v>95068</v>
      </c>
      <c r="BH77" s="137"/>
      <c r="BI77" s="138">
        <v>4</v>
      </c>
      <c r="BJ77" s="138"/>
      <c r="BK77" s="34">
        <f t="shared" si="99"/>
        <v>4</v>
      </c>
      <c r="BL77" s="34">
        <f t="shared" ref="BL77:BL133" si="340">BL76+BK77</f>
        <v>5135</v>
      </c>
      <c r="BM77" s="32">
        <f t="shared" si="273"/>
        <v>0.16</v>
      </c>
      <c r="BN77" s="96">
        <f t="shared" si="312"/>
        <v>4.2073375967687648E-2</v>
      </c>
      <c r="BO77" s="36">
        <f t="shared" si="274"/>
        <v>3.2000000000000006</v>
      </c>
      <c r="BP77" s="156">
        <f t="shared" si="313"/>
        <v>5.4011696398519016</v>
      </c>
      <c r="BQ77" s="139"/>
      <c r="BR77" s="32">
        <f t="shared" si="275"/>
        <v>49</v>
      </c>
      <c r="BS77" s="54">
        <f t="shared" si="336"/>
        <v>0</v>
      </c>
      <c r="BT77" s="55">
        <f t="shared" si="314"/>
        <v>7.2033724880284866E-2</v>
      </c>
      <c r="BU77" s="56">
        <f t="shared" si="276"/>
        <v>746</v>
      </c>
      <c r="BV77" s="109">
        <f t="shared" si="315"/>
        <v>782</v>
      </c>
      <c r="BW77" s="63">
        <f t="shared" si="126"/>
        <v>-36</v>
      </c>
      <c r="BX77" s="65">
        <f t="shared" si="277"/>
        <v>80</v>
      </c>
      <c r="BY77" s="109">
        <f t="shared" si="316"/>
        <v>86</v>
      </c>
      <c r="BZ77" s="63">
        <f t="shared" si="317"/>
        <v>-6</v>
      </c>
      <c r="CA77" s="316"/>
      <c r="CB77" s="119"/>
      <c r="CC77" s="95">
        <f t="shared" si="318"/>
        <v>10</v>
      </c>
      <c r="CD77" s="203"/>
      <c r="CE77" s="225"/>
      <c r="CF77" s="13">
        <f t="shared" si="319"/>
        <v>0</v>
      </c>
      <c r="CG77" s="59">
        <f t="shared" si="101"/>
        <v>0</v>
      </c>
      <c r="CH77" s="204"/>
      <c r="CI77" s="205"/>
      <c r="CJ77" s="205"/>
      <c r="CK77" s="31">
        <f t="shared" si="102"/>
        <v>0</v>
      </c>
      <c r="CL77" s="31">
        <f t="shared" ref="CL77:CL133" si="341">CL76+CK77</f>
        <v>0</v>
      </c>
      <c r="CM77" s="13">
        <f t="shared" si="278"/>
        <v>0.16</v>
      </c>
      <c r="CN77" s="230">
        <f t="shared" si="320"/>
        <v>0</v>
      </c>
      <c r="CO77" s="161">
        <f t="shared" si="279"/>
        <v>3.2000000000000006</v>
      </c>
      <c r="CP77" s="157">
        <f t="shared" si="321"/>
        <v>0</v>
      </c>
      <c r="CQ77" s="237"/>
      <c r="CR77" s="13">
        <f t="shared" si="280"/>
        <v>49</v>
      </c>
      <c r="CS77" s="67">
        <f t="shared" si="335"/>
        <v>0</v>
      </c>
      <c r="CT77" s="196">
        <f t="shared" si="322"/>
        <v>0</v>
      </c>
      <c r="CU77" s="50">
        <f t="shared" si="281"/>
        <v>746</v>
      </c>
      <c r="CV77" s="202">
        <f t="shared" si="323"/>
        <v>0</v>
      </c>
      <c r="CW77" s="62">
        <f t="shared" si="127"/>
        <v>746</v>
      </c>
      <c r="CX77" s="52">
        <f t="shared" si="282"/>
        <v>80</v>
      </c>
      <c r="CY77" s="202">
        <f t="shared" si="324"/>
        <v>0</v>
      </c>
      <c r="CZ77" s="62">
        <f t="shared" si="325"/>
        <v>80</v>
      </c>
      <c r="DA77" s="316"/>
      <c r="DB77" s="197"/>
      <c r="DC77" s="8">
        <f t="shared" si="326"/>
        <v>10</v>
      </c>
      <c r="DD77" s="136"/>
      <c r="DE77" s="226"/>
      <c r="DF77" s="32">
        <f t="shared" si="327"/>
        <v>0</v>
      </c>
      <c r="DG77" s="53">
        <f t="shared" si="103"/>
        <v>0</v>
      </c>
      <c r="DH77" s="137"/>
      <c r="DI77" s="138"/>
      <c r="DJ77" s="138"/>
      <c r="DK77" s="34">
        <f t="shared" si="104"/>
        <v>0</v>
      </c>
      <c r="DL77" s="34">
        <f t="shared" ref="DL77:DL133" si="342">DL76+DK77</f>
        <v>0</v>
      </c>
      <c r="DM77" s="32">
        <f t="shared" si="283"/>
        <v>0.16</v>
      </c>
      <c r="DN77" s="96">
        <f t="shared" si="328"/>
        <v>0</v>
      </c>
      <c r="DO77" s="36">
        <f t="shared" si="284"/>
        <v>3.2000000000000006</v>
      </c>
      <c r="DP77" s="156">
        <f t="shared" si="329"/>
        <v>0</v>
      </c>
      <c r="DQ77" s="139"/>
      <c r="DR77" s="32">
        <f t="shared" si="285"/>
        <v>49</v>
      </c>
      <c r="DS77" s="54">
        <f t="shared" si="337"/>
        <v>0</v>
      </c>
      <c r="DT77" s="55">
        <f t="shared" si="330"/>
        <v>0</v>
      </c>
      <c r="DU77" s="56">
        <f t="shared" si="286"/>
        <v>746</v>
      </c>
      <c r="DV77" s="109">
        <f t="shared" si="331"/>
        <v>0</v>
      </c>
      <c r="DW77" s="63">
        <f t="shared" si="128"/>
        <v>746</v>
      </c>
      <c r="DX77" s="65">
        <f t="shared" si="287"/>
        <v>80</v>
      </c>
      <c r="DY77" s="109">
        <f t="shared" si="332"/>
        <v>0</v>
      </c>
      <c r="DZ77" s="63">
        <f t="shared" si="333"/>
        <v>80</v>
      </c>
    </row>
    <row r="78" spans="2:130" x14ac:dyDescent="0.25">
      <c r="B78" s="120">
        <f t="shared" si="288"/>
        <v>10</v>
      </c>
      <c r="C78" s="117">
        <v>11</v>
      </c>
      <c r="D78" s="143"/>
      <c r="E78" s="227"/>
      <c r="F78" s="112">
        <f t="shared" si="290"/>
        <v>93394</v>
      </c>
      <c r="G78" s="113">
        <f t="shared" si="93"/>
        <v>93390</v>
      </c>
      <c r="H78" s="144"/>
      <c r="I78" s="141">
        <v>4</v>
      </c>
      <c r="J78" s="141"/>
      <c r="K78" s="17">
        <f t="shared" si="94"/>
        <v>4</v>
      </c>
      <c r="L78" s="17">
        <f t="shared" si="338"/>
        <v>167</v>
      </c>
      <c r="M78" s="17">
        <f t="shared" si="264"/>
        <v>0.16</v>
      </c>
      <c r="N78" s="235">
        <f t="shared" si="291"/>
        <v>4.2829303809666576E-2</v>
      </c>
      <c r="O78" s="33">
        <f t="shared" si="292"/>
        <v>3.3600000000000008</v>
      </c>
      <c r="P78" s="210">
        <f t="shared" si="293"/>
        <v>0.17881234340535795</v>
      </c>
      <c r="Q78" s="145"/>
      <c r="R78" s="12">
        <f t="shared" si="294"/>
        <v>51</v>
      </c>
      <c r="S78" s="60">
        <f t="shared" si="295"/>
        <v>0</v>
      </c>
      <c r="T78" s="72">
        <f t="shared" si="296"/>
        <v>0.11689245893777725</v>
      </c>
      <c r="U78" s="39">
        <f t="shared" si="265"/>
        <v>824</v>
      </c>
      <c r="V78" s="141">
        <v>828</v>
      </c>
      <c r="W78" s="71">
        <f t="shared" si="266"/>
        <v>-4</v>
      </c>
      <c r="X78" s="61">
        <f t="shared" si="267"/>
        <v>80</v>
      </c>
      <c r="Y78" s="141">
        <v>88</v>
      </c>
      <c r="Z78" s="71">
        <f t="shared" si="299"/>
        <v>-8</v>
      </c>
      <c r="AB78" s="198">
        <v>12</v>
      </c>
      <c r="AC78" s="38">
        <v>11</v>
      </c>
      <c r="AD78" s="143"/>
      <c r="AE78" s="227"/>
      <c r="AF78" s="17">
        <f t="shared" si="302"/>
        <v>91959</v>
      </c>
      <c r="AG78" s="71">
        <f t="shared" si="96"/>
        <v>91954</v>
      </c>
      <c r="AH78" s="144"/>
      <c r="AI78" s="141">
        <v>5</v>
      </c>
      <c r="AJ78" s="141"/>
      <c r="AK78" s="17">
        <f t="shared" si="97"/>
        <v>5</v>
      </c>
      <c r="AL78" s="17">
        <f t="shared" si="339"/>
        <v>2786</v>
      </c>
      <c r="AM78" s="17">
        <f t="shared" si="268"/>
        <v>0.16</v>
      </c>
      <c r="AN78" s="235">
        <f t="shared" si="303"/>
        <v>5.4372057112408792E-2</v>
      </c>
      <c r="AO78" s="33">
        <f t="shared" si="269"/>
        <v>3.3600000000000008</v>
      </c>
      <c r="AP78" s="210">
        <f t="shared" si="334"/>
        <v>3.0296110223034178</v>
      </c>
      <c r="AQ78" s="145"/>
      <c r="AR78" s="17">
        <f t="shared" si="270"/>
        <v>51</v>
      </c>
      <c r="AS78" s="33">
        <f t="shared" si="304"/>
        <v>0</v>
      </c>
      <c r="AT78" s="305">
        <f t="shared" si="305"/>
        <v>5.5413543607296042E-2</v>
      </c>
      <c r="AU78" s="17">
        <f t="shared" si="271"/>
        <v>824</v>
      </c>
      <c r="AV78" s="141">
        <v>834</v>
      </c>
      <c r="AW78" s="71">
        <f t="shared" si="125"/>
        <v>-10</v>
      </c>
      <c r="AX78" s="61">
        <f t="shared" si="272"/>
        <v>80</v>
      </c>
      <c r="AY78" s="141">
        <v>88</v>
      </c>
      <c r="AZ78" s="71">
        <f t="shared" si="308"/>
        <v>-8</v>
      </c>
      <c r="BA78" s="316"/>
      <c r="BB78" s="198">
        <v>10</v>
      </c>
      <c r="BC78" s="38">
        <v>11</v>
      </c>
      <c r="BD78" s="143"/>
      <c r="BE78" s="227"/>
      <c r="BF78" s="17">
        <f t="shared" si="311"/>
        <v>95068</v>
      </c>
      <c r="BG78" s="71">
        <f t="shared" si="120"/>
        <v>95065</v>
      </c>
      <c r="BH78" s="144"/>
      <c r="BI78" s="141">
        <v>3</v>
      </c>
      <c r="BJ78" s="141"/>
      <c r="BK78" s="17">
        <f t="shared" si="99"/>
        <v>3</v>
      </c>
      <c r="BL78" s="17">
        <f t="shared" si="340"/>
        <v>5138</v>
      </c>
      <c r="BM78" s="17">
        <f t="shared" si="273"/>
        <v>0.16</v>
      </c>
      <c r="BN78" s="235">
        <f t="shared" si="312"/>
        <v>3.1556359658349811E-2</v>
      </c>
      <c r="BO78" s="33">
        <f t="shared" si="274"/>
        <v>3.3600000000000008</v>
      </c>
      <c r="BP78" s="210">
        <f t="shared" si="313"/>
        <v>5.4045525308200446</v>
      </c>
      <c r="BQ78" s="145"/>
      <c r="BR78" s="31">
        <f t="shared" si="275"/>
        <v>51</v>
      </c>
      <c r="BS78" s="60">
        <f t="shared" si="336"/>
        <v>0</v>
      </c>
      <c r="BT78" s="72">
        <f t="shared" si="314"/>
        <v>7.2033724880284866E-2</v>
      </c>
      <c r="BU78" s="52">
        <f t="shared" si="276"/>
        <v>824</v>
      </c>
      <c r="BV78" s="141">
        <v>828</v>
      </c>
      <c r="BW78" s="71">
        <f t="shared" si="126"/>
        <v>-4</v>
      </c>
      <c r="BX78" s="61">
        <f t="shared" si="277"/>
        <v>80</v>
      </c>
      <c r="BY78" s="141">
        <v>88</v>
      </c>
      <c r="BZ78" s="71">
        <f t="shared" si="317"/>
        <v>-8</v>
      </c>
      <c r="CA78" s="316"/>
      <c r="CB78" s="118"/>
      <c r="CC78" s="9">
        <v>11</v>
      </c>
      <c r="CD78" s="129"/>
      <c r="CE78" s="224"/>
      <c r="CF78" s="11">
        <f t="shared" si="319"/>
        <v>0</v>
      </c>
      <c r="CG78" s="41">
        <f t="shared" si="101"/>
        <v>0</v>
      </c>
      <c r="CH78" s="130"/>
      <c r="CI78" s="131"/>
      <c r="CJ78" s="131"/>
      <c r="CK78" s="11">
        <f t="shared" si="102"/>
        <v>0</v>
      </c>
      <c r="CL78" s="11">
        <f t="shared" si="341"/>
        <v>0</v>
      </c>
      <c r="CM78" s="11">
        <f t="shared" si="278"/>
        <v>0.16</v>
      </c>
      <c r="CN78" s="42">
        <f t="shared" si="320"/>
        <v>0</v>
      </c>
      <c r="CO78" s="21">
        <f t="shared" si="279"/>
        <v>3.3600000000000008</v>
      </c>
      <c r="CP78" s="165">
        <f t="shared" si="321"/>
        <v>0</v>
      </c>
      <c r="CQ78" s="158"/>
      <c r="CR78" s="16">
        <f t="shared" si="280"/>
        <v>51</v>
      </c>
      <c r="CS78" s="43">
        <f t="shared" si="335"/>
        <v>0</v>
      </c>
      <c r="CT78" s="44">
        <f t="shared" si="322"/>
        <v>0</v>
      </c>
      <c r="CU78" s="45">
        <f t="shared" si="281"/>
        <v>824</v>
      </c>
      <c r="CV78" s="131"/>
      <c r="CW78" s="41">
        <f t="shared" si="127"/>
        <v>824</v>
      </c>
      <c r="CX78" s="58">
        <f t="shared" si="282"/>
        <v>80</v>
      </c>
      <c r="CY78" s="131"/>
      <c r="CZ78" s="41">
        <f t="shared" si="325"/>
        <v>80</v>
      </c>
      <c r="DA78" s="316"/>
      <c r="DB78" s="198"/>
      <c r="DC78" s="38">
        <v>11</v>
      </c>
      <c r="DD78" s="143"/>
      <c r="DE78" s="227"/>
      <c r="DF78" s="17">
        <f t="shared" si="327"/>
        <v>0</v>
      </c>
      <c r="DG78" s="71">
        <f t="shared" si="103"/>
        <v>0</v>
      </c>
      <c r="DH78" s="144"/>
      <c r="DI78" s="141"/>
      <c r="DJ78" s="141"/>
      <c r="DK78" s="17">
        <f t="shared" si="104"/>
        <v>0</v>
      </c>
      <c r="DL78" s="17">
        <f t="shared" si="342"/>
        <v>0</v>
      </c>
      <c r="DM78" s="17">
        <f t="shared" si="283"/>
        <v>0.16</v>
      </c>
      <c r="DN78" s="235">
        <f t="shared" si="328"/>
        <v>0</v>
      </c>
      <c r="DO78" s="33">
        <f t="shared" si="284"/>
        <v>3.3600000000000008</v>
      </c>
      <c r="DP78" s="210">
        <f t="shared" si="329"/>
        <v>0</v>
      </c>
      <c r="DQ78" s="145"/>
      <c r="DR78" s="31">
        <f t="shared" si="285"/>
        <v>51</v>
      </c>
      <c r="DS78" s="60">
        <f t="shared" si="337"/>
        <v>0</v>
      </c>
      <c r="DT78" s="72">
        <f t="shared" si="330"/>
        <v>0</v>
      </c>
      <c r="DU78" s="52">
        <f t="shared" si="286"/>
        <v>824</v>
      </c>
      <c r="DV78" s="141"/>
      <c r="DW78" s="71">
        <f t="shared" si="128"/>
        <v>824</v>
      </c>
      <c r="DX78" s="61">
        <f t="shared" si="287"/>
        <v>80</v>
      </c>
      <c r="DY78" s="141"/>
      <c r="DZ78" s="71">
        <f t="shared" si="333"/>
        <v>80</v>
      </c>
    </row>
    <row r="79" spans="2:130" x14ac:dyDescent="0.25">
      <c r="B79" s="120">
        <f t="shared" si="288"/>
        <v>11</v>
      </c>
      <c r="C79" s="115">
        <f>C78</f>
        <v>11</v>
      </c>
      <c r="D79" s="133"/>
      <c r="E79" s="221"/>
      <c r="F79" s="103">
        <f t="shared" si="290"/>
        <v>93390</v>
      </c>
      <c r="G79" s="104">
        <f t="shared" ref="G79:G133" si="343">IFERROR(F79-K79,0)</f>
        <v>93387</v>
      </c>
      <c r="H79" s="134"/>
      <c r="I79" s="135">
        <v>3</v>
      </c>
      <c r="J79" s="135"/>
      <c r="K79" s="14">
        <f t="shared" ref="K79:K133" si="344">SUM(H79:J79)</f>
        <v>3</v>
      </c>
      <c r="L79" s="14">
        <f t="shared" si="338"/>
        <v>170</v>
      </c>
      <c r="M79" s="14">
        <f t="shared" si="264"/>
        <v>0.16</v>
      </c>
      <c r="N79" s="47">
        <f t="shared" si="291"/>
        <v>3.2123353678123995E-2</v>
      </c>
      <c r="O79" s="35">
        <f t="shared" si="292"/>
        <v>3.3600000000000008</v>
      </c>
      <c r="P79" s="159">
        <f t="shared" si="293"/>
        <v>0.18203233750936931</v>
      </c>
      <c r="Q79" s="142"/>
      <c r="R79" s="13">
        <f t="shared" si="294"/>
        <v>51</v>
      </c>
      <c r="S79" s="48">
        <f t="shared" si="295"/>
        <v>0</v>
      </c>
      <c r="T79" s="49">
        <f t="shared" si="296"/>
        <v>0.11689245893777725</v>
      </c>
      <c r="U79" s="160">
        <f t="shared" si="265"/>
        <v>824</v>
      </c>
      <c r="V79" s="103">
        <f>V78</f>
        <v>828</v>
      </c>
      <c r="W79" s="46">
        <f t="shared" si="266"/>
        <v>-4</v>
      </c>
      <c r="X79" s="51">
        <f t="shared" si="267"/>
        <v>80</v>
      </c>
      <c r="Y79" s="103">
        <f>Y78</f>
        <v>88</v>
      </c>
      <c r="Z79" s="46">
        <f t="shared" si="299"/>
        <v>-8</v>
      </c>
      <c r="AB79" s="120">
        <f>AB78+1</f>
        <v>13</v>
      </c>
      <c r="AC79" s="7">
        <f>AC78</f>
        <v>11</v>
      </c>
      <c r="AD79" s="133"/>
      <c r="AE79" s="221"/>
      <c r="AF79" s="14">
        <f t="shared" si="302"/>
        <v>91954</v>
      </c>
      <c r="AG79" s="46">
        <f t="shared" ref="AG79:AG133" si="345">IFERROR(AF79-AK79,0)</f>
        <v>91947</v>
      </c>
      <c r="AH79" s="134">
        <v>2</v>
      </c>
      <c r="AI79" s="135">
        <v>5</v>
      </c>
      <c r="AJ79" s="135"/>
      <c r="AK79" s="14">
        <f t="shared" ref="AK79:AK133" si="346">SUM(AH79:AJ79)</f>
        <v>7</v>
      </c>
      <c r="AL79" s="14">
        <f t="shared" si="339"/>
        <v>2793</v>
      </c>
      <c r="AM79" s="14">
        <f t="shared" si="268"/>
        <v>0.16</v>
      </c>
      <c r="AN79" s="47">
        <f t="shared" si="303"/>
        <v>7.6125019031254751E-2</v>
      </c>
      <c r="AO79" s="35">
        <f t="shared" si="269"/>
        <v>3.3600000000000008</v>
      </c>
      <c r="AP79" s="159">
        <f t="shared" si="334"/>
        <v>3.0373882593470647</v>
      </c>
      <c r="AQ79" s="142"/>
      <c r="AR79" s="14">
        <f t="shared" si="270"/>
        <v>51</v>
      </c>
      <c r="AS79" s="35">
        <f t="shared" si="304"/>
        <v>0</v>
      </c>
      <c r="AT79" s="301">
        <f t="shared" si="305"/>
        <v>5.5413543607296042E-2</v>
      </c>
      <c r="AU79" s="14">
        <f t="shared" si="271"/>
        <v>824</v>
      </c>
      <c r="AV79" s="103">
        <f>AV78</f>
        <v>834</v>
      </c>
      <c r="AW79" s="46">
        <f t="shared" si="125"/>
        <v>-10</v>
      </c>
      <c r="AX79" s="51">
        <f t="shared" si="272"/>
        <v>80</v>
      </c>
      <c r="AY79" s="103">
        <f>AY78</f>
        <v>88</v>
      </c>
      <c r="AZ79" s="46">
        <f t="shared" si="308"/>
        <v>-8</v>
      </c>
      <c r="BA79" s="316"/>
      <c r="BB79" s="120">
        <f>BB78+1</f>
        <v>11</v>
      </c>
      <c r="BC79" s="7">
        <f>BC78</f>
        <v>11</v>
      </c>
      <c r="BD79" s="133"/>
      <c r="BE79" s="221"/>
      <c r="BF79" s="14">
        <f t="shared" si="311"/>
        <v>95065</v>
      </c>
      <c r="BG79" s="46">
        <f t="shared" ref="BG79:BG133" si="347">IFERROR(BF79-BK79,0)</f>
        <v>95062</v>
      </c>
      <c r="BH79" s="134"/>
      <c r="BI79" s="135">
        <v>3</v>
      </c>
      <c r="BJ79" s="135"/>
      <c r="BK79" s="14">
        <f t="shared" ref="BK79:BK133" si="348">SUM(BH79:BJ79)</f>
        <v>3</v>
      </c>
      <c r="BL79" s="14">
        <f t="shared" si="340"/>
        <v>5141</v>
      </c>
      <c r="BM79" s="14">
        <f t="shared" si="273"/>
        <v>0.16</v>
      </c>
      <c r="BN79" s="47">
        <f t="shared" si="312"/>
        <v>3.1557355493609635E-2</v>
      </c>
      <c r="BO79" s="35">
        <f t="shared" si="274"/>
        <v>3.3600000000000008</v>
      </c>
      <c r="BP79" s="159">
        <f t="shared" si="313"/>
        <v>5.4078788197549041</v>
      </c>
      <c r="BQ79" s="142"/>
      <c r="BR79" s="13">
        <f t="shared" si="275"/>
        <v>51</v>
      </c>
      <c r="BS79" s="48">
        <f t="shared" si="336"/>
        <v>0</v>
      </c>
      <c r="BT79" s="49">
        <f t="shared" si="314"/>
        <v>7.2033724880284866E-2</v>
      </c>
      <c r="BU79" s="50">
        <f t="shared" si="276"/>
        <v>824</v>
      </c>
      <c r="BV79" s="103">
        <f>BV78</f>
        <v>828</v>
      </c>
      <c r="BW79" s="46">
        <f t="shared" si="126"/>
        <v>-4</v>
      </c>
      <c r="BX79" s="51">
        <f t="shared" si="277"/>
        <v>80</v>
      </c>
      <c r="BY79" s="103">
        <f>BY78</f>
        <v>88</v>
      </c>
      <c r="BZ79" s="46">
        <f t="shared" si="317"/>
        <v>-8</v>
      </c>
      <c r="CA79" s="316"/>
      <c r="CB79" s="120"/>
      <c r="CC79" s="7">
        <f>CC78</f>
        <v>11</v>
      </c>
      <c r="CD79" s="133"/>
      <c r="CE79" s="221"/>
      <c r="CF79" s="14">
        <f t="shared" si="319"/>
        <v>0</v>
      </c>
      <c r="CG79" s="46">
        <f t="shared" ref="CG79:CG133" si="349">IFERROR(CF79-CK79,0)</f>
        <v>0</v>
      </c>
      <c r="CH79" s="134"/>
      <c r="CI79" s="135"/>
      <c r="CJ79" s="135"/>
      <c r="CK79" s="14">
        <f t="shared" ref="CK79:CK133" si="350">SUM(CH79:CJ79)</f>
        <v>0</v>
      </c>
      <c r="CL79" s="14">
        <f t="shared" si="341"/>
        <v>0</v>
      </c>
      <c r="CM79" s="14">
        <f t="shared" si="278"/>
        <v>0.16</v>
      </c>
      <c r="CN79" s="47">
        <f t="shared" si="320"/>
        <v>0</v>
      </c>
      <c r="CO79" s="35">
        <f t="shared" si="279"/>
        <v>3.3600000000000008</v>
      </c>
      <c r="CP79" s="159">
        <f t="shared" si="321"/>
        <v>0</v>
      </c>
      <c r="CQ79" s="142"/>
      <c r="CR79" s="13">
        <f t="shared" si="280"/>
        <v>51</v>
      </c>
      <c r="CS79" s="48">
        <f t="shared" si="335"/>
        <v>0</v>
      </c>
      <c r="CT79" s="49">
        <f t="shared" si="322"/>
        <v>0</v>
      </c>
      <c r="CU79" s="50">
        <f t="shared" si="281"/>
        <v>824</v>
      </c>
      <c r="CV79" s="103">
        <f>CV78</f>
        <v>0</v>
      </c>
      <c r="CW79" s="46">
        <f t="shared" si="127"/>
        <v>824</v>
      </c>
      <c r="CX79" s="51">
        <f t="shared" si="282"/>
        <v>80</v>
      </c>
      <c r="CY79" s="103">
        <f>CY78</f>
        <v>0</v>
      </c>
      <c r="CZ79" s="46">
        <f t="shared" si="325"/>
        <v>80</v>
      </c>
      <c r="DA79" s="316"/>
      <c r="DB79" s="120"/>
      <c r="DC79" s="7">
        <f>DC78</f>
        <v>11</v>
      </c>
      <c r="DD79" s="133"/>
      <c r="DE79" s="221"/>
      <c r="DF79" s="14">
        <f t="shared" si="327"/>
        <v>0</v>
      </c>
      <c r="DG79" s="46">
        <f t="shared" ref="DG79:DG133" si="351">IFERROR(DF79-DK79,0)</f>
        <v>0</v>
      </c>
      <c r="DH79" s="134"/>
      <c r="DI79" s="135"/>
      <c r="DJ79" s="135"/>
      <c r="DK79" s="14">
        <f t="shared" ref="DK79:DK133" si="352">SUM(DH79:DJ79)</f>
        <v>0</v>
      </c>
      <c r="DL79" s="14">
        <f t="shared" si="342"/>
        <v>0</v>
      </c>
      <c r="DM79" s="14">
        <f t="shared" si="283"/>
        <v>0.16</v>
      </c>
      <c r="DN79" s="47">
        <f t="shared" si="328"/>
        <v>0</v>
      </c>
      <c r="DO79" s="35">
        <f t="shared" si="284"/>
        <v>3.3600000000000008</v>
      </c>
      <c r="DP79" s="159">
        <f t="shared" si="329"/>
        <v>0</v>
      </c>
      <c r="DQ79" s="142"/>
      <c r="DR79" s="13">
        <f t="shared" si="285"/>
        <v>51</v>
      </c>
      <c r="DS79" s="48">
        <f t="shared" si="337"/>
        <v>0</v>
      </c>
      <c r="DT79" s="49">
        <f t="shared" si="330"/>
        <v>0</v>
      </c>
      <c r="DU79" s="50">
        <f t="shared" si="286"/>
        <v>824</v>
      </c>
      <c r="DV79" s="103">
        <f>DV78</f>
        <v>0</v>
      </c>
      <c r="DW79" s="46">
        <f t="shared" si="128"/>
        <v>824</v>
      </c>
      <c r="DX79" s="51">
        <f t="shared" si="287"/>
        <v>80</v>
      </c>
      <c r="DY79" s="103">
        <f>DY78</f>
        <v>0</v>
      </c>
      <c r="DZ79" s="46">
        <f t="shared" si="333"/>
        <v>80</v>
      </c>
    </row>
    <row r="80" spans="2:130" x14ac:dyDescent="0.25">
      <c r="B80" s="120">
        <f t="shared" si="288"/>
        <v>12</v>
      </c>
      <c r="C80" s="115">
        <f t="shared" ref="C80:C84" si="353">C79</f>
        <v>11</v>
      </c>
      <c r="D80" s="133"/>
      <c r="E80" s="221"/>
      <c r="F80" s="103">
        <f t="shared" si="290"/>
        <v>93387</v>
      </c>
      <c r="G80" s="108">
        <f t="shared" si="343"/>
        <v>93383</v>
      </c>
      <c r="H80" s="134"/>
      <c r="I80" s="135">
        <v>4</v>
      </c>
      <c r="J80" s="135"/>
      <c r="K80" s="14">
        <f t="shared" si="344"/>
        <v>4</v>
      </c>
      <c r="L80" s="14">
        <f t="shared" si="338"/>
        <v>174</v>
      </c>
      <c r="M80" s="14">
        <f t="shared" si="264"/>
        <v>0.16</v>
      </c>
      <c r="N80" s="47">
        <f t="shared" si="291"/>
        <v>4.2832514161499996E-2</v>
      </c>
      <c r="O80" s="35">
        <f t="shared" si="292"/>
        <v>3.3600000000000008</v>
      </c>
      <c r="P80" s="159">
        <f t="shared" si="293"/>
        <v>0.18632143660252498</v>
      </c>
      <c r="Q80" s="142"/>
      <c r="R80" s="13">
        <f t="shared" si="294"/>
        <v>51</v>
      </c>
      <c r="S80" s="48">
        <f t="shared" si="295"/>
        <v>0</v>
      </c>
      <c r="T80" s="49">
        <f t="shared" si="296"/>
        <v>0.11689245893777725</v>
      </c>
      <c r="U80" s="160">
        <f t="shared" si="265"/>
        <v>824</v>
      </c>
      <c r="V80" s="103">
        <f t="shared" ref="V80:V84" si="354">V79</f>
        <v>828</v>
      </c>
      <c r="W80" s="46">
        <f t="shared" si="266"/>
        <v>-4</v>
      </c>
      <c r="X80" s="51">
        <f t="shared" si="267"/>
        <v>80</v>
      </c>
      <c r="Y80" s="103">
        <f t="shared" ref="Y80:Y84" si="355">Y79</f>
        <v>88</v>
      </c>
      <c r="Z80" s="46">
        <f t="shared" si="299"/>
        <v>-8</v>
      </c>
      <c r="AB80" s="120">
        <f t="shared" ref="AB80:AB84" si="356">AB79+1</f>
        <v>14</v>
      </c>
      <c r="AC80" s="7">
        <f t="shared" ref="AC80:AC84" si="357">AC79</f>
        <v>11</v>
      </c>
      <c r="AD80" s="133"/>
      <c r="AE80" s="221"/>
      <c r="AF80" s="14">
        <f t="shared" si="302"/>
        <v>91947</v>
      </c>
      <c r="AG80" s="62">
        <f t="shared" si="345"/>
        <v>91942</v>
      </c>
      <c r="AH80" s="134"/>
      <c r="AI80" s="135">
        <v>5</v>
      </c>
      <c r="AJ80" s="135"/>
      <c r="AK80" s="14">
        <f t="shared" si="346"/>
        <v>5</v>
      </c>
      <c r="AL80" s="14">
        <f t="shared" si="339"/>
        <v>2798</v>
      </c>
      <c r="AM80" s="14">
        <f t="shared" si="268"/>
        <v>0.16</v>
      </c>
      <c r="AN80" s="47">
        <f t="shared" si="303"/>
        <v>5.4379153207826249E-2</v>
      </c>
      <c r="AO80" s="35">
        <f t="shared" si="269"/>
        <v>3.3600000000000008</v>
      </c>
      <c r="AP80" s="159">
        <f t="shared" si="334"/>
        <v>3.0430574135099566</v>
      </c>
      <c r="AQ80" s="142"/>
      <c r="AR80" s="14">
        <f t="shared" si="270"/>
        <v>51</v>
      </c>
      <c r="AS80" s="35">
        <f t="shared" si="304"/>
        <v>0</v>
      </c>
      <c r="AT80" s="301">
        <f t="shared" si="305"/>
        <v>5.5413543607296042E-2</v>
      </c>
      <c r="AU80" s="14">
        <f t="shared" si="271"/>
        <v>824</v>
      </c>
      <c r="AV80" s="103">
        <f t="shared" ref="AV80:AV84" si="358">AV79</f>
        <v>834</v>
      </c>
      <c r="AW80" s="46">
        <f t="shared" si="125"/>
        <v>-10</v>
      </c>
      <c r="AX80" s="51">
        <f t="shared" si="272"/>
        <v>80</v>
      </c>
      <c r="AY80" s="103">
        <f t="shared" ref="AY80:AY84" si="359">AY79</f>
        <v>88</v>
      </c>
      <c r="AZ80" s="46">
        <f t="shared" si="308"/>
        <v>-8</v>
      </c>
      <c r="BA80" s="316"/>
      <c r="BB80" s="120">
        <f t="shared" ref="BB80:BB84" si="360">BB79+1</f>
        <v>12</v>
      </c>
      <c r="BC80" s="7">
        <f t="shared" ref="BC80:BC84" si="361">BC79</f>
        <v>11</v>
      </c>
      <c r="BD80" s="133"/>
      <c r="BE80" s="221"/>
      <c r="BF80" s="14">
        <f t="shared" si="311"/>
        <v>95062</v>
      </c>
      <c r="BG80" s="62">
        <f t="shared" si="347"/>
        <v>95057</v>
      </c>
      <c r="BH80" s="134"/>
      <c r="BI80" s="135">
        <v>5</v>
      </c>
      <c r="BJ80" s="135"/>
      <c r="BK80" s="14">
        <f t="shared" si="348"/>
        <v>5</v>
      </c>
      <c r="BL80" s="14">
        <f t="shared" si="340"/>
        <v>5146</v>
      </c>
      <c r="BM80" s="14">
        <f t="shared" si="273"/>
        <v>0.16</v>
      </c>
      <c r="BN80" s="47">
        <f t="shared" si="312"/>
        <v>5.259725231953883E-2</v>
      </c>
      <c r="BO80" s="35">
        <f t="shared" si="274"/>
        <v>3.3600000000000008</v>
      </c>
      <c r="BP80" s="159">
        <f t="shared" si="313"/>
        <v>5.4133092087269361</v>
      </c>
      <c r="BQ80" s="142"/>
      <c r="BR80" s="13">
        <f t="shared" si="275"/>
        <v>51</v>
      </c>
      <c r="BS80" s="48">
        <f t="shared" si="336"/>
        <v>0</v>
      </c>
      <c r="BT80" s="49">
        <f t="shared" si="314"/>
        <v>7.2033724880284866E-2</v>
      </c>
      <c r="BU80" s="50">
        <f t="shared" si="276"/>
        <v>824</v>
      </c>
      <c r="BV80" s="103">
        <f t="shared" ref="BV80:BV84" si="362">BV79</f>
        <v>828</v>
      </c>
      <c r="BW80" s="46">
        <f t="shared" si="126"/>
        <v>-4</v>
      </c>
      <c r="BX80" s="51">
        <f t="shared" si="277"/>
        <v>80</v>
      </c>
      <c r="BY80" s="103">
        <f t="shared" ref="BY80:BY84" si="363">BY79</f>
        <v>88</v>
      </c>
      <c r="BZ80" s="46">
        <f t="shared" si="317"/>
        <v>-8</v>
      </c>
      <c r="CA80" s="316"/>
      <c r="CB80" s="120"/>
      <c r="CC80" s="7">
        <f t="shared" ref="CC80:CC84" si="364">CC79</f>
        <v>11</v>
      </c>
      <c r="CD80" s="133"/>
      <c r="CE80" s="221"/>
      <c r="CF80" s="14">
        <f t="shared" si="319"/>
        <v>0</v>
      </c>
      <c r="CG80" s="62">
        <f t="shared" si="349"/>
        <v>0</v>
      </c>
      <c r="CH80" s="134"/>
      <c r="CI80" s="135"/>
      <c r="CJ80" s="135"/>
      <c r="CK80" s="14">
        <f t="shared" si="350"/>
        <v>0</v>
      </c>
      <c r="CL80" s="14">
        <f t="shared" si="341"/>
        <v>0</v>
      </c>
      <c r="CM80" s="14">
        <f t="shared" si="278"/>
        <v>0.16</v>
      </c>
      <c r="CN80" s="47">
        <f t="shared" si="320"/>
        <v>0</v>
      </c>
      <c r="CO80" s="35">
        <f t="shared" si="279"/>
        <v>3.3600000000000008</v>
      </c>
      <c r="CP80" s="159">
        <f t="shared" si="321"/>
        <v>0</v>
      </c>
      <c r="CQ80" s="142"/>
      <c r="CR80" s="13">
        <f t="shared" si="280"/>
        <v>51</v>
      </c>
      <c r="CS80" s="48">
        <f t="shared" si="335"/>
        <v>0</v>
      </c>
      <c r="CT80" s="49">
        <f t="shared" si="322"/>
        <v>0</v>
      </c>
      <c r="CU80" s="50">
        <f t="shared" si="281"/>
        <v>824</v>
      </c>
      <c r="CV80" s="103">
        <f t="shared" ref="CV80:CV84" si="365">CV79</f>
        <v>0</v>
      </c>
      <c r="CW80" s="46">
        <f t="shared" si="127"/>
        <v>824</v>
      </c>
      <c r="CX80" s="51">
        <f t="shared" si="282"/>
        <v>80</v>
      </c>
      <c r="CY80" s="103">
        <f t="shared" ref="CY80:CY84" si="366">CY79</f>
        <v>0</v>
      </c>
      <c r="CZ80" s="46">
        <f t="shared" si="325"/>
        <v>80</v>
      </c>
      <c r="DA80" s="316"/>
      <c r="DB80" s="120"/>
      <c r="DC80" s="7">
        <f t="shared" ref="DC80:DC84" si="367">DC79</f>
        <v>11</v>
      </c>
      <c r="DD80" s="133"/>
      <c r="DE80" s="221"/>
      <c r="DF80" s="14">
        <f t="shared" si="327"/>
        <v>0</v>
      </c>
      <c r="DG80" s="62">
        <f t="shared" si="351"/>
        <v>0</v>
      </c>
      <c r="DH80" s="134"/>
      <c r="DI80" s="135"/>
      <c r="DJ80" s="135"/>
      <c r="DK80" s="14">
        <f t="shared" si="352"/>
        <v>0</v>
      </c>
      <c r="DL80" s="14">
        <f t="shared" si="342"/>
        <v>0</v>
      </c>
      <c r="DM80" s="14">
        <f t="shared" si="283"/>
        <v>0.16</v>
      </c>
      <c r="DN80" s="47">
        <f t="shared" si="328"/>
        <v>0</v>
      </c>
      <c r="DO80" s="35">
        <f t="shared" si="284"/>
        <v>3.3600000000000008</v>
      </c>
      <c r="DP80" s="159">
        <f t="shared" si="329"/>
        <v>0</v>
      </c>
      <c r="DQ80" s="142"/>
      <c r="DR80" s="13">
        <f t="shared" si="285"/>
        <v>51</v>
      </c>
      <c r="DS80" s="48">
        <f t="shared" si="337"/>
        <v>0</v>
      </c>
      <c r="DT80" s="49">
        <f t="shared" si="330"/>
        <v>0</v>
      </c>
      <c r="DU80" s="50">
        <f t="shared" si="286"/>
        <v>824</v>
      </c>
      <c r="DV80" s="103">
        <f t="shared" ref="DV80:DV84" si="368">DV79</f>
        <v>0</v>
      </c>
      <c r="DW80" s="46">
        <f t="shared" si="128"/>
        <v>824</v>
      </c>
      <c r="DX80" s="51">
        <f t="shared" si="287"/>
        <v>80</v>
      </c>
      <c r="DY80" s="103">
        <f t="shared" ref="DY80:DY84" si="369">DY79</f>
        <v>0</v>
      </c>
      <c r="DZ80" s="46">
        <f t="shared" si="333"/>
        <v>80</v>
      </c>
    </row>
    <row r="81" spans="1:130" x14ac:dyDescent="0.25">
      <c r="A81" s="168" t="s">
        <v>83</v>
      </c>
      <c r="B81" s="169">
        <f t="shared" si="288"/>
        <v>13</v>
      </c>
      <c r="C81" s="216">
        <f t="shared" si="353"/>
        <v>11</v>
      </c>
      <c r="D81" s="171"/>
      <c r="E81" s="220"/>
      <c r="F81" s="178">
        <f t="shared" si="290"/>
        <v>93383</v>
      </c>
      <c r="G81" s="219">
        <f t="shared" si="343"/>
        <v>93380</v>
      </c>
      <c r="H81" s="174"/>
      <c r="I81" s="175">
        <v>3</v>
      </c>
      <c r="J81" s="175"/>
      <c r="K81" s="172">
        <f t="shared" si="344"/>
        <v>3</v>
      </c>
      <c r="L81" s="172">
        <f t="shared" si="338"/>
        <v>177</v>
      </c>
      <c r="M81" s="172">
        <f t="shared" si="264"/>
        <v>0.16</v>
      </c>
      <c r="N81" s="232">
        <f t="shared" si="291"/>
        <v>3.2125761648265742E-2</v>
      </c>
      <c r="O81" s="176">
        <f t="shared" si="292"/>
        <v>3.3600000000000008</v>
      </c>
      <c r="P81" s="238">
        <f t="shared" si="293"/>
        <v>0.1895419937247679</v>
      </c>
      <c r="Q81" s="234"/>
      <c r="R81" s="172">
        <f t="shared" si="294"/>
        <v>51</v>
      </c>
      <c r="S81" s="177">
        <f t="shared" si="295"/>
        <v>0</v>
      </c>
      <c r="T81" s="200">
        <f t="shared" si="296"/>
        <v>0.11689245893777725</v>
      </c>
      <c r="U81" s="218">
        <f t="shared" si="265"/>
        <v>824</v>
      </c>
      <c r="V81" s="178">
        <f t="shared" si="354"/>
        <v>828</v>
      </c>
      <c r="W81" s="173">
        <f t="shared" si="266"/>
        <v>-4</v>
      </c>
      <c r="X81" s="179">
        <f t="shared" si="267"/>
        <v>80</v>
      </c>
      <c r="Y81" s="178">
        <f t="shared" si="355"/>
        <v>88</v>
      </c>
      <c r="Z81" s="201">
        <f t="shared" si="299"/>
        <v>-8</v>
      </c>
      <c r="AB81" s="120">
        <f t="shared" si="356"/>
        <v>15</v>
      </c>
      <c r="AC81" s="7">
        <f t="shared" si="357"/>
        <v>11</v>
      </c>
      <c r="AD81" s="133"/>
      <c r="AE81" s="221"/>
      <c r="AF81" s="14">
        <f t="shared" si="302"/>
        <v>91942</v>
      </c>
      <c r="AG81" s="59">
        <f t="shared" si="345"/>
        <v>91938</v>
      </c>
      <c r="AH81" s="134"/>
      <c r="AI81" s="135">
        <v>4</v>
      </c>
      <c r="AJ81" s="135"/>
      <c r="AK81" s="14">
        <f t="shared" si="346"/>
        <v>4</v>
      </c>
      <c r="AL81" s="14">
        <f t="shared" si="339"/>
        <v>2802</v>
      </c>
      <c r="AM81" s="14">
        <f t="shared" si="268"/>
        <v>0.16</v>
      </c>
      <c r="AN81" s="47">
        <f t="shared" si="303"/>
        <v>4.3505688368754215E-2</v>
      </c>
      <c r="AO81" s="35">
        <f t="shared" si="269"/>
        <v>3.3600000000000008</v>
      </c>
      <c r="AP81" s="159">
        <f t="shared" si="334"/>
        <v>3.0475734702312329</v>
      </c>
      <c r="AQ81" s="142"/>
      <c r="AR81" s="14">
        <f t="shared" si="270"/>
        <v>51</v>
      </c>
      <c r="AS81" s="35">
        <f t="shared" si="304"/>
        <v>0</v>
      </c>
      <c r="AT81" s="301">
        <f t="shared" si="305"/>
        <v>5.5413543607296042E-2</v>
      </c>
      <c r="AU81" s="14">
        <f t="shared" si="271"/>
        <v>824</v>
      </c>
      <c r="AV81" s="103">
        <f t="shared" si="358"/>
        <v>834</v>
      </c>
      <c r="AW81" s="46">
        <f t="shared" si="125"/>
        <v>-10</v>
      </c>
      <c r="AX81" s="51">
        <f t="shared" si="272"/>
        <v>80</v>
      </c>
      <c r="AY81" s="103">
        <f t="shared" si="359"/>
        <v>88</v>
      </c>
      <c r="AZ81" s="62">
        <f t="shared" si="308"/>
        <v>-8</v>
      </c>
      <c r="BA81" s="316"/>
      <c r="BB81" s="120">
        <f t="shared" si="360"/>
        <v>13</v>
      </c>
      <c r="BC81" s="7">
        <f t="shared" si="361"/>
        <v>11</v>
      </c>
      <c r="BD81" s="133"/>
      <c r="BE81" s="221"/>
      <c r="BF81" s="14">
        <f t="shared" si="311"/>
        <v>95057</v>
      </c>
      <c r="BG81" s="59">
        <f t="shared" si="347"/>
        <v>95053</v>
      </c>
      <c r="BH81" s="134"/>
      <c r="BI81" s="135">
        <v>4</v>
      </c>
      <c r="BJ81" s="135"/>
      <c r="BK81" s="14">
        <f t="shared" si="348"/>
        <v>4</v>
      </c>
      <c r="BL81" s="14">
        <f t="shared" si="340"/>
        <v>5150</v>
      </c>
      <c r="BM81" s="14">
        <f t="shared" si="273"/>
        <v>0.16</v>
      </c>
      <c r="BN81" s="231">
        <f t="shared" si="312"/>
        <v>4.2080015148805452E-2</v>
      </c>
      <c r="BO81" s="37">
        <f t="shared" si="274"/>
        <v>3.3600000000000008</v>
      </c>
      <c r="BP81" s="155">
        <f t="shared" si="313"/>
        <v>5.4178019504087018</v>
      </c>
      <c r="BQ81" s="142"/>
      <c r="BR81" s="13">
        <f t="shared" si="275"/>
        <v>51</v>
      </c>
      <c r="BS81" s="48">
        <f t="shared" si="336"/>
        <v>0</v>
      </c>
      <c r="BT81" s="49">
        <f t="shared" si="314"/>
        <v>7.2033724880284866E-2</v>
      </c>
      <c r="BU81" s="50">
        <f t="shared" si="276"/>
        <v>824</v>
      </c>
      <c r="BV81" s="103">
        <f t="shared" si="362"/>
        <v>828</v>
      </c>
      <c r="BW81" s="46">
        <f t="shared" si="126"/>
        <v>-4</v>
      </c>
      <c r="BX81" s="51">
        <f t="shared" si="277"/>
        <v>80</v>
      </c>
      <c r="BY81" s="103">
        <f t="shared" si="363"/>
        <v>88</v>
      </c>
      <c r="BZ81" s="62">
        <f t="shared" si="317"/>
        <v>-8</v>
      </c>
      <c r="CA81" s="316"/>
      <c r="CB81" s="120"/>
      <c r="CC81" s="7">
        <f t="shared" si="364"/>
        <v>11</v>
      </c>
      <c r="CD81" s="133"/>
      <c r="CE81" s="221"/>
      <c r="CF81" s="14">
        <f t="shared" si="319"/>
        <v>0</v>
      </c>
      <c r="CG81" s="59">
        <f t="shared" si="349"/>
        <v>0</v>
      </c>
      <c r="CH81" s="134"/>
      <c r="CI81" s="135"/>
      <c r="CJ81" s="135"/>
      <c r="CK81" s="14">
        <f t="shared" si="350"/>
        <v>0</v>
      </c>
      <c r="CL81" s="14">
        <f t="shared" si="341"/>
        <v>0</v>
      </c>
      <c r="CM81" s="14">
        <f t="shared" si="278"/>
        <v>0.16</v>
      </c>
      <c r="CN81" s="47">
        <f t="shared" si="320"/>
        <v>0</v>
      </c>
      <c r="CO81" s="35">
        <f t="shared" si="279"/>
        <v>3.3600000000000008</v>
      </c>
      <c r="CP81" s="159">
        <f t="shared" si="321"/>
        <v>0</v>
      </c>
      <c r="CQ81" s="142"/>
      <c r="CR81" s="13">
        <f t="shared" si="280"/>
        <v>51</v>
      </c>
      <c r="CS81" s="48">
        <f t="shared" si="335"/>
        <v>0</v>
      </c>
      <c r="CT81" s="49">
        <f t="shared" si="322"/>
        <v>0</v>
      </c>
      <c r="CU81" s="50">
        <f t="shared" si="281"/>
        <v>824</v>
      </c>
      <c r="CV81" s="103">
        <f t="shared" si="365"/>
        <v>0</v>
      </c>
      <c r="CW81" s="46">
        <f t="shared" si="127"/>
        <v>824</v>
      </c>
      <c r="CX81" s="51">
        <f t="shared" si="282"/>
        <v>80</v>
      </c>
      <c r="CY81" s="103">
        <f t="shared" si="366"/>
        <v>0</v>
      </c>
      <c r="CZ81" s="62">
        <f t="shared" si="325"/>
        <v>80</v>
      </c>
      <c r="DA81" s="316"/>
      <c r="DB81" s="120"/>
      <c r="DC81" s="7">
        <f t="shared" si="367"/>
        <v>11</v>
      </c>
      <c r="DD81" s="133"/>
      <c r="DE81" s="221"/>
      <c r="DF81" s="14">
        <f t="shared" si="327"/>
        <v>0</v>
      </c>
      <c r="DG81" s="59">
        <f t="shared" si="351"/>
        <v>0</v>
      </c>
      <c r="DH81" s="134"/>
      <c r="DI81" s="135"/>
      <c r="DJ81" s="135"/>
      <c r="DK81" s="14">
        <f t="shared" si="352"/>
        <v>0</v>
      </c>
      <c r="DL81" s="14">
        <f t="shared" si="342"/>
        <v>0</v>
      </c>
      <c r="DM81" s="14">
        <f t="shared" si="283"/>
        <v>0.16</v>
      </c>
      <c r="DN81" s="47">
        <f t="shared" si="328"/>
        <v>0</v>
      </c>
      <c r="DO81" s="35">
        <f t="shared" si="284"/>
        <v>3.3600000000000008</v>
      </c>
      <c r="DP81" s="159">
        <f t="shared" si="329"/>
        <v>0</v>
      </c>
      <c r="DQ81" s="142"/>
      <c r="DR81" s="13">
        <f t="shared" si="285"/>
        <v>51</v>
      </c>
      <c r="DS81" s="48">
        <f t="shared" si="337"/>
        <v>0</v>
      </c>
      <c r="DT81" s="49">
        <f t="shared" si="330"/>
        <v>0</v>
      </c>
      <c r="DU81" s="50">
        <f t="shared" si="286"/>
        <v>824</v>
      </c>
      <c r="DV81" s="103">
        <f t="shared" si="368"/>
        <v>0</v>
      </c>
      <c r="DW81" s="46">
        <f t="shared" si="128"/>
        <v>824</v>
      </c>
      <c r="DX81" s="51">
        <f t="shared" si="287"/>
        <v>80</v>
      </c>
      <c r="DY81" s="103">
        <f t="shared" si="369"/>
        <v>0</v>
      </c>
      <c r="DZ81" s="62">
        <f t="shared" si="333"/>
        <v>80</v>
      </c>
    </row>
    <row r="82" spans="1:130" x14ac:dyDescent="0.25">
      <c r="B82" s="120">
        <f t="shared" si="288"/>
        <v>14</v>
      </c>
      <c r="C82" s="115">
        <f t="shared" si="353"/>
        <v>11</v>
      </c>
      <c r="D82" s="133"/>
      <c r="E82" s="221"/>
      <c r="F82" s="103">
        <f t="shared" si="290"/>
        <v>93380</v>
      </c>
      <c r="G82" s="104">
        <f t="shared" si="343"/>
        <v>93377</v>
      </c>
      <c r="H82" s="134"/>
      <c r="I82" s="135">
        <v>3</v>
      </c>
      <c r="J82" s="135"/>
      <c r="K82" s="14">
        <f t="shared" si="344"/>
        <v>3</v>
      </c>
      <c r="L82" s="14">
        <f t="shared" si="338"/>
        <v>180</v>
      </c>
      <c r="M82" s="14">
        <f t="shared" si="264"/>
        <v>0.16</v>
      </c>
      <c r="N82" s="47">
        <f t="shared" si="291"/>
        <v>3.212679374598415E-2</v>
      </c>
      <c r="O82" s="35">
        <f t="shared" si="292"/>
        <v>3.3600000000000008</v>
      </c>
      <c r="P82" s="159">
        <f t="shared" si="293"/>
        <v>0.1927607624759049</v>
      </c>
      <c r="Q82" s="142"/>
      <c r="R82" s="17">
        <f t="shared" si="294"/>
        <v>51</v>
      </c>
      <c r="S82" s="48">
        <f t="shared" si="295"/>
        <v>0</v>
      </c>
      <c r="T82" s="49">
        <f t="shared" si="296"/>
        <v>0.11689245893777725</v>
      </c>
      <c r="U82" s="160">
        <f t="shared" si="265"/>
        <v>824</v>
      </c>
      <c r="V82" s="103">
        <f t="shared" si="354"/>
        <v>828</v>
      </c>
      <c r="W82" s="46">
        <f t="shared" si="266"/>
        <v>-4</v>
      </c>
      <c r="X82" s="51">
        <f t="shared" si="267"/>
        <v>80</v>
      </c>
      <c r="Y82" s="103">
        <f t="shared" si="355"/>
        <v>88</v>
      </c>
      <c r="Z82" s="46">
        <f t="shared" si="299"/>
        <v>-8</v>
      </c>
      <c r="AB82" s="120">
        <f t="shared" si="356"/>
        <v>16</v>
      </c>
      <c r="AC82" s="7">
        <f t="shared" si="357"/>
        <v>11</v>
      </c>
      <c r="AD82" s="133"/>
      <c r="AE82" s="221"/>
      <c r="AF82" s="14">
        <f t="shared" si="302"/>
        <v>91938</v>
      </c>
      <c r="AG82" s="46">
        <f t="shared" si="345"/>
        <v>91934</v>
      </c>
      <c r="AH82" s="134"/>
      <c r="AI82" s="135">
        <v>4</v>
      </c>
      <c r="AJ82" s="135"/>
      <c r="AK82" s="14">
        <f t="shared" si="346"/>
        <v>4</v>
      </c>
      <c r="AL82" s="14">
        <f t="shared" si="339"/>
        <v>2806</v>
      </c>
      <c r="AM82" s="14">
        <f t="shared" si="268"/>
        <v>0.16</v>
      </c>
      <c r="AN82" s="47">
        <f t="shared" si="303"/>
        <v>4.3507581196023409E-2</v>
      </c>
      <c r="AO82" s="35">
        <f t="shared" si="269"/>
        <v>3.3600000000000008</v>
      </c>
      <c r="AP82" s="159">
        <f t="shared" si="334"/>
        <v>3.0520568209010421</v>
      </c>
      <c r="AQ82" s="142"/>
      <c r="AR82" s="14">
        <f t="shared" si="270"/>
        <v>51</v>
      </c>
      <c r="AS82" s="35">
        <f t="shared" si="304"/>
        <v>0</v>
      </c>
      <c r="AT82" s="301">
        <f t="shared" si="305"/>
        <v>5.5413543607296042E-2</v>
      </c>
      <c r="AU82" s="14">
        <f t="shared" si="271"/>
        <v>824</v>
      </c>
      <c r="AV82" s="103">
        <f t="shared" si="358"/>
        <v>834</v>
      </c>
      <c r="AW82" s="46">
        <f t="shared" si="125"/>
        <v>-10</v>
      </c>
      <c r="AX82" s="51">
        <f t="shared" si="272"/>
        <v>80</v>
      </c>
      <c r="AY82" s="103">
        <f t="shared" si="359"/>
        <v>88</v>
      </c>
      <c r="AZ82" s="46">
        <f t="shared" si="308"/>
        <v>-8</v>
      </c>
      <c r="BA82" s="316"/>
      <c r="BB82" s="120">
        <f t="shared" si="360"/>
        <v>14</v>
      </c>
      <c r="BC82" s="7">
        <f t="shared" si="361"/>
        <v>11</v>
      </c>
      <c r="BD82" s="133"/>
      <c r="BE82" s="221"/>
      <c r="BF82" s="14">
        <f t="shared" si="311"/>
        <v>95053</v>
      </c>
      <c r="BG82" s="46">
        <f t="shared" si="347"/>
        <v>95050</v>
      </c>
      <c r="BH82" s="134"/>
      <c r="BI82" s="135">
        <v>3</v>
      </c>
      <c r="BJ82" s="135"/>
      <c r="BK82" s="14">
        <f t="shared" si="348"/>
        <v>3</v>
      </c>
      <c r="BL82" s="14">
        <f t="shared" si="340"/>
        <v>5153</v>
      </c>
      <c r="BM82" s="14">
        <f t="shared" si="273"/>
        <v>0.16</v>
      </c>
      <c r="BN82" s="47">
        <f t="shared" si="312"/>
        <v>3.1561339463246824E-2</v>
      </c>
      <c r="BO82" s="35">
        <f t="shared" si="274"/>
        <v>3.3600000000000008</v>
      </c>
      <c r="BP82" s="159">
        <f t="shared" si="313"/>
        <v>5.4211860751370287</v>
      </c>
      <c r="BQ82" s="142"/>
      <c r="BR82" s="13">
        <f t="shared" si="275"/>
        <v>51</v>
      </c>
      <c r="BS82" s="48">
        <f t="shared" si="336"/>
        <v>0</v>
      </c>
      <c r="BT82" s="49">
        <f t="shared" si="314"/>
        <v>7.2033724880284866E-2</v>
      </c>
      <c r="BU82" s="50">
        <f t="shared" si="276"/>
        <v>824</v>
      </c>
      <c r="BV82" s="103">
        <f t="shared" si="362"/>
        <v>828</v>
      </c>
      <c r="BW82" s="46">
        <f t="shared" si="126"/>
        <v>-4</v>
      </c>
      <c r="BX82" s="51">
        <f t="shared" si="277"/>
        <v>80</v>
      </c>
      <c r="BY82" s="103">
        <f t="shared" si="363"/>
        <v>88</v>
      </c>
      <c r="BZ82" s="46">
        <f t="shared" si="317"/>
        <v>-8</v>
      </c>
      <c r="CA82" s="316"/>
      <c r="CB82" s="120"/>
      <c r="CC82" s="7">
        <f t="shared" si="364"/>
        <v>11</v>
      </c>
      <c r="CD82" s="133"/>
      <c r="CE82" s="221"/>
      <c r="CF82" s="14">
        <f t="shared" si="319"/>
        <v>0</v>
      </c>
      <c r="CG82" s="46">
        <f t="shared" si="349"/>
        <v>0</v>
      </c>
      <c r="CH82" s="134"/>
      <c r="CI82" s="135"/>
      <c r="CJ82" s="135"/>
      <c r="CK82" s="14">
        <f t="shared" si="350"/>
        <v>0</v>
      </c>
      <c r="CL82" s="14">
        <f t="shared" si="341"/>
        <v>0</v>
      </c>
      <c r="CM82" s="14">
        <f t="shared" si="278"/>
        <v>0.16</v>
      </c>
      <c r="CN82" s="47">
        <f t="shared" si="320"/>
        <v>0</v>
      </c>
      <c r="CO82" s="35">
        <f t="shared" si="279"/>
        <v>3.3600000000000008</v>
      </c>
      <c r="CP82" s="159">
        <f t="shared" si="321"/>
        <v>0</v>
      </c>
      <c r="CQ82" s="142"/>
      <c r="CR82" s="13">
        <f t="shared" si="280"/>
        <v>51</v>
      </c>
      <c r="CS82" s="48">
        <f t="shared" si="335"/>
        <v>0</v>
      </c>
      <c r="CT82" s="49">
        <f t="shared" si="322"/>
        <v>0</v>
      </c>
      <c r="CU82" s="50">
        <f t="shared" si="281"/>
        <v>824</v>
      </c>
      <c r="CV82" s="103">
        <f t="shared" si="365"/>
        <v>0</v>
      </c>
      <c r="CW82" s="46">
        <f t="shared" si="127"/>
        <v>824</v>
      </c>
      <c r="CX82" s="51">
        <f t="shared" si="282"/>
        <v>80</v>
      </c>
      <c r="CY82" s="103">
        <f t="shared" si="366"/>
        <v>0</v>
      </c>
      <c r="CZ82" s="46">
        <f t="shared" si="325"/>
        <v>80</v>
      </c>
      <c r="DA82" s="316"/>
      <c r="DB82" s="120"/>
      <c r="DC82" s="7">
        <f t="shared" si="367"/>
        <v>11</v>
      </c>
      <c r="DD82" s="133"/>
      <c r="DE82" s="221"/>
      <c r="DF82" s="14">
        <f t="shared" si="327"/>
        <v>0</v>
      </c>
      <c r="DG82" s="46">
        <f t="shared" si="351"/>
        <v>0</v>
      </c>
      <c r="DH82" s="134"/>
      <c r="DI82" s="135"/>
      <c r="DJ82" s="135"/>
      <c r="DK82" s="14">
        <f t="shared" si="352"/>
        <v>0</v>
      </c>
      <c r="DL82" s="14">
        <f t="shared" si="342"/>
        <v>0</v>
      </c>
      <c r="DM82" s="14">
        <f t="shared" si="283"/>
        <v>0.16</v>
      </c>
      <c r="DN82" s="47">
        <f t="shared" si="328"/>
        <v>0</v>
      </c>
      <c r="DO82" s="35">
        <f t="shared" si="284"/>
        <v>3.3600000000000008</v>
      </c>
      <c r="DP82" s="159">
        <f t="shared" si="329"/>
        <v>0</v>
      </c>
      <c r="DQ82" s="142"/>
      <c r="DR82" s="13">
        <f t="shared" si="285"/>
        <v>51</v>
      </c>
      <c r="DS82" s="48">
        <f t="shared" si="337"/>
        <v>0</v>
      </c>
      <c r="DT82" s="49">
        <f t="shared" si="330"/>
        <v>0</v>
      </c>
      <c r="DU82" s="50">
        <f t="shared" si="286"/>
        <v>824</v>
      </c>
      <c r="DV82" s="103">
        <f t="shared" si="368"/>
        <v>0</v>
      </c>
      <c r="DW82" s="46">
        <f t="shared" si="128"/>
        <v>824</v>
      </c>
      <c r="DX82" s="51">
        <f t="shared" si="287"/>
        <v>80</v>
      </c>
      <c r="DY82" s="103">
        <f t="shared" si="369"/>
        <v>0</v>
      </c>
      <c r="DZ82" s="46">
        <f t="shared" si="333"/>
        <v>80</v>
      </c>
    </row>
    <row r="83" spans="1:130" x14ac:dyDescent="0.25">
      <c r="B83" s="120">
        <f t="shared" si="288"/>
        <v>15</v>
      </c>
      <c r="C83" s="115">
        <f t="shared" si="353"/>
        <v>11</v>
      </c>
      <c r="D83" s="133"/>
      <c r="E83" s="221"/>
      <c r="F83" s="103">
        <f t="shared" si="290"/>
        <v>93377</v>
      </c>
      <c r="G83" s="108">
        <f t="shared" si="343"/>
        <v>93374</v>
      </c>
      <c r="H83" s="134"/>
      <c r="I83" s="135">
        <v>3</v>
      </c>
      <c r="J83" s="135"/>
      <c r="K83" s="14">
        <f t="shared" si="344"/>
        <v>3</v>
      </c>
      <c r="L83" s="14">
        <f t="shared" si="338"/>
        <v>183</v>
      </c>
      <c r="M83" s="17">
        <f t="shared" si="264"/>
        <v>0.16</v>
      </c>
      <c r="N83" s="47">
        <f t="shared" si="291"/>
        <v>3.2127825910020669E-2</v>
      </c>
      <c r="O83" s="33">
        <f t="shared" si="292"/>
        <v>3.3600000000000008</v>
      </c>
      <c r="P83" s="159">
        <f t="shared" si="293"/>
        <v>0.19597973805112609</v>
      </c>
      <c r="Q83" s="142"/>
      <c r="R83" s="17">
        <f t="shared" si="294"/>
        <v>51</v>
      </c>
      <c r="S83" s="48">
        <f t="shared" si="295"/>
        <v>0</v>
      </c>
      <c r="T83" s="49">
        <f t="shared" si="296"/>
        <v>0.11689245893777725</v>
      </c>
      <c r="U83" s="160">
        <f t="shared" si="265"/>
        <v>824</v>
      </c>
      <c r="V83" s="103">
        <f t="shared" si="354"/>
        <v>828</v>
      </c>
      <c r="W83" s="46">
        <f t="shared" si="266"/>
        <v>-4</v>
      </c>
      <c r="X83" s="51">
        <f t="shared" si="267"/>
        <v>80</v>
      </c>
      <c r="Y83" s="103">
        <f t="shared" si="355"/>
        <v>88</v>
      </c>
      <c r="Z83" s="46">
        <f t="shared" si="299"/>
        <v>-8</v>
      </c>
      <c r="AB83" s="120">
        <f t="shared" si="356"/>
        <v>17</v>
      </c>
      <c r="AC83" s="7">
        <f t="shared" si="357"/>
        <v>11</v>
      </c>
      <c r="AD83" s="133"/>
      <c r="AE83" s="221"/>
      <c r="AF83" s="14">
        <f t="shared" si="302"/>
        <v>91934</v>
      </c>
      <c r="AG83" s="62">
        <f t="shared" si="345"/>
        <v>91929</v>
      </c>
      <c r="AH83" s="134"/>
      <c r="AI83" s="135">
        <v>5</v>
      </c>
      <c r="AJ83" s="135"/>
      <c r="AK83" s="14">
        <f t="shared" si="346"/>
        <v>5</v>
      </c>
      <c r="AL83" s="14">
        <f t="shared" si="339"/>
        <v>2811</v>
      </c>
      <c r="AM83" s="14">
        <f t="shared" si="268"/>
        <v>0.16</v>
      </c>
      <c r="AN83" s="47">
        <f t="shared" si="303"/>
        <v>5.4386842735005547E-2</v>
      </c>
      <c r="AO83" s="35">
        <f t="shared" si="269"/>
        <v>3.3600000000000008</v>
      </c>
      <c r="AP83" s="159">
        <f t="shared" si="334"/>
        <v>3.0576282985620118</v>
      </c>
      <c r="AQ83" s="142"/>
      <c r="AR83" s="14">
        <f t="shared" si="270"/>
        <v>51</v>
      </c>
      <c r="AS83" s="35">
        <f t="shared" si="304"/>
        <v>0</v>
      </c>
      <c r="AT83" s="301">
        <f t="shared" si="305"/>
        <v>5.5413543607296042E-2</v>
      </c>
      <c r="AU83" s="14">
        <f t="shared" si="271"/>
        <v>824</v>
      </c>
      <c r="AV83" s="103">
        <f t="shared" si="358"/>
        <v>834</v>
      </c>
      <c r="AW83" s="46">
        <f t="shared" si="125"/>
        <v>-10</v>
      </c>
      <c r="AX83" s="51">
        <f t="shared" si="272"/>
        <v>80</v>
      </c>
      <c r="AY83" s="103">
        <f t="shared" si="359"/>
        <v>88</v>
      </c>
      <c r="AZ83" s="46">
        <f t="shared" si="308"/>
        <v>-8</v>
      </c>
      <c r="BA83" s="316"/>
      <c r="BB83" s="120">
        <f t="shared" si="360"/>
        <v>15</v>
      </c>
      <c r="BC83" s="7">
        <f t="shared" si="361"/>
        <v>11</v>
      </c>
      <c r="BD83" s="133"/>
      <c r="BE83" s="221"/>
      <c r="BF83" s="14">
        <f t="shared" si="311"/>
        <v>95050</v>
      </c>
      <c r="BG83" s="62">
        <f t="shared" si="347"/>
        <v>95048</v>
      </c>
      <c r="BH83" s="134"/>
      <c r="BI83" s="135">
        <v>2</v>
      </c>
      <c r="BJ83" s="135"/>
      <c r="BK83" s="14">
        <f t="shared" si="348"/>
        <v>2</v>
      </c>
      <c r="BL83" s="14">
        <f t="shared" si="340"/>
        <v>5155</v>
      </c>
      <c r="BM83" s="14">
        <f t="shared" si="273"/>
        <v>0.16</v>
      </c>
      <c r="BN83" s="47">
        <f t="shared" si="312"/>
        <v>2.1041557075223566E-2</v>
      </c>
      <c r="BO83" s="35">
        <f t="shared" si="274"/>
        <v>3.3600000000000008</v>
      </c>
      <c r="BP83" s="159">
        <f t="shared" si="313"/>
        <v>5.4234613361388746</v>
      </c>
      <c r="BQ83" s="142"/>
      <c r="BR83" s="13">
        <f t="shared" si="275"/>
        <v>51</v>
      </c>
      <c r="BS83" s="48">
        <f t="shared" si="336"/>
        <v>0</v>
      </c>
      <c r="BT83" s="49">
        <f t="shared" si="314"/>
        <v>7.2033724880284866E-2</v>
      </c>
      <c r="BU83" s="50">
        <f t="shared" si="276"/>
        <v>824</v>
      </c>
      <c r="BV83" s="103">
        <f t="shared" si="362"/>
        <v>828</v>
      </c>
      <c r="BW83" s="46">
        <f t="shared" si="126"/>
        <v>-4</v>
      </c>
      <c r="BX83" s="51">
        <f t="shared" si="277"/>
        <v>80</v>
      </c>
      <c r="BY83" s="103">
        <f t="shared" si="363"/>
        <v>88</v>
      </c>
      <c r="BZ83" s="46">
        <f t="shared" si="317"/>
        <v>-8</v>
      </c>
      <c r="CA83" s="316"/>
      <c r="CB83" s="120"/>
      <c r="CC83" s="7">
        <f t="shared" si="364"/>
        <v>11</v>
      </c>
      <c r="CD83" s="133"/>
      <c r="CE83" s="221"/>
      <c r="CF83" s="14">
        <f t="shared" si="319"/>
        <v>0</v>
      </c>
      <c r="CG83" s="62">
        <f t="shared" si="349"/>
        <v>0</v>
      </c>
      <c r="CH83" s="134"/>
      <c r="CI83" s="135"/>
      <c r="CJ83" s="135"/>
      <c r="CK83" s="14">
        <f t="shared" si="350"/>
        <v>0</v>
      </c>
      <c r="CL83" s="14">
        <f t="shared" si="341"/>
        <v>0</v>
      </c>
      <c r="CM83" s="14">
        <f t="shared" si="278"/>
        <v>0.16</v>
      </c>
      <c r="CN83" s="47">
        <f t="shared" si="320"/>
        <v>0</v>
      </c>
      <c r="CO83" s="35">
        <f t="shared" si="279"/>
        <v>3.3600000000000008</v>
      </c>
      <c r="CP83" s="159">
        <f t="shared" si="321"/>
        <v>0</v>
      </c>
      <c r="CQ83" s="142"/>
      <c r="CR83" s="13">
        <f t="shared" si="280"/>
        <v>51</v>
      </c>
      <c r="CS83" s="48">
        <f t="shared" si="335"/>
        <v>0</v>
      </c>
      <c r="CT83" s="49">
        <f t="shared" si="322"/>
        <v>0</v>
      </c>
      <c r="CU83" s="50">
        <f t="shared" si="281"/>
        <v>824</v>
      </c>
      <c r="CV83" s="103">
        <f t="shared" si="365"/>
        <v>0</v>
      </c>
      <c r="CW83" s="46">
        <f t="shared" si="127"/>
        <v>824</v>
      </c>
      <c r="CX83" s="51">
        <f t="shared" si="282"/>
        <v>80</v>
      </c>
      <c r="CY83" s="103">
        <f t="shared" si="366"/>
        <v>0</v>
      </c>
      <c r="CZ83" s="46">
        <f t="shared" si="325"/>
        <v>80</v>
      </c>
      <c r="DA83" s="316"/>
      <c r="DB83" s="120"/>
      <c r="DC83" s="7">
        <f t="shared" si="367"/>
        <v>11</v>
      </c>
      <c r="DD83" s="133"/>
      <c r="DE83" s="221"/>
      <c r="DF83" s="14">
        <f t="shared" si="327"/>
        <v>0</v>
      </c>
      <c r="DG83" s="62">
        <f t="shared" si="351"/>
        <v>0</v>
      </c>
      <c r="DH83" s="134"/>
      <c r="DI83" s="135"/>
      <c r="DJ83" s="135"/>
      <c r="DK83" s="14">
        <f t="shared" si="352"/>
        <v>0</v>
      </c>
      <c r="DL83" s="14">
        <f t="shared" si="342"/>
        <v>0</v>
      </c>
      <c r="DM83" s="14">
        <f t="shared" si="283"/>
        <v>0.16</v>
      </c>
      <c r="DN83" s="47">
        <f t="shared" si="328"/>
        <v>0</v>
      </c>
      <c r="DO83" s="35">
        <f t="shared" si="284"/>
        <v>3.3600000000000008</v>
      </c>
      <c r="DP83" s="159">
        <f t="shared" si="329"/>
        <v>0</v>
      </c>
      <c r="DQ83" s="142"/>
      <c r="DR83" s="13">
        <f t="shared" si="285"/>
        <v>51</v>
      </c>
      <c r="DS83" s="48">
        <f t="shared" si="337"/>
        <v>0</v>
      </c>
      <c r="DT83" s="49">
        <f t="shared" si="330"/>
        <v>0</v>
      </c>
      <c r="DU83" s="50">
        <f t="shared" si="286"/>
        <v>824</v>
      </c>
      <c r="DV83" s="103">
        <f t="shared" si="368"/>
        <v>0</v>
      </c>
      <c r="DW83" s="46">
        <f t="shared" si="128"/>
        <v>824</v>
      </c>
      <c r="DX83" s="51">
        <f t="shared" si="287"/>
        <v>80</v>
      </c>
      <c r="DY83" s="103">
        <f t="shared" si="369"/>
        <v>0</v>
      </c>
      <c r="DZ83" s="46">
        <f t="shared" si="333"/>
        <v>80</v>
      </c>
    </row>
    <row r="84" spans="1:130" ht="17.25" thickBot="1" x14ac:dyDescent="0.3">
      <c r="B84" s="119">
        <f t="shared" ref="B84" si="370">B83+1</f>
        <v>16</v>
      </c>
      <c r="C84" s="239">
        <f t="shared" si="353"/>
        <v>11</v>
      </c>
      <c r="D84" s="203"/>
      <c r="E84" s="225"/>
      <c r="F84" s="202">
        <f t="shared" si="290"/>
        <v>93374</v>
      </c>
      <c r="G84" s="107">
        <f t="shared" si="343"/>
        <v>93372</v>
      </c>
      <c r="H84" s="204"/>
      <c r="I84" s="205">
        <v>2</v>
      </c>
      <c r="J84" s="205"/>
      <c r="K84" s="31">
        <f t="shared" si="344"/>
        <v>2</v>
      </c>
      <c r="L84" s="31">
        <f t="shared" si="338"/>
        <v>185</v>
      </c>
      <c r="M84" s="31">
        <f t="shared" si="264"/>
        <v>0.16</v>
      </c>
      <c r="N84" s="230">
        <f t="shared" si="291"/>
        <v>2.141923876025446E-2</v>
      </c>
      <c r="O84" s="37">
        <f t="shared" si="292"/>
        <v>3.3600000000000008</v>
      </c>
      <c r="P84" s="157">
        <f t="shared" si="293"/>
        <v>0.19812795853235377</v>
      </c>
      <c r="Q84" s="237"/>
      <c r="R84" s="12">
        <f t="shared" si="294"/>
        <v>51</v>
      </c>
      <c r="S84" s="67">
        <f t="shared" si="295"/>
        <v>0</v>
      </c>
      <c r="T84" s="196">
        <f t="shared" si="296"/>
        <v>0.11689245893777725</v>
      </c>
      <c r="U84" s="12">
        <f t="shared" si="265"/>
        <v>824</v>
      </c>
      <c r="V84" s="202">
        <f t="shared" si="354"/>
        <v>828</v>
      </c>
      <c r="W84" s="62">
        <f t="shared" si="266"/>
        <v>-4</v>
      </c>
      <c r="X84" s="52">
        <f t="shared" si="267"/>
        <v>80</v>
      </c>
      <c r="Y84" s="202">
        <f t="shared" si="355"/>
        <v>88</v>
      </c>
      <c r="Z84" s="62">
        <f t="shared" si="299"/>
        <v>-8</v>
      </c>
      <c r="AB84" s="119">
        <f t="shared" si="356"/>
        <v>18</v>
      </c>
      <c r="AC84" s="95">
        <f t="shared" si="357"/>
        <v>11</v>
      </c>
      <c r="AD84" s="203"/>
      <c r="AE84" s="225"/>
      <c r="AF84" s="13">
        <f t="shared" si="302"/>
        <v>91929</v>
      </c>
      <c r="AG84" s="59">
        <f t="shared" si="345"/>
        <v>91923</v>
      </c>
      <c r="AH84" s="204"/>
      <c r="AI84" s="205">
        <v>6</v>
      </c>
      <c r="AJ84" s="205"/>
      <c r="AK84" s="31">
        <f t="shared" si="346"/>
        <v>6</v>
      </c>
      <c r="AL84" s="31">
        <f t="shared" si="339"/>
        <v>2817</v>
      </c>
      <c r="AM84" s="13">
        <f t="shared" si="268"/>
        <v>0.16</v>
      </c>
      <c r="AN84" s="230">
        <f t="shared" si="303"/>
        <v>6.5267760989459259E-2</v>
      </c>
      <c r="AO84" s="161">
        <f t="shared" si="269"/>
        <v>3.3600000000000008</v>
      </c>
      <c r="AP84" s="157">
        <f t="shared" si="334"/>
        <v>3.0643213784551122</v>
      </c>
      <c r="AQ84" s="237"/>
      <c r="AR84" s="13">
        <f t="shared" si="270"/>
        <v>51</v>
      </c>
      <c r="AS84" s="161">
        <f t="shared" si="304"/>
        <v>0</v>
      </c>
      <c r="AT84" s="302">
        <f t="shared" si="305"/>
        <v>5.5413543607296042E-2</v>
      </c>
      <c r="AU84" s="13">
        <f t="shared" si="271"/>
        <v>824</v>
      </c>
      <c r="AV84" s="202">
        <f t="shared" si="358"/>
        <v>834</v>
      </c>
      <c r="AW84" s="62">
        <f t="shared" si="125"/>
        <v>-10</v>
      </c>
      <c r="AX84" s="52">
        <f t="shared" si="272"/>
        <v>80</v>
      </c>
      <c r="AY84" s="202">
        <f t="shared" si="359"/>
        <v>88</v>
      </c>
      <c r="AZ84" s="62">
        <f t="shared" si="308"/>
        <v>-8</v>
      </c>
      <c r="BA84" s="316"/>
      <c r="BB84" s="119">
        <f t="shared" si="360"/>
        <v>16</v>
      </c>
      <c r="BC84" s="95">
        <f t="shared" si="361"/>
        <v>11</v>
      </c>
      <c r="BD84" s="203"/>
      <c r="BE84" s="225"/>
      <c r="BF84" s="13">
        <f t="shared" si="311"/>
        <v>95048</v>
      </c>
      <c r="BG84" s="59">
        <f t="shared" si="347"/>
        <v>95045</v>
      </c>
      <c r="BH84" s="204"/>
      <c r="BI84" s="205">
        <v>3</v>
      </c>
      <c r="BJ84" s="205"/>
      <c r="BK84" s="31">
        <f t="shared" si="348"/>
        <v>3</v>
      </c>
      <c r="BL84" s="31">
        <f t="shared" si="340"/>
        <v>5158</v>
      </c>
      <c r="BM84" s="13">
        <f t="shared" si="273"/>
        <v>0.16</v>
      </c>
      <c r="BN84" s="230">
        <f t="shared" si="312"/>
        <v>3.1562999747496004E-2</v>
      </c>
      <c r="BO84" s="161">
        <f t="shared" si="274"/>
        <v>3.3600000000000008</v>
      </c>
      <c r="BP84" s="157">
        <f t="shared" si="313"/>
        <v>5.4267317565861459</v>
      </c>
      <c r="BQ84" s="237"/>
      <c r="BR84" s="13">
        <f t="shared" si="275"/>
        <v>51</v>
      </c>
      <c r="BS84" s="67">
        <f t="shared" si="336"/>
        <v>0</v>
      </c>
      <c r="BT84" s="196">
        <f t="shared" si="314"/>
        <v>7.2033724880284866E-2</v>
      </c>
      <c r="BU84" s="50">
        <f t="shared" si="276"/>
        <v>824</v>
      </c>
      <c r="BV84" s="202">
        <f t="shared" si="362"/>
        <v>828</v>
      </c>
      <c r="BW84" s="62">
        <f t="shared" si="126"/>
        <v>-4</v>
      </c>
      <c r="BX84" s="52">
        <f t="shared" si="277"/>
        <v>80</v>
      </c>
      <c r="BY84" s="202">
        <f t="shared" si="363"/>
        <v>88</v>
      </c>
      <c r="BZ84" s="62">
        <f t="shared" si="317"/>
        <v>-8</v>
      </c>
      <c r="CA84" s="316"/>
      <c r="CB84" s="197"/>
      <c r="CC84" s="8">
        <f t="shared" si="364"/>
        <v>11</v>
      </c>
      <c r="CD84" s="136"/>
      <c r="CE84" s="226"/>
      <c r="CF84" s="32">
        <f t="shared" si="319"/>
        <v>0</v>
      </c>
      <c r="CG84" s="53">
        <f t="shared" si="349"/>
        <v>0</v>
      </c>
      <c r="CH84" s="137"/>
      <c r="CI84" s="138"/>
      <c r="CJ84" s="138"/>
      <c r="CK84" s="34">
        <f t="shared" si="350"/>
        <v>0</v>
      </c>
      <c r="CL84" s="34">
        <f t="shared" si="341"/>
        <v>0</v>
      </c>
      <c r="CM84" s="32">
        <f t="shared" si="278"/>
        <v>0.16</v>
      </c>
      <c r="CN84" s="96">
        <f t="shared" si="320"/>
        <v>0</v>
      </c>
      <c r="CO84" s="36">
        <f t="shared" si="279"/>
        <v>3.3600000000000008</v>
      </c>
      <c r="CP84" s="156">
        <f t="shared" si="321"/>
        <v>0</v>
      </c>
      <c r="CQ84" s="139"/>
      <c r="CR84" s="32">
        <f t="shared" si="280"/>
        <v>51</v>
      </c>
      <c r="CS84" s="54">
        <f t="shared" si="335"/>
        <v>0</v>
      </c>
      <c r="CT84" s="55">
        <f t="shared" si="322"/>
        <v>0</v>
      </c>
      <c r="CU84" s="56">
        <f t="shared" si="281"/>
        <v>824</v>
      </c>
      <c r="CV84" s="109">
        <f t="shared" si="365"/>
        <v>0</v>
      </c>
      <c r="CW84" s="63">
        <f t="shared" si="127"/>
        <v>824</v>
      </c>
      <c r="CX84" s="65">
        <f t="shared" si="282"/>
        <v>80</v>
      </c>
      <c r="CY84" s="109">
        <f t="shared" si="366"/>
        <v>0</v>
      </c>
      <c r="CZ84" s="63">
        <f t="shared" si="325"/>
        <v>80</v>
      </c>
      <c r="DA84" s="316"/>
      <c r="DB84" s="119"/>
      <c r="DC84" s="95">
        <f t="shared" si="367"/>
        <v>11</v>
      </c>
      <c r="DD84" s="203"/>
      <c r="DE84" s="225"/>
      <c r="DF84" s="13">
        <f t="shared" si="327"/>
        <v>0</v>
      </c>
      <c r="DG84" s="59">
        <f t="shared" si="351"/>
        <v>0</v>
      </c>
      <c r="DH84" s="204"/>
      <c r="DI84" s="205"/>
      <c r="DJ84" s="205"/>
      <c r="DK84" s="31">
        <f t="shared" si="352"/>
        <v>0</v>
      </c>
      <c r="DL84" s="31">
        <f t="shared" si="342"/>
        <v>0</v>
      </c>
      <c r="DM84" s="13">
        <f t="shared" si="283"/>
        <v>0.16</v>
      </c>
      <c r="DN84" s="230">
        <f t="shared" si="328"/>
        <v>0</v>
      </c>
      <c r="DO84" s="161">
        <f t="shared" si="284"/>
        <v>3.3600000000000008</v>
      </c>
      <c r="DP84" s="157">
        <f t="shared" si="329"/>
        <v>0</v>
      </c>
      <c r="DQ84" s="237"/>
      <c r="DR84" s="13">
        <f t="shared" si="285"/>
        <v>51</v>
      </c>
      <c r="DS84" s="67">
        <f t="shared" si="337"/>
        <v>0</v>
      </c>
      <c r="DT84" s="196">
        <f t="shared" si="330"/>
        <v>0</v>
      </c>
      <c r="DU84" s="50">
        <f t="shared" si="286"/>
        <v>824</v>
      </c>
      <c r="DV84" s="202">
        <f t="shared" si="368"/>
        <v>0</v>
      </c>
      <c r="DW84" s="62">
        <f t="shared" si="128"/>
        <v>824</v>
      </c>
      <c r="DX84" s="52">
        <f t="shared" si="287"/>
        <v>80</v>
      </c>
      <c r="DY84" s="202">
        <f t="shared" si="369"/>
        <v>0</v>
      </c>
      <c r="DZ84" s="62">
        <f t="shared" si="333"/>
        <v>80</v>
      </c>
    </row>
    <row r="85" spans="1:130" x14ac:dyDescent="0.25">
      <c r="B85" s="118">
        <v>17</v>
      </c>
      <c r="C85" s="114">
        <v>12</v>
      </c>
      <c r="D85" s="129"/>
      <c r="E85" s="224"/>
      <c r="F85" s="101">
        <f t="shared" si="290"/>
        <v>93372</v>
      </c>
      <c r="G85" s="106">
        <f t="shared" si="343"/>
        <v>93370</v>
      </c>
      <c r="H85" s="130"/>
      <c r="I85" s="131">
        <v>2</v>
      </c>
      <c r="J85" s="131"/>
      <c r="K85" s="11">
        <f t="shared" si="344"/>
        <v>2</v>
      </c>
      <c r="L85" s="11">
        <f t="shared" si="338"/>
        <v>187</v>
      </c>
      <c r="M85" s="11">
        <f t="shared" si="264"/>
        <v>0.16</v>
      </c>
      <c r="N85" s="42">
        <f t="shared" si="291"/>
        <v>2.1419697553870538E-2</v>
      </c>
      <c r="O85" s="21">
        <f t="shared" si="292"/>
        <v>3.5200000000000009</v>
      </c>
      <c r="P85" s="165">
        <f t="shared" si="293"/>
        <v>0.20027417212868953</v>
      </c>
      <c r="Q85" s="158"/>
      <c r="R85" s="18">
        <f t="shared" si="294"/>
        <v>53</v>
      </c>
      <c r="S85" s="43">
        <f t="shared" si="295"/>
        <v>0</v>
      </c>
      <c r="T85" s="44">
        <f t="shared" si="296"/>
        <v>0.11689245893777725</v>
      </c>
      <c r="U85" s="195">
        <f t="shared" si="265"/>
        <v>902</v>
      </c>
      <c r="V85" s="131">
        <v>898</v>
      </c>
      <c r="W85" s="41">
        <f t="shared" si="266"/>
        <v>4</v>
      </c>
      <c r="X85" s="58">
        <f t="shared" si="267"/>
        <v>82</v>
      </c>
      <c r="Y85" s="131">
        <v>84</v>
      </c>
      <c r="Z85" s="41">
        <f t="shared" si="299"/>
        <v>-2</v>
      </c>
      <c r="AB85" s="118">
        <v>19</v>
      </c>
      <c r="AC85" s="9">
        <v>12</v>
      </c>
      <c r="AD85" s="129"/>
      <c r="AE85" s="224"/>
      <c r="AF85" s="11">
        <f t="shared" si="302"/>
        <v>91923</v>
      </c>
      <c r="AG85" s="57">
        <f t="shared" si="345"/>
        <v>91920</v>
      </c>
      <c r="AH85" s="130"/>
      <c r="AI85" s="131">
        <v>3</v>
      </c>
      <c r="AJ85" s="131"/>
      <c r="AK85" s="11">
        <f t="shared" si="346"/>
        <v>3</v>
      </c>
      <c r="AL85" s="11">
        <f t="shared" si="339"/>
        <v>2820</v>
      </c>
      <c r="AM85" s="11">
        <f t="shared" si="268"/>
        <v>0.16</v>
      </c>
      <c r="AN85" s="153">
        <f t="shared" si="303"/>
        <v>3.2636010574067426E-2</v>
      </c>
      <c r="AO85" s="154">
        <f t="shared" si="269"/>
        <v>3.5200000000000009</v>
      </c>
      <c r="AP85" s="132">
        <f t="shared" si="334"/>
        <v>3.0677849939623378</v>
      </c>
      <c r="AQ85" s="158"/>
      <c r="AR85" s="11">
        <f t="shared" si="270"/>
        <v>53</v>
      </c>
      <c r="AS85" s="21">
        <f t="shared" si="304"/>
        <v>0</v>
      </c>
      <c r="AT85" s="303">
        <f t="shared" si="305"/>
        <v>5.5413543607296042E-2</v>
      </c>
      <c r="AU85" s="11">
        <f t="shared" si="271"/>
        <v>902</v>
      </c>
      <c r="AV85" s="131">
        <v>888</v>
      </c>
      <c r="AW85" s="41">
        <f t="shared" si="125"/>
        <v>14</v>
      </c>
      <c r="AX85" s="58">
        <f t="shared" si="272"/>
        <v>82</v>
      </c>
      <c r="AY85" s="131">
        <v>85</v>
      </c>
      <c r="AZ85" s="41">
        <f t="shared" si="308"/>
        <v>-3</v>
      </c>
      <c r="BA85" s="316"/>
      <c r="BB85" s="118">
        <v>17</v>
      </c>
      <c r="BC85" s="9">
        <v>12</v>
      </c>
      <c r="BD85" s="129"/>
      <c r="BE85" s="224"/>
      <c r="BF85" s="11">
        <f t="shared" si="311"/>
        <v>95045</v>
      </c>
      <c r="BG85" s="57">
        <f t="shared" si="347"/>
        <v>95041</v>
      </c>
      <c r="BH85" s="130"/>
      <c r="BI85" s="131">
        <v>4</v>
      </c>
      <c r="BJ85" s="131"/>
      <c r="BK85" s="11">
        <f t="shared" si="348"/>
        <v>4</v>
      </c>
      <c r="BL85" s="11">
        <f t="shared" si="340"/>
        <v>5162</v>
      </c>
      <c r="BM85" s="11">
        <f t="shared" si="273"/>
        <v>0.16</v>
      </c>
      <c r="BN85" s="42">
        <f t="shared" si="312"/>
        <v>4.2085328002525117E-2</v>
      </c>
      <c r="BO85" s="21">
        <f t="shared" si="274"/>
        <v>3.5200000000000009</v>
      </c>
      <c r="BP85" s="165">
        <f t="shared" si="313"/>
        <v>5.4311115787258668</v>
      </c>
      <c r="BQ85" s="158"/>
      <c r="BR85" s="16">
        <f t="shared" si="275"/>
        <v>53</v>
      </c>
      <c r="BS85" s="43">
        <f t="shared" si="336"/>
        <v>0</v>
      </c>
      <c r="BT85" s="44">
        <f t="shared" si="314"/>
        <v>7.2033724880284866E-2</v>
      </c>
      <c r="BU85" s="45">
        <f t="shared" si="276"/>
        <v>902</v>
      </c>
      <c r="BV85" s="131">
        <v>898</v>
      </c>
      <c r="BW85" s="41">
        <f t="shared" si="126"/>
        <v>4</v>
      </c>
      <c r="BX85" s="58">
        <f t="shared" si="277"/>
        <v>82</v>
      </c>
      <c r="BY85" s="131">
        <v>84</v>
      </c>
      <c r="BZ85" s="41">
        <f t="shared" si="317"/>
        <v>-2</v>
      </c>
      <c r="CA85" s="316"/>
      <c r="CB85" s="198"/>
      <c r="CC85" s="38">
        <v>12</v>
      </c>
      <c r="CD85" s="143"/>
      <c r="CE85" s="227"/>
      <c r="CF85" s="17">
        <f t="shared" si="319"/>
        <v>0</v>
      </c>
      <c r="CG85" s="62">
        <f t="shared" si="349"/>
        <v>0</v>
      </c>
      <c r="CH85" s="144"/>
      <c r="CI85" s="141"/>
      <c r="CJ85" s="141"/>
      <c r="CK85" s="17">
        <f t="shared" si="350"/>
        <v>0</v>
      </c>
      <c r="CL85" s="17">
        <f t="shared" si="341"/>
        <v>0</v>
      </c>
      <c r="CM85" s="17">
        <f t="shared" si="278"/>
        <v>0.16</v>
      </c>
      <c r="CN85" s="235">
        <f t="shared" si="320"/>
        <v>0</v>
      </c>
      <c r="CO85" s="33">
        <f t="shared" si="279"/>
        <v>3.5200000000000009</v>
      </c>
      <c r="CP85" s="210">
        <f t="shared" si="321"/>
        <v>0</v>
      </c>
      <c r="CQ85" s="145"/>
      <c r="CR85" s="31">
        <f t="shared" si="280"/>
        <v>53</v>
      </c>
      <c r="CS85" s="60">
        <f t="shared" si="335"/>
        <v>0</v>
      </c>
      <c r="CT85" s="72">
        <f t="shared" si="322"/>
        <v>0</v>
      </c>
      <c r="CU85" s="52">
        <f t="shared" si="281"/>
        <v>902</v>
      </c>
      <c r="CV85" s="141"/>
      <c r="CW85" s="71">
        <f t="shared" si="127"/>
        <v>902</v>
      </c>
      <c r="CX85" s="61">
        <f t="shared" si="282"/>
        <v>82</v>
      </c>
      <c r="CY85" s="141"/>
      <c r="CZ85" s="71">
        <f t="shared" si="325"/>
        <v>82</v>
      </c>
      <c r="DA85" s="316"/>
      <c r="DB85" s="118"/>
      <c r="DC85" s="9">
        <v>12</v>
      </c>
      <c r="DD85" s="129"/>
      <c r="DE85" s="224"/>
      <c r="DF85" s="11">
        <f t="shared" si="327"/>
        <v>0</v>
      </c>
      <c r="DG85" s="57">
        <f t="shared" si="351"/>
        <v>0</v>
      </c>
      <c r="DH85" s="130"/>
      <c r="DI85" s="131"/>
      <c r="DJ85" s="131"/>
      <c r="DK85" s="11">
        <f t="shared" si="352"/>
        <v>0</v>
      </c>
      <c r="DL85" s="11">
        <f t="shared" si="342"/>
        <v>0</v>
      </c>
      <c r="DM85" s="11">
        <f t="shared" si="283"/>
        <v>0.16</v>
      </c>
      <c r="DN85" s="42">
        <f t="shared" si="328"/>
        <v>0</v>
      </c>
      <c r="DO85" s="21">
        <f t="shared" si="284"/>
        <v>3.5200000000000009</v>
      </c>
      <c r="DP85" s="165">
        <f t="shared" si="329"/>
        <v>0</v>
      </c>
      <c r="DQ85" s="158"/>
      <c r="DR85" s="16">
        <f t="shared" si="285"/>
        <v>53</v>
      </c>
      <c r="DS85" s="43">
        <f t="shared" si="337"/>
        <v>0</v>
      </c>
      <c r="DT85" s="44">
        <f t="shared" si="330"/>
        <v>0</v>
      </c>
      <c r="DU85" s="45">
        <f t="shared" si="286"/>
        <v>902</v>
      </c>
      <c r="DV85" s="131"/>
      <c r="DW85" s="41">
        <f t="shared" si="128"/>
        <v>902</v>
      </c>
      <c r="DX85" s="58">
        <f t="shared" si="287"/>
        <v>82</v>
      </c>
      <c r="DY85" s="131"/>
      <c r="DZ85" s="41">
        <f t="shared" si="333"/>
        <v>82</v>
      </c>
    </row>
    <row r="86" spans="1:130" x14ac:dyDescent="0.25">
      <c r="B86" s="120">
        <f>B85+1</f>
        <v>18</v>
      </c>
      <c r="C86" s="115">
        <f>C85</f>
        <v>12</v>
      </c>
      <c r="D86" s="133"/>
      <c r="E86" s="221"/>
      <c r="F86" s="103">
        <f t="shared" si="290"/>
        <v>93370</v>
      </c>
      <c r="G86" s="104">
        <f t="shared" si="343"/>
        <v>93366</v>
      </c>
      <c r="H86" s="134"/>
      <c r="I86" s="135">
        <v>4</v>
      </c>
      <c r="J86" s="135"/>
      <c r="K86" s="14">
        <f t="shared" si="344"/>
        <v>4</v>
      </c>
      <c r="L86" s="14">
        <f t="shared" si="338"/>
        <v>191</v>
      </c>
      <c r="M86" s="14">
        <f t="shared" si="264"/>
        <v>0.16</v>
      </c>
      <c r="N86" s="47">
        <f t="shared" si="291"/>
        <v>4.2840312734282959E-2</v>
      </c>
      <c r="O86" s="35">
        <f t="shared" si="292"/>
        <v>3.5200000000000009</v>
      </c>
      <c r="P86" s="159">
        <f t="shared" si="293"/>
        <v>0.20456249330620113</v>
      </c>
      <c r="Q86" s="142"/>
      <c r="R86" s="13">
        <f t="shared" si="294"/>
        <v>53</v>
      </c>
      <c r="S86" s="48">
        <f t="shared" si="295"/>
        <v>0</v>
      </c>
      <c r="T86" s="49">
        <f t="shared" si="296"/>
        <v>0.11689245893777725</v>
      </c>
      <c r="U86" s="160">
        <f t="shared" si="265"/>
        <v>902</v>
      </c>
      <c r="V86" s="103">
        <f>V85</f>
        <v>898</v>
      </c>
      <c r="W86" s="46">
        <f t="shared" si="266"/>
        <v>4</v>
      </c>
      <c r="X86" s="51">
        <f t="shared" si="267"/>
        <v>82</v>
      </c>
      <c r="Y86" s="103">
        <f>Y85</f>
        <v>84</v>
      </c>
      <c r="Z86" s="46">
        <f t="shared" si="299"/>
        <v>-2</v>
      </c>
      <c r="AB86" s="120">
        <f>AB85+1</f>
        <v>20</v>
      </c>
      <c r="AC86" s="7">
        <f>AC85</f>
        <v>12</v>
      </c>
      <c r="AD86" s="133"/>
      <c r="AE86" s="221"/>
      <c r="AF86" s="14">
        <f t="shared" si="302"/>
        <v>91920</v>
      </c>
      <c r="AG86" s="46">
        <f t="shared" si="345"/>
        <v>91914</v>
      </c>
      <c r="AH86" s="134"/>
      <c r="AI86" s="135">
        <v>6</v>
      </c>
      <c r="AJ86" s="135"/>
      <c r="AK86" s="14">
        <f t="shared" si="346"/>
        <v>6</v>
      </c>
      <c r="AL86" s="14">
        <f t="shared" si="339"/>
        <v>2826</v>
      </c>
      <c r="AM86" s="14">
        <f t="shared" si="268"/>
        <v>0.16</v>
      </c>
      <c r="AN86" s="47">
        <f t="shared" si="303"/>
        <v>6.5274151436031339E-2</v>
      </c>
      <c r="AO86" s="35">
        <f t="shared" si="269"/>
        <v>3.5200000000000009</v>
      </c>
      <c r="AP86" s="159">
        <f t="shared" si="334"/>
        <v>3.0744125326370759</v>
      </c>
      <c r="AQ86" s="142"/>
      <c r="AR86" s="14">
        <f t="shared" si="270"/>
        <v>53</v>
      </c>
      <c r="AS86" s="35">
        <f t="shared" si="304"/>
        <v>0</v>
      </c>
      <c r="AT86" s="301">
        <f t="shared" si="305"/>
        <v>5.5413543607296042E-2</v>
      </c>
      <c r="AU86" s="14">
        <f t="shared" si="271"/>
        <v>902</v>
      </c>
      <c r="AV86" s="103">
        <f>AV85</f>
        <v>888</v>
      </c>
      <c r="AW86" s="46">
        <f t="shared" ref="AW86:AW133" si="371">AU86-AV86</f>
        <v>14</v>
      </c>
      <c r="AX86" s="51">
        <f t="shared" si="272"/>
        <v>82</v>
      </c>
      <c r="AY86" s="103">
        <f>AY85</f>
        <v>85</v>
      </c>
      <c r="AZ86" s="46">
        <f t="shared" si="308"/>
        <v>-3</v>
      </c>
      <c r="BA86" s="316"/>
      <c r="BB86" s="120">
        <f>BB85+1</f>
        <v>18</v>
      </c>
      <c r="BC86" s="7">
        <f>BC85</f>
        <v>12</v>
      </c>
      <c r="BD86" s="133"/>
      <c r="BE86" s="221"/>
      <c r="BF86" s="14">
        <f t="shared" si="311"/>
        <v>95041</v>
      </c>
      <c r="BG86" s="46">
        <f t="shared" si="347"/>
        <v>95036</v>
      </c>
      <c r="BH86" s="134"/>
      <c r="BI86" s="135">
        <v>5</v>
      </c>
      <c r="BJ86" s="135"/>
      <c r="BK86" s="14">
        <f t="shared" si="348"/>
        <v>5</v>
      </c>
      <c r="BL86" s="14">
        <f t="shared" si="340"/>
        <v>5167</v>
      </c>
      <c r="BM86" s="14">
        <f t="shared" si="273"/>
        <v>0.16</v>
      </c>
      <c r="BN86" s="47">
        <f t="shared" si="312"/>
        <v>5.2608874064877263E-2</v>
      </c>
      <c r="BO86" s="35">
        <f t="shared" si="274"/>
        <v>3.5200000000000009</v>
      </c>
      <c r="BP86" s="159">
        <f t="shared" si="313"/>
        <v>5.4366010458644167</v>
      </c>
      <c r="BQ86" s="142"/>
      <c r="BR86" s="13">
        <f t="shared" si="275"/>
        <v>53</v>
      </c>
      <c r="BS86" s="48">
        <f t="shared" si="336"/>
        <v>0</v>
      </c>
      <c r="BT86" s="49">
        <f t="shared" si="314"/>
        <v>7.2033724880284866E-2</v>
      </c>
      <c r="BU86" s="50">
        <f t="shared" si="276"/>
        <v>902</v>
      </c>
      <c r="BV86" s="103">
        <f>BV85</f>
        <v>898</v>
      </c>
      <c r="BW86" s="46">
        <f t="shared" ref="BW86:BW133" si="372">BU86-BV86</f>
        <v>4</v>
      </c>
      <c r="BX86" s="51">
        <f t="shared" si="277"/>
        <v>82</v>
      </c>
      <c r="BY86" s="103">
        <f>BY85</f>
        <v>84</v>
      </c>
      <c r="BZ86" s="46">
        <f t="shared" si="317"/>
        <v>-2</v>
      </c>
      <c r="CA86" s="316"/>
      <c r="CB86" s="120"/>
      <c r="CC86" s="7">
        <f>CC85</f>
        <v>12</v>
      </c>
      <c r="CD86" s="133"/>
      <c r="CE86" s="221"/>
      <c r="CF86" s="14">
        <f t="shared" si="319"/>
        <v>0</v>
      </c>
      <c r="CG86" s="46">
        <f t="shared" si="349"/>
        <v>0</v>
      </c>
      <c r="CH86" s="134"/>
      <c r="CI86" s="135"/>
      <c r="CJ86" s="135"/>
      <c r="CK86" s="14">
        <f t="shared" si="350"/>
        <v>0</v>
      </c>
      <c r="CL86" s="14">
        <f t="shared" si="341"/>
        <v>0</v>
      </c>
      <c r="CM86" s="14">
        <f t="shared" si="278"/>
        <v>0.16</v>
      </c>
      <c r="CN86" s="231">
        <f t="shared" si="320"/>
        <v>0</v>
      </c>
      <c r="CO86" s="37">
        <f t="shared" si="279"/>
        <v>3.5200000000000009</v>
      </c>
      <c r="CP86" s="155">
        <f t="shared" si="321"/>
        <v>0</v>
      </c>
      <c r="CQ86" s="142"/>
      <c r="CR86" s="13">
        <f t="shared" si="280"/>
        <v>53</v>
      </c>
      <c r="CS86" s="48">
        <f t="shared" si="335"/>
        <v>0</v>
      </c>
      <c r="CT86" s="49">
        <f t="shared" si="322"/>
        <v>0</v>
      </c>
      <c r="CU86" s="50">
        <f t="shared" si="281"/>
        <v>902</v>
      </c>
      <c r="CV86" s="103">
        <f>CV85</f>
        <v>0</v>
      </c>
      <c r="CW86" s="46">
        <f t="shared" ref="CW86:CW133" si="373">CU86-CV86</f>
        <v>902</v>
      </c>
      <c r="CX86" s="51">
        <f t="shared" si="282"/>
        <v>82</v>
      </c>
      <c r="CY86" s="103">
        <f>CY85</f>
        <v>0</v>
      </c>
      <c r="CZ86" s="46">
        <f t="shared" si="325"/>
        <v>82</v>
      </c>
      <c r="DA86" s="316"/>
      <c r="DB86" s="120"/>
      <c r="DC86" s="7">
        <f>DC85</f>
        <v>12</v>
      </c>
      <c r="DD86" s="133"/>
      <c r="DE86" s="221"/>
      <c r="DF86" s="14">
        <f t="shared" si="327"/>
        <v>0</v>
      </c>
      <c r="DG86" s="46">
        <f t="shared" si="351"/>
        <v>0</v>
      </c>
      <c r="DH86" s="134"/>
      <c r="DI86" s="135"/>
      <c r="DJ86" s="135"/>
      <c r="DK86" s="14">
        <f t="shared" si="352"/>
        <v>0</v>
      </c>
      <c r="DL86" s="14">
        <f t="shared" si="342"/>
        <v>0</v>
      </c>
      <c r="DM86" s="14">
        <f t="shared" si="283"/>
        <v>0.16</v>
      </c>
      <c r="DN86" s="47">
        <f t="shared" si="328"/>
        <v>0</v>
      </c>
      <c r="DO86" s="35">
        <f t="shared" si="284"/>
        <v>3.5200000000000009</v>
      </c>
      <c r="DP86" s="159">
        <f t="shared" si="329"/>
        <v>0</v>
      </c>
      <c r="DQ86" s="142"/>
      <c r="DR86" s="13">
        <f t="shared" si="285"/>
        <v>53</v>
      </c>
      <c r="DS86" s="48">
        <f t="shared" si="337"/>
        <v>0</v>
      </c>
      <c r="DT86" s="49">
        <f t="shared" si="330"/>
        <v>0</v>
      </c>
      <c r="DU86" s="50">
        <f t="shared" si="286"/>
        <v>902</v>
      </c>
      <c r="DV86" s="103">
        <f>DV85</f>
        <v>0</v>
      </c>
      <c r="DW86" s="46">
        <f t="shared" ref="DW86:DW133" si="374">DU86-DV86</f>
        <v>902</v>
      </c>
      <c r="DX86" s="51">
        <f t="shared" si="287"/>
        <v>82</v>
      </c>
      <c r="DY86" s="103">
        <f>DY85</f>
        <v>0</v>
      </c>
      <c r="DZ86" s="46">
        <f t="shared" si="333"/>
        <v>82</v>
      </c>
    </row>
    <row r="87" spans="1:130" x14ac:dyDescent="0.25">
      <c r="B87" s="120">
        <f t="shared" ref="B87:B91" si="375">B86+1</f>
        <v>19</v>
      </c>
      <c r="C87" s="115">
        <f t="shared" ref="C87:C91" si="376">C86</f>
        <v>12</v>
      </c>
      <c r="D87" s="133"/>
      <c r="E87" s="221"/>
      <c r="F87" s="103">
        <f t="shared" si="290"/>
        <v>93366</v>
      </c>
      <c r="G87" s="108">
        <f t="shared" si="343"/>
        <v>93363</v>
      </c>
      <c r="H87" s="134"/>
      <c r="I87" s="135">
        <v>3</v>
      </c>
      <c r="J87" s="135"/>
      <c r="K87" s="14">
        <f t="shared" si="344"/>
        <v>3</v>
      </c>
      <c r="L87" s="14">
        <f t="shared" si="338"/>
        <v>194</v>
      </c>
      <c r="M87" s="14">
        <f t="shared" si="264"/>
        <v>0.16</v>
      </c>
      <c r="N87" s="47">
        <f t="shared" si="291"/>
        <v>3.2131611078979501E-2</v>
      </c>
      <c r="O87" s="35">
        <f t="shared" si="292"/>
        <v>3.5200000000000009</v>
      </c>
      <c r="P87" s="159">
        <f t="shared" si="293"/>
        <v>0.2077844183107341</v>
      </c>
      <c r="Q87" s="142"/>
      <c r="R87" s="13">
        <f t="shared" si="294"/>
        <v>53</v>
      </c>
      <c r="S87" s="48">
        <f t="shared" si="295"/>
        <v>0</v>
      </c>
      <c r="T87" s="49">
        <f t="shared" si="296"/>
        <v>0.11689245893777725</v>
      </c>
      <c r="U87" s="160">
        <f t="shared" si="265"/>
        <v>902</v>
      </c>
      <c r="V87" s="103">
        <f t="shared" ref="V87:V91" si="377">V86</f>
        <v>898</v>
      </c>
      <c r="W87" s="46">
        <f t="shared" si="266"/>
        <v>4</v>
      </c>
      <c r="X87" s="51">
        <f t="shared" si="267"/>
        <v>82</v>
      </c>
      <c r="Y87" s="103">
        <f t="shared" ref="Y87:Y91" si="378">Y86</f>
        <v>84</v>
      </c>
      <c r="Z87" s="46">
        <f t="shared" si="299"/>
        <v>-2</v>
      </c>
      <c r="AB87" s="120">
        <f t="shared" ref="AB87:AB91" si="379">AB86+1</f>
        <v>21</v>
      </c>
      <c r="AC87" s="7">
        <f t="shared" ref="AC87:AC91" si="380">AC86</f>
        <v>12</v>
      </c>
      <c r="AD87" s="133"/>
      <c r="AE87" s="221"/>
      <c r="AF87" s="14">
        <f t="shared" si="302"/>
        <v>91914</v>
      </c>
      <c r="AG87" s="62">
        <f t="shared" si="345"/>
        <v>91908</v>
      </c>
      <c r="AH87" s="134"/>
      <c r="AI87" s="135">
        <v>6</v>
      </c>
      <c r="AJ87" s="135"/>
      <c r="AK87" s="14">
        <f t="shared" si="346"/>
        <v>6</v>
      </c>
      <c r="AL87" s="14">
        <f t="shared" si="339"/>
        <v>2832</v>
      </c>
      <c r="AM87" s="14">
        <f t="shared" si="268"/>
        <v>0.16</v>
      </c>
      <c r="AN87" s="47">
        <f t="shared" si="303"/>
        <v>6.5278412429009725E-2</v>
      </c>
      <c r="AO87" s="35">
        <f t="shared" si="269"/>
        <v>3.5200000000000009</v>
      </c>
      <c r="AP87" s="159">
        <f t="shared" si="334"/>
        <v>3.0811410666492591</v>
      </c>
      <c r="AQ87" s="142"/>
      <c r="AR87" s="14">
        <f t="shared" si="270"/>
        <v>53</v>
      </c>
      <c r="AS87" s="35">
        <f t="shared" si="304"/>
        <v>0</v>
      </c>
      <c r="AT87" s="301">
        <f t="shared" si="305"/>
        <v>5.5413543607296042E-2</v>
      </c>
      <c r="AU87" s="14">
        <f t="shared" si="271"/>
        <v>902</v>
      </c>
      <c r="AV87" s="103">
        <f t="shared" ref="AV87:AV91" si="381">AV86</f>
        <v>888</v>
      </c>
      <c r="AW87" s="46">
        <f t="shared" si="371"/>
        <v>14</v>
      </c>
      <c r="AX87" s="51">
        <f t="shared" si="272"/>
        <v>82</v>
      </c>
      <c r="AY87" s="103">
        <f t="shared" ref="AY87:AY91" si="382">AY86</f>
        <v>85</v>
      </c>
      <c r="AZ87" s="46">
        <f t="shared" si="308"/>
        <v>-3</v>
      </c>
      <c r="BA87" s="316"/>
      <c r="BB87" s="120">
        <f t="shared" ref="BB87:BB91" si="383">BB86+1</f>
        <v>19</v>
      </c>
      <c r="BC87" s="7">
        <f t="shared" ref="BC87:BC91" si="384">BC86</f>
        <v>12</v>
      </c>
      <c r="BD87" s="133"/>
      <c r="BE87" s="221"/>
      <c r="BF87" s="14">
        <f t="shared" si="311"/>
        <v>95036</v>
      </c>
      <c r="BG87" s="62">
        <f t="shared" si="347"/>
        <v>95030</v>
      </c>
      <c r="BH87" s="134">
        <v>2</v>
      </c>
      <c r="BI87" s="135">
        <v>4</v>
      </c>
      <c r="BJ87" s="135"/>
      <c r="BK87" s="14">
        <f t="shared" si="348"/>
        <v>6</v>
      </c>
      <c r="BL87" s="14">
        <f t="shared" si="340"/>
        <v>5173</v>
      </c>
      <c r="BM87" s="14">
        <f t="shared" si="273"/>
        <v>0.16</v>
      </c>
      <c r="BN87" s="47">
        <f t="shared" si="312"/>
        <v>6.3133970284944649E-2</v>
      </c>
      <c r="BO87" s="35">
        <f t="shared" si="274"/>
        <v>3.5200000000000009</v>
      </c>
      <c r="BP87" s="159">
        <f t="shared" si="313"/>
        <v>5.4432004714003117</v>
      </c>
      <c r="BQ87" s="142"/>
      <c r="BR87" s="13">
        <f t="shared" si="275"/>
        <v>53</v>
      </c>
      <c r="BS87" s="48">
        <f t="shared" si="336"/>
        <v>0</v>
      </c>
      <c r="BT87" s="49">
        <f t="shared" si="314"/>
        <v>7.2033724880284866E-2</v>
      </c>
      <c r="BU87" s="50">
        <f t="shared" si="276"/>
        <v>902</v>
      </c>
      <c r="BV87" s="103">
        <f t="shared" ref="BV87:BV91" si="385">BV86</f>
        <v>898</v>
      </c>
      <c r="BW87" s="46">
        <f t="shared" si="372"/>
        <v>4</v>
      </c>
      <c r="BX87" s="51">
        <f t="shared" si="277"/>
        <v>82</v>
      </c>
      <c r="BY87" s="103">
        <f t="shared" ref="BY87:BY91" si="386">BY86</f>
        <v>84</v>
      </c>
      <c r="BZ87" s="46">
        <f t="shared" si="317"/>
        <v>-2</v>
      </c>
      <c r="CA87" s="316"/>
      <c r="CB87" s="120"/>
      <c r="CC87" s="7">
        <f t="shared" ref="CC87:CC91" si="387">CC86</f>
        <v>12</v>
      </c>
      <c r="CD87" s="133"/>
      <c r="CE87" s="221"/>
      <c r="CF87" s="14">
        <f t="shared" si="319"/>
        <v>0</v>
      </c>
      <c r="CG87" s="62">
        <f t="shared" si="349"/>
        <v>0</v>
      </c>
      <c r="CH87" s="134"/>
      <c r="CI87" s="135"/>
      <c r="CJ87" s="135"/>
      <c r="CK87" s="14">
        <f t="shared" si="350"/>
        <v>0</v>
      </c>
      <c r="CL87" s="14">
        <f t="shared" si="341"/>
        <v>0</v>
      </c>
      <c r="CM87" s="14">
        <f t="shared" si="278"/>
        <v>0.16</v>
      </c>
      <c r="CN87" s="47">
        <f t="shared" si="320"/>
        <v>0</v>
      </c>
      <c r="CO87" s="35">
        <f t="shared" si="279"/>
        <v>3.5200000000000009</v>
      </c>
      <c r="CP87" s="159">
        <f t="shared" si="321"/>
        <v>0</v>
      </c>
      <c r="CQ87" s="142"/>
      <c r="CR87" s="13">
        <f t="shared" si="280"/>
        <v>53</v>
      </c>
      <c r="CS87" s="48">
        <f t="shared" si="335"/>
        <v>0</v>
      </c>
      <c r="CT87" s="49">
        <f t="shared" si="322"/>
        <v>0</v>
      </c>
      <c r="CU87" s="50">
        <f t="shared" si="281"/>
        <v>902</v>
      </c>
      <c r="CV87" s="103">
        <f t="shared" ref="CV87:CV91" si="388">CV86</f>
        <v>0</v>
      </c>
      <c r="CW87" s="46">
        <f t="shared" si="373"/>
        <v>902</v>
      </c>
      <c r="CX87" s="51">
        <f t="shared" si="282"/>
        <v>82</v>
      </c>
      <c r="CY87" s="103">
        <f t="shared" ref="CY87:CY91" si="389">CY86</f>
        <v>0</v>
      </c>
      <c r="CZ87" s="46">
        <f t="shared" si="325"/>
        <v>82</v>
      </c>
      <c r="DA87" s="316"/>
      <c r="DB87" s="120"/>
      <c r="DC87" s="7">
        <f t="shared" ref="DC87:DC91" si="390">DC86</f>
        <v>12</v>
      </c>
      <c r="DD87" s="133"/>
      <c r="DE87" s="221"/>
      <c r="DF87" s="14">
        <f t="shared" si="327"/>
        <v>0</v>
      </c>
      <c r="DG87" s="62">
        <f t="shared" si="351"/>
        <v>0</v>
      </c>
      <c r="DH87" s="134"/>
      <c r="DI87" s="135"/>
      <c r="DJ87" s="135"/>
      <c r="DK87" s="14">
        <f t="shared" si="352"/>
        <v>0</v>
      </c>
      <c r="DL87" s="14">
        <f t="shared" si="342"/>
        <v>0</v>
      </c>
      <c r="DM87" s="14">
        <f t="shared" si="283"/>
        <v>0.16</v>
      </c>
      <c r="DN87" s="47">
        <f t="shared" si="328"/>
        <v>0</v>
      </c>
      <c r="DO87" s="35">
        <f t="shared" si="284"/>
        <v>3.5200000000000009</v>
      </c>
      <c r="DP87" s="159">
        <f t="shared" si="329"/>
        <v>0</v>
      </c>
      <c r="DQ87" s="142"/>
      <c r="DR87" s="13">
        <f t="shared" si="285"/>
        <v>53</v>
      </c>
      <c r="DS87" s="48">
        <f t="shared" si="337"/>
        <v>0</v>
      </c>
      <c r="DT87" s="49">
        <f t="shared" si="330"/>
        <v>0</v>
      </c>
      <c r="DU87" s="50">
        <f t="shared" si="286"/>
        <v>902</v>
      </c>
      <c r="DV87" s="103">
        <f t="shared" ref="DV87:DV91" si="391">DV86</f>
        <v>0</v>
      </c>
      <c r="DW87" s="46">
        <f t="shared" si="374"/>
        <v>902</v>
      </c>
      <c r="DX87" s="51">
        <f t="shared" si="287"/>
        <v>82</v>
      </c>
      <c r="DY87" s="103">
        <f t="shared" ref="DY87:DY91" si="392">DY86</f>
        <v>0</v>
      </c>
      <c r="DZ87" s="46">
        <f t="shared" si="333"/>
        <v>82</v>
      </c>
    </row>
    <row r="88" spans="1:130" x14ac:dyDescent="0.25">
      <c r="B88" s="120">
        <f t="shared" si="375"/>
        <v>20</v>
      </c>
      <c r="C88" s="115">
        <f t="shared" si="376"/>
        <v>12</v>
      </c>
      <c r="D88" s="133"/>
      <c r="E88" s="221"/>
      <c r="F88" s="103">
        <f t="shared" si="290"/>
        <v>93363</v>
      </c>
      <c r="G88" s="107">
        <f t="shared" si="343"/>
        <v>93361</v>
      </c>
      <c r="H88" s="134"/>
      <c r="I88" s="135">
        <v>2</v>
      </c>
      <c r="J88" s="135"/>
      <c r="K88" s="14">
        <f t="shared" si="344"/>
        <v>2</v>
      </c>
      <c r="L88" s="17">
        <f t="shared" si="338"/>
        <v>196</v>
      </c>
      <c r="M88" s="14">
        <f t="shared" si="264"/>
        <v>0.16</v>
      </c>
      <c r="N88" s="47">
        <f t="shared" si="291"/>
        <v>2.1421762368390048E-2</v>
      </c>
      <c r="O88" s="35">
        <f t="shared" si="292"/>
        <v>3.5200000000000009</v>
      </c>
      <c r="P88" s="159">
        <f t="shared" si="293"/>
        <v>0.20993327121022246</v>
      </c>
      <c r="Q88" s="142"/>
      <c r="R88" s="14">
        <f t="shared" si="294"/>
        <v>53</v>
      </c>
      <c r="S88" s="48">
        <f t="shared" si="295"/>
        <v>0</v>
      </c>
      <c r="T88" s="49">
        <f t="shared" si="296"/>
        <v>0.11689245893777725</v>
      </c>
      <c r="U88" s="160">
        <f t="shared" si="265"/>
        <v>902</v>
      </c>
      <c r="V88" s="103">
        <f t="shared" si="377"/>
        <v>898</v>
      </c>
      <c r="W88" s="46">
        <f t="shared" si="266"/>
        <v>4</v>
      </c>
      <c r="X88" s="51">
        <f t="shared" si="267"/>
        <v>82</v>
      </c>
      <c r="Y88" s="103">
        <f t="shared" si="378"/>
        <v>84</v>
      </c>
      <c r="Z88" s="46">
        <f t="shared" si="299"/>
        <v>-2</v>
      </c>
      <c r="AB88" s="120">
        <f t="shared" si="379"/>
        <v>22</v>
      </c>
      <c r="AC88" s="7">
        <f t="shared" si="380"/>
        <v>12</v>
      </c>
      <c r="AD88" s="133"/>
      <c r="AE88" s="221"/>
      <c r="AF88" s="14">
        <f t="shared" si="302"/>
        <v>91908</v>
      </c>
      <c r="AG88" s="59">
        <f t="shared" si="345"/>
        <v>91904</v>
      </c>
      <c r="AH88" s="134"/>
      <c r="AI88" s="135">
        <v>4</v>
      </c>
      <c r="AJ88" s="135"/>
      <c r="AK88" s="14">
        <f t="shared" si="346"/>
        <v>4</v>
      </c>
      <c r="AL88" s="17">
        <f t="shared" si="339"/>
        <v>2836</v>
      </c>
      <c r="AM88" s="14">
        <f t="shared" si="268"/>
        <v>0.16</v>
      </c>
      <c r="AN88" s="47">
        <f t="shared" si="303"/>
        <v>4.3521782652217435E-2</v>
      </c>
      <c r="AO88" s="35">
        <f t="shared" si="269"/>
        <v>3.5200000000000009</v>
      </c>
      <c r="AP88" s="159">
        <f t="shared" si="334"/>
        <v>3.085694390042216</v>
      </c>
      <c r="AQ88" s="142"/>
      <c r="AR88" s="14">
        <f t="shared" si="270"/>
        <v>53</v>
      </c>
      <c r="AS88" s="35">
        <f t="shared" si="304"/>
        <v>0</v>
      </c>
      <c r="AT88" s="301">
        <f t="shared" si="305"/>
        <v>5.5413543607296042E-2</v>
      </c>
      <c r="AU88" s="14">
        <f t="shared" si="271"/>
        <v>902</v>
      </c>
      <c r="AV88" s="103">
        <f t="shared" si="381"/>
        <v>888</v>
      </c>
      <c r="AW88" s="46">
        <f t="shared" si="371"/>
        <v>14</v>
      </c>
      <c r="AX88" s="51">
        <f t="shared" si="272"/>
        <v>82</v>
      </c>
      <c r="AY88" s="103">
        <f t="shared" si="382"/>
        <v>85</v>
      </c>
      <c r="AZ88" s="46">
        <f t="shared" si="308"/>
        <v>-3</v>
      </c>
      <c r="BA88" s="316"/>
      <c r="BB88" s="120">
        <f t="shared" si="383"/>
        <v>20</v>
      </c>
      <c r="BC88" s="7">
        <f t="shared" si="384"/>
        <v>12</v>
      </c>
      <c r="BD88" s="133"/>
      <c r="BE88" s="221"/>
      <c r="BF88" s="14">
        <f t="shared" si="311"/>
        <v>95030</v>
      </c>
      <c r="BG88" s="59">
        <f t="shared" si="347"/>
        <v>95026</v>
      </c>
      <c r="BH88" s="134"/>
      <c r="BI88" s="135">
        <v>4</v>
      </c>
      <c r="BJ88" s="135"/>
      <c r="BK88" s="14">
        <f t="shared" si="348"/>
        <v>4</v>
      </c>
      <c r="BL88" s="17">
        <f t="shared" si="340"/>
        <v>5177</v>
      </c>
      <c r="BM88" s="14">
        <f t="shared" si="273"/>
        <v>0.16</v>
      </c>
      <c r="BN88" s="47">
        <f t="shared" si="312"/>
        <v>4.2091970956540041E-2</v>
      </c>
      <c r="BO88" s="35">
        <f t="shared" si="274"/>
        <v>3.5200000000000009</v>
      </c>
      <c r="BP88" s="159">
        <f t="shared" si="313"/>
        <v>5.4477533410501948</v>
      </c>
      <c r="BQ88" s="142"/>
      <c r="BR88" s="13">
        <f t="shared" si="275"/>
        <v>53</v>
      </c>
      <c r="BS88" s="48">
        <f t="shared" si="336"/>
        <v>0</v>
      </c>
      <c r="BT88" s="49">
        <f t="shared" si="314"/>
        <v>7.2033724880284866E-2</v>
      </c>
      <c r="BU88" s="50">
        <f t="shared" si="276"/>
        <v>902</v>
      </c>
      <c r="BV88" s="103">
        <f t="shared" si="385"/>
        <v>898</v>
      </c>
      <c r="BW88" s="46">
        <f t="shared" si="372"/>
        <v>4</v>
      </c>
      <c r="BX88" s="51">
        <f t="shared" si="277"/>
        <v>82</v>
      </c>
      <c r="BY88" s="103">
        <f t="shared" si="386"/>
        <v>84</v>
      </c>
      <c r="BZ88" s="46">
        <f t="shared" si="317"/>
        <v>-2</v>
      </c>
      <c r="CA88" s="316"/>
      <c r="CB88" s="120"/>
      <c r="CC88" s="7">
        <f t="shared" si="387"/>
        <v>12</v>
      </c>
      <c r="CD88" s="133"/>
      <c r="CE88" s="221"/>
      <c r="CF88" s="14">
        <f t="shared" si="319"/>
        <v>0</v>
      </c>
      <c r="CG88" s="59">
        <f t="shared" si="349"/>
        <v>0</v>
      </c>
      <c r="CH88" s="134"/>
      <c r="CI88" s="135"/>
      <c r="CJ88" s="135"/>
      <c r="CK88" s="14">
        <f t="shared" si="350"/>
        <v>0</v>
      </c>
      <c r="CL88" s="17">
        <f t="shared" si="341"/>
        <v>0</v>
      </c>
      <c r="CM88" s="14">
        <f t="shared" si="278"/>
        <v>0.16</v>
      </c>
      <c r="CN88" s="47">
        <f t="shared" si="320"/>
        <v>0</v>
      </c>
      <c r="CO88" s="35">
        <f t="shared" si="279"/>
        <v>3.5200000000000009</v>
      </c>
      <c r="CP88" s="159">
        <f t="shared" si="321"/>
        <v>0</v>
      </c>
      <c r="CQ88" s="142"/>
      <c r="CR88" s="13">
        <f t="shared" si="280"/>
        <v>53</v>
      </c>
      <c r="CS88" s="48">
        <f t="shared" si="335"/>
        <v>0</v>
      </c>
      <c r="CT88" s="49">
        <f t="shared" si="322"/>
        <v>0</v>
      </c>
      <c r="CU88" s="50">
        <f t="shared" si="281"/>
        <v>902</v>
      </c>
      <c r="CV88" s="103">
        <f t="shared" si="388"/>
        <v>0</v>
      </c>
      <c r="CW88" s="46">
        <f t="shared" si="373"/>
        <v>902</v>
      </c>
      <c r="CX88" s="51">
        <f t="shared" si="282"/>
        <v>82</v>
      </c>
      <c r="CY88" s="103">
        <f t="shared" si="389"/>
        <v>0</v>
      </c>
      <c r="CZ88" s="46">
        <f t="shared" si="325"/>
        <v>82</v>
      </c>
      <c r="DA88" s="316"/>
      <c r="DB88" s="120"/>
      <c r="DC88" s="7">
        <f t="shared" si="390"/>
        <v>12</v>
      </c>
      <c r="DD88" s="133"/>
      <c r="DE88" s="221"/>
      <c r="DF88" s="14">
        <f t="shared" si="327"/>
        <v>0</v>
      </c>
      <c r="DG88" s="59">
        <f t="shared" si="351"/>
        <v>0</v>
      </c>
      <c r="DH88" s="134"/>
      <c r="DI88" s="135"/>
      <c r="DJ88" s="135"/>
      <c r="DK88" s="14">
        <f t="shared" si="352"/>
        <v>0</v>
      </c>
      <c r="DL88" s="17">
        <f t="shared" si="342"/>
        <v>0</v>
      </c>
      <c r="DM88" s="14">
        <f t="shared" si="283"/>
        <v>0.16</v>
      </c>
      <c r="DN88" s="47">
        <f t="shared" si="328"/>
        <v>0</v>
      </c>
      <c r="DO88" s="35">
        <f t="shared" si="284"/>
        <v>3.5200000000000009</v>
      </c>
      <c r="DP88" s="159">
        <f t="shared" si="329"/>
        <v>0</v>
      </c>
      <c r="DQ88" s="142"/>
      <c r="DR88" s="13">
        <f t="shared" si="285"/>
        <v>53</v>
      </c>
      <c r="DS88" s="48">
        <f t="shared" si="337"/>
        <v>0</v>
      </c>
      <c r="DT88" s="49">
        <f t="shared" si="330"/>
        <v>0</v>
      </c>
      <c r="DU88" s="50">
        <f t="shared" si="286"/>
        <v>902</v>
      </c>
      <c r="DV88" s="103">
        <f t="shared" si="391"/>
        <v>0</v>
      </c>
      <c r="DW88" s="46">
        <f t="shared" si="374"/>
        <v>902</v>
      </c>
      <c r="DX88" s="51">
        <f t="shared" si="287"/>
        <v>82</v>
      </c>
      <c r="DY88" s="103">
        <f t="shared" si="392"/>
        <v>0</v>
      </c>
      <c r="DZ88" s="46">
        <f t="shared" si="333"/>
        <v>82</v>
      </c>
    </row>
    <row r="89" spans="1:130" x14ac:dyDescent="0.25">
      <c r="B89" s="120">
        <f t="shared" si="375"/>
        <v>21</v>
      </c>
      <c r="C89" s="115">
        <f t="shared" si="376"/>
        <v>12</v>
      </c>
      <c r="D89" s="133"/>
      <c r="E89" s="221"/>
      <c r="F89" s="103">
        <f t="shared" si="290"/>
        <v>93361</v>
      </c>
      <c r="G89" s="104">
        <f t="shared" si="343"/>
        <v>93358</v>
      </c>
      <c r="H89" s="134"/>
      <c r="I89" s="135">
        <v>3</v>
      </c>
      <c r="J89" s="135"/>
      <c r="K89" s="14">
        <f t="shared" si="344"/>
        <v>3</v>
      </c>
      <c r="L89" s="14">
        <f t="shared" si="338"/>
        <v>199</v>
      </c>
      <c r="M89" s="14">
        <f t="shared" si="264"/>
        <v>0.16</v>
      </c>
      <c r="N89" s="47">
        <f t="shared" si="291"/>
        <v>3.2133331905185247E-2</v>
      </c>
      <c r="O89" s="35">
        <f t="shared" si="292"/>
        <v>3.5200000000000009</v>
      </c>
      <c r="P89" s="159">
        <f t="shared" si="293"/>
        <v>0.21315110163772882</v>
      </c>
      <c r="Q89" s="142"/>
      <c r="R89" s="17">
        <f t="shared" si="294"/>
        <v>53</v>
      </c>
      <c r="S89" s="48">
        <f t="shared" si="295"/>
        <v>0</v>
      </c>
      <c r="T89" s="49">
        <f t="shared" si="296"/>
        <v>0.11689245893777725</v>
      </c>
      <c r="U89" s="160">
        <f t="shared" si="265"/>
        <v>902</v>
      </c>
      <c r="V89" s="103">
        <f t="shared" si="377"/>
        <v>898</v>
      </c>
      <c r="W89" s="46">
        <f t="shared" si="266"/>
        <v>4</v>
      </c>
      <c r="X89" s="51">
        <f t="shared" si="267"/>
        <v>82</v>
      </c>
      <c r="Y89" s="103">
        <f t="shared" si="378"/>
        <v>84</v>
      </c>
      <c r="Z89" s="46">
        <f t="shared" si="299"/>
        <v>-2</v>
      </c>
      <c r="AB89" s="120">
        <f t="shared" si="379"/>
        <v>23</v>
      </c>
      <c r="AC89" s="7">
        <f t="shared" si="380"/>
        <v>12</v>
      </c>
      <c r="AD89" s="133"/>
      <c r="AE89" s="221"/>
      <c r="AF89" s="14">
        <f t="shared" si="302"/>
        <v>91904</v>
      </c>
      <c r="AG89" s="46">
        <f t="shared" si="345"/>
        <v>91900</v>
      </c>
      <c r="AH89" s="134"/>
      <c r="AI89" s="135">
        <v>4</v>
      </c>
      <c r="AJ89" s="135"/>
      <c r="AK89" s="14">
        <f t="shared" si="346"/>
        <v>4</v>
      </c>
      <c r="AL89" s="14">
        <f t="shared" si="339"/>
        <v>2840</v>
      </c>
      <c r="AM89" s="14">
        <f t="shared" si="268"/>
        <v>0.16</v>
      </c>
      <c r="AN89" s="47">
        <f t="shared" si="303"/>
        <v>4.3523676880222843E-2</v>
      </c>
      <c r="AO89" s="35">
        <f t="shared" si="269"/>
        <v>3.5200000000000009</v>
      </c>
      <c r="AP89" s="159">
        <f t="shared" si="334"/>
        <v>3.0901810584958218</v>
      </c>
      <c r="AQ89" s="142"/>
      <c r="AR89" s="14">
        <f t="shared" si="270"/>
        <v>53</v>
      </c>
      <c r="AS89" s="35">
        <f t="shared" si="304"/>
        <v>0</v>
      </c>
      <c r="AT89" s="301">
        <f t="shared" si="305"/>
        <v>5.5413543607296042E-2</v>
      </c>
      <c r="AU89" s="14">
        <f t="shared" si="271"/>
        <v>902</v>
      </c>
      <c r="AV89" s="103">
        <f t="shared" si="381"/>
        <v>888</v>
      </c>
      <c r="AW89" s="46">
        <f t="shared" si="371"/>
        <v>14</v>
      </c>
      <c r="AX89" s="51">
        <f t="shared" si="272"/>
        <v>82</v>
      </c>
      <c r="AY89" s="103">
        <f t="shared" si="382"/>
        <v>85</v>
      </c>
      <c r="AZ89" s="46">
        <f t="shared" si="308"/>
        <v>-3</v>
      </c>
      <c r="BA89" s="316"/>
      <c r="BB89" s="120">
        <f t="shared" si="383"/>
        <v>21</v>
      </c>
      <c r="BC89" s="7">
        <f t="shared" si="384"/>
        <v>12</v>
      </c>
      <c r="BD89" s="133"/>
      <c r="BE89" s="221"/>
      <c r="BF89" s="14">
        <f t="shared" si="311"/>
        <v>95026</v>
      </c>
      <c r="BG89" s="46">
        <f t="shared" si="347"/>
        <v>95022</v>
      </c>
      <c r="BH89" s="134"/>
      <c r="BI89" s="135">
        <v>4</v>
      </c>
      <c r="BJ89" s="135"/>
      <c r="BK89" s="14">
        <f t="shared" si="348"/>
        <v>4</v>
      </c>
      <c r="BL89" s="14">
        <f t="shared" si="340"/>
        <v>5181</v>
      </c>
      <c r="BM89" s="14">
        <f t="shared" si="273"/>
        <v>0.16</v>
      </c>
      <c r="BN89" s="47">
        <f t="shared" si="312"/>
        <v>4.2093742765137963E-2</v>
      </c>
      <c r="BO89" s="35">
        <f t="shared" si="274"/>
        <v>3.5200000000000009</v>
      </c>
      <c r="BP89" s="159">
        <f t="shared" si="313"/>
        <v>5.4521920316544943</v>
      </c>
      <c r="BQ89" s="142"/>
      <c r="BR89" s="13">
        <f t="shared" si="275"/>
        <v>53</v>
      </c>
      <c r="BS89" s="48">
        <f t="shared" si="336"/>
        <v>0</v>
      </c>
      <c r="BT89" s="49">
        <f t="shared" si="314"/>
        <v>7.2033724880284866E-2</v>
      </c>
      <c r="BU89" s="50">
        <f t="shared" si="276"/>
        <v>902</v>
      </c>
      <c r="BV89" s="103">
        <f t="shared" si="385"/>
        <v>898</v>
      </c>
      <c r="BW89" s="46">
        <f t="shared" si="372"/>
        <v>4</v>
      </c>
      <c r="BX89" s="51">
        <f t="shared" si="277"/>
        <v>82</v>
      </c>
      <c r="BY89" s="103">
        <f t="shared" si="386"/>
        <v>84</v>
      </c>
      <c r="BZ89" s="46">
        <f t="shared" si="317"/>
        <v>-2</v>
      </c>
      <c r="CA89" s="316"/>
      <c r="CB89" s="120"/>
      <c r="CC89" s="7">
        <f t="shared" si="387"/>
        <v>12</v>
      </c>
      <c r="CD89" s="133"/>
      <c r="CE89" s="221"/>
      <c r="CF89" s="14">
        <f t="shared" si="319"/>
        <v>0</v>
      </c>
      <c r="CG89" s="46">
        <f t="shared" si="349"/>
        <v>0</v>
      </c>
      <c r="CH89" s="134"/>
      <c r="CI89" s="135"/>
      <c r="CJ89" s="135"/>
      <c r="CK89" s="14">
        <f t="shared" si="350"/>
        <v>0</v>
      </c>
      <c r="CL89" s="14">
        <f t="shared" si="341"/>
        <v>0</v>
      </c>
      <c r="CM89" s="14">
        <f t="shared" si="278"/>
        <v>0.16</v>
      </c>
      <c r="CN89" s="47">
        <f t="shared" si="320"/>
        <v>0</v>
      </c>
      <c r="CO89" s="35">
        <f t="shared" si="279"/>
        <v>3.5200000000000009</v>
      </c>
      <c r="CP89" s="159">
        <f t="shared" si="321"/>
        <v>0</v>
      </c>
      <c r="CQ89" s="142"/>
      <c r="CR89" s="13">
        <f t="shared" si="280"/>
        <v>53</v>
      </c>
      <c r="CS89" s="48">
        <f t="shared" si="335"/>
        <v>0</v>
      </c>
      <c r="CT89" s="49">
        <f t="shared" si="322"/>
        <v>0</v>
      </c>
      <c r="CU89" s="50">
        <f t="shared" si="281"/>
        <v>902</v>
      </c>
      <c r="CV89" s="103">
        <f t="shared" si="388"/>
        <v>0</v>
      </c>
      <c r="CW89" s="46">
        <f t="shared" si="373"/>
        <v>902</v>
      </c>
      <c r="CX89" s="51">
        <f t="shared" si="282"/>
        <v>82</v>
      </c>
      <c r="CY89" s="103">
        <f t="shared" si="389"/>
        <v>0</v>
      </c>
      <c r="CZ89" s="46">
        <f t="shared" si="325"/>
        <v>82</v>
      </c>
      <c r="DA89" s="316"/>
      <c r="DB89" s="120"/>
      <c r="DC89" s="7">
        <f t="shared" si="390"/>
        <v>12</v>
      </c>
      <c r="DD89" s="133"/>
      <c r="DE89" s="221"/>
      <c r="DF89" s="14">
        <f t="shared" si="327"/>
        <v>0</v>
      </c>
      <c r="DG89" s="46">
        <f t="shared" si="351"/>
        <v>0</v>
      </c>
      <c r="DH89" s="134"/>
      <c r="DI89" s="135"/>
      <c r="DJ89" s="135"/>
      <c r="DK89" s="14">
        <f t="shared" si="352"/>
        <v>0</v>
      </c>
      <c r="DL89" s="14">
        <f t="shared" si="342"/>
        <v>0</v>
      </c>
      <c r="DM89" s="14">
        <f t="shared" si="283"/>
        <v>0.16</v>
      </c>
      <c r="DN89" s="47">
        <f t="shared" si="328"/>
        <v>0</v>
      </c>
      <c r="DO89" s="35">
        <f t="shared" si="284"/>
        <v>3.5200000000000009</v>
      </c>
      <c r="DP89" s="159">
        <f t="shared" si="329"/>
        <v>0</v>
      </c>
      <c r="DQ89" s="142"/>
      <c r="DR89" s="13">
        <f t="shared" si="285"/>
        <v>53</v>
      </c>
      <c r="DS89" s="48">
        <f t="shared" si="337"/>
        <v>0</v>
      </c>
      <c r="DT89" s="49">
        <f t="shared" si="330"/>
        <v>0</v>
      </c>
      <c r="DU89" s="50">
        <f t="shared" si="286"/>
        <v>902</v>
      </c>
      <c r="DV89" s="103">
        <f t="shared" si="391"/>
        <v>0</v>
      </c>
      <c r="DW89" s="46">
        <f t="shared" si="374"/>
        <v>902</v>
      </c>
      <c r="DX89" s="51">
        <f t="shared" si="287"/>
        <v>82</v>
      </c>
      <c r="DY89" s="103">
        <f t="shared" si="392"/>
        <v>0</v>
      </c>
      <c r="DZ89" s="46">
        <f t="shared" si="333"/>
        <v>82</v>
      </c>
    </row>
    <row r="90" spans="1:130" x14ac:dyDescent="0.25">
      <c r="B90" s="120">
        <f t="shared" si="375"/>
        <v>22</v>
      </c>
      <c r="C90" s="115">
        <f t="shared" si="376"/>
        <v>12</v>
      </c>
      <c r="D90" s="133"/>
      <c r="E90" s="221"/>
      <c r="F90" s="103">
        <f t="shared" si="290"/>
        <v>93358</v>
      </c>
      <c r="G90" s="104">
        <f t="shared" si="343"/>
        <v>93355</v>
      </c>
      <c r="H90" s="134"/>
      <c r="I90" s="135">
        <v>3</v>
      </c>
      <c r="J90" s="135"/>
      <c r="K90" s="14">
        <f t="shared" si="344"/>
        <v>3</v>
      </c>
      <c r="L90" s="14">
        <f t="shared" si="338"/>
        <v>202</v>
      </c>
      <c r="M90" s="14">
        <f t="shared" si="264"/>
        <v>0.16</v>
      </c>
      <c r="N90" s="47">
        <f t="shared" si="291"/>
        <v>3.2134364489384948E-2</v>
      </c>
      <c r="O90" s="35">
        <f t="shared" si="292"/>
        <v>3.5200000000000009</v>
      </c>
      <c r="P90" s="159">
        <f t="shared" si="293"/>
        <v>0.21637138756185864</v>
      </c>
      <c r="Q90" s="142"/>
      <c r="R90" s="17">
        <f t="shared" si="294"/>
        <v>53</v>
      </c>
      <c r="S90" s="48">
        <f t="shared" si="295"/>
        <v>0</v>
      </c>
      <c r="T90" s="49">
        <f t="shared" si="296"/>
        <v>0.11689245893777725</v>
      </c>
      <c r="U90" s="160">
        <f t="shared" si="265"/>
        <v>902</v>
      </c>
      <c r="V90" s="103">
        <f t="shared" si="377"/>
        <v>898</v>
      </c>
      <c r="W90" s="46">
        <f t="shared" si="266"/>
        <v>4</v>
      </c>
      <c r="X90" s="51">
        <f t="shared" si="267"/>
        <v>82</v>
      </c>
      <c r="Y90" s="103">
        <f t="shared" si="378"/>
        <v>84</v>
      </c>
      <c r="Z90" s="46">
        <f t="shared" si="299"/>
        <v>-2</v>
      </c>
      <c r="AB90" s="120">
        <f t="shared" si="379"/>
        <v>24</v>
      </c>
      <c r="AC90" s="7">
        <f t="shared" si="380"/>
        <v>12</v>
      </c>
      <c r="AD90" s="133"/>
      <c r="AE90" s="221"/>
      <c r="AF90" s="14">
        <f t="shared" si="302"/>
        <v>91900</v>
      </c>
      <c r="AG90" s="46">
        <f t="shared" si="345"/>
        <v>91895</v>
      </c>
      <c r="AH90" s="134"/>
      <c r="AI90" s="135">
        <v>5</v>
      </c>
      <c r="AJ90" s="135"/>
      <c r="AK90" s="14">
        <f t="shared" si="346"/>
        <v>5</v>
      </c>
      <c r="AL90" s="14">
        <f t="shared" si="339"/>
        <v>2845</v>
      </c>
      <c r="AM90" s="14">
        <f t="shared" si="268"/>
        <v>0.16</v>
      </c>
      <c r="AN90" s="47">
        <f t="shared" si="303"/>
        <v>5.4406964091403699E-2</v>
      </c>
      <c r="AO90" s="35">
        <f t="shared" si="269"/>
        <v>3.5200000000000009</v>
      </c>
      <c r="AP90" s="159">
        <f t="shared" si="334"/>
        <v>3.0957562568008705</v>
      </c>
      <c r="AQ90" s="142"/>
      <c r="AR90" s="14">
        <f t="shared" si="270"/>
        <v>53</v>
      </c>
      <c r="AS90" s="35">
        <f t="shared" si="304"/>
        <v>0</v>
      </c>
      <c r="AT90" s="301">
        <f t="shared" si="305"/>
        <v>5.5413543607296042E-2</v>
      </c>
      <c r="AU90" s="14">
        <f t="shared" si="271"/>
        <v>902</v>
      </c>
      <c r="AV90" s="103">
        <f t="shared" si="381"/>
        <v>888</v>
      </c>
      <c r="AW90" s="46">
        <f t="shared" si="371"/>
        <v>14</v>
      </c>
      <c r="AX90" s="51">
        <f t="shared" si="272"/>
        <v>82</v>
      </c>
      <c r="AY90" s="103">
        <f t="shared" si="382"/>
        <v>85</v>
      </c>
      <c r="AZ90" s="46">
        <f t="shared" si="308"/>
        <v>-3</v>
      </c>
      <c r="BA90" s="316"/>
      <c r="BB90" s="120">
        <f t="shared" si="383"/>
        <v>22</v>
      </c>
      <c r="BC90" s="7">
        <f t="shared" si="384"/>
        <v>12</v>
      </c>
      <c r="BD90" s="133"/>
      <c r="BE90" s="221"/>
      <c r="BF90" s="14">
        <f t="shared" si="311"/>
        <v>95022</v>
      </c>
      <c r="BG90" s="46">
        <f t="shared" si="347"/>
        <v>95017</v>
      </c>
      <c r="BH90" s="134"/>
      <c r="BI90" s="135">
        <v>5</v>
      </c>
      <c r="BJ90" s="135"/>
      <c r="BK90" s="14">
        <f t="shared" si="348"/>
        <v>5</v>
      </c>
      <c r="BL90" s="14">
        <f t="shared" si="340"/>
        <v>5186</v>
      </c>
      <c r="BM90" s="14">
        <f t="shared" si="273"/>
        <v>0.16</v>
      </c>
      <c r="BN90" s="47">
        <f t="shared" si="312"/>
        <v>5.2619393403632843E-2</v>
      </c>
      <c r="BO90" s="35">
        <f t="shared" si="274"/>
        <v>3.5200000000000009</v>
      </c>
      <c r="BP90" s="159">
        <f t="shared" si="313"/>
        <v>5.4576834838247983</v>
      </c>
      <c r="BQ90" s="142"/>
      <c r="BR90" s="13">
        <f t="shared" si="275"/>
        <v>53</v>
      </c>
      <c r="BS90" s="48">
        <f t="shared" si="336"/>
        <v>0</v>
      </c>
      <c r="BT90" s="49">
        <f t="shared" si="314"/>
        <v>7.2033724880284866E-2</v>
      </c>
      <c r="BU90" s="50">
        <f t="shared" si="276"/>
        <v>902</v>
      </c>
      <c r="BV90" s="103">
        <f t="shared" si="385"/>
        <v>898</v>
      </c>
      <c r="BW90" s="46">
        <f t="shared" si="372"/>
        <v>4</v>
      </c>
      <c r="BX90" s="51">
        <f t="shared" si="277"/>
        <v>82</v>
      </c>
      <c r="BY90" s="103">
        <f t="shared" si="386"/>
        <v>84</v>
      </c>
      <c r="BZ90" s="46">
        <f t="shared" si="317"/>
        <v>-2</v>
      </c>
      <c r="CA90" s="316"/>
      <c r="CB90" s="120"/>
      <c r="CC90" s="7">
        <f t="shared" si="387"/>
        <v>12</v>
      </c>
      <c r="CD90" s="133"/>
      <c r="CE90" s="221"/>
      <c r="CF90" s="14">
        <f t="shared" si="319"/>
        <v>0</v>
      </c>
      <c r="CG90" s="46">
        <f t="shared" si="349"/>
        <v>0</v>
      </c>
      <c r="CH90" s="134"/>
      <c r="CI90" s="135"/>
      <c r="CJ90" s="135"/>
      <c r="CK90" s="14">
        <f t="shared" si="350"/>
        <v>0</v>
      </c>
      <c r="CL90" s="14">
        <f t="shared" si="341"/>
        <v>0</v>
      </c>
      <c r="CM90" s="14">
        <f t="shared" si="278"/>
        <v>0.16</v>
      </c>
      <c r="CN90" s="47">
        <f t="shared" si="320"/>
        <v>0</v>
      </c>
      <c r="CO90" s="35">
        <f t="shared" si="279"/>
        <v>3.5200000000000009</v>
      </c>
      <c r="CP90" s="159">
        <f t="shared" si="321"/>
        <v>0</v>
      </c>
      <c r="CQ90" s="142"/>
      <c r="CR90" s="13">
        <f t="shared" si="280"/>
        <v>53</v>
      </c>
      <c r="CS90" s="48">
        <f t="shared" si="335"/>
        <v>0</v>
      </c>
      <c r="CT90" s="49">
        <f t="shared" si="322"/>
        <v>0</v>
      </c>
      <c r="CU90" s="50">
        <f t="shared" si="281"/>
        <v>902</v>
      </c>
      <c r="CV90" s="103">
        <f t="shared" si="388"/>
        <v>0</v>
      </c>
      <c r="CW90" s="46">
        <f t="shared" si="373"/>
        <v>902</v>
      </c>
      <c r="CX90" s="51">
        <f t="shared" si="282"/>
        <v>82</v>
      </c>
      <c r="CY90" s="103">
        <f t="shared" si="389"/>
        <v>0</v>
      </c>
      <c r="CZ90" s="46">
        <f t="shared" si="325"/>
        <v>82</v>
      </c>
      <c r="DA90" s="316"/>
      <c r="DB90" s="120"/>
      <c r="DC90" s="7">
        <f t="shared" si="390"/>
        <v>12</v>
      </c>
      <c r="DD90" s="133"/>
      <c r="DE90" s="221"/>
      <c r="DF90" s="14">
        <f t="shared" si="327"/>
        <v>0</v>
      </c>
      <c r="DG90" s="46">
        <f t="shared" si="351"/>
        <v>0</v>
      </c>
      <c r="DH90" s="134"/>
      <c r="DI90" s="135"/>
      <c r="DJ90" s="135"/>
      <c r="DK90" s="14">
        <f t="shared" si="352"/>
        <v>0</v>
      </c>
      <c r="DL90" s="14">
        <f t="shared" si="342"/>
        <v>0</v>
      </c>
      <c r="DM90" s="14">
        <f t="shared" si="283"/>
        <v>0.16</v>
      </c>
      <c r="DN90" s="47">
        <f t="shared" si="328"/>
        <v>0</v>
      </c>
      <c r="DO90" s="35">
        <f t="shared" si="284"/>
        <v>3.5200000000000009</v>
      </c>
      <c r="DP90" s="159">
        <f t="shared" si="329"/>
        <v>0</v>
      </c>
      <c r="DQ90" s="142"/>
      <c r="DR90" s="13">
        <f t="shared" si="285"/>
        <v>53</v>
      </c>
      <c r="DS90" s="48">
        <f t="shared" si="337"/>
        <v>0</v>
      </c>
      <c r="DT90" s="49">
        <f t="shared" si="330"/>
        <v>0</v>
      </c>
      <c r="DU90" s="50">
        <f t="shared" si="286"/>
        <v>902</v>
      </c>
      <c r="DV90" s="103">
        <f t="shared" si="391"/>
        <v>0</v>
      </c>
      <c r="DW90" s="46">
        <f t="shared" si="374"/>
        <v>902</v>
      </c>
      <c r="DX90" s="51">
        <f t="shared" si="287"/>
        <v>82</v>
      </c>
      <c r="DY90" s="103">
        <f t="shared" si="392"/>
        <v>0</v>
      </c>
      <c r="DZ90" s="46">
        <f t="shared" si="333"/>
        <v>82</v>
      </c>
    </row>
    <row r="91" spans="1:130" ht="17.25" thickBot="1" x14ac:dyDescent="0.3">
      <c r="B91" s="197">
        <f t="shared" si="375"/>
        <v>23</v>
      </c>
      <c r="C91" s="116">
        <f t="shared" si="376"/>
        <v>12</v>
      </c>
      <c r="D91" s="136"/>
      <c r="E91" s="226"/>
      <c r="F91" s="109">
        <f t="shared" si="290"/>
        <v>93355</v>
      </c>
      <c r="G91" s="110">
        <f t="shared" si="343"/>
        <v>93353</v>
      </c>
      <c r="H91" s="137"/>
      <c r="I91" s="138">
        <v>2</v>
      </c>
      <c r="J91" s="138"/>
      <c r="K91" s="34">
        <f t="shared" si="344"/>
        <v>2</v>
      </c>
      <c r="L91" s="34">
        <f t="shared" si="338"/>
        <v>204</v>
      </c>
      <c r="M91" s="34">
        <f t="shared" si="264"/>
        <v>0.16</v>
      </c>
      <c r="N91" s="96">
        <f t="shared" si="291"/>
        <v>2.1423598093299769E-2</v>
      </c>
      <c r="O91" s="40">
        <f t="shared" si="292"/>
        <v>3.5200000000000009</v>
      </c>
      <c r="P91" s="156">
        <f t="shared" si="293"/>
        <v>0.21852070055165765</v>
      </c>
      <c r="Q91" s="139"/>
      <c r="R91" s="15">
        <f t="shared" si="294"/>
        <v>53</v>
      </c>
      <c r="S91" s="54">
        <f t="shared" si="295"/>
        <v>0</v>
      </c>
      <c r="T91" s="55">
        <f t="shared" si="296"/>
        <v>0.11689245893777725</v>
      </c>
      <c r="U91" s="15">
        <f t="shared" si="265"/>
        <v>902</v>
      </c>
      <c r="V91" s="109">
        <f t="shared" si="377"/>
        <v>898</v>
      </c>
      <c r="W91" s="63">
        <f t="shared" si="266"/>
        <v>4</v>
      </c>
      <c r="X91" s="65">
        <f t="shared" si="267"/>
        <v>82</v>
      </c>
      <c r="Y91" s="109">
        <f t="shared" si="378"/>
        <v>84</v>
      </c>
      <c r="Z91" s="63">
        <f t="shared" si="299"/>
        <v>-2</v>
      </c>
      <c r="AB91" s="197">
        <f t="shared" si="379"/>
        <v>25</v>
      </c>
      <c r="AC91" s="8">
        <f t="shared" si="380"/>
        <v>12</v>
      </c>
      <c r="AD91" s="136"/>
      <c r="AE91" s="226"/>
      <c r="AF91" s="32">
        <f t="shared" si="302"/>
        <v>91895</v>
      </c>
      <c r="AG91" s="63">
        <f t="shared" si="345"/>
        <v>91892</v>
      </c>
      <c r="AH91" s="137"/>
      <c r="AI91" s="138">
        <v>3</v>
      </c>
      <c r="AJ91" s="138"/>
      <c r="AK91" s="34">
        <f t="shared" si="346"/>
        <v>3</v>
      </c>
      <c r="AL91" s="34">
        <f t="shared" si="339"/>
        <v>2848</v>
      </c>
      <c r="AM91" s="32">
        <f t="shared" si="268"/>
        <v>0.16</v>
      </c>
      <c r="AN91" s="96">
        <f t="shared" si="303"/>
        <v>3.2645954622123073E-2</v>
      </c>
      <c r="AO91" s="36">
        <f t="shared" si="269"/>
        <v>3.5200000000000009</v>
      </c>
      <c r="AP91" s="156">
        <f t="shared" si="334"/>
        <v>3.099189292126884</v>
      </c>
      <c r="AQ91" s="139"/>
      <c r="AR91" s="32">
        <f t="shared" si="270"/>
        <v>53</v>
      </c>
      <c r="AS91" s="36">
        <f t="shared" si="304"/>
        <v>0</v>
      </c>
      <c r="AT91" s="304">
        <f t="shared" si="305"/>
        <v>5.5413543607296042E-2</v>
      </c>
      <c r="AU91" s="32">
        <f t="shared" si="271"/>
        <v>902</v>
      </c>
      <c r="AV91" s="109">
        <f t="shared" si="381"/>
        <v>888</v>
      </c>
      <c r="AW91" s="63">
        <f t="shared" si="371"/>
        <v>14</v>
      </c>
      <c r="AX91" s="65">
        <f t="shared" si="272"/>
        <v>82</v>
      </c>
      <c r="AY91" s="109">
        <f t="shared" si="382"/>
        <v>85</v>
      </c>
      <c r="AZ91" s="63">
        <f t="shared" si="308"/>
        <v>-3</v>
      </c>
      <c r="BA91" s="316"/>
      <c r="BB91" s="197">
        <f t="shared" si="383"/>
        <v>23</v>
      </c>
      <c r="BC91" s="8">
        <f t="shared" si="384"/>
        <v>12</v>
      </c>
      <c r="BD91" s="136"/>
      <c r="BE91" s="226"/>
      <c r="BF91" s="32">
        <f t="shared" si="311"/>
        <v>95017</v>
      </c>
      <c r="BG91" s="63">
        <f t="shared" si="347"/>
        <v>95014</v>
      </c>
      <c r="BH91" s="137">
        <v>1</v>
      </c>
      <c r="BI91" s="138">
        <v>2</v>
      </c>
      <c r="BJ91" s="138"/>
      <c r="BK91" s="34">
        <f t="shared" si="348"/>
        <v>3</v>
      </c>
      <c r="BL91" s="34">
        <f t="shared" si="340"/>
        <v>5189</v>
      </c>
      <c r="BM91" s="32">
        <f t="shared" si="273"/>
        <v>0.16</v>
      </c>
      <c r="BN91" s="96">
        <f t="shared" si="312"/>
        <v>3.1573297409937168E-2</v>
      </c>
      <c r="BO91" s="36">
        <f t="shared" si="274"/>
        <v>3.5200000000000009</v>
      </c>
      <c r="BP91" s="156">
        <f t="shared" si="313"/>
        <v>5.4611280086721328</v>
      </c>
      <c r="BQ91" s="139"/>
      <c r="BR91" s="32">
        <f t="shared" si="275"/>
        <v>53</v>
      </c>
      <c r="BS91" s="54">
        <f t="shared" si="336"/>
        <v>0</v>
      </c>
      <c r="BT91" s="55">
        <f t="shared" si="314"/>
        <v>7.2033724880284866E-2</v>
      </c>
      <c r="BU91" s="56">
        <f t="shared" si="276"/>
        <v>902</v>
      </c>
      <c r="BV91" s="109">
        <f t="shared" si="385"/>
        <v>898</v>
      </c>
      <c r="BW91" s="63">
        <f t="shared" si="372"/>
        <v>4</v>
      </c>
      <c r="BX91" s="65">
        <f t="shared" si="277"/>
        <v>82</v>
      </c>
      <c r="BY91" s="109">
        <f t="shared" si="386"/>
        <v>84</v>
      </c>
      <c r="BZ91" s="63">
        <f t="shared" si="317"/>
        <v>-2</v>
      </c>
      <c r="CA91" s="316"/>
      <c r="CB91" s="119"/>
      <c r="CC91" s="95">
        <f t="shared" si="387"/>
        <v>12</v>
      </c>
      <c r="CD91" s="203"/>
      <c r="CE91" s="225"/>
      <c r="CF91" s="13">
        <f t="shared" si="319"/>
        <v>0</v>
      </c>
      <c r="CG91" s="62">
        <f t="shared" si="349"/>
        <v>0</v>
      </c>
      <c r="CH91" s="204"/>
      <c r="CI91" s="205"/>
      <c r="CJ91" s="205"/>
      <c r="CK91" s="31">
        <f t="shared" si="350"/>
        <v>0</v>
      </c>
      <c r="CL91" s="31">
        <f t="shared" si="341"/>
        <v>0</v>
      </c>
      <c r="CM91" s="13">
        <f t="shared" si="278"/>
        <v>0.16</v>
      </c>
      <c r="CN91" s="230">
        <f t="shared" si="320"/>
        <v>0</v>
      </c>
      <c r="CO91" s="161">
        <f t="shared" si="279"/>
        <v>3.5200000000000009</v>
      </c>
      <c r="CP91" s="157">
        <f t="shared" si="321"/>
        <v>0</v>
      </c>
      <c r="CQ91" s="237"/>
      <c r="CR91" s="13">
        <f t="shared" si="280"/>
        <v>53</v>
      </c>
      <c r="CS91" s="67">
        <f t="shared" si="335"/>
        <v>0</v>
      </c>
      <c r="CT91" s="196">
        <f t="shared" si="322"/>
        <v>0</v>
      </c>
      <c r="CU91" s="50">
        <f t="shared" si="281"/>
        <v>902</v>
      </c>
      <c r="CV91" s="202">
        <f t="shared" si="388"/>
        <v>0</v>
      </c>
      <c r="CW91" s="62">
        <f t="shared" si="373"/>
        <v>902</v>
      </c>
      <c r="CX91" s="52">
        <f t="shared" si="282"/>
        <v>82</v>
      </c>
      <c r="CY91" s="202">
        <f t="shared" si="389"/>
        <v>0</v>
      </c>
      <c r="CZ91" s="62">
        <f t="shared" si="325"/>
        <v>82</v>
      </c>
      <c r="DA91" s="316"/>
      <c r="DB91" s="197"/>
      <c r="DC91" s="8">
        <f t="shared" si="390"/>
        <v>12</v>
      </c>
      <c r="DD91" s="136"/>
      <c r="DE91" s="226"/>
      <c r="DF91" s="32">
        <f t="shared" si="327"/>
        <v>0</v>
      </c>
      <c r="DG91" s="63">
        <f t="shared" si="351"/>
        <v>0</v>
      </c>
      <c r="DH91" s="137"/>
      <c r="DI91" s="138"/>
      <c r="DJ91" s="138"/>
      <c r="DK91" s="34">
        <f t="shared" si="352"/>
        <v>0</v>
      </c>
      <c r="DL91" s="34">
        <f t="shared" si="342"/>
        <v>0</v>
      </c>
      <c r="DM91" s="32">
        <f t="shared" si="283"/>
        <v>0.16</v>
      </c>
      <c r="DN91" s="96">
        <f t="shared" si="328"/>
        <v>0</v>
      </c>
      <c r="DO91" s="36">
        <f t="shared" si="284"/>
        <v>3.5200000000000009</v>
      </c>
      <c r="DP91" s="156">
        <f t="shared" si="329"/>
        <v>0</v>
      </c>
      <c r="DQ91" s="139"/>
      <c r="DR91" s="32">
        <f t="shared" si="285"/>
        <v>53</v>
      </c>
      <c r="DS91" s="54">
        <f t="shared" si="337"/>
        <v>0</v>
      </c>
      <c r="DT91" s="55">
        <f t="shared" si="330"/>
        <v>0</v>
      </c>
      <c r="DU91" s="56">
        <f t="shared" si="286"/>
        <v>902</v>
      </c>
      <c r="DV91" s="109">
        <f t="shared" si="391"/>
        <v>0</v>
      </c>
      <c r="DW91" s="63">
        <f t="shared" si="374"/>
        <v>902</v>
      </c>
      <c r="DX91" s="65">
        <f t="shared" si="287"/>
        <v>82</v>
      </c>
      <c r="DY91" s="109">
        <f t="shared" si="392"/>
        <v>0</v>
      </c>
      <c r="DZ91" s="63">
        <f t="shared" si="333"/>
        <v>82</v>
      </c>
    </row>
    <row r="92" spans="1:130" x14ac:dyDescent="0.25">
      <c r="B92" s="198">
        <v>24</v>
      </c>
      <c r="C92" s="117">
        <v>13</v>
      </c>
      <c r="D92" s="143"/>
      <c r="E92" s="227"/>
      <c r="F92" s="112">
        <f t="shared" si="290"/>
        <v>93353</v>
      </c>
      <c r="G92" s="108">
        <f t="shared" si="343"/>
        <v>93352</v>
      </c>
      <c r="H92" s="144"/>
      <c r="I92" s="141">
        <v>1</v>
      </c>
      <c r="J92" s="141"/>
      <c r="K92" s="17">
        <f t="shared" si="344"/>
        <v>1</v>
      </c>
      <c r="L92" s="17">
        <f t="shared" si="338"/>
        <v>205</v>
      </c>
      <c r="M92" s="17">
        <f t="shared" si="264"/>
        <v>0.16</v>
      </c>
      <c r="N92" s="235">
        <f t="shared" si="291"/>
        <v>1.0712028536844023E-2</v>
      </c>
      <c r="O92" s="33">
        <f t="shared" si="292"/>
        <v>3.680000000000001</v>
      </c>
      <c r="P92" s="210">
        <f t="shared" si="293"/>
        <v>0.21959658500530246</v>
      </c>
      <c r="Q92" s="145"/>
      <c r="R92" s="12">
        <f t="shared" si="294"/>
        <v>55</v>
      </c>
      <c r="S92" s="60">
        <f t="shared" si="295"/>
        <v>0</v>
      </c>
      <c r="T92" s="72">
        <f t="shared" si="296"/>
        <v>0.11689245893777725</v>
      </c>
      <c r="U92" s="39">
        <f t="shared" si="265"/>
        <v>975</v>
      </c>
      <c r="V92" s="141">
        <v>928</v>
      </c>
      <c r="W92" s="71">
        <f t="shared" si="266"/>
        <v>47</v>
      </c>
      <c r="X92" s="61">
        <f t="shared" si="267"/>
        <v>82</v>
      </c>
      <c r="Y92" s="141">
        <v>81</v>
      </c>
      <c r="Z92" s="71">
        <f t="shared" si="299"/>
        <v>1</v>
      </c>
      <c r="AB92" s="198">
        <v>26</v>
      </c>
      <c r="AC92" s="38">
        <v>13</v>
      </c>
      <c r="AD92" s="143"/>
      <c r="AE92" s="227"/>
      <c r="AF92" s="17">
        <f t="shared" si="302"/>
        <v>91892</v>
      </c>
      <c r="AG92" s="62">
        <f t="shared" si="345"/>
        <v>91887</v>
      </c>
      <c r="AH92" s="144"/>
      <c r="AI92" s="141">
        <v>5</v>
      </c>
      <c r="AJ92" s="141"/>
      <c r="AK92" s="17">
        <f t="shared" si="346"/>
        <v>5</v>
      </c>
      <c r="AL92" s="17">
        <f t="shared" si="339"/>
        <v>2853</v>
      </c>
      <c r="AM92" s="17">
        <f t="shared" si="268"/>
        <v>0.16</v>
      </c>
      <c r="AN92" s="235">
        <f t="shared" si="303"/>
        <v>5.4411700692116829E-2</v>
      </c>
      <c r="AO92" s="33">
        <f t="shared" si="269"/>
        <v>3.680000000000001</v>
      </c>
      <c r="AP92" s="210">
        <f t="shared" si="334"/>
        <v>3.1047316414921866</v>
      </c>
      <c r="AQ92" s="145"/>
      <c r="AR92" s="17">
        <f t="shared" si="270"/>
        <v>55</v>
      </c>
      <c r="AS92" s="33">
        <f t="shared" si="304"/>
        <v>0</v>
      </c>
      <c r="AT92" s="305">
        <f t="shared" si="305"/>
        <v>5.5413543607296042E-2</v>
      </c>
      <c r="AU92" s="17">
        <f t="shared" si="271"/>
        <v>975</v>
      </c>
      <c r="AV92" s="141">
        <v>915</v>
      </c>
      <c r="AW92" s="71">
        <f t="shared" si="371"/>
        <v>60</v>
      </c>
      <c r="AX92" s="61">
        <f t="shared" si="272"/>
        <v>82</v>
      </c>
      <c r="AY92" s="141">
        <v>82</v>
      </c>
      <c r="AZ92" s="71">
        <f t="shared" si="308"/>
        <v>0</v>
      </c>
      <c r="BA92" s="316"/>
      <c r="BB92" s="198">
        <v>24</v>
      </c>
      <c r="BC92" s="38">
        <v>13</v>
      </c>
      <c r="BD92" s="143"/>
      <c r="BE92" s="227"/>
      <c r="BF92" s="17">
        <f t="shared" si="311"/>
        <v>95014</v>
      </c>
      <c r="BG92" s="62">
        <f t="shared" si="347"/>
        <v>95010</v>
      </c>
      <c r="BH92" s="144"/>
      <c r="BI92" s="141">
        <v>4</v>
      </c>
      <c r="BJ92" s="141"/>
      <c r="BK92" s="17">
        <f t="shared" si="348"/>
        <v>4</v>
      </c>
      <c r="BL92" s="17">
        <f t="shared" si="340"/>
        <v>5193</v>
      </c>
      <c r="BM92" s="17">
        <f t="shared" si="273"/>
        <v>0.16</v>
      </c>
      <c r="BN92" s="235">
        <f t="shared" si="312"/>
        <v>4.2099059086029428E-2</v>
      </c>
      <c r="BO92" s="33">
        <f t="shared" si="274"/>
        <v>3.680000000000001</v>
      </c>
      <c r="BP92" s="210">
        <f t="shared" si="313"/>
        <v>5.4655103458437706</v>
      </c>
      <c r="BQ92" s="145"/>
      <c r="BR92" s="31">
        <f t="shared" si="275"/>
        <v>55</v>
      </c>
      <c r="BS92" s="60">
        <f t="shared" si="336"/>
        <v>0</v>
      </c>
      <c r="BT92" s="72">
        <f t="shared" si="314"/>
        <v>7.2033724880284866E-2</v>
      </c>
      <c r="BU92" s="52">
        <f t="shared" si="276"/>
        <v>975</v>
      </c>
      <c r="BV92" s="141">
        <v>928</v>
      </c>
      <c r="BW92" s="71">
        <f t="shared" si="372"/>
        <v>47</v>
      </c>
      <c r="BX92" s="61">
        <f t="shared" si="277"/>
        <v>82</v>
      </c>
      <c r="BY92" s="141">
        <v>81</v>
      </c>
      <c r="BZ92" s="71">
        <f t="shared" si="317"/>
        <v>1</v>
      </c>
      <c r="CA92" s="316"/>
      <c r="CB92" s="118"/>
      <c r="CC92" s="9">
        <v>13</v>
      </c>
      <c r="CD92" s="129"/>
      <c r="CE92" s="224"/>
      <c r="CF92" s="11">
        <f t="shared" si="319"/>
        <v>0</v>
      </c>
      <c r="CG92" s="57">
        <f t="shared" si="349"/>
        <v>0</v>
      </c>
      <c r="CH92" s="130"/>
      <c r="CI92" s="131"/>
      <c r="CJ92" s="131"/>
      <c r="CK92" s="11">
        <f t="shared" si="350"/>
        <v>0</v>
      </c>
      <c r="CL92" s="11">
        <f t="shared" si="341"/>
        <v>0</v>
      </c>
      <c r="CM92" s="11">
        <f t="shared" si="278"/>
        <v>0.16</v>
      </c>
      <c r="CN92" s="42">
        <f t="shared" si="320"/>
        <v>0</v>
      </c>
      <c r="CO92" s="21">
        <f t="shared" si="279"/>
        <v>3.680000000000001</v>
      </c>
      <c r="CP92" s="165">
        <f t="shared" si="321"/>
        <v>0</v>
      </c>
      <c r="CQ92" s="158"/>
      <c r="CR92" s="16">
        <f t="shared" si="280"/>
        <v>55</v>
      </c>
      <c r="CS92" s="43">
        <f t="shared" si="335"/>
        <v>0</v>
      </c>
      <c r="CT92" s="44">
        <f t="shared" si="322"/>
        <v>0</v>
      </c>
      <c r="CU92" s="45">
        <f t="shared" si="281"/>
        <v>975</v>
      </c>
      <c r="CV92" s="131"/>
      <c r="CW92" s="41">
        <f t="shared" si="373"/>
        <v>975</v>
      </c>
      <c r="CX92" s="58">
        <f t="shared" si="282"/>
        <v>82</v>
      </c>
      <c r="CY92" s="131"/>
      <c r="CZ92" s="41">
        <f t="shared" si="325"/>
        <v>82</v>
      </c>
      <c r="DA92" s="316"/>
      <c r="DB92" s="198"/>
      <c r="DC92" s="38">
        <v>13</v>
      </c>
      <c r="DD92" s="143"/>
      <c r="DE92" s="227"/>
      <c r="DF92" s="17">
        <f t="shared" si="327"/>
        <v>0</v>
      </c>
      <c r="DG92" s="62">
        <f t="shared" si="351"/>
        <v>0</v>
      </c>
      <c r="DH92" s="144"/>
      <c r="DI92" s="141"/>
      <c r="DJ92" s="141"/>
      <c r="DK92" s="17">
        <f t="shared" si="352"/>
        <v>0</v>
      </c>
      <c r="DL92" s="17">
        <f t="shared" si="342"/>
        <v>0</v>
      </c>
      <c r="DM92" s="17">
        <f t="shared" si="283"/>
        <v>0.16</v>
      </c>
      <c r="DN92" s="235">
        <f t="shared" si="328"/>
        <v>0</v>
      </c>
      <c r="DO92" s="33">
        <f t="shared" si="284"/>
        <v>3.680000000000001</v>
      </c>
      <c r="DP92" s="210">
        <f t="shared" si="329"/>
        <v>0</v>
      </c>
      <c r="DQ92" s="145"/>
      <c r="DR92" s="31">
        <f t="shared" si="285"/>
        <v>55</v>
      </c>
      <c r="DS92" s="60">
        <f t="shared" si="337"/>
        <v>0</v>
      </c>
      <c r="DT92" s="72">
        <f t="shared" si="330"/>
        <v>0</v>
      </c>
      <c r="DU92" s="52">
        <f t="shared" si="286"/>
        <v>975</v>
      </c>
      <c r="DV92" s="141"/>
      <c r="DW92" s="71">
        <f t="shared" si="374"/>
        <v>975</v>
      </c>
      <c r="DX92" s="61">
        <f t="shared" si="287"/>
        <v>82</v>
      </c>
      <c r="DY92" s="141"/>
      <c r="DZ92" s="71">
        <f t="shared" si="333"/>
        <v>82</v>
      </c>
    </row>
    <row r="93" spans="1:130" x14ac:dyDescent="0.25">
      <c r="B93" s="120">
        <f>B92+1</f>
        <v>25</v>
      </c>
      <c r="C93" s="115">
        <f>C92</f>
        <v>13</v>
      </c>
      <c r="D93" s="133"/>
      <c r="E93" s="221"/>
      <c r="F93" s="103">
        <f t="shared" si="290"/>
        <v>93352</v>
      </c>
      <c r="G93" s="107">
        <f t="shared" si="343"/>
        <v>93348</v>
      </c>
      <c r="H93" s="134"/>
      <c r="I93" s="135">
        <v>4</v>
      </c>
      <c r="J93" s="135"/>
      <c r="K93" s="14">
        <f t="shared" si="344"/>
        <v>4</v>
      </c>
      <c r="L93" s="14">
        <f t="shared" si="338"/>
        <v>209</v>
      </c>
      <c r="M93" s="14">
        <f t="shared" si="264"/>
        <v>0.16</v>
      </c>
      <c r="N93" s="47">
        <f t="shared" si="291"/>
        <v>4.2848573142514355E-2</v>
      </c>
      <c r="O93" s="35">
        <f t="shared" si="292"/>
        <v>3.680000000000001</v>
      </c>
      <c r="P93" s="159">
        <f t="shared" si="293"/>
        <v>0.22388379466963751</v>
      </c>
      <c r="Q93" s="142"/>
      <c r="R93" s="13">
        <f t="shared" si="294"/>
        <v>55</v>
      </c>
      <c r="S93" s="48">
        <f t="shared" si="295"/>
        <v>0</v>
      </c>
      <c r="T93" s="49">
        <f t="shared" si="296"/>
        <v>0.11689245893777725</v>
      </c>
      <c r="U93" s="160">
        <f t="shared" si="265"/>
        <v>975</v>
      </c>
      <c r="V93" s="103">
        <f>V92</f>
        <v>928</v>
      </c>
      <c r="W93" s="46">
        <f t="shared" si="266"/>
        <v>47</v>
      </c>
      <c r="X93" s="51">
        <f t="shared" si="267"/>
        <v>82</v>
      </c>
      <c r="Y93" s="103">
        <f>Y92</f>
        <v>81</v>
      </c>
      <c r="Z93" s="46">
        <f t="shared" si="299"/>
        <v>1</v>
      </c>
      <c r="AB93" s="120">
        <f>AB92+1</f>
        <v>27</v>
      </c>
      <c r="AC93" s="7">
        <f>AC92</f>
        <v>13</v>
      </c>
      <c r="AD93" s="133"/>
      <c r="AE93" s="221"/>
      <c r="AF93" s="14">
        <f t="shared" si="302"/>
        <v>91887</v>
      </c>
      <c r="AG93" s="59">
        <f t="shared" si="345"/>
        <v>91884</v>
      </c>
      <c r="AH93" s="134">
        <v>1</v>
      </c>
      <c r="AI93" s="135">
        <v>2</v>
      </c>
      <c r="AJ93" s="135"/>
      <c r="AK93" s="14">
        <f t="shared" si="346"/>
        <v>3</v>
      </c>
      <c r="AL93" s="14">
        <f t="shared" si="339"/>
        <v>2856</v>
      </c>
      <c r="AM93" s="14">
        <f t="shared" si="268"/>
        <v>0.16</v>
      </c>
      <c r="AN93" s="47">
        <f t="shared" si="303"/>
        <v>3.2648796891834538E-2</v>
      </c>
      <c r="AO93" s="35">
        <f t="shared" si="269"/>
        <v>3.680000000000001</v>
      </c>
      <c r="AP93" s="159">
        <f t="shared" si="334"/>
        <v>3.1081654641026479</v>
      </c>
      <c r="AQ93" s="142"/>
      <c r="AR93" s="14">
        <f t="shared" si="270"/>
        <v>55</v>
      </c>
      <c r="AS93" s="35">
        <f t="shared" si="304"/>
        <v>0</v>
      </c>
      <c r="AT93" s="301">
        <f t="shared" si="305"/>
        <v>5.5413543607296042E-2</v>
      </c>
      <c r="AU93" s="14">
        <f t="shared" si="271"/>
        <v>975</v>
      </c>
      <c r="AV93" s="103">
        <f>AV92</f>
        <v>915</v>
      </c>
      <c r="AW93" s="46">
        <f t="shared" si="371"/>
        <v>60</v>
      </c>
      <c r="AX93" s="51">
        <f t="shared" si="272"/>
        <v>82</v>
      </c>
      <c r="AY93" s="103">
        <f>AY92</f>
        <v>82</v>
      </c>
      <c r="AZ93" s="46">
        <f t="shared" si="308"/>
        <v>0</v>
      </c>
      <c r="BA93" s="316"/>
      <c r="BB93" s="120">
        <f>BB92+1</f>
        <v>25</v>
      </c>
      <c r="BC93" s="7">
        <f>BC92</f>
        <v>13</v>
      </c>
      <c r="BD93" s="133"/>
      <c r="BE93" s="221"/>
      <c r="BF93" s="14">
        <f t="shared" si="311"/>
        <v>95010</v>
      </c>
      <c r="BG93" s="59">
        <f t="shared" si="347"/>
        <v>95007</v>
      </c>
      <c r="BH93" s="134"/>
      <c r="BI93" s="135">
        <v>3</v>
      </c>
      <c r="BJ93" s="135"/>
      <c r="BK93" s="14">
        <f t="shared" si="348"/>
        <v>3</v>
      </c>
      <c r="BL93" s="14">
        <f t="shared" si="340"/>
        <v>5196</v>
      </c>
      <c r="BM93" s="14">
        <f t="shared" si="273"/>
        <v>0.16</v>
      </c>
      <c r="BN93" s="231">
        <f t="shared" si="312"/>
        <v>3.1575623618566466E-2</v>
      </c>
      <c r="BO93" s="37">
        <f t="shared" si="274"/>
        <v>3.680000000000001</v>
      </c>
      <c r="BP93" s="155">
        <f t="shared" si="313"/>
        <v>5.4688980107357121</v>
      </c>
      <c r="BQ93" s="142"/>
      <c r="BR93" s="13">
        <f t="shared" si="275"/>
        <v>55</v>
      </c>
      <c r="BS93" s="48">
        <f t="shared" si="336"/>
        <v>0</v>
      </c>
      <c r="BT93" s="49">
        <f t="shared" si="314"/>
        <v>7.2033724880284866E-2</v>
      </c>
      <c r="BU93" s="50">
        <f t="shared" si="276"/>
        <v>975</v>
      </c>
      <c r="BV93" s="103">
        <f>BV92</f>
        <v>928</v>
      </c>
      <c r="BW93" s="46">
        <f t="shared" si="372"/>
        <v>47</v>
      </c>
      <c r="BX93" s="51">
        <f t="shared" si="277"/>
        <v>82</v>
      </c>
      <c r="BY93" s="103">
        <f>BY92</f>
        <v>81</v>
      </c>
      <c r="BZ93" s="46">
        <f t="shared" si="317"/>
        <v>1</v>
      </c>
      <c r="CA93" s="316"/>
      <c r="CB93" s="120"/>
      <c r="CC93" s="7">
        <f>CC92</f>
        <v>13</v>
      </c>
      <c r="CD93" s="133"/>
      <c r="CE93" s="221"/>
      <c r="CF93" s="14">
        <f t="shared" si="319"/>
        <v>0</v>
      </c>
      <c r="CG93" s="59">
        <f t="shared" si="349"/>
        <v>0</v>
      </c>
      <c r="CH93" s="134"/>
      <c r="CI93" s="135"/>
      <c r="CJ93" s="135"/>
      <c r="CK93" s="14">
        <f t="shared" si="350"/>
        <v>0</v>
      </c>
      <c r="CL93" s="14">
        <f t="shared" si="341"/>
        <v>0</v>
      </c>
      <c r="CM93" s="14">
        <f t="shared" si="278"/>
        <v>0.16</v>
      </c>
      <c r="CN93" s="47">
        <f t="shared" si="320"/>
        <v>0</v>
      </c>
      <c r="CO93" s="35">
        <f t="shared" si="279"/>
        <v>3.680000000000001</v>
      </c>
      <c r="CP93" s="159">
        <f t="shared" si="321"/>
        <v>0</v>
      </c>
      <c r="CQ93" s="142"/>
      <c r="CR93" s="13">
        <f t="shared" si="280"/>
        <v>55</v>
      </c>
      <c r="CS93" s="48">
        <f t="shared" si="335"/>
        <v>0</v>
      </c>
      <c r="CT93" s="49">
        <f t="shared" si="322"/>
        <v>0</v>
      </c>
      <c r="CU93" s="50">
        <f t="shared" si="281"/>
        <v>975</v>
      </c>
      <c r="CV93" s="103">
        <f>CV92</f>
        <v>0</v>
      </c>
      <c r="CW93" s="46">
        <f t="shared" si="373"/>
        <v>975</v>
      </c>
      <c r="CX93" s="51">
        <f t="shared" si="282"/>
        <v>82</v>
      </c>
      <c r="CY93" s="103">
        <f>CY92</f>
        <v>0</v>
      </c>
      <c r="CZ93" s="46">
        <f t="shared" si="325"/>
        <v>82</v>
      </c>
      <c r="DA93" s="316"/>
      <c r="DB93" s="120"/>
      <c r="DC93" s="7">
        <f>DC92</f>
        <v>13</v>
      </c>
      <c r="DD93" s="133"/>
      <c r="DE93" s="221"/>
      <c r="DF93" s="14">
        <f t="shared" si="327"/>
        <v>0</v>
      </c>
      <c r="DG93" s="59">
        <f t="shared" si="351"/>
        <v>0</v>
      </c>
      <c r="DH93" s="134"/>
      <c r="DI93" s="135"/>
      <c r="DJ93" s="135"/>
      <c r="DK93" s="14">
        <f t="shared" si="352"/>
        <v>0</v>
      </c>
      <c r="DL93" s="14">
        <f t="shared" si="342"/>
        <v>0</v>
      </c>
      <c r="DM93" s="14">
        <f t="shared" si="283"/>
        <v>0.16</v>
      </c>
      <c r="DN93" s="47">
        <f t="shared" si="328"/>
        <v>0</v>
      </c>
      <c r="DO93" s="35">
        <f t="shared" si="284"/>
        <v>3.680000000000001</v>
      </c>
      <c r="DP93" s="159">
        <f t="shared" si="329"/>
        <v>0</v>
      </c>
      <c r="DQ93" s="142"/>
      <c r="DR93" s="13">
        <f t="shared" si="285"/>
        <v>55</v>
      </c>
      <c r="DS93" s="48">
        <f t="shared" si="337"/>
        <v>0</v>
      </c>
      <c r="DT93" s="49">
        <f t="shared" si="330"/>
        <v>0</v>
      </c>
      <c r="DU93" s="50">
        <f t="shared" si="286"/>
        <v>975</v>
      </c>
      <c r="DV93" s="103">
        <f>DV92</f>
        <v>0</v>
      </c>
      <c r="DW93" s="46">
        <f t="shared" si="374"/>
        <v>975</v>
      </c>
      <c r="DX93" s="51">
        <f t="shared" si="287"/>
        <v>82</v>
      </c>
      <c r="DY93" s="103">
        <f>DY92</f>
        <v>0</v>
      </c>
      <c r="DZ93" s="46">
        <f t="shared" si="333"/>
        <v>82</v>
      </c>
    </row>
    <row r="94" spans="1:130" x14ac:dyDescent="0.25">
      <c r="B94" s="120">
        <f t="shared" ref="B94:B98" si="393">B93+1</f>
        <v>26</v>
      </c>
      <c r="C94" s="115">
        <f t="shared" ref="C94:C98" si="394">C93</f>
        <v>13</v>
      </c>
      <c r="D94" s="133"/>
      <c r="E94" s="221"/>
      <c r="F94" s="103">
        <f t="shared" si="290"/>
        <v>93348</v>
      </c>
      <c r="G94" s="107">
        <f t="shared" si="343"/>
        <v>93342</v>
      </c>
      <c r="H94" s="134"/>
      <c r="I94" s="135">
        <v>6</v>
      </c>
      <c r="J94" s="135"/>
      <c r="K94" s="14">
        <f t="shared" si="344"/>
        <v>6</v>
      </c>
      <c r="L94" s="14">
        <f t="shared" si="338"/>
        <v>215</v>
      </c>
      <c r="M94" s="14">
        <f t="shared" si="264"/>
        <v>0.16</v>
      </c>
      <c r="N94" s="47">
        <f t="shared" si="291"/>
        <v>6.4275613832112097E-2</v>
      </c>
      <c r="O94" s="35">
        <f t="shared" si="292"/>
        <v>3.680000000000001</v>
      </c>
      <c r="P94" s="159">
        <f t="shared" si="293"/>
        <v>0.23032094956506835</v>
      </c>
      <c r="Q94" s="142"/>
      <c r="R94" s="13">
        <f t="shared" si="294"/>
        <v>55</v>
      </c>
      <c r="S94" s="48">
        <f t="shared" si="295"/>
        <v>0</v>
      </c>
      <c r="T94" s="49">
        <f t="shared" si="296"/>
        <v>0.11689245893777725</v>
      </c>
      <c r="U94" s="160">
        <f t="shared" si="265"/>
        <v>975</v>
      </c>
      <c r="V94" s="103">
        <f t="shared" ref="V94:V97" si="395">V93</f>
        <v>928</v>
      </c>
      <c r="W94" s="46">
        <f t="shared" si="266"/>
        <v>47</v>
      </c>
      <c r="X94" s="51">
        <f t="shared" si="267"/>
        <v>82</v>
      </c>
      <c r="Y94" s="103">
        <f t="shared" ref="Y94:Y97" si="396">Y93</f>
        <v>81</v>
      </c>
      <c r="Z94" s="46">
        <f t="shared" si="299"/>
        <v>1</v>
      </c>
      <c r="AB94" s="120">
        <f t="shared" ref="AB94:AB97" si="397">AB93+1</f>
        <v>28</v>
      </c>
      <c r="AC94" s="7">
        <f t="shared" ref="AC94:AC98" si="398">AC93</f>
        <v>13</v>
      </c>
      <c r="AD94" s="133"/>
      <c r="AE94" s="221"/>
      <c r="AF94" s="14">
        <f t="shared" si="302"/>
        <v>91884</v>
      </c>
      <c r="AG94" s="59">
        <f t="shared" si="345"/>
        <v>91877</v>
      </c>
      <c r="AH94" s="134">
        <v>3</v>
      </c>
      <c r="AI94" s="135">
        <v>4</v>
      </c>
      <c r="AJ94" s="135"/>
      <c r="AK94" s="14">
        <f t="shared" si="346"/>
        <v>7</v>
      </c>
      <c r="AL94" s="14">
        <f t="shared" si="339"/>
        <v>2863</v>
      </c>
      <c r="AM94" s="14">
        <f t="shared" si="268"/>
        <v>0.16</v>
      </c>
      <c r="AN94" s="231">
        <f t="shared" si="303"/>
        <v>7.6183013364677199E-2</v>
      </c>
      <c r="AO94" s="37">
        <f t="shared" si="269"/>
        <v>3.680000000000001</v>
      </c>
      <c r="AP94" s="155">
        <f t="shared" si="334"/>
        <v>3.1158852466152975</v>
      </c>
      <c r="AQ94" s="142"/>
      <c r="AR94" s="14">
        <f t="shared" si="270"/>
        <v>55</v>
      </c>
      <c r="AS94" s="35">
        <f t="shared" si="304"/>
        <v>0</v>
      </c>
      <c r="AT94" s="301">
        <f t="shared" si="305"/>
        <v>5.5413543607296042E-2</v>
      </c>
      <c r="AU94" s="14">
        <f t="shared" si="271"/>
        <v>975</v>
      </c>
      <c r="AV94" s="103">
        <f t="shared" ref="AV94:AV97" si="399">AV93</f>
        <v>915</v>
      </c>
      <c r="AW94" s="46">
        <f t="shared" si="371"/>
        <v>60</v>
      </c>
      <c r="AX94" s="51">
        <f t="shared" si="272"/>
        <v>82</v>
      </c>
      <c r="AY94" s="103">
        <f t="shared" ref="AY94:AY97" si="400">AY93</f>
        <v>82</v>
      </c>
      <c r="AZ94" s="46">
        <f t="shared" si="308"/>
        <v>0</v>
      </c>
      <c r="BA94" s="316"/>
      <c r="BB94" s="120">
        <f t="shared" ref="BB94:BB98" si="401">BB93+1</f>
        <v>26</v>
      </c>
      <c r="BC94" s="7">
        <f t="shared" ref="BC94:BC98" si="402">BC93</f>
        <v>13</v>
      </c>
      <c r="BD94" s="133"/>
      <c r="BE94" s="221"/>
      <c r="BF94" s="14">
        <f t="shared" si="311"/>
        <v>95007</v>
      </c>
      <c r="BG94" s="59">
        <f t="shared" si="347"/>
        <v>95004</v>
      </c>
      <c r="BH94" s="134"/>
      <c r="BI94" s="135">
        <v>3</v>
      </c>
      <c r="BJ94" s="135"/>
      <c r="BK94" s="14">
        <f t="shared" si="348"/>
        <v>3</v>
      </c>
      <c r="BL94" s="14">
        <f t="shared" si="340"/>
        <v>5199</v>
      </c>
      <c r="BM94" s="14">
        <f t="shared" si="273"/>
        <v>0.16</v>
      </c>
      <c r="BN94" s="47">
        <f t="shared" si="312"/>
        <v>3.1576620670055892E-2</v>
      </c>
      <c r="BO94" s="35">
        <f t="shared" si="274"/>
        <v>3.680000000000001</v>
      </c>
      <c r="BP94" s="159">
        <f t="shared" si="313"/>
        <v>5.4722283621206858</v>
      </c>
      <c r="BQ94" s="142"/>
      <c r="BR94" s="13">
        <f t="shared" si="275"/>
        <v>55</v>
      </c>
      <c r="BS94" s="48">
        <f t="shared" si="336"/>
        <v>0</v>
      </c>
      <c r="BT94" s="49">
        <f t="shared" si="314"/>
        <v>7.2033724880284866E-2</v>
      </c>
      <c r="BU94" s="50">
        <f t="shared" si="276"/>
        <v>975</v>
      </c>
      <c r="BV94" s="103">
        <f t="shared" ref="BV94:BV97" si="403">BV93</f>
        <v>928</v>
      </c>
      <c r="BW94" s="46">
        <f t="shared" si="372"/>
        <v>47</v>
      </c>
      <c r="BX94" s="51">
        <f t="shared" si="277"/>
        <v>82</v>
      </c>
      <c r="BY94" s="103">
        <f t="shared" ref="BY94:BY97" si="404">BY93</f>
        <v>81</v>
      </c>
      <c r="BZ94" s="46">
        <f t="shared" si="317"/>
        <v>1</v>
      </c>
      <c r="CA94" s="316"/>
      <c r="CB94" s="120"/>
      <c r="CC94" s="7">
        <f t="shared" ref="CC94:CC98" si="405">CC93</f>
        <v>13</v>
      </c>
      <c r="CD94" s="133"/>
      <c r="CE94" s="221"/>
      <c r="CF94" s="14">
        <f t="shared" si="319"/>
        <v>0</v>
      </c>
      <c r="CG94" s="59">
        <f t="shared" si="349"/>
        <v>0</v>
      </c>
      <c r="CH94" s="134"/>
      <c r="CI94" s="135"/>
      <c r="CJ94" s="135"/>
      <c r="CK94" s="14">
        <f t="shared" si="350"/>
        <v>0</v>
      </c>
      <c r="CL94" s="14">
        <f t="shared" si="341"/>
        <v>0</v>
      </c>
      <c r="CM94" s="14">
        <f t="shared" si="278"/>
        <v>0.16</v>
      </c>
      <c r="CN94" s="47">
        <f t="shared" si="320"/>
        <v>0</v>
      </c>
      <c r="CO94" s="35">
        <f t="shared" si="279"/>
        <v>3.680000000000001</v>
      </c>
      <c r="CP94" s="159">
        <f t="shared" si="321"/>
        <v>0</v>
      </c>
      <c r="CQ94" s="142"/>
      <c r="CR94" s="13">
        <f t="shared" si="280"/>
        <v>55</v>
      </c>
      <c r="CS94" s="48">
        <f t="shared" si="335"/>
        <v>0</v>
      </c>
      <c r="CT94" s="49">
        <f t="shared" si="322"/>
        <v>0</v>
      </c>
      <c r="CU94" s="50">
        <f t="shared" si="281"/>
        <v>975</v>
      </c>
      <c r="CV94" s="103">
        <f t="shared" ref="CV94:CV97" si="406">CV93</f>
        <v>0</v>
      </c>
      <c r="CW94" s="46">
        <f t="shared" si="373"/>
        <v>975</v>
      </c>
      <c r="CX94" s="51">
        <f t="shared" si="282"/>
        <v>82</v>
      </c>
      <c r="CY94" s="103">
        <f t="shared" ref="CY94:CY97" si="407">CY93</f>
        <v>0</v>
      </c>
      <c r="CZ94" s="46">
        <f t="shared" si="325"/>
        <v>82</v>
      </c>
      <c r="DA94" s="316"/>
      <c r="DB94" s="120"/>
      <c r="DC94" s="7">
        <f t="shared" ref="DC94:DC98" si="408">DC93</f>
        <v>13</v>
      </c>
      <c r="DD94" s="133"/>
      <c r="DE94" s="221"/>
      <c r="DF94" s="14">
        <f t="shared" si="327"/>
        <v>0</v>
      </c>
      <c r="DG94" s="59">
        <f t="shared" si="351"/>
        <v>0</v>
      </c>
      <c r="DH94" s="134"/>
      <c r="DI94" s="135"/>
      <c r="DJ94" s="135"/>
      <c r="DK94" s="14">
        <f t="shared" si="352"/>
        <v>0</v>
      </c>
      <c r="DL94" s="14">
        <f t="shared" si="342"/>
        <v>0</v>
      </c>
      <c r="DM94" s="14">
        <f t="shared" si="283"/>
        <v>0.16</v>
      </c>
      <c r="DN94" s="47">
        <f t="shared" si="328"/>
        <v>0</v>
      </c>
      <c r="DO94" s="35">
        <f t="shared" si="284"/>
        <v>3.680000000000001</v>
      </c>
      <c r="DP94" s="159">
        <f t="shared" si="329"/>
        <v>0</v>
      </c>
      <c r="DQ94" s="142"/>
      <c r="DR94" s="13">
        <f t="shared" si="285"/>
        <v>55</v>
      </c>
      <c r="DS94" s="48">
        <f t="shared" si="337"/>
        <v>0</v>
      </c>
      <c r="DT94" s="49">
        <f t="shared" si="330"/>
        <v>0</v>
      </c>
      <c r="DU94" s="50">
        <f t="shared" si="286"/>
        <v>975</v>
      </c>
      <c r="DV94" s="103">
        <f t="shared" ref="DV94:DV97" si="409">DV93</f>
        <v>0</v>
      </c>
      <c r="DW94" s="46">
        <f t="shared" si="374"/>
        <v>975</v>
      </c>
      <c r="DX94" s="51">
        <f t="shared" si="287"/>
        <v>82</v>
      </c>
      <c r="DY94" s="103">
        <f t="shared" ref="DY94:DY97" si="410">DY93</f>
        <v>0</v>
      </c>
      <c r="DZ94" s="46">
        <f t="shared" si="333"/>
        <v>82</v>
      </c>
    </row>
    <row r="95" spans="1:130" x14ac:dyDescent="0.25">
      <c r="B95" s="120">
        <f t="shared" si="393"/>
        <v>27</v>
      </c>
      <c r="C95" s="115">
        <f t="shared" si="394"/>
        <v>13</v>
      </c>
      <c r="D95" s="133"/>
      <c r="E95" s="221"/>
      <c r="F95" s="103">
        <f t="shared" si="290"/>
        <v>93342</v>
      </c>
      <c r="G95" s="107">
        <f t="shared" si="343"/>
        <v>93337</v>
      </c>
      <c r="H95" s="134"/>
      <c r="I95" s="135">
        <v>5</v>
      </c>
      <c r="J95" s="135"/>
      <c r="K95" s="14">
        <f t="shared" si="344"/>
        <v>5</v>
      </c>
      <c r="L95" s="14">
        <f t="shared" si="338"/>
        <v>220</v>
      </c>
      <c r="M95" s="14">
        <f t="shared" si="264"/>
        <v>0.16</v>
      </c>
      <c r="N95" s="47">
        <f t="shared" si="291"/>
        <v>5.3566454543506677E-2</v>
      </c>
      <c r="O95" s="35">
        <f t="shared" si="292"/>
        <v>3.680000000000001</v>
      </c>
      <c r="P95" s="159">
        <f t="shared" si="293"/>
        <v>0.23569239999142938</v>
      </c>
      <c r="Q95" s="142"/>
      <c r="R95" s="14">
        <f t="shared" si="294"/>
        <v>55</v>
      </c>
      <c r="S95" s="48">
        <f t="shared" si="295"/>
        <v>0</v>
      </c>
      <c r="T95" s="49">
        <f t="shared" si="296"/>
        <v>0.11689245893777725</v>
      </c>
      <c r="U95" s="160">
        <f t="shared" si="265"/>
        <v>975</v>
      </c>
      <c r="V95" s="103">
        <f t="shared" si="395"/>
        <v>928</v>
      </c>
      <c r="W95" s="46">
        <f t="shared" si="266"/>
        <v>47</v>
      </c>
      <c r="X95" s="51">
        <f t="shared" si="267"/>
        <v>82</v>
      </c>
      <c r="Y95" s="103">
        <f t="shared" si="396"/>
        <v>81</v>
      </c>
      <c r="Z95" s="46">
        <f t="shared" si="299"/>
        <v>1</v>
      </c>
      <c r="AB95" s="120">
        <f t="shared" si="397"/>
        <v>29</v>
      </c>
      <c r="AC95" s="7">
        <f t="shared" si="398"/>
        <v>13</v>
      </c>
      <c r="AD95" s="133"/>
      <c r="AE95" s="221"/>
      <c r="AF95" s="14">
        <f t="shared" si="302"/>
        <v>91877</v>
      </c>
      <c r="AG95" s="59">
        <f t="shared" si="345"/>
        <v>91870</v>
      </c>
      <c r="AH95" s="134"/>
      <c r="AI95" s="135">
        <v>7</v>
      </c>
      <c r="AJ95" s="135"/>
      <c r="AK95" s="14">
        <f t="shared" si="346"/>
        <v>7</v>
      </c>
      <c r="AL95" s="14">
        <f t="shared" si="339"/>
        <v>2870</v>
      </c>
      <c r="AM95" s="14">
        <f t="shared" si="268"/>
        <v>0.16</v>
      </c>
      <c r="AN95" s="47">
        <f t="shared" si="303"/>
        <v>7.6188817658391111E-2</v>
      </c>
      <c r="AO95" s="35">
        <f t="shared" si="269"/>
        <v>3.680000000000001</v>
      </c>
      <c r="AP95" s="159">
        <f t="shared" si="334"/>
        <v>3.1237415239940356</v>
      </c>
      <c r="AQ95" s="142"/>
      <c r="AR95" s="14">
        <f t="shared" si="270"/>
        <v>55</v>
      </c>
      <c r="AS95" s="35">
        <f t="shared" si="304"/>
        <v>0</v>
      </c>
      <c r="AT95" s="301">
        <f t="shared" si="305"/>
        <v>5.5413543607296042E-2</v>
      </c>
      <c r="AU95" s="14">
        <f t="shared" si="271"/>
        <v>975</v>
      </c>
      <c r="AV95" s="103">
        <f t="shared" si="399"/>
        <v>915</v>
      </c>
      <c r="AW95" s="46">
        <f t="shared" si="371"/>
        <v>60</v>
      </c>
      <c r="AX95" s="51">
        <f t="shared" si="272"/>
        <v>82</v>
      </c>
      <c r="AY95" s="103">
        <f t="shared" si="400"/>
        <v>82</v>
      </c>
      <c r="AZ95" s="46">
        <f t="shared" si="308"/>
        <v>0</v>
      </c>
      <c r="BA95" s="316"/>
      <c r="BB95" s="120">
        <f t="shared" si="401"/>
        <v>27</v>
      </c>
      <c r="BC95" s="7">
        <f t="shared" si="402"/>
        <v>13</v>
      </c>
      <c r="BD95" s="133"/>
      <c r="BE95" s="221"/>
      <c r="BF95" s="14">
        <f t="shared" si="311"/>
        <v>95004</v>
      </c>
      <c r="BG95" s="59">
        <f t="shared" si="347"/>
        <v>95000</v>
      </c>
      <c r="BH95" s="134"/>
      <c r="BI95" s="135">
        <v>4</v>
      </c>
      <c r="BJ95" s="135"/>
      <c r="BK95" s="14">
        <f t="shared" si="348"/>
        <v>4</v>
      </c>
      <c r="BL95" s="14">
        <f t="shared" si="340"/>
        <v>5203</v>
      </c>
      <c r="BM95" s="14">
        <f t="shared" si="273"/>
        <v>0.16</v>
      </c>
      <c r="BN95" s="47">
        <f t="shared" si="312"/>
        <v>4.2103490379352446E-2</v>
      </c>
      <c r="BO95" s="35">
        <f t="shared" si="274"/>
        <v>3.680000000000001</v>
      </c>
      <c r="BP95" s="159">
        <f t="shared" si="313"/>
        <v>5.4766115110942701</v>
      </c>
      <c r="BQ95" s="142"/>
      <c r="BR95" s="13">
        <f t="shared" si="275"/>
        <v>55</v>
      </c>
      <c r="BS95" s="48">
        <f>IFERROR(BQ95/BF95,0)</f>
        <v>0</v>
      </c>
      <c r="BT95" s="49">
        <f t="shared" si="314"/>
        <v>7.2033724880284866E-2</v>
      </c>
      <c r="BU95" s="50">
        <f t="shared" si="276"/>
        <v>975</v>
      </c>
      <c r="BV95" s="103">
        <f t="shared" si="403"/>
        <v>928</v>
      </c>
      <c r="BW95" s="46">
        <f t="shared" si="372"/>
        <v>47</v>
      </c>
      <c r="BX95" s="51">
        <f t="shared" si="277"/>
        <v>82</v>
      </c>
      <c r="BY95" s="103">
        <f t="shared" si="404"/>
        <v>81</v>
      </c>
      <c r="BZ95" s="46">
        <f t="shared" si="317"/>
        <v>1</v>
      </c>
      <c r="CA95" s="316"/>
      <c r="CB95" s="120"/>
      <c r="CC95" s="7">
        <f t="shared" si="405"/>
        <v>13</v>
      </c>
      <c r="CD95" s="133"/>
      <c r="CE95" s="221"/>
      <c r="CF95" s="14">
        <f t="shared" si="319"/>
        <v>0</v>
      </c>
      <c r="CG95" s="59">
        <f t="shared" si="349"/>
        <v>0</v>
      </c>
      <c r="CH95" s="134"/>
      <c r="CI95" s="135"/>
      <c r="CJ95" s="135"/>
      <c r="CK95" s="14">
        <f t="shared" si="350"/>
        <v>0</v>
      </c>
      <c r="CL95" s="14">
        <f t="shared" si="341"/>
        <v>0</v>
      </c>
      <c r="CM95" s="14">
        <f t="shared" si="278"/>
        <v>0.16</v>
      </c>
      <c r="CN95" s="47">
        <f t="shared" si="320"/>
        <v>0</v>
      </c>
      <c r="CO95" s="35">
        <f t="shared" si="279"/>
        <v>3.680000000000001</v>
      </c>
      <c r="CP95" s="159">
        <f t="shared" si="321"/>
        <v>0</v>
      </c>
      <c r="CQ95" s="142"/>
      <c r="CR95" s="13">
        <f t="shared" si="280"/>
        <v>55</v>
      </c>
      <c r="CS95" s="48">
        <f t="shared" si="335"/>
        <v>0</v>
      </c>
      <c r="CT95" s="49">
        <f t="shared" si="322"/>
        <v>0</v>
      </c>
      <c r="CU95" s="50">
        <f t="shared" si="281"/>
        <v>975</v>
      </c>
      <c r="CV95" s="103">
        <f t="shared" si="406"/>
        <v>0</v>
      </c>
      <c r="CW95" s="46">
        <f t="shared" si="373"/>
        <v>975</v>
      </c>
      <c r="CX95" s="51">
        <f t="shared" si="282"/>
        <v>82</v>
      </c>
      <c r="CY95" s="103">
        <f t="shared" si="407"/>
        <v>0</v>
      </c>
      <c r="CZ95" s="46">
        <f t="shared" si="325"/>
        <v>82</v>
      </c>
      <c r="DA95" s="316"/>
      <c r="DB95" s="120"/>
      <c r="DC95" s="7">
        <f t="shared" si="408"/>
        <v>13</v>
      </c>
      <c r="DD95" s="133"/>
      <c r="DE95" s="221"/>
      <c r="DF95" s="14">
        <f t="shared" si="327"/>
        <v>0</v>
      </c>
      <c r="DG95" s="59">
        <f t="shared" si="351"/>
        <v>0</v>
      </c>
      <c r="DH95" s="134"/>
      <c r="DI95" s="135"/>
      <c r="DJ95" s="135"/>
      <c r="DK95" s="14">
        <f t="shared" si="352"/>
        <v>0</v>
      </c>
      <c r="DL95" s="14">
        <f t="shared" si="342"/>
        <v>0</v>
      </c>
      <c r="DM95" s="14">
        <f t="shared" si="283"/>
        <v>0.16</v>
      </c>
      <c r="DN95" s="47">
        <f t="shared" si="328"/>
        <v>0</v>
      </c>
      <c r="DO95" s="35">
        <f t="shared" si="284"/>
        <v>3.680000000000001</v>
      </c>
      <c r="DP95" s="159">
        <f t="shared" si="329"/>
        <v>0</v>
      </c>
      <c r="DQ95" s="142"/>
      <c r="DR95" s="13">
        <f t="shared" si="285"/>
        <v>55</v>
      </c>
      <c r="DS95" s="48">
        <f t="shared" si="337"/>
        <v>0</v>
      </c>
      <c r="DT95" s="49">
        <f t="shared" si="330"/>
        <v>0</v>
      </c>
      <c r="DU95" s="50">
        <f t="shared" si="286"/>
        <v>975</v>
      </c>
      <c r="DV95" s="103">
        <f t="shared" si="409"/>
        <v>0</v>
      </c>
      <c r="DW95" s="46">
        <f t="shared" si="374"/>
        <v>975</v>
      </c>
      <c r="DX95" s="51">
        <f t="shared" si="287"/>
        <v>82</v>
      </c>
      <c r="DY95" s="103">
        <f t="shared" si="410"/>
        <v>0</v>
      </c>
      <c r="DZ95" s="46">
        <f t="shared" si="333"/>
        <v>82</v>
      </c>
    </row>
    <row r="96" spans="1:130" x14ac:dyDescent="0.25">
      <c r="B96" s="120">
        <f t="shared" si="393"/>
        <v>28</v>
      </c>
      <c r="C96" s="115">
        <f t="shared" si="394"/>
        <v>13</v>
      </c>
      <c r="D96" s="133"/>
      <c r="E96" s="221"/>
      <c r="F96" s="103">
        <f t="shared" si="290"/>
        <v>93337</v>
      </c>
      <c r="G96" s="107">
        <f t="shared" si="343"/>
        <v>93332</v>
      </c>
      <c r="H96" s="134"/>
      <c r="I96" s="135">
        <v>5</v>
      </c>
      <c r="J96" s="135"/>
      <c r="K96" s="14">
        <f t="shared" si="344"/>
        <v>5</v>
      </c>
      <c r="L96" s="14">
        <f t="shared" si="338"/>
        <v>225</v>
      </c>
      <c r="M96" s="14">
        <f t="shared" si="264"/>
        <v>0.16</v>
      </c>
      <c r="N96" s="47">
        <f t="shared" si="291"/>
        <v>5.3569324062268983E-2</v>
      </c>
      <c r="O96" s="35">
        <f t="shared" si="292"/>
        <v>3.680000000000001</v>
      </c>
      <c r="P96" s="159">
        <f t="shared" si="293"/>
        <v>0.24106195828021043</v>
      </c>
      <c r="Q96" s="142"/>
      <c r="R96" s="17">
        <f t="shared" si="294"/>
        <v>55</v>
      </c>
      <c r="S96" s="48">
        <f t="shared" si="295"/>
        <v>0</v>
      </c>
      <c r="T96" s="49">
        <f t="shared" si="296"/>
        <v>0.11689245893777725</v>
      </c>
      <c r="U96" s="160">
        <f t="shared" si="265"/>
        <v>975</v>
      </c>
      <c r="V96" s="103">
        <f t="shared" si="395"/>
        <v>928</v>
      </c>
      <c r="W96" s="46">
        <f t="shared" si="266"/>
        <v>47</v>
      </c>
      <c r="X96" s="51">
        <f t="shared" si="267"/>
        <v>82</v>
      </c>
      <c r="Y96" s="103">
        <f t="shared" si="396"/>
        <v>81</v>
      </c>
      <c r="Z96" s="46">
        <f t="shared" si="299"/>
        <v>1</v>
      </c>
      <c r="AB96" s="120">
        <f t="shared" si="397"/>
        <v>30</v>
      </c>
      <c r="AC96" s="7">
        <f t="shared" si="398"/>
        <v>13</v>
      </c>
      <c r="AD96" s="133"/>
      <c r="AE96" s="221"/>
      <c r="AF96" s="14">
        <f t="shared" si="302"/>
        <v>91870</v>
      </c>
      <c r="AG96" s="59">
        <f t="shared" si="345"/>
        <v>91865</v>
      </c>
      <c r="AH96" s="134"/>
      <c r="AI96" s="135">
        <v>5</v>
      </c>
      <c r="AJ96" s="135"/>
      <c r="AK96" s="14">
        <f t="shared" si="346"/>
        <v>5</v>
      </c>
      <c r="AL96" s="14">
        <f t="shared" si="339"/>
        <v>2875</v>
      </c>
      <c r="AM96" s="14">
        <f t="shared" si="268"/>
        <v>0.16</v>
      </c>
      <c r="AN96" s="47">
        <f t="shared" si="303"/>
        <v>5.4424730597583543E-2</v>
      </c>
      <c r="AO96" s="35">
        <f t="shared" si="269"/>
        <v>3.680000000000001</v>
      </c>
      <c r="AP96" s="159">
        <f t="shared" si="334"/>
        <v>3.1294220093610536</v>
      </c>
      <c r="AQ96" s="142"/>
      <c r="AR96" s="14">
        <f t="shared" si="270"/>
        <v>55</v>
      </c>
      <c r="AS96" s="35">
        <f t="shared" si="304"/>
        <v>0</v>
      </c>
      <c r="AT96" s="301">
        <f t="shared" si="305"/>
        <v>5.5413543607296042E-2</v>
      </c>
      <c r="AU96" s="14">
        <f t="shared" si="271"/>
        <v>975</v>
      </c>
      <c r="AV96" s="103">
        <f t="shared" si="399"/>
        <v>915</v>
      </c>
      <c r="AW96" s="46">
        <f t="shared" si="371"/>
        <v>60</v>
      </c>
      <c r="AX96" s="51">
        <f t="shared" si="272"/>
        <v>82</v>
      </c>
      <c r="AY96" s="103">
        <f t="shared" si="400"/>
        <v>82</v>
      </c>
      <c r="AZ96" s="46">
        <f t="shared" si="308"/>
        <v>0</v>
      </c>
      <c r="BA96" s="316"/>
      <c r="BB96" s="120">
        <f t="shared" si="401"/>
        <v>28</v>
      </c>
      <c r="BC96" s="7">
        <f t="shared" si="402"/>
        <v>13</v>
      </c>
      <c r="BD96" s="133"/>
      <c r="BE96" s="221"/>
      <c r="BF96" s="14">
        <f t="shared" si="311"/>
        <v>95000</v>
      </c>
      <c r="BG96" s="59">
        <f t="shared" si="347"/>
        <v>94987</v>
      </c>
      <c r="BH96" s="134">
        <v>10</v>
      </c>
      <c r="BI96" s="135">
        <v>3</v>
      </c>
      <c r="BJ96" s="135"/>
      <c r="BK96" s="14">
        <f t="shared" si="348"/>
        <v>13</v>
      </c>
      <c r="BL96" s="14">
        <f t="shared" si="340"/>
        <v>5216</v>
      </c>
      <c r="BM96" s="14">
        <f t="shared" si="273"/>
        <v>0.16</v>
      </c>
      <c r="BN96" s="47">
        <f t="shared" si="312"/>
        <v>0.1368421052631579</v>
      </c>
      <c r="BO96" s="35">
        <f t="shared" si="274"/>
        <v>3.680000000000001</v>
      </c>
      <c r="BP96" s="159">
        <f t="shared" si="313"/>
        <v>5.4905263157894737</v>
      </c>
      <c r="BQ96" s="142"/>
      <c r="BR96" s="13">
        <f t="shared" si="275"/>
        <v>55</v>
      </c>
      <c r="BS96" s="48">
        <f t="shared" si="336"/>
        <v>0</v>
      </c>
      <c r="BT96" s="49">
        <f t="shared" si="314"/>
        <v>7.2033724880284866E-2</v>
      </c>
      <c r="BU96" s="50">
        <f t="shared" si="276"/>
        <v>975</v>
      </c>
      <c r="BV96" s="103">
        <f t="shared" si="403"/>
        <v>928</v>
      </c>
      <c r="BW96" s="46">
        <f t="shared" si="372"/>
        <v>47</v>
      </c>
      <c r="BX96" s="51">
        <f t="shared" si="277"/>
        <v>82</v>
      </c>
      <c r="BY96" s="103">
        <f t="shared" si="404"/>
        <v>81</v>
      </c>
      <c r="BZ96" s="46">
        <f t="shared" si="317"/>
        <v>1</v>
      </c>
      <c r="CA96" s="316"/>
      <c r="CB96" s="120"/>
      <c r="CC96" s="7">
        <f t="shared" si="405"/>
        <v>13</v>
      </c>
      <c r="CD96" s="133"/>
      <c r="CE96" s="221"/>
      <c r="CF96" s="14">
        <f t="shared" si="319"/>
        <v>0</v>
      </c>
      <c r="CG96" s="59">
        <f t="shared" si="349"/>
        <v>0</v>
      </c>
      <c r="CH96" s="134"/>
      <c r="CI96" s="135"/>
      <c r="CJ96" s="135"/>
      <c r="CK96" s="14">
        <f t="shared" si="350"/>
        <v>0</v>
      </c>
      <c r="CL96" s="14">
        <f t="shared" si="341"/>
        <v>0</v>
      </c>
      <c r="CM96" s="14">
        <f t="shared" si="278"/>
        <v>0.16</v>
      </c>
      <c r="CN96" s="47">
        <f t="shared" si="320"/>
        <v>0</v>
      </c>
      <c r="CO96" s="35">
        <f t="shared" si="279"/>
        <v>3.680000000000001</v>
      </c>
      <c r="CP96" s="159">
        <f t="shared" si="321"/>
        <v>0</v>
      </c>
      <c r="CQ96" s="142"/>
      <c r="CR96" s="13">
        <f t="shared" si="280"/>
        <v>55</v>
      </c>
      <c r="CS96" s="48">
        <f t="shared" si="335"/>
        <v>0</v>
      </c>
      <c r="CT96" s="49">
        <f t="shared" si="322"/>
        <v>0</v>
      </c>
      <c r="CU96" s="50">
        <f t="shared" si="281"/>
        <v>975</v>
      </c>
      <c r="CV96" s="103">
        <f t="shared" si="406"/>
        <v>0</v>
      </c>
      <c r="CW96" s="46">
        <f t="shared" si="373"/>
        <v>975</v>
      </c>
      <c r="CX96" s="51">
        <f t="shared" si="282"/>
        <v>82</v>
      </c>
      <c r="CY96" s="103">
        <f t="shared" si="407"/>
        <v>0</v>
      </c>
      <c r="CZ96" s="46">
        <f t="shared" si="325"/>
        <v>82</v>
      </c>
      <c r="DA96" s="316"/>
      <c r="DB96" s="120"/>
      <c r="DC96" s="7">
        <f t="shared" si="408"/>
        <v>13</v>
      </c>
      <c r="DD96" s="133"/>
      <c r="DE96" s="221"/>
      <c r="DF96" s="14">
        <f t="shared" si="327"/>
        <v>0</v>
      </c>
      <c r="DG96" s="59">
        <f t="shared" si="351"/>
        <v>0</v>
      </c>
      <c r="DH96" s="134"/>
      <c r="DI96" s="135"/>
      <c r="DJ96" s="135"/>
      <c r="DK96" s="14">
        <f t="shared" si="352"/>
        <v>0</v>
      </c>
      <c r="DL96" s="14">
        <f t="shared" si="342"/>
        <v>0</v>
      </c>
      <c r="DM96" s="14">
        <f t="shared" si="283"/>
        <v>0.16</v>
      </c>
      <c r="DN96" s="47">
        <f t="shared" si="328"/>
        <v>0</v>
      </c>
      <c r="DO96" s="35">
        <f t="shared" si="284"/>
        <v>3.680000000000001</v>
      </c>
      <c r="DP96" s="159">
        <f t="shared" si="329"/>
        <v>0</v>
      </c>
      <c r="DQ96" s="142"/>
      <c r="DR96" s="13">
        <f t="shared" si="285"/>
        <v>55</v>
      </c>
      <c r="DS96" s="48">
        <f t="shared" si="337"/>
        <v>0</v>
      </c>
      <c r="DT96" s="49">
        <f t="shared" si="330"/>
        <v>0</v>
      </c>
      <c r="DU96" s="50">
        <f t="shared" si="286"/>
        <v>975</v>
      </c>
      <c r="DV96" s="103">
        <f t="shared" si="409"/>
        <v>0</v>
      </c>
      <c r="DW96" s="46">
        <f t="shared" si="374"/>
        <v>975</v>
      </c>
      <c r="DX96" s="51">
        <f t="shared" si="287"/>
        <v>82</v>
      </c>
      <c r="DY96" s="103">
        <f t="shared" si="410"/>
        <v>0</v>
      </c>
      <c r="DZ96" s="46">
        <f t="shared" si="333"/>
        <v>82</v>
      </c>
    </row>
    <row r="97" spans="1:130" x14ac:dyDescent="0.25">
      <c r="B97" s="120">
        <f t="shared" si="393"/>
        <v>29</v>
      </c>
      <c r="C97" s="115">
        <f t="shared" si="394"/>
        <v>13</v>
      </c>
      <c r="D97" s="133"/>
      <c r="E97" s="221"/>
      <c r="F97" s="103">
        <f t="shared" si="290"/>
        <v>93332</v>
      </c>
      <c r="G97" s="107">
        <f t="shared" si="343"/>
        <v>93327</v>
      </c>
      <c r="H97" s="134"/>
      <c r="I97" s="135">
        <v>5</v>
      </c>
      <c r="J97" s="135"/>
      <c r="K97" s="14">
        <f t="shared" si="344"/>
        <v>5</v>
      </c>
      <c r="L97" s="14">
        <f t="shared" si="338"/>
        <v>230</v>
      </c>
      <c r="M97" s="14">
        <f t="shared" si="264"/>
        <v>0.16</v>
      </c>
      <c r="N97" s="47">
        <f t="shared" si="291"/>
        <v>5.3572193888484124E-2</v>
      </c>
      <c r="O97" s="35">
        <f t="shared" si="292"/>
        <v>3.680000000000001</v>
      </c>
      <c r="P97" s="159">
        <f t="shared" si="293"/>
        <v>0.24643209188702694</v>
      </c>
      <c r="Q97" s="142"/>
      <c r="R97" s="17">
        <f t="shared" si="294"/>
        <v>55</v>
      </c>
      <c r="S97" s="48">
        <f t="shared" si="295"/>
        <v>0</v>
      </c>
      <c r="T97" s="49">
        <f t="shared" si="296"/>
        <v>0.11689245893777725</v>
      </c>
      <c r="U97" s="160">
        <f t="shared" si="265"/>
        <v>975</v>
      </c>
      <c r="V97" s="103">
        <f t="shared" si="395"/>
        <v>928</v>
      </c>
      <c r="W97" s="46">
        <f t="shared" si="266"/>
        <v>47</v>
      </c>
      <c r="X97" s="51">
        <f t="shared" si="267"/>
        <v>82</v>
      </c>
      <c r="Y97" s="103">
        <f t="shared" si="396"/>
        <v>81</v>
      </c>
      <c r="Z97" s="62">
        <f t="shared" si="299"/>
        <v>1</v>
      </c>
      <c r="AB97" s="120">
        <f t="shared" si="397"/>
        <v>31</v>
      </c>
      <c r="AC97" s="7">
        <f t="shared" si="398"/>
        <v>13</v>
      </c>
      <c r="AD97" s="133"/>
      <c r="AE97" s="221"/>
      <c r="AF97" s="14">
        <f t="shared" si="302"/>
        <v>91865</v>
      </c>
      <c r="AG97" s="59">
        <f t="shared" si="345"/>
        <v>91851</v>
      </c>
      <c r="AH97" s="134">
        <v>7</v>
      </c>
      <c r="AI97" s="135">
        <v>7</v>
      </c>
      <c r="AJ97" s="135"/>
      <c r="AK97" s="14">
        <f t="shared" si="346"/>
        <v>14</v>
      </c>
      <c r="AL97" s="14">
        <f t="shared" si="339"/>
        <v>2889</v>
      </c>
      <c r="AM97" s="14">
        <f t="shared" si="268"/>
        <v>0.16</v>
      </c>
      <c r="AN97" s="47">
        <f t="shared" si="303"/>
        <v>0.15239753986828497</v>
      </c>
      <c r="AO97" s="35">
        <f t="shared" si="269"/>
        <v>3.680000000000001</v>
      </c>
      <c r="AP97" s="159">
        <f t="shared" si="334"/>
        <v>3.144832090567681</v>
      </c>
      <c r="AQ97" s="142"/>
      <c r="AR97" s="14">
        <f t="shared" si="270"/>
        <v>55</v>
      </c>
      <c r="AS97" s="35">
        <f t="shared" si="304"/>
        <v>0</v>
      </c>
      <c r="AT97" s="301">
        <f t="shared" si="305"/>
        <v>5.5413543607296042E-2</v>
      </c>
      <c r="AU97" s="14">
        <f t="shared" si="271"/>
        <v>975</v>
      </c>
      <c r="AV97" s="103">
        <f t="shared" si="399"/>
        <v>915</v>
      </c>
      <c r="AW97" s="46">
        <f t="shared" si="371"/>
        <v>60</v>
      </c>
      <c r="AX97" s="51">
        <f t="shared" si="272"/>
        <v>82</v>
      </c>
      <c r="AY97" s="103">
        <f t="shared" si="400"/>
        <v>82</v>
      </c>
      <c r="AZ97" s="62">
        <f t="shared" si="308"/>
        <v>0</v>
      </c>
      <c r="BA97" s="316"/>
      <c r="BB97" s="120">
        <f t="shared" si="401"/>
        <v>29</v>
      </c>
      <c r="BC97" s="7">
        <f t="shared" si="402"/>
        <v>13</v>
      </c>
      <c r="BD97" s="133"/>
      <c r="BE97" s="221"/>
      <c r="BF97" s="14">
        <f t="shared" si="311"/>
        <v>94987</v>
      </c>
      <c r="BG97" s="59">
        <f t="shared" si="347"/>
        <v>94976</v>
      </c>
      <c r="BH97" s="134">
        <v>10</v>
      </c>
      <c r="BI97" s="135">
        <v>1</v>
      </c>
      <c r="BJ97" s="135"/>
      <c r="BK97" s="14">
        <f t="shared" si="348"/>
        <v>11</v>
      </c>
      <c r="BL97" s="14">
        <f t="shared" si="340"/>
        <v>5227</v>
      </c>
      <c r="BM97" s="14">
        <f t="shared" si="273"/>
        <v>0.16</v>
      </c>
      <c r="BN97" s="47">
        <f t="shared" si="312"/>
        <v>0.11580532072809964</v>
      </c>
      <c r="BO97" s="35">
        <f t="shared" si="274"/>
        <v>3.680000000000001</v>
      </c>
      <c r="BP97" s="159">
        <f t="shared" si="313"/>
        <v>5.5028582858706985</v>
      </c>
      <c r="BQ97" s="142"/>
      <c r="BR97" s="13">
        <f t="shared" si="275"/>
        <v>55</v>
      </c>
      <c r="BS97" s="48">
        <f t="shared" si="336"/>
        <v>0</v>
      </c>
      <c r="BT97" s="49">
        <f t="shared" si="314"/>
        <v>7.2033724880284866E-2</v>
      </c>
      <c r="BU97" s="50">
        <f t="shared" si="276"/>
        <v>975</v>
      </c>
      <c r="BV97" s="103">
        <f t="shared" si="403"/>
        <v>928</v>
      </c>
      <c r="BW97" s="46">
        <f t="shared" si="372"/>
        <v>47</v>
      </c>
      <c r="BX97" s="51">
        <f t="shared" si="277"/>
        <v>82</v>
      </c>
      <c r="BY97" s="103">
        <f t="shared" si="404"/>
        <v>81</v>
      </c>
      <c r="BZ97" s="62">
        <f t="shared" si="317"/>
        <v>1</v>
      </c>
      <c r="CA97" s="316"/>
      <c r="CB97" s="120"/>
      <c r="CC97" s="7">
        <f t="shared" si="405"/>
        <v>13</v>
      </c>
      <c r="CD97" s="133"/>
      <c r="CE97" s="221"/>
      <c r="CF97" s="14">
        <f t="shared" si="319"/>
        <v>0</v>
      </c>
      <c r="CG97" s="59">
        <f t="shared" si="349"/>
        <v>0</v>
      </c>
      <c r="CH97" s="134"/>
      <c r="CI97" s="135"/>
      <c r="CJ97" s="135"/>
      <c r="CK97" s="14">
        <f t="shared" si="350"/>
        <v>0</v>
      </c>
      <c r="CL97" s="14">
        <f t="shared" si="341"/>
        <v>0</v>
      </c>
      <c r="CM97" s="14">
        <f t="shared" si="278"/>
        <v>0.16</v>
      </c>
      <c r="CN97" s="47">
        <f t="shared" si="320"/>
        <v>0</v>
      </c>
      <c r="CO97" s="35">
        <f t="shared" si="279"/>
        <v>3.680000000000001</v>
      </c>
      <c r="CP97" s="159">
        <f t="shared" si="321"/>
        <v>0</v>
      </c>
      <c r="CQ97" s="142"/>
      <c r="CR97" s="13">
        <f t="shared" si="280"/>
        <v>55</v>
      </c>
      <c r="CS97" s="48">
        <f t="shared" si="335"/>
        <v>0</v>
      </c>
      <c r="CT97" s="49">
        <f t="shared" si="322"/>
        <v>0</v>
      </c>
      <c r="CU97" s="50">
        <f t="shared" si="281"/>
        <v>975</v>
      </c>
      <c r="CV97" s="103">
        <f t="shared" si="406"/>
        <v>0</v>
      </c>
      <c r="CW97" s="46">
        <f t="shared" si="373"/>
        <v>975</v>
      </c>
      <c r="CX97" s="51">
        <f t="shared" si="282"/>
        <v>82</v>
      </c>
      <c r="CY97" s="103">
        <f t="shared" si="407"/>
        <v>0</v>
      </c>
      <c r="CZ97" s="62">
        <f t="shared" si="325"/>
        <v>82</v>
      </c>
      <c r="DA97" s="316"/>
      <c r="DB97" s="120"/>
      <c r="DC97" s="7">
        <f t="shared" si="408"/>
        <v>13</v>
      </c>
      <c r="DD97" s="133"/>
      <c r="DE97" s="221"/>
      <c r="DF97" s="14">
        <f t="shared" si="327"/>
        <v>0</v>
      </c>
      <c r="DG97" s="59">
        <f t="shared" si="351"/>
        <v>0</v>
      </c>
      <c r="DH97" s="134"/>
      <c r="DI97" s="135"/>
      <c r="DJ97" s="135"/>
      <c r="DK97" s="14">
        <f t="shared" si="352"/>
        <v>0</v>
      </c>
      <c r="DL97" s="14">
        <f t="shared" si="342"/>
        <v>0</v>
      </c>
      <c r="DM97" s="14">
        <f t="shared" si="283"/>
        <v>0.16</v>
      </c>
      <c r="DN97" s="47">
        <f t="shared" si="328"/>
        <v>0</v>
      </c>
      <c r="DO97" s="35">
        <f t="shared" si="284"/>
        <v>3.680000000000001</v>
      </c>
      <c r="DP97" s="159">
        <f t="shared" si="329"/>
        <v>0</v>
      </c>
      <c r="DQ97" s="142"/>
      <c r="DR97" s="13">
        <f t="shared" si="285"/>
        <v>55</v>
      </c>
      <c r="DS97" s="48">
        <f t="shared" si="337"/>
        <v>0</v>
      </c>
      <c r="DT97" s="49">
        <f t="shared" si="330"/>
        <v>0</v>
      </c>
      <c r="DU97" s="50">
        <f t="shared" si="286"/>
        <v>975</v>
      </c>
      <c r="DV97" s="103">
        <f t="shared" si="409"/>
        <v>0</v>
      </c>
      <c r="DW97" s="46">
        <f t="shared" si="374"/>
        <v>975</v>
      </c>
      <c r="DX97" s="51">
        <f t="shared" si="287"/>
        <v>82</v>
      </c>
      <c r="DY97" s="103">
        <f t="shared" si="410"/>
        <v>0</v>
      </c>
      <c r="DZ97" s="62">
        <f t="shared" si="333"/>
        <v>82</v>
      </c>
    </row>
    <row r="98" spans="1:130" ht="17.25" thickBot="1" x14ac:dyDescent="0.3">
      <c r="B98" s="119">
        <f t="shared" si="393"/>
        <v>30</v>
      </c>
      <c r="C98" s="239">
        <f t="shared" si="394"/>
        <v>13</v>
      </c>
      <c r="D98" s="203"/>
      <c r="E98" s="225"/>
      <c r="F98" s="202">
        <f t="shared" si="290"/>
        <v>93327</v>
      </c>
      <c r="G98" s="107">
        <f t="shared" si="343"/>
        <v>93321</v>
      </c>
      <c r="H98" s="204"/>
      <c r="I98" s="205">
        <v>6</v>
      </c>
      <c r="J98" s="205"/>
      <c r="K98" s="31">
        <f t="shared" si="344"/>
        <v>6</v>
      </c>
      <c r="L98" s="31">
        <f t="shared" si="338"/>
        <v>236</v>
      </c>
      <c r="M98" s="31">
        <f t="shared" si="264"/>
        <v>0.16</v>
      </c>
      <c r="N98" s="230">
        <f t="shared" si="291"/>
        <v>6.4290076826641812E-2</v>
      </c>
      <c r="O98" s="37">
        <f t="shared" si="292"/>
        <v>3.680000000000001</v>
      </c>
      <c r="P98" s="157">
        <f t="shared" si="293"/>
        <v>0.25287430218479112</v>
      </c>
      <c r="Q98" s="237"/>
      <c r="R98" s="12">
        <f t="shared" si="294"/>
        <v>55</v>
      </c>
      <c r="S98" s="67">
        <f t="shared" si="295"/>
        <v>0</v>
      </c>
      <c r="T98" s="196">
        <f t="shared" si="296"/>
        <v>0.11689245893777725</v>
      </c>
      <c r="U98" s="12">
        <f t="shared" si="265"/>
        <v>975</v>
      </c>
      <c r="V98" s="240">
        <f>V97</f>
        <v>928</v>
      </c>
      <c r="W98" s="266">
        <f t="shared" si="266"/>
        <v>47</v>
      </c>
      <c r="X98" s="241">
        <f t="shared" si="267"/>
        <v>82</v>
      </c>
      <c r="Y98" s="240">
        <f>Y97</f>
        <v>81</v>
      </c>
      <c r="Z98" s="59">
        <f t="shared" si="299"/>
        <v>1</v>
      </c>
      <c r="AA98" s="168" t="s">
        <v>84</v>
      </c>
      <c r="AB98" s="242">
        <v>1</v>
      </c>
      <c r="AC98" s="254">
        <f t="shared" si="398"/>
        <v>13</v>
      </c>
      <c r="AD98" s="255"/>
      <c r="AE98" s="256"/>
      <c r="AF98" s="199">
        <f t="shared" si="302"/>
        <v>91851</v>
      </c>
      <c r="AG98" s="180">
        <f t="shared" si="345"/>
        <v>91827</v>
      </c>
      <c r="AH98" s="257">
        <v>8</v>
      </c>
      <c r="AI98" s="258">
        <v>12</v>
      </c>
      <c r="AJ98" s="258">
        <v>4</v>
      </c>
      <c r="AK98" s="246">
        <f t="shared" si="346"/>
        <v>24</v>
      </c>
      <c r="AL98" s="246">
        <f t="shared" si="339"/>
        <v>2913</v>
      </c>
      <c r="AM98" s="199">
        <f t="shared" si="268"/>
        <v>0.16</v>
      </c>
      <c r="AN98" s="247">
        <f t="shared" si="303"/>
        <v>0.26129274586014306</v>
      </c>
      <c r="AO98" s="259">
        <f t="shared" si="269"/>
        <v>3.680000000000001</v>
      </c>
      <c r="AP98" s="248">
        <f t="shared" si="334"/>
        <v>3.1714407028774865</v>
      </c>
      <c r="AQ98" s="260"/>
      <c r="AR98" s="199">
        <f t="shared" si="270"/>
        <v>55</v>
      </c>
      <c r="AS98" s="259">
        <f t="shared" si="304"/>
        <v>0</v>
      </c>
      <c r="AT98" s="307">
        <f t="shared" si="305"/>
        <v>5.5413543607296042E-2</v>
      </c>
      <c r="AU98" s="199">
        <f t="shared" si="271"/>
        <v>975</v>
      </c>
      <c r="AV98" s="261">
        <f>AV97</f>
        <v>915</v>
      </c>
      <c r="AW98" s="201">
        <f t="shared" si="371"/>
        <v>60</v>
      </c>
      <c r="AX98" s="252">
        <f t="shared" si="272"/>
        <v>82</v>
      </c>
      <c r="AY98" s="261">
        <f>AY97</f>
        <v>82</v>
      </c>
      <c r="AZ98" s="180">
        <f t="shared" si="308"/>
        <v>0</v>
      </c>
      <c r="BA98" s="316"/>
      <c r="BB98" s="119">
        <f t="shared" si="401"/>
        <v>30</v>
      </c>
      <c r="BC98" s="95">
        <f t="shared" si="402"/>
        <v>13</v>
      </c>
      <c r="BD98" s="203"/>
      <c r="BE98" s="225"/>
      <c r="BF98" s="13">
        <f t="shared" si="311"/>
        <v>94976</v>
      </c>
      <c r="BG98" s="59">
        <f t="shared" si="347"/>
        <v>94958</v>
      </c>
      <c r="BH98" s="204">
        <v>14</v>
      </c>
      <c r="BI98" s="205">
        <v>4</v>
      </c>
      <c r="BJ98" s="205"/>
      <c r="BK98" s="31">
        <f t="shared" si="348"/>
        <v>18</v>
      </c>
      <c r="BL98" s="31">
        <f t="shared" si="340"/>
        <v>5245</v>
      </c>
      <c r="BM98" s="13">
        <f t="shared" si="273"/>
        <v>0.16</v>
      </c>
      <c r="BN98" s="230">
        <f t="shared" si="312"/>
        <v>0.18952156334231807</v>
      </c>
      <c r="BO98" s="161">
        <f t="shared" si="274"/>
        <v>3.680000000000001</v>
      </c>
      <c r="BP98" s="157">
        <f t="shared" si="313"/>
        <v>5.5224477762803232</v>
      </c>
      <c r="BQ98" s="237"/>
      <c r="BR98" s="13">
        <f t="shared" si="275"/>
        <v>55</v>
      </c>
      <c r="BS98" s="67">
        <f t="shared" si="336"/>
        <v>0</v>
      </c>
      <c r="BT98" s="196">
        <f t="shared" si="314"/>
        <v>7.2033724880284866E-2</v>
      </c>
      <c r="BU98" s="50">
        <f t="shared" si="276"/>
        <v>975</v>
      </c>
      <c r="BV98" s="240">
        <f>BV97</f>
        <v>928</v>
      </c>
      <c r="BW98" s="266">
        <f t="shared" si="372"/>
        <v>47</v>
      </c>
      <c r="BX98" s="241">
        <f t="shared" si="277"/>
        <v>82</v>
      </c>
      <c r="BY98" s="240">
        <f>BY97</f>
        <v>81</v>
      </c>
      <c r="BZ98" s="267">
        <f t="shared" si="317"/>
        <v>1</v>
      </c>
      <c r="CA98" s="316"/>
      <c r="CB98" s="197"/>
      <c r="CC98" s="8">
        <f t="shared" si="405"/>
        <v>13</v>
      </c>
      <c r="CD98" s="136"/>
      <c r="CE98" s="226"/>
      <c r="CF98" s="32">
        <f t="shared" si="319"/>
        <v>0</v>
      </c>
      <c r="CG98" s="53">
        <f t="shared" si="349"/>
        <v>0</v>
      </c>
      <c r="CH98" s="137"/>
      <c r="CI98" s="138"/>
      <c r="CJ98" s="138"/>
      <c r="CK98" s="34">
        <f t="shared" si="350"/>
        <v>0</v>
      </c>
      <c r="CL98" s="34">
        <f t="shared" si="341"/>
        <v>0</v>
      </c>
      <c r="CM98" s="32">
        <f t="shared" si="278"/>
        <v>0.16</v>
      </c>
      <c r="CN98" s="96">
        <f t="shared" si="320"/>
        <v>0</v>
      </c>
      <c r="CO98" s="36">
        <f t="shared" si="279"/>
        <v>3.680000000000001</v>
      </c>
      <c r="CP98" s="156">
        <f t="shared" si="321"/>
        <v>0</v>
      </c>
      <c r="CQ98" s="139"/>
      <c r="CR98" s="32">
        <f t="shared" si="280"/>
        <v>55</v>
      </c>
      <c r="CS98" s="54">
        <f t="shared" si="335"/>
        <v>0</v>
      </c>
      <c r="CT98" s="55">
        <f t="shared" si="322"/>
        <v>0</v>
      </c>
      <c r="CU98" s="56">
        <f t="shared" si="281"/>
        <v>975</v>
      </c>
      <c r="CV98" s="183">
        <f>CV97</f>
        <v>0</v>
      </c>
      <c r="CW98" s="63">
        <f t="shared" si="373"/>
        <v>975</v>
      </c>
      <c r="CX98" s="65">
        <f t="shared" si="282"/>
        <v>82</v>
      </c>
      <c r="CY98" s="183">
        <f>CY97</f>
        <v>0</v>
      </c>
      <c r="CZ98" s="53">
        <f t="shared" si="325"/>
        <v>82</v>
      </c>
      <c r="DA98" s="316"/>
      <c r="DB98" s="119"/>
      <c r="DC98" s="95">
        <f t="shared" si="408"/>
        <v>13</v>
      </c>
      <c r="DD98" s="203"/>
      <c r="DE98" s="225"/>
      <c r="DF98" s="13">
        <f t="shared" si="327"/>
        <v>0</v>
      </c>
      <c r="DG98" s="59">
        <f t="shared" si="351"/>
        <v>0</v>
      </c>
      <c r="DH98" s="204"/>
      <c r="DI98" s="205"/>
      <c r="DJ98" s="205"/>
      <c r="DK98" s="31">
        <f t="shared" si="352"/>
        <v>0</v>
      </c>
      <c r="DL98" s="31">
        <f t="shared" si="342"/>
        <v>0</v>
      </c>
      <c r="DM98" s="13">
        <f t="shared" si="283"/>
        <v>0.16</v>
      </c>
      <c r="DN98" s="230">
        <f t="shared" si="328"/>
        <v>0</v>
      </c>
      <c r="DO98" s="161">
        <f t="shared" si="284"/>
        <v>3.680000000000001</v>
      </c>
      <c r="DP98" s="157">
        <f t="shared" si="329"/>
        <v>0</v>
      </c>
      <c r="DQ98" s="237"/>
      <c r="DR98" s="13">
        <f t="shared" si="285"/>
        <v>55</v>
      </c>
      <c r="DS98" s="67">
        <f t="shared" si="337"/>
        <v>0</v>
      </c>
      <c r="DT98" s="196">
        <f t="shared" si="330"/>
        <v>0</v>
      </c>
      <c r="DU98" s="50">
        <f t="shared" si="286"/>
        <v>975</v>
      </c>
      <c r="DV98" s="240">
        <f>DV97</f>
        <v>0</v>
      </c>
      <c r="DW98" s="62">
        <f t="shared" si="374"/>
        <v>975</v>
      </c>
      <c r="DX98" s="52">
        <f t="shared" si="287"/>
        <v>82</v>
      </c>
      <c r="DY98" s="240">
        <f>DY97</f>
        <v>0</v>
      </c>
      <c r="DZ98" s="59">
        <f t="shared" si="333"/>
        <v>82</v>
      </c>
    </row>
    <row r="99" spans="1:130" x14ac:dyDescent="0.25">
      <c r="B99" s="118">
        <v>31</v>
      </c>
      <c r="C99" s="114">
        <v>14</v>
      </c>
      <c r="D99" s="129"/>
      <c r="E99" s="224"/>
      <c r="F99" s="101">
        <f t="shared" si="290"/>
        <v>93321</v>
      </c>
      <c r="G99" s="106">
        <f t="shared" si="343"/>
        <v>93315</v>
      </c>
      <c r="H99" s="130"/>
      <c r="I99" s="131">
        <v>6</v>
      </c>
      <c r="J99" s="131"/>
      <c r="K99" s="11">
        <f t="shared" si="344"/>
        <v>6</v>
      </c>
      <c r="L99" s="11">
        <f t="shared" si="338"/>
        <v>242</v>
      </c>
      <c r="M99" s="11">
        <f t="shared" si="264"/>
        <v>0.16</v>
      </c>
      <c r="N99" s="42">
        <f t="shared" si="291"/>
        <v>6.4294210306361912E-2</v>
      </c>
      <c r="O99" s="21">
        <f t="shared" si="292"/>
        <v>3.8400000000000012</v>
      </c>
      <c r="P99" s="165">
        <f t="shared" si="293"/>
        <v>0.25931998156899305</v>
      </c>
      <c r="Q99" s="158"/>
      <c r="R99" s="18">
        <f t="shared" si="294"/>
        <v>57</v>
      </c>
      <c r="S99" s="43">
        <f t="shared" si="295"/>
        <v>0</v>
      </c>
      <c r="T99" s="44">
        <f t="shared" si="296"/>
        <v>0.11689245893777725</v>
      </c>
      <c r="U99" s="195">
        <f t="shared" si="265"/>
        <v>1048</v>
      </c>
      <c r="V99" s="131">
        <v>1027</v>
      </c>
      <c r="W99" s="41">
        <f t="shared" si="266"/>
        <v>21</v>
      </c>
      <c r="X99" s="58">
        <f t="shared" si="267"/>
        <v>84</v>
      </c>
      <c r="Y99" s="131">
        <v>83</v>
      </c>
      <c r="Z99" s="41">
        <f t="shared" si="299"/>
        <v>1</v>
      </c>
      <c r="AB99" s="118">
        <v>2</v>
      </c>
      <c r="AC99" s="9">
        <v>14</v>
      </c>
      <c r="AD99" s="129"/>
      <c r="AE99" s="224"/>
      <c r="AF99" s="11">
        <f t="shared" si="302"/>
        <v>91827</v>
      </c>
      <c r="AG99" s="57">
        <f t="shared" si="345"/>
        <v>91802</v>
      </c>
      <c r="AH99" s="130">
        <v>13</v>
      </c>
      <c r="AI99" s="131">
        <v>9</v>
      </c>
      <c r="AJ99" s="131">
        <v>3</v>
      </c>
      <c r="AK99" s="11">
        <f t="shared" si="346"/>
        <v>25</v>
      </c>
      <c r="AL99" s="11">
        <f t="shared" si="339"/>
        <v>2938</v>
      </c>
      <c r="AM99" s="11">
        <f t="shared" si="268"/>
        <v>0.16</v>
      </c>
      <c r="AN99" s="42">
        <f t="shared" si="303"/>
        <v>0.27225108083679095</v>
      </c>
      <c r="AO99" s="21">
        <f t="shared" si="269"/>
        <v>3.8400000000000012</v>
      </c>
      <c r="AP99" s="165">
        <f t="shared" si="334"/>
        <v>3.199494701993967</v>
      </c>
      <c r="AQ99" s="158"/>
      <c r="AR99" s="11">
        <f t="shared" si="270"/>
        <v>57</v>
      </c>
      <c r="AS99" s="21">
        <f t="shared" si="304"/>
        <v>0</v>
      </c>
      <c r="AT99" s="303">
        <f t="shared" si="305"/>
        <v>5.5413543607296042E-2</v>
      </c>
      <c r="AU99" s="11">
        <f t="shared" si="271"/>
        <v>1048</v>
      </c>
      <c r="AV99" s="131">
        <v>967</v>
      </c>
      <c r="AW99" s="41">
        <f t="shared" si="371"/>
        <v>81</v>
      </c>
      <c r="AX99" s="58">
        <f t="shared" si="272"/>
        <v>84</v>
      </c>
      <c r="AY99" s="131">
        <v>75</v>
      </c>
      <c r="AZ99" s="41">
        <f t="shared" si="308"/>
        <v>9</v>
      </c>
      <c r="BA99" s="316"/>
      <c r="BB99" s="118">
        <v>31</v>
      </c>
      <c r="BC99" s="9">
        <v>14</v>
      </c>
      <c r="BD99" s="129"/>
      <c r="BE99" s="224"/>
      <c r="BF99" s="11">
        <f t="shared" si="311"/>
        <v>94958</v>
      </c>
      <c r="BG99" s="57">
        <f t="shared" si="347"/>
        <v>94950</v>
      </c>
      <c r="BH99" s="130">
        <v>4</v>
      </c>
      <c r="BI99" s="131">
        <v>4</v>
      </c>
      <c r="BJ99" s="131"/>
      <c r="BK99" s="11">
        <f t="shared" si="348"/>
        <v>8</v>
      </c>
      <c r="BL99" s="11">
        <f t="shared" si="340"/>
        <v>5253</v>
      </c>
      <c r="BM99" s="11">
        <f t="shared" si="273"/>
        <v>0.16</v>
      </c>
      <c r="BN99" s="42">
        <f t="shared" si="312"/>
        <v>8.4247772699509255E-2</v>
      </c>
      <c r="BO99" s="21">
        <f t="shared" si="274"/>
        <v>3.8400000000000012</v>
      </c>
      <c r="BP99" s="165">
        <f t="shared" si="313"/>
        <v>5.531919374881527</v>
      </c>
      <c r="BQ99" s="158"/>
      <c r="BR99" s="16">
        <f t="shared" si="275"/>
        <v>57</v>
      </c>
      <c r="BS99" s="43">
        <f t="shared" si="336"/>
        <v>0</v>
      </c>
      <c r="BT99" s="44">
        <f t="shared" si="314"/>
        <v>7.2033724880284866E-2</v>
      </c>
      <c r="BU99" s="45">
        <f t="shared" si="276"/>
        <v>1048</v>
      </c>
      <c r="BV99" s="131">
        <v>1006</v>
      </c>
      <c r="BW99" s="41">
        <f t="shared" si="372"/>
        <v>42</v>
      </c>
      <c r="BX99" s="58">
        <f t="shared" si="277"/>
        <v>84</v>
      </c>
      <c r="BY99" s="131">
        <v>84</v>
      </c>
      <c r="BZ99" s="41">
        <f t="shared" si="317"/>
        <v>0</v>
      </c>
      <c r="CA99" s="316"/>
      <c r="CB99" s="198"/>
      <c r="CC99" s="38">
        <v>14</v>
      </c>
      <c r="CD99" s="143"/>
      <c r="CE99" s="227"/>
      <c r="CF99" s="17">
        <f t="shared" si="319"/>
        <v>0</v>
      </c>
      <c r="CG99" s="62">
        <f t="shared" si="349"/>
        <v>0</v>
      </c>
      <c r="CH99" s="144"/>
      <c r="CI99" s="141"/>
      <c r="CJ99" s="141"/>
      <c r="CK99" s="17">
        <f t="shared" si="350"/>
        <v>0</v>
      </c>
      <c r="CL99" s="17">
        <f t="shared" si="341"/>
        <v>0</v>
      </c>
      <c r="CM99" s="17">
        <f t="shared" si="278"/>
        <v>0.16</v>
      </c>
      <c r="CN99" s="231">
        <f t="shared" si="320"/>
        <v>0</v>
      </c>
      <c r="CO99" s="37">
        <f t="shared" si="279"/>
        <v>3.8400000000000012</v>
      </c>
      <c r="CP99" s="155">
        <f t="shared" si="321"/>
        <v>0</v>
      </c>
      <c r="CQ99" s="145"/>
      <c r="CR99" s="31">
        <f t="shared" si="280"/>
        <v>57</v>
      </c>
      <c r="CS99" s="60">
        <f t="shared" si="335"/>
        <v>0</v>
      </c>
      <c r="CT99" s="72">
        <f t="shared" si="322"/>
        <v>0</v>
      </c>
      <c r="CU99" s="52">
        <f t="shared" si="281"/>
        <v>1048</v>
      </c>
      <c r="CV99" s="141"/>
      <c r="CW99" s="71">
        <f t="shared" si="373"/>
        <v>1048</v>
      </c>
      <c r="CX99" s="61">
        <f t="shared" si="282"/>
        <v>84</v>
      </c>
      <c r="CY99" s="141"/>
      <c r="CZ99" s="71">
        <f t="shared" si="325"/>
        <v>84</v>
      </c>
      <c r="DA99" s="316"/>
      <c r="DB99" s="118"/>
      <c r="DC99" s="9">
        <v>14</v>
      </c>
      <c r="DD99" s="129"/>
      <c r="DE99" s="224"/>
      <c r="DF99" s="11">
        <f t="shared" si="327"/>
        <v>0</v>
      </c>
      <c r="DG99" s="57">
        <f t="shared" si="351"/>
        <v>0</v>
      </c>
      <c r="DH99" s="130"/>
      <c r="DI99" s="131"/>
      <c r="DJ99" s="131"/>
      <c r="DK99" s="11">
        <f t="shared" si="352"/>
        <v>0</v>
      </c>
      <c r="DL99" s="11">
        <f t="shared" si="342"/>
        <v>0</v>
      </c>
      <c r="DM99" s="11">
        <f t="shared" si="283"/>
        <v>0.16</v>
      </c>
      <c r="DN99" s="42">
        <f t="shared" si="328"/>
        <v>0</v>
      </c>
      <c r="DO99" s="21">
        <f t="shared" si="284"/>
        <v>3.8400000000000012</v>
      </c>
      <c r="DP99" s="165">
        <f t="shared" si="329"/>
        <v>0</v>
      </c>
      <c r="DQ99" s="158"/>
      <c r="DR99" s="16">
        <f t="shared" si="285"/>
        <v>57</v>
      </c>
      <c r="DS99" s="43">
        <f t="shared" si="337"/>
        <v>0</v>
      </c>
      <c r="DT99" s="44">
        <f t="shared" si="330"/>
        <v>0</v>
      </c>
      <c r="DU99" s="45">
        <f t="shared" si="286"/>
        <v>1048</v>
      </c>
      <c r="DV99" s="131"/>
      <c r="DW99" s="41">
        <f t="shared" si="374"/>
        <v>1048</v>
      </c>
      <c r="DX99" s="58">
        <f t="shared" si="287"/>
        <v>84</v>
      </c>
      <c r="DY99" s="131"/>
      <c r="DZ99" s="41">
        <f t="shared" si="333"/>
        <v>84</v>
      </c>
    </row>
    <row r="100" spans="1:130" x14ac:dyDescent="0.25">
      <c r="A100" s="2" t="s">
        <v>106</v>
      </c>
      <c r="B100" s="324">
        <v>1</v>
      </c>
      <c r="C100" s="325">
        <f>C99</f>
        <v>14</v>
      </c>
      <c r="D100" s="215"/>
      <c r="E100" s="228"/>
      <c r="F100" s="323">
        <f t="shared" si="290"/>
        <v>93315</v>
      </c>
      <c r="G100" s="326">
        <f t="shared" si="343"/>
        <v>93291</v>
      </c>
      <c r="H100" s="327">
        <v>10</v>
      </c>
      <c r="I100" s="328">
        <v>12</v>
      </c>
      <c r="J100" s="328">
        <v>2</v>
      </c>
      <c r="K100" s="329">
        <f t="shared" si="344"/>
        <v>24</v>
      </c>
      <c r="L100" s="329">
        <f t="shared" si="338"/>
        <v>266</v>
      </c>
      <c r="M100" s="329">
        <f t="shared" si="264"/>
        <v>0.16</v>
      </c>
      <c r="N100" s="330">
        <f t="shared" si="291"/>
        <v>0.25719337727053526</v>
      </c>
      <c r="O100" s="331">
        <f t="shared" si="292"/>
        <v>3.8400000000000012</v>
      </c>
      <c r="P100" s="332">
        <f t="shared" si="293"/>
        <v>0.28505599314150992</v>
      </c>
      <c r="Q100" s="333"/>
      <c r="R100" s="334">
        <f t="shared" si="294"/>
        <v>57</v>
      </c>
      <c r="S100" s="335">
        <f t="shared" si="295"/>
        <v>0</v>
      </c>
      <c r="T100" s="336">
        <f t="shared" si="296"/>
        <v>0.11689245893777725</v>
      </c>
      <c r="U100" s="337">
        <f t="shared" si="265"/>
        <v>1048</v>
      </c>
      <c r="V100" s="323">
        <f>V99</f>
        <v>1027</v>
      </c>
      <c r="W100" s="338">
        <f t="shared" si="266"/>
        <v>21</v>
      </c>
      <c r="X100" s="339">
        <f t="shared" si="267"/>
        <v>84</v>
      </c>
      <c r="Y100" s="323">
        <f>Y99</f>
        <v>83</v>
      </c>
      <c r="Z100" s="338">
        <f t="shared" si="299"/>
        <v>1</v>
      </c>
      <c r="AB100" s="120">
        <f>AB99+1</f>
        <v>3</v>
      </c>
      <c r="AC100" s="7">
        <f>AC99</f>
        <v>14</v>
      </c>
      <c r="AD100" s="133"/>
      <c r="AE100" s="221"/>
      <c r="AF100" s="14">
        <f t="shared" si="302"/>
        <v>91802</v>
      </c>
      <c r="AG100" s="59">
        <f t="shared" si="345"/>
        <v>91794</v>
      </c>
      <c r="AH100" s="134"/>
      <c r="AI100" s="135">
        <v>8</v>
      </c>
      <c r="AJ100" s="135"/>
      <c r="AK100" s="14">
        <f t="shared" si="346"/>
        <v>8</v>
      </c>
      <c r="AL100" s="14">
        <f t="shared" si="339"/>
        <v>2946</v>
      </c>
      <c r="AM100" s="14">
        <f t="shared" si="268"/>
        <v>0.16</v>
      </c>
      <c r="AN100" s="47">
        <f t="shared" si="303"/>
        <v>8.7144070935273737E-2</v>
      </c>
      <c r="AO100" s="35">
        <f t="shared" si="269"/>
        <v>3.8400000000000012</v>
      </c>
      <c r="AP100" s="159">
        <f t="shared" si="334"/>
        <v>3.2090804121914553</v>
      </c>
      <c r="AQ100" s="142"/>
      <c r="AR100" s="14">
        <f t="shared" si="270"/>
        <v>57</v>
      </c>
      <c r="AS100" s="35">
        <f t="shared" si="304"/>
        <v>0</v>
      </c>
      <c r="AT100" s="301">
        <f t="shared" si="305"/>
        <v>5.5413543607296042E-2</v>
      </c>
      <c r="AU100" s="14">
        <f t="shared" si="271"/>
        <v>1048</v>
      </c>
      <c r="AV100" s="103">
        <f>AV99</f>
        <v>967</v>
      </c>
      <c r="AW100" s="46">
        <f t="shared" si="371"/>
        <v>81</v>
      </c>
      <c r="AX100" s="51">
        <f t="shared" si="272"/>
        <v>84</v>
      </c>
      <c r="AY100" s="103">
        <f>AY99</f>
        <v>75</v>
      </c>
      <c r="AZ100" s="46">
        <f t="shared" si="308"/>
        <v>9</v>
      </c>
      <c r="BA100" s="321" t="s">
        <v>84</v>
      </c>
      <c r="BB100" s="274">
        <v>1</v>
      </c>
      <c r="BC100" s="275">
        <f>BC99</f>
        <v>14</v>
      </c>
      <c r="BD100" s="276"/>
      <c r="BE100" s="277"/>
      <c r="BF100" s="278">
        <f t="shared" si="311"/>
        <v>94950</v>
      </c>
      <c r="BG100" s="291">
        <f t="shared" si="347"/>
        <v>94935</v>
      </c>
      <c r="BH100" s="280">
        <v>4</v>
      </c>
      <c r="BI100" s="281">
        <v>8</v>
      </c>
      <c r="BJ100" s="281">
        <v>3</v>
      </c>
      <c r="BK100" s="278">
        <f t="shared" si="348"/>
        <v>15</v>
      </c>
      <c r="BL100" s="278">
        <f t="shared" si="340"/>
        <v>5268</v>
      </c>
      <c r="BM100" s="278">
        <f t="shared" si="273"/>
        <v>0.16</v>
      </c>
      <c r="BN100" s="271">
        <f t="shared" si="312"/>
        <v>0.15797788309636651</v>
      </c>
      <c r="BO100" s="272">
        <f t="shared" si="274"/>
        <v>3.8400000000000012</v>
      </c>
      <c r="BP100" s="273">
        <f t="shared" si="313"/>
        <v>5.5481832543443916</v>
      </c>
      <c r="BQ100" s="282"/>
      <c r="BR100" s="283">
        <f t="shared" si="275"/>
        <v>57</v>
      </c>
      <c r="BS100" s="284">
        <f t="shared" si="336"/>
        <v>0</v>
      </c>
      <c r="BT100" s="285">
        <f t="shared" si="314"/>
        <v>7.2033724880284866E-2</v>
      </c>
      <c r="BU100" s="286">
        <f t="shared" si="276"/>
        <v>1048</v>
      </c>
      <c r="BV100" s="287">
        <f>BV99</f>
        <v>1006</v>
      </c>
      <c r="BW100" s="279">
        <f t="shared" si="372"/>
        <v>42</v>
      </c>
      <c r="BX100" s="288">
        <f t="shared" si="277"/>
        <v>84</v>
      </c>
      <c r="BY100" s="287">
        <f>BY99</f>
        <v>84</v>
      </c>
      <c r="BZ100" s="279">
        <f t="shared" si="317"/>
        <v>0</v>
      </c>
      <c r="CA100" s="316"/>
      <c r="CB100" s="120"/>
      <c r="CC100" s="7">
        <f>CC99</f>
        <v>14</v>
      </c>
      <c r="CD100" s="133"/>
      <c r="CE100" s="221"/>
      <c r="CF100" s="14">
        <f t="shared" si="319"/>
        <v>0</v>
      </c>
      <c r="CG100" s="59">
        <f t="shared" si="349"/>
        <v>0</v>
      </c>
      <c r="CH100" s="134"/>
      <c r="CI100" s="135"/>
      <c r="CJ100" s="135"/>
      <c r="CK100" s="14">
        <f t="shared" si="350"/>
        <v>0</v>
      </c>
      <c r="CL100" s="14">
        <f t="shared" si="341"/>
        <v>0</v>
      </c>
      <c r="CM100" s="14">
        <f t="shared" si="278"/>
        <v>0.16</v>
      </c>
      <c r="CN100" s="47">
        <f t="shared" si="320"/>
        <v>0</v>
      </c>
      <c r="CO100" s="35">
        <f t="shared" si="279"/>
        <v>3.8400000000000012</v>
      </c>
      <c r="CP100" s="159">
        <f t="shared" si="321"/>
        <v>0</v>
      </c>
      <c r="CQ100" s="142"/>
      <c r="CR100" s="13">
        <f t="shared" si="280"/>
        <v>57</v>
      </c>
      <c r="CS100" s="48">
        <f t="shared" si="335"/>
        <v>0</v>
      </c>
      <c r="CT100" s="49">
        <f t="shared" si="322"/>
        <v>0</v>
      </c>
      <c r="CU100" s="50">
        <f t="shared" si="281"/>
        <v>1048</v>
      </c>
      <c r="CV100" s="181">
        <f>CV99</f>
        <v>0</v>
      </c>
      <c r="CW100" s="206">
        <f t="shared" si="373"/>
        <v>1048</v>
      </c>
      <c r="CX100" s="182">
        <f t="shared" si="282"/>
        <v>84</v>
      </c>
      <c r="CY100" s="181">
        <f>CY99</f>
        <v>0</v>
      </c>
      <c r="CZ100" s="46">
        <f t="shared" si="325"/>
        <v>84</v>
      </c>
      <c r="DA100" s="316"/>
      <c r="DB100" s="120"/>
      <c r="DC100" s="7">
        <f>DC99</f>
        <v>14</v>
      </c>
      <c r="DD100" s="133"/>
      <c r="DE100" s="221"/>
      <c r="DF100" s="14">
        <f t="shared" si="327"/>
        <v>0</v>
      </c>
      <c r="DG100" s="59">
        <f t="shared" si="351"/>
        <v>0</v>
      </c>
      <c r="DH100" s="134"/>
      <c r="DI100" s="135"/>
      <c r="DJ100" s="135"/>
      <c r="DK100" s="14">
        <f t="shared" si="352"/>
        <v>0</v>
      </c>
      <c r="DL100" s="14">
        <f t="shared" si="342"/>
        <v>0</v>
      </c>
      <c r="DM100" s="14">
        <f t="shared" si="283"/>
        <v>0.16</v>
      </c>
      <c r="DN100" s="47">
        <f t="shared" si="328"/>
        <v>0</v>
      </c>
      <c r="DO100" s="35">
        <f t="shared" si="284"/>
        <v>3.8400000000000012</v>
      </c>
      <c r="DP100" s="159">
        <f t="shared" si="329"/>
        <v>0</v>
      </c>
      <c r="DQ100" s="142"/>
      <c r="DR100" s="13">
        <f t="shared" si="285"/>
        <v>57</v>
      </c>
      <c r="DS100" s="48">
        <f t="shared" si="337"/>
        <v>0</v>
      </c>
      <c r="DT100" s="49">
        <f t="shared" si="330"/>
        <v>0</v>
      </c>
      <c r="DU100" s="50">
        <f t="shared" si="286"/>
        <v>1048</v>
      </c>
      <c r="DV100" s="181">
        <f>DV99</f>
        <v>0</v>
      </c>
      <c r="DW100" s="46">
        <f t="shared" si="374"/>
        <v>1048</v>
      </c>
      <c r="DX100" s="51">
        <f t="shared" si="287"/>
        <v>84</v>
      </c>
      <c r="DY100" s="181">
        <f>DY99</f>
        <v>0</v>
      </c>
      <c r="DZ100" s="46">
        <f t="shared" si="333"/>
        <v>84</v>
      </c>
    </row>
    <row r="101" spans="1:130" x14ac:dyDescent="0.25">
      <c r="B101" s="120">
        <f t="shared" ref="B101:B105" si="411">B100+1</f>
        <v>2</v>
      </c>
      <c r="C101" s="115">
        <f t="shared" ref="C101:C105" si="412">C100</f>
        <v>14</v>
      </c>
      <c r="D101" s="133"/>
      <c r="E101" s="221"/>
      <c r="F101" s="103">
        <f t="shared" si="290"/>
        <v>93291</v>
      </c>
      <c r="G101" s="107">
        <f t="shared" si="343"/>
        <v>93278</v>
      </c>
      <c r="H101" s="134">
        <v>7</v>
      </c>
      <c r="I101" s="135">
        <v>6</v>
      </c>
      <c r="J101" s="135"/>
      <c r="K101" s="14">
        <f t="shared" si="344"/>
        <v>13</v>
      </c>
      <c r="L101" s="14">
        <f t="shared" si="338"/>
        <v>279</v>
      </c>
      <c r="M101" s="14">
        <f t="shared" si="264"/>
        <v>0.16</v>
      </c>
      <c r="N101" s="47">
        <f t="shared" si="291"/>
        <v>0.1393489189739632</v>
      </c>
      <c r="O101" s="35">
        <f t="shared" si="292"/>
        <v>3.8400000000000012</v>
      </c>
      <c r="P101" s="159">
        <f t="shared" si="293"/>
        <v>0.29906421841335179</v>
      </c>
      <c r="Q101" s="142"/>
      <c r="R101" s="13">
        <f t="shared" si="294"/>
        <v>57</v>
      </c>
      <c r="S101" s="48">
        <f t="shared" si="295"/>
        <v>0</v>
      </c>
      <c r="T101" s="49">
        <f t="shared" si="296"/>
        <v>0.11689245893777725</v>
      </c>
      <c r="U101" s="160">
        <f t="shared" si="265"/>
        <v>1048</v>
      </c>
      <c r="V101" s="103">
        <f t="shared" ref="V101:V105" si="413">V100</f>
        <v>1027</v>
      </c>
      <c r="W101" s="46">
        <f t="shared" si="266"/>
        <v>21</v>
      </c>
      <c r="X101" s="51">
        <f t="shared" si="267"/>
        <v>84</v>
      </c>
      <c r="Y101" s="103">
        <f t="shared" ref="Y101:Y105" si="414">Y100</f>
        <v>83</v>
      </c>
      <c r="Z101" s="46">
        <f t="shared" si="299"/>
        <v>1</v>
      </c>
      <c r="AB101" s="120">
        <f t="shared" ref="AB101:AB105" si="415">AB100+1</f>
        <v>4</v>
      </c>
      <c r="AC101" s="7">
        <f t="shared" ref="AC101:AC105" si="416">AC100</f>
        <v>14</v>
      </c>
      <c r="AD101" s="133"/>
      <c r="AE101" s="221"/>
      <c r="AF101" s="14">
        <f t="shared" si="302"/>
        <v>91794</v>
      </c>
      <c r="AG101" s="59">
        <f t="shared" si="345"/>
        <v>91779</v>
      </c>
      <c r="AH101" s="134"/>
      <c r="AI101" s="135">
        <v>12</v>
      </c>
      <c r="AJ101" s="135">
        <v>3</v>
      </c>
      <c r="AK101" s="14">
        <f t="shared" si="346"/>
        <v>15</v>
      </c>
      <c r="AL101" s="14">
        <f t="shared" si="339"/>
        <v>2961</v>
      </c>
      <c r="AM101" s="14">
        <f t="shared" si="268"/>
        <v>0.16</v>
      </c>
      <c r="AN101" s="47">
        <f t="shared" si="303"/>
        <v>0.16340937316164456</v>
      </c>
      <c r="AO101" s="35">
        <f t="shared" si="269"/>
        <v>3.8400000000000012</v>
      </c>
      <c r="AP101" s="159">
        <f t="shared" si="334"/>
        <v>3.2257010262108636</v>
      </c>
      <c r="AQ101" s="142"/>
      <c r="AR101" s="14">
        <f t="shared" si="270"/>
        <v>57</v>
      </c>
      <c r="AS101" s="35">
        <f t="shared" si="304"/>
        <v>0</v>
      </c>
      <c r="AT101" s="301">
        <f t="shared" si="305"/>
        <v>5.5413543607296042E-2</v>
      </c>
      <c r="AU101" s="14">
        <f t="shared" si="271"/>
        <v>1048</v>
      </c>
      <c r="AV101" s="103">
        <f t="shared" ref="AV101:AV105" si="417">AV100</f>
        <v>967</v>
      </c>
      <c r="AW101" s="46">
        <f t="shared" si="371"/>
        <v>81</v>
      </c>
      <c r="AX101" s="51">
        <f t="shared" si="272"/>
        <v>84</v>
      </c>
      <c r="AY101" s="103">
        <f t="shared" ref="AY101:AY105" si="418">AY100</f>
        <v>75</v>
      </c>
      <c r="AZ101" s="46">
        <f t="shared" si="308"/>
        <v>9</v>
      </c>
      <c r="BA101" s="316"/>
      <c r="BB101" s="120">
        <f>BB100+1</f>
        <v>2</v>
      </c>
      <c r="BC101" s="7">
        <f t="shared" ref="BC101:BC105" si="419">BC100</f>
        <v>14</v>
      </c>
      <c r="BD101" s="133"/>
      <c r="BE101" s="221"/>
      <c r="BF101" s="14">
        <f t="shared" si="311"/>
        <v>94935</v>
      </c>
      <c r="BG101" s="59">
        <f t="shared" si="347"/>
        <v>94908</v>
      </c>
      <c r="BH101" s="134">
        <v>9</v>
      </c>
      <c r="BI101" s="135">
        <v>17</v>
      </c>
      <c r="BJ101" s="135">
        <v>1</v>
      </c>
      <c r="BK101" s="14">
        <f t="shared" si="348"/>
        <v>27</v>
      </c>
      <c r="BL101" s="14">
        <f t="shared" si="340"/>
        <v>5295</v>
      </c>
      <c r="BM101" s="14">
        <f t="shared" si="273"/>
        <v>0.16</v>
      </c>
      <c r="BN101" s="47">
        <f t="shared" si="312"/>
        <v>0.28440511929214723</v>
      </c>
      <c r="BO101" s="35">
        <f t="shared" si="274"/>
        <v>3.8400000000000012</v>
      </c>
      <c r="BP101" s="159">
        <f t="shared" si="313"/>
        <v>5.5775003950071103</v>
      </c>
      <c r="BQ101" s="142"/>
      <c r="BR101" s="13">
        <f t="shared" si="275"/>
        <v>57</v>
      </c>
      <c r="BS101" s="48">
        <f t="shared" si="336"/>
        <v>0</v>
      </c>
      <c r="BT101" s="49">
        <f t="shared" si="314"/>
        <v>7.2033724880284866E-2</v>
      </c>
      <c r="BU101" s="50">
        <f t="shared" si="276"/>
        <v>1048</v>
      </c>
      <c r="BV101" s="103">
        <f t="shared" ref="BV101:BV105" si="420">BV100</f>
        <v>1006</v>
      </c>
      <c r="BW101" s="46">
        <f t="shared" si="372"/>
        <v>42</v>
      </c>
      <c r="BX101" s="51">
        <f t="shared" si="277"/>
        <v>84</v>
      </c>
      <c r="BY101" s="103">
        <f t="shared" ref="BY101:BY105" si="421">BY100</f>
        <v>84</v>
      </c>
      <c r="BZ101" s="46">
        <f t="shared" si="317"/>
        <v>0</v>
      </c>
      <c r="CA101" s="316"/>
      <c r="CB101" s="120"/>
      <c r="CC101" s="7">
        <f t="shared" ref="CC101:CC105" si="422">CC100</f>
        <v>14</v>
      </c>
      <c r="CD101" s="133"/>
      <c r="CE101" s="221"/>
      <c r="CF101" s="14">
        <f t="shared" si="319"/>
        <v>0</v>
      </c>
      <c r="CG101" s="59">
        <f t="shared" si="349"/>
        <v>0</v>
      </c>
      <c r="CH101" s="134"/>
      <c r="CI101" s="135"/>
      <c r="CJ101" s="135"/>
      <c r="CK101" s="14">
        <f t="shared" si="350"/>
        <v>0</v>
      </c>
      <c r="CL101" s="14">
        <f t="shared" si="341"/>
        <v>0</v>
      </c>
      <c r="CM101" s="14">
        <f t="shared" si="278"/>
        <v>0.16</v>
      </c>
      <c r="CN101" s="47">
        <f t="shared" si="320"/>
        <v>0</v>
      </c>
      <c r="CO101" s="35">
        <f t="shared" si="279"/>
        <v>3.8400000000000012</v>
      </c>
      <c r="CP101" s="159">
        <f t="shared" si="321"/>
        <v>0</v>
      </c>
      <c r="CQ101" s="142"/>
      <c r="CR101" s="13">
        <f t="shared" si="280"/>
        <v>57</v>
      </c>
      <c r="CS101" s="48">
        <f t="shared" si="335"/>
        <v>0</v>
      </c>
      <c r="CT101" s="49">
        <f t="shared" si="322"/>
        <v>0</v>
      </c>
      <c r="CU101" s="50">
        <f t="shared" si="281"/>
        <v>1048</v>
      </c>
      <c r="CV101" s="103">
        <f t="shared" ref="CV101:CV105" si="423">CV100</f>
        <v>0</v>
      </c>
      <c r="CW101" s="46">
        <f t="shared" si="373"/>
        <v>1048</v>
      </c>
      <c r="CX101" s="51">
        <f t="shared" si="282"/>
        <v>84</v>
      </c>
      <c r="CY101" s="103">
        <f t="shared" ref="CY101:CY105" si="424">CY100</f>
        <v>0</v>
      </c>
      <c r="CZ101" s="46">
        <f t="shared" si="325"/>
        <v>84</v>
      </c>
      <c r="DA101" s="316"/>
      <c r="DB101" s="120"/>
      <c r="DC101" s="7">
        <f t="shared" ref="DC101:DC105" si="425">DC100</f>
        <v>14</v>
      </c>
      <c r="DD101" s="133"/>
      <c r="DE101" s="221"/>
      <c r="DF101" s="14">
        <f t="shared" si="327"/>
        <v>0</v>
      </c>
      <c r="DG101" s="59">
        <f t="shared" si="351"/>
        <v>0</v>
      </c>
      <c r="DH101" s="134"/>
      <c r="DI101" s="135"/>
      <c r="DJ101" s="135"/>
      <c r="DK101" s="14">
        <f t="shared" si="352"/>
        <v>0</v>
      </c>
      <c r="DL101" s="14">
        <f t="shared" si="342"/>
        <v>0</v>
      </c>
      <c r="DM101" s="14">
        <f t="shared" si="283"/>
        <v>0.16</v>
      </c>
      <c r="DN101" s="47">
        <f t="shared" si="328"/>
        <v>0</v>
      </c>
      <c r="DO101" s="35">
        <f t="shared" si="284"/>
        <v>3.8400000000000012</v>
      </c>
      <c r="DP101" s="159">
        <f t="shared" si="329"/>
        <v>0</v>
      </c>
      <c r="DQ101" s="142"/>
      <c r="DR101" s="13">
        <f t="shared" si="285"/>
        <v>57</v>
      </c>
      <c r="DS101" s="48">
        <f t="shared" si="337"/>
        <v>0</v>
      </c>
      <c r="DT101" s="49">
        <f t="shared" si="330"/>
        <v>0</v>
      </c>
      <c r="DU101" s="50">
        <f t="shared" si="286"/>
        <v>1048</v>
      </c>
      <c r="DV101" s="103">
        <f t="shared" ref="DV101:DV105" si="426">DV100</f>
        <v>0</v>
      </c>
      <c r="DW101" s="46">
        <f t="shared" si="374"/>
        <v>1048</v>
      </c>
      <c r="DX101" s="51">
        <f t="shared" si="287"/>
        <v>84</v>
      </c>
      <c r="DY101" s="103">
        <f t="shared" ref="DY101:DY105" si="427">DY100</f>
        <v>0</v>
      </c>
      <c r="DZ101" s="46">
        <f t="shared" si="333"/>
        <v>84</v>
      </c>
    </row>
    <row r="102" spans="1:130" x14ac:dyDescent="0.25">
      <c r="B102" s="120">
        <f t="shared" si="411"/>
        <v>3</v>
      </c>
      <c r="C102" s="115">
        <f t="shared" si="412"/>
        <v>14</v>
      </c>
      <c r="D102" s="133"/>
      <c r="E102" s="221"/>
      <c r="F102" s="103">
        <f t="shared" si="290"/>
        <v>93278</v>
      </c>
      <c r="G102" s="107">
        <f t="shared" si="343"/>
        <v>93257</v>
      </c>
      <c r="H102" s="134">
        <v>10</v>
      </c>
      <c r="I102" s="135">
        <v>11</v>
      </c>
      <c r="J102" s="135"/>
      <c r="K102" s="14">
        <f t="shared" si="344"/>
        <v>21</v>
      </c>
      <c r="L102" s="14">
        <f t="shared" si="338"/>
        <v>300</v>
      </c>
      <c r="M102" s="31">
        <f t="shared" si="264"/>
        <v>0.16</v>
      </c>
      <c r="N102" s="47">
        <f t="shared" si="291"/>
        <v>0.22513347198696371</v>
      </c>
      <c r="O102" s="37">
        <f t="shared" si="292"/>
        <v>3.8400000000000012</v>
      </c>
      <c r="P102" s="159">
        <f t="shared" si="293"/>
        <v>0.32161924569566241</v>
      </c>
      <c r="Q102" s="142"/>
      <c r="R102" s="14">
        <f t="shared" si="294"/>
        <v>57</v>
      </c>
      <c r="S102" s="48">
        <f t="shared" si="295"/>
        <v>0</v>
      </c>
      <c r="T102" s="49">
        <f t="shared" si="296"/>
        <v>0.11689245893777725</v>
      </c>
      <c r="U102" s="160">
        <f t="shared" si="265"/>
        <v>1048</v>
      </c>
      <c r="V102" s="103">
        <f t="shared" si="413"/>
        <v>1027</v>
      </c>
      <c r="W102" s="46">
        <f t="shared" si="266"/>
        <v>21</v>
      </c>
      <c r="X102" s="51">
        <f t="shared" si="267"/>
        <v>84</v>
      </c>
      <c r="Y102" s="103">
        <f t="shared" si="414"/>
        <v>83</v>
      </c>
      <c r="Z102" s="46">
        <f t="shared" si="299"/>
        <v>1</v>
      </c>
      <c r="AB102" s="120">
        <f t="shared" si="415"/>
        <v>5</v>
      </c>
      <c r="AC102" s="7">
        <f t="shared" si="416"/>
        <v>14</v>
      </c>
      <c r="AD102" s="133"/>
      <c r="AE102" s="221"/>
      <c r="AF102" s="14">
        <f t="shared" si="302"/>
        <v>91779</v>
      </c>
      <c r="AG102" s="59">
        <f t="shared" si="345"/>
        <v>91771</v>
      </c>
      <c r="AH102" s="134"/>
      <c r="AI102" s="135">
        <v>7</v>
      </c>
      <c r="AJ102" s="135">
        <v>1</v>
      </c>
      <c r="AK102" s="14">
        <f t="shared" si="346"/>
        <v>8</v>
      </c>
      <c r="AL102" s="14">
        <f t="shared" si="339"/>
        <v>2969</v>
      </c>
      <c r="AM102" s="14">
        <f t="shared" si="268"/>
        <v>0.16</v>
      </c>
      <c r="AN102" s="47">
        <f t="shared" si="303"/>
        <v>8.7165909412828646E-2</v>
      </c>
      <c r="AO102" s="35">
        <f t="shared" si="269"/>
        <v>3.8400000000000012</v>
      </c>
      <c r="AP102" s="159">
        <f t="shared" si="334"/>
        <v>3.2349448130836032</v>
      </c>
      <c r="AQ102" s="142"/>
      <c r="AR102" s="14">
        <f t="shared" si="270"/>
        <v>57</v>
      </c>
      <c r="AS102" s="35">
        <f t="shared" si="304"/>
        <v>0</v>
      </c>
      <c r="AT102" s="301">
        <f t="shared" si="305"/>
        <v>5.5413543607296042E-2</v>
      </c>
      <c r="AU102" s="14">
        <f t="shared" si="271"/>
        <v>1048</v>
      </c>
      <c r="AV102" s="103">
        <f t="shared" si="417"/>
        <v>967</v>
      </c>
      <c r="AW102" s="46">
        <f t="shared" si="371"/>
        <v>81</v>
      </c>
      <c r="AX102" s="51">
        <f t="shared" si="272"/>
        <v>84</v>
      </c>
      <c r="AY102" s="103">
        <f t="shared" si="418"/>
        <v>75</v>
      </c>
      <c r="AZ102" s="46">
        <f t="shared" si="308"/>
        <v>9</v>
      </c>
      <c r="BA102" s="316"/>
      <c r="BB102" s="120">
        <f t="shared" ref="BB102:BB105" si="428">BB101+1</f>
        <v>3</v>
      </c>
      <c r="BC102" s="7">
        <f t="shared" si="419"/>
        <v>14</v>
      </c>
      <c r="BD102" s="133"/>
      <c r="BE102" s="221"/>
      <c r="BF102" s="14">
        <f t="shared" si="311"/>
        <v>94908</v>
      </c>
      <c r="BG102" s="59">
        <f t="shared" si="347"/>
        <v>94887</v>
      </c>
      <c r="BH102" s="134">
        <v>13</v>
      </c>
      <c r="BI102" s="135">
        <v>6</v>
      </c>
      <c r="BJ102" s="135">
        <v>2</v>
      </c>
      <c r="BK102" s="14">
        <f t="shared" si="348"/>
        <v>21</v>
      </c>
      <c r="BL102" s="14">
        <f t="shared" si="340"/>
        <v>5316</v>
      </c>
      <c r="BM102" s="14">
        <f t="shared" si="273"/>
        <v>0.16</v>
      </c>
      <c r="BN102" s="47">
        <f t="shared" si="312"/>
        <v>0.22126691111392086</v>
      </c>
      <c r="BO102" s="35">
        <f t="shared" si="274"/>
        <v>3.8400000000000012</v>
      </c>
      <c r="BP102" s="159">
        <f t="shared" si="313"/>
        <v>5.6012138070552533</v>
      </c>
      <c r="BQ102" s="142"/>
      <c r="BR102" s="13">
        <f t="shared" si="275"/>
        <v>57</v>
      </c>
      <c r="BS102" s="48">
        <f t="shared" si="336"/>
        <v>0</v>
      </c>
      <c r="BT102" s="49">
        <f t="shared" si="314"/>
        <v>7.2033724880284866E-2</v>
      </c>
      <c r="BU102" s="50">
        <f t="shared" si="276"/>
        <v>1048</v>
      </c>
      <c r="BV102" s="103">
        <f t="shared" si="420"/>
        <v>1006</v>
      </c>
      <c r="BW102" s="46">
        <f t="shared" si="372"/>
        <v>42</v>
      </c>
      <c r="BX102" s="51">
        <f t="shared" si="277"/>
        <v>84</v>
      </c>
      <c r="BY102" s="103">
        <f t="shared" si="421"/>
        <v>84</v>
      </c>
      <c r="BZ102" s="46">
        <f t="shared" si="317"/>
        <v>0</v>
      </c>
      <c r="CA102" s="316"/>
      <c r="CB102" s="120"/>
      <c r="CC102" s="7">
        <f t="shared" si="422"/>
        <v>14</v>
      </c>
      <c r="CD102" s="133"/>
      <c r="CE102" s="221"/>
      <c r="CF102" s="14">
        <f t="shared" si="319"/>
        <v>0</v>
      </c>
      <c r="CG102" s="59">
        <f t="shared" si="349"/>
        <v>0</v>
      </c>
      <c r="CH102" s="134"/>
      <c r="CI102" s="135"/>
      <c r="CJ102" s="135"/>
      <c r="CK102" s="14">
        <f t="shared" si="350"/>
        <v>0</v>
      </c>
      <c r="CL102" s="14">
        <f t="shared" si="341"/>
        <v>0</v>
      </c>
      <c r="CM102" s="14">
        <f t="shared" si="278"/>
        <v>0.16</v>
      </c>
      <c r="CN102" s="47">
        <f t="shared" si="320"/>
        <v>0</v>
      </c>
      <c r="CO102" s="35">
        <f t="shared" si="279"/>
        <v>3.8400000000000012</v>
      </c>
      <c r="CP102" s="159">
        <f t="shared" si="321"/>
        <v>0</v>
      </c>
      <c r="CQ102" s="142"/>
      <c r="CR102" s="13">
        <f t="shared" si="280"/>
        <v>57</v>
      </c>
      <c r="CS102" s="48">
        <f t="shared" si="335"/>
        <v>0</v>
      </c>
      <c r="CT102" s="49">
        <f t="shared" si="322"/>
        <v>0</v>
      </c>
      <c r="CU102" s="50">
        <f t="shared" si="281"/>
        <v>1048</v>
      </c>
      <c r="CV102" s="103">
        <f t="shared" si="423"/>
        <v>0</v>
      </c>
      <c r="CW102" s="46">
        <f t="shared" si="373"/>
        <v>1048</v>
      </c>
      <c r="CX102" s="51">
        <f t="shared" si="282"/>
        <v>84</v>
      </c>
      <c r="CY102" s="103">
        <f t="shared" si="424"/>
        <v>0</v>
      </c>
      <c r="CZ102" s="46">
        <f t="shared" si="325"/>
        <v>84</v>
      </c>
      <c r="DA102" s="316"/>
      <c r="DB102" s="120"/>
      <c r="DC102" s="7">
        <f t="shared" si="425"/>
        <v>14</v>
      </c>
      <c r="DD102" s="133"/>
      <c r="DE102" s="221"/>
      <c r="DF102" s="14">
        <f t="shared" si="327"/>
        <v>0</v>
      </c>
      <c r="DG102" s="59">
        <f t="shared" si="351"/>
        <v>0</v>
      </c>
      <c r="DH102" s="134"/>
      <c r="DI102" s="135"/>
      <c r="DJ102" s="135"/>
      <c r="DK102" s="14">
        <f t="shared" si="352"/>
        <v>0</v>
      </c>
      <c r="DL102" s="14">
        <f t="shared" si="342"/>
        <v>0</v>
      </c>
      <c r="DM102" s="14">
        <f t="shared" si="283"/>
        <v>0.16</v>
      </c>
      <c r="DN102" s="47">
        <f t="shared" si="328"/>
        <v>0</v>
      </c>
      <c r="DO102" s="35">
        <f t="shared" si="284"/>
        <v>3.8400000000000012</v>
      </c>
      <c r="DP102" s="159">
        <f t="shared" si="329"/>
        <v>0</v>
      </c>
      <c r="DQ102" s="142"/>
      <c r="DR102" s="13">
        <f t="shared" si="285"/>
        <v>57</v>
      </c>
      <c r="DS102" s="48">
        <f t="shared" si="337"/>
        <v>0</v>
      </c>
      <c r="DT102" s="49">
        <f t="shared" si="330"/>
        <v>0</v>
      </c>
      <c r="DU102" s="50">
        <f t="shared" si="286"/>
        <v>1048</v>
      </c>
      <c r="DV102" s="103">
        <f t="shared" si="426"/>
        <v>0</v>
      </c>
      <c r="DW102" s="46">
        <f t="shared" si="374"/>
        <v>1048</v>
      </c>
      <c r="DX102" s="51">
        <f t="shared" si="287"/>
        <v>84</v>
      </c>
      <c r="DY102" s="103">
        <f t="shared" si="427"/>
        <v>0</v>
      </c>
      <c r="DZ102" s="46">
        <f t="shared" si="333"/>
        <v>84</v>
      </c>
    </row>
    <row r="103" spans="1:130" x14ac:dyDescent="0.25">
      <c r="B103" s="120">
        <f t="shared" si="411"/>
        <v>4</v>
      </c>
      <c r="C103" s="115">
        <f t="shared" si="412"/>
        <v>14</v>
      </c>
      <c r="D103" s="133"/>
      <c r="E103" s="221"/>
      <c r="F103" s="103">
        <f t="shared" si="290"/>
        <v>93257</v>
      </c>
      <c r="G103" s="107">
        <f t="shared" si="343"/>
        <v>93230</v>
      </c>
      <c r="H103" s="134">
        <v>14</v>
      </c>
      <c r="I103" s="135">
        <v>13</v>
      </c>
      <c r="J103" s="135"/>
      <c r="K103" s="14">
        <f t="shared" si="344"/>
        <v>27</v>
      </c>
      <c r="L103" s="14">
        <f t="shared" si="338"/>
        <v>327</v>
      </c>
      <c r="M103" s="14">
        <f t="shared" si="264"/>
        <v>0.16</v>
      </c>
      <c r="N103" s="47">
        <f t="shared" si="291"/>
        <v>0.28952250233226462</v>
      </c>
      <c r="O103" s="35">
        <f t="shared" si="292"/>
        <v>3.8400000000000012</v>
      </c>
      <c r="P103" s="159">
        <f t="shared" si="293"/>
        <v>0.35064391949129825</v>
      </c>
      <c r="Q103" s="142"/>
      <c r="R103" s="17">
        <f t="shared" si="294"/>
        <v>57</v>
      </c>
      <c r="S103" s="48">
        <f t="shared" si="295"/>
        <v>0</v>
      </c>
      <c r="T103" s="49">
        <f t="shared" si="296"/>
        <v>0.11689245893777725</v>
      </c>
      <c r="U103" s="160">
        <f t="shared" si="265"/>
        <v>1048</v>
      </c>
      <c r="V103" s="103">
        <f t="shared" si="413"/>
        <v>1027</v>
      </c>
      <c r="W103" s="46">
        <f t="shared" si="266"/>
        <v>21</v>
      </c>
      <c r="X103" s="51">
        <f t="shared" si="267"/>
        <v>84</v>
      </c>
      <c r="Y103" s="103">
        <f t="shared" si="414"/>
        <v>83</v>
      </c>
      <c r="Z103" s="46">
        <f t="shared" si="299"/>
        <v>1</v>
      </c>
      <c r="AB103" s="120">
        <f t="shared" si="415"/>
        <v>6</v>
      </c>
      <c r="AC103" s="7">
        <f t="shared" si="416"/>
        <v>14</v>
      </c>
      <c r="AD103" s="133"/>
      <c r="AE103" s="221"/>
      <c r="AF103" s="14">
        <f t="shared" si="302"/>
        <v>91771</v>
      </c>
      <c r="AG103" s="59">
        <f t="shared" si="345"/>
        <v>91763</v>
      </c>
      <c r="AH103" s="134"/>
      <c r="AI103" s="135">
        <v>8</v>
      </c>
      <c r="AJ103" s="135"/>
      <c r="AK103" s="14">
        <f t="shared" si="346"/>
        <v>8</v>
      </c>
      <c r="AL103" s="14">
        <f t="shared" si="339"/>
        <v>2977</v>
      </c>
      <c r="AM103" s="14">
        <f t="shared" si="268"/>
        <v>0.16</v>
      </c>
      <c r="AN103" s="47">
        <f t="shared" si="303"/>
        <v>8.7173507970927641E-2</v>
      </c>
      <c r="AO103" s="35">
        <f t="shared" si="269"/>
        <v>3.8400000000000012</v>
      </c>
      <c r="AP103" s="159">
        <f t="shared" si="334"/>
        <v>3.2439441653681444</v>
      </c>
      <c r="AQ103" s="142"/>
      <c r="AR103" s="14">
        <f t="shared" si="270"/>
        <v>57</v>
      </c>
      <c r="AS103" s="35">
        <f t="shared" si="304"/>
        <v>0</v>
      </c>
      <c r="AT103" s="301">
        <f t="shared" si="305"/>
        <v>5.5413543607296042E-2</v>
      </c>
      <c r="AU103" s="14">
        <f t="shared" si="271"/>
        <v>1048</v>
      </c>
      <c r="AV103" s="103">
        <f t="shared" si="417"/>
        <v>967</v>
      </c>
      <c r="AW103" s="46">
        <f t="shared" si="371"/>
        <v>81</v>
      </c>
      <c r="AX103" s="51">
        <f t="shared" si="272"/>
        <v>84</v>
      </c>
      <c r="AY103" s="103">
        <f t="shared" si="418"/>
        <v>75</v>
      </c>
      <c r="AZ103" s="46">
        <f t="shared" si="308"/>
        <v>9</v>
      </c>
      <c r="BA103" s="316"/>
      <c r="BB103" s="120">
        <f t="shared" si="428"/>
        <v>4</v>
      </c>
      <c r="BC103" s="7">
        <f t="shared" si="419"/>
        <v>14</v>
      </c>
      <c r="BD103" s="133"/>
      <c r="BE103" s="221"/>
      <c r="BF103" s="14">
        <f t="shared" si="311"/>
        <v>94887</v>
      </c>
      <c r="BG103" s="59">
        <f>IFERROR(BF103-BK103,0)</f>
        <v>94860</v>
      </c>
      <c r="BH103" s="134">
        <v>7</v>
      </c>
      <c r="BI103" s="135">
        <v>20</v>
      </c>
      <c r="BJ103" s="135"/>
      <c r="BK103" s="14">
        <f t="shared" si="348"/>
        <v>27</v>
      </c>
      <c r="BL103" s="14">
        <f t="shared" si="340"/>
        <v>5343</v>
      </c>
      <c r="BM103" s="14">
        <f t="shared" si="273"/>
        <v>0.16</v>
      </c>
      <c r="BN103" s="47">
        <f t="shared" si="312"/>
        <v>0.28454898985108601</v>
      </c>
      <c r="BO103" s="35">
        <f t="shared" si="274"/>
        <v>3.8400000000000012</v>
      </c>
      <c r="BP103" s="159">
        <f t="shared" si="313"/>
        <v>5.6309083436087137</v>
      </c>
      <c r="BQ103" s="142"/>
      <c r="BR103" s="13">
        <f t="shared" si="275"/>
        <v>57</v>
      </c>
      <c r="BS103" s="48">
        <f t="shared" si="336"/>
        <v>0</v>
      </c>
      <c r="BT103" s="49">
        <f t="shared" si="314"/>
        <v>7.2033724880284866E-2</v>
      </c>
      <c r="BU103" s="50">
        <f t="shared" si="276"/>
        <v>1048</v>
      </c>
      <c r="BV103" s="103">
        <f t="shared" si="420"/>
        <v>1006</v>
      </c>
      <c r="BW103" s="46">
        <f t="shared" si="372"/>
        <v>42</v>
      </c>
      <c r="BX103" s="51">
        <f t="shared" si="277"/>
        <v>84</v>
      </c>
      <c r="BY103" s="103">
        <f t="shared" si="421"/>
        <v>84</v>
      </c>
      <c r="BZ103" s="46">
        <f t="shared" si="317"/>
        <v>0</v>
      </c>
      <c r="CA103" s="316"/>
      <c r="CB103" s="120"/>
      <c r="CC103" s="7">
        <f t="shared" si="422"/>
        <v>14</v>
      </c>
      <c r="CD103" s="133"/>
      <c r="CE103" s="221"/>
      <c r="CF103" s="14">
        <f t="shared" si="319"/>
        <v>0</v>
      </c>
      <c r="CG103" s="59">
        <f t="shared" si="349"/>
        <v>0</v>
      </c>
      <c r="CH103" s="134"/>
      <c r="CI103" s="135"/>
      <c r="CJ103" s="135"/>
      <c r="CK103" s="14">
        <f t="shared" si="350"/>
        <v>0</v>
      </c>
      <c r="CL103" s="14">
        <f t="shared" si="341"/>
        <v>0</v>
      </c>
      <c r="CM103" s="14">
        <f t="shared" si="278"/>
        <v>0.16</v>
      </c>
      <c r="CN103" s="47">
        <f t="shared" si="320"/>
        <v>0</v>
      </c>
      <c r="CO103" s="35">
        <f t="shared" si="279"/>
        <v>3.8400000000000012</v>
      </c>
      <c r="CP103" s="159">
        <f t="shared" si="321"/>
        <v>0</v>
      </c>
      <c r="CQ103" s="142"/>
      <c r="CR103" s="13">
        <f t="shared" si="280"/>
        <v>57</v>
      </c>
      <c r="CS103" s="48">
        <f t="shared" si="335"/>
        <v>0</v>
      </c>
      <c r="CT103" s="49">
        <f t="shared" si="322"/>
        <v>0</v>
      </c>
      <c r="CU103" s="50">
        <f t="shared" si="281"/>
        <v>1048</v>
      </c>
      <c r="CV103" s="103">
        <f t="shared" si="423"/>
        <v>0</v>
      </c>
      <c r="CW103" s="46">
        <f t="shared" si="373"/>
        <v>1048</v>
      </c>
      <c r="CX103" s="51">
        <f t="shared" si="282"/>
        <v>84</v>
      </c>
      <c r="CY103" s="103">
        <f t="shared" si="424"/>
        <v>0</v>
      </c>
      <c r="CZ103" s="46">
        <f t="shared" si="325"/>
        <v>84</v>
      </c>
      <c r="DA103" s="316"/>
      <c r="DB103" s="120"/>
      <c r="DC103" s="7">
        <f t="shared" si="425"/>
        <v>14</v>
      </c>
      <c r="DD103" s="133"/>
      <c r="DE103" s="221"/>
      <c r="DF103" s="14">
        <f t="shared" si="327"/>
        <v>0</v>
      </c>
      <c r="DG103" s="59">
        <f t="shared" si="351"/>
        <v>0</v>
      </c>
      <c r="DH103" s="134"/>
      <c r="DI103" s="135"/>
      <c r="DJ103" s="135"/>
      <c r="DK103" s="14">
        <f t="shared" si="352"/>
        <v>0</v>
      </c>
      <c r="DL103" s="14">
        <f t="shared" si="342"/>
        <v>0</v>
      </c>
      <c r="DM103" s="14">
        <f t="shared" si="283"/>
        <v>0.16</v>
      </c>
      <c r="DN103" s="47">
        <f t="shared" si="328"/>
        <v>0</v>
      </c>
      <c r="DO103" s="35">
        <f t="shared" si="284"/>
        <v>3.8400000000000012</v>
      </c>
      <c r="DP103" s="159">
        <f t="shared" si="329"/>
        <v>0</v>
      </c>
      <c r="DQ103" s="142"/>
      <c r="DR103" s="13">
        <f t="shared" si="285"/>
        <v>57</v>
      </c>
      <c r="DS103" s="48">
        <f t="shared" si="337"/>
        <v>0</v>
      </c>
      <c r="DT103" s="49">
        <f t="shared" si="330"/>
        <v>0</v>
      </c>
      <c r="DU103" s="50">
        <f t="shared" si="286"/>
        <v>1048</v>
      </c>
      <c r="DV103" s="103">
        <f t="shared" si="426"/>
        <v>0</v>
      </c>
      <c r="DW103" s="46">
        <f t="shared" si="374"/>
        <v>1048</v>
      </c>
      <c r="DX103" s="51">
        <f t="shared" si="287"/>
        <v>84</v>
      </c>
      <c r="DY103" s="103">
        <f t="shared" si="427"/>
        <v>0</v>
      </c>
      <c r="DZ103" s="46">
        <f t="shared" si="333"/>
        <v>84</v>
      </c>
    </row>
    <row r="104" spans="1:130" x14ac:dyDescent="0.25">
      <c r="B104" s="120">
        <f t="shared" si="411"/>
        <v>5</v>
      </c>
      <c r="C104" s="115">
        <f t="shared" si="412"/>
        <v>14</v>
      </c>
      <c r="D104" s="133"/>
      <c r="E104" s="221"/>
      <c r="F104" s="103">
        <f t="shared" si="290"/>
        <v>93230</v>
      </c>
      <c r="G104" s="104">
        <f t="shared" si="343"/>
        <v>93223</v>
      </c>
      <c r="H104" s="134"/>
      <c r="I104" s="135">
        <v>7</v>
      </c>
      <c r="J104" s="135"/>
      <c r="K104" s="14">
        <f t="shared" si="344"/>
        <v>7</v>
      </c>
      <c r="L104" s="14">
        <f t="shared" si="338"/>
        <v>334</v>
      </c>
      <c r="M104" s="14">
        <f t="shared" si="264"/>
        <v>0.16</v>
      </c>
      <c r="N104" s="47">
        <f t="shared" si="291"/>
        <v>7.5083127748578782E-2</v>
      </c>
      <c r="O104" s="35">
        <f t="shared" si="292"/>
        <v>3.8400000000000012</v>
      </c>
      <c r="P104" s="159">
        <f t="shared" si="293"/>
        <v>0.35825378097179017</v>
      </c>
      <c r="Q104" s="142"/>
      <c r="R104" s="17">
        <f t="shared" si="294"/>
        <v>57</v>
      </c>
      <c r="S104" s="48">
        <f t="shared" si="295"/>
        <v>0</v>
      </c>
      <c r="T104" s="49">
        <f t="shared" si="296"/>
        <v>0.11689245893777725</v>
      </c>
      <c r="U104" s="160">
        <f t="shared" si="265"/>
        <v>1048</v>
      </c>
      <c r="V104" s="103">
        <f t="shared" si="413"/>
        <v>1027</v>
      </c>
      <c r="W104" s="46">
        <f t="shared" si="266"/>
        <v>21</v>
      </c>
      <c r="X104" s="51">
        <f t="shared" si="267"/>
        <v>84</v>
      </c>
      <c r="Y104" s="103">
        <f t="shared" si="414"/>
        <v>83</v>
      </c>
      <c r="Z104" s="46">
        <f t="shared" si="299"/>
        <v>1</v>
      </c>
      <c r="AB104" s="120">
        <f t="shared" si="415"/>
        <v>7</v>
      </c>
      <c r="AC104" s="7">
        <f t="shared" si="416"/>
        <v>14</v>
      </c>
      <c r="AD104" s="133"/>
      <c r="AE104" s="221"/>
      <c r="AF104" s="14">
        <f t="shared" si="302"/>
        <v>91763</v>
      </c>
      <c r="AG104" s="46">
        <f t="shared" si="345"/>
        <v>91747</v>
      </c>
      <c r="AH104" s="134">
        <v>12</v>
      </c>
      <c r="AI104" s="135">
        <v>4</v>
      </c>
      <c r="AJ104" s="135"/>
      <c r="AK104" s="14">
        <f t="shared" si="346"/>
        <v>16</v>
      </c>
      <c r="AL104" s="14">
        <f t="shared" si="339"/>
        <v>2993</v>
      </c>
      <c r="AM104" s="14">
        <f t="shared" ref="AM104:AM133" si="429">VLOOKUP($AC104,PARAMETROCRIANZA,6,FALSE)</f>
        <v>0.16</v>
      </c>
      <c r="AN104" s="47">
        <f t="shared" si="303"/>
        <v>0.17436221570785609</v>
      </c>
      <c r="AO104" s="35">
        <f t="shared" ref="AO104:AO133" si="430">VLOOKUP($AC104,PARAMETROCRIANZA,8,FALSE)</f>
        <v>3.8400000000000012</v>
      </c>
      <c r="AP104" s="159">
        <f t="shared" si="334"/>
        <v>3.2616631975850834</v>
      </c>
      <c r="AQ104" s="142"/>
      <c r="AR104" s="14">
        <f t="shared" ref="AR104:AR133" si="431">VLOOKUP($AC104,PARAMETROCRIANZA,10,FALSE)</f>
        <v>57</v>
      </c>
      <c r="AS104" s="35">
        <f t="shared" si="304"/>
        <v>0</v>
      </c>
      <c r="AT104" s="301">
        <f t="shared" si="305"/>
        <v>5.5413543607296042E-2</v>
      </c>
      <c r="AU104" s="14">
        <f t="shared" ref="AU104:AU133" si="432">VLOOKUP($AC104,PARAMETROCRIANZA,2,FALSE)</f>
        <v>1048</v>
      </c>
      <c r="AV104" s="103">
        <f t="shared" si="417"/>
        <v>967</v>
      </c>
      <c r="AW104" s="46">
        <f t="shared" si="371"/>
        <v>81</v>
      </c>
      <c r="AX104" s="51">
        <f t="shared" si="272"/>
        <v>84</v>
      </c>
      <c r="AY104" s="103">
        <f t="shared" si="418"/>
        <v>75</v>
      </c>
      <c r="AZ104" s="46">
        <f t="shared" si="308"/>
        <v>9</v>
      </c>
      <c r="BA104" s="316"/>
      <c r="BB104" s="120">
        <f t="shared" si="428"/>
        <v>5</v>
      </c>
      <c r="BC104" s="7">
        <f t="shared" si="419"/>
        <v>14</v>
      </c>
      <c r="BD104" s="133"/>
      <c r="BE104" s="221"/>
      <c r="BF104" s="14">
        <f t="shared" si="311"/>
        <v>94860</v>
      </c>
      <c r="BG104" s="46">
        <f t="shared" si="347"/>
        <v>94848</v>
      </c>
      <c r="BH104" s="134"/>
      <c r="BI104" s="135">
        <v>12</v>
      </c>
      <c r="BJ104" s="135"/>
      <c r="BK104" s="14">
        <f t="shared" si="348"/>
        <v>12</v>
      </c>
      <c r="BL104" s="14">
        <f t="shared" si="340"/>
        <v>5355</v>
      </c>
      <c r="BM104" s="14">
        <f t="shared" ref="BM104:BM133" si="433">VLOOKUP($BC104,PARAMETROCRIANZA,6,FALSE)</f>
        <v>0.16</v>
      </c>
      <c r="BN104" s="47">
        <f t="shared" si="312"/>
        <v>0.1265022137887413</v>
      </c>
      <c r="BO104" s="35">
        <f t="shared" ref="BO104:BO133" si="434">VLOOKUP($BC104,PARAMETROCRIANZA,8,FALSE)</f>
        <v>3.8400000000000012</v>
      </c>
      <c r="BP104" s="159">
        <f t="shared" si="313"/>
        <v>5.645161290322581</v>
      </c>
      <c r="BQ104" s="142"/>
      <c r="BR104" s="13">
        <f t="shared" ref="BR104:BR133" si="435">VLOOKUP($BC104,PARAMETROCRIANZA,10,FALSE)</f>
        <v>57</v>
      </c>
      <c r="BS104" s="48">
        <f t="shared" si="336"/>
        <v>0</v>
      </c>
      <c r="BT104" s="49">
        <f t="shared" si="314"/>
        <v>7.2033724880284866E-2</v>
      </c>
      <c r="BU104" s="50">
        <f t="shared" ref="BU104:BU133" si="436">VLOOKUP($BC104,PARAMETROCRIANZA,2,FALSE)</f>
        <v>1048</v>
      </c>
      <c r="BV104" s="103">
        <f t="shared" si="420"/>
        <v>1006</v>
      </c>
      <c r="BW104" s="46">
        <f t="shared" si="372"/>
        <v>42</v>
      </c>
      <c r="BX104" s="51">
        <f t="shared" si="277"/>
        <v>84</v>
      </c>
      <c r="BY104" s="103">
        <f t="shared" si="421"/>
        <v>84</v>
      </c>
      <c r="BZ104" s="46">
        <f t="shared" si="317"/>
        <v>0</v>
      </c>
      <c r="CA104" s="316"/>
      <c r="CB104" s="120"/>
      <c r="CC104" s="7">
        <f t="shared" si="422"/>
        <v>14</v>
      </c>
      <c r="CD104" s="133"/>
      <c r="CE104" s="221"/>
      <c r="CF104" s="14">
        <f t="shared" si="319"/>
        <v>0</v>
      </c>
      <c r="CG104" s="46">
        <f t="shared" si="349"/>
        <v>0</v>
      </c>
      <c r="CH104" s="134"/>
      <c r="CI104" s="135"/>
      <c r="CJ104" s="135"/>
      <c r="CK104" s="14">
        <f t="shared" si="350"/>
        <v>0</v>
      </c>
      <c r="CL104" s="14">
        <f t="shared" si="341"/>
        <v>0</v>
      </c>
      <c r="CM104" s="14">
        <f t="shared" ref="CM104:CM133" si="437">VLOOKUP($CC104,PARAMETROCRIANZA,6,FALSE)</f>
        <v>0.16</v>
      </c>
      <c r="CN104" s="47">
        <f t="shared" si="320"/>
        <v>0</v>
      </c>
      <c r="CO104" s="35">
        <f t="shared" ref="CO104:CO133" si="438">VLOOKUP($CC104,PARAMETROCRIANZA,8,FALSE)</f>
        <v>3.8400000000000012</v>
      </c>
      <c r="CP104" s="159">
        <f t="shared" si="321"/>
        <v>0</v>
      </c>
      <c r="CQ104" s="142"/>
      <c r="CR104" s="13">
        <f t="shared" ref="CR104:CR133" si="439">VLOOKUP($CC104,PARAMETROCRIANZA,10,FALSE)</f>
        <v>57</v>
      </c>
      <c r="CS104" s="48">
        <f t="shared" si="335"/>
        <v>0</v>
      </c>
      <c r="CT104" s="49">
        <f t="shared" si="322"/>
        <v>0</v>
      </c>
      <c r="CU104" s="50">
        <f t="shared" ref="CU104:CU133" si="440">VLOOKUP($CC104,PARAMETROCRIANZA,2,FALSE)</f>
        <v>1048</v>
      </c>
      <c r="CV104" s="103">
        <f t="shared" si="423"/>
        <v>0</v>
      </c>
      <c r="CW104" s="46">
        <f t="shared" si="373"/>
        <v>1048</v>
      </c>
      <c r="CX104" s="51">
        <f t="shared" si="282"/>
        <v>84</v>
      </c>
      <c r="CY104" s="103">
        <f t="shared" si="424"/>
        <v>0</v>
      </c>
      <c r="CZ104" s="46">
        <f t="shared" si="325"/>
        <v>84</v>
      </c>
      <c r="DA104" s="316"/>
      <c r="DB104" s="120"/>
      <c r="DC104" s="7">
        <f t="shared" si="425"/>
        <v>14</v>
      </c>
      <c r="DD104" s="133"/>
      <c r="DE104" s="221"/>
      <c r="DF104" s="14">
        <f t="shared" si="327"/>
        <v>0</v>
      </c>
      <c r="DG104" s="46">
        <f t="shared" si="351"/>
        <v>0</v>
      </c>
      <c r="DH104" s="134"/>
      <c r="DI104" s="135"/>
      <c r="DJ104" s="135"/>
      <c r="DK104" s="14">
        <f t="shared" si="352"/>
        <v>0</v>
      </c>
      <c r="DL104" s="14">
        <f t="shared" si="342"/>
        <v>0</v>
      </c>
      <c r="DM104" s="14">
        <f t="shared" ref="DM104:DM133" si="441">VLOOKUP($DC104,PARAMETROCRIANZA,6,FALSE)</f>
        <v>0.16</v>
      </c>
      <c r="DN104" s="47">
        <f t="shared" si="328"/>
        <v>0</v>
      </c>
      <c r="DO104" s="35">
        <f t="shared" ref="DO104:DO133" si="442">VLOOKUP($DC104,PARAMETROCRIANZA,8,FALSE)</f>
        <v>3.8400000000000012</v>
      </c>
      <c r="DP104" s="159">
        <f t="shared" si="329"/>
        <v>0</v>
      </c>
      <c r="DQ104" s="142"/>
      <c r="DR104" s="13">
        <f t="shared" ref="DR104:DR133" si="443">VLOOKUP($DC104,PARAMETROCRIANZA,10,FALSE)</f>
        <v>57</v>
      </c>
      <c r="DS104" s="48">
        <f t="shared" si="337"/>
        <v>0</v>
      </c>
      <c r="DT104" s="49">
        <f t="shared" si="330"/>
        <v>0</v>
      </c>
      <c r="DU104" s="50">
        <f t="shared" ref="DU104:DU133" si="444">VLOOKUP($DC104,PARAMETROCRIANZA,2,FALSE)</f>
        <v>1048</v>
      </c>
      <c r="DV104" s="103">
        <f t="shared" si="426"/>
        <v>0</v>
      </c>
      <c r="DW104" s="46">
        <f t="shared" si="374"/>
        <v>1048</v>
      </c>
      <c r="DX104" s="51">
        <f t="shared" si="287"/>
        <v>84</v>
      </c>
      <c r="DY104" s="103">
        <f t="shared" si="427"/>
        <v>0</v>
      </c>
      <c r="DZ104" s="46">
        <f t="shared" si="333"/>
        <v>84</v>
      </c>
    </row>
    <row r="105" spans="1:130" ht="17.25" thickBot="1" x14ac:dyDescent="0.3">
      <c r="B105" s="197">
        <f t="shared" si="411"/>
        <v>6</v>
      </c>
      <c r="C105" s="116">
        <f t="shared" si="412"/>
        <v>14</v>
      </c>
      <c r="D105" s="136"/>
      <c r="E105" s="226"/>
      <c r="F105" s="109">
        <f t="shared" si="290"/>
        <v>93223</v>
      </c>
      <c r="G105" s="110">
        <f t="shared" si="343"/>
        <v>93211</v>
      </c>
      <c r="H105" s="137"/>
      <c r="I105" s="138">
        <v>12</v>
      </c>
      <c r="J105" s="138"/>
      <c r="K105" s="34">
        <f t="shared" si="344"/>
        <v>12</v>
      </c>
      <c r="L105" s="34">
        <f t="shared" si="338"/>
        <v>346</v>
      </c>
      <c r="M105" s="34">
        <f t="shared" si="264"/>
        <v>0.16</v>
      </c>
      <c r="N105" s="96">
        <f t="shared" si="291"/>
        <v>0.12872359825364985</v>
      </c>
      <c r="O105" s="40">
        <f t="shared" si="292"/>
        <v>3.8400000000000012</v>
      </c>
      <c r="P105" s="156">
        <f t="shared" si="293"/>
        <v>0.37115304163135709</v>
      </c>
      <c r="Q105" s="139"/>
      <c r="R105" s="15">
        <f t="shared" si="294"/>
        <v>57</v>
      </c>
      <c r="S105" s="54">
        <f t="shared" si="295"/>
        <v>0</v>
      </c>
      <c r="T105" s="55">
        <f t="shared" si="296"/>
        <v>0.11689245893777725</v>
      </c>
      <c r="U105" s="15">
        <f t="shared" si="265"/>
        <v>1048</v>
      </c>
      <c r="V105" s="109">
        <f t="shared" si="413"/>
        <v>1027</v>
      </c>
      <c r="W105" s="63">
        <f t="shared" si="266"/>
        <v>21</v>
      </c>
      <c r="X105" s="65">
        <f t="shared" si="267"/>
        <v>84</v>
      </c>
      <c r="Y105" s="109">
        <f t="shared" si="414"/>
        <v>83</v>
      </c>
      <c r="Z105" s="63">
        <f t="shared" si="299"/>
        <v>1</v>
      </c>
      <c r="AB105" s="197">
        <f t="shared" si="415"/>
        <v>8</v>
      </c>
      <c r="AC105" s="8">
        <f t="shared" si="416"/>
        <v>14</v>
      </c>
      <c r="AD105" s="136"/>
      <c r="AE105" s="226"/>
      <c r="AF105" s="32">
        <f t="shared" si="302"/>
        <v>91747</v>
      </c>
      <c r="AG105" s="63">
        <f t="shared" si="345"/>
        <v>91730</v>
      </c>
      <c r="AH105" s="137"/>
      <c r="AI105" s="138">
        <v>17</v>
      </c>
      <c r="AJ105" s="138"/>
      <c r="AK105" s="34">
        <f t="shared" si="346"/>
        <v>17</v>
      </c>
      <c r="AL105" s="34">
        <f t="shared" si="339"/>
        <v>3010</v>
      </c>
      <c r="AM105" s="32">
        <f t="shared" si="429"/>
        <v>0.16</v>
      </c>
      <c r="AN105" s="166">
        <f t="shared" si="303"/>
        <v>0.1852921621415414</v>
      </c>
      <c r="AO105" s="40">
        <f t="shared" si="430"/>
        <v>3.8400000000000012</v>
      </c>
      <c r="AP105" s="167">
        <f t="shared" si="334"/>
        <v>3.2807612238002331</v>
      </c>
      <c r="AQ105" s="139"/>
      <c r="AR105" s="32">
        <f t="shared" si="431"/>
        <v>57</v>
      </c>
      <c r="AS105" s="36">
        <f t="shared" si="304"/>
        <v>0</v>
      </c>
      <c r="AT105" s="304">
        <f t="shared" si="305"/>
        <v>5.5413543607296042E-2</v>
      </c>
      <c r="AU105" s="32">
        <f t="shared" si="432"/>
        <v>1048</v>
      </c>
      <c r="AV105" s="109">
        <f t="shared" si="417"/>
        <v>967</v>
      </c>
      <c r="AW105" s="63">
        <f t="shared" si="371"/>
        <v>81</v>
      </c>
      <c r="AX105" s="65">
        <f t="shared" si="272"/>
        <v>84</v>
      </c>
      <c r="AY105" s="109">
        <f t="shared" si="418"/>
        <v>75</v>
      </c>
      <c r="AZ105" s="63">
        <f t="shared" si="308"/>
        <v>9</v>
      </c>
      <c r="BA105" s="316"/>
      <c r="BB105" s="197">
        <f t="shared" si="428"/>
        <v>6</v>
      </c>
      <c r="BC105" s="8">
        <f t="shared" si="419"/>
        <v>14</v>
      </c>
      <c r="BD105" s="136"/>
      <c r="BE105" s="226"/>
      <c r="BF105" s="32">
        <f t="shared" si="311"/>
        <v>94848</v>
      </c>
      <c r="BG105" s="63">
        <f t="shared" si="347"/>
        <v>94841</v>
      </c>
      <c r="BH105" s="137"/>
      <c r="BI105" s="138">
        <v>7</v>
      </c>
      <c r="BJ105" s="138"/>
      <c r="BK105" s="34">
        <f t="shared" si="348"/>
        <v>7</v>
      </c>
      <c r="BL105" s="34">
        <f t="shared" si="340"/>
        <v>5362</v>
      </c>
      <c r="BM105" s="32">
        <f t="shared" si="433"/>
        <v>0.16</v>
      </c>
      <c r="BN105" s="166">
        <f t="shared" si="312"/>
        <v>7.3802294197031035E-2</v>
      </c>
      <c r="BO105" s="40">
        <f t="shared" si="434"/>
        <v>3.8400000000000012</v>
      </c>
      <c r="BP105" s="167">
        <f t="shared" si="313"/>
        <v>5.6532557354925776</v>
      </c>
      <c r="BQ105" s="139"/>
      <c r="BR105" s="32">
        <f t="shared" si="435"/>
        <v>57</v>
      </c>
      <c r="BS105" s="54">
        <f t="shared" si="336"/>
        <v>0</v>
      </c>
      <c r="BT105" s="55">
        <f t="shared" si="314"/>
        <v>7.2033724880284866E-2</v>
      </c>
      <c r="BU105" s="56">
        <f t="shared" si="436"/>
        <v>1048</v>
      </c>
      <c r="BV105" s="109">
        <f t="shared" si="420"/>
        <v>1006</v>
      </c>
      <c r="BW105" s="63">
        <f t="shared" si="372"/>
        <v>42</v>
      </c>
      <c r="BX105" s="65">
        <f t="shared" si="277"/>
        <v>84</v>
      </c>
      <c r="BY105" s="109">
        <f t="shared" si="421"/>
        <v>84</v>
      </c>
      <c r="BZ105" s="63">
        <f t="shared" si="317"/>
        <v>0</v>
      </c>
      <c r="CA105" s="316"/>
      <c r="CB105" s="119"/>
      <c r="CC105" s="95">
        <f t="shared" si="422"/>
        <v>14</v>
      </c>
      <c r="CD105" s="203"/>
      <c r="CE105" s="225"/>
      <c r="CF105" s="13">
        <f t="shared" si="319"/>
        <v>0</v>
      </c>
      <c r="CG105" s="62">
        <f t="shared" si="349"/>
        <v>0</v>
      </c>
      <c r="CH105" s="204"/>
      <c r="CI105" s="205"/>
      <c r="CJ105" s="205"/>
      <c r="CK105" s="31">
        <f t="shared" si="350"/>
        <v>0</v>
      </c>
      <c r="CL105" s="31">
        <f t="shared" si="341"/>
        <v>0</v>
      </c>
      <c r="CM105" s="13">
        <f t="shared" si="437"/>
        <v>0.16</v>
      </c>
      <c r="CN105" s="230">
        <f t="shared" si="320"/>
        <v>0</v>
      </c>
      <c r="CO105" s="161">
        <f t="shared" si="438"/>
        <v>3.8400000000000012</v>
      </c>
      <c r="CP105" s="157">
        <f t="shared" si="321"/>
        <v>0</v>
      </c>
      <c r="CQ105" s="237"/>
      <c r="CR105" s="13">
        <f t="shared" si="439"/>
        <v>57</v>
      </c>
      <c r="CS105" s="67">
        <f t="shared" si="335"/>
        <v>0</v>
      </c>
      <c r="CT105" s="196">
        <f t="shared" si="322"/>
        <v>0</v>
      </c>
      <c r="CU105" s="50">
        <f t="shared" si="440"/>
        <v>1048</v>
      </c>
      <c r="CV105" s="202">
        <f t="shared" si="423"/>
        <v>0</v>
      </c>
      <c r="CW105" s="62">
        <f t="shared" si="373"/>
        <v>1048</v>
      </c>
      <c r="CX105" s="52">
        <f t="shared" si="282"/>
        <v>84</v>
      </c>
      <c r="CY105" s="202">
        <f t="shared" si="424"/>
        <v>0</v>
      </c>
      <c r="CZ105" s="62">
        <f t="shared" si="325"/>
        <v>84</v>
      </c>
      <c r="DA105" s="316"/>
      <c r="DB105" s="197"/>
      <c r="DC105" s="8">
        <f t="shared" si="425"/>
        <v>14</v>
      </c>
      <c r="DD105" s="136"/>
      <c r="DE105" s="226"/>
      <c r="DF105" s="32">
        <f t="shared" si="327"/>
        <v>0</v>
      </c>
      <c r="DG105" s="63">
        <f t="shared" si="351"/>
        <v>0</v>
      </c>
      <c r="DH105" s="137"/>
      <c r="DI105" s="138"/>
      <c r="DJ105" s="138"/>
      <c r="DK105" s="34">
        <f t="shared" si="352"/>
        <v>0</v>
      </c>
      <c r="DL105" s="34">
        <f t="shared" si="342"/>
        <v>0</v>
      </c>
      <c r="DM105" s="32">
        <f t="shared" si="441"/>
        <v>0.16</v>
      </c>
      <c r="DN105" s="96">
        <f t="shared" si="328"/>
        <v>0</v>
      </c>
      <c r="DO105" s="36">
        <f t="shared" si="442"/>
        <v>3.8400000000000012</v>
      </c>
      <c r="DP105" s="156">
        <f t="shared" si="329"/>
        <v>0</v>
      </c>
      <c r="DQ105" s="139"/>
      <c r="DR105" s="32">
        <f t="shared" si="443"/>
        <v>57</v>
      </c>
      <c r="DS105" s="54">
        <f t="shared" si="337"/>
        <v>0</v>
      </c>
      <c r="DT105" s="55">
        <f t="shared" si="330"/>
        <v>0</v>
      </c>
      <c r="DU105" s="56">
        <f t="shared" si="444"/>
        <v>1048</v>
      </c>
      <c r="DV105" s="109">
        <f t="shared" si="426"/>
        <v>0</v>
      </c>
      <c r="DW105" s="63">
        <f t="shared" si="374"/>
        <v>1048</v>
      </c>
      <c r="DX105" s="65">
        <f t="shared" si="287"/>
        <v>84</v>
      </c>
      <c r="DY105" s="109">
        <f t="shared" si="427"/>
        <v>0</v>
      </c>
      <c r="DZ105" s="63">
        <f t="shared" si="333"/>
        <v>84</v>
      </c>
    </row>
    <row r="106" spans="1:130" x14ac:dyDescent="0.25">
      <c r="B106" s="198">
        <v>7</v>
      </c>
      <c r="C106" s="117">
        <v>15</v>
      </c>
      <c r="D106" s="143"/>
      <c r="E106" s="227"/>
      <c r="F106" s="112">
        <f t="shared" si="290"/>
        <v>93211</v>
      </c>
      <c r="G106" s="108">
        <f t="shared" si="343"/>
        <v>93208</v>
      </c>
      <c r="H106" s="144"/>
      <c r="I106" s="141">
        <v>3</v>
      </c>
      <c r="J106" s="141"/>
      <c r="K106" s="17">
        <f t="shared" si="344"/>
        <v>3</v>
      </c>
      <c r="L106" s="17">
        <f t="shared" si="338"/>
        <v>349</v>
      </c>
      <c r="M106" s="17">
        <f t="shared" si="264"/>
        <v>0.16</v>
      </c>
      <c r="N106" s="235">
        <f t="shared" si="291"/>
        <v>3.218504253789789E-2</v>
      </c>
      <c r="O106" s="33">
        <f t="shared" si="292"/>
        <v>4.0000000000000009</v>
      </c>
      <c r="P106" s="210">
        <f t="shared" si="293"/>
        <v>0.37441932819087875</v>
      </c>
      <c r="Q106" s="145"/>
      <c r="R106" s="12">
        <f t="shared" si="294"/>
        <v>60</v>
      </c>
      <c r="S106" s="60">
        <f t="shared" si="295"/>
        <v>0</v>
      </c>
      <c r="T106" s="72">
        <f t="shared" si="296"/>
        <v>0.11689245893777725</v>
      </c>
      <c r="U106" s="39">
        <f t="shared" si="265"/>
        <v>1112</v>
      </c>
      <c r="V106" s="141"/>
      <c r="W106" s="71">
        <f t="shared" si="266"/>
        <v>1112</v>
      </c>
      <c r="X106" s="61">
        <f t="shared" si="267"/>
        <v>86</v>
      </c>
      <c r="Y106" s="141"/>
      <c r="Z106" s="71">
        <f t="shared" si="299"/>
        <v>86</v>
      </c>
      <c r="AB106" s="198">
        <v>9</v>
      </c>
      <c r="AC106" s="38">
        <v>15</v>
      </c>
      <c r="AD106" s="143"/>
      <c r="AE106" s="227"/>
      <c r="AF106" s="17">
        <f t="shared" si="302"/>
        <v>91730</v>
      </c>
      <c r="AG106" s="62">
        <f t="shared" si="345"/>
        <v>91715</v>
      </c>
      <c r="AH106" s="144"/>
      <c r="AI106" s="141">
        <v>15</v>
      </c>
      <c r="AJ106" s="141"/>
      <c r="AK106" s="17">
        <f t="shared" si="346"/>
        <v>15</v>
      </c>
      <c r="AL106" s="17">
        <f t="shared" si="339"/>
        <v>3025</v>
      </c>
      <c r="AM106" s="17">
        <f t="shared" si="429"/>
        <v>0.16</v>
      </c>
      <c r="AN106" s="235">
        <f t="shared" si="303"/>
        <v>0.16352338384388967</v>
      </c>
      <c r="AO106" s="33">
        <f t="shared" si="430"/>
        <v>4.0000000000000009</v>
      </c>
      <c r="AP106" s="210">
        <f t="shared" si="334"/>
        <v>3.2977215741851085</v>
      </c>
      <c r="AQ106" s="145"/>
      <c r="AR106" s="17">
        <f t="shared" si="431"/>
        <v>60</v>
      </c>
      <c r="AS106" s="33">
        <f t="shared" si="304"/>
        <v>0</v>
      </c>
      <c r="AT106" s="305">
        <f t="shared" si="305"/>
        <v>5.5413543607296042E-2</v>
      </c>
      <c r="AU106" s="17">
        <f t="shared" si="432"/>
        <v>1112</v>
      </c>
      <c r="AV106" s="141"/>
      <c r="AW106" s="71">
        <f t="shared" si="371"/>
        <v>1112</v>
      </c>
      <c r="AX106" s="61">
        <f t="shared" si="272"/>
        <v>86</v>
      </c>
      <c r="AY106" s="141"/>
      <c r="AZ106" s="71">
        <f t="shared" si="308"/>
        <v>86</v>
      </c>
      <c r="BA106" s="316"/>
      <c r="BB106" s="118">
        <v>7</v>
      </c>
      <c r="BC106" s="9">
        <v>15</v>
      </c>
      <c r="BD106" s="129"/>
      <c r="BE106" s="224"/>
      <c r="BF106" s="11">
        <f t="shared" si="311"/>
        <v>94841</v>
      </c>
      <c r="BG106" s="57">
        <f t="shared" si="347"/>
        <v>94836</v>
      </c>
      <c r="BH106" s="130"/>
      <c r="BI106" s="131">
        <v>4</v>
      </c>
      <c r="BJ106" s="131">
        <v>1</v>
      </c>
      <c r="BK106" s="11">
        <f t="shared" si="348"/>
        <v>5</v>
      </c>
      <c r="BL106" s="11">
        <f t="shared" si="340"/>
        <v>5367</v>
      </c>
      <c r="BM106" s="11">
        <f t="shared" si="433"/>
        <v>0.16</v>
      </c>
      <c r="BN106" s="153">
        <f t="shared" si="312"/>
        <v>5.2719815269767295E-2</v>
      </c>
      <c r="BO106" s="154">
        <f t="shared" si="434"/>
        <v>4.0000000000000009</v>
      </c>
      <c r="BP106" s="132">
        <f t="shared" si="313"/>
        <v>5.6589449710568216</v>
      </c>
      <c r="BQ106" s="158"/>
      <c r="BR106" s="16">
        <f t="shared" si="435"/>
        <v>60</v>
      </c>
      <c r="BS106" s="43">
        <f t="shared" si="336"/>
        <v>0</v>
      </c>
      <c r="BT106" s="44">
        <f t="shared" si="314"/>
        <v>7.2033724880284866E-2</v>
      </c>
      <c r="BU106" s="45">
        <f t="shared" si="436"/>
        <v>1112</v>
      </c>
      <c r="BV106" s="131"/>
      <c r="BW106" s="41">
        <f t="shared" si="372"/>
        <v>1112</v>
      </c>
      <c r="BX106" s="58">
        <f t="shared" si="277"/>
        <v>86</v>
      </c>
      <c r="BY106" s="131"/>
      <c r="BZ106" s="41">
        <f t="shared" si="317"/>
        <v>86</v>
      </c>
      <c r="CA106" s="316"/>
      <c r="CB106" s="118"/>
      <c r="CC106" s="9">
        <v>15</v>
      </c>
      <c r="CD106" s="129"/>
      <c r="CE106" s="224"/>
      <c r="CF106" s="11">
        <f t="shared" si="319"/>
        <v>0</v>
      </c>
      <c r="CG106" s="57">
        <f t="shared" si="349"/>
        <v>0</v>
      </c>
      <c r="CH106" s="130"/>
      <c r="CI106" s="131"/>
      <c r="CJ106" s="131"/>
      <c r="CK106" s="11">
        <f t="shared" si="350"/>
        <v>0</v>
      </c>
      <c r="CL106" s="11">
        <f t="shared" si="341"/>
        <v>0</v>
      </c>
      <c r="CM106" s="11">
        <f t="shared" si="437"/>
        <v>0.16</v>
      </c>
      <c r="CN106" s="42">
        <f t="shared" si="320"/>
        <v>0</v>
      </c>
      <c r="CO106" s="21">
        <f t="shared" si="438"/>
        <v>4.0000000000000009</v>
      </c>
      <c r="CP106" s="165">
        <f t="shared" si="321"/>
        <v>0</v>
      </c>
      <c r="CQ106" s="158"/>
      <c r="CR106" s="16">
        <f t="shared" si="439"/>
        <v>60</v>
      </c>
      <c r="CS106" s="43">
        <f t="shared" si="335"/>
        <v>0</v>
      </c>
      <c r="CT106" s="44">
        <f t="shared" si="322"/>
        <v>0</v>
      </c>
      <c r="CU106" s="45">
        <f t="shared" si="440"/>
        <v>1112</v>
      </c>
      <c r="CV106" s="131"/>
      <c r="CW106" s="41">
        <f t="shared" si="373"/>
        <v>1112</v>
      </c>
      <c r="CX106" s="58">
        <f t="shared" si="282"/>
        <v>86</v>
      </c>
      <c r="CY106" s="131"/>
      <c r="CZ106" s="41">
        <f t="shared" si="325"/>
        <v>86</v>
      </c>
      <c r="DA106" s="316"/>
      <c r="DB106" s="198"/>
      <c r="DC106" s="38">
        <v>15</v>
      </c>
      <c r="DD106" s="143"/>
      <c r="DE106" s="227"/>
      <c r="DF106" s="17">
        <f t="shared" si="327"/>
        <v>0</v>
      </c>
      <c r="DG106" s="62">
        <f t="shared" si="351"/>
        <v>0</v>
      </c>
      <c r="DH106" s="144"/>
      <c r="DI106" s="141"/>
      <c r="DJ106" s="141"/>
      <c r="DK106" s="17">
        <f t="shared" si="352"/>
        <v>0</v>
      </c>
      <c r="DL106" s="17">
        <f t="shared" si="342"/>
        <v>0</v>
      </c>
      <c r="DM106" s="17">
        <f t="shared" si="441"/>
        <v>0.16</v>
      </c>
      <c r="DN106" s="235">
        <f t="shared" si="328"/>
        <v>0</v>
      </c>
      <c r="DO106" s="33">
        <f t="shared" si="442"/>
        <v>4.0000000000000009</v>
      </c>
      <c r="DP106" s="210">
        <f t="shared" si="329"/>
        <v>0</v>
      </c>
      <c r="DQ106" s="145"/>
      <c r="DR106" s="31">
        <f t="shared" si="443"/>
        <v>60</v>
      </c>
      <c r="DS106" s="60">
        <f t="shared" si="337"/>
        <v>0</v>
      </c>
      <c r="DT106" s="72">
        <f t="shared" si="330"/>
        <v>0</v>
      </c>
      <c r="DU106" s="52">
        <f t="shared" si="444"/>
        <v>1112</v>
      </c>
      <c r="DV106" s="141"/>
      <c r="DW106" s="71">
        <f t="shared" si="374"/>
        <v>1112</v>
      </c>
      <c r="DX106" s="61">
        <f t="shared" si="287"/>
        <v>86</v>
      </c>
      <c r="DY106" s="141"/>
      <c r="DZ106" s="71">
        <f t="shared" si="333"/>
        <v>86</v>
      </c>
    </row>
    <row r="107" spans="1:130" x14ac:dyDescent="0.25">
      <c r="B107" s="120">
        <f>B106+1</f>
        <v>8</v>
      </c>
      <c r="C107" s="115">
        <f>C106</f>
        <v>15</v>
      </c>
      <c r="D107" s="133"/>
      <c r="E107" s="221"/>
      <c r="F107" s="103">
        <f t="shared" si="290"/>
        <v>93208</v>
      </c>
      <c r="G107" s="107">
        <f t="shared" si="343"/>
        <v>93187</v>
      </c>
      <c r="H107" s="134"/>
      <c r="I107" s="135">
        <v>21</v>
      </c>
      <c r="J107" s="135"/>
      <c r="K107" s="14">
        <f t="shared" si="344"/>
        <v>21</v>
      </c>
      <c r="L107" s="14">
        <f t="shared" si="338"/>
        <v>370</v>
      </c>
      <c r="M107" s="14">
        <f t="shared" si="264"/>
        <v>0.16</v>
      </c>
      <c r="N107" s="47">
        <f t="shared" si="291"/>
        <v>0.2253025491374131</v>
      </c>
      <c r="O107" s="35">
        <f t="shared" si="292"/>
        <v>4.0000000000000009</v>
      </c>
      <c r="P107" s="159">
        <f t="shared" si="293"/>
        <v>0.39696163419448977</v>
      </c>
      <c r="Q107" s="142"/>
      <c r="R107" s="13">
        <f t="shared" si="294"/>
        <v>60</v>
      </c>
      <c r="S107" s="48">
        <f t="shared" si="295"/>
        <v>0</v>
      </c>
      <c r="T107" s="49">
        <f t="shared" si="296"/>
        <v>0.11689245893777725</v>
      </c>
      <c r="U107" s="160">
        <f t="shared" si="265"/>
        <v>1112</v>
      </c>
      <c r="V107" s="103">
        <f>V106</f>
        <v>0</v>
      </c>
      <c r="W107" s="46">
        <f t="shared" si="266"/>
        <v>1112</v>
      </c>
      <c r="X107" s="51">
        <f t="shared" si="267"/>
        <v>86</v>
      </c>
      <c r="Y107" s="103">
        <f>Y106</f>
        <v>0</v>
      </c>
      <c r="Z107" s="46">
        <f t="shared" si="299"/>
        <v>86</v>
      </c>
      <c r="AB107" s="120">
        <f>AB106+1</f>
        <v>10</v>
      </c>
      <c r="AC107" s="7">
        <f>AC106</f>
        <v>15</v>
      </c>
      <c r="AD107" s="133"/>
      <c r="AE107" s="221"/>
      <c r="AF107" s="14">
        <f t="shared" si="302"/>
        <v>91715</v>
      </c>
      <c r="AG107" s="59">
        <f t="shared" si="345"/>
        <v>91715</v>
      </c>
      <c r="AH107" s="134"/>
      <c r="AI107" s="135"/>
      <c r="AJ107" s="135"/>
      <c r="AK107" s="14">
        <f t="shared" si="346"/>
        <v>0</v>
      </c>
      <c r="AL107" s="14">
        <f t="shared" si="339"/>
        <v>3025</v>
      </c>
      <c r="AM107" s="14">
        <f t="shared" si="429"/>
        <v>0.16</v>
      </c>
      <c r="AN107" s="47">
        <f t="shared" si="303"/>
        <v>0</v>
      </c>
      <c r="AO107" s="35">
        <f t="shared" si="430"/>
        <v>4.0000000000000009</v>
      </c>
      <c r="AP107" s="159">
        <f t="shared" si="334"/>
        <v>3.2982609169710515</v>
      </c>
      <c r="AQ107" s="142"/>
      <c r="AR107" s="14">
        <f t="shared" si="431"/>
        <v>60</v>
      </c>
      <c r="AS107" s="35">
        <f t="shared" si="304"/>
        <v>0</v>
      </c>
      <c r="AT107" s="301">
        <f t="shared" si="305"/>
        <v>5.5413543607296042E-2</v>
      </c>
      <c r="AU107" s="14">
        <f t="shared" si="432"/>
        <v>1112</v>
      </c>
      <c r="AV107" s="103">
        <f>AV106</f>
        <v>0</v>
      </c>
      <c r="AW107" s="46">
        <f t="shared" si="371"/>
        <v>1112</v>
      </c>
      <c r="AX107" s="51">
        <f t="shared" si="272"/>
        <v>86</v>
      </c>
      <c r="AY107" s="103">
        <f>AY106</f>
        <v>0</v>
      </c>
      <c r="AZ107" s="46">
        <f t="shared" si="308"/>
        <v>86</v>
      </c>
      <c r="BA107" s="316"/>
      <c r="BB107" s="120">
        <f>BB106+1</f>
        <v>8</v>
      </c>
      <c r="BC107" s="7">
        <f>BC106</f>
        <v>15</v>
      </c>
      <c r="BD107" s="133"/>
      <c r="BE107" s="221"/>
      <c r="BF107" s="14">
        <f t="shared" si="311"/>
        <v>94836</v>
      </c>
      <c r="BG107" s="59">
        <f t="shared" si="347"/>
        <v>94814</v>
      </c>
      <c r="BH107" s="134"/>
      <c r="BI107" s="135">
        <v>22</v>
      </c>
      <c r="BJ107" s="135"/>
      <c r="BK107" s="14">
        <f t="shared" si="348"/>
        <v>22</v>
      </c>
      <c r="BL107" s="14">
        <f t="shared" si="340"/>
        <v>5389</v>
      </c>
      <c r="BM107" s="14">
        <f t="shared" si="433"/>
        <v>0.16</v>
      </c>
      <c r="BN107" s="47">
        <f t="shared" si="312"/>
        <v>0.23197941709899195</v>
      </c>
      <c r="BO107" s="35">
        <f t="shared" si="434"/>
        <v>4.0000000000000009</v>
      </c>
      <c r="BP107" s="159">
        <f t="shared" si="313"/>
        <v>5.6824412670293984</v>
      </c>
      <c r="BQ107" s="142"/>
      <c r="BR107" s="13">
        <f t="shared" si="435"/>
        <v>60</v>
      </c>
      <c r="BS107" s="48">
        <f t="shared" si="336"/>
        <v>0</v>
      </c>
      <c r="BT107" s="49">
        <f t="shared" si="314"/>
        <v>7.2033724880284866E-2</v>
      </c>
      <c r="BU107" s="50">
        <f t="shared" si="436"/>
        <v>1112</v>
      </c>
      <c r="BV107" s="103">
        <f>BV106</f>
        <v>0</v>
      </c>
      <c r="BW107" s="46">
        <f t="shared" si="372"/>
        <v>1112</v>
      </c>
      <c r="BX107" s="51">
        <f t="shared" si="277"/>
        <v>86</v>
      </c>
      <c r="BY107" s="103">
        <f>BY106</f>
        <v>0</v>
      </c>
      <c r="BZ107" s="46">
        <f t="shared" si="317"/>
        <v>86</v>
      </c>
      <c r="CA107" s="316"/>
      <c r="CB107" s="120"/>
      <c r="CC107" s="7">
        <f>CC106</f>
        <v>15</v>
      </c>
      <c r="CD107" s="133"/>
      <c r="CE107" s="221"/>
      <c r="CF107" s="14">
        <f t="shared" si="319"/>
        <v>0</v>
      </c>
      <c r="CG107" s="59">
        <f t="shared" si="349"/>
        <v>0</v>
      </c>
      <c r="CH107" s="134"/>
      <c r="CI107" s="135"/>
      <c r="CJ107" s="135"/>
      <c r="CK107" s="14">
        <f t="shared" si="350"/>
        <v>0</v>
      </c>
      <c r="CL107" s="14">
        <f t="shared" si="341"/>
        <v>0</v>
      </c>
      <c r="CM107" s="14">
        <f t="shared" si="437"/>
        <v>0.16</v>
      </c>
      <c r="CN107" s="47">
        <f t="shared" si="320"/>
        <v>0</v>
      </c>
      <c r="CO107" s="35">
        <f t="shared" si="438"/>
        <v>4.0000000000000009</v>
      </c>
      <c r="CP107" s="159">
        <f t="shared" si="321"/>
        <v>0</v>
      </c>
      <c r="CQ107" s="142"/>
      <c r="CR107" s="13">
        <f t="shared" si="439"/>
        <v>60</v>
      </c>
      <c r="CS107" s="48">
        <f t="shared" si="335"/>
        <v>0</v>
      </c>
      <c r="CT107" s="49">
        <f t="shared" si="322"/>
        <v>0</v>
      </c>
      <c r="CU107" s="50">
        <f t="shared" si="440"/>
        <v>1112</v>
      </c>
      <c r="CV107" s="103">
        <f>CV106</f>
        <v>0</v>
      </c>
      <c r="CW107" s="46">
        <f t="shared" si="373"/>
        <v>1112</v>
      </c>
      <c r="CX107" s="51">
        <f t="shared" si="282"/>
        <v>86</v>
      </c>
      <c r="CY107" s="103">
        <f>CY106</f>
        <v>0</v>
      </c>
      <c r="CZ107" s="46">
        <f t="shared" si="325"/>
        <v>86</v>
      </c>
      <c r="DA107" s="316"/>
      <c r="DB107" s="120"/>
      <c r="DC107" s="7">
        <f>DC106</f>
        <v>15</v>
      </c>
      <c r="DD107" s="133"/>
      <c r="DE107" s="221"/>
      <c r="DF107" s="14">
        <f t="shared" si="327"/>
        <v>0</v>
      </c>
      <c r="DG107" s="59">
        <f t="shared" si="351"/>
        <v>0</v>
      </c>
      <c r="DH107" s="134"/>
      <c r="DI107" s="135"/>
      <c r="DJ107" s="135"/>
      <c r="DK107" s="14">
        <f t="shared" si="352"/>
        <v>0</v>
      </c>
      <c r="DL107" s="14">
        <f t="shared" si="342"/>
        <v>0</v>
      </c>
      <c r="DM107" s="14">
        <f t="shared" si="441"/>
        <v>0.16</v>
      </c>
      <c r="DN107" s="47">
        <f t="shared" si="328"/>
        <v>0</v>
      </c>
      <c r="DO107" s="35">
        <f t="shared" si="442"/>
        <v>4.0000000000000009</v>
      </c>
      <c r="DP107" s="159">
        <f t="shared" si="329"/>
        <v>0</v>
      </c>
      <c r="DQ107" s="142"/>
      <c r="DR107" s="13">
        <f t="shared" si="443"/>
        <v>60</v>
      </c>
      <c r="DS107" s="48">
        <f t="shared" si="337"/>
        <v>0</v>
      </c>
      <c r="DT107" s="49">
        <f t="shared" si="330"/>
        <v>0</v>
      </c>
      <c r="DU107" s="50">
        <f t="shared" si="444"/>
        <v>1112</v>
      </c>
      <c r="DV107" s="103">
        <f>DV106</f>
        <v>0</v>
      </c>
      <c r="DW107" s="46">
        <f t="shared" si="374"/>
        <v>1112</v>
      </c>
      <c r="DX107" s="51">
        <f t="shared" si="287"/>
        <v>86</v>
      </c>
      <c r="DY107" s="103">
        <f>DY106</f>
        <v>0</v>
      </c>
      <c r="DZ107" s="46">
        <f t="shared" si="333"/>
        <v>86</v>
      </c>
    </row>
    <row r="108" spans="1:130" x14ac:dyDescent="0.25">
      <c r="B108" s="120">
        <f t="shared" ref="B108:B111" si="445">B107+1</f>
        <v>9</v>
      </c>
      <c r="C108" s="115">
        <f t="shared" ref="C108:C112" si="446">C107</f>
        <v>15</v>
      </c>
      <c r="D108" s="133"/>
      <c r="E108" s="221"/>
      <c r="F108" s="103">
        <f t="shared" si="290"/>
        <v>93187</v>
      </c>
      <c r="G108" s="107">
        <f t="shared" si="343"/>
        <v>93163</v>
      </c>
      <c r="H108" s="134"/>
      <c r="I108" s="135">
        <v>24</v>
      </c>
      <c r="J108" s="135"/>
      <c r="K108" s="14">
        <f t="shared" si="344"/>
        <v>24</v>
      </c>
      <c r="L108" s="14">
        <f t="shared" si="338"/>
        <v>394</v>
      </c>
      <c r="M108" s="14">
        <f t="shared" si="264"/>
        <v>0.16</v>
      </c>
      <c r="N108" s="47">
        <f t="shared" si="291"/>
        <v>0.25754665350317102</v>
      </c>
      <c r="O108" s="35">
        <f t="shared" si="292"/>
        <v>4.0000000000000009</v>
      </c>
      <c r="P108" s="159">
        <f t="shared" si="293"/>
        <v>0.42280575616770577</v>
      </c>
      <c r="Q108" s="142"/>
      <c r="R108" s="13">
        <f t="shared" si="294"/>
        <v>60</v>
      </c>
      <c r="S108" s="48">
        <f t="shared" si="295"/>
        <v>0</v>
      </c>
      <c r="T108" s="49">
        <f t="shared" si="296"/>
        <v>0.11689245893777725</v>
      </c>
      <c r="U108" s="160">
        <f t="shared" si="265"/>
        <v>1112</v>
      </c>
      <c r="V108" s="103">
        <f t="shared" ref="V108:V112" si="447">V107</f>
        <v>0</v>
      </c>
      <c r="W108" s="46">
        <f t="shared" si="266"/>
        <v>1112</v>
      </c>
      <c r="X108" s="51">
        <f t="shared" si="267"/>
        <v>86</v>
      </c>
      <c r="Y108" s="103">
        <f t="shared" ref="Y108:Y112" si="448">Y107</f>
        <v>0</v>
      </c>
      <c r="Z108" s="46">
        <f t="shared" si="299"/>
        <v>86</v>
      </c>
      <c r="AB108" s="120">
        <f t="shared" ref="AB108:AB112" si="449">AB107+1</f>
        <v>11</v>
      </c>
      <c r="AC108" s="7">
        <f t="shared" ref="AC108:AC112" si="450">AC107</f>
        <v>15</v>
      </c>
      <c r="AD108" s="133"/>
      <c r="AE108" s="221"/>
      <c r="AF108" s="14">
        <f t="shared" si="302"/>
        <v>91715</v>
      </c>
      <c r="AG108" s="59">
        <f t="shared" si="345"/>
        <v>91715</v>
      </c>
      <c r="AH108" s="134"/>
      <c r="AI108" s="135"/>
      <c r="AJ108" s="135"/>
      <c r="AK108" s="14">
        <f t="shared" si="346"/>
        <v>0</v>
      </c>
      <c r="AL108" s="14">
        <f t="shared" si="339"/>
        <v>3025</v>
      </c>
      <c r="AM108" s="14">
        <f t="shared" si="429"/>
        <v>0.16</v>
      </c>
      <c r="AN108" s="47">
        <f t="shared" si="303"/>
        <v>0</v>
      </c>
      <c r="AO108" s="35">
        <f t="shared" si="430"/>
        <v>4.0000000000000009</v>
      </c>
      <c r="AP108" s="159">
        <f t="shared" si="334"/>
        <v>3.2982609169710515</v>
      </c>
      <c r="AQ108" s="142"/>
      <c r="AR108" s="14">
        <f t="shared" si="431"/>
        <v>60</v>
      </c>
      <c r="AS108" s="35">
        <f t="shared" si="304"/>
        <v>0</v>
      </c>
      <c r="AT108" s="301">
        <f t="shared" si="305"/>
        <v>5.5413543607296042E-2</v>
      </c>
      <c r="AU108" s="14">
        <f t="shared" si="432"/>
        <v>1112</v>
      </c>
      <c r="AV108" s="103">
        <f t="shared" ref="AV108:AV112" si="451">AV107</f>
        <v>0</v>
      </c>
      <c r="AW108" s="46">
        <f t="shared" si="371"/>
        <v>1112</v>
      </c>
      <c r="AX108" s="51">
        <f t="shared" si="272"/>
        <v>86</v>
      </c>
      <c r="AY108" s="103">
        <f t="shared" ref="AY108:AY112" si="452">AY107</f>
        <v>0</v>
      </c>
      <c r="AZ108" s="46">
        <f t="shared" si="308"/>
        <v>86</v>
      </c>
      <c r="BA108" s="316"/>
      <c r="BB108" s="120">
        <f t="shared" ref="BB108:BB112" si="453">BB107+1</f>
        <v>9</v>
      </c>
      <c r="BC108" s="7">
        <f t="shared" ref="BC108:BC112" si="454">BC107</f>
        <v>15</v>
      </c>
      <c r="BD108" s="133"/>
      <c r="BE108" s="221"/>
      <c r="BF108" s="14">
        <f t="shared" si="311"/>
        <v>94814</v>
      </c>
      <c r="BG108" s="59">
        <f t="shared" si="347"/>
        <v>94787</v>
      </c>
      <c r="BH108" s="134"/>
      <c r="BI108" s="135">
        <v>27</v>
      </c>
      <c r="BJ108" s="135"/>
      <c r="BK108" s="14">
        <f t="shared" si="348"/>
        <v>27</v>
      </c>
      <c r="BL108" s="14">
        <f t="shared" si="340"/>
        <v>5416</v>
      </c>
      <c r="BM108" s="14">
        <f t="shared" si="433"/>
        <v>0.16</v>
      </c>
      <c r="BN108" s="47">
        <f t="shared" si="312"/>
        <v>0.28476807222562067</v>
      </c>
      <c r="BO108" s="35">
        <f t="shared" si="434"/>
        <v>4.0000000000000009</v>
      </c>
      <c r="BP108" s="159">
        <f t="shared" si="313"/>
        <v>5.712236589533191</v>
      </c>
      <c r="BQ108" s="142"/>
      <c r="BR108" s="13">
        <f t="shared" si="435"/>
        <v>60</v>
      </c>
      <c r="BS108" s="48">
        <f t="shared" si="336"/>
        <v>0</v>
      </c>
      <c r="BT108" s="49">
        <f t="shared" si="314"/>
        <v>7.2033724880284866E-2</v>
      </c>
      <c r="BU108" s="50">
        <f t="shared" si="436"/>
        <v>1112</v>
      </c>
      <c r="BV108" s="103">
        <f t="shared" ref="BV108:BV112" si="455">BV107</f>
        <v>0</v>
      </c>
      <c r="BW108" s="46">
        <f t="shared" si="372"/>
        <v>1112</v>
      </c>
      <c r="BX108" s="51">
        <f t="shared" si="277"/>
        <v>86</v>
      </c>
      <c r="BY108" s="103">
        <f t="shared" ref="BY108:BY112" si="456">BY107</f>
        <v>0</v>
      </c>
      <c r="BZ108" s="46">
        <f t="shared" si="317"/>
        <v>86</v>
      </c>
      <c r="CA108" s="316"/>
      <c r="CB108" s="120"/>
      <c r="CC108" s="7">
        <f t="shared" ref="CC108:CC112" si="457">CC107</f>
        <v>15</v>
      </c>
      <c r="CD108" s="133"/>
      <c r="CE108" s="221"/>
      <c r="CF108" s="14">
        <f t="shared" si="319"/>
        <v>0</v>
      </c>
      <c r="CG108" s="59">
        <f t="shared" si="349"/>
        <v>0</v>
      </c>
      <c r="CH108" s="134"/>
      <c r="CI108" s="135"/>
      <c r="CJ108" s="135"/>
      <c r="CK108" s="14">
        <f t="shared" si="350"/>
        <v>0</v>
      </c>
      <c r="CL108" s="14">
        <f t="shared" si="341"/>
        <v>0</v>
      </c>
      <c r="CM108" s="14">
        <f t="shared" si="437"/>
        <v>0.16</v>
      </c>
      <c r="CN108" s="47">
        <f t="shared" si="320"/>
        <v>0</v>
      </c>
      <c r="CO108" s="35">
        <f t="shared" si="438"/>
        <v>4.0000000000000009</v>
      </c>
      <c r="CP108" s="159">
        <f t="shared" si="321"/>
        <v>0</v>
      </c>
      <c r="CQ108" s="142"/>
      <c r="CR108" s="13">
        <f t="shared" si="439"/>
        <v>60</v>
      </c>
      <c r="CS108" s="48">
        <f t="shared" si="335"/>
        <v>0</v>
      </c>
      <c r="CT108" s="49">
        <f t="shared" si="322"/>
        <v>0</v>
      </c>
      <c r="CU108" s="50">
        <f t="shared" si="440"/>
        <v>1112</v>
      </c>
      <c r="CV108" s="103">
        <f t="shared" ref="CV108:CV112" si="458">CV107</f>
        <v>0</v>
      </c>
      <c r="CW108" s="46">
        <f t="shared" si="373"/>
        <v>1112</v>
      </c>
      <c r="CX108" s="51">
        <f t="shared" si="282"/>
        <v>86</v>
      </c>
      <c r="CY108" s="103">
        <f t="shared" ref="CY108:CY112" si="459">CY107</f>
        <v>0</v>
      </c>
      <c r="CZ108" s="46">
        <f t="shared" si="325"/>
        <v>86</v>
      </c>
      <c r="DA108" s="316"/>
      <c r="DB108" s="120"/>
      <c r="DC108" s="7">
        <f t="shared" ref="DC108:DC112" si="460">DC107</f>
        <v>15</v>
      </c>
      <c r="DD108" s="133"/>
      <c r="DE108" s="221"/>
      <c r="DF108" s="14">
        <f t="shared" si="327"/>
        <v>0</v>
      </c>
      <c r="DG108" s="59">
        <f t="shared" si="351"/>
        <v>0</v>
      </c>
      <c r="DH108" s="134"/>
      <c r="DI108" s="135"/>
      <c r="DJ108" s="135"/>
      <c r="DK108" s="14">
        <f t="shared" si="352"/>
        <v>0</v>
      </c>
      <c r="DL108" s="14">
        <f t="shared" si="342"/>
        <v>0</v>
      </c>
      <c r="DM108" s="14">
        <f t="shared" si="441"/>
        <v>0.16</v>
      </c>
      <c r="DN108" s="47">
        <f t="shared" si="328"/>
        <v>0</v>
      </c>
      <c r="DO108" s="35">
        <f t="shared" si="442"/>
        <v>4.0000000000000009</v>
      </c>
      <c r="DP108" s="159">
        <f t="shared" si="329"/>
        <v>0</v>
      </c>
      <c r="DQ108" s="142"/>
      <c r="DR108" s="13">
        <f t="shared" si="443"/>
        <v>60</v>
      </c>
      <c r="DS108" s="48">
        <f t="shared" si="337"/>
        <v>0</v>
      </c>
      <c r="DT108" s="49">
        <f t="shared" si="330"/>
        <v>0</v>
      </c>
      <c r="DU108" s="50">
        <f t="shared" si="444"/>
        <v>1112</v>
      </c>
      <c r="DV108" s="103">
        <f t="shared" ref="DV108:DV112" si="461">DV107</f>
        <v>0</v>
      </c>
      <c r="DW108" s="46">
        <f t="shared" si="374"/>
        <v>1112</v>
      </c>
      <c r="DX108" s="51">
        <f t="shared" si="287"/>
        <v>86</v>
      </c>
      <c r="DY108" s="103">
        <f t="shared" ref="DY108:DY112" si="462">DY107</f>
        <v>0</v>
      </c>
      <c r="DZ108" s="46">
        <f t="shared" si="333"/>
        <v>86</v>
      </c>
    </row>
    <row r="109" spans="1:130" x14ac:dyDescent="0.25">
      <c r="B109" s="120">
        <f t="shared" si="445"/>
        <v>10</v>
      </c>
      <c r="C109" s="115">
        <f t="shared" si="446"/>
        <v>15</v>
      </c>
      <c r="D109" s="133"/>
      <c r="E109" s="221"/>
      <c r="F109" s="103">
        <f t="shared" si="290"/>
        <v>93163</v>
      </c>
      <c r="G109" s="107">
        <f t="shared" si="343"/>
        <v>93163</v>
      </c>
      <c r="H109" s="134"/>
      <c r="I109" s="135"/>
      <c r="J109" s="135"/>
      <c r="K109" s="14">
        <f t="shared" si="344"/>
        <v>0</v>
      </c>
      <c r="L109" s="14">
        <f t="shared" si="338"/>
        <v>394</v>
      </c>
      <c r="M109" s="14">
        <f t="shared" si="264"/>
        <v>0.16</v>
      </c>
      <c r="N109" s="47">
        <f t="shared" si="291"/>
        <v>0</v>
      </c>
      <c r="O109" s="35">
        <f t="shared" si="292"/>
        <v>4.0000000000000009</v>
      </c>
      <c r="P109" s="159">
        <f t="shared" si="293"/>
        <v>0.42291467642733704</v>
      </c>
      <c r="Q109" s="142"/>
      <c r="R109" s="14">
        <f t="shared" si="294"/>
        <v>60</v>
      </c>
      <c r="S109" s="48">
        <f t="shared" si="295"/>
        <v>0</v>
      </c>
      <c r="T109" s="49">
        <f t="shared" si="296"/>
        <v>0.11689245893777725</v>
      </c>
      <c r="U109" s="160">
        <f t="shared" si="265"/>
        <v>1112</v>
      </c>
      <c r="V109" s="103">
        <f t="shared" si="447"/>
        <v>0</v>
      </c>
      <c r="W109" s="46">
        <f t="shared" si="266"/>
        <v>1112</v>
      </c>
      <c r="X109" s="51">
        <f t="shared" si="267"/>
        <v>86</v>
      </c>
      <c r="Y109" s="103">
        <f t="shared" si="448"/>
        <v>0</v>
      </c>
      <c r="Z109" s="46">
        <f t="shared" si="299"/>
        <v>86</v>
      </c>
      <c r="AB109" s="120">
        <f t="shared" si="449"/>
        <v>12</v>
      </c>
      <c r="AC109" s="7">
        <f t="shared" si="450"/>
        <v>15</v>
      </c>
      <c r="AD109" s="133"/>
      <c r="AE109" s="221"/>
      <c r="AF109" s="14">
        <f t="shared" si="302"/>
        <v>91715</v>
      </c>
      <c r="AG109" s="59">
        <f t="shared" si="345"/>
        <v>91715</v>
      </c>
      <c r="AH109" s="134"/>
      <c r="AI109" s="135"/>
      <c r="AJ109" s="135"/>
      <c r="AK109" s="14">
        <f t="shared" si="346"/>
        <v>0</v>
      </c>
      <c r="AL109" s="14">
        <f t="shared" si="339"/>
        <v>3025</v>
      </c>
      <c r="AM109" s="14">
        <f t="shared" si="429"/>
        <v>0.16</v>
      </c>
      <c r="AN109" s="47">
        <f t="shared" si="303"/>
        <v>0</v>
      </c>
      <c r="AO109" s="35">
        <f t="shared" si="430"/>
        <v>4.0000000000000009</v>
      </c>
      <c r="AP109" s="159">
        <f t="shared" si="334"/>
        <v>3.2982609169710515</v>
      </c>
      <c r="AQ109" s="142"/>
      <c r="AR109" s="14">
        <f t="shared" si="431"/>
        <v>60</v>
      </c>
      <c r="AS109" s="35">
        <f t="shared" si="304"/>
        <v>0</v>
      </c>
      <c r="AT109" s="301">
        <f t="shared" si="305"/>
        <v>5.5413543607296042E-2</v>
      </c>
      <c r="AU109" s="14">
        <f t="shared" si="432"/>
        <v>1112</v>
      </c>
      <c r="AV109" s="103">
        <f t="shared" si="451"/>
        <v>0</v>
      </c>
      <c r="AW109" s="46">
        <f t="shared" si="371"/>
        <v>1112</v>
      </c>
      <c r="AX109" s="51">
        <f t="shared" si="272"/>
        <v>86</v>
      </c>
      <c r="AY109" s="103">
        <f t="shared" si="452"/>
        <v>0</v>
      </c>
      <c r="AZ109" s="46">
        <f t="shared" si="308"/>
        <v>86</v>
      </c>
      <c r="BA109" s="316"/>
      <c r="BB109" s="120">
        <f t="shared" si="453"/>
        <v>10</v>
      </c>
      <c r="BC109" s="7">
        <f t="shared" si="454"/>
        <v>15</v>
      </c>
      <c r="BD109" s="133"/>
      <c r="BE109" s="221"/>
      <c r="BF109" s="14">
        <f t="shared" si="311"/>
        <v>94787</v>
      </c>
      <c r="BG109" s="59">
        <f t="shared" si="347"/>
        <v>94787</v>
      </c>
      <c r="BH109" s="134"/>
      <c r="BI109" s="135"/>
      <c r="BJ109" s="135"/>
      <c r="BK109" s="14">
        <f t="shared" si="348"/>
        <v>0</v>
      </c>
      <c r="BL109" s="14">
        <f t="shared" si="340"/>
        <v>5416</v>
      </c>
      <c r="BM109" s="14">
        <f t="shared" si="433"/>
        <v>0.16</v>
      </c>
      <c r="BN109" s="47">
        <f t="shared" si="312"/>
        <v>0</v>
      </c>
      <c r="BO109" s="35">
        <f t="shared" si="434"/>
        <v>4.0000000000000009</v>
      </c>
      <c r="BP109" s="159">
        <f t="shared" si="313"/>
        <v>5.7138637154884107</v>
      </c>
      <c r="BQ109" s="142"/>
      <c r="BR109" s="13">
        <f t="shared" si="435"/>
        <v>60</v>
      </c>
      <c r="BS109" s="48">
        <f t="shared" si="336"/>
        <v>0</v>
      </c>
      <c r="BT109" s="49">
        <f t="shared" si="314"/>
        <v>7.2033724880284866E-2</v>
      </c>
      <c r="BU109" s="50">
        <f t="shared" si="436"/>
        <v>1112</v>
      </c>
      <c r="BV109" s="103">
        <f t="shared" si="455"/>
        <v>0</v>
      </c>
      <c r="BW109" s="46">
        <f t="shared" si="372"/>
        <v>1112</v>
      </c>
      <c r="BX109" s="51">
        <f t="shared" si="277"/>
        <v>86</v>
      </c>
      <c r="BY109" s="103">
        <f t="shared" si="456"/>
        <v>0</v>
      </c>
      <c r="BZ109" s="46">
        <f t="shared" si="317"/>
        <v>86</v>
      </c>
      <c r="CA109" s="316"/>
      <c r="CB109" s="120"/>
      <c r="CC109" s="7">
        <f t="shared" si="457"/>
        <v>15</v>
      </c>
      <c r="CD109" s="133"/>
      <c r="CE109" s="221"/>
      <c r="CF109" s="14">
        <f t="shared" si="319"/>
        <v>0</v>
      </c>
      <c r="CG109" s="59">
        <f t="shared" si="349"/>
        <v>0</v>
      </c>
      <c r="CH109" s="134"/>
      <c r="CI109" s="135"/>
      <c r="CJ109" s="135"/>
      <c r="CK109" s="14">
        <f t="shared" si="350"/>
        <v>0</v>
      </c>
      <c r="CL109" s="14">
        <f t="shared" si="341"/>
        <v>0</v>
      </c>
      <c r="CM109" s="14">
        <f t="shared" si="437"/>
        <v>0.16</v>
      </c>
      <c r="CN109" s="47">
        <f t="shared" si="320"/>
        <v>0</v>
      </c>
      <c r="CO109" s="35">
        <f t="shared" si="438"/>
        <v>4.0000000000000009</v>
      </c>
      <c r="CP109" s="159">
        <f t="shared" si="321"/>
        <v>0</v>
      </c>
      <c r="CQ109" s="142"/>
      <c r="CR109" s="13">
        <f t="shared" si="439"/>
        <v>60</v>
      </c>
      <c r="CS109" s="48">
        <f t="shared" si="335"/>
        <v>0</v>
      </c>
      <c r="CT109" s="49">
        <f t="shared" si="322"/>
        <v>0</v>
      </c>
      <c r="CU109" s="50">
        <f t="shared" si="440"/>
        <v>1112</v>
      </c>
      <c r="CV109" s="103">
        <f t="shared" si="458"/>
        <v>0</v>
      </c>
      <c r="CW109" s="46">
        <f t="shared" si="373"/>
        <v>1112</v>
      </c>
      <c r="CX109" s="51">
        <f t="shared" si="282"/>
        <v>86</v>
      </c>
      <c r="CY109" s="103">
        <f t="shared" si="459"/>
        <v>0</v>
      </c>
      <c r="CZ109" s="46">
        <f t="shared" si="325"/>
        <v>86</v>
      </c>
      <c r="DA109" s="316"/>
      <c r="DB109" s="120"/>
      <c r="DC109" s="7">
        <f t="shared" si="460"/>
        <v>15</v>
      </c>
      <c r="DD109" s="133"/>
      <c r="DE109" s="221"/>
      <c r="DF109" s="14">
        <f t="shared" si="327"/>
        <v>0</v>
      </c>
      <c r="DG109" s="59">
        <f t="shared" si="351"/>
        <v>0</v>
      </c>
      <c r="DH109" s="134"/>
      <c r="DI109" s="135"/>
      <c r="DJ109" s="135"/>
      <c r="DK109" s="14">
        <f t="shared" si="352"/>
        <v>0</v>
      </c>
      <c r="DL109" s="14">
        <f t="shared" si="342"/>
        <v>0</v>
      </c>
      <c r="DM109" s="14">
        <f t="shared" si="441"/>
        <v>0.16</v>
      </c>
      <c r="DN109" s="47">
        <f t="shared" si="328"/>
        <v>0</v>
      </c>
      <c r="DO109" s="35">
        <f t="shared" si="442"/>
        <v>4.0000000000000009</v>
      </c>
      <c r="DP109" s="159">
        <f t="shared" si="329"/>
        <v>0</v>
      </c>
      <c r="DQ109" s="142"/>
      <c r="DR109" s="13">
        <f t="shared" si="443"/>
        <v>60</v>
      </c>
      <c r="DS109" s="48">
        <f t="shared" si="337"/>
        <v>0</v>
      </c>
      <c r="DT109" s="49">
        <f t="shared" si="330"/>
        <v>0</v>
      </c>
      <c r="DU109" s="50">
        <f t="shared" si="444"/>
        <v>1112</v>
      </c>
      <c r="DV109" s="103">
        <f t="shared" si="461"/>
        <v>0</v>
      </c>
      <c r="DW109" s="46">
        <f t="shared" si="374"/>
        <v>1112</v>
      </c>
      <c r="DX109" s="51">
        <f t="shared" si="287"/>
        <v>86</v>
      </c>
      <c r="DY109" s="103">
        <f t="shared" si="462"/>
        <v>0</v>
      </c>
      <c r="DZ109" s="46">
        <f t="shared" si="333"/>
        <v>86</v>
      </c>
    </row>
    <row r="110" spans="1:130" x14ac:dyDescent="0.25">
      <c r="B110" s="120">
        <f t="shared" si="445"/>
        <v>11</v>
      </c>
      <c r="C110" s="115">
        <f t="shared" si="446"/>
        <v>15</v>
      </c>
      <c r="D110" s="133"/>
      <c r="E110" s="221"/>
      <c r="F110" s="103">
        <f t="shared" si="290"/>
        <v>93163</v>
      </c>
      <c r="G110" s="104">
        <f t="shared" si="343"/>
        <v>93163</v>
      </c>
      <c r="H110" s="134"/>
      <c r="I110" s="135"/>
      <c r="J110" s="135"/>
      <c r="K110" s="14">
        <f t="shared" si="344"/>
        <v>0</v>
      </c>
      <c r="L110" s="14">
        <f t="shared" si="338"/>
        <v>394</v>
      </c>
      <c r="M110" s="14">
        <f t="shared" si="264"/>
        <v>0.16</v>
      </c>
      <c r="N110" s="47">
        <f t="shared" si="291"/>
        <v>0</v>
      </c>
      <c r="O110" s="35">
        <f t="shared" si="292"/>
        <v>4.0000000000000009</v>
      </c>
      <c r="P110" s="159">
        <f t="shared" si="293"/>
        <v>0.42291467642733704</v>
      </c>
      <c r="Q110" s="142"/>
      <c r="R110" s="17">
        <f t="shared" si="294"/>
        <v>60</v>
      </c>
      <c r="S110" s="48">
        <f t="shared" si="295"/>
        <v>0</v>
      </c>
      <c r="T110" s="49">
        <f t="shared" si="296"/>
        <v>0.11689245893777725</v>
      </c>
      <c r="U110" s="160">
        <f t="shared" si="265"/>
        <v>1112</v>
      </c>
      <c r="V110" s="103">
        <f t="shared" si="447"/>
        <v>0</v>
      </c>
      <c r="W110" s="46">
        <f t="shared" si="266"/>
        <v>1112</v>
      </c>
      <c r="X110" s="51">
        <f t="shared" si="267"/>
        <v>86</v>
      </c>
      <c r="Y110" s="103">
        <f t="shared" si="448"/>
        <v>0</v>
      </c>
      <c r="Z110" s="46">
        <f t="shared" si="299"/>
        <v>86</v>
      </c>
      <c r="AB110" s="120">
        <f t="shared" si="449"/>
        <v>13</v>
      </c>
      <c r="AC110" s="7">
        <f t="shared" si="450"/>
        <v>15</v>
      </c>
      <c r="AD110" s="133"/>
      <c r="AE110" s="221"/>
      <c r="AF110" s="14">
        <f t="shared" si="302"/>
        <v>91715</v>
      </c>
      <c r="AG110" s="46">
        <f t="shared" si="345"/>
        <v>91715</v>
      </c>
      <c r="AH110" s="134"/>
      <c r="AI110" s="135"/>
      <c r="AJ110" s="135"/>
      <c r="AK110" s="14">
        <f t="shared" si="346"/>
        <v>0</v>
      </c>
      <c r="AL110" s="14">
        <f t="shared" si="339"/>
        <v>3025</v>
      </c>
      <c r="AM110" s="14">
        <f t="shared" si="429"/>
        <v>0.16</v>
      </c>
      <c r="AN110" s="47">
        <f t="shared" si="303"/>
        <v>0</v>
      </c>
      <c r="AO110" s="35">
        <f t="shared" si="430"/>
        <v>4.0000000000000009</v>
      </c>
      <c r="AP110" s="159">
        <f t="shared" si="334"/>
        <v>3.2982609169710515</v>
      </c>
      <c r="AQ110" s="142"/>
      <c r="AR110" s="14">
        <f t="shared" si="431"/>
        <v>60</v>
      </c>
      <c r="AS110" s="35">
        <f t="shared" si="304"/>
        <v>0</v>
      </c>
      <c r="AT110" s="301">
        <f t="shared" si="305"/>
        <v>5.5413543607296042E-2</v>
      </c>
      <c r="AU110" s="14">
        <f t="shared" si="432"/>
        <v>1112</v>
      </c>
      <c r="AV110" s="103">
        <f t="shared" si="451"/>
        <v>0</v>
      </c>
      <c r="AW110" s="46">
        <f t="shared" si="371"/>
        <v>1112</v>
      </c>
      <c r="AX110" s="51">
        <f t="shared" si="272"/>
        <v>86</v>
      </c>
      <c r="AY110" s="103">
        <f t="shared" si="452"/>
        <v>0</v>
      </c>
      <c r="AZ110" s="46">
        <f t="shared" si="308"/>
        <v>86</v>
      </c>
      <c r="BA110" s="316"/>
      <c r="BB110" s="120">
        <f t="shared" si="453"/>
        <v>11</v>
      </c>
      <c r="BC110" s="7">
        <f t="shared" si="454"/>
        <v>15</v>
      </c>
      <c r="BD110" s="133"/>
      <c r="BE110" s="221"/>
      <c r="BF110" s="14">
        <f t="shared" si="311"/>
        <v>94787</v>
      </c>
      <c r="BG110" s="46">
        <f t="shared" si="347"/>
        <v>94787</v>
      </c>
      <c r="BH110" s="134"/>
      <c r="BI110" s="135"/>
      <c r="BJ110" s="135"/>
      <c r="BK110" s="14">
        <f t="shared" si="348"/>
        <v>0</v>
      </c>
      <c r="BL110" s="14">
        <f t="shared" si="340"/>
        <v>5416</v>
      </c>
      <c r="BM110" s="14">
        <f t="shared" si="433"/>
        <v>0.16</v>
      </c>
      <c r="BN110" s="47">
        <f t="shared" si="312"/>
        <v>0</v>
      </c>
      <c r="BO110" s="35">
        <f t="shared" si="434"/>
        <v>4.0000000000000009</v>
      </c>
      <c r="BP110" s="159">
        <f t="shared" si="313"/>
        <v>5.7138637154884107</v>
      </c>
      <c r="BQ110" s="142"/>
      <c r="BR110" s="13">
        <f t="shared" si="435"/>
        <v>60</v>
      </c>
      <c r="BS110" s="48">
        <f t="shared" si="336"/>
        <v>0</v>
      </c>
      <c r="BT110" s="49">
        <f t="shared" si="314"/>
        <v>7.2033724880284866E-2</v>
      </c>
      <c r="BU110" s="50">
        <f t="shared" si="436"/>
        <v>1112</v>
      </c>
      <c r="BV110" s="103">
        <f t="shared" si="455"/>
        <v>0</v>
      </c>
      <c r="BW110" s="46">
        <f t="shared" si="372"/>
        <v>1112</v>
      </c>
      <c r="BX110" s="51">
        <f t="shared" si="277"/>
        <v>86</v>
      </c>
      <c r="BY110" s="103">
        <f t="shared" si="456"/>
        <v>0</v>
      </c>
      <c r="BZ110" s="46">
        <f t="shared" si="317"/>
        <v>86</v>
      </c>
      <c r="CA110" s="316"/>
      <c r="CB110" s="120"/>
      <c r="CC110" s="7">
        <f t="shared" si="457"/>
        <v>15</v>
      </c>
      <c r="CD110" s="133"/>
      <c r="CE110" s="221"/>
      <c r="CF110" s="14">
        <f t="shared" si="319"/>
        <v>0</v>
      </c>
      <c r="CG110" s="46">
        <f t="shared" si="349"/>
        <v>0</v>
      </c>
      <c r="CH110" s="134"/>
      <c r="CI110" s="135"/>
      <c r="CJ110" s="135"/>
      <c r="CK110" s="14">
        <f t="shared" si="350"/>
        <v>0</v>
      </c>
      <c r="CL110" s="14">
        <f t="shared" si="341"/>
        <v>0</v>
      </c>
      <c r="CM110" s="14">
        <f t="shared" si="437"/>
        <v>0.16</v>
      </c>
      <c r="CN110" s="47">
        <f t="shared" si="320"/>
        <v>0</v>
      </c>
      <c r="CO110" s="35">
        <f t="shared" si="438"/>
        <v>4.0000000000000009</v>
      </c>
      <c r="CP110" s="159">
        <f t="shared" si="321"/>
        <v>0</v>
      </c>
      <c r="CQ110" s="142"/>
      <c r="CR110" s="13">
        <f t="shared" si="439"/>
        <v>60</v>
      </c>
      <c r="CS110" s="48">
        <f t="shared" si="335"/>
        <v>0</v>
      </c>
      <c r="CT110" s="49">
        <f t="shared" si="322"/>
        <v>0</v>
      </c>
      <c r="CU110" s="50">
        <f t="shared" si="440"/>
        <v>1112</v>
      </c>
      <c r="CV110" s="103">
        <f t="shared" si="458"/>
        <v>0</v>
      </c>
      <c r="CW110" s="46">
        <f t="shared" si="373"/>
        <v>1112</v>
      </c>
      <c r="CX110" s="51">
        <f t="shared" si="282"/>
        <v>86</v>
      </c>
      <c r="CY110" s="103">
        <f t="shared" si="459"/>
        <v>0</v>
      </c>
      <c r="CZ110" s="46">
        <f t="shared" si="325"/>
        <v>86</v>
      </c>
      <c r="DA110" s="316"/>
      <c r="DB110" s="120"/>
      <c r="DC110" s="7">
        <f t="shared" si="460"/>
        <v>15</v>
      </c>
      <c r="DD110" s="133"/>
      <c r="DE110" s="221"/>
      <c r="DF110" s="14">
        <f t="shared" si="327"/>
        <v>0</v>
      </c>
      <c r="DG110" s="46">
        <f t="shared" si="351"/>
        <v>0</v>
      </c>
      <c r="DH110" s="134"/>
      <c r="DI110" s="135"/>
      <c r="DJ110" s="135"/>
      <c r="DK110" s="14">
        <f t="shared" si="352"/>
        <v>0</v>
      </c>
      <c r="DL110" s="14">
        <f t="shared" si="342"/>
        <v>0</v>
      </c>
      <c r="DM110" s="14">
        <f t="shared" si="441"/>
        <v>0.16</v>
      </c>
      <c r="DN110" s="47">
        <f t="shared" si="328"/>
        <v>0</v>
      </c>
      <c r="DO110" s="35">
        <f t="shared" si="442"/>
        <v>4.0000000000000009</v>
      </c>
      <c r="DP110" s="159">
        <f t="shared" si="329"/>
        <v>0</v>
      </c>
      <c r="DQ110" s="142"/>
      <c r="DR110" s="13">
        <f t="shared" si="443"/>
        <v>60</v>
      </c>
      <c r="DS110" s="48">
        <f t="shared" si="337"/>
        <v>0</v>
      </c>
      <c r="DT110" s="49">
        <f t="shared" si="330"/>
        <v>0</v>
      </c>
      <c r="DU110" s="50">
        <f t="shared" si="444"/>
        <v>1112</v>
      </c>
      <c r="DV110" s="103">
        <f t="shared" si="461"/>
        <v>0</v>
      </c>
      <c r="DW110" s="46">
        <f t="shared" si="374"/>
        <v>1112</v>
      </c>
      <c r="DX110" s="51">
        <f t="shared" si="287"/>
        <v>86</v>
      </c>
      <c r="DY110" s="103">
        <f t="shared" si="462"/>
        <v>0</v>
      </c>
      <c r="DZ110" s="46">
        <f t="shared" si="333"/>
        <v>86</v>
      </c>
    </row>
    <row r="111" spans="1:130" x14ac:dyDescent="0.25">
      <c r="B111" s="120">
        <f t="shared" si="445"/>
        <v>12</v>
      </c>
      <c r="C111" s="115">
        <f t="shared" si="446"/>
        <v>15</v>
      </c>
      <c r="D111" s="133"/>
      <c r="E111" s="221"/>
      <c r="F111" s="103">
        <f t="shared" si="290"/>
        <v>93163</v>
      </c>
      <c r="G111" s="104">
        <f t="shared" si="343"/>
        <v>93163</v>
      </c>
      <c r="H111" s="134"/>
      <c r="I111" s="135"/>
      <c r="J111" s="135"/>
      <c r="K111" s="14">
        <f t="shared" si="344"/>
        <v>0</v>
      </c>
      <c r="L111" s="14">
        <f t="shared" si="338"/>
        <v>394</v>
      </c>
      <c r="M111" s="14">
        <f t="shared" si="264"/>
        <v>0.16</v>
      </c>
      <c r="N111" s="47">
        <f t="shared" si="291"/>
        <v>0</v>
      </c>
      <c r="O111" s="35">
        <f t="shared" si="292"/>
        <v>4.0000000000000009</v>
      </c>
      <c r="P111" s="159">
        <f t="shared" si="293"/>
        <v>0.42291467642733704</v>
      </c>
      <c r="Q111" s="142"/>
      <c r="R111" s="17">
        <f t="shared" si="294"/>
        <v>60</v>
      </c>
      <c r="S111" s="48">
        <f t="shared" si="295"/>
        <v>0</v>
      </c>
      <c r="T111" s="49">
        <f t="shared" si="296"/>
        <v>0.11689245893777725</v>
      </c>
      <c r="U111" s="160">
        <f t="shared" si="265"/>
        <v>1112</v>
      </c>
      <c r="V111" s="103">
        <f t="shared" si="447"/>
        <v>0</v>
      </c>
      <c r="W111" s="46">
        <f t="shared" si="266"/>
        <v>1112</v>
      </c>
      <c r="X111" s="51">
        <f t="shared" si="267"/>
        <v>86</v>
      </c>
      <c r="Y111" s="103">
        <f t="shared" si="448"/>
        <v>0</v>
      </c>
      <c r="Z111" s="46">
        <f t="shared" si="299"/>
        <v>86</v>
      </c>
      <c r="AB111" s="120">
        <f t="shared" si="449"/>
        <v>14</v>
      </c>
      <c r="AC111" s="7">
        <f t="shared" si="450"/>
        <v>15</v>
      </c>
      <c r="AD111" s="133"/>
      <c r="AE111" s="221"/>
      <c r="AF111" s="14">
        <f t="shared" si="302"/>
        <v>91715</v>
      </c>
      <c r="AG111" s="46">
        <f t="shared" si="345"/>
        <v>91715</v>
      </c>
      <c r="AH111" s="134"/>
      <c r="AI111" s="135"/>
      <c r="AJ111" s="135"/>
      <c r="AK111" s="14">
        <f t="shared" si="346"/>
        <v>0</v>
      </c>
      <c r="AL111" s="14">
        <f t="shared" si="339"/>
        <v>3025</v>
      </c>
      <c r="AM111" s="14">
        <f t="shared" si="429"/>
        <v>0.16</v>
      </c>
      <c r="AN111" s="47">
        <f t="shared" si="303"/>
        <v>0</v>
      </c>
      <c r="AO111" s="35">
        <f t="shared" si="430"/>
        <v>4.0000000000000009</v>
      </c>
      <c r="AP111" s="159">
        <f t="shared" si="334"/>
        <v>3.2982609169710515</v>
      </c>
      <c r="AQ111" s="142"/>
      <c r="AR111" s="14">
        <f t="shared" si="431"/>
        <v>60</v>
      </c>
      <c r="AS111" s="35">
        <f t="shared" si="304"/>
        <v>0</v>
      </c>
      <c r="AT111" s="301">
        <f t="shared" si="305"/>
        <v>5.5413543607296042E-2</v>
      </c>
      <c r="AU111" s="14">
        <f t="shared" si="432"/>
        <v>1112</v>
      </c>
      <c r="AV111" s="103">
        <f t="shared" si="451"/>
        <v>0</v>
      </c>
      <c r="AW111" s="46">
        <f t="shared" si="371"/>
        <v>1112</v>
      </c>
      <c r="AX111" s="51">
        <f t="shared" si="272"/>
        <v>86</v>
      </c>
      <c r="AY111" s="103">
        <f t="shared" si="452"/>
        <v>0</v>
      </c>
      <c r="AZ111" s="46">
        <f t="shared" si="308"/>
        <v>86</v>
      </c>
      <c r="BA111" s="316"/>
      <c r="BB111" s="120">
        <f t="shared" si="453"/>
        <v>12</v>
      </c>
      <c r="BC111" s="7">
        <f t="shared" si="454"/>
        <v>15</v>
      </c>
      <c r="BD111" s="133"/>
      <c r="BE111" s="221"/>
      <c r="BF111" s="14">
        <f t="shared" si="311"/>
        <v>94787</v>
      </c>
      <c r="BG111" s="46">
        <f t="shared" si="347"/>
        <v>94787</v>
      </c>
      <c r="BH111" s="134"/>
      <c r="BI111" s="135"/>
      <c r="BJ111" s="135"/>
      <c r="BK111" s="14">
        <f t="shared" si="348"/>
        <v>0</v>
      </c>
      <c r="BL111" s="14">
        <f t="shared" si="340"/>
        <v>5416</v>
      </c>
      <c r="BM111" s="14">
        <f t="shared" si="433"/>
        <v>0.16</v>
      </c>
      <c r="BN111" s="47">
        <f t="shared" si="312"/>
        <v>0</v>
      </c>
      <c r="BO111" s="35">
        <f t="shared" si="434"/>
        <v>4.0000000000000009</v>
      </c>
      <c r="BP111" s="159">
        <f t="shared" si="313"/>
        <v>5.7138637154884107</v>
      </c>
      <c r="BQ111" s="142"/>
      <c r="BR111" s="13">
        <f t="shared" si="435"/>
        <v>60</v>
      </c>
      <c r="BS111" s="48">
        <f t="shared" si="336"/>
        <v>0</v>
      </c>
      <c r="BT111" s="68">
        <f t="shared" si="314"/>
        <v>7.2033724880284866E-2</v>
      </c>
      <c r="BU111" s="50">
        <f t="shared" si="436"/>
        <v>1112</v>
      </c>
      <c r="BV111" s="103">
        <f t="shared" si="455"/>
        <v>0</v>
      </c>
      <c r="BW111" s="46">
        <f t="shared" si="372"/>
        <v>1112</v>
      </c>
      <c r="BX111" s="51">
        <f t="shared" si="277"/>
        <v>86</v>
      </c>
      <c r="BY111" s="103">
        <f t="shared" si="456"/>
        <v>0</v>
      </c>
      <c r="BZ111" s="46">
        <f t="shared" si="317"/>
        <v>86</v>
      </c>
      <c r="CA111" s="316"/>
      <c r="CB111" s="120"/>
      <c r="CC111" s="7">
        <f t="shared" si="457"/>
        <v>15</v>
      </c>
      <c r="CD111" s="133"/>
      <c r="CE111" s="221"/>
      <c r="CF111" s="14">
        <f t="shared" si="319"/>
        <v>0</v>
      </c>
      <c r="CG111" s="46">
        <f t="shared" si="349"/>
        <v>0</v>
      </c>
      <c r="CH111" s="134"/>
      <c r="CI111" s="135"/>
      <c r="CJ111" s="135"/>
      <c r="CK111" s="14">
        <f t="shared" si="350"/>
        <v>0</v>
      </c>
      <c r="CL111" s="14">
        <f t="shared" si="341"/>
        <v>0</v>
      </c>
      <c r="CM111" s="14">
        <f t="shared" si="437"/>
        <v>0.16</v>
      </c>
      <c r="CN111" s="47">
        <f t="shared" si="320"/>
        <v>0</v>
      </c>
      <c r="CO111" s="35">
        <f t="shared" si="438"/>
        <v>4.0000000000000009</v>
      </c>
      <c r="CP111" s="159">
        <f t="shared" si="321"/>
        <v>0</v>
      </c>
      <c r="CQ111" s="142"/>
      <c r="CR111" s="13">
        <f t="shared" si="439"/>
        <v>60</v>
      </c>
      <c r="CS111" s="48">
        <f t="shared" si="335"/>
        <v>0</v>
      </c>
      <c r="CT111" s="68">
        <f t="shared" si="322"/>
        <v>0</v>
      </c>
      <c r="CU111" s="50">
        <f t="shared" si="440"/>
        <v>1112</v>
      </c>
      <c r="CV111" s="103">
        <f t="shared" si="458"/>
        <v>0</v>
      </c>
      <c r="CW111" s="46">
        <f t="shared" si="373"/>
        <v>1112</v>
      </c>
      <c r="CX111" s="51">
        <f t="shared" si="282"/>
        <v>86</v>
      </c>
      <c r="CY111" s="103">
        <f t="shared" si="459"/>
        <v>0</v>
      </c>
      <c r="CZ111" s="46">
        <f t="shared" si="325"/>
        <v>86</v>
      </c>
      <c r="DA111" s="316"/>
      <c r="DB111" s="120"/>
      <c r="DC111" s="7">
        <f t="shared" si="460"/>
        <v>15</v>
      </c>
      <c r="DD111" s="133"/>
      <c r="DE111" s="221"/>
      <c r="DF111" s="14">
        <f t="shared" si="327"/>
        <v>0</v>
      </c>
      <c r="DG111" s="46">
        <f t="shared" si="351"/>
        <v>0</v>
      </c>
      <c r="DH111" s="134"/>
      <c r="DI111" s="135"/>
      <c r="DJ111" s="135"/>
      <c r="DK111" s="14">
        <f t="shared" si="352"/>
        <v>0</v>
      </c>
      <c r="DL111" s="14">
        <f t="shared" si="342"/>
        <v>0</v>
      </c>
      <c r="DM111" s="14">
        <f t="shared" si="441"/>
        <v>0.16</v>
      </c>
      <c r="DN111" s="47">
        <f t="shared" si="328"/>
        <v>0</v>
      </c>
      <c r="DO111" s="35">
        <f t="shared" si="442"/>
        <v>4.0000000000000009</v>
      </c>
      <c r="DP111" s="159">
        <f t="shared" si="329"/>
        <v>0</v>
      </c>
      <c r="DQ111" s="142"/>
      <c r="DR111" s="13">
        <f t="shared" si="443"/>
        <v>60</v>
      </c>
      <c r="DS111" s="48">
        <f t="shared" si="337"/>
        <v>0</v>
      </c>
      <c r="DT111" s="68">
        <f t="shared" si="330"/>
        <v>0</v>
      </c>
      <c r="DU111" s="50">
        <f t="shared" si="444"/>
        <v>1112</v>
      </c>
      <c r="DV111" s="103">
        <f t="shared" si="461"/>
        <v>0</v>
      </c>
      <c r="DW111" s="46">
        <f t="shared" si="374"/>
        <v>1112</v>
      </c>
      <c r="DX111" s="51">
        <f t="shared" si="287"/>
        <v>86</v>
      </c>
      <c r="DY111" s="103">
        <f t="shared" si="462"/>
        <v>0</v>
      </c>
      <c r="DZ111" s="46">
        <f t="shared" si="333"/>
        <v>86</v>
      </c>
    </row>
    <row r="112" spans="1:130" ht="17.25" thickBot="1" x14ac:dyDescent="0.3">
      <c r="A112" s="168" t="s">
        <v>84</v>
      </c>
      <c r="B112" s="242">
        <v>13</v>
      </c>
      <c r="C112" s="243">
        <f t="shared" si="446"/>
        <v>15</v>
      </c>
      <c r="D112" s="255"/>
      <c r="E112" s="256"/>
      <c r="F112" s="244">
        <f t="shared" si="290"/>
        <v>93163</v>
      </c>
      <c r="G112" s="245">
        <f t="shared" si="343"/>
        <v>93163</v>
      </c>
      <c r="H112" s="257"/>
      <c r="I112" s="258"/>
      <c r="J112" s="258"/>
      <c r="K112" s="246">
        <f t="shared" si="344"/>
        <v>0</v>
      </c>
      <c r="L112" s="246">
        <f t="shared" si="338"/>
        <v>394</v>
      </c>
      <c r="M112" s="246">
        <f t="shared" si="264"/>
        <v>0.16</v>
      </c>
      <c r="N112" s="247">
        <f t="shared" si="291"/>
        <v>0</v>
      </c>
      <c r="O112" s="236">
        <f t="shared" si="292"/>
        <v>4.0000000000000009</v>
      </c>
      <c r="P112" s="248">
        <f t="shared" si="293"/>
        <v>0.42291467642733704</v>
      </c>
      <c r="Q112" s="260"/>
      <c r="R112" s="249">
        <f t="shared" si="294"/>
        <v>60</v>
      </c>
      <c r="S112" s="250">
        <f t="shared" si="295"/>
        <v>0</v>
      </c>
      <c r="T112" s="251">
        <f t="shared" si="296"/>
        <v>0.11689245893777725</v>
      </c>
      <c r="U112" s="249">
        <f t="shared" si="265"/>
        <v>1112</v>
      </c>
      <c r="V112" s="244">
        <f t="shared" si="447"/>
        <v>0</v>
      </c>
      <c r="W112" s="201">
        <f t="shared" si="266"/>
        <v>1112</v>
      </c>
      <c r="X112" s="252">
        <f t="shared" si="267"/>
        <v>86</v>
      </c>
      <c r="Y112" s="244">
        <f t="shared" si="448"/>
        <v>0</v>
      </c>
      <c r="Z112" s="201">
        <f t="shared" si="299"/>
        <v>86</v>
      </c>
      <c r="AB112" s="119">
        <f t="shared" si="449"/>
        <v>15</v>
      </c>
      <c r="AC112" s="95">
        <f t="shared" si="450"/>
        <v>15</v>
      </c>
      <c r="AD112" s="203"/>
      <c r="AE112" s="225"/>
      <c r="AF112" s="13">
        <f t="shared" si="302"/>
        <v>91715</v>
      </c>
      <c r="AG112" s="62">
        <f t="shared" si="345"/>
        <v>91715</v>
      </c>
      <c r="AH112" s="204"/>
      <c r="AI112" s="205"/>
      <c r="AJ112" s="205"/>
      <c r="AK112" s="31">
        <f t="shared" si="346"/>
        <v>0</v>
      </c>
      <c r="AL112" s="31">
        <f t="shared" si="339"/>
        <v>3025</v>
      </c>
      <c r="AM112" s="13">
        <f t="shared" si="429"/>
        <v>0.16</v>
      </c>
      <c r="AN112" s="230">
        <f t="shared" si="303"/>
        <v>0</v>
      </c>
      <c r="AO112" s="161">
        <f t="shared" si="430"/>
        <v>4.0000000000000009</v>
      </c>
      <c r="AP112" s="157">
        <f t="shared" si="334"/>
        <v>3.2982609169710515</v>
      </c>
      <c r="AQ112" s="237"/>
      <c r="AR112" s="13">
        <f t="shared" si="431"/>
        <v>60</v>
      </c>
      <c r="AS112" s="161">
        <f t="shared" si="304"/>
        <v>0</v>
      </c>
      <c r="AT112" s="302">
        <f t="shared" si="305"/>
        <v>5.5413543607296042E-2</v>
      </c>
      <c r="AU112" s="13">
        <f t="shared" si="432"/>
        <v>1112</v>
      </c>
      <c r="AV112" s="202">
        <f t="shared" si="451"/>
        <v>0</v>
      </c>
      <c r="AW112" s="62">
        <f t="shared" si="371"/>
        <v>1112</v>
      </c>
      <c r="AX112" s="52">
        <f t="shared" si="272"/>
        <v>86</v>
      </c>
      <c r="AY112" s="202">
        <f t="shared" si="452"/>
        <v>0</v>
      </c>
      <c r="AZ112" s="62">
        <f t="shared" si="308"/>
        <v>86</v>
      </c>
      <c r="BA112" s="316"/>
      <c r="BB112" s="119">
        <f t="shared" si="453"/>
        <v>13</v>
      </c>
      <c r="BC112" s="95">
        <f t="shared" si="454"/>
        <v>15</v>
      </c>
      <c r="BD112" s="203"/>
      <c r="BE112" s="225"/>
      <c r="BF112" s="13">
        <f t="shared" si="311"/>
        <v>94787</v>
      </c>
      <c r="BG112" s="62">
        <f t="shared" si="347"/>
        <v>94787</v>
      </c>
      <c r="BH112" s="204"/>
      <c r="BI112" s="205"/>
      <c r="BJ112" s="205"/>
      <c r="BK112" s="31">
        <f t="shared" si="348"/>
        <v>0</v>
      </c>
      <c r="BL112" s="31">
        <f t="shared" si="340"/>
        <v>5416</v>
      </c>
      <c r="BM112" s="13">
        <f t="shared" si="433"/>
        <v>0.16</v>
      </c>
      <c r="BN112" s="230">
        <f t="shared" si="312"/>
        <v>0</v>
      </c>
      <c r="BO112" s="161">
        <f t="shared" si="434"/>
        <v>4.0000000000000009</v>
      </c>
      <c r="BP112" s="157">
        <f t="shared" si="313"/>
        <v>5.7138637154884107</v>
      </c>
      <c r="BQ112" s="237"/>
      <c r="BR112" s="13">
        <f t="shared" si="435"/>
        <v>60</v>
      </c>
      <c r="BS112" s="67">
        <f t="shared" si="336"/>
        <v>0</v>
      </c>
      <c r="BT112" s="196">
        <f t="shared" si="314"/>
        <v>7.2033724880284866E-2</v>
      </c>
      <c r="BU112" s="50">
        <f t="shared" si="436"/>
        <v>1112</v>
      </c>
      <c r="BV112" s="202">
        <f t="shared" si="455"/>
        <v>0</v>
      </c>
      <c r="BW112" s="62">
        <f t="shared" si="372"/>
        <v>1112</v>
      </c>
      <c r="BX112" s="52">
        <f t="shared" si="277"/>
        <v>86</v>
      </c>
      <c r="BY112" s="202">
        <f t="shared" si="456"/>
        <v>0</v>
      </c>
      <c r="BZ112" s="62">
        <f t="shared" si="317"/>
        <v>86</v>
      </c>
      <c r="CA112" s="316"/>
      <c r="CB112" s="197"/>
      <c r="CC112" s="8">
        <f t="shared" si="457"/>
        <v>15</v>
      </c>
      <c r="CD112" s="136"/>
      <c r="CE112" s="226"/>
      <c r="CF112" s="32">
        <f t="shared" si="319"/>
        <v>0</v>
      </c>
      <c r="CG112" s="63">
        <f t="shared" si="349"/>
        <v>0</v>
      </c>
      <c r="CH112" s="137"/>
      <c r="CI112" s="138"/>
      <c r="CJ112" s="138"/>
      <c r="CK112" s="34">
        <f t="shared" si="350"/>
        <v>0</v>
      </c>
      <c r="CL112" s="34">
        <f t="shared" si="341"/>
        <v>0</v>
      </c>
      <c r="CM112" s="32">
        <f t="shared" si="437"/>
        <v>0.16</v>
      </c>
      <c r="CN112" s="166">
        <f t="shared" si="320"/>
        <v>0</v>
      </c>
      <c r="CO112" s="40">
        <f t="shared" si="438"/>
        <v>4.0000000000000009</v>
      </c>
      <c r="CP112" s="167">
        <f t="shared" si="321"/>
        <v>0</v>
      </c>
      <c r="CQ112" s="139"/>
      <c r="CR112" s="32">
        <f t="shared" si="439"/>
        <v>60</v>
      </c>
      <c r="CS112" s="54">
        <f t="shared" si="335"/>
        <v>0</v>
      </c>
      <c r="CT112" s="55">
        <f t="shared" si="322"/>
        <v>0</v>
      </c>
      <c r="CU112" s="56">
        <f t="shared" si="440"/>
        <v>1112</v>
      </c>
      <c r="CV112" s="109">
        <f t="shared" si="458"/>
        <v>0</v>
      </c>
      <c r="CW112" s="63">
        <f t="shared" si="373"/>
        <v>1112</v>
      </c>
      <c r="CX112" s="65">
        <f t="shared" si="282"/>
        <v>86</v>
      </c>
      <c r="CY112" s="109">
        <f t="shared" si="459"/>
        <v>0</v>
      </c>
      <c r="CZ112" s="63">
        <f t="shared" si="325"/>
        <v>86</v>
      </c>
      <c r="DA112" s="316"/>
      <c r="DB112" s="119"/>
      <c r="DC112" s="95">
        <f t="shared" si="460"/>
        <v>15</v>
      </c>
      <c r="DD112" s="203"/>
      <c r="DE112" s="225"/>
      <c r="DF112" s="13">
        <f t="shared" si="327"/>
        <v>0</v>
      </c>
      <c r="DG112" s="62">
        <f t="shared" si="351"/>
        <v>0</v>
      </c>
      <c r="DH112" s="204"/>
      <c r="DI112" s="205"/>
      <c r="DJ112" s="205"/>
      <c r="DK112" s="31">
        <f t="shared" si="352"/>
        <v>0</v>
      </c>
      <c r="DL112" s="31">
        <f t="shared" si="342"/>
        <v>0</v>
      </c>
      <c r="DM112" s="13">
        <f t="shared" si="441"/>
        <v>0.16</v>
      </c>
      <c r="DN112" s="230">
        <f t="shared" si="328"/>
        <v>0</v>
      </c>
      <c r="DO112" s="161">
        <f t="shared" si="442"/>
        <v>4.0000000000000009</v>
      </c>
      <c r="DP112" s="157">
        <f t="shared" si="329"/>
        <v>0</v>
      </c>
      <c r="DQ112" s="237"/>
      <c r="DR112" s="13">
        <f t="shared" si="443"/>
        <v>60</v>
      </c>
      <c r="DS112" s="67">
        <f t="shared" si="337"/>
        <v>0</v>
      </c>
      <c r="DT112" s="196">
        <f t="shared" si="330"/>
        <v>0</v>
      </c>
      <c r="DU112" s="50">
        <f t="shared" si="444"/>
        <v>1112</v>
      </c>
      <c r="DV112" s="202">
        <f t="shared" si="461"/>
        <v>0</v>
      </c>
      <c r="DW112" s="62">
        <f t="shared" si="374"/>
        <v>1112</v>
      </c>
      <c r="DX112" s="52">
        <f t="shared" si="287"/>
        <v>86</v>
      </c>
      <c r="DY112" s="202">
        <f t="shared" si="462"/>
        <v>0</v>
      </c>
      <c r="DZ112" s="62">
        <f t="shared" si="333"/>
        <v>86</v>
      </c>
    </row>
    <row r="113" spans="2:130" x14ac:dyDescent="0.25">
      <c r="B113" s="118">
        <v>14</v>
      </c>
      <c r="C113" s="114">
        <v>16</v>
      </c>
      <c r="D113" s="129"/>
      <c r="E113" s="224"/>
      <c r="F113" s="101">
        <f t="shared" si="290"/>
        <v>93163</v>
      </c>
      <c r="G113" s="106">
        <f t="shared" si="343"/>
        <v>93163</v>
      </c>
      <c r="H113" s="130"/>
      <c r="I113" s="131"/>
      <c r="J113" s="131"/>
      <c r="K113" s="11">
        <f t="shared" si="344"/>
        <v>0</v>
      </c>
      <c r="L113" s="11">
        <f t="shared" si="338"/>
        <v>394</v>
      </c>
      <c r="M113" s="11">
        <f t="shared" si="264"/>
        <v>0.16</v>
      </c>
      <c r="N113" s="42">
        <f t="shared" si="291"/>
        <v>0</v>
      </c>
      <c r="O113" s="21">
        <f t="shared" si="292"/>
        <v>4.160000000000001</v>
      </c>
      <c r="P113" s="165">
        <f t="shared" si="293"/>
        <v>0.42291467642733704</v>
      </c>
      <c r="Q113" s="158"/>
      <c r="R113" s="18">
        <f t="shared" si="294"/>
        <v>64</v>
      </c>
      <c r="S113" s="43">
        <f t="shared" si="295"/>
        <v>0</v>
      </c>
      <c r="T113" s="44">
        <f t="shared" si="296"/>
        <v>0.11689245893777725</v>
      </c>
      <c r="U113" s="195">
        <f t="shared" si="265"/>
        <v>1165</v>
      </c>
      <c r="V113" s="131"/>
      <c r="W113" s="41">
        <f t="shared" si="266"/>
        <v>1165</v>
      </c>
      <c r="X113" s="58">
        <f t="shared" si="267"/>
        <v>86</v>
      </c>
      <c r="Y113" s="131"/>
      <c r="Z113" s="41">
        <f t="shared" si="299"/>
        <v>86</v>
      </c>
      <c r="AB113" s="118">
        <v>16</v>
      </c>
      <c r="AC113" s="9">
        <v>16</v>
      </c>
      <c r="AD113" s="129"/>
      <c r="AE113" s="224"/>
      <c r="AF113" s="11">
        <f t="shared" si="302"/>
        <v>91715</v>
      </c>
      <c r="AG113" s="57">
        <f t="shared" si="345"/>
        <v>91715</v>
      </c>
      <c r="AH113" s="130"/>
      <c r="AI113" s="131"/>
      <c r="AJ113" s="131"/>
      <c r="AK113" s="11">
        <f t="shared" si="346"/>
        <v>0</v>
      </c>
      <c r="AL113" s="11">
        <f t="shared" si="339"/>
        <v>3025</v>
      </c>
      <c r="AM113" s="11">
        <f t="shared" si="429"/>
        <v>0.16</v>
      </c>
      <c r="AN113" s="42">
        <f t="shared" si="303"/>
        <v>0</v>
      </c>
      <c r="AO113" s="21">
        <f t="shared" si="430"/>
        <v>4.160000000000001</v>
      </c>
      <c r="AP113" s="165">
        <f t="shared" si="334"/>
        <v>3.2982609169710515</v>
      </c>
      <c r="AQ113" s="158"/>
      <c r="AR113" s="11">
        <f t="shared" si="431"/>
        <v>64</v>
      </c>
      <c r="AS113" s="21">
        <f t="shared" si="304"/>
        <v>0</v>
      </c>
      <c r="AT113" s="303">
        <f t="shared" si="305"/>
        <v>5.5413543607296042E-2</v>
      </c>
      <c r="AU113" s="11">
        <f t="shared" si="432"/>
        <v>1165</v>
      </c>
      <c r="AV113" s="131"/>
      <c r="AW113" s="41">
        <f t="shared" si="371"/>
        <v>1165</v>
      </c>
      <c r="AX113" s="58">
        <f t="shared" si="272"/>
        <v>86</v>
      </c>
      <c r="AY113" s="131"/>
      <c r="AZ113" s="41">
        <f t="shared" si="308"/>
        <v>86</v>
      </c>
      <c r="BA113" s="316"/>
      <c r="BB113" s="118">
        <v>14</v>
      </c>
      <c r="BC113" s="9">
        <v>16</v>
      </c>
      <c r="BD113" s="129"/>
      <c r="BE113" s="224"/>
      <c r="BF113" s="11">
        <f t="shared" si="311"/>
        <v>94787</v>
      </c>
      <c r="BG113" s="57">
        <f t="shared" si="347"/>
        <v>94787</v>
      </c>
      <c r="BH113" s="130"/>
      <c r="BI113" s="131"/>
      <c r="BJ113" s="131"/>
      <c r="BK113" s="11">
        <f t="shared" si="348"/>
        <v>0</v>
      </c>
      <c r="BL113" s="11">
        <f t="shared" si="340"/>
        <v>5416</v>
      </c>
      <c r="BM113" s="11">
        <f t="shared" si="433"/>
        <v>0.16</v>
      </c>
      <c r="BN113" s="42">
        <f t="shared" si="312"/>
        <v>0</v>
      </c>
      <c r="BO113" s="21">
        <f t="shared" si="434"/>
        <v>4.160000000000001</v>
      </c>
      <c r="BP113" s="165">
        <f t="shared" si="313"/>
        <v>5.7138637154884107</v>
      </c>
      <c r="BQ113" s="158"/>
      <c r="BR113" s="16">
        <f t="shared" si="435"/>
        <v>64</v>
      </c>
      <c r="BS113" s="43">
        <f t="shared" si="336"/>
        <v>0</v>
      </c>
      <c r="BT113" s="44">
        <f t="shared" si="314"/>
        <v>7.2033724880284866E-2</v>
      </c>
      <c r="BU113" s="45">
        <f t="shared" si="436"/>
        <v>1165</v>
      </c>
      <c r="BV113" s="131"/>
      <c r="BW113" s="41">
        <f t="shared" si="372"/>
        <v>1165</v>
      </c>
      <c r="BX113" s="58">
        <f t="shared" si="277"/>
        <v>86</v>
      </c>
      <c r="BY113" s="131"/>
      <c r="BZ113" s="41">
        <f t="shared" si="317"/>
        <v>86</v>
      </c>
      <c r="CA113" s="316"/>
      <c r="CB113" s="118"/>
      <c r="CC113" s="9">
        <v>16</v>
      </c>
      <c r="CD113" s="129"/>
      <c r="CE113" s="224"/>
      <c r="CF113" s="11">
        <f t="shared" si="319"/>
        <v>0</v>
      </c>
      <c r="CG113" s="57">
        <f t="shared" si="349"/>
        <v>0</v>
      </c>
      <c r="CH113" s="130"/>
      <c r="CI113" s="131"/>
      <c r="CJ113" s="131"/>
      <c r="CK113" s="11">
        <f t="shared" si="350"/>
        <v>0</v>
      </c>
      <c r="CL113" s="11">
        <f t="shared" si="341"/>
        <v>0</v>
      </c>
      <c r="CM113" s="11">
        <f t="shared" si="437"/>
        <v>0.16</v>
      </c>
      <c r="CN113" s="153">
        <f t="shared" si="320"/>
        <v>0</v>
      </c>
      <c r="CO113" s="154">
        <f t="shared" si="438"/>
        <v>4.160000000000001</v>
      </c>
      <c r="CP113" s="132">
        <f t="shared" si="321"/>
        <v>0</v>
      </c>
      <c r="CQ113" s="158"/>
      <c r="CR113" s="16">
        <f t="shared" si="439"/>
        <v>64</v>
      </c>
      <c r="CS113" s="43">
        <f t="shared" si="335"/>
        <v>0</v>
      </c>
      <c r="CT113" s="44">
        <f t="shared" si="322"/>
        <v>0</v>
      </c>
      <c r="CU113" s="45">
        <f t="shared" si="440"/>
        <v>1165</v>
      </c>
      <c r="CV113" s="131"/>
      <c r="CW113" s="41">
        <f t="shared" si="373"/>
        <v>1165</v>
      </c>
      <c r="CX113" s="58">
        <f t="shared" si="282"/>
        <v>86</v>
      </c>
      <c r="CY113" s="131"/>
      <c r="CZ113" s="41">
        <f t="shared" si="325"/>
        <v>86</v>
      </c>
      <c r="DA113" s="316"/>
      <c r="DB113" s="118"/>
      <c r="DC113" s="9">
        <v>16</v>
      </c>
      <c r="DD113" s="129"/>
      <c r="DE113" s="224"/>
      <c r="DF113" s="11">
        <f t="shared" si="327"/>
        <v>0</v>
      </c>
      <c r="DG113" s="57">
        <f t="shared" si="351"/>
        <v>0</v>
      </c>
      <c r="DH113" s="130"/>
      <c r="DI113" s="131"/>
      <c r="DJ113" s="131"/>
      <c r="DK113" s="11">
        <f t="shared" si="352"/>
        <v>0</v>
      </c>
      <c r="DL113" s="11">
        <f t="shared" si="342"/>
        <v>0</v>
      </c>
      <c r="DM113" s="11">
        <f t="shared" si="441"/>
        <v>0.16</v>
      </c>
      <c r="DN113" s="42">
        <f t="shared" si="328"/>
        <v>0</v>
      </c>
      <c r="DO113" s="21">
        <f t="shared" si="442"/>
        <v>4.160000000000001</v>
      </c>
      <c r="DP113" s="165">
        <f t="shared" si="329"/>
        <v>0</v>
      </c>
      <c r="DQ113" s="158"/>
      <c r="DR113" s="16">
        <f t="shared" si="443"/>
        <v>64</v>
      </c>
      <c r="DS113" s="43">
        <f t="shared" si="337"/>
        <v>0</v>
      </c>
      <c r="DT113" s="44">
        <f t="shared" si="330"/>
        <v>0</v>
      </c>
      <c r="DU113" s="45">
        <f t="shared" si="444"/>
        <v>1165</v>
      </c>
      <c r="DV113" s="131"/>
      <c r="DW113" s="41">
        <f t="shared" si="374"/>
        <v>1165</v>
      </c>
      <c r="DX113" s="58">
        <f t="shared" si="287"/>
        <v>86</v>
      </c>
      <c r="DY113" s="131"/>
      <c r="DZ113" s="41">
        <f t="shared" si="333"/>
        <v>86</v>
      </c>
    </row>
    <row r="114" spans="2:130" x14ac:dyDescent="0.25">
      <c r="B114" s="120">
        <f>B113+1</f>
        <v>15</v>
      </c>
      <c r="C114" s="115">
        <f>C113</f>
        <v>16</v>
      </c>
      <c r="D114" s="133"/>
      <c r="E114" s="221"/>
      <c r="F114" s="103">
        <f t="shared" si="290"/>
        <v>93163</v>
      </c>
      <c r="G114" s="107">
        <f t="shared" si="343"/>
        <v>93163</v>
      </c>
      <c r="H114" s="134"/>
      <c r="I114" s="135"/>
      <c r="J114" s="135"/>
      <c r="K114" s="14">
        <f t="shared" si="344"/>
        <v>0</v>
      </c>
      <c r="L114" s="14">
        <f t="shared" si="338"/>
        <v>394</v>
      </c>
      <c r="M114" s="14">
        <f t="shared" si="264"/>
        <v>0.16</v>
      </c>
      <c r="N114" s="47">
        <f t="shared" si="291"/>
        <v>0</v>
      </c>
      <c r="O114" s="35">
        <f t="shared" si="292"/>
        <v>4.160000000000001</v>
      </c>
      <c r="P114" s="159">
        <f t="shared" si="293"/>
        <v>0.42291467642733704</v>
      </c>
      <c r="Q114" s="142"/>
      <c r="R114" s="13">
        <f t="shared" si="294"/>
        <v>64</v>
      </c>
      <c r="S114" s="48">
        <f t="shared" si="295"/>
        <v>0</v>
      </c>
      <c r="T114" s="49">
        <f t="shared" si="296"/>
        <v>0.11689245893777725</v>
      </c>
      <c r="U114" s="160">
        <f t="shared" si="265"/>
        <v>1165</v>
      </c>
      <c r="V114" s="103">
        <f>V113</f>
        <v>0</v>
      </c>
      <c r="W114" s="46">
        <f t="shared" si="266"/>
        <v>1165</v>
      </c>
      <c r="X114" s="51">
        <f t="shared" si="267"/>
        <v>86</v>
      </c>
      <c r="Y114" s="103">
        <f>Y113</f>
        <v>0</v>
      </c>
      <c r="Z114" s="46">
        <f t="shared" si="299"/>
        <v>86</v>
      </c>
      <c r="AB114" s="120">
        <f>AB113+1</f>
        <v>17</v>
      </c>
      <c r="AC114" s="7">
        <f>AC113</f>
        <v>16</v>
      </c>
      <c r="AD114" s="133"/>
      <c r="AE114" s="221"/>
      <c r="AF114" s="14">
        <f t="shared" si="302"/>
        <v>91715</v>
      </c>
      <c r="AG114" s="59">
        <f t="shared" si="345"/>
        <v>91715</v>
      </c>
      <c r="AH114" s="134"/>
      <c r="AI114" s="135"/>
      <c r="AJ114" s="135"/>
      <c r="AK114" s="14">
        <f t="shared" si="346"/>
        <v>0</v>
      </c>
      <c r="AL114" s="14">
        <f t="shared" si="339"/>
        <v>3025</v>
      </c>
      <c r="AM114" s="14">
        <f t="shared" si="429"/>
        <v>0.16</v>
      </c>
      <c r="AN114" s="47">
        <f t="shared" si="303"/>
        <v>0</v>
      </c>
      <c r="AO114" s="35">
        <f t="shared" si="430"/>
        <v>4.160000000000001</v>
      </c>
      <c r="AP114" s="159">
        <f t="shared" si="334"/>
        <v>3.2982609169710515</v>
      </c>
      <c r="AQ114" s="142"/>
      <c r="AR114" s="14">
        <f t="shared" si="431"/>
        <v>64</v>
      </c>
      <c r="AS114" s="35">
        <f t="shared" si="304"/>
        <v>0</v>
      </c>
      <c r="AT114" s="301">
        <f t="shared" si="305"/>
        <v>5.5413543607296042E-2</v>
      </c>
      <c r="AU114" s="14">
        <f t="shared" si="432"/>
        <v>1165</v>
      </c>
      <c r="AV114" s="103">
        <f>AV113</f>
        <v>0</v>
      </c>
      <c r="AW114" s="46">
        <f t="shared" si="371"/>
        <v>1165</v>
      </c>
      <c r="AX114" s="51">
        <f t="shared" si="272"/>
        <v>86</v>
      </c>
      <c r="AY114" s="103">
        <f>AY113</f>
        <v>0</v>
      </c>
      <c r="AZ114" s="46">
        <f t="shared" si="308"/>
        <v>86</v>
      </c>
      <c r="BA114" s="316"/>
      <c r="BB114" s="120">
        <f>BB113+1</f>
        <v>15</v>
      </c>
      <c r="BC114" s="7">
        <f>BC113</f>
        <v>16</v>
      </c>
      <c r="BD114" s="133"/>
      <c r="BE114" s="221"/>
      <c r="BF114" s="14">
        <f t="shared" si="311"/>
        <v>94787</v>
      </c>
      <c r="BG114" s="59">
        <f t="shared" si="347"/>
        <v>94787</v>
      </c>
      <c r="BH114" s="134"/>
      <c r="BI114" s="135"/>
      <c r="BJ114" s="135"/>
      <c r="BK114" s="14">
        <f t="shared" si="348"/>
        <v>0</v>
      </c>
      <c r="BL114" s="14">
        <f t="shared" si="340"/>
        <v>5416</v>
      </c>
      <c r="BM114" s="14">
        <f t="shared" si="433"/>
        <v>0.16</v>
      </c>
      <c r="BN114" s="47">
        <f t="shared" si="312"/>
        <v>0</v>
      </c>
      <c r="BO114" s="35">
        <f t="shared" si="434"/>
        <v>4.160000000000001</v>
      </c>
      <c r="BP114" s="159">
        <f t="shared" si="313"/>
        <v>5.7138637154884107</v>
      </c>
      <c r="BQ114" s="142"/>
      <c r="BR114" s="13">
        <f t="shared" si="435"/>
        <v>64</v>
      </c>
      <c r="BS114" s="48">
        <f t="shared" si="336"/>
        <v>0</v>
      </c>
      <c r="BT114" s="49">
        <f t="shared" si="314"/>
        <v>7.2033724880284866E-2</v>
      </c>
      <c r="BU114" s="50">
        <f t="shared" si="436"/>
        <v>1165</v>
      </c>
      <c r="BV114" s="103">
        <f>BV113</f>
        <v>0</v>
      </c>
      <c r="BW114" s="46">
        <f t="shared" si="372"/>
        <v>1165</v>
      </c>
      <c r="BX114" s="51">
        <f t="shared" si="277"/>
        <v>86</v>
      </c>
      <c r="BY114" s="103">
        <f>BY113</f>
        <v>0</v>
      </c>
      <c r="BZ114" s="46">
        <f t="shared" si="317"/>
        <v>86</v>
      </c>
      <c r="CA114" s="316"/>
      <c r="CB114" s="120"/>
      <c r="CC114" s="7">
        <f>CC113</f>
        <v>16</v>
      </c>
      <c r="CD114" s="133"/>
      <c r="CE114" s="221"/>
      <c r="CF114" s="14">
        <f t="shared" si="319"/>
        <v>0</v>
      </c>
      <c r="CG114" s="59">
        <f t="shared" si="349"/>
        <v>0</v>
      </c>
      <c r="CH114" s="134"/>
      <c r="CI114" s="135"/>
      <c r="CJ114" s="135"/>
      <c r="CK114" s="14">
        <f t="shared" si="350"/>
        <v>0</v>
      </c>
      <c r="CL114" s="14">
        <f t="shared" si="341"/>
        <v>0</v>
      </c>
      <c r="CM114" s="14">
        <f t="shared" si="437"/>
        <v>0.16</v>
      </c>
      <c r="CN114" s="47">
        <f t="shared" si="320"/>
        <v>0</v>
      </c>
      <c r="CO114" s="35">
        <f t="shared" si="438"/>
        <v>4.160000000000001</v>
      </c>
      <c r="CP114" s="159">
        <f t="shared" si="321"/>
        <v>0</v>
      </c>
      <c r="CQ114" s="142"/>
      <c r="CR114" s="13">
        <f t="shared" si="439"/>
        <v>64</v>
      </c>
      <c r="CS114" s="48">
        <f t="shared" si="335"/>
        <v>0</v>
      </c>
      <c r="CT114" s="49">
        <f t="shared" si="322"/>
        <v>0</v>
      </c>
      <c r="CU114" s="50">
        <f t="shared" si="440"/>
        <v>1165</v>
      </c>
      <c r="CV114" s="103">
        <f>CV113</f>
        <v>0</v>
      </c>
      <c r="CW114" s="46">
        <f t="shared" si="373"/>
        <v>1165</v>
      </c>
      <c r="CX114" s="51">
        <f t="shared" si="282"/>
        <v>86</v>
      </c>
      <c r="CY114" s="103">
        <f>CY113</f>
        <v>0</v>
      </c>
      <c r="CZ114" s="46">
        <f t="shared" si="325"/>
        <v>86</v>
      </c>
      <c r="DA114" s="316"/>
      <c r="DB114" s="120"/>
      <c r="DC114" s="7">
        <f>DC113</f>
        <v>16</v>
      </c>
      <c r="DD114" s="133"/>
      <c r="DE114" s="221"/>
      <c r="DF114" s="14">
        <f t="shared" si="327"/>
        <v>0</v>
      </c>
      <c r="DG114" s="59">
        <f t="shared" si="351"/>
        <v>0</v>
      </c>
      <c r="DH114" s="134"/>
      <c r="DI114" s="135"/>
      <c r="DJ114" s="135"/>
      <c r="DK114" s="14">
        <f t="shared" si="352"/>
        <v>0</v>
      </c>
      <c r="DL114" s="14">
        <f t="shared" si="342"/>
        <v>0</v>
      </c>
      <c r="DM114" s="14">
        <f t="shared" si="441"/>
        <v>0.16</v>
      </c>
      <c r="DN114" s="47">
        <f t="shared" si="328"/>
        <v>0</v>
      </c>
      <c r="DO114" s="35">
        <f t="shared" si="442"/>
        <v>4.160000000000001</v>
      </c>
      <c r="DP114" s="159">
        <f t="shared" si="329"/>
        <v>0</v>
      </c>
      <c r="DQ114" s="142"/>
      <c r="DR114" s="13">
        <f t="shared" si="443"/>
        <v>64</v>
      </c>
      <c r="DS114" s="48">
        <f t="shared" si="337"/>
        <v>0</v>
      </c>
      <c r="DT114" s="49">
        <f t="shared" si="330"/>
        <v>0</v>
      </c>
      <c r="DU114" s="50">
        <f t="shared" si="444"/>
        <v>1165</v>
      </c>
      <c r="DV114" s="103">
        <f>DV113</f>
        <v>0</v>
      </c>
      <c r="DW114" s="46">
        <f t="shared" si="374"/>
        <v>1165</v>
      </c>
      <c r="DX114" s="51">
        <f t="shared" si="287"/>
        <v>86</v>
      </c>
      <c r="DY114" s="103">
        <f>DY113</f>
        <v>0</v>
      </c>
      <c r="DZ114" s="46">
        <f t="shared" si="333"/>
        <v>86</v>
      </c>
    </row>
    <row r="115" spans="2:130" x14ac:dyDescent="0.25">
      <c r="B115" s="120">
        <f t="shared" ref="B115:B119" si="463">B114+1</f>
        <v>16</v>
      </c>
      <c r="C115" s="115">
        <f t="shared" ref="C115:C119" si="464">C114</f>
        <v>16</v>
      </c>
      <c r="D115" s="133"/>
      <c r="E115" s="221"/>
      <c r="F115" s="103">
        <f t="shared" si="290"/>
        <v>93163</v>
      </c>
      <c r="G115" s="107">
        <f t="shared" si="343"/>
        <v>93163</v>
      </c>
      <c r="H115" s="134"/>
      <c r="I115" s="135"/>
      <c r="J115" s="135"/>
      <c r="K115" s="14">
        <f t="shared" si="344"/>
        <v>0</v>
      </c>
      <c r="L115" s="14">
        <f t="shared" si="338"/>
        <v>394</v>
      </c>
      <c r="M115" s="14">
        <f t="shared" si="264"/>
        <v>0.16</v>
      </c>
      <c r="N115" s="47">
        <f t="shared" si="291"/>
        <v>0</v>
      </c>
      <c r="O115" s="35">
        <f t="shared" si="292"/>
        <v>4.160000000000001</v>
      </c>
      <c r="P115" s="159">
        <f t="shared" si="293"/>
        <v>0.42291467642733704</v>
      </c>
      <c r="Q115" s="142"/>
      <c r="R115" s="13">
        <f t="shared" si="294"/>
        <v>64</v>
      </c>
      <c r="S115" s="48">
        <f t="shared" si="295"/>
        <v>0</v>
      </c>
      <c r="T115" s="49">
        <f t="shared" si="296"/>
        <v>0.11689245893777725</v>
      </c>
      <c r="U115" s="160">
        <f t="shared" si="265"/>
        <v>1165</v>
      </c>
      <c r="V115" s="103">
        <f t="shared" ref="V115:V119" si="465">V114</f>
        <v>0</v>
      </c>
      <c r="W115" s="46">
        <f t="shared" si="266"/>
        <v>1165</v>
      </c>
      <c r="X115" s="51">
        <f t="shared" si="267"/>
        <v>86</v>
      </c>
      <c r="Y115" s="103">
        <f t="shared" ref="Y115:Y119" si="466">Y114</f>
        <v>0</v>
      </c>
      <c r="Z115" s="46">
        <f t="shared" si="299"/>
        <v>86</v>
      </c>
      <c r="AB115" s="120">
        <f t="shared" ref="AB115:AB119" si="467">AB114+1</f>
        <v>18</v>
      </c>
      <c r="AC115" s="7">
        <f t="shared" ref="AC115:AC119" si="468">AC114</f>
        <v>16</v>
      </c>
      <c r="AD115" s="133"/>
      <c r="AE115" s="221"/>
      <c r="AF115" s="14">
        <f t="shared" si="302"/>
        <v>91715</v>
      </c>
      <c r="AG115" s="59">
        <f t="shared" si="345"/>
        <v>91715</v>
      </c>
      <c r="AH115" s="134"/>
      <c r="AI115" s="135"/>
      <c r="AJ115" s="135"/>
      <c r="AK115" s="14">
        <f t="shared" si="346"/>
        <v>0</v>
      </c>
      <c r="AL115" s="14">
        <f t="shared" si="339"/>
        <v>3025</v>
      </c>
      <c r="AM115" s="14">
        <f t="shared" si="429"/>
        <v>0.16</v>
      </c>
      <c r="AN115" s="47">
        <f t="shared" si="303"/>
        <v>0</v>
      </c>
      <c r="AO115" s="35">
        <f t="shared" si="430"/>
        <v>4.160000000000001</v>
      </c>
      <c r="AP115" s="159">
        <f t="shared" si="334"/>
        <v>3.2982609169710515</v>
      </c>
      <c r="AQ115" s="142"/>
      <c r="AR115" s="14">
        <f t="shared" si="431"/>
        <v>64</v>
      </c>
      <c r="AS115" s="35">
        <f t="shared" si="304"/>
        <v>0</v>
      </c>
      <c r="AT115" s="301">
        <f t="shared" si="305"/>
        <v>5.5413543607296042E-2</v>
      </c>
      <c r="AU115" s="14">
        <f t="shared" si="432"/>
        <v>1165</v>
      </c>
      <c r="AV115" s="103">
        <f t="shared" ref="AV115:AV119" si="469">AV114</f>
        <v>0</v>
      </c>
      <c r="AW115" s="46">
        <f t="shared" si="371"/>
        <v>1165</v>
      </c>
      <c r="AX115" s="51">
        <f t="shared" si="272"/>
        <v>86</v>
      </c>
      <c r="AY115" s="103">
        <f t="shared" ref="AY115:AY119" si="470">AY114</f>
        <v>0</v>
      </c>
      <c r="AZ115" s="46">
        <f t="shared" si="308"/>
        <v>86</v>
      </c>
      <c r="BA115" s="316"/>
      <c r="BB115" s="120">
        <f t="shared" ref="BB115:BB119" si="471">BB114+1</f>
        <v>16</v>
      </c>
      <c r="BC115" s="7">
        <f t="shared" ref="BC115:BC119" si="472">BC114</f>
        <v>16</v>
      </c>
      <c r="BD115" s="133"/>
      <c r="BE115" s="221"/>
      <c r="BF115" s="14">
        <f t="shared" si="311"/>
        <v>94787</v>
      </c>
      <c r="BG115" s="59">
        <f t="shared" si="347"/>
        <v>94787</v>
      </c>
      <c r="BH115" s="134"/>
      <c r="BI115" s="135"/>
      <c r="BJ115" s="135"/>
      <c r="BK115" s="14">
        <f t="shared" si="348"/>
        <v>0</v>
      </c>
      <c r="BL115" s="14">
        <f t="shared" si="340"/>
        <v>5416</v>
      </c>
      <c r="BM115" s="14">
        <f t="shared" si="433"/>
        <v>0.16</v>
      </c>
      <c r="BN115" s="47">
        <f t="shared" si="312"/>
        <v>0</v>
      </c>
      <c r="BO115" s="35">
        <f t="shared" si="434"/>
        <v>4.160000000000001</v>
      </c>
      <c r="BP115" s="159">
        <f t="shared" si="313"/>
        <v>5.7138637154884107</v>
      </c>
      <c r="BQ115" s="142"/>
      <c r="BR115" s="13">
        <f t="shared" si="435"/>
        <v>64</v>
      </c>
      <c r="BS115" s="48">
        <f t="shared" si="336"/>
        <v>0</v>
      </c>
      <c r="BT115" s="49">
        <f t="shared" si="314"/>
        <v>7.2033724880284866E-2</v>
      </c>
      <c r="BU115" s="50">
        <f t="shared" si="436"/>
        <v>1165</v>
      </c>
      <c r="BV115" s="103">
        <f t="shared" ref="BV115:BV119" si="473">BV114</f>
        <v>0</v>
      </c>
      <c r="BW115" s="46">
        <f t="shared" si="372"/>
        <v>1165</v>
      </c>
      <c r="BX115" s="51">
        <f t="shared" si="277"/>
        <v>86</v>
      </c>
      <c r="BY115" s="103">
        <f t="shared" ref="BY115:BY119" si="474">BY114</f>
        <v>0</v>
      </c>
      <c r="BZ115" s="46">
        <f t="shared" si="317"/>
        <v>86</v>
      </c>
      <c r="CA115" s="316"/>
      <c r="CB115" s="120"/>
      <c r="CC115" s="7">
        <f t="shared" ref="CC115:CC119" si="475">CC114</f>
        <v>16</v>
      </c>
      <c r="CD115" s="133"/>
      <c r="CE115" s="221"/>
      <c r="CF115" s="14">
        <f t="shared" si="319"/>
        <v>0</v>
      </c>
      <c r="CG115" s="59">
        <f t="shared" si="349"/>
        <v>0</v>
      </c>
      <c r="CH115" s="134"/>
      <c r="CI115" s="135"/>
      <c r="CJ115" s="135"/>
      <c r="CK115" s="14">
        <f t="shared" si="350"/>
        <v>0</v>
      </c>
      <c r="CL115" s="14">
        <f t="shared" si="341"/>
        <v>0</v>
      </c>
      <c r="CM115" s="14">
        <f t="shared" si="437"/>
        <v>0.16</v>
      </c>
      <c r="CN115" s="47">
        <f t="shared" si="320"/>
        <v>0</v>
      </c>
      <c r="CO115" s="35">
        <f t="shared" si="438"/>
        <v>4.160000000000001</v>
      </c>
      <c r="CP115" s="159">
        <f t="shared" si="321"/>
        <v>0</v>
      </c>
      <c r="CQ115" s="142"/>
      <c r="CR115" s="13">
        <f t="shared" si="439"/>
        <v>64</v>
      </c>
      <c r="CS115" s="48">
        <f t="shared" si="335"/>
        <v>0</v>
      </c>
      <c r="CT115" s="49">
        <f t="shared" si="322"/>
        <v>0</v>
      </c>
      <c r="CU115" s="50">
        <f t="shared" si="440"/>
        <v>1165</v>
      </c>
      <c r="CV115" s="103">
        <f t="shared" ref="CV115:CV119" si="476">CV114</f>
        <v>0</v>
      </c>
      <c r="CW115" s="46">
        <f t="shared" si="373"/>
        <v>1165</v>
      </c>
      <c r="CX115" s="51">
        <f t="shared" si="282"/>
        <v>86</v>
      </c>
      <c r="CY115" s="103">
        <f t="shared" ref="CY115:CY119" si="477">CY114</f>
        <v>0</v>
      </c>
      <c r="CZ115" s="46">
        <f t="shared" si="325"/>
        <v>86</v>
      </c>
      <c r="DA115" s="316"/>
      <c r="DB115" s="120"/>
      <c r="DC115" s="7">
        <f t="shared" ref="DC115:DC119" si="478">DC114</f>
        <v>16</v>
      </c>
      <c r="DD115" s="133"/>
      <c r="DE115" s="221"/>
      <c r="DF115" s="14">
        <f t="shared" si="327"/>
        <v>0</v>
      </c>
      <c r="DG115" s="59">
        <f t="shared" si="351"/>
        <v>0</v>
      </c>
      <c r="DH115" s="134"/>
      <c r="DI115" s="135"/>
      <c r="DJ115" s="135"/>
      <c r="DK115" s="14">
        <f t="shared" si="352"/>
        <v>0</v>
      </c>
      <c r="DL115" s="14">
        <f t="shared" si="342"/>
        <v>0</v>
      </c>
      <c r="DM115" s="14">
        <f t="shared" si="441"/>
        <v>0.16</v>
      </c>
      <c r="DN115" s="47">
        <f t="shared" si="328"/>
        <v>0</v>
      </c>
      <c r="DO115" s="35">
        <f t="shared" si="442"/>
        <v>4.160000000000001</v>
      </c>
      <c r="DP115" s="159">
        <f t="shared" si="329"/>
        <v>0</v>
      </c>
      <c r="DQ115" s="142"/>
      <c r="DR115" s="13">
        <f t="shared" si="443"/>
        <v>64</v>
      </c>
      <c r="DS115" s="48">
        <f t="shared" si="337"/>
        <v>0</v>
      </c>
      <c r="DT115" s="49">
        <f t="shared" si="330"/>
        <v>0</v>
      </c>
      <c r="DU115" s="50">
        <f t="shared" si="444"/>
        <v>1165</v>
      </c>
      <c r="DV115" s="103">
        <f t="shared" ref="DV115:DV119" si="479">DV114</f>
        <v>0</v>
      </c>
      <c r="DW115" s="46">
        <f t="shared" si="374"/>
        <v>1165</v>
      </c>
      <c r="DX115" s="51">
        <f t="shared" si="287"/>
        <v>86</v>
      </c>
      <c r="DY115" s="103">
        <f t="shared" ref="DY115:DY119" si="480">DY114</f>
        <v>0</v>
      </c>
      <c r="DZ115" s="46">
        <f t="shared" si="333"/>
        <v>86</v>
      </c>
    </row>
    <row r="116" spans="2:130" x14ac:dyDescent="0.25">
      <c r="B116" s="120">
        <f t="shared" si="463"/>
        <v>17</v>
      </c>
      <c r="C116" s="115">
        <f t="shared" si="464"/>
        <v>16</v>
      </c>
      <c r="D116" s="133"/>
      <c r="E116" s="221"/>
      <c r="F116" s="103">
        <f t="shared" si="290"/>
        <v>93163</v>
      </c>
      <c r="G116" s="104">
        <f t="shared" si="343"/>
        <v>93163</v>
      </c>
      <c r="H116" s="134"/>
      <c r="I116" s="135"/>
      <c r="J116" s="135"/>
      <c r="K116" s="14">
        <f t="shared" si="344"/>
        <v>0</v>
      </c>
      <c r="L116" s="14">
        <f t="shared" si="338"/>
        <v>394</v>
      </c>
      <c r="M116" s="14">
        <f t="shared" si="264"/>
        <v>0.16</v>
      </c>
      <c r="N116" s="47">
        <f t="shared" si="291"/>
        <v>0</v>
      </c>
      <c r="O116" s="35">
        <f t="shared" si="292"/>
        <v>4.160000000000001</v>
      </c>
      <c r="P116" s="159">
        <f t="shared" si="293"/>
        <v>0.42291467642733704</v>
      </c>
      <c r="Q116" s="142"/>
      <c r="R116" s="13">
        <f t="shared" si="294"/>
        <v>64</v>
      </c>
      <c r="S116" s="48">
        <f t="shared" si="295"/>
        <v>0</v>
      </c>
      <c r="T116" s="49">
        <f t="shared" si="296"/>
        <v>0.11689245893777725</v>
      </c>
      <c r="U116" s="160">
        <f t="shared" si="265"/>
        <v>1165</v>
      </c>
      <c r="V116" s="103">
        <f t="shared" si="465"/>
        <v>0</v>
      </c>
      <c r="W116" s="46">
        <f t="shared" si="266"/>
        <v>1165</v>
      </c>
      <c r="X116" s="51">
        <f t="shared" si="267"/>
        <v>86</v>
      </c>
      <c r="Y116" s="103">
        <f t="shared" si="466"/>
        <v>0</v>
      </c>
      <c r="Z116" s="46">
        <f t="shared" si="299"/>
        <v>86</v>
      </c>
      <c r="AB116" s="120">
        <f t="shared" si="467"/>
        <v>19</v>
      </c>
      <c r="AC116" s="7">
        <f t="shared" si="468"/>
        <v>16</v>
      </c>
      <c r="AD116" s="133"/>
      <c r="AE116" s="221"/>
      <c r="AF116" s="14">
        <f t="shared" si="302"/>
        <v>91715</v>
      </c>
      <c r="AG116" s="46">
        <f t="shared" si="345"/>
        <v>91715</v>
      </c>
      <c r="AH116" s="134"/>
      <c r="AI116" s="135"/>
      <c r="AJ116" s="135"/>
      <c r="AK116" s="14">
        <f t="shared" si="346"/>
        <v>0</v>
      </c>
      <c r="AL116" s="14">
        <f t="shared" si="339"/>
        <v>3025</v>
      </c>
      <c r="AM116" s="14">
        <f t="shared" si="429"/>
        <v>0.16</v>
      </c>
      <c r="AN116" s="47">
        <f t="shared" si="303"/>
        <v>0</v>
      </c>
      <c r="AO116" s="35">
        <f t="shared" si="430"/>
        <v>4.160000000000001</v>
      </c>
      <c r="AP116" s="159">
        <f t="shared" si="334"/>
        <v>3.2982609169710515</v>
      </c>
      <c r="AQ116" s="142"/>
      <c r="AR116" s="14">
        <f t="shared" si="431"/>
        <v>64</v>
      </c>
      <c r="AS116" s="35">
        <f t="shared" si="304"/>
        <v>0</v>
      </c>
      <c r="AT116" s="301">
        <f t="shared" si="305"/>
        <v>5.5413543607296042E-2</v>
      </c>
      <c r="AU116" s="14">
        <f t="shared" si="432"/>
        <v>1165</v>
      </c>
      <c r="AV116" s="103">
        <f t="shared" si="469"/>
        <v>0</v>
      </c>
      <c r="AW116" s="46">
        <f t="shared" si="371"/>
        <v>1165</v>
      </c>
      <c r="AX116" s="51">
        <f t="shared" si="272"/>
        <v>86</v>
      </c>
      <c r="AY116" s="103">
        <f t="shared" si="470"/>
        <v>0</v>
      </c>
      <c r="AZ116" s="46">
        <f t="shared" si="308"/>
        <v>86</v>
      </c>
      <c r="BA116" s="316"/>
      <c r="BB116" s="120">
        <f t="shared" si="471"/>
        <v>17</v>
      </c>
      <c r="BC116" s="7">
        <f t="shared" si="472"/>
        <v>16</v>
      </c>
      <c r="BD116" s="133"/>
      <c r="BE116" s="221"/>
      <c r="BF116" s="14">
        <f t="shared" si="311"/>
        <v>94787</v>
      </c>
      <c r="BG116" s="46">
        <f t="shared" si="347"/>
        <v>94787</v>
      </c>
      <c r="BH116" s="134"/>
      <c r="BI116" s="135"/>
      <c r="BJ116" s="135"/>
      <c r="BK116" s="14">
        <f t="shared" si="348"/>
        <v>0</v>
      </c>
      <c r="BL116" s="14">
        <f t="shared" si="340"/>
        <v>5416</v>
      </c>
      <c r="BM116" s="14">
        <f t="shared" si="433"/>
        <v>0.16</v>
      </c>
      <c r="BN116" s="47">
        <f t="shared" si="312"/>
        <v>0</v>
      </c>
      <c r="BO116" s="35">
        <f t="shared" si="434"/>
        <v>4.160000000000001</v>
      </c>
      <c r="BP116" s="159">
        <f t="shared" si="313"/>
        <v>5.7138637154884107</v>
      </c>
      <c r="BQ116" s="142"/>
      <c r="BR116" s="13">
        <f t="shared" si="435"/>
        <v>64</v>
      </c>
      <c r="BS116" s="48">
        <f t="shared" si="336"/>
        <v>0</v>
      </c>
      <c r="BT116" s="49">
        <f t="shared" si="314"/>
        <v>7.2033724880284866E-2</v>
      </c>
      <c r="BU116" s="50">
        <f t="shared" si="436"/>
        <v>1165</v>
      </c>
      <c r="BV116" s="103">
        <f t="shared" si="473"/>
        <v>0</v>
      </c>
      <c r="BW116" s="46">
        <f t="shared" si="372"/>
        <v>1165</v>
      </c>
      <c r="BX116" s="51">
        <f t="shared" si="277"/>
        <v>86</v>
      </c>
      <c r="BY116" s="103">
        <f t="shared" si="474"/>
        <v>0</v>
      </c>
      <c r="BZ116" s="46">
        <f t="shared" si="317"/>
        <v>86</v>
      </c>
      <c r="CA116" s="316"/>
      <c r="CB116" s="120"/>
      <c r="CC116" s="7">
        <f t="shared" si="475"/>
        <v>16</v>
      </c>
      <c r="CD116" s="133"/>
      <c r="CE116" s="221"/>
      <c r="CF116" s="14">
        <f t="shared" si="319"/>
        <v>0</v>
      </c>
      <c r="CG116" s="46">
        <f t="shared" si="349"/>
        <v>0</v>
      </c>
      <c r="CH116" s="134"/>
      <c r="CI116" s="135"/>
      <c r="CJ116" s="135"/>
      <c r="CK116" s="14">
        <f t="shared" si="350"/>
        <v>0</v>
      </c>
      <c r="CL116" s="14">
        <f t="shared" si="341"/>
        <v>0</v>
      </c>
      <c r="CM116" s="14">
        <f t="shared" si="437"/>
        <v>0.16</v>
      </c>
      <c r="CN116" s="47">
        <f t="shared" si="320"/>
        <v>0</v>
      </c>
      <c r="CO116" s="35">
        <f t="shared" si="438"/>
        <v>4.160000000000001</v>
      </c>
      <c r="CP116" s="159">
        <f t="shared" si="321"/>
        <v>0</v>
      </c>
      <c r="CQ116" s="142"/>
      <c r="CR116" s="13">
        <f t="shared" si="439"/>
        <v>64</v>
      </c>
      <c r="CS116" s="48">
        <f t="shared" si="335"/>
        <v>0</v>
      </c>
      <c r="CT116" s="49">
        <f t="shared" si="322"/>
        <v>0</v>
      </c>
      <c r="CU116" s="50">
        <f t="shared" si="440"/>
        <v>1165</v>
      </c>
      <c r="CV116" s="103">
        <f t="shared" si="476"/>
        <v>0</v>
      </c>
      <c r="CW116" s="46">
        <f t="shared" si="373"/>
        <v>1165</v>
      </c>
      <c r="CX116" s="51">
        <f t="shared" si="282"/>
        <v>86</v>
      </c>
      <c r="CY116" s="103">
        <f t="shared" si="477"/>
        <v>0</v>
      </c>
      <c r="CZ116" s="46">
        <f t="shared" si="325"/>
        <v>86</v>
      </c>
      <c r="DA116" s="316"/>
      <c r="DB116" s="120"/>
      <c r="DC116" s="7">
        <f t="shared" si="478"/>
        <v>16</v>
      </c>
      <c r="DD116" s="133"/>
      <c r="DE116" s="221"/>
      <c r="DF116" s="14">
        <f t="shared" si="327"/>
        <v>0</v>
      </c>
      <c r="DG116" s="46">
        <f t="shared" si="351"/>
        <v>0</v>
      </c>
      <c r="DH116" s="134"/>
      <c r="DI116" s="135"/>
      <c r="DJ116" s="135"/>
      <c r="DK116" s="14">
        <f t="shared" si="352"/>
        <v>0</v>
      </c>
      <c r="DL116" s="14">
        <f t="shared" si="342"/>
        <v>0</v>
      </c>
      <c r="DM116" s="14">
        <f t="shared" si="441"/>
        <v>0.16</v>
      </c>
      <c r="DN116" s="47">
        <f t="shared" si="328"/>
        <v>0</v>
      </c>
      <c r="DO116" s="35">
        <f t="shared" si="442"/>
        <v>4.160000000000001</v>
      </c>
      <c r="DP116" s="159">
        <f t="shared" si="329"/>
        <v>0</v>
      </c>
      <c r="DQ116" s="142"/>
      <c r="DR116" s="13">
        <f t="shared" si="443"/>
        <v>64</v>
      </c>
      <c r="DS116" s="48">
        <f t="shared" si="337"/>
        <v>0</v>
      </c>
      <c r="DT116" s="49">
        <f t="shared" si="330"/>
        <v>0</v>
      </c>
      <c r="DU116" s="50">
        <f t="shared" si="444"/>
        <v>1165</v>
      </c>
      <c r="DV116" s="103">
        <f t="shared" si="479"/>
        <v>0</v>
      </c>
      <c r="DW116" s="46">
        <f t="shared" si="374"/>
        <v>1165</v>
      </c>
      <c r="DX116" s="51">
        <f t="shared" si="287"/>
        <v>86</v>
      </c>
      <c r="DY116" s="103">
        <f t="shared" si="480"/>
        <v>0</v>
      </c>
      <c r="DZ116" s="46">
        <f t="shared" si="333"/>
        <v>86</v>
      </c>
    </row>
    <row r="117" spans="2:130" x14ac:dyDescent="0.25">
      <c r="B117" s="120">
        <f t="shared" si="463"/>
        <v>18</v>
      </c>
      <c r="C117" s="115">
        <f t="shared" si="464"/>
        <v>16</v>
      </c>
      <c r="D117" s="133"/>
      <c r="E117" s="221"/>
      <c r="F117" s="103">
        <f t="shared" si="290"/>
        <v>93163</v>
      </c>
      <c r="G117" s="104">
        <f t="shared" si="343"/>
        <v>93163</v>
      </c>
      <c r="H117" s="134"/>
      <c r="I117" s="135"/>
      <c r="J117" s="135"/>
      <c r="K117" s="31">
        <f t="shared" si="344"/>
        <v>0</v>
      </c>
      <c r="L117" s="17">
        <f t="shared" si="338"/>
        <v>394</v>
      </c>
      <c r="M117" s="14">
        <f t="shared" si="264"/>
        <v>0.16</v>
      </c>
      <c r="N117" s="47">
        <f t="shared" si="291"/>
        <v>0</v>
      </c>
      <c r="O117" s="35">
        <f t="shared" si="292"/>
        <v>4.160000000000001</v>
      </c>
      <c r="P117" s="159">
        <f t="shared" si="293"/>
        <v>0.42291467642733704</v>
      </c>
      <c r="Q117" s="142"/>
      <c r="R117" s="14">
        <f t="shared" si="294"/>
        <v>64</v>
      </c>
      <c r="S117" s="48">
        <f t="shared" si="295"/>
        <v>0</v>
      </c>
      <c r="T117" s="49">
        <f t="shared" si="296"/>
        <v>0.11689245893777725</v>
      </c>
      <c r="U117" s="160">
        <f t="shared" si="265"/>
        <v>1165</v>
      </c>
      <c r="V117" s="103">
        <f t="shared" si="465"/>
        <v>0</v>
      </c>
      <c r="W117" s="46">
        <f t="shared" si="266"/>
        <v>1165</v>
      </c>
      <c r="X117" s="51">
        <f t="shared" si="267"/>
        <v>86</v>
      </c>
      <c r="Y117" s="103">
        <f t="shared" si="466"/>
        <v>0</v>
      </c>
      <c r="Z117" s="46">
        <f t="shared" si="299"/>
        <v>86</v>
      </c>
      <c r="AB117" s="120">
        <f t="shared" si="467"/>
        <v>20</v>
      </c>
      <c r="AC117" s="7">
        <f t="shared" si="468"/>
        <v>16</v>
      </c>
      <c r="AD117" s="133"/>
      <c r="AE117" s="221"/>
      <c r="AF117" s="14">
        <f t="shared" si="302"/>
        <v>91715</v>
      </c>
      <c r="AG117" s="46">
        <f t="shared" si="345"/>
        <v>91715</v>
      </c>
      <c r="AH117" s="134"/>
      <c r="AI117" s="135"/>
      <c r="AJ117" s="135"/>
      <c r="AK117" s="31">
        <f t="shared" si="346"/>
        <v>0</v>
      </c>
      <c r="AL117" s="17">
        <f t="shared" si="339"/>
        <v>3025</v>
      </c>
      <c r="AM117" s="14">
        <f t="shared" si="429"/>
        <v>0.16</v>
      </c>
      <c r="AN117" s="47">
        <f t="shared" si="303"/>
        <v>0</v>
      </c>
      <c r="AO117" s="35">
        <f t="shared" si="430"/>
        <v>4.160000000000001</v>
      </c>
      <c r="AP117" s="159">
        <f t="shared" si="334"/>
        <v>3.2982609169710515</v>
      </c>
      <c r="AQ117" s="142"/>
      <c r="AR117" s="14">
        <f t="shared" si="431"/>
        <v>64</v>
      </c>
      <c r="AS117" s="35">
        <f t="shared" si="304"/>
        <v>0</v>
      </c>
      <c r="AT117" s="301">
        <f t="shared" si="305"/>
        <v>5.5413543607296042E-2</v>
      </c>
      <c r="AU117" s="14">
        <f t="shared" si="432"/>
        <v>1165</v>
      </c>
      <c r="AV117" s="103">
        <f t="shared" si="469"/>
        <v>0</v>
      </c>
      <c r="AW117" s="46">
        <f t="shared" si="371"/>
        <v>1165</v>
      </c>
      <c r="AX117" s="51">
        <f t="shared" si="272"/>
        <v>86</v>
      </c>
      <c r="AY117" s="103">
        <f t="shared" si="470"/>
        <v>0</v>
      </c>
      <c r="AZ117" s="46">
        <f t="shared" si="308"/>
        <v>86</v>
      </c>
      <c r="BA117" s="316"/>
      <c r="BB117" s="120">
        <f t="shared" si="471"/>
        <v>18</v>
      </c>
      <c r="BC117" s="7">
        <f t="shared" si="472"/>
        <v>16</v>
      </c>
      <c r="BD117" s="133"/>
      <c r="BE117" s="221"/>
      <c r="BF117" s="14">
        <f t="shared" si="311"/>
        <v>94787</v>
      </c>
      <c r="BG117" s="46">
        <f t="shared" si="347"/>
        <v>94787</v>
      </c>
      <c r="BH117" s="134"/>
      <c r="BI117" s="135"/>
      <c r="BJ117" s="135"/>
      <c r="BK117" s="31">
        <f t="shared" si="348"/>
        <v>0</v>
      </c>
      <c r="BL117" s="17">
        <f t="shared" si="340"/>
        <v>5416</v>
      </c>
      <c r="BM117" s="14">
        <f t="shared" si="433"/>
        <v>0.16</v>
      </c>
      <c r="BN117" s="47">
        <f t="shared" si="312"/>
        <v>0</v>
      </c>
      <c r="BO117" s="35">
        <f t="shared" si="434"/>
        <v>4.160000000000001</v>
      </c>
      <c r="BP117" s="159">
        <f t="shared" si="313"/>
        <v>5.7138637154884107</v>
      </c>
      <c r="BQ117" s="142"/>
      <c r="BR117" s="13">
        <f t="shared" si="435"/>
        <v>64</v>
      </c>
      <c r="BS117" s="48">
        <f t="shared" si="336"/>
        <v>0</v>
      </c>
      <c r="BT117" s="49">
        <f t="shared" si="314"/>
        <v>7.2033724880284866E-2</v>
      </c>
      <c r="BU117" s="50">
        <f t="shared" si="436"/>
        <v>1165</v>
      </c>
      <c r="BV117" s="103">
        <f t="shared" si="473"/>
        <v>0</v>
      </c>
      <c r="BW117" s="46">
        <f t="shared" si="372"/>
        <v>1165</v>
      </c>
      <c r="BX117" s="51">
        <f t="shared" si="277"/>
        <v>86</v>
      </c>
      <c r="BY117" s="103">
        <f t="shared" si="474"/>
        <v>0</v>
      </c>
      <c r="BZ117" s="46">
        <f t="shared" si="317"/>
        <v>86</v>
      </c>
      <c r="CA117" s="316"/>
      <c r="CB117" s="120"/>
      <c r="CC117" s="7">
        <f t="shared" si="475"/>
        <v>16</v>
      </c>
      <c r="CD117" s="133"/>
      <c r="CE117" s="221"/>
      <c r="CF117" s="14">
        <f t="shared" si="319"/>
        <v>0</v>
      </c>
      <c r="CG117" s="46">
        <f t="shared" si="349"/>
        <v>0</v>
      </c>
      <c r="CH117" s="134"/>
      <c r="CI117" s="135"/>
      <c r="CJ117" s="135"/>
      <c r="CK117" s="31">
        <f t="shared" si="350"/>
        <v>0</v>
      </c>
      <c r="CL117" s="17">
        <f t="shared" si="341"/>
        <v>0</v>
      </c>
      <c r="CM117" s="14">
        <f t="shared" si="437"/>
        <v>0.16</v>
      </c>
      <c r="CN117" s="47">
        <f t="shared" si="320"/>
        <v>0</v>
      </c>
      <c r="CO117" s="35">
        <f t="shared" si="438"/>
        <v>4.160000000000001</v>
      </c>
      <c r="CP117" s="159">
        <f t="shared" si="321"/>
        <v>0</v>
      </c>
      <c r="CQ117" s="142"/>
      <c r="CR117" s="13">
        <f t="shared" si="439"/>
        <v>64</v>
      </c>
      <c r="CS117" s="48">
        <f t="shared" si="335"/>
        <v>0</v>
      </c>
      <c r="CT117" s="49">
        <f t="shared" si="322"/>
        <v>0</v>
      </c>
      <c r="CU117" s="50">
        <f t="shared" si="440"/>
        <v>1165</v>
      </c>
      <c r="CV117" s="103">
        <f t="shared" si="476"/>
        <v>0</v>
      </c>
      <c r="CW117" s="46">
        <f t="shared" si="373"/>
        <v>1165</v>
      </c>
      <c r="CX117" s="51">
        <f t="shared" si="282"/>
        <v>86</v>
      </c>
      <c r="CY117" s="103">
        <f t="shared" si="477"/>
        <v>0</v>
      </c>
      <c r="CZ117" s="46">
        <f t="shared" si="325"/>
        <v>86</v>
      </c>
      <c r="DA117" s="316"/>
      <c r="DB117" s="120"/>
      <c r="DC117" s="7">
        <f t="shared" si="478"/>
        <v>16</v>
      </c>
      <c r="DD117" s="133"/>
      <c r="DE117" s="221"/>
      <c r="DF117" s="14">
        <f t="shared" si="327"/>
        <v>0</v>
      </c>
      <c r="DG117" s="46">
        <f t="shared" si="351"/>
        <v>0</v>
      </c>
      <c r="DH117" s="134"/>
      <c r="DI117" s="135"/>
      <c r="DJ117" s="135"/>
      <c r="DK117" s="31">
        <f t="shared" si="352"/>
        <v>0</v>
      </c>
      <c r="DL117" s="17">
        <f t="shared" si="342"/>
        <v>0</v>
      </c>
      <c r="DM117" s="14">
        <f t="shared" si="441"/>
        <v>0.16</v>
      </c>
      <c r="DN117" s="47">
        <f t="shared" si="328"/>
        <v>0</v>
      </c>
      <c r="DO117" s="35">
        <f t="shared" si="442"/>
        <v>4.160000000000001</v>
      </c>
      <c r="DP117" s="159">
        <f t="shared" si="329"/>
        <v>0</v>
      </c>
      <c r="DQ117" s="142"/>
      <c r="DR117" s="13">
        <f t="shared" si="443"/>
        <v>64</v>
      </c>
      <c r="DS117" s="48">
        <f t="shared" si="337"/>
        <v>0</v>
      </c>
      <c r="DT117" s="49">
        <f t="shared" si="330"/>
        <v>0</v>
      </c>
      <c r="DU117" s="50">
        <f t="shared" si="444"/>
        <v>1165</v>
      </c>
      <c r="DV117" s="103">
        <f t="shared" si="479"/>
        <v>0</v>
      </c>
      <c r="DW117" s="46">
        <f t="shared" si="374"/>
        <v>1165</v>
      </c>
      <c r="DX117" s="51">
        <f t="shared" si="287"/>
        <v>86</v>
      </c>
      <c r="DY117" s="103">
        <f t="shared" si="480"/>
        <v>0</v>
      </c>
      <c r="DZ117" s="46">
        <f t="shared" si="333"/>
        <v>86</v>
      </c>
    </row>
    <row r="118" spans="2:130" x14ac:dyDescent="0.25">
      <c r="B118" s="120">
        <f t="shared" si="463"/>
        <v>19</v>
      </c>
      <c r="C118" s="115">
        <f t="shared" si="464"/>
        <v>16</v>
      </c>
      <c r="D118" s="133"/>
      <c r="E118" s="221"/>
      <c r="F118" s="103">
        <f t="shared" si="290"/>
        <v>93163</v>
      </c>
      <c r="G118" s="104">
        <f t="shared" si="343"/>
        <v>93163</v>
      </c>
      <c r="H118" s="134"/>
      <c r="I118" s="135"/>
      <c r="J118" s="135"/>
      <c r="K118" s="14">
        <f t="shared" si="344"/>
        <v>0</v>
      </c>
      <c r="L118" s="14">
        <f t="shared" si="338"/>
        <v>394</v>
      </c>
      <c r="M118" s="14">
        <f t="shared" si="264"/>
        <v>0.16</v>
      </c>
      <c r="N118" s="47">
        <f t="shared" si="291"/>
        <v>0</v>
      </c>
      <c r="O118" s="35">
        <f t="shared" si="292"/>
        <v>4.160000000000001</v>
      </c>
      <c r="P118" s="159">
        <f t="shared" si="293"/>
        <v>0.42291467642733704</v>
      </c>
      <c r="Q118" s="142"/>
      <c r="R118" s="17">
        <f t="shared" si="294"/>
        <v>64</v>
      </c>
      <c r="S118" s="48">
        <f t="shared" si="295"/>
        <v>0</v>
      </c>
      <c r="T118" s="49">
        <f t="shared" si="296"/>
        <v>0.11689245893777725</v>
      </c>
      <c r="U118" s="160">
        <f t="shared" si="265"/>
        <v>1165</v>
      </c>
      <c r="V118" s="103">
        <f t="shared" si="465"/>
        <v>0</v>
      </c>
      <c r="W118" s="46">
        <f t="shared" si="266"/>
        <v>1165</v>
      </c>
      <c r="X118" s="51">
        <f t="shared" si="267"/>
        <v>86</v>
      </c>
      <c r="Y118" s="103">
        <f t="shared" si="466"/>
        <v>0</v>
      </c>
      <c r="Z118" s="46">
        <f t="shared" si="299"/>
        <v>86</v>
      </c>
      <c r="AB118" s="120">
        <f t="shared" si="467"/>
        <v>21</v>
      </c>
      <c r="AC118" s="7">
        <f t="shared" si="468"/>
        <v>16</v>
      </c>
      <c r="AD118" s="133"/>
      <c r="AE118" s="221"/>
      <c r="AF118" s="14">
        <f t="shared" si="302"/>
        <v>91715</v>
      </c>
      <c r="AG118" s="46">
        <f t="shared" si="345"/>
        <v>91715</v>
      </c>
      <c r="AH118" s="134"/>
      <c r="AI118" s="135"/>
      <c r="AJ118" s="135"/>
      <c r="AK118" s="14">
        <f t="shared" si="346"/>
        <v>0</v>
      </c>
      <c r="AL118" s="14">
        <f t="shared" si="339"/>
        <v>3025</v>
      </c>
      <c r="AM118" s="14">
        <f t="shared" si="429"/>
        <v>0.16</v>
      </c>
      <c r="AN118" s="47">
        <f t="shared" si="303"/>
        <v>0</v>
      </c>
      <c r="AO118" s="35">
        <f t="shared" si="430"/>
        <v>4.160000000000001</v>
      </c>
      <c r="AP118" s="159">
        <f t="shared" si="334"/>
        <v>3.2982609169710515</v>
      </c>
      <c r="AQ118" s="142"/>
      <c r="AR118" s="14">
        <f t="shared" si="431"/>
        <v>64</v>
      </c>
      <c r="AS118" s="35">
        <f t="shared" si="304"/>
        <v>0</v>
      </c>
      <c r="AT118" s="301">
        <f t="shared" si="305"/>
        <v>5.5413543607296042E-2</v>
      </c>
      <c r="AU118" s="14">
        <f t="shared" si="432"/>
        <v>1165</v>
      </c>
      <c r="AV118" s="103">
        <f t="shared" si="469"/>
        <v>0</v>
      </c>
      <c r="AW118" s="46">
        <f t="shared" si="371"/>
        <v>1165</v>
      </c>
      <c r="AX118" s="51">
        <f t="shared" si="272"/>
        <v>86</v>
      </c>
      <c r="AY118" s="103">
        <f t="shared" si="470"/>
        <v>0</v>
      </c>
      <c r="AZ118" s="46">
        <f t="shared" si="308"/>
        <v>86</v>
      </c>
      <c r="BA118" s="316"/>
      <c r="BB118" s="120">
        <f t="shared" si="471"/>
        <v>19</v>
      </c>
      <c r="BC118" s="7">
        <f t="shared" si="472"/>
        <v>16</v>
      </c>
      <c r="BD118" s="133"/>
      <c r="BE118" s="221"/>
      <c r="BF118" s="14">
        <f t="shared" si="311"/>
        <v>94787</v>
      </c>
      <c r="BG118" s="46">
        <f t="shared" si="347"/>
        <v>94787</v>
      </c>
      <c r="BH118" s="134"/>
      <c r="BI118" s="135"/>
      <c r="BJ118" s="135"/>
      <c r="BK118" s="14">
        <f t="shared" si="348"/>
        <v>0</v>
      </c>
      <c r="BL118" s="14">
        <f t="shared" si="340"/>
        <v>5416</v>
      </c>
      <c r="BM118" s="14">
        <f t="shared" si="433"/>
        <v>0.16</v>
      </c>
      <c r="BN118" s="47">
        <f t="shared" si="312"/>
        <v>0</v>
      </c>
      <c r="BO118" s="35">
        <f t="shared" si="434"/>
        <v>4.160000000000001</v>
      </c>
      <c r="BP118" s="159">
        <f t="shared" si="313"/>
        <v>5.7138637154884107</v>
      </c>
      <c r="BQ118" s="142"/>
      <c r="BR118" s="13">
        <f t="shared" si="435"/>
        <v>64</v>
      </c>
      <c r="BS118" s="48">
        <f t="shared" si="336"/>
        <v>0</v>
      </c>
      <c r="BT118" s="49">
        <f t="shared" si="314"/>
        <v>7.2033724880284866E-2</v>
      </c>
      <c r="BU118" s="50">
        <f t="shared" si="436"/>
        <v>1165</v>
      </c>
      <c r="BV118" s="103">
        <f t="shared" si="473"/>
        <v>0</v>
      </c>
      <c r="BW118" s="46">
        <f t="shared" si="372"/>
        <v>1165</v>
      </c>
      <c r="BX118" s="51">
        <f t="shared" si="277"/>
        <v>86</v>
      </c>
      <c r="BY118" s="103">
        <f t="shared" si="474"/>
        <v>0</v>
      </c>
      <c r="BZ118" s="46">
        <f t="shared" si="317"/>
        <v>86</v>
      </c>
      <c r="CA118" s="316"/>
      <c r="CB118" s="120"/>
      <c r="CC118" s="7">
        <f t="shared" si="475"/>
        <v>16</v>
      </c>
      <c r="CD118" s="133"/>
      <c r="CE118" s="221"/>
      <c r="CF118" s="14">
        <f t="shared" si="319"/>
        <v>0</v>
      </c>
      <c r="CG118" s="46">
        <f t="shared" si="349"/>
        <v>0</v>
      </c>
      <c r="CH118" s="134"/>
      <c r="CI118" s="135"/>
      <c r="CJ118" s="135"/>
      <c r="CK118" s="14">
        <f t="shared" si="350"/>
        <v>0</v>
      </c>
      <c r="CL118" s="14">
        <f t="shared" si="341"/>
        <v>0</v>
      </c>
      <c r="CM118" s="14">
        <f t="shared" si="437"/>
        <v>0.16</v>
      </c>
      <c r="CN118" s="47">
        <f t="shared" si="320"/>
        <v>0</v>
      </c>
      <c r="CO118" s="35">
        <f t="shared" si="438"/>
        <v>4.160000000000001</v>
      </c>
      <c r="CP118" s="159">
        <f t="shared" si="321"/>
        <v>0</v>
      </c>
      <c r="CQ118" s="142"/>
      <c r="CR118" s="13">
        <f t="shared" si="439"/>
        <v>64</v>
      </c>
      <c r="CS118" s="48">
        <f t="shared" si="335"/>
        <v>0</v>
      </c>
      <c r="CT118" s="49">
        <f t="shared" si="322"/>
        <v>0</v>
      </c>
      <c r="CU118" s="50">
        <f t="shared" si="440"/>
        <v>1165</v>
      </c>
      <c r="CV118" s="103">
        <f t="shared" si="476"/>
        <v>0</v>
      </c>
      <c r="CW118" s="46">
        <f t="shared" si="373"/>
        <v>1165</v>
      </c>
      <c r="CX118" s="51">
        <f t="shared" si="282"/>
        <v>86</v>
      </c>
      <c r="CY118" s="103">
        <f t="shared" si="477"/>
        <v>0</v>
      </c>
      <c r="CZ118" s="46">
        <f t="shared" si="325"/>
        <v>86</v>
      </c>
      <c r="DA118" s="316"/>
      <c r="DB118" s="120"/>
      <c r="DC118" s="7">
        <f t="shared" si="478"/>
        <v>16</v>
      </c>
      <c r="DD118" s="133"/>
      <c r="DE118" s="221"/>
      <c r="DF118" s="14">
        <f t="shared" si="327"/>
        <v>0</v>
      </c>
      <c r="DG118" s="46">
        <f t="shared" si="351"/>
        <v>0</v>
      </c>
      <c r="DH118" s="134"/>
      <c r="DI118" s="135"/>
      <c r="DJ118" s="135"/>
      <c r="DK118" s="14">
        <f t="shared" si="352"/>
        <v>0</v>
      </c>
      <c r="DL118" s="14">
        <f t="shared" si="342"/>
        <v>0</v>
      </c>
      <c r="DM118" s="14">
        <f t="shared" si="441"/>
        <v>0.16</v>
      </c>
      <c r="DN118" s="47">
        <f t="shared" si="328"/>
        <v>0</v>
      </c>
      <c r="DO118" s="35">
        <f t="shared" si="442"/>
        <v>4.160000000000001</v>
      </c>
      <c r="DP118" s="159">
        <f t="shared" si="329"/>
        <v>0</v>
      </c>
      <c r="DQ118" s="142"/>
      <c r="DR118" s="13">
        <f t="shared" si="443"/>
        <v>64</v>
      </c>
      <c r="DS118" s="48">
        <f t="shared" si="337"/>
        <v>0</v>
      </c>
      <c r="DT118" s="49">
        <f t="shared" si="330"/>
        <v>0</v>
      </c>
      <c r="DU118" s="50">
        <f t="shared" si="444"/>
        <v>1165</v>
      </c>
      <c r="DV118" s="103">
        <f t="shared" si="479"/>
        <v>0</v>
      </c>
      <c r="DW118" s="46">
        <f t="shared" si="374"/>
        <v>1165</v>
      </c>
      <c r="DX118" s="51">
        <f t="shared" si="287"/>
        <v>86</v>
      </c>
      <c r="DY118" s="103">
        <f t="shared" si="480"/>
        <v>0</v>
      </c>
      <c r="DZ118" s="46">
        <f t="shared" si="333"/>
        <v>86</v>
      </c>
    </row>
    <row r="119" spans="2:130" ht="17.25" thickBot="1" x14ac:dyDescent="0.3">
      <c r="B119" s="197">
        <f t="shared" si="463"/>
        <v>20</v>
      </c>
      <c r="C119" s="116">
        <f t="shared" si="464"/>
        <v>16</v>
      </c>
      <c r="D119" s="136"/>
      <c r="E119" s="226"/>
      <c r="F119" s="109">
        <f t="shared" si="290"/>
        <v>93163</v>
      </c>
      <c r="G119" s="110">
        <f t="shared" si="343"/>
        <v>93163</v>
      </c>
      <c r="H119" s="137"/>
      <c r="I119" s="138"/>
      <c r="J119" s="138"/>
      <c r="K119" s="34">
        <f t="shared" si="344"/>
        <v>0</v>
      </c>
      <c r="L119" s="32">
        <f t="shared" si="338"/>
        <v>394</v>
      </c>
      <c r="M119" s="34">
        <f t="shared" si="264"/>
        <v>0.16</v>
      </c>
      <c r="N119" s="96">
        <f t="shared" si="291"/>
        <v>0</v>
      </c>
      <c r="O119" s="40">
        <f t="shared" si="292"/>
        <v>4.160000000000001</v>
      </c>
      <c r="P119" s="156">
        <f t="shared" si="293"/>
        <v>0.42291467642733704</v>
      </c>
      <c r="Q119" s="139"/>
      <c r="R119" s="15">
        <f t="shared" si="294"/>
        <v>64</v>
      </c>
      <c r="S119" s="54">
        <f t="shared" si="295"/>
        <v>0</v>
      </c>
      <c r="T119" s="55">
        <f t="shared" si="296"/>
        <v>0.11689245893777725</v>
      </c>
      <c r="U119" s="15">
        <f t="shared" si="265"/>
        <v>1165</v>
      </c>
      <c r="V119" s="109">
        <f t="shared" si="465"/>
        <v>0</v>
      </c>
      <c r="W119" s="63">
        <f t="shared" si="266"/>
        <v>1165</v>
      </c>
      <c r="X119" s="65">
        <f t="shared" si="267"/>
        <v>86</v>
      </c>
      <c r="Y119" s="109">
        <f t="shared" si="466"/>
        <v>0</v>
      </c>
      <c r="Z119" s="63">
        <f t="shared" si="299"/>
        <v>86</v>
      </c>
      <c r="AB119" s="197">
        <f t="shared" si="467"/>
        <v>22</v>
      </c>
      <c r="AC119" s="8">
        <f t="shared" si="468"/>
        <v>16</v>
      </c>
      <c r="AD119" s="136"/>
      <c r="AE119" s="226"/>
      <c r="AF119" s="32">
        <f t="shared" si="302"/>
        <v>91715</v>
      </c>
      <c r="AG119" s="63">
        <f t="shared" si="345"/>
        <v>91715</v>
      </c>
      <c r="AH119" s="137"/>
      <c r="AI119" s="138"/>
      <c r="AJ119" s="138"/>
      <c r="AK119" s="34">
        <f t="shared" si="346"/>
        <v>0</v>
      </c>
      <c r="AL119" s="32">
        <f t="shared" si="339"/>
        <v>3025</v>
      </c>
      <c r="AM119" s="32">
        <f t="shared" si="429"/>
        <v>0.16</v>
      </c>
      <c r="AN119" s="96">
        <f t="shared" si="303"/>
        <v>0</v>
      </c>
      <c r="AO119" s="36">
        <f t="shared" si="430"/>
        <v>4.160000000000001</v>
      </c>
      <c r="AP119" s="156">
        <f t="shared" si="334"/>
        <v>3.2982609169710515</v>
      </c>
      <c r="AQ119" s="139"/>
      <c r="AR119" s="32">
        <f t="shared" si="431"/>
        <v>64</v>
      </c>
      <c r="AS119" s="36">
        <f t="shared" si="304"/>
        <v>0</v>
      </c>
      <c r="AT119" s="304">
        <f t="shared" si="305"/>
        <v>5.5413543607296042E-2</v>
      </c>
      <c r="AU119" s="32">
        <f t="shared" si="432"/>
        <v>1165</v>
      </c>
      <c r="AV119" s="109">
        <f t="shared" si="469"/>
        <v>0</v>
      </c>
      <c r="AW119" s="63">
        <f t="shared" si="371"/>
        <v>1165</v>
      </c>
      <c r="AX119" s="65">
        <f t="shared" si="272"/>
        <v>86</v>
      </c>
      <c r="AY119" s="109">
        <f t="shared" si="470"/>
        <v>0</v>
      </c>
      <c r="AZ119" s="63">
        <f t="shared" si="308"/>
        <v>86</v>
      </c>
      <c r="BA119" s="316"/>
      <c r="BB119" s="197">
        <f t="shared" si="471"/>
        <v>20</v>
      </c>
      <c r="BC119" s="8">
        <f t="shared" si="472"/>
        <v>16</v>
      </c>
      <c r="BD119" s="136"/>
      <c r="BE119" s="226"/>
      <c r="BF119" s="32">
        <f t="shared" si="311"/>
        <v>94787</v>
      </c>
      <c r="BG119" s="63">
        <f t="shared" si="347"/>
        <v>94787</v>
      </c>
      <c r="BH119" s="137"/>
      <c r="BI119" s="138"/>
      <c r="BJ119" s="138"/>
      <c r="BK119" s="34">
        <f t="shared" si="348"/>
        <v>0</v>
      </c>
      <c r="BL119" s="32">
        <f t="shared" si="340"/>
        <v>5416</v>
      </c>
      <c r="BM119" s="32">
        <f t="shared" si="433"/>
        <v>0.16</v>
      </c>
      <c r="BN119" s="166">
        <f t="shared" si="312"/>
        <v>0</v>
      </c>
      <c r="BO119" s="40">
        <f t="shared" si="434"/>
        <v>4.160000000000001</v>
      </c>
      <c r="BP119" s="167">
        <f t="shared" si="313"/>
        <v>5.7138637154884107</v>
      </c>
      <c r="BQ119" s="139"/>
      <c r="BR119" s="32">
        <f t="shared" si="435"/>
        <v>64</v>
      </c>
      <c r="BS119" s="54">
        <f t="shared" si="336"/>
        <v>0</v>
      </c>
      <c r="BT119" s="55">
        <f t="shared" si="314"/>
        <v>7.2033724880284866E-2</v>
      </c>
      <c r="BU119" s="56">
        <f t="shared" si="436"/>
        <v>1165</v>
      </c>
      <c r="BV119" s="109">
        <f t="shared" si="473"/>
        <v>0</v>
      </c>
      <c r="BW119" s="63">
        <f t="shared" si="372"/>
        <v>1165</v>
      </c>
      <c r="BX119" s="65">
        <f t="shared" si="277"/>
        <v>86</v>
      </c>
      <c r="BY119" s="109">
        <f t="shared" si="474"/>
        <v>0</v>
      </c>
      <c r="BZ119" s="63">
        <f t="shared" si="317"/>
        <v>86</v>
      </c>
      <c r="CA119" s="316"/>
      <c r="CB119" s="119"/>
      <c r="CC119" s="95">
        <f t="shared" si="475"/>
        <v>16</v>
      </c>
      <c r="CD119" s="203"/>
      <c r="CE119" s="225"/>
      <c r="CF119" s="13">
        <f t="shared" si="319"/>
        <v>0</v>
      </c>
      <c r="CG119" s="62">
        <f t="shared" si="349"/>
        <v>0</v>
      </c>
      <c r="CH119" s="204"/>
      <c r="CI119" s="205"/>
      <c r="CJ119" s="205"/>
      <c r="CK119" s="31">
        <f t="shared" si="350"/>
        <v>0</v>
      </c>
      <c r="CL119" s="13">
        <f t="shared" si="341"/>
        <v>0</v>
      </c>
      <c r="CM119" s="13">
        <f t="shared" si="437"/>
        <v>0.16</v>
      </c>
      <c r="CN119" s="230">
        <f t="shared" si="320"/>
        <v>0</v>
      </c>
      <c r="CO119" s="161">
        <f t="shared" si="438"/>
        <v>4.160000000000001</v>
      </c>
      <c r="CP119" s="157">
        <f t="shared" si="321"/>
        <v>0</v>
      </c>
      <c r="CQ119" s="237"/>
      <c r="CR119" s="13">
        <f t="shared" si="439"/>
        <v>64</v>
      </c>
      <c r="CS119" s="67">
        <f t="shared" si="335"/>
        <v>0</v>
      </c>
      <c r="CT119" s="196">
        <f t="shared" si="322"/>
        <v>0</v>
      </c>
      <c r="CU119" s="50">
        <f t="shared" si="440"/>
        <v>1165</v>
      </c>
      <c r="CV119" s="202">
        <f t="shared" si="476"/>
        <v>0</v>
      </c>
      <c r="CW119" s="62">
        <f t="shared" si="373"/>
        <v>1165</v>
      </c>
      <c r="CX119" s="52">
        <f t="shared" si="282"/>
        <v>86</v>
      </c>
      <c r="CY119" s="202">
        <f t="shared" si="477"/>
        <v>0</v>
      </c>
      <c r="CZ119" s="62">
        <f t="shared" si="325"/>
        <v>86</v>
      </c>
      <c r="DA119" s="316"/>
      <c r="DB119" s="197"/>
      <c r="DC119" s="8">
        <f t="shared" si="478"/>
        <v>16</v>
      </c>
      <c r="DD119" s="136"/>
      <c r="DE119" s="226"/>
      <c r="DF119" s="32">
        <f t="shared" si="327"/>
        <v>0</v>
      </c>
      <c r="DG119" s="63">
        <f t="shared" si="351"/>
        <v>0</v>
      </c>
      <c r="DH119" s="137"/>
      <c r="DI119" s="138"/>
      <c r="DJ119" s="138"/>
      <c r="DK119" s="34">
        <f t="shared" si="352"/>
        <v>0</v>
      </c>
      <c r="DL119" s="32">
        <f t="shared" si="342"/>
        <v>0</v>
      </c>
      <c r="DM119" s="32">
        <f t="shared" si="441"/>
        <v>0.16</v>
      </c>
      <c r="DN119" s="96">
        <f t="shared" si="328"/>
        <v>0</v>
      </c>
      <c r="DO119" s="36">
        <f t="shared" si="442"/>
        <v>4.160000000000001</v>
      </c>
      <c r="DP119" s="156">
        <f t="shared" si="329"/>
        <v>0</v>
      </c>
      <c r="DQ119" s="139"/>
      <c r="DR119" s="32">
        <f t="shared" si="443"/>
        <v>64</v>
      </c>
      <c r="DS119" s="54">
        <f t="shared" si="337"/>
        <v>0</v>
      </c>
      <c r="DT119" s="55">
        <f t="shared" si="330"/>
        <v>0</v>
      </c>
      <c r="DU119" s="56">
        <f t="shared" si="444"/>
        <v>1165</v>
      </c>
      <c r="DV119" s="109">
        <f t="shared" si="479"/>
        <v>0</v>
      </c>
      <c r="DW119" s="63">
        <f t="shared" si="374"/>
        <v>1165</v>
      </c>
      <c r="DX119" s="65">
        <f t="shared" si="287"/>
        <v>86</v>
      </c>
      <c r="DY119" s="109">
        <f t="shared" si="480"/>
        <v>0</v>
      </c>
      <c r="DZ119" s="63">
        <f t="shared" si="333"/>
        <v>86</v>
      </c>
    </row>
    <row r="120" spans="2:130" x14ac:dyDescent="0.25">
      <c r="B120" s="198">
        <v>21</v>
      </c>
      <c r="C120" s="117">
        <v>17</v>
      </c>
      <c r="D120" s="143"/>
      <c r="E120" s="227"/>
      <c r="F120" s="112">
        <f t="shared" si="290"/>
        <v>93163</v>
      </c>
      <c r="G120" s="108">
        <f t="shared" si="343"/>
        <v>93163</v>
      </c>
      <c r="H120" s="144"/>
      <c r="I120" s="141"/>
      <c r="J120" s="141"/>
      <c r="K120" s="31">
        <f t="shared" si="344"/>
        <v>0</v>
      </c>
      <c r="L120" s="17">
        <f t="shared" si="338"/>
        <v>394</v>
      </c>
      <c r="M120" s="17">
        <f t="shared" si="264"/>
        <v>0.16</v>
      </c>
      <c r="N120" s="235">
        <f t="shared" si="291"/>
        <v>0</v>
      </c>
      <c r="O120" s="33">
        <f t="shared" si="292"/>
        <v>4.3200000000000012</v>
      </c>
      <c r="P120" s="210">
        <f t="shared" si="293"/>
        <v>0.42291467642733704</v>
      </c>
      <c r="Q120" s="145"/>
      <c r="R120" s="12">
        <f t="shared" si="294"/>
        <v>70</v>
      </c>
      <c r="S120" s="60">
        <f t="shared" si="295"/>
        <v>0</v>
      </c>
      <c r="T120" s="72">
        <f t="shared" si="296"/>
        <v>0.11689245893777725</v>
      </c>
      <c r="U120" s="39">
        <f t="shared" si="265"/>
        <v>1204</v>
      </c>
      <c r="V120" s="141"/>
      <c r="W120" s="71">
        <f t="shared" si="266"/>
        <v>1204</v>
      </c>
      <c r="X120" s="61">
        <f t="shared" si="267"/>
        <v>86</v>
      </c>
      <c r="Y120" s="141"/>
      <c r="Z120" s="71">
        <f t="shared" si="299"/>
        <v>86</v>
      </c>
      <c r="AB120" s="198">
        <v>23</v>
      </c>
      <c r="AC120" s="38">
        <v>17</v>
      </c>
      <c r="AD120" s="143"/>
      <c r="AE120" s="227"/>
      <c r="AF120" s="17">
        <f t="shared" si="302"/>
        <v>91715</v>
      </c>
      <c r="AG120" s="62">
        <f t="shared" si="345"/>
        <v>91715</v>
      </c>
      <c r="AH120" s="144"/>
      <c r="AI120" s="141"/>
      <c r="AJ120" s="141"/>
      <c r="AK120" s="31">
        <f t="shared" si="346"/>
        <v>0</v>
      </c>
      <c r="AL120" s="17">
        <f t="shared" si="339"/>
        <v>3025</v>
      </c>
      <c r="AM120" s="17">
        <f t="shared" si="429"/>
        <v>0.16</v>
      </c>
      <c r="AN120" s="231">
        <f t="shared" si="303"/>
        <v>0</v>
      </c>
      <c r="AO120" s="37">
        <f t="shared" si="430"/>
        <v>4.3200000000000012</v>
      </c>
      <c r="AP120" s="155">
        <f t="shared" si="334"/>
        <v>3.2982609169710515</v>
      </c>
      <c r="AQ120" s="145"/>
      <c r="AR120" s="17">
        <f t="shared" si="431"/>
        <v>70</v>
      </c>
      <c r="AS120" s="33">
        <f t="shared" si="304"/>
        <v>0</v>
      </c>
      <c r="AT120" s="305">
        <f t="shared" si="305"/>
        <v>5.5413543607296042E-2</v>
      </c>
      <c r="AU120" s="17">
        <f t="shared" si="432"/>
        <v>1204</v>
      </c>
      <c r="AV120" s="141"/>
      <c r="AW120" s="71">
        <f t="shared" si="371"/>
        <v>1204</v>
      </c>
      <c r="AX120" s="61">
        <f t="shared" si="272"/>
        <v>86</v>
      </c>
      <c r="AY120" s="141"/>
      <c r="AZ120" s="71">
        <f t="shared" si="308"/>
        <v>86</v>
      </c>
      <c r="BA120" s="316"/>
      <c r="BB120" s="198">
        <v>21</v>
      </c>
      <c r="BC120" s="38">
        <v>17</v>
      </c>
      <c r="BD120" s="143"/>
      <c r="BE120" s="227"/>
      <c r="BF120" s="17">
        <f t="shared" si="311"/>
        <v>94787</v>
      </c>
      <c r="BG120" s="62">
        <f t="shared" si="347"/>
        <v>94787</v>
      </c>
      <c r="BH120" s="144"/>
      <c r="BI120" s="141"/>
      <c r="BJ120" s="141"/>
      <c r="BK120" s="31">
        <f t="shared" si="348"/>
        <v>0</v>
      </c>
      <c r="BL120" s="17">
        <f t="shared" si="340"/>
        <v>5416</v>
      </c>
      <c r="BM120" s="17">
        <f t="shared" si="433"/>
        <v>0.16</v>
      </c>
      <c r="BN120" s="235">
        <f t="shared" si="312"/>
        <v>0</v>
      </c>
      <c r="BO120" s="33">
        <f t="shared" si="434"/>
        <v>4.3200000000000012</v>
      </c>
      <c r="BP120" s="210">
        <f t="shared" si="313"/>
        <v>5.7138637154884107</v>
      </c>
      <c r="BQ120" s="145"/>
      <c r="BR120" s="31">
        <f t="shared" si="435"/>
        <v>70</v>
      </c>
      <c r="BS120" s="60">
        <f t="shared" si="336"/>
        <v>0</v>
      </c>
      <c r="BT120" s="72">
        <f t="shared" si="314"/>
        <v>7.2033724880284866E-2</v>
      </c>
      <c r="BU120" s="52">
        <f t="shared" si="436"/>
        <v>1204</v>
      </c>
      <c r="BV120" s="141"/>
      <c r="BW120" s="71">
        <f t="shared" si="372"/>
        <v>1204</v>
      </c>
      <c r="BX120" s="61">
        <f t="shared" si="277"/>
        <v>86</v>
      </c>
      <c r="BY120" s="141"/>
      <c r="BZ120" s="71">
        <f t="shared" si="317"/>
        <v>86</v>
      </c>
      <c r="CA120" s="316"/>
      <c r="CB120" s="118"/>
      <c r="CC120" s="9">
        <v>17</v>
      </c>
      <c r="CD120" s="129"/>
      <c r="CE120" s="224"/>
      <c r="CF120" s="11">
        <f t="shared" si="319"/>
        <v>0</v>
      </c>
      <c r="CG120" s="57">
        <f t="shared" si="349"/>
        <v>0</v>
      </c>
      <c r="CH120" s="130"/>
      <c r="CI120" s="131"/>
      <c r="CJ120" s="131"/>
      <c r="CK120" s="16">
        <f t="shared" si="350"/>
        <v>0</v>
      </c>
      <c r="CL120" s="11">
        <f t="shared" si="341"/>
        <v>0</v>
      </c>
      <c r="CM120" s="11">
        <f t="shared" si="437"/>
        <v>0.16</v>
      </c>
      <c r="CN120" s="42">
        <f t="shared" si="320"/>
        <v>0</v>
      </c>
      <c r="CO120" s="21">
        <f t="shared" si="438"/>
        <v>4.3200000000000012</v>
      </c>
      <c r="CP120" s="165">
        <f t="shared" si="321"/>
        <v>0</v>
      </c>
      <c r="CQ120" s="158"/>
      <c r="CR120" s="16">
        <f t="shared" si="439"/>
        <v>70</v>
      </c>
      <c r="CS120" s="43">
        <f t="shared" si="335"/>
        <v>0</v>
      </c>
      <c r="CT120" s="44">
        <f t="shared" si="322"/>
        <v>0</v>
      </c>
      <c r="CU120" s="45">
        <f t="shared" si="440"/>
        <v>1204</v>
      </c>
      <c r="CV120" s="131"/>
      <c r="CW120" s="41">
        <f t="shared" si="373"/>
        <v>1204</v>
      </c>
      <c r="CX120" s="58">
        <f t="shared" si="282"/>
        <v>86</v>
      </c>
      <c r="CY120" s="131"/>
      <c r="CZ120" s="41">
        <f t="shared" si="325"/>
        <v>86</v>
      </c>
      <c r="DA120" s="316"/>
      <c r="DB120" s="118"/>
      <c r="DC120" s="9">
        <v>17</v>
      </c>
      <c r="DD120" s="129"/>
      <c r="DE120" s="224"/>
      <c r="DF120" s="11">
        <f t="shared" si="327"/>
        <v>0</v>
      </c>
      <c r="DG120" s="57">
        <f t="shared" si="351"/>
        <v>0</v>
      </c>
      <c r="DH120" s="130"/>
      <c r="DI120" s="131"/>
      <c r="DJ120" s="131"/>
      <c r="DK120" s="16">
        <f t="shared" si="352"/>
        <v>0</v>
      </c>
      <c r="DL120" s="11">
        <f t="shared" si="342"/>
        <v>0</v>
      </c>
      <c r="DM120" s="11">
        <f t="shared" si="441"/>
        <v>0.16</v>
      </c>
      <c r="DN120" s="42">
        <f t="shared" si="328"/>
        <v>0</v>
      </c>
      <c r="DO120" s="21">
        <f t="shared" si="442"/>
        <v>4.3200000000000012</v>
      </c>
      <c r="DP120" s="165">
        <f t="shared" si="329"/>
        <v>0</v>
      </c>
      <c r="DQ120" s="158"/>
      <c r="DR120" s="16">
        <f t="shared" si="443"/>
        <v>70</v>
      </c>
      <c r="DS120" s="43">
        <f t="shared" si="337"/>
        <v>0</v>
      </c>
      <c r="DT120" s="44">
        <f t="shared" si="330"/>
        <v>0</v>
      </c>
      <c r="DU120" s="45">
        <f t="shared" si="444"/>
        <v>1204</v>
      </c>
      <c r="DV120" s="131"/>
      <c r="DW120" s="41">
        <f t="shared" si="374"/>
        <v>1204</v>
      </c>
      <c r="DX120" s="58">
        <f t="shared" si="287"/>
        <v>86</v>
      </c>
      <c r="DY120" s="131"/>
      <c r="DZ120" s="41">
        <f t="shared" si="333"/>
        <v>86</v>
      </c>
    </row>
    <row r="121" spans="2:130" x14ac:dyDescent="0.25">
      <c r="B121" s="120">
        <f>B120+1</f>
        <v>22</v>
      </c>
      <c r="C121" s="115">
        <f>C120</f>
        <v>17</v>
      </c>
      <c r="D121" s="133"/>
      <c r="E121" s="221"/>
      <c r="F121" s="103">
        <f t="shared" si="290"/>
        <v>93163</v>
      </c>
      <c r="G121" s="104">
        <f t="shared" si="343"/>
        <v>93163</v>
      </c>
      <c r="H121" s="134"/>
      <c r="I121" s="135"/>
      <c r="J121" s="135"/>
      <c r="K121" s="13">
        <f t="shared" si="344"/>
        <v>0</v>
      </c>
      <c r="L121" s="14">
        <f t="shared" si="338"/>
        <v>394</v>
      </c>
      <c r="M121" s="14">
        <f t="shared" si="264"/>
        <v>0.16</v>
      </c>
      <c r="N121" s="47">
        <f t="shared" si="291"/>
        <v>0</v>
      </c>
      <c r="O121" s="35">
        <f t="shared" si="292"/>
        <v>4.3200000000000012</v>
      </c>
      <c r="P121" s="159">
        <f t="shared" si="293"/>
        <v>0.42291467642733704</v>
      </c>
      <c r="Q121" s="142"/>
      <c r="R121" s="13">
        <f t="shared" si="294"/>
        <v>70</v>
      </c>
      <c r="S121" s="48">
        <f t="shared" si="295"/>
        <v>0</v>
      </c>
      <c r="T121" s="49">
        <f t="shared" si="296"/>
        <v>0.11689245893777725</v>
      </c>
      <c r="U121" s="160">
        <f t="shared" si="265"/>
        <v>1204</v>
      </c>
      <c r="V121" s="103">
        <f>V120</f>
        <v>0</v>
      </c>
      <c r="W121" s="46">
        <f t="shared" si="266"/>
        <v>1204</v>
      </c>
      <c r="X121" s="51">
        <f t="shared" si="267"/>
        <v>86</v>
      </c>
      <c r="Y121" s="103">
        <f>Y120</f>
        <v>0</v>
      </c>
      <c r="Z121" s="46">
        <f t="shared" si="299"/>
        <v>86</v>
      </c>
      <c r="AB121" s="120">
        <f>AB120+1</f>
        <v>24</v>
      </c>
      <c r="AC121" s="7">
        <f>AC120</f>
        <v>17</v>
      </c>
      <c r="AD121" s="133"/>
      <c r="AE121" s="221"/>
      <c r="AF121" s="14">
        <f t="shared" si="302"/>
        <v>91715</v>
      </c>
      <c r="AG121" s="46">
        <f t="shared" si="345"/>
        <v>91715</v>
      </c>
      <c r="AH121" s="134"/>
      <c r="AI121" s="135"/>
      <c r="AJ121" s="135"/>
      <c r="AK121" s="13">
        <f t="shared" si="346"/>
        <v>0</v>
      </c>
      <c r="AL121" s="14">
        <f t="shared" si="339"/>
        <v>3025</v>
      </c>
      <c r="AM121" s="14">
        <f t="shared" si="429"/>
        <v>0.16</v>
      </c>
      <c r="AN121" s="47">
        <f t="shared" si="303"/>
        <v>0</v>
      </c>
      <c r="AO121" s="35">
        <f t="shared" si="430"/>
        <v>4.3200000000000012</v>
      </c>
      <c r="AP121" s="159">
        <f t="shared" si="334"/>
        <v>3.2982609169710515</v>
      </c>
      <c r="AQ121" s="142"/>
      <c r="AR121" s="14">
        <f t="shared" si="431"/>
        <v>70</v>
      </c>
      <c r="AS121" s="35">
        <f t="shared" si="304"/>
        <v>0</v>
      </c>
      <c r="AT121" s="301">
        <f t="shared" si="305"/>
        <v>5.5413543607296042E-2</v>
      </c>
      <c r="AU121" s="14">
        <f t="shared" si="432"/>
        <v>1204</v>
      </c>
      <c r="AV121" s="103">
        <f>AV120</f>
        <v>0</v>
      </c>
      <c r="AW121" s="46">
        <f t="shared" si="371"/>
        <v>1204</v>
      </c>
      <c r="AX121" s="51">
        <f t="shared" si="272"/>
        <v>86</v>
      </c>
      <c r="AY121" s="103">
        <f>AY120</f>
        <v>0</v>
      </c>
      <c r="AZ121" s="46">
        <f t="shared" si="308"/>
        <v>86</v>
      </c>
      <c r="BA121" s="316"/>
      <c r="BB121" s="120">
        <f>BB120+1</f>
        <v>22</v>
      </c>
      <c r="BC121" s="7">
        <f>BC120</f>
        <v>17</v>
      </c>
      <c r="BD121" s="133"/>
      <c r="BE121" s="221"/>
      <c r="BF121" s="14">
        <f t="shared" si="311"/>
        <v>94787</v>
      </c>
      <c r="BG121" s="46">
        <f t="shared" si="347"/>
        <v>94787</v>
      </c>
      <c r="BH121" s="134"/>
      <c r="BI121" s="135"/>
      <c r="BJ121" s="135"/>
      <c r="BK121" s="13">
        <f t="shared" si="348"/>
        <v>0</v>
      </c>
      <c r="BL121" s="14">
        <f t="shared" si="340"/>
        <v>5416</v>
      </c>
      <c r="BM121" s="14">
        <f t="shared" si="433"/>
        <v>0.16</v>
      </c>
      <c r="BN121" s="47">
        <f t="shared" si="312"/>
        <v>0</v>
      </c>
      <c r="BO121" s="35">
        <f t="shared" si="434"/>
        <v>4.3200000000000012</v>
      </c>
      <c r="BP121" s="159">
        <f t="shared" si="313"/>
        <v>5.7138637154884107</v>
      </c>
      <c r="BQ121" s="142"/>
      <c r="BR121" s="13">
        <f t="shared" si="435"/>
        <v>70</v>
      </c>
      <c r="BS121" s="48">
        <f t="shared" si="336"/>
        <v>0</v>
      </c>
      <c r="BT121" s="49">
        <f t="shared" si="314"/>
        <v>7.2033724880284866E-2</v>
      </c>
      <c r="BU121" s="50">
        <f t="shared" si="436"/>
        <v>1204</v>
      </c>
      <c r="BV121" s="103">
        <f>BV120</f>
        <v>0</v>
      </c>
      <c r="BW121" s="46">
        <f t="shared" si="372"/>
        <v>1204</v>
      </c>
      <c r="BX121" s="51">
        <f t="shared" si="277"/>
        <v>86</v>
      </c>
      <c r="BY121" s="103">
        <f>BY120</f>
        <v>0</v>
      </c>
      <c r="BZ121" s="46">
        <f t="shared" si="317"/>
        <v>86</v>
      </c>
      <c r="CA121" s="316"/>
      <c r="CB121" s="120"/>
      <c r="CC121" s="7">
        <f>CC120</f>
        <v>17</v>
      </c>
      <c r="CD121" s="133"/>
      <c r="CE121" s="221"/>
      <c r="CF121" s="14">
        <f t="shared" si="319"/>
        <v>0</v>
      </c>
      <c r="CG121" s="46">
        <f t="shared" si="349"/>
        <v>0</v>
      </c>
      <c r="CH121" s="134"/>
      <c r="CI121" s="135"/>
      <c r="CJ121" s="135"/>
      <c r="CK121" s="13">
        <f t="shared" si="350"/>
        <v>0</v>
      </c>
      <c r="CL121" s="14">
        <f t="shared" si="341"/>
        <v>0</v>
      </c>
      <c r="CM121" s="14">
        <f t="shared" si="437"/>
        <v>0.16</v>
      </c>
      <c r="CN121" s="47">
        <f t="shared" si="320"/>
        <v>0</v>
      </c>
      <c r="CO121" s="35">
        <f t="shared" si="438"/>
        <v>4.3200000000000012</v>
      </c>
      <c r="CP121" s="159">
        <f t="shared" si="321"/>
        <v>0</v>
      </c>
      <c r="CQ121" s="142"/>
      <c r="CR121" s="13">
        <f t="shared" si="439"/>
        <v>70</v>
      </c>
      <c r="CS121" s="48">
        <f t="shared" si="335"/>
        <v>0</v>
      </c>
      <c r="CT121" s="49">
        <f t="shared" si="322"/>
        <v>0</v>
      </c>
      <c r="CU121" s="50">
        <f t="shared" si="440"/>
        <v>1204</v>
      </c>
      <c r="CV121" s="103">
        <f>CV120</f>
        <v>0</v>
      </c>
      <c r="CW121" s="46">
        <f t="shared" si="373"/>
        <v>1204</v>
      </c>
      <c r="CX121" s="51">
        <f t="shared" si="282"/>
        <v>86</v>
      </c>
      <c r="CY121" s="103">
        <f>CY120</f>
        <v>0</v>
      </c>
      <c r="CZ121" s="46">
        <f t="shared" si="325"/>
        <v>86</v>
      </c>
      <c r="DA121" s="316"/>
      <c r="DB121" s="120"/>
      <c r="DC121" s="7">
        <f>DC120</f>
        <v>17</v>
      </c>
      <c r="DD121" s="133"/>
      <c r="DE121" s="221"/>
      <c r="DF121" s="14">
        <f t="shared" si="327"/>
        <v>0</v>
      </c>
      <c r="DG121" s="46">
        <f t="shared" si="351"/>
        <v>0</v>
      </c>
      <c r="DH121" s="134"/>
      <c r="DI121" s="135"/>
      <c r="DJ121" s="135"/>
      <c r="DK121" s="13">
        <f t="shared" si="352"/>
        <v>0</v>
      </c>
      <c r="DL121" s="14">
        <f t="shared" si="342"/>
        <v>0</v>
      </c>
      <c r="DM121" s="14">
        <f t="shared" si="441"/>
        <v>0.16</v>
      </c>
      <c r="DN121" s="47">
        <f t="shared" si="328"/>
        <v>0</v>
      </c>
      <c r="DO121" s="35">
        <f t="shared" si="442"/>
        <v>4.3200000000000012</v>
      </c>
      <c r="DP121" s="159">
        <f t="shared" si="329"/>
        <v>0</v>
      </c>
      <c r="DQ121" s="142"/>
      <c r="DR121" s="13">
        <f t="shared" si="443"/>
        <v>70</v>
      </c>
      <c r="DS121" s="48">
        <f t="shared" si="337"/>
        <v>0</v>
      </c>
      <c r="DT121" s="49">
        <f t="shared" si="330"/>
        <v>0</v>
      </c>
      <c r="DU121" s="50">
        <f t="shared" si="444"/>
        <v>1204</v>
      </c>
      <c r="DV121" s="103">
        <f>DV120</f>
        <v>0</v>
      </c>
      <c r="DW121" s="46">
        <f t="shared" si="374"/>
        <v>1204</v>
      </c>
      <c r="DX121" s="51">
        <f t="shared" si="287"/>
        <v>86</v>
      </c>
      <c r="DY121" s="103">
        <f>DY120</f>
        <v>0</v>
      </c>
      <c r="DZ121" s="46">
        <f t="shared" si="333"/>
        <v>86</v>
      </c>
    </row>
    <row r="122" spans="2:130" x14ac:dyDescent="0.25">
      <c r="B122" s="120">
        <f t="shared" ref="B122:B126" si="481">B121+1</f>
        <v>23</v>
      </c>
      <c r="C122" s="115">
        <f t="shared" ref="C122:C126" si="482">C121</f>
        <v>17</v>
      </c>
      <c r="D122" s="133"/>
      <c r="E122" s="221"/>
      <c r="F122" s="103">
        <f t="shared" si="290"/>
        <v>93163</v>
      </c>
      <c r="G122" s="108">
        <f t="shared" si="343"/>
        <v>93163</v>
      </c>
      <c r="H122" s="134"/>
      <c r="I122" s="135"/>
      <c r="J122" s="135"/>
      <c r="K122" s="13">
        <f t="shared" si="344"/>
        <v>0</v>
      </c>
      <c r="L122" s="14">
        <f t="shared" si="338"/>
        <v>394</v>
      </c>
      <c r="M122" s="14">
        <f t="shared" si="264"/>
        <v>0.16</v>
      </c>
      <c r="N122" s="47">
        <f t="shared" si="291"/>
        <v>0</v>
      </c>
      <c r="O122" s="35">
        <f t="shared" si="292"/>
        <v>4.3200000000000012</v>
      </c>
      <c r="P122" s="159">
        <f t="shared" si="293"/>
        <v>0.42291467642733704</v>
      </c>
      <c r="Q122" s="142"/>
      <c r="R122" s="13">
        <f t="shared" si="294"/>
        <v>70</v>
      </c>
      <c r="S122" s="48">
        <f t="shared" si="295"/>
        <v>0</v>
      </c>
      <c r="T122" s="49">
        <f t="shared" si="296"/>
        <v>0.11689245893777725</v>
      </c>
      <c r="U122" s="160">
        <f t="shared" si="265"/>
        <v>1204</v>
      </c>
      <c r="V122" s="103">
        <f t="shared" ref="V122:V126" si="483">V121</f>
        <v>0</v>
      </c>
      <c r="W122" s="46">
        <f t="shared" si="266"/>
        <v>1204</v>
      </c>
      <c r="X122" s="51">
        <f t="shared" si="267"/>
        <v>86</v>
      </c>
      <c r="Y122" s="103">
        <f t="shared" ref="Y122:Y126" si="484">Y121</f>
        <v>0</v>
      </c>
      <c r="Z122" s="46">
        <f t="shared" si="299"/>
        <v>86</v>
      </c>
      <c r="AB122" s="120">
        <f t="shared" ref="AB122:AB126" si="485">AB121+1</f>
        <v>25</v>
      </c>
      <c r="AC122" s="7">
        <f t="shared" ref="AC122:AC126" si="486">AC121</f>
        <v>17</v>
      </c>
      <c r="AD122" s="133"/>
      <c r="AE122" s="221"/>
      <c r="AF122" s="14">
        <f t="shared" si="302"/>
        <v>91715</v>
      </c>
      <c r="AG122" s="62">
        <f t="shared" si="345"/>
        <v>91715</v>
      </c>
      <c r="AH122" s="134"/>
      <c r="AI122" s="135"/>
      <c r="AJ122" s="135"/>
      <c r="AK122" s="13">
        <f t="shared" si="346"/>
        <v>0</v>
      </c>
      <c r="AL122" s="14">
        <f t="shared" si="339"/>
        <v>3025</v>
      </c>
      <c r="AM122" s="14">
        <f t="shared" si="429"/>
        <v>0.16</v>
      </c>
      <c r="AN122" s="47">
        <f t="shared" si="303"/>
        <v>0</v>
      </c>
      <c r="AO122" s="35">
        <f t="shared" si="430"/>
        <v>4.3200000000000012</v>
      </c>
      <c r="AP122" s="159">
        <f t="shared" si="334"/>
        <v>3.2982609169710515</v>
      </c>
      <c r="AQ122" s="142"/>
      <c r="AR122" s="14">
        <f t="shared" si="431"/>
        <v>70</v>
      </c>
      <c r="AS122" s="35">
        <f t="shared" si="304"/>
        <v>0</v>
      </c>
      <c r="AT122" s="301">
        <f t="shared" si="305"/>
        <v>5.5413543607296042E-2</v>
      </c>
      <c r="AU122" s="14">
        <f t="shared" si="432"/>
        <v>1204</v>
      </c>
      <c r="AV122" s="103">
        <f t="shared" ref="AV122:AV126" si="487">AV121</f>
        <v>0</v>
      </c>
      <c r="AW122" s="46">
        <f t="shared" si="371"/>
        <v>1204</v>
      </c>
      <c r="AX122" s="51">
        <f t="shared" si="272"/>
        <v>86</v>
      </c>
      <c r="AY122" s="103">
        <f t="shared" ref="AY122:AY126" si="488">AY121</f>
        <v>0</v>
      </c>
      <c r="AZ122" s="46">
        <f t="shared" si="308"/>
        <v>86</v>
      </c>
      <c r="BA122" s="316"/>
      <c r="BB122" s="120">
        <f t="shared" ref="BB122:BB126" si="489">BB121+1</f>
        <v>23</v>
      </c>
      <c r="BC122" s="7">
        <f t="shared" ref="BC122:BC126" si="490">BC121</f>
        <v>17</v>
      </c>
      <c r="BD122" s="133"/>
      <c r="BE122" s="221"/>
      <c r="BF122" s="14">
        <f t="shared" si="311"/>
        <v>94787</v>
      </c>
      <c r="BG122" s="62">
        <f t="shared" si="347"/>
        <v>94787</v>
      </c>
      <c r="BH122" s="134"/>
      <c r="BI122" s="135"/>
      <c r="BJ122" s="135"/>
      <c r="BK122" s="13">
        <f t="shared" si="348"/>
        <v>0</v>
      </c>
      <c r="BL122" s="14">
        <f t="shared" si="340"/>
        <v>5416</v>
      </c>
      <c r="BM122" s="14">
        <f t="shared" si="433"/>
        <v>0.16</v>
      </c>
      <c r="BN122" s="47">
        <f t="shared" si="312"/>
        <v>0</v>
      </c>
      <c r="BO122" s="35">
        <f t="shared" si="434"/>
        <v>4.3200000000000012</v>
      </c>
      <c r="BP122" s="159">
        <f t="shared" si="313"/>
        <v>5.7138637154884107</v>
      </c>
      <c r="BQ122" s="142"/>
      <c r="BR122" s="13">
        <f t="shared" si="435"/>
        <v>70</v>
      </c>
      <c r="BS122" s="48">
        <f t="shared" si="336"/>
        <v>0</v>
      </c>
      <c r="BT122" s="49">
        <f t="shared" si="314"/>
        <v>7.2033724880284866E-2</v>
      </c>
      <c r="BU122" s="50">
        <f t="shared" si="436"/>
        <v>1204</v>
      </c>
      <c r="BV122" s="103">
        <f t="shared" ref="BV122:BV126" si="491">BV121</f>
        <v>0</v>
      </c>
      <c r="BW122" s="46">
        <f t="shared" si="372"/>
        <v>1204</v>
      </c>
      <c r="BX122" s="51">
        <f t="shared" si="277"/>
        <v>86</v>
      </c>
      <c r="BY122" s="103">
        <f t="shared" ref="BY122:BY126" si="492">BY121</f>
        <v>0</v>
      </c>
      <c r="BZ122" s="46">
        <f t="shared" si="317"/>
        <v>86</v>
      </c>
      <c r="CA122" s="316"/>
      <c r="CB122" s="120"/>
      <c r="CC122" s="7">
        <f t="shared" ref="CC122:CC126" si="493">CC121</f>
        <v>17</v>
      </c>
      <c r="CD122" s="133"/>
      <c r="CE122" s="221"/>
      <c r="CF122" s="14">
        <f t="shared" si="319"/>
        <v>0</v>
      </c>
      <c r="CG122" s="62">
        <f t="shared" si="349"/>
        <v>0</v>
      </c>
      <c r="CH122" s="134"/>
      <c r="CI122" s="135"/>
      <c r="CJ122" s="135"/>
      <c r="CK122" s="13">
        <f t="shared" si="350"/>
        <v>0</v>
      </c>
      <c r="CL122" s="14">
        <f t="shared" si="341"/>
        <v>0</v>
      </c>
      <c r="CM122" s="14">
        <f t="shared" si="437"/>
        <v>0.16</v>
      </c>
      <c r="CN122" s="47">
        <f t="shared" si="320"/>
        <v>0</v>
      </c>
      <c r="CO122" s="35">
        <f t="shared" si="438"/>
        <v>4.3200000000000012</v>
      </c>
      <c r="CP122" s="159">
        <f t="shared" si="321"/>
        <v>0</v>
      </c>
      <c r="CQ122" s="142"/>
      <c r="CR122" s="13">
        <f t="shared" si="439"/>
        <v>70</v>
      </c>
      <c r="CS122" s="48">
        <f t="shared" si="335"/>
        <v>0</v>
      </c>
      <c r="CT122" s="49">
        <f t="shared" si="322"/>
        <v>0</v>
      </c>
      <c r="CU122" s="50">
        <f t="shared" si="440"/>
        <v>1204</v>
      </c>
      <c r="CV122" s="103">
        <f t="shared" ref="CV122:CV126" si="494">CV121</f>
        <v>0</v>
      </c>
      <c r="CW122" s="46">
        <f t="shared" si="373"/>
        <v>1204</v>
      </c>
      <c r="CX122" s="51">
        <f t="shared" si="282"/>
        <v>86</v>
      </c>
      <c r="CY122" s="103">
        <f t="shared" ref="CY122:CY126" si="495">CY121</f>
        <v>0</v>
      </c>
      <c r="CZ122" s="46">
        <f t="shared" si="325"/>
        <v>86</v>
      </c>
      <c r="DA122" s="316"/>
      <c r="DB122" s="120"/>
      <c r="DC122" s="7">
        <f t="shared" ref="DC122:DC126" si="496">DC121</f>
        <v>17</v>
      </c>
      <c r="DD122" s="133"/>
      <c r="DE122" s="221"/>
      <c r="DF122" s="14">
        <f t="shared" si="327"/>
        <v>0</v>
      </c>
      <c r="DG122" s="62">
        <f t="shared" si="351"/>
        <v>0</v>
      </c>
      <c r="DH122" s="134"/>
      <c r="DI122" s="135"/>
      <c r="DJ122" s="135"/>
      <c r="DK122" s="13">
        <f t="shared" si="352"/>
        <v>0</v>
      </c>
      <c r="DL122" s="14">
        <f t="shared" si="342"/>
        <v>0</v>
      </c>
      <c r="DM122" s="14">
        <f t="shared" si="441"/>
        <v>0.16</v>
      </c>
      <c r="DN122" s="47">
        <f t="shared" si="328"/>
        <v>0</v>
      </c>
      <c r="DO122" s="35">
        <f t="shared" si="442"/>
        <v>4.3200000000000012</v>
      </c>
      <c r="DP122" s="159">
        <f t="shared" si="329"/>
        <v>0</v>
      </c>
      <c r="DQ122" s="142"/>
      <c r="DR122" s="13">
        <f t="shared" si="443"/>
        <v>70</v>
      </c>
      <c r="DS122" s="48">
        <f t="shared" si="337"/>
        <v>0</v>
      </c>
      <c r="DT122" s="49">
        <f t="shared" si="330"/>
        <v>0</v>
      </c>
      <c r="DU122" s="50">
        <f t="shared" si="444"/>
        <v>1204</v>
      </c>
      <c r="DV122" s="103">
        <f t="shared" ref="DV122:DV126" si="497">DV121</f>
        <v>0</v>
      </c>
      <c r="DW122" s="46">
        <f t="shared" si="374"/>
        <v>1204</v>
      </c>
      <c r="DX122" s="51">
        <f t="shared" si="287"/>
        <v>86</v>
      </c>
      <c r="DY122" s="103">
        <f t="shared" ref="DY122:DY126" si="498">DY121</f>
        <v>0</v>
      </c>
      <c r="DZ122" s="46">
        <f t="shared" si="333"/>
        <v>86</v>
      </c>
    </row>
    <row r="123" spans="2:130" x14ac:dyDescent="0.25">
      <c r="B123" s="120">
        <f t="shared" si="481"/>
        <v>24</v>
      </c>
      <c r="C123" s="115">
        <f t="shared" si="482"/>
        <v>17</v>
      </c>
      <c r="D123" s="133"/>
      <c r="E123" s="221"/>
      <c r="F123" s="103">
        <f t="shared" si="290"/>
        <v>93163</v>
      </c>
      <c r="G123" s="107">
        <f t="shared" si="343"/>
        <v>93163</v>
      </c>
      <c r="H123" s="134"/>
      <c r="I123" s="135"/>
      <c r="J123" s="135"/>
      <c r="K123" s="13">
        <f t="shared" si="344"/>
        <v>0</v>
      </c>
      <c r="L123" s="14">
        <f t="shared" si="338"/>
        <v>394</v>
      </c>
      <c r="M123" s="14">
        <f t="shared" si="264"/>
        <v>0.16</v>
      </c>
      <c r="N123" s="47">
        <f t="shared" si="291"/>
        <v>0</v>
      </c>
      <c r="O123" s="35">
        <f t="shared" si="292"/>
        <v>4.3200000000000012</v>
      </c>
      <c r="P123" s="159">
        <f t="shared" si="293"/>
        <v>0.42291467642733704</v>
      </c>
      <c r="Q123" s="142"/>
      <c r="R123" s="14">
        <f t="shared" si="294"/>
        <v>70</v>
      </c>
      <c r="S123" s="48">
        <f t="shared" si="295"/>
        <v>0</v>
      </c>
      <c r="T123" s="49">
        <f t="shared" si="296"/>
        <v>0.11689245893777725</v>
      </c>
      <c r="U123" s="160">
        <f t="shared" si="265"/>
        <v>1204</v>
      </c>
      <c r="V123" s="103">
        <f t="shared" si="483"/>
        <v>0</v>
      </c>
      <c r="W123" s="46">
        <f t="shared" si="266"/>
        <v>1204</v>
      </c>
      <c r="X123" s="51">
        <f t="shared" si="267"/>
        <v>86</v>
      </c>
      <c r="Y123" s="103">
        <f t="shared" si="484"/>
        <v>0</v>
      </c>
      <c r="Z123" s="46">
        <f t="shared" si="299"/>
        <v>86</v>
      </c>
      <c r="AB123" s="120">
        <f t="shared" si="485"/>
        <v>26</v>
      </c>
      <c r="AC123" s="7">
        <f t="shared" si="486"/>
        <v>17</v>
      </c>
      <c r="AD123" s="133"/>
      <c r="AE123" s="221"/>
      <c r="AF123" s="14">
        <f t="shared" si="302"/>
        <v>91715</v>
      </c>
      <c r="AG123" s="59">
        <f t="shared" si="345"/>
        <v>91715</v>
      </c>
      <c r="AH123" s="134"/>
      <c r="AI123" s="135"/>
      <c r="AJ123" s="135"/>
      <c r="AK123" s="13">
        <f t="shared" si="346"/>
        <v>0</v>
      </c>
      <c r="AL123" s="14">
        <f t="shared" si="339"/>
        <v>3025</v>
      </c>
      <c r="AM123" s="14">
        <f t="shared" si="429"/>
        <v>0.16</v>
      </c>
      <c r="AN123" s="47">
        <f t="shared" si="303"/>
        <v>0</v>
      </c>
      <c r="AO123" s="35">
        <f t="shared" si="430"/>
        <v>4.3200000000000012</v>
      </c>
      <c r="AP123" s="159">
        <f t="shared" si="334"/>
        <v>3.2982609169710515</v>
      </c>
      <c r="AQ123" s="142"/>
      <c r="AR123" s="14">
        <f t="shared" si="431"/>
        <v>70</v>
      </c>
      <c r="AS123" s="35">
        <f t="shared" si="304"/>
        <v>0</v>
      </c>
      <c r="AT123" s="301">
        <f t="shared" si="305"/>
        <v>5.5413543607296042E-2</v>
      </c>
      <c r="AU123" s="14">
        <f t="shared" si="432"/>
        <v>1204</v>
      </c>
      <c r="AV123" s="103">
        <f t="shared" si="487"/>
        <v>0</v>
      </c>
      <c r="AW123" s="46">
        <f t="shared" si="371"/>
        <v>1204</v>
      </c>
      <c r="AX123" s="51">
        <f t="shared" si="272"/>
        <v>86</v>
      </c>
      <c r="AY123" s="103">
        <f t="shared" si="488"/>
        <v>0</v>
      </c>
      <c r="AZ123" s="46">
        <f t="shared" si="308"/>
        <v>86</v>
      </c>
      <c r="BA123" s="316"/>
      <c r="BB123" s="120">
        <f t="shared" si="489"/>
        <v>24</v>
      </c>
      <c r="BC123" s="7">
        <f t="shared" si="490"/>
        <v>17</v>
      </c>
      <c r="BD123" s="133"/>
      <c r="BE123" s="221"/>
      <c r="BF123" s="14">
        <f t="shared" si="311"/>
        <v>94787</v>
      </c>
      <c r="BG123" s="59">
        <f t="shared" si="347"/>
        <v>94787</v>
      </c>
      <c r="BH123" s="134"/>
      <c r="BI123" s="135"/>
      <c r="BJ123" s="135"/>
      <c r="BK123" s="13">
        <f t="shared" si="348"/>
        <v>0</v>
      </c>
      <c r="BL123" s="14">
        <f t="shared" si="340"/>
        <v>5416</v>
      </c>
      <c r="BM123" s="14">
        <f t="shared" si="433"/>
        <v>0.16</v>
      </c>
      <c r="BN123" s="47">
        <f t="shared" si="312"/>
        <v>0</v>
      </c>
      <c r="BO123" s="35">
        <f t="shared" si="434"/>
        <v>4.3200000000000012</v>
      </c>
      <c r="BP123" s="159">
        <f t="shared" si="313"/>
        <v>5.7138637154884107</v>
      </c>
      <c r="BQ123" s="142"/>
      <c r="BR123" s="13">
        <f t="shared" si="435"/>
        <v>70</v>
      </c>
      <c r="BS123" s="48">
        <f t="shared" si="336"/>
        <v>0</v>
      </c>
      <c r="BT123" s="49">
        <f t="shared" si="314"/>
        <v>7.2033724880284866E-2</v>
      </c>
      <c r="BU123" s="50">
        <f t="shared" si="436"/>
        <v>1204</v>
      </c>
      <c r="BV123" s="103">
        <f t="shared" si="491"/>
        <v>0</v>
      </c>
      <c r="BW123" s="46">
        <f t="shared" si="372"/>
        <v>1204</v>
      </c>
      <c r="BX123" s="51">
        <f t="shared" si="277"/>
        <v>86</v>
      </c>
      <c r="BY123" s="103">
        <f t="shared" si="492"/>
        <v>0</v>
      </c>
      <c r="BZ123" s="46">
        <f t="shared" si="317"/>
        <v>86</v>
      </c>
      <c r="CA123" s="316"/>
      <c r="CB123" s="120"/>
      <c r="CC123" s="7">
        <f t="shared" si="493"/>
        <v>17</v>
      </c>
      <c r="CD123" s="133"/>
      <c r="CE123" s="221"/>
      <c r="CF123" s="14">
        <f t="shared" si="319"/>
        <v>0</v>
      </c>
      <c r="CG123" s="59">
        <f t="shared" si="349"/>
        <v>0</v>
      </c>
      <c r="CH123" s="134"/>
      <c r="CI123" s="135"/>
      <c r="CJ123" s="135"/>
      <c r="CK123" s="13">
        <f t="shared" si="350"/>
        <v>0</v>
      </c>
      <c r="CL123" s="14">
        <f t="shared" si="341"/>
        <v>0</v>
      </c>
      <c r="CM123" s="14">
        <f t="shared" si="437"/>
        <v>0.16</v>
      </c>
      <c r="CN123" s="47">
        <f t="shared" si="320"/>
        <v>0</v>
      </c>
      <c r="CO123" s="35">
        <f t="shared" si="438"/>
        <v>4.3200000000000012</v>
      </c>
      <c r="CP123" s="159">
        <f t="shared" si="321"/>
        <v>0</v>
      </c>
      <c r="CQ123" s="142"/>
      <c r="CR123" s="13">
        <f t="shared" si="439"/>
        <v>70</v>
      </c>
      <c r="CS123" s="48">
        <f t="shared" si="335"/>
        <v>0</v>
      </c>
      <c r="CT123" s="49">
        <f t="shared" si="322"/>
        <v>0</v>
      </c>
      <c r="CU123" s="50">
        <f t="shared" si="440"/>
        <v>1204</v>
      </c>
      <c r="CV123" s="103">
        <f t="shared" si="494"/>
        <v>0</v>
      </c>
      <c r="CW123" s="46">
        <f t="shared" si="373"/>
        <v>1204</v>
      </c>
      <c r="CX123" s="51">
        <f t="shared" si="282"/>
        <v>86</v>
      </c>
      <c r="CY123" s="103">
        <f t="shared" si="495"/>
        <v>0</v>
      </c>
      <c r="CZ123" s="46">
        <f t="shared" si="325"/>
        <v>86</v>
      </c>
      <c r="DA123" s="316"/>
      <c r="DB123" s="120"/>
      <c r="DC123" s="7">
        <f t="shared" si="496"/>
        <v>17</v>
      </c>
      <c r="DD123" s="133"/>
      <c r="DE123" s="221"/>
      <c r="DF123" s="14">
        <f t="shared" si="327"/>
        <v>0</v>
      </c>
      <c r="DG123" s="59">
        <f t="shared" si="351"/>
        <v>0</v>
      </c>
      <c r="DH123" s="134"/>
      <c r="DI123" s="135"/>
      <c r="DJ123" s="135"/>
      <c r="DK123" s="13">
        <f t="shared" si="352"/>
        <v>0</v>
      </c>
      <c r="DL123" s="14">
        <f t="shared" si="342"/>
        <v>0</v>
      </c>
      <c r="DM123" s="14">
        <f t="shared" si="441"/>
        <v>0.16</v>
      </c>
      <c r="DN123" s="47">
        <f t="shared" si="328"/>
        <v>0</v>
      </c>
      <c r="DO123" s="35">
        <f t="shared" si="442"/>
        <v>4.3200000000000012</v>
      </c>
      <c r="DP123" s="159">
        <f t="shared" si="329"/>
        <v>0</v>
      </c>
      <c r="DQ123" s="142"/>
      <c r="DR123" s="13">
        <f t="shared" si="443"/>
        <v>70</v>
      </c>
      <c r="DS123" s="48">
        <f t="shared" si="337"/>
        <v>0</v>
      </c>
      <c r="DT123" s="49">
        <f t="shared" si="330"/>
        <v>0</v>
      </c>
      <c r="DU123" s="50">
        <f t="shared" si="444"/>
        <v>1204</v>
      </c>
      <c r="DV123" s="103">
        <f t="shared" si="497"/>
        <v>0</v>
      </c>
      <c r="DW123" s="46">
        <f t="shared" si="374"/>
        <v>1204</v>
      </c>
      <c r="DX123" s="51">
        <f t="shared" si="287"/>
        <v>86</v>
      </c>
      <c r="DY123" s="103">
        <f t="shared" si="498"/>
        <v>0</v>
      </c>
      <c r="DZ123" s="46">
        <f t="shared" si="333"/>
        <v>86</v>
      </c>
    </row>
    <row r="124" spans="2:130" x14ac:dyDescent="0.25">
      <c r="B124" s="120">
        <f t="shared" si="481"/>
        <v>25</v>
      </c>
      <c r="C124" s="115">
        <f t="shared" si="482"/>
        <v>17</v>
      </c>
      <c r="D124" s="133"/>
      <c r="E124" s="221"/>
      <c r="F124" s="103">
        <f t="shared" si="290"/>
        <v>93163</v>
      </c>
      <c r="G124" s="104">
        <f t="shared" si="343"/>
        <v>93163</v>
      </c>
      <c r="H124" s="134"/>
      <c r="I124" s="135"/>
      <c r="J124" s="135"/>
      <c r="K124" s="13">
        <f t="shared" si="344"/>
        <v>0</v>
      </c>
      <c r="L124" s="14">
        <f t="shared" si="338"/>
        <v>394</v>
      </c>
      <c r="M124" s="14">
        <f t="shared" si="264"/>
        <v>0.16</v>
      </c>
      <c r="N124" s="47">
        <f t="shared" si="291"/>
        <v>0</v>
      </c>
      <c r="O124" s="35">
        <f t="shared" si="292"/>
        <v>4.3200000000000012</v>
      </c>
      <c r="P124" s="159">
        <f t="shared" si="293"/>
        <v>0.42291467642733704</v>
      </c>
      <c r="Q124" s="142"/>
      <c r="R124" s="17">
        <f t="shared" si="294"/>
        <v>70</v>
      </c>
      <c r="S124" s="48">
        <f t="shared" si="295"/>
        <v>0</v>
      </c>
      <c r="T124" s="49">
        <f t="shared" si="296"/>
        <v>0.11689245893777725</v>
      </c>
      <c r="U124" s="160">
        <f t="shared" si="265"/>
        <v>1204</v>
      </c>
      <c r="V124" s="103">
        <f t="shared" si="483"/>
        <v>0</v>
      </c>
      <c r="W124" s="46">
        <f t="shared" si="266"/>
        <v>1204</v>
      </c>
      <c r="X124" s="51">
        <f t="shared" si="267"/>
        <v>86</v>
      </c>
      <c r="Y124" s="103">
        <f t="shared" si="484"/>
        <v>0</v>
      </c>
      <c r="Z124" s="46">
        <f t="shared" si="299"/>
        <v>86</v>
      </c>
      <c r="AB124" s="120">
        <f t="shared" si="485"/>
        <v>27</v>
      </c>
      <c r="AC124" s="7">
        <f t="shared" si="486"/>
        <v>17</v>
      </c>
      <c r="AD124" s="133"/>
      <c r="AE124" s="221"/>
      <c r="AF124" s="14">
        <f t="shared" si="302"/>
        <v>91715</v>
      </c>
      <c r="AG124" s="46">
        <f t="shared" si="345"/>
        <v>91715</v>
      </c>
      <c r="AH124" s="134"/>
      <c r="AI124" s="135"/>
      <c r="AJ124" s="135"/>
      <c r="AK124" s="13">
        <f t="shared" si="346"/>
        <v>0</v>
      </c>
      <c r="AL124" s="14">
        <f t="shared" si="339"/>
        <v>3025</v>
      </c>
      <c r="AM124" s="14">
        <f t="shared" si="429"/>
        <v>0.16</v>
      </c>
      <c r="AN124" s="47">
        <f t="shared" si="303"/>
        <v>0</v>
      </c>
      <c r="AO124" s="35">
        <f t="shared" si="430"/>
        <v>4.3200000000000012</v>
      </c>
      <c r="AP124" s="159">
        <f t="shared" si="334"/>
        <v>3.2982609169710515</v>
      </c>
      <c r="AQ124" s="142"/>
      <c r="AR124" s="14">
        <f t="shared" si="431"/>
        <v>70</v>
      </c>
      <c r="AS124" s="35">
        <f t="shared" si="304"/>
        <v>0</v>
      </c>
      <c r="AT124" s="301">
        <f t="shared" si="305"/>
        <v>5.5413543607296042E-2</v>
      </c>
      <c r="AU124" s="14">
        <f t="shared" si="432"/>
        <v>1204</v>
      </c>
      <c r="AV124" s="103">
        <f t="shared" si="487"/>
        <v>0</v>
      </c>
      <c r="AW124" s="46">
        <f t="shared" si="371"/>
        <v>1204</v>
      </c>
      <c r="AX124" s="51">
        <f t="shared" si="272"/>
        <v>86</v>
      </c>
      <c r="AY124" s="103">
        <f t="shared" si="488"/>
        <v>0</v>
      </c>
      <c r="AZ124" s="46">
        <f t="shared" si="308"/>
        <v>86</v>
      </c>
      <c r="BA124" s="316"/>
      <c r="BB124" s="120">
        <f t="shared" si="489"/>
        <v>25</v>
      </c>
      <c r="BC124" s="7">
        <f t="shared" si="490"/>
        <v>17</v>
      </c>
      <c r="BD124" s="133"/>
      <c r="BE124" s="221"/>
      <c r="BF124" s="14">
        <f t="shared" si="311"/>
        <v>94787</v>
      </c>
      <c r="BG124" s="46">
        <f t="shared" si="347"/>
        <v>94787</v>
      </c>
      <c r="BH124" s="134"/>
      <c r="BI124" s="135"/>
      <c r="BJ124" s="135"/>
      <c r="BK124" s="13">
        <f t="shared" si="348"/>
        <v>0</v>
      </c>
      <c r="BL124" s="14">
        <f t="shared" si="340"/>
        <v>5416</v>
      </c>
      <c r="BM124" s="14">
        <f t="shared" si="433"/>
        <v>0.16</v>
      </c>
      <c r="BN124" s="47">
        <f t="shared" si="312"/>
        <v>0</v>
      </c>
      <c r="BO124" s="35">
        <f t="shared" si="434"/>
        <v>4.3200000000000012</v>
      </c>
      <c r="BP124" s="159">
        <f t="shared" si="313"/>
        <v>5.7138637154884107</v>
      </c>
      <c r="BQ124" s="142"/>
      <c r="BR124" s="13">
        <f t="shared" si="435"/>
        <v>70</v>
      </c>
      <c r="BS124" s="48">
        <f t="shared" si="336"/>
        <v>0</v>
      </c>
      <c r="BT124" s="49">
        <f t="shared" si="314"/>
        <v>7.2033724880284866E-2</v>
      </c>
      <c r="BU124" s="50">
        <f t="shared" si="436"/>
        <v>1204</v>
      </c>
      <c r="BV124" s="103">
        <f t="shared" si="491"/>
        <v>0</v>
      </c>
      <c r="BW124" s="46">
        <f t="shared" si="372"/>
        <v>1204</v>
      </c>
      <c r="BX124" s="51">
        <f t="shared" si="277"/>
        <v>86</v>
      </c>
      <c r="BY124" s="103">
        <f t="shared" si="492"/>
        <v>0</v>
      </c>
      <c r="BZ124" s="46">
        <f t="shared" si="317"/>
        <v>86</v>
      </c>
      <c r="CA124" s="316"/>
      <c r="CB124" s="120"/>
      <c r="CC124" s="7">
        <f t="shared" si="493"/>
        <v>17</v>
      </c>
      <c r="CD124" s="133"/>
      <c r="CE124" s="221"/>
      <c r="CF124" s="14">
        <f t="shared" si="319"/>
        <v>0</v>
      </c>
      <c r="CG124" s="46">
        <f t="shared" si="349"/>
        <v>0</v>
      </c>
      <c r="CH124" s="134"/>
      <c r="CI124" s="135"/>
      <c r="CJ124" s="135"/>
      <c r="CK124" s="13">
        <f t="shared" si="350"/>
        <v>0</v>
      </c>
      <c r="CL124" s="14">
        <f t="shared" si="341"/>
        <v>0</v>
      </c>
      <c r="CM124" s="14">
        <f t="shared" si="437"/>
        <v>0.16</v>
      </c>
      <c r="CN124" s="47">
        <f t="shared" si="320"/>
        <v>0</v>
      </c>
      <c r="CO124" s="35">
        <f t="shared" si="438"/>
        <v>4.3200000000000012</v>
      </c>
      <c r="CP124" s="159">
        <f t="shared" si="321"/>
        <v>0</v>
      </c>
      <c r="CQ124" s="142"/>
      <c r="CR124" s="13">
        <f t="shared" si="439"/>
        <v>70</v>
      </c>
      <c r="CS124" s="48">
        <f t="shared" si="335"/>
        <v>0</v>
      </c>
      <c r="CT124" s="49">
        <f t="shared" si="322"/>
        <v>0</v>
      </c>
      <c r="CU124" s="50">
        <f t="shared" si="440"/>
        <v>1204</v>
      </c>
      <c r="CV124" s="103">
        <f t="shared" si="494"/>
        <v>0</v>
      </c>
      <c r="CW124" s="46">
        <f t="shared" si="373"/>
        <v>1204</v>
      </c>
      <c r="CX124" s="51">
        <f t="shared" si="282"/>
        <v>86</v>
      </c>
      <c r="CY124" s="103">
        <f t="shared" si="495"/>
        <v>0</v>
      </c>
      <c r="CZ124" s="46">
        <f t="shared" si="325"/>
        <v>86</v>
      </c>
      <c r="DA124" s="316"/>
      <c r="DB124" s="120"/>
      <c r="DC124" s="7">
        <f t="shared" si="496"/>
        <v>17</v>
      </c>
      <c r="DD124" s="133"/>
      <c r="DE124" s="221"/>
      <c r="DF124" s="14">
        <f t="shared" si="327"/>
        <v>0</v>
      </c>
      <c r="DG124" s="46">
        <f t="shared" si="351"/>
        <v>0</v>
      </c>
      <c r="DH124" s="134"/>
      <c r="DI124" s="135"/>
      <c r="DJ124" s="135"/>
      <c r="DK124" s="13">
        <f t="shared" si="352"/>
        <v>0</v>
      </c>
      <c r="DL124" s="14">
        <f t="shared" si="342"/>
        <v>0</v>
      </c>
      <c r="DM124" s="14">
        <f t="shared" si="441"/>
        <v>0.16</v>
      </c>
      <c r="DN124" s="47">
        <f t="shared" si="328"/>
        <v>0</v>
      </c>
      <c r="DO124" s="35">
        <f t="shared" si="442"/>
        <v>4.3200000000000012</v>
      </c>
      <c r="DP124" s="159">
        <f t="shared" si="329"/>
        <v>0</v>
      </c>
      <c r="DQ124" s="142"/>
      <c r="DR124" s="13">
        <f t="shared" si="443"/>
        <v>70</v>
      </c>
      <c r="DS124" s="48">
        <f t="shared" si="337"/>
        <v>0</v>
      </c>
      <c r="DT124" s="49">
        <f t="shared" si="330"/>
        <v>0</v>
      </c>
      <c r="DU124" s="50">
        <f t="shared" si="444"/>
        <v>1204</v>
      </c>
      <c r="DV124" s="103">
        <f t="shared" si="497"/>
        <v>0</v>
      </c>
      <c r="DW124" s="46">
        <f t="shared" si="374"/>
        <v>1204</v>
      </c>
      <c r="DX124" s="51">
        <f t="shared" si="287"/>
        <v>86</v>
      </c>
      <c r="DY124" s="103">
        <f t="shared" si="498"/>
        <v>0</v>
      </c>
      <c r="DZ124" s="46">
        <f t="shared" si="333"/>
        <v>86</v>
      </c>
    </row>
    <row r="125" spans="2:130" x14ac:dyDescent="0.25">
      <c r="B125" s="120">
        <f t="shared" si="481"/>
        <v>26</v>
      </c>
      <c r="C125" s="115">
        <f t="shared" si="482"/>
        <v>17</v>
      </c>
      <c r="D125" s="133"/>
      <c r="E125" s="221"/>
      <c r="F125" s="103">
        <f t="shared" si="290"/>
        <v>93163</v>
      </c>
      <c r="G125" s="108">
        <f t="shared" si="343"/>
        <v>93163</v>
      </c>
      <c r="H125" s="134"/>
      <c r="I125" s="135"/>
      <c r="J125" s="135"/>
      <c r="K125" s="13">
        <f t="shared" si="344"/>
        <v>0</v>
      </c>
      <c r="L125" s="14">
        <f t="shared" si="338"/>
        <v>394</v>
      </c>
      <c r="M125" s="14">
        <f t="shared" si="264"/>
        <v>0.16</v>
      </c>
      <c r="N125" s="47">
        <f t="shared" si="291"/>
        <v>0</v>
      </c>
      <c r="O125" s="35">
        <f t="shared" si="292"/>
        <v>4.3200000000000012</v>
      </c>
      <c r="P125" s="159">
        <f t="shared" si="293"/>
        <v>0.42291467642733704</v>
      </c>
      <c r="Q125" s="142"/>
      <c r="R125" s="17">
        <f t="shared" si="294"/>
        <v>70</v>
      </c>
      <c r="S125" s="48">
        <f t="shared" si="295"/>
        <v>0</v>
      </c>
      <c r="T125" s="49">
        <f t="shared" si="296"/>
        <v>0.11689245893777725</v>
      </c>
      <c r="U125" s="160">
        <f t="shared" si="265"/>
        <v>1204</v>
      </c>
      <c r="V125" s="103">
        <f t="shared" si="483"/>
        <v>0</v>
      </c>
      <c r="W125" s="46">
        <f t="shared" si="266"/>
        <v>1204</v>
      </c>
      <c r="X125" s="51">
        <f t="shared" si="267"/>
        <v>86</v>
      </c>
      <c r="Y125" s="103">
        <f t="shared" si="484"/>
        <v>0</v>
      </c>
      <c r="Z125" s="46">
        <f t="shared" si="299"/>
        <v>86</v>
      </c>
      <c r="AB125" s="120">
        <f t="shared" si="485"/>
        <v>28</v>
      </c>
      <c r="AC125" s="7">
        <f t="shared" si="486"/>
        <v>17</v>
      </c>
      <c r="AD125" s="133"/>
      <c r="AE125" s="221"/>
      <c r="AF125" s="14">
        <f t="shared" si="302"/>
        <v>91715</v>
      </c>
      <c r="AG125" s="62">
        <f t="shared" si="345"/>
        <v>91715</v>
      </c>
      <c r="AH125" s="134"/>
      <c r="AI125" s="135"/>
      <c r="AJ125" s="135"/>
      <c r="AK125" s="13">
        <f t="shared" si="346"/>
        <v>0</v>
      </c>
      <c r="AL125" s="14">
        <f t="shared" si="339"/>
        <v>3025</v>
      </c>
      <c r="AM125" s="14">
        <f t="shared" si="429"/>
        <v>0.16</v>
      </c>
      <c r="AN125" s="47">
        <f t="shared" si="303"/>
        <v>0</v>
      </c>
      <c r="AO125" s="35">
        <f t="shared" si="430"/>
        <v>4.3200000000000012</v>
      </c>
      <c r="AP125" s="159">
        <f t="shared" si="334"/>
        <v>3.2982609169710515</v>
      </c>
      <c r="AQ125" s="142"/>
      <c r="AR125" s="14">
        <f t="shared" si="431"/>
        <v>70</v>
      </c>
      <c r="AS125" s="35">
        <f t="shared" si="304"/>
        <v>0</v>
      </c>
      <c r="AT125" s="301">
        <f t="shared" si="305"/>
        <v>5.5413543607296042E-2</v>
      </c>
      <c r="AU125" s="14">
        <f t="shared" si="432"/>
        <v>1204</v>
      </c>
      <c r="AV125" s="103">
        <f t="shared" si="487"/>
        <v>0</v>
      </c>
      <c r="AW125" s="46">
        <f t="shared" si="371"/>
        <v>1204</v>
      </c>
      <c r="AX125" s="51">
        <f t="shared" si="272"/>
        <v>86</v>
      </c>
      <c r="AY125" s="103">
        <f t="shared" si="488"/>
        <v>0</v>
      </c>
      <c r="AZ125" s="46">
        <f t="shared" si="308"/>
        <v>86</v>
      </c>
      <c r="BA125" s="316"/>
      <c r="BB125" s="120">
        <f t="shared" si="489"/>
        <v>26</v>
      </c>
      <c r="BC125" s="7">
        <f t="shared" si="490"/>
        <v>17</v>
      </c>
      <c r="BD125" s="133"/>
      <c r="BE125" s="221"/>
      <c r="BF125" s="14">
        <f t="shared" si="311"/>
        <v>94787</v>
      </c>
      <c r="BG125" s="62">
        <f t="shared" si="347"/>
        <v>94787</v>
      </c>
      <c r="BH125" s="134"/>
      <c r="BI125" s="135"/>
      <c r="BJ125" s="135"/>
      <c r="BK125" s="13">
        <f t="shared" si="348"/>
        <v>0</v>
      </c>
      <c r="BL125" s="14">
        <f t="shared" si="340"/>
        <v>5416</v>
      </c>
      <c r="BM125" s="14">
        <f t="shared" si="433"/>
        <v>0.16</v>
      </c>
      <c r="BN125" s="47">
        <f t="shared" si="312"/>
        <v>0</v>
      </c>
      <c r="BO125" s="35">
        <f t="shared" si="434"/>
        <v>4.3200000000000012</v>
      </c>
      <c r="BP125" s="159">
        <f t="shared" si="313"/>
        <v>5.7138637154884107</v>
      </c>
      <c r="BQ125" s="142"/>
      <c r="BR125" s="13">
        <f t="shared" si="435"/>
        <v>70</v>
      </c>
      <c r="BS125" s="48">
        <f t="shared" si="336"/>
        <v>0</v>
      </c>
      <c r="BT125" s="49">
        <f t="shared" si="314"/>
        <v>7.2033724880284866E-2</v>
      </c>
      <c r="BU125" s="50">
        <f t="shared" si="436"/>
        <v>1204</v>
      </c>
      <c r="BV125" s="103">
        <f t="shared" si="491"/>
        <v>0</v>
      </c>
      <c r="BW125" s="46">
        <f t="shared" si="372"/>
        <v>1204</v>
      </c>
      <c r="BX125" s="51">
        <f t="shared" si="277"/>
        <v>86</v>
      </c>
      <c r="BY125" s="103">
        <f t="shared" si="492"/>
        <v>0</v>
      </c>
      <c r="BZ125" s="46">
        <f t="shared" si="317"/>
        <v>86</v>
      </c>
      <c r="CA125" s="316"/>
      <c r="CB125" s="120"/>
      <c r="CC125" s="7">
        <f t="shared" si="493"/>
        <v>17</v>
      </c>
      <c r="CD125" s="133"/>
      <c r="CE125" s="221"/>
      <c r="CF125" s="14">
        <f t="shared" si="319"/>
        <v>0</v>
      </c>
      <c r="CG125" s="62">
        <f t="shared" si="349"/>
        <v>0</v>
      </c>
      <c r="CH125" s="134"/>
      <c r="CI125" s="135"/>
      <c r="CJ125" s="135"/>
      <c r="CK125" s="13">
        <f t="shared" si="350"/>
        <v>0</v>
      </c>
      <c r="CL125" s="14">
        <f t="shared" si="341"/>
        <v>0</v>
      </c>
      <c r="CM125" s="14">
        <f t="shared" si="437"/>
        <v>0.16</v>
      </c>
      <c r="CN125" s="47">
        <f t="shared" si="320"/>
        <v>0</v>
      </c>
      <c r="CO125" s="35">
        <f t="shared" si="438"/>
        <v>4.3200000000000012</v>
      </c>
      <c r="CP125" s="159">
        <f t="shared" si="321"/>
        <v>0</v>
      </c>
      <c r="CQ125" s="142"/>
      <c r="CR125" s="13">
        <f t="shared" si="439"/>
        <v>70</v>
      </c>
      <c r="CS125" s="48">
        <f t="shared" si="335"/>
        <v>0</v>
      </c>
      <c r="CT125" s="49">
        <f t="shared" si="322"/>
        <v>0</v>
      </c>
      <c r="CU125" s="50">
        <f t="shared" si="440"/>
        <v>1204</v>
      </c>
      <c r="CV125" s="103">
        <f t="shared" si="494"/>
        <v>0</v>
      </c>
      <c r="CW125" s="46">
        <f t="shared" si="373"/>
        <v>1204</v>
      </c>
      <c r="CX125" s="51">
        <f t="shared" si="282"/>
        <v>86</v>
      </c>
      <c r="CY125" s="103">
        <f t="shared" si="495"/>
        <v>0</v>
      </c>
      <c r="CZ125" s="46">
        <f t="shared" si="325"/>
        <v>86</v>
      </c>
      <c r="DA125" s="316"/>
      <c r="DB125" s="120"/>
      <c r="DC125" s="7">
        <f t="shared" si="496"/>
        <v>17</v>
      </c>
      <c r="DD125" s="133"/>
      <c r="DE125" s="221"/>
      <c r="DF125" s="14">
        <f t="shared" si="327"/>
        <v>0</v>
      </c>
      <c r="DG125" s="62">
        <f t="shared" si="351"/>
        <v>0</v>
      </c>
      <c r="DH125" s="134"/>
      <c r="DI125" s="135"/>
      <c r="DJ125" s="135"/>
      <c r="DK125" s="13">
        <f t="shared" si="352"/>
        <v>0</v>
      </c>
      <c r="DL125" s="14">
        <f t="shared" si="342"/>
        <v>0</v>
      </c>
      <c r="DM125" s="14">
        <f t="shared" si="441"/>
        <v>0.16</v>
      </c>
      <c r="DN125" s="47">
        <f t="shared" si="328"/>
        <v>0</v>
      </c>
      <c r="DO125" s="35">
        <f t="shared" si="442"/>
        <v>4.3200000000000012</v>
      </c>
      <c r="DP125" s="159">
        <f t="shared" si="329"/>
        <v>0</v>
      </c>
      <c r="DQ125" s="142"/>
      <c r="DR125" s="13">
        <f t="shared" si="443"/>
        <v>70</v>
      </c>
      <c r="DS125" s="48">
        <f t="shared" si="337"/>
        <v>0</v>
      </c>
      <c r="DT125" s="49">
        <f t="shared" si="330"/>
        <v>0</v>
      </c>
      <c r="DU125" s="50">
        <f t="shared" si="444"/>
        <v>1204</v>
      </c>
      <c r="DV125" s="103">
        <f t="shared" si="497"/>
        <v>0</v>
      </c>
      <c r="DW125" s="46">
        <f t="shared" si="374"/>
        <v>1204</v>
      </c>
      <c r="DX125" s="51">
        <f t="shared" si="287"/>
        <v>86</v>
      </c>
      <c r="DY125" s="103">
        <f t="shared" si="498"/>
        <v>0</v>
      </c>
      <c r="DZ125" s="46">
        <f t="shared" si="333"/>
        <v>86</v>
      </c>
    </row>
    <row r="126" spans="2:130" ht="17.25" thickBot="1" x14ac:dyDescent="0.3">
      <c r="B126" s="120">
        <f t="shared" si="481"/>
        <v>27</v>
      </c>
      <c r="C126" s="116">
        <f t="shared" si="482"/>
        <v>17</v>
      </c>
      <c r="D126" s="136"/>
      <c r="E126" s="226"/>
      <c r="F126" s="109">
        <f t="shared" si="290"/>
        <v>93163</v>
      </c>
      <c r="G126" s="105">
        <f t="shared" si="343"/>
        <v>93163</v>
      </c>
      <c r="H126" s="137"/>
      <c r="I126" s="138"/>
      <c r="J126" s="138"/>
      <c r="K126" s="32">
        <f t="shared" si="344"/>
        <v>0</v>
      </c>
      <c r="L126" s="32">
        <f t="shared" si="338"/>
        <v>394</v>
      </c>
      <c r="M126" s="34">
        <f t="shared" si="264"/>
        <v>0.16</v>
      </c>
      <c r="N126" s="47">
        <f t="shared" si="291"/>
        <v>0</v>
      </c>
      <c r="O126" s="40">
        <f t="shared" si="292"/>
        <v>4.3200000000000012</v>
      </c>
      <c r="P126" s="159">
        <f t="shared" si="293"/>
        <v>0.42291467642733704</v>
      </c>
      <c r="Q126" s="139"/>
      <c r="R126" s="15">
        <f t="shared" si="294"/>
        <v>70</v>
      </c>
      <c r="S126" s="54">
        <f t="shared" si="295"/>
        <v>0</v>
      </c>
      <c r="T126" s="55">
        <f t="shared" si="296"/>
        <v>0.11689245893777725</v>
      </c>
      <c r="U126" s="15">
        <f t="shared" si="265"/>
        <v>1204</v>
      </c>
      <c r="V126" s="109">
        <f t="shared" si="483"/>
        <v>0</v>
      </c>
      <c r="W126" s="63">
        <f t="shared" si="266"/>
        <v>1204</v>
      </c>
      <c r="X126" s="65">
        <f t="shared" si="267"/>
        <v>86</v>
      </c>
      <c r="Y126" s="109">
        <f t="shared" si="484"/>
        <v>0</v>
      </c>
      <c r="Z126" s="63">
        <f t="shared" si="299"/>
        <v>86</v>
      </c>
      <c r="AB126" s="120">
        <f t="shared" si="485"/>
        <v>29</v>
      </c>
      <c r="AC126" s="8">
        <f t="shared" si="486"/>
        <v>17</v>
      </c>
      <c r="AD126" s="136"/>
      <c r="AE126" s="226"/>
      <c r="AF126" s="32">
        <f t="shared" si="302"/>
        <v>91715</v>
      </c>
      <c r="AG126" s="53">
        <f t="shared" si="345"/>
        <v>91715</v>
      </c>
      <c r="AH126" s="137"/>
      <c r="AI126" s="138"/>
      <c r="AJ126" s="138"/>
      <c r="AK126" s="32">
        <f t="shared" si="346"/>
        <v>0</v>
      </c>
      <c r="AL126" s="32">
        <f t="shared" si="339"/>
        <v>3025</v>
      </c>
      <c r="AM126" s="32">
        <f t="shared" si="429"/>
        <v>0.16</v>
      </c>
      <c r="AN126" s="47">
        <f t="shared" si="303"/>
        <v>0</v>
      </c>
      <c r="AO126" s="35">
        <f t="shared" si="430"/>
        <v>4.3200000000000012</v>
      </c>
      <c r="AP126" s="159">
        <f t="shared" si="334"/>
        <v>3.2982609169710515</v>
      </c>
      <c r="AQ126" s="139"/>
      <c r="AR126" s="32">
        <f t="shared" si="431"/>
        <v>70</v>
      </c>
      <c r="AS126" s="36">
        <f t="shared" si="304"/>
        <v>0</v>
      </c>
      <c r="AT126" s="304">
        <f t="shared" si="305"/>
        <v>5.5413543607296042E-2</v>
      </c>
      <c r="AU126" s="32">
        <f t="shared" si="432"/>
        <v>1204</v>
      </c>
      <c r="AV126" s="109">
        <f t="shared" si="487"/>
        <v>0</v>
      </c>
      <c r="AW126" s="63">
        <f t="shared" si="371"/>
        <v>1204</v>
      </c>
      <c r="AX126" s="65">
        <f t="shared" si="272"/>
        <v>86</v>
      </c>
      <c r="AY126" s="103">
        <f t="shared" si="488"/>
        <v>0</v>
      </c>
      <c r="AZ126" s="63">
        <f t="shared" si="308"/>
        <v>86</v>
      </c>
      <c r="BA126" s="316"/>
      <c r="BB126" s="119">
        <f t="shared" si="489"/>
        <v>27</v>
      </c>
      <c r="BC126" s="95">
        <f t="shared" si="490"/>
        <v>17</v>
      </c>
      <c r="BD126" s="203"/>
      <c r="BE126" s="225"/>
      <c r="BF126" s="13">
        <f t="shared" si="311"/>
        <v>94787</v>
      </c>
      <c r="BG126" s="59">
        <f t="shared" si="347"/>
        <v>94787</v>
      </c>
      <c r="BH126" s="204"/>
      <c r="BI126" s="205"/>
      <c r="BJ126" s="205"/>
      <c r="BK126" s="13">
        <f t="shared" si="348"/>
        <v>0</v>
      </c>
      <c r="BL126" s="13">
        <f t="shared" si="340"/>
        <v>5416</v>
      </c>
      <c r="BM126" s="13">
        <f t="shared" si="433"/>
        <v>0.16</v>
      </c>
      <c r="BN126" s="230">
        <f t="shared" si="312"/>
        <v>0</v>
      </c>
      <c r="BO126" s="161">
        <f t="shared" si="434"/>
        <v>4.3200000000000012</v>
      </c>
      <c r="BP126" s="157">
        <f t="shared" si="313"/>
        <v>5.7138637154884107</v>
      </c>
      <c r="BQ126" s="237"/>
      <c r="BR126" s="13">
        <f t="shared" si="435"/>
        <v>70</v>
      </c>
      <c r="BS126" s="67">
        <f t="shared" si="336"/>
        <v>0</v>
      </c>
      <c r="BT126" s="196">
        <f t="shared" si="314"/>
        <v>7.2033724880284866E-2</v>
      </c>
      <c r="BU126" s="50">
        <f t="shared" si="436"/>
        <v>1204</v>
      </c>
      <c r="BV126" s="202">
        <f t="shared" si="491"/>
        <v>0</v>
      </c>
      <c r="BW126" s="62">
        <f t="shared" si="372"/>
        <v>1204</v>
      </c>
      <c r="BX126" s="52">
        <f t="shared" si="277"/>
        <v>86</v>
      </c>
      <c r="BY126" s="202">
        <f t="shared" si="492"/>
        <v>0</v>
      </c>
      <c r="BZ126" s="62">
        <f t="shared" si="317"/>
        <v>86</v>
      </c>
      <c r="CA126" s="316"/>
      <c r="CB126" s="197"/>
      <c r="CC126" s="8">
        <f t="shared" si="493"/>
        <v>17</v>
      </c>
      <c r="CD126" s="136"/>
      <c r="CE126" s="226"/>
      <c r="CF126" s="32">
        <f t="shared" si="319"/>
        <v>0</v>
      </c>
      <c r="CG126" s="53">
        <f t="shared" si="349"/>
        <v>0</v>
      </c>
      <c r="CH126" s="137"/>
      <c r="CI126" s="138"/>
      <c r="CJ126" s="138"/>
      <c r="CK126" s="32">
        <f t="shared" si="350"/>
        <v>0</v>
      </c>
      <c r="CL126" s="32">
        <f t="shared" si="341"/>
        <v>0</v>
      </c>
      <c r="CM126" s="32">
        <f t="shared" si="437"/>
        <v>0.16</v>
      </c>
      <c r="CN126" s="166">
        <f t="shared" si="320"/>
        <v>0</v>
      </c>
      <c r="CO126" s="40">
        <f t="shared" si="438"/>
        <v>4.3200000000000012</v>
      </c>
      <c r="CP126" s="167">
        <f t="shared" si="321"/>
        <v>0</v>
      </c>
      <c r="CQ126" s="139"/>
      <c r="CR126" s="32">
        <f t="shared" si="439"/>
        <v>70</v>
      </c>
      <c r="CS126" s="54">
        <f t="shared" si="335"/>
        <v>0</v>
      </c>
      <c r="CT126" s="55">
        <f t="shared" si="322"/>
        <v>0</v>
      </c>
      <c r="CU126" s="56">
        <f t="shared" si="440"/>
        <v>1204</v>
      </c>
      <c r="CV126" s="109">
        <f t="shared" si="494"/>
        <v>0</v>
      </c>
      <c r="CW126" s="63">
        <f t="shared" si="373"/>
        <v>1204</v>
      </c>
      <c r="CX126" s="65">
        <f t="shared" si="282"/>
        <v>86</v>
      </c>
      <c r="CY126" s="109">
        <f t="shared" si="495"/>
        <v>0</v>
      </c>
      <c r="CZ126" s="63">
        <f t="shared" si="325"/>
        <v>86</v>
      </c>
      <c r="DA126" s="316"/>
      <c r="DB126" s="197"/>
      <c r="DC126" s="8">
        <f t="shared" si="496"/>
        <v>17</v>
      </c>
      <c r="DD126" s="136"/>
      <c r="DE126" s="226"/>
      <c r="DF126" s="32">
        <f t="shared" si="327"/>
        <v>0</v>
      </c>
      <c r="DG126" s="53">
        <f t="shared" si="351"/>
        <v>0</v>
      </c>
      <c r="DH126" s="137"/>
      <c r="DI126" s="138"/>
      <c r="DJ126" s="138"/>
      <c r="DK126" s="32">
        <f t="shared" si="352"/>
        <v>0</v>
      </c>
      <c r="DL126" s="32">
        <f t="shared" si="342"/>
        <v>0</v>
      </c>
      <c r="DM126" s="32">
        <f t="shared" si="441"/>
        <v>0.16</v>
      </c>
      <c r="DN126" s="96">
        <f t="shared" si="328"/>
        <v>0</v>
      </c>
      <c r="DO126" s="36">
        <f t="shared" si="442"/>
        <v>4.3200000000000012</v>
      </c>
      <c r="DP126" s="156">
        <f t="shared" si="329"/>
        <v>0</v>
      </c>
      <c r="DQ126" s="139"/>
      <c r="DR126" s="32">
        <f t="shared" si="443"/>
        <v>70</v>
      </c>
      <c r="DS126" s="54">
        <f t="shared" si="337"/>
        <v>0</v>
      </c>
      <c r="DT126" s="55">
        <f t="shared" si="330"/>
        <v>0</v>
      </c>
      <c r="DU126" s="56">
        <f t="shared" si="444"/>
        <v>1204</v>
      </c>
      <c r="DV126" s="109">
        <f t="shared" si="497"/>
        <v>0</v>
      </c>
      <c r="DW126" s="63">
        <f t="shared" si="374"/>
        <v>1204</v>
      </c>
      <c r="DX126" s="65">
        <f t="shared" si="287"/>
        <v>86</v>
      </c>
      <c r="DY126" s="109">
        <f t="shared" si="498"/>
        <v>0</v>
      </c>
      <c r="DZ126" s="63">
        <f t="shared" si="333"/>
        <v>86</v>
      </c>
    </row>
    <row r="127" spans="2:130" x14ac:dyDescent="0.25">
      <c r="B127" s="118">
        <v>28</v>
      </c>
      <c r="C127" s="114">
        <v>18</v>
      </c>
      <c r="D127" s="129"/>
      <c r="E127" s="224"/>
      <c r="F127" s="101">
        <f t="shared" si="290"/>
        <v>93163</v>
      </c>
      <c r="G127" s="106">
        <f t="shared" si="343"/>
        <v>93163</v>
      </c>
      <c r="H127" s="144"/>
      <c r="I127" s="141"/>
      <c r="J127" s="141"/>
      <c r="K127" s="17">
        <f t="shared" si="344"/>
        <v>0</v>
      </c>
      <c r="L127" s="17">
        <f t="shared" si="338"/>
        <v>394</v>
      </c>
      <c r="M127" s="17">
        <f t="shared" si="264"/>
        <v>0.16</v>
      </c>
      <c r="N127" s="47">
        <f t="shared" si="291"/>
        <v>0</v>
      </c>
      <c r="O127" s="33">
        <f t="shared" si="292"/>
        <v>4.4800000000000013</v>
      </c>
      <c r="P127" s="159">
        <f t="shared" si="293"/>
        <v>0.42291467642733704</v>
      </c>
      <c r="Q127" s="145"/>
      <c r="R127" s="31">
        <f t="shared" si="294"/>
        <v>77</v>
      </c>
      <c r="S127" s="60">
        <f t="shared" si="295"/>
        <v>0</v>
      </c>
      <c r="T127" s="72">
        <f t="shared" si="296"/>
        <v>0.11689245893777725</v>
      </c>
      <c r="U127" s="195">
        <f t="shared" si="265"/>
        <v>1229</v>
      </c>
      <c r="V127" s="131"/>
      <c r="W127" s="41">
        <f t="shared" si="266"/>
        <v>1229</v>
      </c>
      <c r="X127" s="58">
        <f t="shared" si="267"/>
        <v>86</v>
      </c>
      <c r="Y127" s="131"/>
      <c r="Z127" s="41">
        <f t="shared" si="299"/>
        <v>86</v>
      </c>
      <c r="AB127" s="118"/>
      <c r="AC127" s="9">
        <v>18</v>
      </c>
      <c r="AD127" s="129"/>
      <c r="AE127" s="224"/>
      <c r="AF127" s="11">
        <f t="shared" si="302"/>
        <v>91715</v>
      </c>
      <c r="AG127" s="57">
        <f t="shared" si="345"/>
        <v>91715</v>
      </c>
      <c r="AH127" s="130"/>
      <c r="AI127" s="131"/>
      <c r="AJ127" s="131"/>
      <c r="AK127" s="11">
        <f t="shared" si="346"/>
        <v>0</v>
      </c>
      <c r="AL127" s="11">
        <f t="shared" si="339"/>
        <v>3025</v>
      </c>
      <c r="AM127" s="11">
        <f t="shared" si="429"/>
        <v>0.16</v>
      </c>
      <c r="AN127" s="47">
        <f t="shared" si="303"/>
        <v>0</v>
      </c>
      <c r="AO127" s="35">
        <f t="shared" si="430"/>
        <v>4.4800000000000013</v>
      </c>
      <c r="AP127" s="159">
        <f t="shared" si="334"/>
        <v>3.2982609169710515</v>
      </c>
      <c r="AQ127" s="158"/>
      <c r="AR127" s="11">
        <f t="shared" si="431"/>
        <v>77</v>
      </c>
      <c r="AS127" s="21">
        <f t="shared" si="304"/>
        <v>0</v>
      </c>
      <c r="AT127" s="303">
        <f t="shared" si="305"/>
        <v>5.5413543607296042E-2</v>
      </c>
      <c r="AU127" s="11">
        <f t="shared" si="432"/>
        <v>1229</v>
      </c>
      <c r="AV127" s="131"/>
      <c r="AW127" s="41">
        <f t="shared" si="371"/>
        <v>1229</v>
      </c>
      <c r="AX127" s="58">
        <f t="shared" si="272"/>
        <v>86</v>
      </c>
      <c r="AY127" s="131"/>
      <c r="AZ127" s="41">
        <f t="shared" si="308"/>
        <v>86</v>
      </c>
      <c r="BA127" s="316"/>
      <c r="BB127" s="118"/>
      <c r="BC127" s="9">
        <v>18</v>
      </c>
      <c r="BD127" s="129"/>
      <c r="BE127" s="224"/>
      <c r="BF127" s="11">
        <f t="shared" si="311"/>
        <v>94787</v>
      </c>
      <c r="BG127" s="57">
        <f t="shared" si="347"/>
        <v>94787</v>
      </c>
      <c r="BH127" s="130"/>
      <c r="BI127" s="131"/>
      <c r="BJ127" s="131"/>
      <c r="BK127" s="11">
        <f t="shared" si="348"/>
        <v>0</v>
      </c>
      <c r="BL127" s="11">
        <f t="shared" si="340"/>
        <v>5416</v>
      </c>
      <c r="BM127" s="11">
        <f t="shared" si="433"/>
        <v>0.16</v>
      </c>
      <c r="BN127" s="42">
        <f t="shared" si="312"/>
        <v>0</v>
      </c>
      <c r="BO127" s="21">
        <f t="shared" si="434"/>
        <v>4.4800000000000013</v>
      </c>
      <c r="BP127" s="165">
        <f t="shared" si="313"/>
        <v>5.7138637154884107</v>
      </c>
      <c r="BQ127" s="158"/>
      <c r="BR127" s="16">
        <f t="shared" si="435"/>
        <v>77</v>
      </c>
      <c r="BS127" s="43">
        <f t="shared" si="336"/>
        <v>0</v>
      </c>
      <c r="BT127" s="44">
        <f t="shared" si="314"/>
        <v>7.2033724880284866E-2</v>
      </c>
      <c r="BU127" s="45">
        <f t="shared" si="436"/>
        <v>1229</v>
      </c>
      <c r="BV127" s="131"/>
      <c r="BW127" s="41">
        <f t="shared" si="372"/>
        <v>1229</v>
      </c>
      <c r="BX127" s="58">
        <f t="shared" si="277"/>
        <v>86</v>
      </c>
      <c r="BY127" s="131"/>
      <c r="BZ127" s="41">
        <f t="shared" si="317"/>
        <v>86</v>
      </c>
      <c r="CA127" s="316"/>
      <c r="CB127" s="118"/>
      <c r="CC127" s="9">
        <v>18</v>
      </c>
      <c r="CD127" s="129"/>
      <c r="CE127" s="224"/>
      <c r="CF127" s="11">
        <f t="shared" si="319"/>
        <v>0</v>
      </c>
      <c r="CG127" s="57">
        <f t="shared" si="349"/>
        <v>0</v>
      </c>
      <c r="CH127" s="130"/>
      <c r="CI127" s="131"/>
      <c r="CJ127" s="131"/>
      <c r="CK127" s="11">
        <f t="shared" si="350"/>
        <v>0</v>
      </c>
      <c r="CL127" s="11">
        <f t="shared" si="341"/>
        <v>0</v>
      </c>
      <c r="CM127" s="11">
        <f t="shared" si="437"/>
        <v>0.16</v>
      </c>
      <c r="CN127" s="153">
        <f t="shared" si="320"/>
        <v>0</v>
      </c>
      <c r="CO127" s="154">
        <f t="shared" si="438"/>
        <v>4.4800000000000013</v>
      </c>
      <c r="CP127" s="132">
        <f t="shared" si="321"/>
        <v>0</v>
      </c>
      <c r="CQ127" s="158"/>
      <c r="CR127" s="16">
        <f t="shared" si="439"/>
        <v>77</v>
      </c>
      <c r="CS127" s="43">
        <f t="shared" si="335"/>
        <v>0</v>
      </c>
      <c r="CT127" s="44">
        <f t="shared" si="322"/>
        <v>0</v>
      </c>
      <c r="CU127" s="45">
        <f t="shared" si="440"/>
        <v>1229</v>
      </c>
      <c r="CV127" s="131"/>
      <c r="CW127" s="41">
        <f t="shared" si="373"/>
        <v>1229</v>
      </c>
      <c r="CX127" s="58">
        <f t="shared" si="282"/>
        <v>86</v>
      </c>
      <c r="CY127" s="131"/>
      <c r="CZ127" s="41">
        <f t="shared" si="325"/>
        <v>86</v>
      </c>
      <c r="DA127" s="316"/>
      <c r="DB127" s="198"/>
      <c r="DC127" s="38">
        <v>18</v>
      </c>
      <c r="DD127" s="143"/>
      <c r="DE127" s="227"/>
      <c r="DF127" s="17">
        <f t="shared" si="327"/>
        <v>0</v>
      </c>
      <c r="DG127" s="62">
        <f t="shared" si="351"/>
        <v>0</v>
      </c>
      <c r="DH127" s="144"/>
      <c r="DI127" s="141"/>
      <c r="DJ127" s="141"/>
      <c r="DK127" s="17">
        <f t="shared" si="352"/>
        <v>0</v>
      </c>
      <c r="DL127" s="17">
        <f t="shared" si="342"/>
        <v>0</v>
      </c>
      <c r="DM127" s="17">
        <f t="shared" si="441"/>
        <v>0.16</v>
      </c>
      <c r="DN127" s="235">
        <f t="shared" si="328"/>
        <v>0</v>
      </c>
      <c r="DO127" s="33">
        <f t="shared" si="442"/>
        <v>4.4800000000000013</v>
      </c>
      <c r="DP127" s="210">
        <f t="shared" si="329"/>
        <v>0</v>
      </c>
      <c r="DQ127" s="145"/>
      <c r="DR127" s="31">
        <f t="shared" si="443"/>
        <v>77</v>
      </c>
      <c r="DS127" s="60">
        <f t="shared" si="337"/>
        <v>0</v>
      </c>
      <c r="DT127" s="72">
        <f t="shared" si="330"/>
        <v>0</v>
      </c>
      <c r="DU127" s="52">
        <f t="shared" si="444"/>
        <v>1229</v>
      </c>
      <c r="DV127" s="141"/>
      <c r="DW127" s="71">
        <f t="shared" si="374"/>
        <v>1229</v>
      </c>
      <c r="DX127" s="61">
        <f t="shared" si="287"/>
        <v>86</v>
      </c>
      <c r="DY127" s="141"/>
      <c r="DZ127" s="71">
        <f t="shared" si="333"/>
        <v>86</v>
      </c>
    </row>
    <row r="128" spans="2:130" x14ac:dyDescent="0.25">
      <c r="B128" s="120">
        <f>B127+1</f>
        <v>29</v>
      </c>
      <c r="C128" s="115">
        <f>C127</f>
        <v>18</v>
      </c>
      <c r="D128" s="133"/>
      <c r="E128" s="221"/>
      <c r="F128" s="103">
        <f t="shared" si="290"/>
        <v>93163</v>
      </c>
      <c r="G128" s="107">
        <f t="shared" si="343"/>
        <v>93163</v>
      </c>
      <c r="H128" s="134"/>
      <c r="I128" s="135"/>
      <c r="J128" s="135"/>
      <c r="K128" s="31">
        <f t="shared" si="344"/>
        <v>0</v>
      </c>
      <c r="L128" s="14">
        <f t="shared" si="338"/>
        <v>394</v>
      </c>
      <c r="M128" s="14">
        <f t="shared" si="264"/>
        <v>0.16</v>
      </c>
      <c r="N128" s="47">
        <f t="shared" si="291"/>
        <v>0</v>
      </c>
      <c r="O128" s="35">
        <f t="shared" si="292"/>
        <v>4.4800000000000013</v>
      </c>
      <c r="P128" s="159">
        <f t="shared" si="293"/>
        <v>0.42291467642733704</v>
      </c>
      <c r="Q128" s="142"/>
      <c r="R128" s="13">
        <f t="shared" si="294"/>
        <v>77</v>
      </c>
      <c r="S128" s="48">
        <f t="shared" si="295"/>
        <v>0</v>
      </c>
      <c r="T128" s="49">
        <f t="shared" si="296"/>
        <v>0.11689245893777725</v>
      </c>
      <c r="U128" s="160">
        <f t="shared" si="265"/>
        <v>1229</v>
      </c>
      <c r="V128" s="103">
        <f>V127</f>
        <v>0</v>
      </c>
      <c r="W128" s="46">
        <f t="shared" si="266"/>
        <v>1229</v>
      </c>
      <c r="X128" s="51">
        <f t="shared" si="267"/>
        <v>86</v>
      </c>
      <c r="Y128" s="103">
        <f>Y127</f>
        <v>0</v>
      </c>
      <c r="Z128" s="46">
        <f t="shared" si="299"/>
        <v>86</v>
      </c>
      <c r="AB128" s="120"/>
      <c r="AC128" s="7">
        <f>AC127</f>
        <v>18</v>
      </c>
      <c r="AD128" s="133"/>
      <c r="AE128" s="221"/>
      <c r="AF128" s="14">
        <f t="shared" si="302"/>
        <v>91715</v>
      </c>
      <c r="AG128" s="59">
        <f t="shared" si="345"/>
        <v>91715</v>
      </c>
      <c r="AH128" s="134"/>
      <c r="AI128" s="135"/>
      <c r="AJ128" s="135"/>
      <c r="AK128" s="31">
        <f t="shared" si="346"/>
        <v>0</v>
      </c>
      <c r="AL128" s="14">
        <f t="shared" si="339"/>
        <v>3025</v>
      </c>
      <c r="AM128" s="14">
        <f t="shared" si="429"/>
        <v>0.16</v>
      </c>
      <c r="AN128" s="47">
        <f t="shared" si="303"/>
        <v>0</v>
      </c>
      <c r="AO128" s="35">
        <f t="shared" si="430"/>
        <v>4.4800000000000013</v>
      </c>
      <c r="AP128" s="159">
        <f t="shared" si="334"/>
        <v>3.2982609169710515</v>
      </c>
      <c r="AQ128" s="142"/>
      <c r="AR128" s="14">
        <f t="shared" si="431"/>
        <v>77</v>
      </c>
      <c r="AS128" s="35">
        <f t="shared" si="304"/>
        <v>0</v>
      </c>
      <c r="AT128" s="301">
        <f t="shared" si="305"/>
        <v>5.5413543607296042E-2</v>
      </c>
      <c r="AU128" s="14">
        <f t="shared" si="432"/>
        <v>1229</v>
      </c>
      <c r="AV128" s="103">
        <f>AV127</f>
        <v>0</v>
      </c>
      <c r="AW128" s="46">
        <f t="shared" si="371"/>
        <v>1229</v>
      </c>
      <c r="AX128" s="51">
        <f t="shared" si="272"/>
        <v>86</v>
      </c>
      <c r="AY128" s="103">
        <f>AY127</f>
        <v>0</v>
      </c>
      <c r="AZ128" s="46">
        <f t="shared" si="308"/>
        <v>86</v>
      </c>
      <c r="BA128" s="316"/>
      <c r="BB128" s="120"/>
      <c r="BC128" s="7">
        <f>BC127</f>
        <v>18</v>
      </c>
      <c r="BD128" s="133"/>
      <c r="BE128" s="221"/>
      <c r="BF128" s="14">
        <f t="shared" si="311"/>
        <v>94787</v>
      </c>
      <c r="BG128" s="59">
        <f t="shared" si="347"/>
        <v>94787</v>
      </c>
      <c r="BH128" s="134"/>
      <c r="BI128" s="135"/>
      <c r="BJ128" s="135"/>
      <c r="BK128" s="31">
        <f t="shared" si="348"/>
        <v>0</v>
      </c>
      <c r="BL128" s="14">
        <f t="shared" si="340"/>
        <v>5416</v>
      </c>
      <c r="BM128" s="14">
        <f t="shared" si="433"/>
        <v>0.16</v>
      </c>
      <c r="BN128" s="47">
        <f t="shared" si="312"/>
        <v>0</v>
      </c>
      <c r="BO128" s="35">
        <f t="shared" si="434"/>
        <v>4.4800000000000013</v>
      </c>
      <c r="BP128" s="159">
        <f t="shared" si="313"/>
        <v>5.7138637154884107</v>
      </c>
      <c r="BQ128" s="142"/>
      <c r="BR128" s="13">
        <f t="shared" si="435"/>
        <v>77</v>
      </c>
      <c r="BS128" s="48">
        <f t="shared" si="336"/>
        <v>0</v>
      </c>
      <c r="BT128" s="49">
        <f t="shared" si="314"/>
        <v>7.2033724880284866E-2</v>
      </c>
      <c r="BU128" s="50">
        <f t="shared" si="436"/>
        <v>1229</v>
      </c>
      <c r="BV128" s="103">
        <f>BV127</f>
        <v>0</v>
      </c>
      <c r="BW128" s="46">
        <f t="shared" si="372"/>
        <v>1229</v>
      </c>
      <c r="BX128" s="51">
        <f t="shared" si="277"/>
        <v>86</v>
      </c>
      <c r="BY128" s="103">
        <f>BY127</f>
        <v>0</v>
      </c>
      <c r="BZ128" s="46">
        <f t="shared" si="317"/>
        <v>86</v>
      </c>
      <c r="CA128" s="316"/>
      <c r="CB128" s="120"/>
      <c r="CC128" s="7">
        <f>CC127</f>
        <v>18</v>
      </c>
      <c r="CD128" s="133"/>
      <c r="CE128" s="221"/>
      <c r="CF128" s="14">
        <f t="shared" si="319"/>
        <v>0</v>
      </c>
      <c r="CG128" s="59">
        <f t="shared" si="349"/>
        <v>0</v>
      </c>
      <c r="CH128" s="134"/>
      <c r="CI128" s="135"/>
      <c r="CJ128" s="135"/>
      <c r="CK128" s="31">
        <f t="shared" si="350"/>
        <v>0</v>
      </c>
      <c r="CL128" s="14">
        <f t="shared" si="341"/>
        <v>0</v>
      </c>
      <c r="CM128" s="14">
        <f t="shared" si="437"/>
        <v>0.16</v>
      </c>
      <c r="CN128" s="47">
        <f t="shared" si="320"/>
        <v>0</v>
      </c>
      <c r="CO128" s="35">
        <f t="shared" si="438"/>
        <v>4.4800000000000013</v>
      </c>
      <c r="CP128" s="159">
        <f t="shared" si="321"/>
        <v>0</v>
      </c>
      <c r="CQ128" s="142"/>
      <c r="CR128" s="13">
        <f t="shared" si="439"/>
        <v>77</v>
      </c>
      <c r="CS128" s="48">
        <f>IFERROR(CQ128/CF128,0)</f>
        <v>0</v>
      </c>
      <c r="CT128" s="49">
        <f t="shared" si="322"/>
        <v>0</v>
      </c>
      <c r="CU128" s="50">
        <f t="shared" si="440"/>
        <v>1229</v>
      </c>
      <c r="CV128" s="103">
        <f>CV127</f>
        <v>0</v>
      </c>
      <c r="CW128" s="46">
        <f t="shared" si="373"/>
        <v>1229</v>
      </c>
      <c r="CX128" s="51">
        <f t="shared" si="282"/>
        <v>86</v>
      </c>
      <c r="CY128" s="103">
        <f>CY127</f>
        <v>0</v>
      </c>
      <c r="CZ128" s="46">
        <f t="shared" si="325"/>
        <v>86</v>
      </c>
      <c r="DA128" s="316"/>
      <c r="DB128" s="120"/>
      <c r="DC128" s="7">
        <f>DC127</f>
        <v>18</v>
      </c>
      <c r="DD128" s="133"/>
      <c r="DE128" s="221"/>
      <c r="DF128" s="14">
        <f t="shared" si="327"/>
        <v>0</v>
      </c>
      <c r="DG128" s="59">
        <f t="shared" si="351"/>
        <v>0</v>
      </c>
      <c r="DH128" s="134"/>
      <c r="DI128" s="135"/>
      <c r="DJ128" s="135"/>
      <c r="DK128" s="31">
        <f t="shared" si="352"/>
        <v>0</v>
      </c>
      <c r="DL128" s="14">
        <f t="shared" si="342"/>
        <v>0</v>
      </c>
      <c r="DM128" s="14">
        <f t="shared" si="441"/>
        <v>0.16</v>
      </c>
      <c r="DN128" s="47">
        <f t="shared" si="328"/>
        <v>0</v>
      </c>
      <c r="DO128" s="35">
        <f t="shared" si="442"/>
        <v>4.4800000000000013</v>
      </c>
      <c r="DP128" s="159">
        <f t="shared" si="329"/>
        <v>0</v>
      </c>
      <c r="DQ128" s="142"/>
      <c r="DR128" s="13">
        <f t="shared" si="443"/>
        <v>77</v>
      </c>
      <c r="DS128" s="48">
        <f t="shared" si="337"/>
        <v>0</v>
      </c>
      <c r="DT128" s="49">
        <f t="shared" si="330"/>
        <v>0</v>
      </c>
      <c r="DU128" s="50">
        <f t="shared" si="444"/>
        <v>1229</v>
      </c>
      <c r="DV128" s="103">
        <f>DV127</f>
        <v>0</v>
      </c>
      <c r="DW128" s="46">
        <f t="shared" si="374"/>
        <v>1229</v>
      </c>
      <c r="DX128" s="51">
        <f t="shared" si="287"/>
        <v>86</v>
      </c>
      <c r="DY128" s="103">
        <f>DY127</f>
        <v>0</v>
      </c>
      <c r="DZ128" s="46">
        <f t="shared" si="333"/>
        <v>86</v>
      </c>
    </row>
    <row r="129" spans="2:130" x14ac:dyDescent="0.25">
      <c r="B129" s="120">
        <f t="shared" ref="B129:B133" si="499">B128+1</f>
        <v>30</v>
      </c>
      <c r="C129" s="115">
        <f t="shared" ref="C129:C133" si="500">C128</f>
        <v>18</v>
      </c>
      <c r="D129" s="133"/>
      <c r="E129" s="221"/>
      <c r="F129" s="103">
        <f t="shared" si="290"/>
        <v>93163</v>
      </c>
      <c r="G129" s="107">
        <f t="shared" si="343"/>
        <v>93163</v>
      </c>
      <c r="H129" s="134"/>
      <c r="I129" s="135"/>
      <c r="J129" s="135"/>
      <c r="K129" s="13">
        <f t="shared" si="344"/>
        <v>0</v>
      </c>
      <c r="L129" s="14">
        <f t="shared" si="338"/>
        <v>394</v>
      </c>
      <c r="M129" s="14">
        <f t="shared" si="264"/>
        <v>0.16</v>
      </c>
      <c r="N129" s="47">
        <f t="shared" si="291"/>
        <v>0</v>
      </c>
      <c r="O129" s="35">
        <f t="shared" si="292"/>
        <v>4.4800000000000013</v>
      </c>
      <c r="P129" s="159">
        <f t="shared" si="293"/>
        <v>0.42291467642733704</v>
      </c>
      <c r="Q129" s="142"/>
      <c r="R129" s="14">
        <f t="shared" si="294"/>
        <v>77</v>
      </c>
      <c r="S129" s="48">
        <f t="shared" si="295"/>
        <v>0</v>
      </c>
      <c r="T129" s="49">
        <f t="shared" si="296"/>
        <v>0.11689245893777725</v>
      </c>
      <c r="U129" s="160">
        <f t="shared" si="265"/>
        <v>1229</v>
      </c>
      <c r="V129" s="103">
        <f t="shared" ref="V129:V133" si="501">V128</f>
        <v>0</v>
      </c>
      <c r="W129" s="46">
        <f t="shared" si="266"/>
        <v>1229</v>
      </c>
      <c r="X129" s="51">
        <f t="shared" si="267"/>
        <v>86</v>
      </c>
      <c r="Y129" s="103">
        <f t="shared" ref="Y129:Y133" si="502">Y128</f>
        <v>0</v>
      </c>
      <c r="Z129" s="46">
        <f t="shared" si="299"/>
        <v>86</v>
      </c>
      <c r="AB129" s="120"/>
      <c r="AC129" s="7">
        <f t="shared" ref="AC129:AC133" si="503">AC128</f>
        <v>18</v>
      </c>
      <c r="AD129" s="133"/>
      <c r="AE129" s="221"/>
      <c r="AF129" s="14">
        <f t="shared" si="302"/>
        <v>91715</v>
      </c>
      <c r="AG129" s="59">
        <f t="shared" si="345"/>
        <v>91715</v>
      </c>
      <c r="AH129" s="134"/>
      <c r="AI129" s="135"/>
      <c r="AJ129" s="135"/>
      <c r="AK129" s="13">
        <f t="shared" si="346"/>
        <v>0</v>
      </c>
      <c r="AL129" s="14">
        <f t="shared" si="339"/>
        <v>3025</v>
      </c>
      <c r="AM129" s="14">
        <f t="shared" si="429"/>
        <v>0.16</v>
      </c>
      <c r="AN129" s="47">
        <f t="shared" si="303"/>
        <v>0</v>
      </c>
      <c r="AO129" s="35">
        <f t="shared" si="430"/>
        <v>4.4800000000000013</v>
      </c>
      <c r="AP129" s="159">
        <f t="shared" si="334"/>
        <v>3.2982609169710515</v>
      </c>
      <c r="AQ129" s="142"/>
      <c r="AR129" s="14">
        <f t="shared" si="431"/>
        <v>77</v>
      </c>
      <c r="AS129" s="35">
        <f t="shared" si="304"/>
        <v>0</v>
      </c>
      <c r="AT129" s="301">
        <f t="shared" si="305"/>
        <v>5.5413543607296042E-2</v>
      </c>
      <c r="AU129" s="14">
        <f t="shared" si="432"/>
        <v>1229</v>
      </c>
      <c r="AV129" s="103">
        <f t="shared" ref="AV129:AV133" si="504">AV128</f>
        <v>0</v>
      </c>
      <c r="AW129" s="46">
        <f t="shared" si="371"/>
        <v>1229</v>
      </c>
      <c r="AX129" s="51">
        <f t="shared" si="272"/>
        <v>86</v>
      </c>
      <c r="AY129" s="103">
        <f t="shared" ref="AY129:AY133" si="505">AY128</f>
        <v>0</v>
      </c>
      <c r="AZ129" s="46">
        <f t="shared" si="308"/>
        <v>86</v>
      </c>
      <c r="BA129" s="316"/>
      <c r="BB129" s="120"/>
      <c r="BC129" s="7">
        <f t="shared" ref="BC129:BC133" si="506">BC128</f>
        <v>18</v>
      </c>
      <c r="BD129" s="133"/>
      <c r="BE129" s="221"/>
      <c r="BF129" s="14">
        <f t="shared" si="311"/>
        <v>94787</v>
      </c>
      <c r="BG129" s="59">
        <f t="shared" si="347"/>
        <v>94787</v>
      </c>
      <c r="BH129" s="134"/>
      <c r="BI129" s="135"/>
      <c r="BJ129" s="135"/>
      <c r="BK129" s="13">
        <f t="shared" si="348"/>
        <v>0</v>
      </c>
      <c r="BL129" s="14">
        <f t="shared" si="340"/>
        <v>5416</v>
      </c>
      <c r="BM129" s="14">
        <f t="shared" si="433"/>
        <v>0.16</v>
      </c>
      <c r="BN129" s="47">
        <f t="shared" si="312"/>
        <v>0</v>
      </c>
      <c r="BO129" s="35">
        <f t="shared" si="434"/>
        <v>4.4800000000000013</v>
      </c>
      <c r="BP129" s="159">
        <f t="shared" si="313"/>
        <v>5.7138637154884107</v>
      </c>
      <c r="BQ129" s="142"/>
      <c r="BR129" s="13">
        <f t="shared" si="435"/>
        <v>77</v>
      </c>
      <c r="BS129" s="48">
        <f t="shared" si="336"/>
        <v>0</v>
      </c>
      <c r="BT129" s="49">
        <f t="shared" si="314"/>
        <v>7.2033724880284866E-2</v>
      </c>
      <c r="BU129" s="50">
        <f t="shared" si="436"/>
        <v>1229</v>
      </c>
      <c r="BV129" s="103">
        <f t="shared" ref="BV129:BV133" si="507">BV128</f>
        <v>0</v>
      </c>
      <c r="BW129" s="46">
        <f t="shared" si="372"/>
        <v>1229</v>
      </c>
      <c r="BX129" s="51">
        <f t="shared" si="277"/>
        <v>86</v>
      </c>
      <c r="BY129" s="103">
        <f t="shared" ref="BY129:BY133" si="508">BY128</f>
        <v>0</v>
      </c>
      <c r="BZ129" s="46">
        <f t="shared" si="317"/>
        <v>86</v>
      </c>
      <c r="CA129" s="316"/>
      <c r="CB129" s="120"/>
      <c r="CC129" s="7">
        <f t="shared" ref="CC129:CC133" si="509">CC128</f>
        <v>18</v>
      </c>
      <c r="CD129" s="133"/>
      <c r="CE129" s="221"/>
      <c r="CF129" s="14">
        <f t="shared" si="319"/>
        <v>0</v>
      </c>
      <c r="CG129" s="59">
        <f t="shared" si="349"/>
        <v>0</v>
      </c>
      <c r="CH129" s="134"/>
      <c r="CI129" s="135"/>
      <c r="CJ129" s="135"/>
      <c r="CK129" s="13">
        <f t="shared" si="350"/>
        <v>0</v>
      </c>
      <c r="CL129" s="14">
        <f t="shared" si="341"/>
        <v>0</v>
      </c>
      <c r="CM129" s="14">
        <f t="shared" si="437"/>
        <v>0.16</v>
      </c>
      <c r="CN129" s="47">
        <f t="shared" si="320"/>
        <v>0</v>
      </c>
      <c r="CO129" s="35">
        <f t="shared" si="438"/>
        <v>4.4800000000000013</v>
      </c>
      <c r="CP129" s="159">
        <f t="shared" si="321"/>
        <v>0</v>
      </c>
      <c r="CQ129" s="142"/>
      <c r="CR129" s="13">
        <f t="shared" si="439"/>
        <v>77</v>
      </c>
      <c r="CS129" s="48">
        <f t="shared" si="335"/>
        <v>0</v>
      </c>
      <c r="CT129" s="49">
        <f t="shared" si="322"/>
        <v>0</v>
      </c>
      <c r="CU129" s="50">
        <f t="shared" si="440"/>
        <v>1229</v>
      </c>
      <c r="CV129" s="103">
        <f t="shared" ref="CV129:CV133" si="510">CV128</f>
        <v>0</v>
      </c>
      <c r="CW129" s="46">
        <f t="shared" si="373"/>
        <v>1229</v>
      </c>
      <c r="CX129" s="51">
        <f t="shared" si="282"/>
        <v>86</v>
      </c>
      <c r="CY129" s="103">
        <f t="shared" ref="CY129:CY133" si="511">CY128</f>
        <v>0</v>
      </c>
      <c r="CZ129" s="46">
        <f t="shared" si="325"/>
        <v>86</v>
      </c>
      <c r="DA129" s="316"/>
      <c r="DB129" s="120"/>
      <c r="DC129" s="7">
        <f t="shared" ref="DC129:DC133" si="512">DC128</f>
        <v>18</v>
      </c>
      <c r="DD129" s="133"/>
      <c r="DE129" s="221"/>
      <c r="DF129" s="14">
        <f t="shared" si="327"/>
        <v>0</v>
      </c>
      <c r="DG129" s="59">
        <f t="shared" si="351"/>
        <v>0</v>
      </c>
      <c r="DH129" s="134"/>
      <c r="DI129" s="135"/>
      <c r="DJ129" s="135"/>
      <c r="DK129" s="13">
        <f t="shared" si="352"/>
        <v>0</v>
      </c>
      <c r="DL129" s="14">
        <f t="shared" si="342"/>
        <v>0</v>
      </c>
      <c r="DM129" s="14">
        <f t="shared" si="441"/>
        <v>0.16</v>
      </c>
      <c r="DN129" s="47">
        <f t="shared" si="328"/>
        <v>0</v>
      </c>
      <c r="DO129" s="35">
        <f t="shared" si="442"/>
        <v>4.4800000000000013</v>
      </c>
      <c r="DP129" s="159">
        <f t="shared" si="329"/>
        <v>0</v>
      </c>
      <c r="DQ129" s="142"/>
      <c r="DR129" s="13">
        <f t="shared" si="443"/>
        <v>77</v>
      </c>
      <c r="DS129" s="48">
        <f>IFERROR(DQ129/DF129,0)</f>
        <v>0</v>
      </c>
      <c r="DT129" s="49">
        <f t="shared" si="330"/>
        <v>0</v>
      </c>
      <c r="DU129" s="50">
        <f t="shared" si="444"/>
        <v>1229</v>
      </c>
      <c r="DV129" s="103">
        <f t="shared" ref="DV129:DV133" si="513">DV128</f>
        <v>0</v>
      </c>
      <c r="DW129" s="46">
        <f t="shared" si="374"/>
        <v>1229</v>
      </c>
      <c r="DX129" s="51">
        <f t="shared" si="287"/>
        <v>86</v>
      </c>
      <c r="DY129" s="103">
        <f t="shared" ref="DY129:DY133" si="514">DY128</f>
        <v>0</v>
      </c>
      <c r="DZ129" s="46">
        <f t="shared" si="333"/>
        <v>86</v>
      </c>
    </row>
    <row r="130" spans="2:130" x14ac:dyDescent="0.25">
      <c r="B130" s="120">
        <f t="shared" si="499"/>
        <v>31</v>
      </c>
      <c r="C130" s="115">
        <f t="shared" si="500"/>
        <v>18</v>
      </c>
      <c r="D130" s="133"/>
      <c r="E130" s="221"/>
      <c r="F130" s="103">
        <f t="shared" si="290"/>
        <v>93163</v>
      </c>
      <c r="G130" s="107">
        <f t="shared" si="343"/>
        <v>93163</v>
      </c>
      <c r="H130" s="134"/>
      <c r="I130" s="135"/>
      <c r="J130" s="135"/>
      <c r="K130" s="14">
        <f t="shared" si="344"/>
        <v>0</v>
      </c>
      <c r="L130" s="14">
        <f t="shared" si="338"/>
        <v>394</v>
      </c>
      <c r="M130" s="14">
        <f t="shared" si="264"/>
        <v>0.16</v>
      </c>
      <c r="N130" s="47">
        <f t="shared" si="291"/>
        <v>0</v>
      </c>
      <c r="O130" s="35">
        <f t="shared" si="292"/>
        <v>4.4800000000000013</v>
      </c>
      <c r="P130" s="159">
        <f t="shared" si="293"/>
        <v>0.42291467642733704</v>
      </c>
      <c r="Q130" s="142"/>
      <c r="R130" s="17">
        <f t="shared" si="294"/>
        <v>77</v>
      </c>
      <c r="S130" s="48">
        <f t="shared" si="295"/>
        <v>0</v>
      </c>
      <c r="T130" s="49">
        <f t="shared" si="296"/>
        <v>0.11689245893777725</v>
      </c>
      <c r="U130" s="160">
        <f t="shared" si="265"/>
        <v>1229</v>
      </c>
      <c r="V130" s="103">
        <f t="shared" si="501"/>
        <v>0</v>
      </c>
      <c r="W130" s="46">
        <f t="shared" si="266"/>
        <v>1229</v>
      </c>
      <c r="X130" s="51">
        <f t="shared" si="267"/>
        <v>86</v>
      </c>
      <c r="Y130" s="103">
        <f t="shared" si="502"/>
        <v>0</v>
      </c>
      <c r="Z130" s="46">
        <f t="shared" si="299"/>
        <v>86</v>
      </c>
      <c r="AB130" s="120"/>
      <c r="AC130" s="7">
        <f t="shared" si="503"/>
        <v>18</v>
      </c>
      <c r="AD130" s="133"/>
      <c r="AE130" s="221"/>
      <c r="AF130" s="14">
        <f t="shared" si="302"/>
        <v>91715</v>
      </c>
      <c r="AG130" s="59">
        <f t="shared" si="345"/>
        <v>91715</v>
      </c>
      <c r="AH130" s="134"/>
      <c r="AI130" s="135"/>
      <c r="AJ130" s="135"/>
      <c r="AK130" s="14">
        <f t="shared" si="346"/>
        <v>0</v>
      </c>
      <c r="AL130" s="14">
        <f t="shared" si="339"/>
        <v>3025</v>
      </c>
      <c r="AM130" s="14">
        <f t="shared" si="429"/>
        <v>0.16</v>
      </c>
      <c r="AN130" s="47">
        <f t="shared" si="303"/>
        <v>0</v>
      </c>
      <c r="AO130" s="35">
        <f t="shared" si="430"/>
        <v>4.4800000000000013</v>
      </c>
      <c r="AP130" s="159">
        <f t="shared" si="334"/>
        <v>3.2982609169710515</v>
      </c>
      <c r="AQ130" s="142"/>
      <c r="AR130" s="14">
        <f t="shared" si="431"/>
        <v>77</v>
      </c>
      <c r="AS130" s="35">
        <f t="shared" si="304"/>
        <v>0</v>
      </c>
      <c r="AT130" s="301">
        <f t="shared" si="305"/>
        <v>5.5413543607296042E-2</v>
      </c>
      <c r="AU130" s="14">
        <f t="shared" si="432"/>
        <v>1229</v>
      </c>
      <c r="AV130" s="103">
        <f t="shared" si="504"/>
        <v>0</v>
      </c>
      <c r="AW130" s="46">
        <f t="shared" si="371"/>
        <v>1229</v>
      </c>
      <c r="AX130" s="51">
        <f t="shared" si="272"/>
        <v>86</v>
      </c>
      <c r="AY130" s="103">
        <f t="shared" si="505"/>
        <v>0</v>
      </c>
      <c r="AZ130" s="46">
        <f t="shared" si="308"/>
        <v>86</v>
      </c>
      <c r="BA130" s="316"/>
      <c r="BB130" s="120"/>
      <c r="BC130" s="7">
        <f t="shared" si="506"/>
        <v>18</v>
      </c>
      <c r="BD130" s="133"/>
      <c r="BE130" s="221"/>
      <c r="BF130" s="14">
        <f t="shared" si="311"/>
        <v>94787</v>
      </c>
      <c r="BG130" s="59">
        <f t="shared" si="347"/>
        <v>94787</v>
      </c>
      <c r="BH130" s="134"/>
      <c r="BI130" s="135"/>
      <c r="BJ130" s="135"/>
      <c r="BK130" s="14">
        <f t="shared" si="348"/>
        <v>0</v>
      </c>
      <c r="BL130" s="14">
        <f t="shared" si="340"/>
        <v>5416</v>
      </c>
      <c r="BM130" s="14">
        <f t="shared" si="433"/>
        <v>0.16</v>
      </c>
      <c r="BN130" s="47">
        <f t="shared" si="312"/>
        <v>0</v>
      </c>
      <c r="BO130" s="35">
        <f t="shared" si="434"/>
        <v>4.4800000000000013</v>
      </c>
      <c r="BP130" s="159">
        <f t="shared" si="313"/>
        <v>5.7138637154884107</v>
      </c>
      <c r="BQ130" s="142"/>
      <c r="BR130" s="13">
        <f t="shared" si="435"/>
        <v>77</v>
      </c>
      <c r="BS130" s="48">
        <f t="shared" si="336"/>
        <v>0</v>
      </c>
      <c r="BT130" s="49">
        <f t="shared" si="314"/>
        <v>7.2033724880284866E-2</v>
      </c>
      <c r="BU130" s="50">
        <f t="shared" si="436"/>
        <v>1229</v>
      </c>
      <c r="BV130" s="103">
        <f t="shared" si="507"/>
        <v>0</v>
      </c>
      <c r="BW130" s="46">
        <f t="shared" si="372"/>
        <v>1229</v>
      </c>
      <c r="BX130" s="51">
        <f t="shared" si="277"/>
        <v>86</v>
      </c>
      <c r="BY130" s="103">
        <f t="shared" si="508"/>
        <v>0</v>
      </c>
      <c r="BZ130" s="46">
        <f t="shared" si="317"/>
        <v>86</v>
      </c>
      <c r="CA130" s="316"/>
      <c r="CB130" s="120"/>
      <c r="CC130" s="7">
        <f t="shared" si="509"/>
        <v>18</v>
      </c>
      <c r="CD130" s="133"/>
      <c r="CE130" s="221"/>
      <c r="CF130" s="14">
        <f t="shared" si="319"/>
        <v>0</v>
      </c>
      <c r="CG130" s="59">
        <f t="shared" si="349"/>
        <v>0</v>
      </c>
      <c r="CH130" s="134"/>
      <c r="CI130" s="135"/>
      <c r="CJ130" s="135"/>
      <c r="CK130" s="14">
        <f t="shared" si="350"/>
        <v>0</v>
      </c>
      <c r="CL130" s="14">
        <f t="shared" si="341"/>
        <v>0</v>
      </c>
      <c r="CM130" s="14">
        <f t="shared" si="437"/>
        <v>0.16</v>
      </c>
      <c r="CN130" s="47">
        <f t="shared" si="320"/>
        <v>0</v>
      </c>
      <c r="CO130" s="35">
        <f t="shared" si="438"/>
        <v>4.4800000000000013</v>
      </c>
      <c r="CP130" s="159">
        <f t="shared" si="321"/>
        <v>0</v>
      </c>
      <c r="CQ130" s="142"/>
      <c r="CR130" s="13">
        <f t="shared" si="439"/>
        <v>77</v>
      </c>
      <c r="CS130" s="48">
        <f t="shared" si="335"/>
        <v>0</v>
      </c>
      <c r="CT130" s="49">
        <f t="shared" si="322"/>
        <v>0</v>
      </c>
      <c r="CU130" s="50">
        <f t="shared" si="440"/>
        <v>1229</v>
      </c>
      <c r="CV130" s="103">
        <f t="shared" si="510"/>
        <v>0</v>
      </c>
      <c r="CW130" s="46">
        <f t="shared" si="373"/>
        <v>1229</v>
      </c>
      <c r="CX130" s="51">
        <f t="shared" si="282"/>
        <v>86</v>
      </c>
      <c r="CY130" s="103">
        <f t="shared" si="511"/>
        <v>0</v>
      </c>
      <c r="CZ130" s="46">
        <f t="shared" si="325"/>
        <v>86</v>
      </c>
      <c r="DA130" s="316"/>
      <c r="DB130" s="120"/>
      <c r="DC130" s="7">
        <f t="shared" si="512"/>
        <v>18</v>
      </c>
      <c r="DD130" s="133"/>
      <c r="DE130" s="221"/>
      <c r="DF130" s="14">
        <f t="shared" si="327"/>
        <v>0</v>
      </c>
      <c r="DG130" s="59">
        <f t="shared" si="351"/>
        <v>0</v>
      </c>
      <c r="DH130" s="134"/>
      <c r="DI130" s="135"/>
      <c r="DJ130" s="135"/>
      <c r="DK130" s="14">
        <f t="shared" si="352"/>
        <v>0</v>
      </c>
      <c r="DL130" s="14">
        <f t="shared" si="342"/>
        <v>0</v>
      </c>
      <c r="DM130" s="14">
        <f t="shared" si="441"/>
        <v>0.16</v>
      </c>
      <c r="DN130" s="47">
        <f t="shared" si="328"/>
        <v>0</v>
      </c>
      <c r="DO130" s="35">
        <f t="shared" si="442"/>
        <v>4.4800000000000013</v>
      </c>
      <c r="DP130" s="159">
        <f t="shared" si="329"/>
        <v>0</v>
      </c>
      <c r="DQ130" s="142"/>
      <c r="DR130" s="13">
        <f t="shared" si="443"/>
        <v>77</v>
      </c>
      <c r="DS130" s="48">
        <f t="shared" si="337"/>
        <v>0</v>
      </c>
      <c r="DT130" s="49">
        <f t="shared" si="330"/>
        <v>0</v>
      </c>
      <c r="DU130" s="50">
        <f t="shared" si="444"/>
        <v>1229</v>
      </c>
      <c r="DV130" s="103">
        <f t="shared" si="513"/>
        <v>0</v>
      </c>
      <c r="DW130" s="46">
        <f t="shared" si="374"/>
        <v>1229</v>
      </c>
      <c r="DX130" s="51">
        <f t="shared" si="287"/>
        <v>86</v>
      </c>
      <c r="DY130" s="103">
        <f t="shared" si="514"/>
        <v>0</v>
      </c>
      <c r="DZ130" s="46">
        <f t="shared" si="333"/>
        <v>86</v>
      </c>
    </row>
    <row r="131" spans="2:130" x14ac:dyDescent="0.25">
      <c r="B131" s="120">
        <v>1</v>
      </c>
      <c r="C131" s="115">
        <f t="shared" si="500"/>
        <v>18</v>
      </c>
      <c r="D131" s="133"/>
      <c r="E131" s="221"/>
      <c r="F131" s="103">
        <f t="shared" si="290"/>
        <v>93163</v>
      </c>
      <c r="G131" s="104">
        <f t="shared" si="343"/>
        <v>93163</v>
      </c>
      <c r="H131" s="134"/>
      <c r="I131" s="135"/>
      <c r="J131" s="135"/>
      <c r="K131" s="31">
        <f t="shared" si="344"/>
        <v>0</v>
      </c>
      <c r="L131" s="14">
        <f t="shared" si="338"/>
        <v>394</v>
      </c>
      <c r="M131" s="14">
        <f t="shared" si="264"/>
        <v>0.16</v>
      </c>
      <c r="N131" s="47">
        <f t="shared" si="291"/>
        <v>0</v>
      </c>
      <c r="O131" s="35">
        <f t="shared" si="292"/>
        <v>4.4800000000000013</v>
      </c>
      <c r="P131" s="159">
        <f t="shared" si="293"/>
        <v>0.42291467642733704</v>
      </c>
      <c r="Q131" s="142"/>
      <c r="R131" s="12">
        <f t="shared" si="294"/>
        <v>77</v>
      </c>
      <c r="S131" s="48">
        <f t="shared" si="295"/>
        <v>0</v>
      </c>
      <c r="T131" s="49">
        <f t="shared" si="296"/>
        <v>0.11689245893777725</v>
      </c>
      <c r="U131" s="160">
        <f t="shared" si="265"/>
        <v>1229</v>
      </c>
      <c r="V131" s="103">
        <f t="shared" si="501"/>
        <v>0</v>
      </c>
      <c r="W131" s="46">
        <f t="shared" si="266"/>
        <v>1229</v>
      </c>
      <c r="X131" s="51">
        <f t="shared" si="267"/>
        <v>86</v>
      </c>
      <c r="Y131" s="103">
        <f t="shared" si="502"/>
        <v>0</v>
      </c>
      <c r="Z131" s="46">
        <f t="shared" si="299"/>
        <v>86</v>
      </c>
      <c r="AB131" s="120"/>
      <c r="AC131" s="7">
        <f t="shared" si="503"/>
        <v>18</v>
      </c>
      <c r="AD131" s="133"/>
      <c r="AE131" s="221"/>
      <c r="AF131" s="14">
        <f t="shared" si="302"/>
        <v>91715</v>
      </c>
      <c r="AG131" s="46">
        <f t="shared" si="345"/>
        <v>91715</v>
      </c>
      <c r="AH131" s="134"/>
      <c r="AI131" s="135"/>
      <c r="AJ131" s="135"/>
      <c r="AK131" s="31">
        <f t="shared" si="346"/>
        <v>0</v>
      </c>
      <c r="AL131" s="14">
        <f t="shared" si="339"/>
        <v>3025</v>
      </c>
      <c r="AM131" s="14">
        <f t="shared" si="429"/>
        <v>0.16</v>
      </c>
      <c r="AN131" s="47">
        <f t="shared" si="303"/>
        <v>0</v>
      </c>
      <c r="AO131" s="35">
        <f t="shared" si="430"/>
        <v>4.4800000000000013</v>
      </c>
      <c r="AP131" s="159">
        <f t="shared" si="334"/>
        <v>3.2982609169710515</v>
      </c>
      <c r="AQ131" s="142"/>
      <c r="AR131" s="14">
        <f t="shared" si="431"/>
        <v>77</v>
      </c>
      <c r="AS131" s="35">
        <f t="shared" si="304"/>
        <v>0</v>
      </c>
      <c r="AT131" s="301">
        <f t="shared" si="305"/>
        <v>5.5413543607296042E-2</v>
      </c>
      <c r="AU131" s="14">
        <f t="shared" si="432"/>
        <v>1229</v>
      </c>
      <c r="AV131" s="103">
        <f t="shared" si="504"/>
        <v>0</v>
      </c>
      <c r="AW131" s="46">
        <f t="shared" si="371"/>
        <v>1229</v>
      </c>
      <c r="AX131" s="51">
        <f t="shared" si="272"/>
        <v>86</v>
      </c>
      <c r="AY131" s="103">
        <f t="shared" si="505"/>
        <v>0</v>
      </c>
      <c r="AZ131" s="46">
        <f t="shared" si="308"/>
        <v>86</v>
      </c>
      <c r="BA131" s="316"/>
      <c r="BB131" s="120"/>
      <c r="BC131" s="7">
        <f t="shared" si="506"/>
        <v>18</v>
      </c>
      <c r="BD131" s="133"/>
      <c r="BE131" s="221"/>
      <c r="BF131" s="14">
        <f t="shared" si="311"/>
        <v>94787</v>
      </c>
      <c r="BG131" s="46">
        <f t="shared" si="347"/>
        <v>94787</v>
      </c>
      <c r="BH131" s="134"/>
      <c r="BI131" s="135"/>
      <c r="BJ131" s="135"/>
      <c r="BK131" s="31">
        <f t="shared" si="348"/>
        <v>0</v>
      </c>
      <c r="BL131" s="14">
        <f t="shared" si="340"/>
        <v>5416</v>
      </c>
      <c r="BM131" s="14">
        <f t="shared" si="433"/>
        <v>0.16</v>
      </c>
      <c r="BN131" s="47">
        <f t="shared" si="312"/>
        <v>0</v>
      </c>
      <c r="BO131" s="35">
        <f t="shared" si="434"/>
        <v>4.4800000000000013</v>
      </c>
      <c r="BP131" s="159">
        <f t="shared" si="313"/>
        <v>5.7138637154884107</v>
      </c>
      <c r="BQ131" s="142"/>
      <c r="BR131" s="13">
        <f t="shared" si="435"/>
        <v>77</v>
      </c>
      <c r="BS131" s="48">
        <f t="shared" si="336"/>
        <v>0</v>
      </c>
      <c r="BT131" s="49">
        <f t="shared" si="314"/>
        <v>7.2033724880284866E-2</v>
      </c>
      <c r="BU131" s="50">
        <f t="shared" si="436"/>
        <v>1229</v>
      </c>
      <c r="BV131" s="103">
        <f t="shared" si="507"/>
        <v>0</v>
      </c>
      <c r="BW131" s="46">
        <f t="shared" si="372"/>
        <v>1229</v>
      </c>
      <c r="BX131" s="51">
        <f t="shared" si="277"/>
        <v>86</v>
      </c>
      <c r="BY131" s="103">
        <f t="shared" si="508"/>
        <v>0</v>
      </c>
      <c r="BZ131" s="46">
        <f t="shared" si="317"/>
        <v>86</v>
      </c>
      <c r="CA131" s="316"/>
      <c r="CB131" s="120"/>
      <c r="CC131" s="7">
        <f t="shared" si="509"/>
        <v>18</v>
      </c>
      <c r="CD131" s="133"/>
      <c r="CE131" s="221"/>
      <c r="CF131" s="14">
        <f t="shared" si="319"/>
        <v>0</v>
      </c>
      <c r="CG131" s="46">
        <f t="shared" si="349"/>
        <v>0</v>
      </c>
      <c r="CH131" s="134"/>
      <c r="CI131" s="135"/>
      <c r="CJ131" s="135"/>
      <c r="CK131" s="31">
        <f t="shared" si="350"/>
        <v>0</v>
      </c>
      <c r="CL131" s="14">
        <f t="shared" si="341"/>
        <v>0</v>
      </c>
      <c r="CM131" s="14">
        <f t="shared" si="437"/>
        <v>0.16</v>
      </c>
      <c r="CN131" s="47">
        <f t="shared" si="320"/>
        <v>0</v>
      </c>
      <c r="CO131" s="35">
        <f t="shared" si="438"/>
        <v>4.4800000000000013</v>
      </c>
      <c r="CP131" s="159">
        <f t="shared" si="321"/>
        <v>0</v>
      </c>
      <c r="CQ131" s="142"/>
      <c r="CR131" s="13">
        <f t="shared" si="439"/>
        <v>77</v>
      </c>
      <c r="CS131" s="48">
        <f t="shared" si="335"/>
        <v>0</v>
      </c>
      <c r="CT131" s="49">
        <f t="shared" si="322"/>
        <v>0</v>
      </c>
      <c r="CU131" s="50">
        <f t="shared" si="440"/>
        <v>1229</v>
      </c>
      <c r="CV131" s="103">
        <f t="shared" si="510"/>
        <v>0</v>
      </c>
      <c r="CW131" s="46">
        <f t="shared" si="373"/>
        <v>1229</v>
      </c>
      <c r="CX131" s="51">
        <f t="shared" si="282"/>
        <v>86</v>
      </c>
      <c r="CY131" s="103">
        <f t="shared" si="511"/>
        <v>0</v>
      </c>
      <c r="CZ131" s="46">
        <f t="shared" si="325"/>
        <v>86</v>
      </c>
      <c r="DA131" s="316"/>
      <c r="DB131" s="120"/>
      <c r="DC131" s="7">
        <f t="shared" si="512"/>
        <v>18</v>
      </c>
      <c r="DD131" s="133"/>
      <c r="DE131" s="221"/>
      <c r="DF131" s="14">
        <f t="shared" si="327"/>
        <v>0</v>
      </c>
      <c r="DG131" s="46">
        <f t="shared" si="351"/>
        <v>0</v>
      </c>
      <c r="DH131" s="134"/>
      <c r="DI131" s="135"/>
      <c r="DJ131" s="135"/>
      <c r="DK131" s="31">
        <f t="shared" si="352"/>
        <v>0</v>
      </c>
      <c r="DL131" s="14">
        <f t="shared" si="342"/>
        <v>0</v>
      </c>
      <c r="DM131" s="14">
        <f t="shared" si="441"/>
        <v>0.16</v>
      </c>
      <c r="DN131" s="47">
        <f t="shared" si="328"/>
        <v>0</v>
      </c>
      <c r="DO131" s="35">
        <f t="shared" si="442"/>
        <v>4.4800000000000013</v>
      </c>
      <c r="DP131" s="159">
        <f t="shared" si="329"/>
        <v>0</v>
      </c>
      <c r="DQ131" s="142"/>
      <c r="DR131" s="13">
        <f t="shared" si="443"/>
        <v>77</v>
      </c>
      <c r="DS131" s="48">
        <f t="shared" si="337"/>
        <v>0</v>
      </c>
      <c r="DT131" s="49">
        <f t="shared" si="330"/>
        <v>0</v>
      </c>
      <c r="DU131" s="50">
        <f t="shared" si="444"/>
        <v>1229</v>
      </c>
      <c r="DV131" s="103">
        <f t="shared" si="513"/>
        <v>0</v>
      </c>
      <c r="DW131" s="46">
        <f t="shared" si="374"/>
        <v>1229</v>
      </c>
      <c r="DX131" s="51">
        <f t="shared" si="287"/>
        <v>86</v>
      </c>
      <c r="DY131" s="103">
        <f t="shared" si="514"/>
        <v>0</v>
      </c>
      <c r="DZ131" s="46">
        <f t="shared" si="333"/>
        <v>86</v>
      </c>
    </row>
    <row r="132" spans="2:130" x14ac:dyDescent="0.25">
      <c r="B132" s="120">
        <v>2</v>
      </c>
      <c r="C132" s="115">
        <f t="shared" si="500"/>
        <v>18</v>
      </c>
      <c r="D132" s="133"/>
      <c r="E132" s="221"/>
      <c r="F132" s="103">
        <f t="shared" si="290"/>
        <v>93163</v>
      </c>
      <c r="G132" s="108">
        <f t="shared" si="343"/>
        <v>93163</v>
      </c>
      <c r="H132" s="134"/>
      <c r="I132" s="135"/>
      <c r="J132" s="135"/>
      <c r="K132" s="14">
        <f t="shared" si="344"/>
        <v>0</v>
      </c>
      <c r="L132" s="14">
        <f t="shared" si="338"/>
        <v>394</v>
      </c>
      <c r="M132" s="31">
        <f t="shared" si="264"/>
        <v>0.16</v>
      </c>
      <c r="N132" s="47">
        <f t="shared" si="291"/>
        <v>0</v>
      </c>
      <c r="O132" s="37">
        <f t="shared" si="292"/>
        <v>4.4800000000000013</v>
      </c>
      <c r="P132" s="159">
        <f t="shared" si="293"/>
        <v>0.42291467642733704</v>
      </c>
      <c r="Q132" s="142"/>
      <c r="R132" s="14">
        <f t="shared" si="294"/>
        <v>77</v>
      </c>
      <c r="S132" s="48">
        <f t="shared" si="295"/>
        <v>0</v>
      </c>
      <c r="T132" s="49">
        <f t="shared" si="296"/>
        <v>0.11689245893777725</v>
      </c>
      <c r="U132" s="160">
        <f t="shared" si="265"/>
        <v>1229</v>
      </c>
      <c r="V132" s="103">
        <f t="shared" si="501"/>
        <v>0</v>
      </c>
      <c r="W132" s="46">
        <f t="shared" si="266"/>
        <v>1229</v>
      </c>
      <c r="X132" s="51">
        <f t="shared" si="267"/>
        <v>86</v>
      </c>
      <c r="Y132" s="103">
        <f t="shared" si="502"/>
        <v>0</v>
      </c>
      <c r="Z132" s="62">
        <f t="shared" si="299"/>
        <v>86</v>
      </c>
      <c r="AB132" s="120"/>
      <c r="AC132" s="7">
        <f t="shared" si="503"/>
        <v>18</v>
      </c>
      <c r="AD132" s="133"/>
      <c r="AE132" s="221"/>
      <c r="AF132" s="14">
        <f t="shared" si="302"/>
        <v>91715</v>
      </c>
      <c r="AG132" s="62">
        <f t="shared" si="345"/>
        <v>91715</v>
      </c>
      <c r="AH132" s="134"/>
      <c r="AI132" s="135"/>
      <c r="AJ132" s="135"/>
      <c r="AK132" s="14">
        <f t="shared" si="346"/>
        <v>0</v>
      </c>
      <c r="AL132" s="14">
        <f t="shared" si="339"/>
        <v>3025</v>
      </c>
      <c r="AM132" s="14">
        <f t="shared" si="429"/>
        <v>0.16</v>
      </c>
      <c r="AN132" s="231">
        <f t="shared" si="303"/>
        <v>0</v>
      </c>
      <c r="AO132" s="37">
        <f t="shared" si="430"/>
        <v>4.4800000000000013</v>
      </c>
      <c r="AP132" s="155">
        <f t="shared" si="334"/>
        <v>3.2982609169710515</v>
      </c>
      <c r="AQ132" s="142"/>
      <c r="AR132" s="14">
        <f t="shared" si="431"/>
        <v>77</v>
      </c>
      <c r="AS132" s="35">
        <f t="shared" si="304"/>
        <v>0</v>
      </c>
      <c r="AT132" s="301">
        <f t="shared" si="305"/>
        <v>5.5413543607296042E-2</v>
      </c>
      <c r="AU132" s="14">
        <f t="shared" si="432"/>
        <v>1229</v>
      </c>
      <c r="AV132" s="103">
        <f t="shared" si="504"/>
        <v>0</v>
      </c>
      <c r="AW132" s="46">
        <f t="shared" si="371"/>
        <v>1229</v>
      </c>
      <c r="AX132" s="51">
        <f t="shared" si="272"/>
        <v>86</v>
      </c>
      <c r="AY132" s="103">
        <f t="shared" si="505"/>
        <v>0</v>
      </c>
      <c r="AZ132" s="62">
        <f t="shared" si="308"/>
        <v>86</v>
      </c>
      <c r="BA132" s="316"/>
      <c r="BB132" s="120"/>
      <c r="BC132" s="7">
        <f t="shared" si="506"/>
        <v>18</v>
      </c>
      <c r="BD132" s="133"/>
      <c r="BE132" s="221"/>
      <c r="BF132" s="14">
        <f t="shared" si="311"/>
        <v>94787</v>
      </c>
      <c r="BG132" s="62">
        <f t="shared" si="347"/>
        <v>94787</v>
      </c>
      <c r="BH132" s="134"/>
      <c r="BI132" s="135"/>
      <c r="BJ132" s="135"/>
      <c r="BK132" s="14">
        <f t="shared" si="348"/>
        <v>0</v>
      </c>
      <c r="BL132" s="14">
        <f t="shared" si="340"/>
        <v>5416</v>
      </c>
      <c r="BM132" s="14">
        <f t="shared" si="433"/>
        <v>0.16</v>
      </c>
      <c r="BN132" s="47">
        <f t="shared" si="312"/>
        <v>0</v>
      </c>
      <c r="BO132" s="35">
        <f t="shared" si="434"/>
        <v>4.4800000000000013</v>
      </c>
      <c r="BP132" s="159">
        <f t="shared" si="313"/>
        <v>5.7138637154884107</v>
      </c>
      <c r="BQ132" s="142"/>
      <c r="BR132" s="13">
        <f t="shared" si="435"/>
        <v>77</v>
      </c>
      <c r="BS132" s="48">
        <f t="shared" si="336"/>
        <v>0</v>
      </c>
      <c r="BT132" s="49">
        <f t="shared" si="314"/>
        <v>7.2033724880284866E-2</v>
      </c>
      <c r="BU132" s="50">
        <f t="shared" si="436"/>
        <v>1229</v>
      </c>
      <c r="BV132" s="103">
        <f t="shared" si="507"/>
        <v>0</v>
      </c>
      <c r="BW132" s="46">
        <f t="shared" si="372"/>
        <v>1229</v>
      </c>
      <c r="BX132" s="51">
        <f t="shared" si="277"/>
        <v>86</v>
      </c>
      <c r="BY132" s="103">
        <f t="shared" si="508"/>
        <v>0</v>
      </c>
      <c r="BZ132" s="62">
        <f t="shared" si="317"/>
        <v>86</v>
      </c>
      <c r="CA132" s="316"/>
      <c r="CB132" s="120"/>
      <c r="CC132" s="7">
        <f t="shared" si="509"/>
        <v>18</v>
      </c>
      <c r="CD132" s="133"/>
      <c r="CE132" s="221"/>
      <c r="CF132" s="14">
        <f t="shared" si="319"/>
        <v>0</v>
      </c>
      <c r="CG132" s="62">
        <f t="shared" si="349"/>
        <v>0</v>
      </c>
      <c r="CH132" s="134"/>
      <c r="CI132" s="135"/>
      <c r="CJ132" s="135"/>
      <c r="CK132" s="14">
        <f t="shared" si="350"/>
        <v>0</v>
      </c>
      <c r="CL132" s="14">
        <f t="shared" si="341"/>
        <v>0</v>
      </c>
      <c r="CM132" s="14">
        <f t="shared" si="437"/>
        <v>0.16</v>
      </c>
      <c r="CN132" s="47">
        <f t="shared" si="320"/>
        <v>0</v>
      </c>
      <c r="CO132" s="35">
        <f t="shared" si="438"/>
        <v>4.4800000000000013</v>
      </c>
      <c r="CP132" s="159">
        <f t="shared" si="321"/>
        <v>0</v>
      </c>
      <c r="CQ132" s="142"/>
      <c r="CR132" s="13">
        <f t="shared" si="439"/>
        <v>77</v>
      </c>
      <c r="CS132" s="48">
        <f t="shared" si="335"/>
        <v>0</v>
      </c>
      <c r="CT132" s="49">
        <f t="shared" si="322"/>
        <v>0</v>
      </c>
      <c r="CU132" s="50">
        <f t="shared" si="440"/>
        <v>1229</v>
      </c>
      <c r="CV132" s="103">
        <f t="shared" si="510"/>
        <v>0</v>
      </c>
      <c r="CW132" s="46">
        <f t="shared" si="373"/>
        <v>1229</v>
      </c>
      <c r="CX132" s="51">
        <f t="shared" si="282"/>
        <v>86</v>
      </c>
      <c r="CY132" s="103">
        <f t="shared" si="511"/>
        <v>0</v>
      </c>
      <c r="CZ132" s="62">
        <f t="shared" si="325"/>
        <v>86</v>
      </c>
      <c r="DA132" s="316"/>
      <c r="DB132" s="120"/>
      <c r="DC132" s="7">
        <f t="shared" si="512"/>
        <v>18</v>
      </c>
      <c r="DD132" s="133"/>
      <c r="DE132" s="221"/>
      <c r="DF132" s="14">
        <f t="shared" si="327"/>
        <v>0</v>
      </c>
      <c r="DG132" s="62">
        <f t="shared" si="351"/>
        <v>0</v>
      </c>
      <c r="DH132" s="134"/>
      <c r="DI132" s="135"/>
      <c r="DJ132" s="135"/>
      <c r="DK132" s="14">
        <f t="shared" si="352"/>
        <v>0</v>
      </c>
      <c r="DL132" s="14">
        <f t="shared" si="342"/>
        <v>0</v>
      </c>
      <c r="DM132" s="14">
        <f t="shared" si="441"/>
        <v>0.16</v>
      </c>
      <c r="DN132" s="47">
        <f t="shared" si="328"/>
        <v>0</v>
      </c>
      <c r="DO132" s="35">
        <f t="shared" si="442"/>
        <v>4.4800000000000013</v>
      </c>
      <c r="DP132" s="159">
        <f t="shared" si="329"/>
        <v>0</v>
      </c>
      <c r="DQ132" s="142"/>
      <c r="DR132" s="13">
        <f t="shared" si="443"/>
        <v>77</v>
      </c>
      <c r="DS132" s="48">
        <f t="shared" si="337"/>
        <v>0</v>
      </c>
      <c r="DT132" s="49">
        <f t="shared" si="330"/>
        <v>0</v>
      </c>
      <c r="DU132" s="50">
        <f t="shared" si="444"/>
        <v>1229</v>
      </c>
      <c r="DV132" s="103">
        <f t="shared" si="513"/>
        <v>0</v>
      </c>
      <c r="DW132" s="46">
        <f t="shared" si="374"/>
        <v>1229</v>
      </c>
      <c r="DX132" s="51">
        <f t="shared" si="287"/>
        <v>86</v>
      </c>
      <c r="DY132" s="103">
        <f t="shared" si="514"/>
        <v>0</v>
      </c>
      <c r="DZ132" s="62">
        <f t="shared" si="333"/>
        <v>86</v>
      </c>
    </row>
    <row r="133" spans="2:130" ht="17.25" thickBot="1" x14ac:dyDescent="0.3">
      <c r="B133" s="120">
        <f t="shared" si="499"/>
        <v>3</v>
      </c>
      <c r="C133" s="116">
        <f t="shared" si="500"/>
        <v>18</v>
      </c>
      <c r="D133" s="136"/>
      <c r="E133" s="226"/>
      <c r="F133" s="109">
        <f t="shared" si="290"/>
        <v>93163</v>
      </c>
      <c r="G133" s="105">
        <f t="shared" si="343"/>
        <v>93163</v>
      </c>
      <c r="H133" s="137"/>
      <c r="I133" s="138"/>
      <c r="J133" s="138"/>
      <c r="K133" s="34">
        <f t="shared" si="344"/>
        <v>0</v>
      </c>
      <c r="L133" s="32">
        <f t="shared" si="338"/>
        <v>394</v>
      </c>
      <c r="M133" s="32">
        <f t="shared" si="264"/>
        <v>0.16</v>
      </c>
      <c r="N133" s="96">
        <f t="shared" si="291"/>
        <v>0</v>
      </c>
      <c r="O133" s="36">
        <f t="shared" si="292"/>
        <v>4.4800000000000013</v>
      </c>
      <c r="P133" s="156">
        <f t="shared" si="293"/>
        <v>0.42291467642733704</v>
      </c>
      <c r="Q133" s="139"/>
      <c r="R133" s="15">
        <f t="shared" si="294"/>
        <v>77</v>
      </c>
      <c r="S133" s="64">
        <f t="shared" si="295"/>
        <v>0</v>
      </c>
      <c r="T133" s="55">
        <f t="shared" si="296"/>
        <v>0.11689245893777725</v>
      </c>
      <c r="U133" s="15">
        <f t="shared" si="265"/>
        <v>1229</v>
      </c>
      <c r="V133" s="109">
        <f t="shared" si="501"/>
        <v>0</v>
      </c>
      <c r="W133" s="63">
        <f t="shared" si="266"/>
        <v>1229</v>
      </c>
      <c r="X133" s="65">
        <f t="shared" si="267"/>
        <v>86</v>
      </c>
      <c r="Y133" s="109">
        <f t="shared" si="502"/>
        <v>0</v>
      </c>
      <c r="Z133" s="53">
        <f t="shared" si="299"/>
        <v>86</v>
      </c>
      <c r="AB133" s="197"/>
      <c r="AC133" s="8">
        <f t="shared" si="503"/>
        <v>18</v>
      </c>
      <c r="AD133" s="136"/>
      <c r="AE133" s="226"/>
      <c r="AF133" s="32">
        <f t="shared" si="302"/>
        <v>91715</v>
      </c>
      <c r="AG133" s="53">
        <f t="shared" si="345"/>
        <v>91715</v>
      </c>
      <c r="AH133" s="137"/>
      <c r="AI133" s="138"/>
      <c r="AJ133" s="138"/>
      <c r="AK133" s="34">
        <f t="shared" si="346"/>
        <v>0</v>
      </c>
      <c r="AL133" s="32">
        <f t="shared" si="339"/>
        <v>3025</v>
      </c>
      <c r="AM133" s="34">
        <f t="shared" si="429"/>
        <v>0.16</v>
      </c>
      <c r="AN133" s="96">
        <f t="shared" si="303"/>
        <v>0</v>
      </c>
      <c r="AO133" s="36">
        <f t="shared" si="430"/>
        <v>4.4800000000000013</v>
      </c>
      <c r="AP133" s="156">
        <f t="shared" si="334"/>
        <v>3.2982609169710515</v>
      </c>
      <c r="AQ133" s="139"/>
      <c r="AR133" s="34">
        <f t="shared" si="431"/>
        <v>77</v>
      </c>
      <c r="AS133" s="40">
        <f t="shared" si="304"/>
        <v>0</v>
      </c>
      <c r="AT133" s="304">
        <f t="shared" si="305"/>
        <v>5.5413543607296042E-2</v>
      </c>
      <c r="AU133" s="32">
        <f t="shared" si="432"/>
        <v>1229</v>
      </c>
      <c r="AV133" s="109">
        <f t="shared" si="504"/>
        <v>0</v>
      </c>
      <c r="AW133" s="63">
        <f t="shared" si="371"/>
        <v>1229</v>
      </c>
      <c r="AX133" s="65">
        <f t="shared" si="272"/>
        <v>86</v>
      </c>
      <c r="AY133" s="109">
        <f t="shared" si="505"/>
        <v>0</v>
      </c>
      <c r="AZ133" s="53">
        <f t="shared" si="308"/>
        <v>86</v>
      </c>
      <c r="BA133" s="316"/>
      <c r="BB133" s="197"/>
      <c r="BC133" s="8">
        <f t="shared" si="506"/>
        <v>18</v>
      </c>
      <c r="BD133" s="136"/>
      <c r="BE133" s="226"/>
      <c r="BF133" s="32">
        <f t="shared" si="311"/>
        <v>94787</v>
      </c>
      <c r="BG133" s="53">
        <f t="shared" si="347"/>
        <v>94787</v>
      </c>
      <c r="BH133" s="137"/>
      <c r="BI133" s="138"/>
      <c r="BJ133" s="138"/>
      <c r="BK133" s="34">
        <f t="shared" si="348"/>
        <v>0</v>
      </c>
      <c r="BL133" s="32">
        <f t="shared" si="340"/>
        <v>5416</v>
      </c>
      <c r="BM133" s="32">
        <f t="shared" si="433"/>
        <v>0.16</v>
      </c>
      <c r="BN133" s="166">
        <f t="shared" si="312"/>
        <v>0</v>
      </c>
      <c r="BO133" s="40">
        <f t="shared" si="434"/>
        <v>4.4800000000000013</v>
      </c>
      <c r="BP133" s="167">
        <f t="shared" si="313"/>
        <v>5.7138637154884107</v>
      </c>
      <c r="BQ133" s="139"/>
      <c r="BR133" s="32">
        <f t="shared" si="435"/>
        <v>77</v>
      </c>
      <c r="BS133" s="54">
        <f t="shared" si="336"/>
        <v>0</v>
      </c>
      <c r="BT133" s="55">
        <f t="shared" si="314"/>
        <v>7.2033724880284866E-2</v>
      </c>
      <c r="BU133" s="56">
        <f t="shared" si="436"/>
        <v>1229</v>
      </c>
      <c r="BV133" s="109">
        <f t="shared" si="507"/>
        <v>0</v>
      </c>
      <c r="BW133" s="63">
        <f t="shared" si="372"/>
        <v>1229</v>
      </c>
      <c r="BX133" s="65">
        <f t="shared" si="277"/>
        <v>86</v>
      </c>
      <c r="BY133" s="109">
        <f t="shared" si="508"/>
        <v>0</v>
      </c>
      <c r="BZ133" s="53">
        <f t="shared" si="317"/>
        <v>86</v>
      </c>
      <c r="CA133" s="316"/>
      <c r="CB133" s="197"/>
      <c r="CC133" s="8">
        <f t="shared" si="509"/>
        <v>18</v>
      </c>
      <c r="CD133" s="136"/>
      <c r="CE133" s="226"/>
      <c r="CF133" s="32">
        <f t="shared" si="319"/>
        <v>0</v>
      </c>
      <c r="CG133" s="53">
        <f t="shared" si="349"/>
        <v>0</v>
      </c>
      <c r="CH133" s="137"/>
      <c r="CI133" s="138"/>
      <c r="CJ133" s="138"/>
      <c r="CK133" s="34">
        <f t="shared" si="350"/>
        <v>0</v>
      </c>
      <c r="CL133" s="32">
        <f t="shared" si="341"/>
        <v>0</v>
      </c>
      <c r="CM133" s="32">
        <f t="shared" si="437"/>
        <v>0.16</v>
      </c>
      <c r="CN133" s="166">
        <f t="shared" si="320"/>
        <v>0</v>
      </c>
      <c r="CO133" s="40">
        <f t="shared" si="438"/>
        <v>4.4800000000000013</v>
      </c>
      <c r="CP133" s="167">
        <f t="shared" si="321"/>
        <v>0</v>
      </c>
      <c r="CQ133" s="139"/>
      <c r="CR133" s="32">
        <f t="shared" si="439"/>
        <v>77</v>
      </c>
      <c r="CS133" s="54">
        <f t="shared" si="335"/>
        <v>0</v>
      </c>
      <c r="CT133" s="55">
        <f t="shared" si="322"/>
        <v>0</v>
      </c>
      <c r="CU133" s="56">
        <f t="shared" si="440"/>
        <v>1229</v>
      </c>
      <c r="CV133" s="109">
        <f t="shared" si="510"/>
        <v>0</v>
      </c>
      <c r="CW133" s="63">
        <f t="shared" si="373"/>
        <v>1229</v>
      </c>
      <c r="CX133" s="65">
        <f t="shared" si="282"/>
        <v>86</v>
      </c>
      <c r="CY133" s="109">
        <f t="shared" si="511"/>
        <v>0</v>
      </c>
      <c r="CZ133" s="53">
        <f t="shared" si="325"/>
        <v>86</v>
      </c>
      <c r="DA133" s="316"/>
      <c r="DB133" s="197"/>
      <c r="DC133" s="8">
        <f t="shared" si="512"/>
        <v>18</v>
      </c>
      <c r="DD133" s="136"/>
      <c r="DE133" s="226"/>
      <c r="DF133" s="32">
        <f t="shared" si="327"/>
        <v>0</v>
      </c>
      <c r="DG133" s="53">
        <f t="shared" si="351"/>
        <v>0</v>
      </c>
      <c r="DH133" s="137"/>
      <c r="DI133" s="138"/>
      <c r="DJ133" s="138"/>
      <c r="DK133" s="34">
        <f t="shared" si="352"/>
        <v>0</v>
      </c>
      <c r="DL133" s="32">
        <f t="shared" si="342"/>
        <v>0</v>
      </c>
      <c r="DM133" s="32">
        <f t="shared" si="441"/>
        <v>0.16</v>
      </c>
      <c r="DN133" s="96">
        <f t="shared" si="328"/>
        <v>0</v>
      </c>
      <c r="DO133" s="36">
        <f t="shared" si="442"/>
        <v>4.4800000000000013</v>
      </c>
      <c r="DP133" s="156">
        <f t="shared" si="329"/>
        <v>0</v>
      </c>
      <c r="DQ133" s="139"/>
      <c r="DR133" s="32">
        <f t="shared" si="443"/>
        <v>77</v>
      </c>
      <c r="DS133" s="54">
        <f t="shared" si="337"/>
        <v>0</v>
      </c>
      <c r="DT133" s="55">
        <f t="shared" si="330"/>
        <v>0</v>
      </c>
      <c r="DU133" s="56">
        <f t="shared" si="444"/>
        <v>1229</v>
      </c>
      <c r="DV133" s="109">
        <f t="shared" si="513"/>
        <v>0</v>
      </c>
      <c r="DW133" s="63">
        <f t="shared" si="374"/>
        <v>1229</v>
      </c>
      <c r="DX133" s="65">
        <f t="shared" si="287"/>
        <v>86</v>
      </c>
      <c r="DY133" s="109">
        <f t="shared" si="514"/>
        <v>0</v>
      </c>
      <c r="DZ133" s="53">
        <f t="shared" si="333"/>
        <v>86</v>
      </c>
    </row>
    <row r="134" spans="2:130" s="4" customFormat="1" x14ac:dyDescent="0.25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74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7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74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74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74"/>
    </row>
    <row r="135" spans="2:130" s="4" customFormat="1" x14ac:dyDescent="0.25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74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74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74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74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74"/>
    </row>
    <row r="136" spans="2:130" s="4" customFormat="1" x14ac:dyDescent="0.25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74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74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74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74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74"/>
    </row>
    <row r="137" spans="2:130" s="4" customFormat="1" x14ac:dyDescent="0.25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74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74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74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74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74"/>
    </row>
    <row r="138" spans="2:130" s="4" customFormat="1" x14ac:dyDescent="0.25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74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7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74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74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74"/>
    </row>
    <row r="139" spans="2:130" s="4" customFormat="1" x14ac:dyDescent="0.25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74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7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74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74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74"/>
    </row>
    <row r="140" spans="2:130" s="4" customFormat="1" x14ac:dyDescent="0.25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74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7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74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74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74"/>
    </row>
    <row r="141" spans="2:130" s="4" customFormat="1" x14ac:dyDescent="0.25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74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7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74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74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74"/>
    </row>
    <row r="142" spans="2:130" s="4" customFormat="1" x14ac:dyDescent="0.25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74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7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74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74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74"/>
    </row>
    <row r="143" spans="2:130" s="4" customFormat="1" x14ac:dyDescent="0.25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74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7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74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74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74"/>
    </row>
    <row r="144" spans="2:130" s="4" customFormat="1" x14ac:dyDescent="0.25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74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7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74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74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74"/>
    </row>
    <row r="145" spans="2:130" s="4" customFormat="1" x14ac:dyDescent="0.25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74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7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74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74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74"/>
    </row>
    <row r="146" spans="2:130" s="4" customFormat="1" x14ac:dyDescent="0.25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74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7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74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74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74"/>
    </row>
    <row r="147" spans="2:130" s="4" customFormat="1" x14ac:dyDescent="0.25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74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7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74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74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74"/>
    </row>
    <row r="148" spans="2:130" s="4" customFormat="1" x14ac:dyDescent="0.25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74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7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74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74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74"/>
    </row>
    <row r="149" spans="2:130" s="4" customFormat="1" x14ac:dyDescent="0.25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74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7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74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74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74"/>
    </row>
    <row r="150" spans="2:130" s="4" customFormat="1" x14ac:dyDescent="0.25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74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7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74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74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74"/>
    </row>
    <row r="151" spans="2:130" s="4" customFormat="1" x14ac:dyDescent="0.25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74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7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74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74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74"/>
    </row>
    <row r="152" spans="2:130" s="4" customFormat="1" x14ac:dyDescent="0.25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74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7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74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74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74"/>
    </row>
    <row r="153" spans="2:130" s="4" customFormat="1" x14ac:dyDescent="0.25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74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7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74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74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74"/>
    </row>
    <row r="154" spans="2:130" s="4" customFormat="1" x14ac:dyDescent="0.25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74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7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74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74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74"/>
    </row>
    <row r="155" spans="2:130" s="4" customFormat="1" x14ac:dyDescent="0.25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74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7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74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74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74"/>
    </row>
    <row r="156" spans="2:130" s="4" customFormat="1" x14ac:dyDescent="0.25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74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7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74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74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74"/>
    </row>
    <row r="157" spans="2:130" s="4" customFormat="1" x14ac:dyDescent="0.25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74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7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74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74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74"/>
    </row>
    <row r="158" spans="2:130" s="4" customFormat="1" x14ac:dyDescent="0.25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74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7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74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74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74"/>
    </row>
    <row r="159" spans="2:130" s="4" customFormat="1" x14ac:dyDescent="0.25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74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7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74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74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74"/>
    </row>
    <row r="160" spans="2:130" s="4" customFormat="1" x14ac:dyDescent="0.25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74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7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74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74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74"/>
    </row>
    <row r="161" spans="2:130" s="4" customFormat="1" x14ac:dyDescent="0.25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74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7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74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74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74"/>
    </row>
    <row r="162" spans="2:130" s="4" customFormat="1" x14ac:dyDescent="0.25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74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7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74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74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74"/>
    </row>
    <row r="163" spans="2:130" s="4" customFormat="1" x14ac:dyDescent="0.25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74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7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74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74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74"/>
    </row>
    <row r="164" spans="2:130" s="4" customFormat="1" x14ac:dyDescent="0.25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74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7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74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74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74"/>
    </row>
    <row r="165" spans="2:130" s="4" customFormat="1" x14ac:dyDescent="0.25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74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7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74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74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74"/>
    </row>
    <row r="166" spans="2:130" s="4" customFormat="1" x14ac:dyDescent="0.25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74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7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74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74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74"/>
    </row>
    <row r="167" spans="2:130" s="4" customFormat="1" x14ac:dyDescent="0.25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74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74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74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74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74"/>
    </row>
    <row r="168" spans="2:130" s="4" customFormat="1" x14ac:dyDescent="0.25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74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74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74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74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74"/>
    </row>
    <row r="169" spans="2:130" s="4" customFormat="1" x14ac:dyDescent="0.25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74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74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74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74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74"/>
    </row>
    <row r="170" spans="2:130" s="4" customFormat="1" x14ac:dyDescent="0.25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74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74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74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74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74"/>
    </row>
    <row r="171" spans="2:130" s="4" customFormat="1" x14ac:dyDescent="0.25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74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74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74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74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74"/>
    </row>
    <row r="172" spans="2:130" s="4" customFormat="1" x14ac:dyDescent="0.25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74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74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74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74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74"/>
    </row>
    <row r="173" spans="2:130" s="4" customFormat="1" x14ac:dyDescent="0.25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74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74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74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74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74"/>
    </row>
    <row r="174" spans="2:130" s="4" customFormat="1" x14ac:dyDescent="0.25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74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74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74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74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74"/>
    </row>
    <row r="175" spans="2:130" s="4" customFormat="1" x14ac:dyDescent="0.25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74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74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74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74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74"/>
    </row>
    <row r="176" spans="2:130" s="4" customFormat="1" x14ac:dyDescent="0.25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74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74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74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74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74"/>
    </row>
    <row r="177" spans="3:130" x14ac:dyDescent="0.25">
      <c r="AB177" s="1"/>
      <c r="AC177" s="1"/>
      <c r="AD177" s="1"/>
      <c r="AE177" s="1"/>
      <c r="BB177" s="1"/>
      <c r="BC177" s="1"/>
      <c r="BD177" s="1"/>
      <c r="BE177" s="1"/>
      <c r="CB177" s="1"/>
      <c r="CC177" s="1"/>
      <c r="CD177" s="1"/>
      <c r="CE177" s="1"/>
      <c r="DB177" s="1"/>
      <c r="DC177" s="1"/>
      <c r="DD177" s="1"/>
      <c r="DE177" s="1"/>
    </row>
    <row r="178" spans="3:130" x14ac:dyDescent="0.25"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</row>
    <row r="179" spans="3:130" ht="37.5" customHeight="1" x14ac:dyDescent="0.25">
      <c r="C179" s="89" t="s">
        <v>43</v>
      </c>
      <c r="D179" s="90" t="s">
        <v>58</v>
      </c>
      <c r="E179" s="90"/>
      <c r="F179" s="86" t="s">
        <v>67</v>
      </c>
      <c r="G179" s="86" t="s">
        <v>34</v>
      </c>
      <c r="H179" s="88" t="s">
        <v>27</v>
      </c>
      <c r="I179" s="88" t="s">
        <v>16</v>
      </c>
      <c r="J179" s="88" t="s">
        <v>17</v>
      </c>
      <c r="K179" s="88" t="s">
        <v>18</v>
      </c>
      <c r="L179" s="86" t="s">
        <v>48</v>
      </c>
      <c r="M179" s="86" t="s">
        <v>72</v>
      </c>
      <c r="N179" s="86" t="s">
        <v>74</v>
      </c>
      <c r="O179" s="87" t="s">
        <v>49</v>
      </c>
      <c r="P179" s="87" t="s">
        <v>73</v>
      </c>
      <c r="Q179" s="88" t="s">
        <v>9</v>
      </c>
      <c r="R179" s="86" t="s">
        <v>75</v>
      </c>
      <c r="S179" s="86" t="s">
        <v>62</v>
      </c>
      <c r="T179" s="86" t="s">
        <v>50</v>
      </c>
      <c r="U179" s="86" t="s">
        <v>63</v>
      </c>
      <c r="V179" s="86" t="s">
        <v>64</v>
      </c>
      <c r="W179" s="88" t="s">
        <v>15</v>
      </c>
      <c r="X179" s="86" t="s">
        <v>65</v>
      </c>
      <c r="Y179" s="86" t="s">
        <v>66</v>
      </c>
      <c r="Z179" s="88" t="s">
        <v>15</v>
      </c>
      <c r="AB179" s="1"/>
      <c r="AC179" s="89" t="s">
        <v>43</v>
      </c>
      <c r="AD179" s="90" t="s">
        <v>58</v>
      </c>
      <c r="AE179" s="90"/>
      <c r="AF179" s="86" t="s">
        <v>67</v>
      </c>
      <c r="AG179" s="86" t="s">
        <v>34</v>
      </c>
      <c r="AH179" s="88" t="s">
        <v>27</v>
      </c>
      <c r="AI179" s="88" t="s">
        <v>16</v>
      </c>
      <c r="AJ179" s="88" t="s">
        <v>17</v>
      </c>
      <c r="AK179" s="88" t="s">
        <v>18</v>
      </c>
      <c r="AL179" s="88" t="s">
        <v>48</v>
      </c>
      <c r="AM179" s="86" t="s">
        <v>72</v>
      </c>
      <c r="AN179" s="86" t="s">
        <v>74</v>
      </c>
      <c r="AO179" s="87" t="s">
        <v>49</v>
      </c>
      <c r="AP179" s="87" t="s">
        <v>73</v>
      </c>
      <c r="AQ179" s="88" t="s">
        <v>9</v>
      </c>
      <c r="AR179" s="86" t="s">
        <v>75</v>
      </c>
      <c r="AS179" s="86" t="s">
        <v>62</v>
      </c>
      <c r="AT179" s="86" t="s">
        <v>50</v>
      </c>
      <c r="AU179" s="86" t="s">
        <v>63</v>
      </c>
      <c r="AV179" s="86" t="s">
        <v>64</v>
      </c>
      <c r="AW179" s="88" t="s">
        <v>15</v>
      </c>
      <c r="AX179" s="86" t="s">
        <v>65</v>
      </c>
      <c r="AY179" s="86" t="s">
        <v>66</v>
      </c>
      <c r="AZ179" s="88" t="s">
        <v>15</v>
      </c>
      <c r="BB179" s="1"/>
      <c r="BC179" s="89" t="s">
        <v>43</v>
      </c>
      <c r="BD179" s="90" t="s">
        <v>58</v>
      </c>
      <c r="BE179" s="90"/>
      <c r="BF179" s="86" t="s">
        <v>67</v>
      </c>
      <c r="BG179" s="86" t="s">
        <v>34</v>
      </c>
      <c r="BH179" s="88" t="s">
        <v>27</v>
      </c>
      <c r="BI179" s="88" t="s">
        <v>16</v>
      </c>
      <c r="BJ179" s="88" t="s">
        <v>17</v>
      </c>
      <c r="BK179" s="88" t="s">
        <v>18</v>
      </c>
      <c r="BL179" s="88" t="s">
        <v>48</v>
      </c>
      <c r="BM179" s="86" t="s">
        <v>72</v>
      </c>
      <c r="BN179" s="86" t="s">
        <v>74</v>
      </c>
      <c r="BO179" s="87" t="s">
        <v>49</v>
      </c>
      <c r="BP179" s="87" t="s">
        <v>73</v>
      </c>
      <c r="BQ179" s="88" t="s">
        <v>9</v>
      </c>
      <c r="BR179" s="86" t="s">
        <v>75</v>
      </c>
      <c r="BS179" s="86" t="s">
        <v>62</v>
      </c>
      <c r="BT179" s="86" t="s">
        <v>50</v>
      </c>
      <c r="BU179" s="86" t="s">
        <v>63</v>
      </c>
      <c r="BV179" s="86" t="s">
        <v>64</v>
      </c>
      <c r="BW179" s="88" t="s">
        <v>15</v>
      </c>
      <c r="BX179" s="86" t="s">
        <v>65</v>
      </c>
      <c r="BY179" s="86" t="s">
        <v>66</v>
      </c>
      <c r="BZ179" s="88" t="s">
        <v>15</v>
      </c>
      <c r="CB179" s="1"/>
      <c r="CC179" s="89" t="s">
        <v>43</v>
      </c>
      <c r="CD179" s="90" t="s">
        <v>58</v>
      </c>
      <c r="CE179" s="90"/>
      <c r="CF179" s="86" t="s">
        <v>67</v>
      </c>
      <c r="CG179" s="86" t="s">
        <v>34</v>
      </c>
      <c r="CH179" s="88" t="s">
        <v>27</v>
      </c>
      <c r="CI179" s="88" t="s">
        <v>16</v>
      </c>
      <c r="CJ179" s="88" t="s">
        <v>17</v>
      </c>
      <c r="CK179" s="88" t="s">
        <v>18</v>
      </c>
      <c r="CL179" s="88" t="s">
        <v>48</v>
      </c>
      <c r="CM179" s="86" t="s">
        <v>72</v>
      </c>
      <c r="CN179" s="86" t="s">
        <v>74</v>
      </c>
      <c r="CO179" s="87" t="s">
        <v>49</v>
      </c>
      <c r="CP179" s="87" t="s">
        <v>73</v>
      </c>
      <c r="CQ179" s="88" t="s">
        <v>9</v>
      </c>
      <c r="CR179" s="86" t="s">
        <v>75</v>
      </c>
      <c r="CS179" s="86" t="s">
        <v>62</v>
      </c>
      <c r="CT179" s="86" t="s">
        <v>50</v>
      </c>
      <c r="CU179" s="86" t="s">
        <v>63</v>
      </c>
      <c r="CV179" s="86" t="s">
        <v>64</v>
      </c>
      <c r="CW179" s="88" t="s">
        <v>15</v>
      </c>
      <c r="CX179" s="86" t="s">
        <v>65</v>
      </c>
      <c r="CY179" s="86" t="s">
        <v>66</v>
      </c>
      <c r="CZ179" s="88" t="s">
        <v>15</v>
      </c>
      <c r="DB179" s="1"/>
      <c r="DC179" s="89" t="s">
        <v>43</v>
      </c>
      <c r="DD179" s="90" t="s">
        <v>58</v>
      </c>
      <c r="DE179" s="90"/>
      <c r="DF179" s="86" t="s">
        <v>67</v>
      </c>
      <c r="DG179" s="86" t="s">
        <v>34</v>
      </c>
      <c r="DH179" s="88" t="s">
        <v>27</v>
      </c>
      <c r="DI179" s="88" t="s">
        <v>16</v>
      </c>
      <c r="DJ179" s="88" t="s">
        <v>17</v>
      </c>
      <c r="DK179" s="88" t="s">
        <v>18</v>
      </c>
      <c r="DL179" s="88" t="s">
        <v>48</v>
      </c>
      <c r="DM179" s="86" t="s">
        <v>72</v>
      </c>
      <c r="DN179" s="86" t="s">
        <v>74</v>
      </c>
      <c r="DO179" s="87" t="s">
        <v>49</v>
      </c>
      <c r="DP179" s="87" t="s">
        <v>73</v>
      </c>
      <c r="DQ179" s="88" t="s">
        <v>9</v>
      </c>
      <c r="DR179" s="86" t="s">
        <v>75</v>
      </c>
      <c r="DS179" s="86" t="s">
        <v>62</v>
      </c>
      <c r="DT179" s="86" t="s">
        <v>50</v>
      </c>
      <c r="DU179" s="86" t="s">
        <v>63</v>
      </c>
      <c r="DV179" s="86" t="s">
        <v>64</v>
      </c>
      <c r="DW179" s="88" t="s">
        <v>15</v>
      </c>
      <c r="DX179" s="86" t="s">
        <v>65</v>
      </c>
      <c r="DY179" s="86" t="s">
        <v>66</v>
      </c>
      <c r="DZ179" s="88" t="s">
        <v>15</v>
      </c>
    </row>
    <row r="180" spans="3:130" ht="21" customHeight="1" x14ac:dyDescent="0.25">
      <c r="C180" s="90">
        <v>0</v>
      </c>
      <c r="D180" s="347" t="s">
        <v>52</v>
      </c>
      <c r="E180" s="347"/>
      <c r="F180" s="86"/>
      <c r="G180" s="86"/>
      <c r="H180" s="88"/>
      <c r="I180" s="88"/>
      <c r="J180" s="88"/>
      <c r="K180" s="88"/>
      <c r="L180" s="86"/>
      <c r="M180" s="86"/>
      <c r="N180" s="86"/>
      <c r="O180" s="87"/>
      <c r="P180" s="87"/>
      <c r="Q180" s="88"/>
      <c r="R180" s="86"/>
      <c r="S180" s="86"/>
      <c r="T180" s="86"/>
      <c r="U180" s="86"/>
      <c r="V180" s="86"/>
      <c r="W180" s="88"/>
      <c r="X180" s="86"/>
      <c r="Y180" s="86"/>
      <c r="Z180" s="88"/>
      <c r="AB180" s="1"/>
      <c r="AC180" s="90">
        <v>0</v>
      </c>
      <c r="AD180" s="347" t="s">
        <v>53</v>
      </c>
      <c r="AE180" s="347"/>
      <c r="AF180" s="86">
        <f>SUM(AD8)</f>
        <v>94740</v>
      </c>
      <c r="AG180" s="86"/>
      <c r="AH180" s="88"/>
      <c r="AI180" s="88"/>
      <c r="AJ180" s="88"/>
      <c r="AK180" s="88"/>
      <c r="AL180" s="88"/>
      <c r="AM180" s="86"/>
      <c r="AN180" s="86"/>
      <c r="AO180" s="87"/>
      <c r="AP180" s="87"/>
      <c r="AQ180" s="88"/>
      <c r="AR180" s="86"/>
      <c r="AS180" s="86"/>
      <c r="AT180" s="86"/>
      <c r="AU180" s="86"/>
      <c r="AV180" s="86"/>
      <c r="AW180" s="88"/>
      <c r="AX180" s="86"/>
      <c r="AY180" s="86"/>
      <c r="AZ180" s="88"/>
      <c r="BB180" s="1"/>
      <c r="BC180" s="90">
        <v>0</v>
      </c>
      <c r="BD180" s="347" t="s">
        <v>54</v>
      </c>
      <c r="BE180" s="347"/>
      <c r="BF180" s="86"/>
      <c r="BG180" s="86"/>
      <c r="BH180" s="88"/>
      <c r="BI180" s="88"/>
      <c r="BJ180" s="88"/>
      <c r="BK180" s="88"/>
      <c r="BL180" s="88"/>
      <c r="BM180" s="86"/>
      <c r="BN180" s="86"/>
      <c r="BO180" s="87"/>
      <c r="BP180" s="87"/>
      <c r="BQ180" s="88"/>
      <c r="BR180" s="86"/>
      <c r="BS180" s="86"/>
      <c r="BT180" s="86"/>
      <c r="BU180" s="86"/>
      <c r="BV180" s="86"/>
      <c r="BW180" s="88"/>
      <c r="BX180" s="86"/>
      <c r="BY180" s="86"/>
      <c r="BZ180" s="88"/>
      <c r="CB180" s="1"/>
      <c r="CC180" s="90">
        <v>0</v>
      </c>
      <c r="CD180" s="347" t="s">
        <v>55</v>
      </c>
      <c r="CE180" s="347"/>
      <c r="CF180" s="86"/>
      <c r="CG180" s="86"/>
      <c r="CH180" s="88"/>
      <c r="CI180" s="88"/>
      <c r="CJ180" s="88"/>
      <c r="CK180" s="88"/>
      <c r="CL180" s="88"/>
      <c r="CM180" s="86"/>
      <c r="CN180" s="86"/>
      <c r="CO180" s="87"/>
      <c r="CP180" s="87"/>
      <c r="CQ180" s="88"/>
      <c r="CR180" s="86"/>
      <c r="CS180" s="86"/>
      <c r="CT180" s="86"/>
      <c r="CU180" s="86"/>
      <c r="CV180" s="86"/>
      <c r="CW180" s="88"/>
      <c r="CX180" s="86"/>
      <c r="CY180" s="86"/>
      <c r="CZ180" s="88"/>
      <c r="DB180" s="1"/>
      <c r="DC180" s="90">
        <v>0</v>
      </c>
      <c r="DD180" s="347" t="s">
        <v>56</v>
      </c>
      <c r="DE180" s="347"/>
      <c r="DF180" s="86"/>
      <c r="DG180" s="86"/>
      <c r="DH180" s="88"/>
      <c r="DI180" s="88"/>
      <c r="DJ180" s="88"/>
      <c r="DK180" s="88"/>
      <c r="DL180" s="88"/>
      <c r="DM180" s="86"/>
      <c r="DN180" s="86"/>
      <c r="DO180" s="87"/>
      <c r="DP180" s="87"/>
      <c r="DQ180" s="88"/>
      <c r="DR180" s="86"/>
      <c r="DS180" s="86"/>
      <c r="DT180" s="86"/>
      <c r="DU180" s="86"/>
      <c r="DV180" s="86"/>
      <c r="DW180" s="88"/>
      <c r="DX180" s="86"/>
      <c r="DY180" s="86"/>
      <c r="DZ180" s="88"/>
    </row>
    <row r="181" spans="3:130" x14ac:dyDescent="0.25">
      <c r="C181" s="25">
        <v>1</v>
      </c>
      <c r="D181" s="77" t="s">
        <v>52</v>
      </c>
      <c r="E181" s="77"/>
      <c r="F181" s="26">
        <f>SUMIFS(D8:D14,C8:C14,C181)</f>
        <v>0</v>
      </c>
      <c r="G181" s="26">
        <f>INDEX($C$8:$Z$133,7,5)</f>
        <v>0</v>
      </c>
      <c r="H181" s="23">
        <f>SUMIFS($H$8:$H$133,$C$8:$C$133,$C181)</f>
        <v>0</v>
      </c>
      <c r="I181" s="23">
        <f t="shared" ref="I181:I198" si="515">SUMIFS($I$8:$I$133,$C$8:$C$133,$C181)</f>
        <v>0</v>
      </c>
      <c r="J181" s="23">
        <f t="shared" ref="J181:J198" si="516">SUMIFS($J$8:$J$133,$C$8:$C$133,$C181)</f>
        <v>0</v>
      </c>
      <c r="K181" s="23">
        <f>SUMIFS($K$8:$K$133,$C$8:$C$133,$C181)</f>
        <v>0</v>
      </c>
      <c r="L181" s="26">
        <f>INDEX($C$8:$Z$133,7,10)</f>
        <v>0</v>
      </c>
      <c r="M181" s="30">
        <f>INDEX($C$8:$Z$133,7,11)</f>
        <v>0.7</v>
      </c>
      <c r="N181" s="28">
        <f>SUMIFS($N$8:$N$133,$C$8:$C$133,$C181)</f>
        <v>0</v>
      </c>
      <c r="O181" s="30">
        <f>INDEX($C$8:$Z$133,7,13)</f>
        <v>0.7</v>
      </c>
      <c r="P181" s="30">
        <f>INDEX($C$8:$Z$133,7,14)</f>
        <v>0</v>
      </c>
      <c r="Q181" s="23">
        <f>SUMIFS($Q$8:$Q$133,$C$8:$C$133,$C181)</f>
        <v>0</v>
      </c>
      <c r="R181" s="75">
        <f>INDEX($C$8:$Z$133,7,16)</f>
        <v>6</v>
      </c>
      <c r="S181" s="23">
        <f>AVERAGEIFS($S$8:$S$133,$C$8:$C$133,$C181)</f>
        <v>0</v>
      </c>
      <c r="T181" s="30">
        <f>INDEX($C$8:$Z$133,7,18)</f>
        <v>0</v>
      </c>
      <c r="U181" s="75">
        <f>INDEX($C$8:$Z$133,7,19)</f>
        <v>64</v>
      </c>
      <c r="V181" s="75">
        <f>INDEX($C$8:$Z$133,7,20)</f>
        <v>0</v>
      </c>
      <c r="W181" s="75">
        <f>INDEX($C$8:$Z$133,7,21)</f>
        <v>64</v>
      </c>
      <c r="X181" s="75">
        <f>INDEX($C$8:$Z$133,7,22)</f>
        <v>77</v>
      </c>
      <c r="Y181" s="75">
        <f>INDEX($C$8:$Z$133,7,23)</f>
        <v>0</v>
      </c>
      <c r="Z181" s="75">
        <f>INDEX($C$8:$Z$133,7,24)</f>
        <v>77</v>
      </c>
      <c r="AB181" s="1"/>
      <c r="AC181" s="25">
        <v>1</v>
      </c>
      <c r="AD181" s="77" t="s">
        <v>53</v>
      </c>
      <c r="AE181" s="77"/>
      <c r="AF181" s="26">
        <f>SUMIFS(AD8:AD14,AC8:AC14,AC181)</f>
        <v>94740</v>
      </c>
      <c r="AG181" s="26">
        <f>INDEX($AC$8:$AZ$133,7,5)</f>
        <v>93893</v>
      </c>
      <c r="AH181" s="23">
        <f>SUMIFS($AH$8:$AH$133,$AC$8:$AC$133,$AC181)</f>
        <v>54</v>
      </c>
      <c r="AI181" s="23">
        <f>SUMIFS($AI$8:$AI$133,$AC$8:$AC$133,$AC181)</f>
        <v>754</v>
      </c>
      <c r="AJ181" s="23">
        <f>SUMIFS($AJ$8:$AJ$133,$AC$8:$AC$133,$AC181)</f>
        <v>39</v>
      </c>
      <c r="AK181" s="23">
        <f>SUMIFS($AK$8:$AK$133,$AC$8:$AC$133,$AC181)</f>
        <v>847</v>
      </c>
      <c r="AL181" s="26">
        <f>INDEX($AC$8:$AZ$133,7,10)</f>
        <v>847</v>
      </c>
      <c r="AM181" s="27">
        <f>INDEX($AC$8:$AZ$133,7,11)</f>
        <v>0.7</v>
      </c>
      <c r="AN181" s="28">
        <f>SUMIFS($AN$8:$AN$133,$AC$8:$AC$133,$AC181)</f>
        <v>8.9735181043861623</v>
      </c>
      <c r="AO181" s="27">
        <f>INDEX($AC$8:$AZ$133,7,13)</f>
        <v>0.7</v>
      </c>
      <c r="AP181" s="27">
        <f>INDEX($AC$8:$AZ$133,7,14)</f>
        <v>0.90024977414040497</v>
      </c>
      <c r="AQ181" s="23">
        <f>SUMIFS($AQ$8:$AQ$133,$AC$8:$AC$133,$AC181)</f>
        <v>0</v>
      </c>
      <c r="AR181" s="26">
        <f>INDEX($AC$8:$AZ$133,7,16)</f>
        <v>6</v>
      </c>
      <c r="AS181" s="23">
        <f>AVERAGEIFS($AS$8:$AS$133,$AC$8:$AC$133,$AC181)</f>
        <v>0</v>
      </c>
      <c r="AT181" s="27">
        <f>INDEX($AC$8:$AZ$133,7,18)</f>
        <v>0</v>
      </c>
      <c r="AU181" s="26">
        <f>INDEX($AC$8:$AZ$133,7,19)</f>
        <v>64</v>
      </c>
      <c r="AV181" s="26">
        <f>INDEX($AC$8:$AZ$133,7,20)</f>
        <v>67.900000000000006</v>
      </c>
      <c r="AW181" s="26">
        <f>INDEX($AC$8:$AZ$133,7,21)</f>
        <v>-3.9000000000000057</v>
      </c>
      <c r="AX181" s="26">
        <f>INDEX($AC$8:$AZ$133,7,22)</f>
        <v>77</v>
      </c>
      <c r="AY181" s="26">
        <f>INDEX($AC$8:$AZ$133,7,23)</f>
        <v>82</v>
      </c>
      <c r="AZ181" s="26">
        <f>INDEX($AC$8:$AZ$133,7,24)</f>
        <v>-5</v>
      </c>
      <c r="BB181" s="1"/>
      <c r="BC181" s="25">
        <v>1</v>
      </c>
      <c r="BD181" s="77" t="s">
        <v>54</v>
      </c>
      <c r="BE181" s="77"/>
      <c r="BF181" s="26">
        <f>SUMIFS(BD8:BD14,BC8:BC14,BC181)</f>
        <v>193760</v>
      </c>
      <c r="BG181" s="26">
        <f>INDEX($BC$8:$BZ$133,7,5)</f>
        <v>192706</v>
      </c>
      <c r="BH181" s="23">
        <f>SUMIFS($BH$8:$BH$133,$BC$8:$BC$133,$BC181)</f>
        <v>50</v>
      </c>
      <c r="BI181" s="23">
        <f>SUMIFS($BI$8:$BI$133,$BC$8:$BC$133,$BC181)</f>
        <v>925</v>
      </c>
      <c r="BJ181" s="23">
        <f>SUMIFS($BJ$8:$BJ$133,$BC$8:$BC$133,$BC181)</f>
        <v>79</v>
      </c>
      <c r="BK181" s="23">
        <f>SUMIFS($BK$8:$BK$133,$BC$8:$BC$133,$BC181)</f>
        <v>1054</v>
      </c>
      <c r="BL181" s="26">
        <f>INDEX($BC$8:$BZ$133,7,10)</f>
        <v>1054</v>
      </c>
      <c r="BM181" s="27">
        <f>INDEX($BC$8:$BZ$133,7,11)</f>
        <v>0.7</v>
      </c>
      <c r="BN181" s="28">
        <f t="shared" ref="BN181:BN187" si="517">SUMIFS($BN$8:$BN$133,$BC$8:$BC$133,$BC181)</f>
        <v>5.722448402775492</v>
      </c>
      <c r="BO181" s="27">
        <f>INDEX($BC$8:$BZ$133,7,13)</f>
        <v>0.7</v>
      </c>
      <c r="BP181" s="27">
        <f>INDEX($BC$8:$BZ$133,7,14)</f>
        <v>0.5464310895441914</v>
      </c>
      <c r="BQ181" s="23">
        <f>SUMIFS($BQ$8:$BQ$133,$BC$8:$BC$133,$BC181)</f>
        <v>0</v>
      </c>
      <c r="BR181" s="26">
        <f>INDEX($BC$8:$BZ$133,7,16)</f>
        <v>6</v>
      </c>
      <c r="BS181" s="23">
        <f>AVERAGEIFS($BS$8:$BS$133,$BC$8:$BC$133,$BC181)</f>
        <v>0</v>
      </c>
      <c r="BT181" s="27">
        <f>INDEX($BC$8:$BZ$133,7,18)</f>
        <v>0</v>
      </c>
      <c r="BU181" s="26">
        <f>INDEX($BC$8:$BZ$133,7,19)</f>
        <v>64</v>
      </c>
      <c r="BV181" s="292">
        <f>INDEX($BC$8:$BZ$133,7,20)</f>
        <v>63.7</v>
      </c>
      <c r="BW181" s="292">
        <f>INDEX($BC$8:$BZ$133,7,21)</f>
        <v>0.29999999999999716</v>
      </c>
      <c r="BX181" s="29">
        <f>INDEX($BC$8:$BZ$133,7,22)</f>
        <v>77</v>
      </c>
      <c r="BY181" s="29">
        <f>INDEX($BC$8:$BZ$133,7,23)</f>
        <v>77</v>
      </c>
      <c r="BZ181" s="29">
        <f>INDEX($BC$8:$BZ$133,7,24)</f>
        <v>0</v>
      </c>
      <c r="CB181" s="1"/>
      <c r="CC181" s="25">
        <v>1</v>
      </c>
      <c r="CD181" s="77" t="s">
        <v>55</v>
      </c>
      <c r="CE181" s="77"/>
      <c r="CF181" s="26">
        <f>SUMIFS(CD8:CD14,CC8:CC14,CC181)</f>
        <v>0</v>
      </c>
      <c r="CG181" s="26">
        <f>INDEX($CC$8:$CZ$133,7,5)</f>
        <v>0</v>
      </c>
      <c r="CH181" s="23">
        <f>SUMIFS($CH$8:$CH$133,$CC$8:$CC$133,$CC181)</f>
        <v>0</v>
      </c>
      <c r="CI181" s="23">
        <f>SUMIFS($CI$8:$CI$133,$CC$8:$CC$133,$CC181)</f>
        <v>0</v>
      </c>
      <c r="CJ181" s="23">
        <f>SUMIFS($CJ$8:$CJ$133,$CC$8:$CC$133,$CC181)</f>
        <v>0</v>
      </c>
      <c r="CK181" s="23">
        <f>SUMIFS($CK$8:$CK$133,$CC$8:$CC$133,$CC181)</f>
        <v>0</v>
      </c>
      <c r="CL181" s="26">
        <f>INDEX($CC$8:$CZ$133,7,10)</f>
        <v>0</v>
      </c>
      <c r="CM181" s="27">
        <f>INDEX($CC$8:$CZ$133,7,11)</f>
        <v>0.7</v>
      </c>
      <c r="CN181" s="28">
        <f>SUMIFS(CN8:CN133,CC8:CC133,CC181)</f>
        <v>0</v>
      </c>
      <c r="CO181" s="27">
        <f>INDEX($CC$8:$CZ$133,7,13)</f>
        <v>0.7</v>
      </c>
      <c r="CP181" s="27">
        <f>INDEX($CC$8:$CZ$133,7,14)</f>
        <v>0</v>
      </c>
      <c r="CQ181" s="23">
        <f>SUMIFS($CQ$8:$CQ$133,$CC$8:$CC$133,$CC181)</f>
        <v>0</v>
      </c>
      <c r="CR181" s="26">
        <f>INDEX($CC$8:$CZ$133,7,16)</f>
        <v>6</v>
      </c>
      <c r="CS181" s="23">
        <f>AVERAGEIFS($CS$8:$CS$133,$CC$8:$CC$133,$CC181)</f>
        <v>0</v>
      </c>
      <c r="CT181" s="27">
        <f>INDEX($CC$8:$CZ$133,7,18)</f>
        <v>0</v>
      </c>
      <c r="CU181" s="26">
        <f>INDEX($CC$8:$CZ$133,7,19)</f>
        <v>64</v>
      </c>
      <c r="CV181" s="26">
        <f>INDEX($CC$8:$CZ$133,7,20)</f>
        <v>0</v>
      </c>
      <c r="CW181" s="26">
        <f t="shared" ref="CW181:CW186" si="518">CU181-CV181</f>
        <v>64</v>
      </c>
      <c r="CX181" s="26">
        <f>INDEX($CC$8:$CZ$133,7,22)</f>
        <v>77</v>
      </c>
      <c r="CY181" s="26">
        <f>INDEX($CC$8:$CZ$133,7,23)</f>
        <v>0</v>
      </c>
      <c r="CZ181" s="26">
        <f>CX181-CY181</f>
        <v>77</v>
      </c>
      <c r="DB181" s="1"/>
      <c r="DC181" s="25">
        <v>1</v>
      </c>
      <c r="DD181" s="77" t="s">
        <v>56</v>
      </c>
      <c r="DE181" s="77"/>
      <c r="DF181" s="26">
        <f>SUMIFS(DD8:DD14,DC8:DC14,DC181)</f>
        <v>0</v>
      </c>
      <c r="DG181" s="26">
        <f>INDEX($DC$8:$DZ$133,7,5)</f>
        <v>0</v>
      </c>
      <c r="DH181" s="23">
        <f>SUMIFS($DH$8:$DH$133,$DC$8:$DC$133,$DC181)</f>
        <v>0</v>
      </c>
      <c r="DI181" s="23">
        <f>SUMIFS($DI$8:$DI$133,$DC$8:$DC$133,$DC181)</f>
        <v>0</v>
      </c>
      <c r="DJ181" s="23">
        <f>SUMIFS($DJ$8:$DJ$133,$DC$8:$DC$133,$DC181)</f>
        <v>0</v>
      </c>
      <c r="DK181" s="23">
        <f>SUMIFS($DK$8:$DK$133,$DC$8:$DC$133,$DC181)</f>
        <v>0</v>
      </c>
      <c r="DL181" s="30">
        <f>INDEX($DC$8:$DZ$133,7,10)</f>
        <v>0</v>
      </c>
      <c r="DM181" s="30">
        <f>INDEX($DC$8:$DZ$133,7,11)</f>
        <v>0.7</v>
      </c>
      <c r="DN181" s="28">
        <f>SUMIFS($DN$8:$DN$133,$DC$8:$DC$133,$DC181)</f>
        <v>0</v>
      </c>
      <c r="DO181" s="30">
        <f>INDEX($DC$8:$DZ$133,7,13)</f>
        <v>0.7</v>
      </c>
      <c r="DP181" s="30">
        <f>INDEX($DC$8:$DZ$133,7,14)</f>
        <v>0</v>
      </c>
      <c r="DQ181" s="23">
        <f>SUMIFS($DQ$8:$DQ$133,$DC$8:$DC$133,$DC181)</f>
        <v>0</v>
      </c>
      <c r="DR181" s="26">
        <f>INDEX($DC$8:$DZ$133,7,16)</f>
        <v>6</v>
      </c>
      <c r="DS181" s="23">
        <f>AVERAGEIFS($DS$8:$DS$133,$DC$8:$DC$133,$DC181)</f>
        <v>0</v>
      </c>
      <c r="DT181" s="30">
        <f>INDEX($DC$8:$DZ$133,7,18)</f>
        <v>0</v>
      </c>
      <c r="DU181" s="26">
        <f>INDEX($DC$8:$DZ$133,7,19)</f>
        <v>64</v>
      </c>
      <c r="DV181" s="26">
        <f>INDEX($DC$8:$DZ$133,7,20)</f>
        <v>0</v>
      </c>
      <c r="DW181" s="26">
        <f>DU181-DV181</f>
        <v>64</v>
      </c>
      <c r="DX181" s="26">
        <f>INDEX($DC$8:$DZ$133,7,22)</f>
        <v>77</v>
      </c>
      <c r="DY181" s="26">
        <f>INDEX($DC$8:$DZ$133,7,23)</f>
        <v>0</v>
      </c>
      <c r="DZ181" s="26">
        <f>DX181-DY181</f>
        <v>77</v>
      </c>
    </row>
    <row r="182" spans="3:130" x14ac:dyDescent="0.25">
      <c r="C182" s="25">
        <v>2</v>
      </c>
      <c r="D182" s="25" t="str">
        <f>D181</f>
        <v>CASETA 1</v>
      </c>
      <c r="E182" s="25"/>
      <c r="F182" s="26">
        <f>INDEX($C$8:$Z$133,14,4)</f>
        <v>0</v>
      </c>
      <c r="G182" s="26">
        <f>INDEX($C$8:$Z$133,14,5)</f>
        <v>0</v>
      </c>
      <c r="H182" s="23">
        <f>SUMIFS($H$8:$H$133,$C$8:$C$133,$C182)</f>
        <v>0</v>
      </c>
      <c r="I182" s="23">
        <f>SUMIFS($I$8:$I$133,$C$8:$C$133,$C182)</f>
        <v>0</v>
      </c>
      <c r="J182" s="23">
        <f>SUMIFS($J$8:$J$133,$C$8:$C$133,$C182)</f>
        <v>0</v>
      </c>
      <c r="K182" s="23">
        <f t="shared" ref="K182:K198" si="519">SUMIFS($K$8:$K$133,$C$8:$C$133,$C182)</f>
        <v>0</v>
      </c>
      <c r="L182" s="26">
        <f>INDEX($C$8:$Z$133,14,10)</f>
        <v>0</v>
      </c>
      <c r="M182" s="30">
        <f>INDEX($C$8:$Z$133,14,11)</f>
        <v>0.7</v>
      </c>
      <c r="N182" s="28">
        <f t="shared" ref="N182:N198" si="520">SUMIFS($N$8:$N$133,$C$8:$C$133,$C182)</f>
        <v>0</v>
      </c>
      <c r="O182" s="30">
        <f>INDEX($C$8:$Z$133,14,13)</f>
        <v>1.4</v>
      </c>
      <c r="P182" s="30">
        <f>INDEX($C$8:$Z$133,14,14)</f>
        <v>0</v>
      </c>
      <c r="Q182" s="23">
        <f t="shared" ref="Q182:Q198" si="521">SUMIFS($Q$8:$Q$133,$C$8:$C$133,$C182)</f>
        <v>0</v>
      </c>
      <c r="R182" s="75">
        <f>INDEX($C$8:$Z$133,14,16)</f>
        <v>12</v>
      </c>
      <c r="S182" s="23">
        <f t="shared" ref="S182:S198" si="522">AVERAGEIFS($S$8:$S$133,$C$8:$C$133,$C182)</f>
        <v>0</v>
      </c>
      <c r="T182" s="30">
        <f>INDEX($C$8:$Z$133,14,18)</f>
        <v>0</v>
      </c>
      <c r="U182" s="75">
        <f>INDEX($C$8:$Z$133,14,19)</f>
        <v>118</v>
      </c>
      <c r="V182" s="75">
        <f>INDEX($C$8:$Z$133,14,20)</f>
        <v>0</v>
      </c>
      <c r="W182" s="75">
        <f>INDEX($C$8:$Z$133,14,21)</f>
        <v>118</v>
      </c>
      <c r="X182" s="75">
        <f>INDEX($C$8:$Z$133,14,22)</f>
        <v>77</v>
      </c>
      <c r="Y182" s="75">
        <f>INDEX($C$8:$Z$133,14,23)</f>
        <v>0</v>
      </c>
      <c r="Z182" s="75">
        <f>INDEX($C$8:$Z$133,14,24)</f>
        <v>77</v>
      </c>
      <c r="AB182" s="1"/>
      <c r="AC182" s="25">
        <v>2</v>
      </c>
      <c r="AD182" s="25" t="str">
        <f>AD181</f>
        <v>CASETA 2</v>
      </c>
      <c r="AE182" s="25"/>
      <c r="AF182" s="26">
        <f>INDEX($AC$8:$AZ$133,14,4)</f>
        <v>93239</v>
      </c>
      <c r="AG182" s="26">
        <f>INDEX($AC$8:$AZ$133,14,5)</f>
        <v>93141</v>
      </c>
      <c r="AH182" s="23">
        <f>SUMIFS($AH$8:$AH$133,$AC$8:$AC$133,$AC182)</f>
        <v>70</v>
      </c>
      <c r="AI182" s="23">
        <f>SUMIFS($AI$8:$AI$133,$AC$8:$AC$133,$AC182)</f>
        <v>682</v>
      </c>
      <c r="AJ182" s="23">
        <f t="shared" ref="AJ182:AJ198" si="523">SUMIFS($AJ$8:$AJ$133,$AC$8:$AC$133,$AC182)</f>
        <v>0</v>
      </c>
      <c r="AK182" s="23">
        <f>SUMIFS($AK$8:$AK$133,$AC$8:$AC$133,$AC182)</f>
        <v>752</v>
      </c>
      <c r="AL182" s="26">
        <f>INDEX($AC$8:$AZ$133,14,10)</f>
        <v>1599</v>
      </c>
      <c r="AM182" s="27">
        <f>INDEX($AC$8:$AZ$133,14,11)</f>
        <v>0.7</v>
      </c>
      <c r="AN182" s="28">
        <f>SUMIFS($AN$8:$AN$133,$AC$8:$AC$133,$AC182)</f>
        <v>8.0359070344744659</v>
      </c>
      <c r="AO182" s="27">
        <f>INDEX($AC$8:$AZ$133,14,13)</f>
        <v>1.4</v>
      </c>
      <c r="AP182" s="27">
        <f>INDEX($AC$8:$AZ$133,14,14)</f>
        <v>1.7149476077607011</v>
      </c>
      <c r="AQ182" s="23">
        <f>SUMIFS($AQ$8:$AQ$133,$AC$8:$AC$133,$AC182)</f>
        <v>0</v>
      </c>
      <c r="AR182" s="26">
        <f>INDEX($AC$8:$AZ$133,14,16)</f>
        <v>12</v>
      </c>
      <c r="AS182" s="23">
        <f t="shared" ref="AS182:AS198" si="524">AVERAGEIFS($AS$8:$AS$133,$AC$8:$AC$133,$AC182)</f>
        <v>0</v>
      </c>
      <c r="AT182" s="27">
        <f>INDEX($AC$8:$AZ$133,14,18)</f>
        <v>0</v>
      </c>
      <c r="AU182" s="26">
        <f>INDEX($AC$8:$AZ$133,14,19)</f>
        <v>118</v>
      </c>
      <c r="AV182" s="26">
        <f>INDEX($AC$8:$AZ$133,14,20)</f>
        <v>86.24</v>
      </c>
      <c r="AW182" s="26">
        <f>INDEX($AC$8:$AZ$133,14,21)</f>
        <v>31.760000000000005</v>
      </c>
      <c r="AX182" s="26">
        <f>INDEX($AC$8:$AZ$133,14,22)</f>
        <v>77</v>
      </c>
      <c r="AY182" s="26">
        <f>INDEX($AC$8:$AZ$133,14,23)</f>
        <v>81</v>
      </c>
      <c r="AZ182" s="26">
        <f>INDEX($AC$8:$AZ$133,14,24)</f>
        <v>-4</v>
      </c>
      <c r="BB182" s="1"/>
      <c r="BC182" s="25">
        <v>2</v>
      </c>
      <c r="BD182" s="25" t="str">
        <f>BD181</f>
        <v>CASETA 3</v>
      </c>
      <c r="BE182" s="25"/>
      <c r="BF182" s="26">
        <f>INDEX($BC$8:$BZ$133,14,4)</f>
        <v>191065</v>
      </c>
      <c r="BG182" s="26">
        <f>INDEX($BC$8:$BZ$133,14,5)</f>
        <v>190802</v>
      </c>
      <c r="BH182" s="23">
        <f>SUMIFS($BH$8:$BH$133,$BC$8:$BC$133,$BC182)</f>
        <v>231</v>
      </c>
      <c r="BI182" s="23">
        <f>SUMIFS($BI$8:$BI$133,$BC$8:$BC$133,$BC182)</f>
        <v>1673</v>
      </c>
      <c r="BJ182" s="23">
        <f>SUMIFS($BJ$8:$BJ$133,$BC$8:$BC$133,$BC182)</f>
        <v>0</v>
      </c>
      <c r="BK182" s="23">
        <f>SUMIFS($BK$8:$BK$133,$BC$8:$BC$133,$BC182)</f>
        <v>1904</v>
      </c>
      <c r="BL182" s="26">
        <f>INDEX($BC$8:$BZ$133,14,10)</f>
        <v>2958</v>
      </c>
      <c r="BM182" s="27">
        <f>INDEX($BC$8:$BZ$133,14,11)</f>
        <v>0.7</v>
      </c>
      <c r="BN182" s="28">
        <f t="shared" si="517"/>
        <v>9.9223577034387045</v>
      </c>
      <c r="BO182" s="27">
        <f>INDEX($BC$8:$BZ$133,14,13)</f>
        <v>1.4</v>
      </c>
      <c r="BP182" s="27">
        <f>INDEX($BC$8:$BZ$133,14,14)</f>
        <v>1.5481642373014419</v>
      </c>
      <c r="BQ182" s="23">
        <f t="shared" ref="BQ182:BQ198" si="525">SUMIFS($BQ$8:$BQ$133,$BC$8:$BC$133,$BC182)</f>
        <v>0</v>
      </c>
      <c r="BR182" s="26">
        <f>INDEX($BC$8:$BZ$133,14,16)</f>
        <v>12</v>
      </c>
      <c r="BS182" s="23">
        <f t="shared" ref="BS182:BS198" si="526">AVERAGEIFS($BS$8:$BS$133,$BC$8:$BC$133,$BC182)</f>
        <v>0</v>
      </c>
      <c r="BT182" s="27">
        <f>INDEX($BC$8:$BZ$133,14,18)</f>
        <v>0</v>
      </c>
      <c r="BU182" s="26">
        <f>INDEX($BC$8:$BZ$133,14,19)</f>
        <v>118</v>
      </c>
      <c r="BV182" s="292">
        <f>INDEX($BC$8:$BZ$133,14,20)</f>
        <v>82.2</v>
      </c>
      <c r="BW182" s="292">
        <f>INDEX($BC$8:$BZ$133,14,21)</f>
        <v>35.799999999999997</v>
      </c>
      <c r="BX182" s="29">
        <f>INDEX($BC$8:$BZ$133,14,22)</f>
        <v>77</v>
      </c>
      <c r="BY182" s="29">
        <f>INDEX($BC$8:$BZ$133,14,23)</f>
        <v>79</v>
      </c>
      <c r="BZ182" s="29">
        <f>INDEX($BC$8:$BZ$133,14,24)</f>
        <v>-2</v>
      </c>
      <c r="CB182" s="1"/>
      <c r="CC182" s="25">
        <v>2</v>
      </c>
      <c r="CD182" s="25" t="str">
        <f>CD181</f>
        <v>CASETA 4</v>
      </c>
      <c r="CE182" s="25"/>
      <c r="CF182" s="26">
        <f>INDEX($CC$8:$CZ$133,14,4)</f>
        <v>0</v>
      </c>
      <c r="CG182" s="26">
        <f>INDEX($CC$8:$CZ$133,14,5)</f>
        <v>0</v>
      </c>
      <c r="CH182" s="23">
        <f t="shared" ref="CH182:CH198" si="527">SUMIFS($CH$8:$CH$133,$CC$8:$CC$133,$CC182)</f>
        <v>0</v>
      </c>
      <c r="CI182" s="23">
        <f t="shared" ref="CI182:CI198" si="528">SUMIFS($CI$8:$CI$133,$CC$8:$CC$133,$CC182)</f>
        <v>0</v>
      </c>
      <c r="CJ182" s="23">
        <f>SUMIFS($CJ$8:$CJ$133,$CC$8:$CC$133,$CC182)</f>
        <v>0</v>
      </c>
      <c r="CK182" s="23">
        <f>SUMIFS($CK$8:$CK$133,$CC$8:$CC$133,$CC182)</f>
        <v>0</v>
      </c>
      <c r="CL182" s="26">
        <f>INDEX($CC$8:$CZ$133,14,10)</f>
        <v>0</v>
      </c>
      <c r="CM182" s="27">
        <f>INDEX($CC$8:$CZ$133,14,11)</f>
        <v>0.7</v>
      </c>
      <c r="CN182" s="28">
        <f>SUMIFS(CN9:CN134,CC9:CC134,CC182)</f>
        <v>0</v>
      </c>
      <c r="CO182" s="27">
        <f>INDEX($CC$8:$CZ$133,14,13)</f>
        <v>1.4</v>
      </c>
      <c r="CP182" s="27">
        <f>INDEX($CC$8:$CZ$133,14,14)</f>
        <v>0</v>
      </c>
      <c r="CQ182" s="23">
        <f t="shared" ref="CQ182:CQ198" si="529">SUMIFS($CQ$8:$CQ$133,$CC$8:$CC$133,$CC182)</f>
        <v>0</v>
      </c>
      <c r="CR182" s="26">
        <f>INDEX($CC$8:$CZ$133,14,16)</f>
        <v>12</v>
      </c>
      <c r="CS182" s="23">
        <f t="shared" ref="CS182:CS198" si="530">AVERAGEIFS($CS$8:$CS$133,$CC$8:$CC$133,$CC182)</f>
        <v>0</v>
      </c>
      <c r="CT182" s="27">
        <f>INDEX($CC$8:$CZ$133,14,18)</f>
        <v>0</v>
      </c>
      <c r="CU182" s="26">
        <f>INDEX($CC$8:$CZ$133,14,19)</f>
        <v>118</v>
      </c>
      <c r="CV182" s="26">
        <f>INDEX($CC$8:$CZ$133,14,20)</f>
        <v>0</v>
      </c>
      <c r="CW182" s="26">
        <f t="shared" si="518"/>
        <v>118</v>
      </c>
      <c r="CX182" s="26">
        <f>INDEX($CC$8:$CZ$133,14,22)</f>
        <v>77</v>
      </c>
      <c r="CY182" s="26">
        <f>INDEX($CC$8:$CZ$133,14,23)</f>
        <v>0</v>
      </c>
      <c r="CZ182" s="26">
        <f t="shared" ref="CZ182:CZ198" si="531">CX182-CY182</f>
        <v>77</v>
      </c>
      <c r="DB182" s="1"/>
      <c r="DC182" s="25">
        <v>2</v>
      </c>
      <c r="DD182" s="25" t="str">
        <f>DD181</f>
        <v>CASETA 5</v>
      </c>
      <c r="DE182" s="25"/>
      <c r="DF182" s="26">
        <f>INDEX($DC$8:$DZ$133,14,4)</f>
        <v>0</v>
      </c>
      <c r="DG182" s="26">
        <f>INDEX($DC$8:$DZ$133,14,5)</f>
        <v>0</v>
      </c>
      <c r="DH182" s="23">
        <f t="shared" ref="DH182:DH197" si="532">SUMIFS($DH$8:$DH$133,$DC$8:$DC$133,$DC182)</f>
        <v>0</v>
      </c>
      <c r="DI182" s="23">
        <f t="shared" ref="DI182:DI198" si="533">SUMIFS($DI$8:$DI$133,$DC$8:$DC$133,$DC182)</f>
        <v>0</v>
      </c>
      <c r="DJ182" s="23">
        <f t="shared" ref="DJ182:DJ198" si="534">SUMIFS($DJ$8:$DJ$133,$DC$8:$DC$133,$DC182)</f>
        <v>0</v>
      </c>
      <c r="DK182" s="23">
        <f>SUMIFS($DK$8:$DK$133,$DC$8:$DC$133,$DC182)</f>
        <v>0</v>
      </c>
      <c r="DL182" s="30">
        <f>INDEX($DC$8:$DZ$133,14,10)</f>
        <v>0</v>
      </c>
      <c r="DM182" s="30">
        <f>INDEX($DC$8:$DZ$133,14,11)</f>
        <v>0.7</v>
      </c>
      <c r="DN182" s="28">
        <f t="shared" ref="DN182:DN198" si="535">SUMIFS($DN$8:$DN$133,$DC$8:$DC$133,$DC182)</f>
        <v>0</v>
      </c>
      <c r="DO182" s="30">
        <f>INDEX($DC$8:$DZ$133,14,13)</f>
        <v>1.4</v>
      </c>
      <c r="DP182" s="30">
        <f>INDEX($DC$8:$DZ$133,14,14)</f>
        <v>0</v>
      </c>
      <c r="DQ182" s="23">
        <f t="shared" ref="DQ182:DQ198" si="536">SUMIFS($DQ$8:$DQ$133,$DC$8:$DC$133,$DC182)</f>
        <v>0</v>
      </c>
      <c r="DR182" s="26">
        <f>INDEX($DC$8:$DZ$133,14,16)</f>
        <v>12</v>
      </c>
      <c r="DS182" s="23">
        <f t="shared" ref="DS182:DS198" si="537">AVERAGEIFS($DS$8:$DS$133,$DC$8:$DC$133,$DC182)</f>
        <v>0</v>
      </c>
      <c r="DT182" s="30">
        <f>INDEX($DC$8:$DZ$133,14,18)</f>
        <v>0</v>
      </c>
      <c r="DU182" s="26">
        <f>INDEX($DC$8:$DZ$133,14,19)</f>
        <v>118</v>
      </c>
      <c r="DV182" s="26">
        <f>INDEX($DC$8:$DZ$133,14,20)</f>
        <v>0</v>
      </c>
      <c r="DW182" s="26">
        <f t="shared" ref="DW182:DW198" si="538">DU182-DV182</f>
        <v>118</v>
      </c>
      <c r="DX182" s="26">
        <f>INDEX($DC$8:$DZ$133,14,22)</f>
        <v>77</v>
      </c>
      <c r="DY182" s="26">
        <f>INDEX($DC$8:$DZ$133,14,23)</f>
        <v>0</v>
      </c>
      <c r="DZ182" s="26">
        <f t="shared" ref="DZ182:DZ198" si="539">DX182-DY182</f>
        <v>77</v>
      </c>
    </row>
    <row r="183" spans="3:130" x14ac:dyDescent="0.25">
      <c r="C183" s="25">
        <v>3</v>
      </c>
      <c r="D183" s="25" t="str">
        <f>D182</f>
        <v>CASETA 1</v>
      </c>
      <c r="E183" s="25"/>
      <c r="F183" s="26">
        <f>INDEX($C$8:$Z$133,21,4)</f>
        <v>0</v>
      </c>
      <c r="G183" s="26">
        <f>INDEX($C$8:$Z$133,21,5)</f>
        <v>0</v>
      </c>
      <c r="H183" s="23">
        <f t="shared" ref="H183:H198" si="540">SUMIFS($H$8:$H$133,$C$8:$C$133,$C183)</f>
        <v>0</v>
      </c>
      <c r="I183" s="23">
        <f t="shared" si="515"/>
        <v>0</v>
      </c>
      <c r="J183" s="23">
        <f t="shared" si="516"/>
        <v>0</v>
      </c>
      <c r="K183" s="23">
        <f t="shared" si="519"/>
        <v>0</v>
      </c>
      <c r="L183" s="26">
        <f>INDEX($C$8:$Z$133,21,10)</f>
        <v>0</v>
      </c>
      <c r="M183" s="30">
        <f>INDEX($C$8:$Z$133,21,11)</f>
        <v>0.5</v>
      </c>
      <c r="N183" s="28">
        <f t="shared" si="520"/>
        <v>0</v>
      </c>
      <c r="O183" s="30">
        <f>INDEX($C$8:$Z$133,21,13)</f>
        <v>1.9</v>
      </c>
      <c r="P183" s="30">
        <f>INDEX($C$8:$Z$133,21,14)</f>
        <v>0</v>
      </c>
      <c r="Q183" s="23">
        <f t="shared" si="521"/>
        <v>0</v>
      </c>
      <c r="R183" s="75">
        <f>INDEX($C$8:$Z$133,21,16)</f>
        <v>20</v>
      </c>
      <c r="S183" s="23">
        <f t="shared" si="522"/>
        <v>0</v>
      </c>
      <c r="T183" s="30">
        <f>INDEX($C$8:$Z$133,21,18)</f>
        <v>0</v>
      </c>
      <c r="U183" s="75">
        <f>INDEX($C$8:$Z$133,21,19)</f>
        <v>185</v>
      </c>
      <c r="V183" s="75">
        <f>INDEX($C$8:$Z$133,21,20)</f>
        <v>0</v>
      </c>
      <c r="W183" s="75">
        <f>INDEX($C$8:$Z$133,21,21)</f>
        <v>185</v>
      </c>
      <c r="X183" s="75">
        <f>INDEX($C$8:$Z$133,21,22)</f>
        <v>77</v>
      </c>
      <c r="Y183" s="75">
        <f>INDEX($C$8:$Z$133,21,23)</f>
        <v>0</v>
      </c>
      <c r="Z183" s="75">
        <f>INDEX($C$8:$Z$133,21,24)</f>
        <v>77</v>
      </c>
      <c r="AB183" s="1"/>
      <c r="AC183" s="25">
        <v>3</v>
      </c>
      <c r="AD183" s="25" t="str">
        <f t="shared" ref="AD183:AD198" si="541">AD182</f>
        <v>CASETA 2</v>
      </c>
      <c r="AE183" s="25"/>
      <c r="AF183" s="26">
        <f>INDEX($AC$8:$AZ$133,21,4)</f>
        <v>92699</v>
      </c>
      <c r="AG183" s="26">
        <f>INDEX($AC$8:$AZ$133,21,5)</f>
        <v>92659</v>
      </c>
      <c r="AH183" s="23">
        <f t="shared" ref="AH183:AH198" si="542">SUMIFS($AH$8:$AH$133,$AC$8:$AC$133,$AC183)</f>
        <v>12</v>
      </c>
      <c r="AI183" s="23">
        <f>SUMIFS($AI$8:$AI$133,$AC$8:$AC$133,$AC183)</f>
        <v>470</v>
      </c>
      <c r="AJ183" s="23">
        <f t="shared" si="523"/>
        <v>0</v>
      </c>
      <c r="AK183" s="23">
        <f>SUMIFS($AK$8:$AK$133,$AC$8:$AC$133,$AC183)</f>
        <v>482</v>
      </c>
      <c r="AL183" s="26">
        <f>INDEX($AC$8:$AZ$133,21,10)</f>
        <v>2081</v>
      </c>
      <c r="AM183" s="27">
        <f>INDEX($AC$8:$AZ$133,21,11)</f>
        <v>0.5</v>
      </c>
      <c r="AN183" s="28">
        <f>SUMIFS($AN$8:$AN$133,$AC$8:$AC$133,$AC183)</f>
        <v>5.1863321895631023</v>
      </c>
      <c r="AO183" s="27">
        <f>INDEX($AC$8:$AZ$133,21,13)</f>
        <v>1.9</v>
      </c>
      <c r="AP183" s="27">
        <f>INDEX($AC$8:$AZ$133,21,14)</f>
        <v>2.2449001607352832</v>
      </c>
      <c r="AQ183" s="23">
        <f t="shared" ref="AQ183:AQ198" si="543">SUMIFS($AQ$8:$AQ$133,$AC$8:$AC$133,$AC183)</f>
        <v>0</v>
      </c>
      <c r="AR183" s="26">
        <f>INDEX($AC$8:$AZ$133,21,16)</f>
        <v>20</v>
      </c>
      <c r="AS183" s="23">
        <f t="shared" si="524"/>
        <v>0</v>
      </c>
      <c r="AT183" s="27">
        <f>INDEX($AC$8:$AZ$133,21,18)</f>
        <v>0</v>
      </c>
      <c r="AU183" s="26">
        <f>INDEX($AC$8:$AZ$133,21,19)</f>
        <v>185</v>
      </c>
      <c r="AV183" s="26">
        <f>INDEX($AC$8:$AZ$133,21,20)</f>
        <v>162.4</v>
      </c>
      <c r="AW183" s="26">
        <f>INDEX($AC$8:$AZ$133,21,21)</f>
        <v>22.599999999999994</v>
      </c>
      <c r="AX183" s="26">
        <f>INDEX($AC$8:$AZ$133,21,22)</f>
        <v>77</v>
      </c>
      <c r="AY183" s="26">
        <f>INDEX($AC$8:$AZ$133,21,23)</f>
        <v>82</v>
      </c>
      <c r="AZ183" s="26">
        <f>INDEX($AC$8:$AZ$133,21,24)</f>
        <v>-5</v>
      </c>
      <c r="BB183" s="1"/>
      <c r="BC183" s="25">
        <v>3</v>
      </c>
      <c r="BD183" s="25" t="str">
        <f t="shared" ref="BD183:BD198" si="544">BD182</f>
        <v>CASETA 3</v>
      </c>
      <c r="BE183" s="25"/>
      <c r="BF183" s="26">
        <f>INDEX($BC$8:$BZ$133,21,4)</f>
        <v>189978</v>
      </c>
      <c r="BG183" s="26">
        <f>INDEX($BC$8:$BZ$133,21,5)</f>
        <v>189908</v>
      </c>
      <c r="BH183" s="23">
        <f t="shared" ref="BH183:BH198" si="545">SUMIFS($BH$8:$BH$133,$BC$8:$BC$133,$BC183)</f>
        <v>95</v>
      </c>
      <c r="BI183" s="23">
        <f t="shared" ref="BI183:BI198" si="546">SUMIFS($BI$8:$BI$133,$BC$8:$BC$133,$BC183)</f>
        <v>799</v>
      </c>
      <c r="BJ183" s="23">
        <f>SUMIFS($BJ$8:$BJ$133,$BC$8:$BC$133,$BC183)</f>
        <v>0</v>
      </c>
      <c r="BK183" s="23">
        <f>SUMIFS($BK$8:$BK$133,$BC$8:$BC$133,$BC183)</f>
        <v>894</v>
      </c>
      <c r="BL183" s="26">
        <f>INDEX($BC$8:$BZ$133,21,10)</f>
        <v>3852</v>
      </c>
      <c r="BM183" s="27">
        <f>INDEX($BC$8:$BZ$133,21,11)</f>
        <v>0.5</v>
      </c>
      <c r="BN183" s="28">
        <f t="shared" si="517"/>
        <v>4.6945245624371932</v>
      </c>
      <c r="BO183" s="27">
        <f>INDEX($BC$8:$BZ$133,21,13)</f>
        <v>1.9</v>
      </c>
      <c r="BP183" s="27">
        <f>INDEX($BC$8:$BZ$133,21,14)</f>
        <v>2.0276031961595553</v>
      </c>
      <c r="BQ183" s="23">
        <f t="shared" si="525"/>
        <v>0</v>
      </c>
      <c r="BR183" s="26">
        <f>INDEX($BC$8:$BZ$133,21,16)</f>
        <v>20</v>
      </c>
      <c r="BS183" s="23">
        <f t="shared" si="526"/>
        <v>0</v>
      </c>
      <c r="BT183" s="27">
        <f>INDEX($BC$8:$BZ$133,21,18)</f>
        <v>0</v>
      </c>
      <c r="BU183" s="26">
        <f>INDEX($BC$8:$BZ$133,21,19)</f>
        <v>185</v>
      </c>
      <c r="BV183" s="292">
        <f>INDEX($BC$8:$BZ$133,21,20)</f>
        <v>168.3</v>
      </c>
      <c r="BW183" s="292">
        <f>INDEX($BC$8:$BZ$133,21,21)</f>
        <v>16.699999999999989</v>
      </c>
      <c r="BX183" s="29">
        <f>INDEX($BC$8:$BZ$133,21,22)</f>
        <v>77</v>
      </c>
      <c r="BY183" s="29">
        <f>INDEX($BC$8:$BZ$133,21,23)</f>
        <v>78</v>
      </c>
      <c r="BZ183" s="29">
        <f>INDEX($BC$8:$BZ$133,21,24)</f>
        <v>-1</v>
      </c>
      <c r="CB183" s="1"/>
      <c r="CC183" s="25">
        <v>3</v>
      </c>
      <c r="CD183" s="25" t="str">
        <f t="shared" ref="CD183:CD198" si="547">CD182</f>
        <v>CASETA 4</v>
      </c>
      <c r="CE183" s="25"/>
      <c r="CF183" s="26">
        <f>INDEX($CC$8:$CZ$133,21,4)</f>
        <v>0</v>
      </c>
      <c r="CG183" s="26">
        <f>INDEX($CC$8:$CZ$133,21,5)</f>
        <v>0</v>
      </c>
      <c r="CH183" s="23">
        <f t="shared" si="527"/>
        <v>0</v>
      </c>
      <c r="CI183" s="23">
        <f t="shared" si="528"/>
        <v>0</v>
      </c>
      <c r="CJ183" s="23">
        <f t="shared" ref="CJ183:CJ198" si="548">SUMIFS($CJ$8:$CJ$133,$CC$8:$CC$133,$CC183)</f>
        <v>0</v>
      </c>
      <c r="CK183" s="23">
        <f t="shared" ref="CK183:CK198" si="549">SUMIFS($CK$8:$CK$133,$CC$8:$CC$133,$CC183)</f>
        <v>0</v>
      </c>
      <c r="CL183" s="26">
        <f>INDEX($CC$8:$CZ$133,21,10)</f>
        <v>0</v>
      </c>
      <c r="CM183" s="27">
        <f>INDEX($CC$8:$CZ$133,21,11)</f>
        <v>0.5</v>
      </c>
      <c r="CN183" s="28">
        <f>SUMIFS(CN10:CN177,CC10:CC177,CC183)</f>
        <v>0</v>
      </c>
      <c r="CO183" s="27">
        <f>INDEX($CC$8:$CZ$133,21,13)</f>
        <v>1.9</v>
      </c>
      <c r="CP183" s="27">
        <f>INDEX($CC$8:$CZ$133,21,14)</f>
        <v>0</v>
      </c>
      <c r="CQ183" s="23">
        <f t="shared" si="529"/>
        <v>0</v>
      </c>
      <c r="CR183" s="26">
        <f>INDEX($CC$8:$CZ$133,21,16)</f>
        <v>20</v>
      </c>
      <c r="CS183" s="23">
        <f t="shared" si="530"/>
        <v>0</v>
      </c>
      <c r="CT183" s="27">
        <f>INDEX($CC$8:$CZ$133,21,18)</f>
        <v>0</v>
      </c>
      <c r="CU183" s="26">
        <f>INDEX($CC$8:$CZ$133,21,19)</f>
        <v>185</v>
      </c>
      <c r="CV183" s="26">
        <f>INDEX($CC$8:$CZ$133,21,20)</f>
        <v>0</v>
      </c>
      <c r="CW183" s="26">
        <f t="shared" si="518"/>
        <v>185</v>
      </c>
      <c r="CX183" s="26">
        <f>INDEX($CC$8:$CZ$133,21,22)</f>
        <v>77</v>
      </c>
      <c r="CY183" s="26">
        <f>INDEX($CC$8:$CZ$133,21,23)</f>
        <v>0</v>
      </c>
      <c r="CZ183" s="26">
        <f t="shared" si="531"/>
        <v>77</v>
      </c>
      <c r="DB183" s="1"/>
      <c r="DC183" s="25">
        <v>3</v>
      </c>
      <c r="DD183" s="25" t="str">
        <f t="shared" ref="DD183:DD198" si="550">DD182</f>
        <v>CASETA 5</v>
      </c>
      <c r="DE183" s="25"/>
      <c r="DF183" s="26">
        <f>INDEX($DC$8:$DZ$133,21,4)</f>
        <v>0</v>
      </c>
      <c r="DG183" s="26">
        <f>INDEX($DC$8:$DZ$133,21,5)</f>
        <v>0</v>
      </c>
      <c r="DH183" s="23">
        <f t="shared" si="532"/>
        <v>0</v>
      </c>
      <c r="DI183" s="23">
        <f t="shared" si="533"/>
        <v>0</v>
      </c>
      <c r="DJ183" s="23">
        <f t="shared" si="534"/>
        <v>0</v>
      </c>
      <c r="DK183" s="23">
        <f>SUMIFS($DK$8:$DK$133,$DC$8:$DC$133,$DC183)</f>
        <v>0</v>
      </c>
      <c r="DL183" s="30">
        <f>INDEX($DC$8:$DZ$133,21,10)</f>
        <v>0</v>
      </c>
      <c r="DM183" s="30">
        <f>INDEX($DC$8:$DZ$133,21,11)</f>
        <v>0.5</v>
      </c>
      <c r="DN183" s="28">
        <f t="shared" si="535"/>
        <v>0</v>
      </c>
      <c r="DO183" s="30">
        <f>INDEX($DC$8:$DZ$133,21,13)</f>
        <v>1.9</v>
      </c>
      <c r="DP183" s="30">
        <f>INDEX($DC$8:$DZ$133,21,14)</f>
        <v>0</v>
      </c>
      <c r="DQ183" s="23">
        <f t="shared" si="536"/>
        <v>0</v>
      </c>
      <c r="DR183" s="26">
        <f>INDEX($DC$8:$DZ$133,21,16)</f>
        <v>20</v>
      </c>
      <c r="DS183" s="23">
        <f t="shared" si="537"/>
        <v>0</v>
      </c>
      <c r="DT183" s="30">
        <f>INDEX($DC$8:$DZ$133,21,18)</f>
        <v>0</v>
      </c>
      <c r="DU183" s="26">
        <f>INDEX($DC$8:$DZ$133,21,19)</f>
        <v>185</v>
      </c>
      <c r="DV183" s="26">
        <f>INDEX($DC$8:$DZ$133,21,20)</f>
        <v>0</v>
      </c>
      <c r="DW183" s="26">
        <f t="shared" si="538"/>
        <v>185</v>
      </c>
      <c r="DX183" s="26">
        <f>INDEX($DC$8:$DZ$133,21,22)</f>
        <v>77</v>
      </c>
      <c r="DY183" s="26">
        <f>INDEX($DC$8:$DZ$133,21,23)</f>
        <v>0</v>
      </c>
      <c r="DZ183" s="26">
        <f t="shared" si="539"/>
        <v>77</v>
      </c>
    </row>
    <row r="184" spans="3:130" x14ac:dyDescent="0.25">
      <c r="C184" s="25">
        <v>4</v>
      </c>
      <c r="D184" s="25" t="str">
        <f t="shared" ref="D184:D198" si="551">D183</f>
        <v>CASETA 1</v>
      </c>
      <c r="E184" s="25"/>
      <c r="F184" s="26">
        <f>INDEX($C$8:$Z$133,28,4)</f>
        <v>0</v>
      </c>
      <c r="G184" s="26">
        <f>INDEX($C$8:$Z$133,28,5)</f>
        <v>0</v>
      </c>
      <c r="H184" s="23">
        <f t="shared" si="540"/>
        <v>0</v>
      </c>
      <c r="I184" s="23">
        <f t="shared" si="515"/>
        <v>0</v>
      </c>
      <c r="J184" s="23">
        <f t="shared" si="516"/>
        <v>0</v>
      </c>
      <c r="K184" s="23">
        <f t="shared" si="519"/>
        <v>0</v>
      </c>
      <c r="L184" s="26">
        <f>INDEX($C$8:$Z$133,28,10)</f>
        <v>0</v>
      </c>
      <c r="M184" s="30">
        <f>INDEX($C$8:$Z$133,28,11)</f>
        <v>0.3</v>
      </c>
      <c r="N184" s="28">
        <f t="shared" si="520"/>
        <v>0</v>
      </c>
      <c r="O184" s="30">
        <f>INDEX($C$8:$Z$133,28,13)</f>
        <v>2.1999999999999997</v>
      </c>
      <c r="P184" s="30">
        <f>INDEX($C$8:$Z$133,28,14)</f>
        <v>0</v>
      </c>
      <c r="Q184" s="23">
        <f t="shared" si="521"/>
        <v>0</v>
      </c>
      <c r="R184" s="75">
        <f>INDEX($C$8:$Z$133,28,16)</f>
        <v>29</v>
      </c>
      <c r="S184" s="23">
        <f t="shared" si="522"/>
        <v>0</v>
      </c>
      <c r="T184" s="30">
        <f>INDEX($C$8:$Z$133,28,18)</f>
        <v>0</v>
      </c>
      <c r="U184" s="75">
        <f>INDEX($C$8:$Z$133,28,19)</f>
        <v>258</v>
      </c>
      <c r="V184" s="75">
        <f>INDEX($C$8:$Z$133,28,20)</f>
        <v>0</v>
      </c>
      <c r="W184" s="75">
        <f>INDEX($C$8:$Z$133,28,21)</f>
        <v>258</v>
      </c>
      <c r="X184" s="75">
        <f>INDEX($C$8:$Z$133,28,22)</f>
        <v>79</v>
      </c>
      <c r="Y184" s="75">
        <f>INDEX($C$8:$Z$133,28,23)</f>
        <v>0</v>
      </c>
      <c r="Z184" s="75">
        <f>INDEX($C$8:$Z$133,28,24)</f>
        <v>79</v>
      </c>
      <c r="AB184" s="1"/>
      <c r="AC184" s="25">
        <v>4</v>
      </c>
      <c r="AD184" s="25" t="str">
        <f t="shared" si="541"/>
        <v>CASETA 2</v>
      </c>
      <c r="AE184" s="25"/>
      <c r="AF184" s="26">
        <f>INDEX($AC$8:$AZ$133,28,4)</f>
        <v>92473</v>
      </c>
      <c r="AG184" s="26">
        <f>INDEX($AC$8:$AZ$133,28,5)</f>
        <v>92453</v>
      </c>
      <c r="AH184" s="23">
        <f t="shared" si="542"/>
        <v>20</v>
      </c>
      <c r="AI184" s="23">
        <f>SUMIFS($AI$8:$AI$133,$AC$8:$AC$133,$AC184)</f>
        <v>186</v>
      </c>
      <c r="AJ184" s="23">
        <f t="shared" si="523"/>
        <v>0</v>
      </c>
      <c r="AK184" s="23">
        <f>SUMIFS($AK$8:$AK$133,$AC$8:$AC$133,$AC184)</f>
        <v>206</v>
      </c>
      <c r="AL184" s="26">
        <f>INDEX($AC$8:$AZ$133,28,10)</f>
        <v>2287</v>
      </c>
      <c r="AM184" s="27">
        <f>INDEX($AC$8:$AZ$133,28,11)</f>
        <v>0.3</v>
      </c>
      <c r="AN184" s="28">
        <f>SUMIFS($AN$8:$AN$133,$AC$8:$AC$133,$AC184)</f>
        <v>2.2253048826301898</v>
      </c>
      <c r="AO184" s="27">
        <f>INDEX($AC$8:$AZ$133,28,13)</f>
        <v>2.1999999999999997</v>
      </c>
      <c r="AP184" s="27">
        <f>INDEX($AC$8:$AZ$133,28,14)</f>
        <v>2.4731543261276263</v>
      </c>
      <c r="AQ184" s="23">
        <f t="shared" si="543"/>
        <v>0</v>
      </c>
      <c r="AR184" s="26">
        <f>INDEX($AC$8:$AZ$133,28,16)</f>
        <v>29</v>
      </c>
      <c r="AS184" s="23">
        <f t="shared" si="524"/>
        <v>0</v>
      </c>
      <c r="AT184" s="27">
        <f>INDEX($AC$8:$AZ$133,28,18)</f>
        <v>0</v>
      </c>
      <c r="AU184" s="26">
        <f>INDEX($AC$8:$AZ$133,28,19)</f>
        <v>258</v>
      </c>
      <c r="AV184" s="26">
        <f>INDEX($AC$8:$AZ$133,28,20)</f>
        <v>215.2</v>
      </c>
      <c r="AW184" s="26">
        <f>INDEX($AC$8:$AZ$133,28,21)</f>
        <v>42.800000000000011</v>
      </c>
      <c r="AX184" s="26">
        <f>INDEX($AC$8:$AZ$133,28,22)</f>
        <v>79</v>
      </c>
      <c r="AY184" s="26">
        <f>INDEX($AC$8:$AZ$133,28,23)</f>
        <v>84</v>
      </c>
      <c r="AZ184" s="26">
        <f>INDEX($AC$8:$AZ$133,28,24)</f>
        <v>-5</v>
      </c>
      <c r="BB184" s="1"/>
      <c r="BC184" s="25">
        <v>4</v>
      </c>
      <c r="BD184" s="25" t="str">
        <f t="shared" si="544"/>
        <v>CASETA 3</v>
      </c>
      <c r="BE184" s="25"/>
      <c r="BF184" s="26">
        <f>INDEX($BC$8:$BZ$133,28,4)</f>
        <v>189685</v>
      </c>
      <c r="BG184" s="26">
        <f>INDEX($BC$8:$BZ$133,28,5)</f>
        <v>189665</v>
      </c>
      <c r="BH184" s="23">
        <f t="shared" si="545"/>
        <v>18</v>
      </c>
      <c r="BI184" s="23">
        <f t="shared" si="546"/>
        <v>225</v>
      </c>
      <c r="BJ184" s="23">
        <f t="shared" ref="BJ184:BJ198" si="552">SUMIFS($BJ$8:$BJ$133,$BC$8:$BC$133,$BC184)</f>
        <v>0</v>
      </c>
      <c r="BK184" s="23">
        <f>SUMIFS($BK$8:$BK$133,$BC$8:$BC$133,$BC184)</f>
        <v>243</v>
      </c>
      <c r="BL184" s="26">
        <f>INDEX($BC$8:$BZ$133,28,10)</f>
        <v>4095</v>
      </c>
      <c r="BM184" s="27">
        <f>INDEX($BC$8:$BZ$133,28,11)</f>
        <v>0.3</v>
      </c>
      <c r="BN184" s="28">
        <f t="shared" si="517"/>
        <v>1.2802512527848198</v>
      </c>
      <c r="BO184" s="27">
        <f>INDEX($BC$8:$BZ$133,28,13)</f>
        <v>2.1999999999999997</v>
      </c>
      <c r="BP184" s="27">
        <f>INDEX($BC$8:$BZ$133,28,14)</f>
        <v>2.1588422911669345</v>
      </c>
      <c r="BQ184" s="23">
        <f t="shared" si="525"/>
        <v>0</v>
      </c>
      <c r="BR184" s="26">
        <f>INDEX($BC$8:$BZ$133,28,16)</f>
        <v>29</v>
      </c>
      <c r="BS184" s="23">
        <f t="shared" si="526"/>
        <v>0</v>
      </c>
      <c r="BT184" s="27">
        <f>INDEX($BC$8:$BZ$133,28,18)</f>
        <v>0</v>
      </c>
      <c r="BU184" s="26">
        <f>INDEX($BC$8:$BZ$133,28,19)</f>
        <v>258</v>
      </c>
      <c r="BV184" s="292">
        <f>INDEX($BC$8:$BZ$133,28,20)</f>
        <v>218</v>
      </c>
      <c r="BW184" s="292">
        <f>INDEX($BC$8:$BZ$133,28,21)</f>
        <v>40</v>
      </c>
      <c r="BX184" s="29">
        <f>INDEX($BC$8:$BZ$133,28,22)</f>
        <v>79</v>
      </c>
      <c r="BY184" s="29">
        <f>INDEX($BC$8:$BZ$133,28,23)</f>
        <v>81</v>
      </c>
      <c r="BZ184" s="29">
        <f>INDEX($BC$8:$BZ$133,28,24)</f>
        <v>-2</v>
      </c>
      <c r="CB184" s="1"/>
      <c r="CC184" s="25">
        <v>4</v>
      </c>
      <c r="CD184" s="25" t="str">
        <f t="shared" si="547"/>
        <v>CASETA 4</v>
      </c>
      <c r="CE184" s="25"/>
      <c r="CF184" s="26">
        <f>INDEX($CC$8:$CZ$133,28,4)</f>
        <v>0</v>
      </c>
      <c r="CG184" s="26">
        <f>INDEX($CC$8:$CZ$133,28,5)</f>
        <v>0</v>
      </c>
      <c r="CH184" s="23">
        <f t="shared" si="527"/>
        <v>0</v>
      </c>
      <c r="CI184" s="23">
        <f t="shared" si="528"/>
        <v>0</v>
      </c>
      <c r="CJ184" s="23">
        <f t="shared" si="548"/>
        <v>0</v>
      </c>
      <c r="CK184" s="23">
        <f t="shared" si="549"/>
        <v>0</v>
      </c>
      <c r="CL184" s="26">
        <f>INDEX($CC$8:$CZ$133,28,10)</f>
        <v>0</v>
      </c>
      <c r="CM184" s="27">
        <f>INDEX($CC$8:$CZ$133,28,11)</f>
        <v>0.3</v>
      </c>
      <c r="CN184" s="28">
        <f>SUMIFS(CN11:CN178,CC11:CC178,CC184)</f>
        <v>0</v>
      </c>
      <c r="CO184" s="27">
        <f>INDEX($CC$8:$CZ$133,28,13)</f>
        <v>2.1999999999999997</v>
      </c>
      <c r="CP184" s="27">
        <f>INDEX($CC$8:$CZ$133,28,14)</f>
        <v>0</v>
      </c>
      <c r="CQ184" s="23">
        <f t="shared" si="529"/>
        <v>0</v>
      </c>
      <c r="CR184" s="26">
        <f>INDEX($CC$8:$CZ$133,28,16)</f>
        <v>29</v>
      </c>
      <c r="CS184" s="23">
        <f t="shared" si="530"/>
        <v>0</v>
      </c>
      <c r="CT184" s="27">
        <f>INDEX($CC$8:$CZ$133,28,18)</f>
        <v>0</v>
      </c>
      <c r="CU184" s="26">
        <f>INDEX($CC$8:$CZ$133,28,19)</f>
        <v>258</v>
      </c>
      <c r="CV184" s="26">
        <f>INDEX($CC$8:$CZ$133,28,20)</f>
        <v>0</v>
      </c>
      <c r="CW184" s="26">
        <f t="shared" si="518"/>
        <v>258</v>
      </c>
      <c r="CX184" s="26">
        <f>INDEX($CC$8:$CZ$133,28,22)</f>
        <v>79</v>
      </c>
      <c r="CY184" s="26">
        <f>INDEX($CC$8:$CZ$133,28,23)</f>
        <v>0</v>
      </c>
      <c r="CZ184" s="26">
        <f t="shared" si="531"/>
        <v>79</v>
      </c>
      <c r="DB184" s="1"/>
      <c r="DC184" s="25">
        <v>4</v>
      </c>
      <c r="DD184" s="25" t="str">
        <f t="shared" si="550"/>
        <v>CASETA 5</v>
      </c>
      <c r="DE184" s="25"/>
      <c r="DF184" s="26">
        <f>INDEX($DC$8:$DZ$133,28,4)</f>
        <v>0</v>
      </c>
      <c r="DG184" s="26">
        <f>INDEX($DC$8:$DZ$133,28,5)</f>
        <v>0</v>
      </c>
      <c r="DH184" s="23">
        <f t="shared" si="532"/>
        <v>0</v>
      </c>
      <c r="DI184" s="23">
        <f t="shared" si="533"/>
        <v>0</v>
      </c>
      <c r="DJ184" s="23">
        <f t="shared" si="534"/>
        <v>0</v>
      </c>
      <c r="DK184" s="23">
        <f>SUMIFS($DK$8:$DK$133,$DC$8:$DC$133,$DC184)</f>
        <v>0</v>
      </c>
      <c r="DL184" s="30">
        <f>INDEX($DC$8:$DZ$133,28,10)</f>
        <v>0</v>
      </c>
      <c r="DM184" s="30">
        <f>INDEX($DC$8:$DZ$133,28,11)</f>
        <v>0.3</v>
      </c>
      <c r="DN184" s="28">
        <f t="shared" si="535"/>
        <v>0</v>
      </c>
      <c r="DO184" s="30">
        <f>INDEX($DC$8:$DZ$133,28,13)</f>
        <v>2.1999999999999997</v>
      </c>
      <c r="DP184" s="30">
        <f>INDEX($DC$8:$DZ$133,28,14)</f>
        <v>0</v>
      </c>
      <c r="DQ184" s="23">
        <f t="shared" si="536"/>
        <v>0</v>
      </c>
      <c r="DR184" s="26">
        <f>INDEX($DC$8:$DZ$133,28,16)</f>
        <v>29</v>
      </c>
      <c r="DS184" s="23">
        <f t="shared" si="537"/>
        <v>0</v>
      </c>
      <c r="DT184" s="30">
        <f>INDEX($DC$8:$DZ$133,28,18)</f>
        <v>0</v>
      </c>
      <c r="DU184" s="26">
        <f>INDEX($DC$8:$DZ$133,28,19)</f>
        <v>258</v>
      </c>
      <c r="DV184" s="26">
        <f>INDEX($DC$8:$DZ$133,28,20)</f>
        <v>0</v>
      </c>
      <c r="DW184" s="26">
        <f t="shared" si="538"/>
        <v>258</v>
      </c>
      <c r="DX184" s="26">
        <f>INDEX($DC$8:$DZ$133,28,22)</f>
        <v>79</v>
      </c>
      <c r="DY184" s="26">
        <f>INDEX($DC$8:$DZ$133,28,23)</f>
        <v>0</v>
      </c>
      <c r="DZ184" s="26">
        <f t="shared" si="539"/>
        <v>79</v>
      </c>
    </row>
    <row r="185" spans="3:130" x14ac:dyDescent="0.25">
      <c r="C185" s="25">
        <v>5</v>
      </c>
      <c r="D185" s="25" t="str">
        <f t="shared" si="551"/>
        <v>CASETA 1</v>
      </c>
      <c r="E185" s="25"/>
      <c r="F185" s="26">
        <f>INDEX($C$8:$Z$133,35,4)</f>
        <v>17836</v>
      </c>
      <c r="G185" s="26">
        <f>INDEX($C$8:$Z$133,35,5)</f>
        <v>17833</v>
      </c>
      <c r="H185" s="23">
        <f t="shared" si="540"/>
        <v>0</v>
      </c>
      <c r="I185" s="23">
        <f t="shared" si="515"/>
        <v>7</v>
      </c>
      <c r="J185" s="23">
        <f t="shared" si="516"/>
        <v>0</v>
      </c>
      <c r="K185" s="23">
        <f>SUMIFS($K$8:$K$133,$C$8:$C$133,$C185)</f>
        <v>7</v>
      </c>
      <c r="L185" s="26">
        <f>INDEX($C$8:$Z$133,35,10)</f>
        <v>7</v>
      </c>
      <c r="M185" s="30">
        <f>INDEX($C$8:$Z$133,35,11)</f>
        <v>0.18</v>
      </c>
      <c r="N185" s="28">
        <f t="shared" si="520"/>
        <v>0.50259341364168464</v>
      </c>
      <c r="O185" s="30">
        <f>INDEX($C$8:$Z$133,35,13)</f>
        <v>2.38</v>
      </c>
      <c r="P185" s="30">
        <f>INDEX($C$8:$Z$133,35,14)</f>
        <v>3.924646781789639E-2</v>
      </c>
      <c r="Q185" s="23">
        <f t="shared" si="521"/>
        <v>0</v>
      </c>
      <c r="R185" s="75">
        <f>INDEX($C$8:$Z$133,35,16)</f>
        <v>36</v>
      </c>
      <c r="S185" s="23">
        <f t="shared" si="522"/>
        <v>0</v>
      </c>
      <c r="T185" s="30">
        <f>INDEX($C$8:$Z$133,35,18)</f>
        <v>0</v>
      </c>
      <c r="U185" s="75">
        <f>INDEX($C$8:$Z$133,35,19)</f>
        <v>336</v>
      </c>
      <c r="V185" s="75">
        <f>INDEX($C$8:$Z$133,35,20)</f>
        <v>311</v>
      </c>
      <c r="W185" s="75">
        <f>INDEX($C$8:$Z$133,35,21)</f>
        <v>25</v>
      </c>
      <c r="X185" s="75">
        <f>INDEX($C$8:$Z$133,35,22)</f>
        <v>79</v>
      </c>
      <c r="Y185" s="75">
        <f>INDEX($C$8:$Z$133,35,23)</f>
        <v>79</v>
      </c>
      <c r="Z185" s="75">
        <f>INDEX($C$8:$Z$133,35,24)</f>
        <v>0</v>
      </c>
      <c r="AB185" s="1"/>
      <c r="AC185" s="25">
        <v>5</v>
      </c>
      <c r="AD185" s="25" t="str">
        <f t="shared" si="541"/>
        <v>CASETA 2</v>
      </c>
      <c r="AE185" s="25"/>
      <c r="AF185" s="26">
        <f>INDEX($AC$8:$AZ$133,35,4)</f>
        <v>92367</v>
      </c>
      <c r="AG185" s="26">
        <f>INDEX($AC$8:$AZ$133,35,5)</f>
        <v>92355</v>
      </c>
      <c r="AH185" s="23">
        <f t="shared" si="542"/>
        <v>0</v>
      </c>
      <c r="AI185" s="23">
        <f t="shared" ref="AI185:AI198" si="553">SUMIFS($AI$8:$AI$133,$AC$8:$AC$133,$AC185)</f>
        <v>98</v>
      </c>
      <c r="AJ185" s="23">
        <f t="shared" si="523"/>
        <v>0</v>
      </c>
      <c r="AK185" s="23">
        <f>SUMIFS($AK$8:$AK$133,$AC$8:$AC$133,$AC185)</f>
        <v>98</v>
      </c>
      <c r="AL185" s="26">
        <f>INDEX($AC$8:$AZ$133,35,10)</f>
        <v>2385</v>
      </c>
      <c r="AM185" s="27">
        <f>INDEX($AC$8:$AZ$133,35,11)</f>
        <v>0.18</v>
      </c>
      <c r="AN185" s="28">
        <f t="shared" ref="AN185:AN198" si="554">SUMIFS($AN$8:$AN$133,$AC$8:$AC$133,$AC185)</f>
        <v>1.0604744143932283</v>
      </c>
      <c r="AO185" s="27">
        <f>INDEX($AC$8:$AZ$133,35,13)</f>
        <v>2.38</v>
      </c>
      <c r="AP185" s="27">
        <f>INDEX($AC$8:$AZ$133,35,14)</f>
        <v>2.5820910065283056</v>
      </c>
      <c r="AQ185" s="23">
        <f t="shared" si="543"/>
        <v>0</v>
      </c>
      <c r="AR185" s="26">
        <f>INDEX($AC$8:$AZ$133,35,16)</f>
        <v>36</v>
      </c>
      <c r="AS185" s="23">
        <f t="shared" si="524"/>
        <v>0</v>
      </c>
      <c r="AT185" s="27">
        <f>INDEX($AC$8:$AZ$133,35,18)</f>
        <v>0</v>
      </c>
      <c r="AU185" s="26">
        <f>INDEX($AC$8:$AZ$133,35,19)</f>
        <v>336</v>
      </c>
      <c r="AV185" s="26">
        <f>INDEX($AC$8:$AZ$133,35,20)</f>
        <v>322</v>
      </c>
      <c r="AW185" s="26">
        <f>INDEX($AC$8:$AZ$133,35,21)</f>
        <v>14</v>
      </c>
      <c r="AX185" s="26">
        <f>INDEX($AC$8:$AZ$133,35,22)</f>
        <v>79</v>
      </c>
      <c r="AY185" s="26">
        <f>INDEX($AC$8:$AZ$133,35,23)</f>
        <v>82</v>
      </c>
      <c r="AZ185" s="26">
        <f>INDEX($AC$8:$AZ$133,35,24)</f>
        <v>-3</v>
      </c>
      <c r="BB185" s="1"/>
      <c r="BC185" s="25">
        <v>5</v>
      </c>
      <c r="BD185" s="25" t="str">
        <f t="shared" si="544"/>
        <v>CASETA 3</v>
      </c>
      <c r="BE185" s="25"/>
      <c r="BF185" s="26">
        <f>INDEX($BC$8:$BZ$133,35,4)</f>
        <v>171499</v>
      </c>
      <c r="BG185" s="26">
        <f>INDEX($BC$8:$BZ$133,35,5)</f>
        <v>171429</v>
      </c>
      <c r="BH185" s="23">
        <f t="shared" si="545"/>
        <v>296</v>
      </c>
      <c r="BI185" s="23">
        <f t="shared" si="546"/>
        <v>100</v>
      </c>
      <c r="BJ185" s="23">
        <f t="shared" si="552"/>
        <v>0</v>
      </c>
      <c r="BK185" s="23">
        <f t="shared" ref="BK185:BK198" si="555">SUMIFS($BK$8:$BK$133,$BC$8:$BC$133,$BC185)</f>
        <v>396</v>
      </c>
      <c r="BL185" s="26">
        <f>INDEX($BC$8:$BZ$133,35,10)</f>
        <v>4491</v>
      </c>
      <c r="BM185" s="27">
        <f>INDEX($BC$8:$BZ$133,35,11)</f>
        <v>0.18</v>
      </c>
      <c r="BN185" s="28">
        <f t="shared" si="517"/>
        <v>2.1993637448131982</v>
      </c>
      <c r="BO185" s="27">
        <f>INDEX($BC$8:$BZ$133,35,13)</f>
        <v>2.38</v>
      </c>
      <c r="BP185" s="27">
        <f>INDEX($BC$8:$BZ$133,35,14)</f>
        <v>2.6186741613653726</v>
      </c>
      <c r="BQ185" s="23">
        <f t="shared" si="525"/>
        <v>0</v>
      </c>
      <c r="BR185" s="26">
        <f>INDEX($BC$8:$BZ$133,35,16)</f>
        <v>36</v>
      </c>
      <c r="BS185" s="23">
        <f t="shared" si="526"/>
        <v>0</v>
      </c>
      <c r="BT185" s="27">
        <f>INDEX($BC$8:$BZ$133,35,18)</f>
        <v>0</v>
      </c>
      <c r="BU185" s="26">
        <f>INDEX($BC$8:$BZ$133,35,19)</f>
        <v>336</v>
      </c>
      <c r="BV185" s="292">
        <f>INDEX($BC$8:$BZ$133,35,20)</f>
        <v>311</v>
      </c>
      <c r="BW185" s="292">
        <f>INDEX($BC$8:$BZ$133,35,21)</f>
        <v>25</v>
      </c>
      <c r="BX185" s="29">
        <f>INDEX($BC$8:$BZ$133,35,22)</f>
        <v>79</v>
      </c>
      <c r="BY185" s="29">
        <f>INDEX($BC$8:$BZ$133,35,23)</f>
        <v>79</v>
      </c>
      <c r="BZ185" s="29">
        <f>INDEX($BC$8:$BZ$133,35,24)</f>
        <v>0</v>
      </c>
      <c r="CB185" s="1"/>
      <c r="CC185" s="25">
        <v>5</v>
      </c>
      <c r="CD185" s="25" t="str">
        <f t="shared" si="547"/>
        <v>CASETA 4</v>
      </c>
      <c r="CE185" s="25"/>
      <c r="CF185" s="26">
        <f>INDEX($CC$8:$CZ$133,35,4)</f>
        <v>0</v>
      </c>
      <c r="CG185" s="26">
        <f>INDEX($CC$8:$CZ$133,35,5)</f>
        <v>0</v>
      </c>
      <c r="CH185" s="23">
        <f t="shared" si="527"/>
        <v>0</v>
      </c>
      <c r="CI185" s="23">
        <f t="shared" si="528"/>
        <v>0</v>
      </c>
      <c r="CJ185" s="23">
        <f t="shared" si="548"/>
        <v>0</v>
      </c>
      <c r="CK185" s="23">
        <f t="shared" si="549"/>
        <v>0</v>
      </c>
      <c r="CL185" s="26">
        <f>INDEX($CC$8:$CZ$133,35,10)</f>
        <v>0</v>
      </c>
      <c r="CM185" s="27">
        <f>INDEX($CC$8:$CZ$133,35,11)</f>
        <v>0.18</v>
      </c>
      <c r="CN185" s="28">
        <f>SUMIFS(CN12:CN179,CC12:CC179,CC185)</f>
        <v>0</v>
      </c>
      <c r="CO185" s="27">
        <f>INDEX($CC$8:$CZ$133,35,13)</f>
        <v>2.38</v>
      </c>
      <c r="CP185" s="27">
        <f>INDEX($CC$8:$CZ$133,35,14)</f>
        <v>0</v>
      </c>
      <c r="CQ185" s="23">
        <f t="shared" si="529"/>
        <v>0</v>
      </c>
      <c r="CR185" s="26">
        <f>INDEX($CC$8:$CZ$133,35,16)</f>
        <v>36</v>
      </c>
      <c r="CS185" s="23">
        <f t="shared" si="530"/>
        <v>0</v>
      </c>
      <c r="CT185" s="27">
        <f>INDEX($CC$8:$CZ$133,35,18)</f>
        <v>0</v>
      </c>
      <c r="CU185" s="26">
        <f>INDEX($CC$8:$CZ$133,35,19)</f>
        <v>336</v>
      </c>
      <c r="CV185" s="26">
        <f>INDEX($CC$8:$CZ$133,35,20)</f>
        <v>0</v>
      </c>
      <c r="CW185" s="26">
        <f t="shared" si="518"/>
        <v>336</v>
      </c>
      <c r="CX185" s="26">
        <f>INDEX($CC$8:$CZ$133,35,22)</f>
        <v>79</v>
      </c>
      <c r="CY185" s="26">
        <f>INDEX($CC$8:$CZ$133,35,23)</f>
        <v>0</v>
      </c>
      <c r="CZ185" s="26">
        <f t="shared" si="531"/>
        <v>79</v>
      </c>
      <c r="DB185" s="1"/>
      <c r="DC185" s="25">
        <v>5</v>
      </c>
      <c r="DD185" s="25" t="str">
        <f t="shared" si="550"/>
        <v>CASETA 5</v>
      </c>
      <c r="DE185" s="25"/>
      <c r="DF185" s="26">
        <f>INDEX($DC$8:$DZ$133,35,4)</f>
        <v>0</v>
      </c>
      <c r="DG185" s="26">
        <f>INDEX($DC$8:$DZ$133,35,5)</f>
        <v>0</v>
      </c>
      <c r="DH185" s="23">
        <f t="shared" si="532"/>
        <v>0</v>
      </c>
      <c r="DI185" s="23">
        <f t="shared" si="533"/>
        <v>0</v>
      </c>
      <c r="DJ185" s="23">
        <f t="shared" si="534"/>
        <v>0</v>
      </c>
      <c r="DK185" s="23">
        <f t="shared" ref="DK185:DK198" si="556">SUMIFS($DK$8:$DK$133,$DC$8:$DC$133,$DC185)</f>
        <v>0</v>
      </c>
      <c r="DL185" s="30">
        <f>INDEX($DC$8:$DZ$133,35,10)</f>
        <v>0</v>
      </c>
      <c r="DM185" s="30">
        <f>INDEX($DC$8:$DZ$133,35,11)</f>
        <v>0.18</v>
      </c>
      <c r="DN185" s="28">
        <f t="shared" si="535"/>
        <v>0</v>
      </c>
      <c r="DO185" s="30">
        <f>INDEX($DC$8:$DZ$133,35,13)</f>
        <v>2.38</v>
      </c>
      <c r="DP185" s="30">
        <f>INDEX($DC$8:$DZ$133,35,14)</f>
        <v>0</v>
      </c>
      <c r="DQ185" s="23">
        <f t="shared" si="536"/>
        <v>0</v>
      </c>
      <c r="DR185" s="26">
        <f>INDEX($DC$8:$DZ$133,35,16)</f>
        <v>36</v>
      </c>
      <c r="DS185" s="23">
        <f t="shared" si="537"/>
        <v>0</v>
      </c>
      <c r="DT185" s="30">
        <f>INDEX($DC$8:$DZ$133,35,18)</f>
        <v>0</v>
      </c>
      <c r="DU185" s="26">
        <f>INDEX($DC$8:$DZ$133,35,19)</f>
        <v>336</v>
      </c>
      <c r="DV185" s="26">
        <f>INDEX($DC$8:$DZ$133,35,20)</f>
        <v>0</v>
      </c>
      <c r="DW185" s="26">
        <f t="shared" si="538"/>
        <v>336</v>
      </c>
      <c r="DX185" s="26">
        <f>INDEX($DC$8:$DZ$133,35,22)</f>
        <v>79</v>
      </c>
      <c r="DY185" s="26">
        <f>INDEX($DC$8:$DZ$133,35,23)</f>
        <v>0</v>
      </c>
      <c r="DZ185" s="26">
        <f t="shared" si="539"/>
        <v>79</v>
      </c>
    </row>
    <row r="186" spans="3:130" x14ac:dyDescent="0.25">
      <c r="C186" s="25">
        <v>6</v>
      </c>
      <c r="D186" s="25" t="str">
        <f t="shared" si="551"/>
        <v>CASETA 1</v>
      </c>
      <c r="E186" s="25"/>
      <c r="F186" s="26">
        <f>INDEX($C$8:$Z$133,42,4)</f>
        <v>66728</v>
      </c>
      <c r="G186" s="26">
        <f>INDEX($C$8:$Z$133,42,5)</f>
        <v>66723</v>
      </c>
      <c r="H186" s="23">
        <f t="shared" si="540"/>
        <v>6</v>
      </c>
      <c r="I186" s="23">
        <f t="shared" si="515"/>
        <v>16</v>
      </c>
      <c r="J186" s="23">
        <f t="shared" si="516"/>
        <v>0</v>
      </c>
      <c r="K186" s="23">
        <f t="shared" si="519"/>
        <v>22</v>
      </c>
      <c r="L186" s="26">
        <f>INDEX($C$8:$Z$133,42,10)</f>
        <v>29</v>
      </c>
      <c r="M186" s="30">
        <f>INDEX($C$8:$Z$133,42,11)</f>
        <v>0.18</v>
      </c>
      <c r="N186" s="28">
        <f t="shared" si="520"/>
        <v>0.44015530528933727</v>
      </c>
      <c r="O186" s="30">
        <f>INDEX($C$8:$Z$133,42,13)</f>
        <v>2.56</v>
      </c>
      <c r="P186" s="30">
        <f>INDEX($C$8:$Z$133,42,14)</f>
        <v>4.3460016784558207E-2</v>
      </c>
      <c r="Q186" s="23">
        <f t="shared" si="521"/>
        <v>7800</v>
      </c>
      <c r="R186" s="75">
        <f>INDEX($C$8:$Z$133,42,16)</f>
        <v>40</v>
      </c>
      <c r="S186" s="23">
        <f t="shared" si="522"/>
        <v>1.6698922705396749E-2</v>
      </c>
      <c r="T186" s="30">
        <f>INDEX($C$8:$Z$133,42,18)</f>
        <v>0.11689245893777725</v>
      </c>
      <c r="U186" s="75">
        <f>INDEX($C$8:$Z$133,42,19)</f>
        <v>419</v>
      </c>
      <c r="V186" s="75">
        <f>INDEX($C$8:$Z$133,42,20)</f>
        <v>401</v>
      </c>
      <c r="W186" s="75">
        <f>INDEX($C$8:$Z$133,42,21)</f>
        <v>18</v>
      </c>
      <c r="X186" s="75">
        <f>INDEX($C$8:$Z$133,42,22)</f>
        <v>79</v>
      </c>
      <c r="Y186" s="75">
        <f>INDEX($C$8:$Z$133,42,23)</f>
        <v>88</v>
      </c>
      <c r="Z186" s="75">
        <f>INDEX($C$8:$Z$133,42,24)</f>
        <v>-9</v>
      </c>
      <c r="AB186" s="1"/>
      <c r="AC186" s="25">
        <v>6</v>
      </c>
      <c r="AD186" s="25" t="str">
        <f t="shared" si="541"/>
        <v>CASETA 2</v>
      </c>
      <c r="AE186" s="25"/>
      <c r="AF186" s="26">
        <f>INDEX($AC$8:$AZ$133,42,4)</f>
        <v>92284</v>
      </c>
      <c r="AG186" s="26">
        <f>INDEX($AC$8:$AZ$133,42,5)</f>
        <v>92260</v>
      </c>
      <c r="AH186" s="23">
        <f t="shared" si="542"/>
        <v>45</v>
      </c>
      <c r="AI186" s="23">
        <f t="shared" si="553"/>
        <v>50</v>
      </c>
      <c r="AJ186" s="23">
        <f t="shared" si="523"/>
        <v>0</v>
      </c>
      <c r="AK186" s="23">
        <f t="shared" ref="AK186:AK198" si="557">SUMIFS($AK$8:$AK$133,$AC$8:$AC$133,$AC186)</f>
        <v>95</v>
      </c>
      <c r="AL186" s="26">
        <f>INDEX($AC$8:$AZ$133,42,10)</f>
        <v>2480</v>
      </c>
      <c r="AM186" s="27">
        <f>INDEX($AC$8:$AZ$133,42,11)</f>
        <v>0.18</v>
      </c>
      <c r="AN186" s="28">
        <f t="shared" si="554"/>
        <v>1.0290725938631808</v>
      </c>
      <c r="AO186" s="27">
        <f>INDEX($AC$8:$AZ$133,42,13)</f>
        <v>2.56</v>
      </c>
      <c r="AP186" s="27">
        <f>INDEX($AC$8:$AZ$133,42,14)</f>
        <v>2.6873564214815135</v>
      </c>
      <c r="AQ186" s="23">
        <f t="shared" si="543"/>
        <v>5116</v>
      </c>
      <c r="AR186" s="26">
        <f>INDEX($AC$8:$AZ$133,42,16)</f>
        <v>40</v>
      </c>
      <c r="AS186" s="23">
        <f t="shared" si="524"/>
        <v>7.9162205153280058E-3</v>
      </c>
      <c r="AT186" s="27">
        <f>INDEX($AC$8:$AZ$133,42,18)</f>
        <v>5.5413543607296042E-2</v>
      </c>
      <c r="AU186" s="26">
        <f>INDEX($AC$8:$AZ$133,42,19)</f>
        <v>419</v>
      </c>
      <c r="AV186" s="26">
        <f>INDEX($AC$8:$AZ$133,42,20)</f>
        <v>409</v>
      </c>
      <c r="AW186" s="26">
        <f>INDEX($AC$8:$AZ$133,42,21)</f>
        <v>10</v>
      </c>
      <c r="AX186" s="26">
        <f>INDEX($AC$8:$AZ$133,42,22)</f>
        <v>79</v>
      </c>
      <c r="AY186" s="26">
        <f>INDEX($AC$8:$AZ$133,42,23)</f>
        <v>89</v>
      </c>
      <c r="AZ186" s="26">
        <f>INDEX($AC$8:$AZ$133,42,24)</f>
        <v>-10</v>
      </c>
      <c r="BB186" s="1"/>
      <c r="BC186" s="25">
        <v>6</v>
      </c>
      <c r="BD186" s="25" t="str">
        <f t="shared" si="544"/>
        <v>CASETA 3</v>
      </c>
      <c r="BE186" s="25"/>
      <c r="BF186" s="26">
        <f>INDEX($BC$8:$BZ$133,42,4)</f>
        <v>122165</v>
      </c>
      <c r="BG186" s="26">
        <f>INDEX($BC$8:$BZ$133,42,5)</f>
        <v>122134</v>
      </c>
      <c r="BH186" s="23">
        <f t="shared" si="545"/>
        <v>310</v>
      </c>
      <c r="BI186" s="23">
        <f t="shared" si="546"/>
        <v>73</v>
      </c>
      <c r="BJ186" s="23">
        <f t="shared" si="552"/>
        <v>0</v>
      </c>
      <c r="BK186" s="23">
        <f t="shared" si="555"/>
        <v>383</v>
      </c>
      <c r="BL186" s="26">
        <f>INDEX($BC$8:$BZ$133,42,10)</f>
        <v>4874</v>
      </c>
      <c r="BM186" s="27">
        <f>INDEX($BC$8:$BZ$133,42,11)</f>
        <v>0.18</v>
      </c>
      <c r="BN186" s="28">
        <f t="shared" si="517"/>
        <v>2.7635013789438023</v>
      </c>
      <c r="BO186" s="27">
        <f>INDEX($BC$8:$BZ$133,42,13)</f>
        <v>2.56</v>
      </c>
      <c r="BP186" s="27">
        <f>INDEX($BC$8:$BZ$133,42,14)</f>
        <v>3.9896860803012317</v>
      </c>
      <c r="BQ186" s="23">
        <f t="shared" si="525"/>
        <v>8800</v>
      </c>
      <c r="BR186" s="26">
        <f>INDEX($BC$8:$BZ$133,42,16)</f>
        <v>40</v>
      </c>
      <c r="BS186" s="23">
        <f t="shared" si="526"/>
        <v>1.0290532125754981E-2</v>
      </c>
      <c r="BT186" s="27">
        <f>INDEX($BC$8:$BZ$133,42,18)</f>
        <v>7.2033724880284866E-2</v>
      </c>
      <c r="BU186" s="26">
        <f>INDEX($BC$8:$BZ$133,42,19)</f>
        <v>419</v>
      </c>
      <c r="BV186" s="292">
        <f>INDEX($BC$8:$BZ$133,42,20)</f>
        <v>401</v>
      </c>
      <c r="BW186" s="292">
        <f>INDEX($BC$8:$BZ$133,42,21)</f>
        <v>18</v>
      </c>
      <c r="BX186" s="29">
        <f>INDEX($BC$8:$BZ$133,42,22)</f>
        <v>79</v>
      </c>
      <c r="BY186" s="29">
        <f>INDEX($BC$8:$BZ$133,42,23)</f>
        <v>88</v>
      </c>
      <c r="BZ186" s="29">
        <f>INDEX($BC$8:$BZ$133,42,24)</f>
        <v>-9</v>
      </c>
      <c r="CB186" s="1"/>
      <c r="CC186" s="25">
        <v>6</v>
      </c>
      <c r="CD186" s="25" t="str">
        <f t="shared" si="547"/>
        <v>CASETA 4</v>
      </c>
      <c r="CE186" s="25"/>
      <c r="CF186" s="26">
        <f>INDEX($CC$8:$CZ$133,42,4)</f>
        <v>0</v>
      </c>
      <c r="CG186" s="26">
        <f>INDEX($CC$8:$CZ$133,42,5)</f>
        <v>0</v>
      </c>
      <c r="CH186" s="23">
        <f t="shared" si="527"/>
        <v>0</v>
      </c>
      <c r="CI186" s="23">
        <f t="shared" si="528"/>
        <v>0</v>
      </c>
      <c r="CJ186" s="23">
        <f t="shared" si="548"/>
        <v>0</v>
      </c>
      <c r="CK186" s="23">
        <f t="shared" si="549"/>
        <v>0</v>
      </c>
      <c r="CL186" s="26">
        <f>INDEX($CC$8:$CZ$133,42,10)</f>
        <v>0</v>
      </c>
      <c r="CM186" s="27">
        <f>INDEX($CC$8:$CZ$133,42,11)</f>
        <v>0.18</v>
      </c>
      <c r="CN186" s="28">
        <f t="shared" ref="CN186:CN198" si="558">SUMIFS(CN13:CN181,CC13:CC181,CC186)</f>
        <v>0</v>
      </c>
      <c r="CO186" s="27">
        <f>INDEX($CC$8:$CZ$133,42,13)</f>
        <v>2.56</v>
      </c>
      <c r="CP186" s="27">
        <f>INDEX($CC$8:$CZ$133,42,14)</f>
        <v>0</v>
      </c>
      <c r="CQ186" s="23">
        <f t="shared" si="529"/>
        <v>0</v>
      </c>
      <c r="CR186" s="26">
        <f>INDEX($CC$8:$CZ$133,42,16)</f>
        <v>40</v>
      </c>
      <c r="CS186" s="23">
        <f t="shared" si="530"/>
        <v>0</v>
      </c>
      <c r="CT186" s="27">
        <f>INDEX($CC$8:$CZ$133,42,18)</f>
        <v>0</v>
      </c>
      <c r="CU186" s="26">
        <f>INDEX($CC$8:$CZ$133,42,19)</f>
        <v>419</v>
      </c>
      <c r="CV186" s="26">
        <f>INDEX($CC$8:$CZ$133,42,20)</f>
        <v>0</v>
      </c>
      <c r="CW186" s="26">
        <f t="shared" si="518"/>
        <v>419</v>
      </c>
      <c r="CX186" s="26">
        <f>INDEX($CC$8:$CZ$133,42,22)</f>
        <v>79</v>
      </c>
      <c r="CY186" s="26">
        <f>INDEX($CC$8:$CZ$133,42,23)</f>
        <v>0</v>
      </c>
      <c r="CZ186" s="26">
        <f t="shared" si="531"/>
        <v>79</v>
      </c>
      <c r="DB186" s="1"/>
      <c r="DC186" s="25">
        <v>6</v>
      </c>
      <c r="DD186" s="25" t="str">
        <f t="shared" si="550"/>
        <v>CASETA 5</v>
      </c>
      <c r="DE186" s="25"/>
      <c r="DF186" s="26">
        <f>INDEX($DC$8:$DZ$133,42,4)</f>
        <v>0</v>
      </c>
      <c r="DG186" s="26">
        <f>INDEX($DC$8:$DZ$133,42,5)</f>
        <v>0</v>
      </c>
      <c r="DH186" s="23">
        <f t="shared" si="532"/>
        <v>0</v>
      </c>
      <c r="DI186" s="23">
        <f t="shared" si="533"/>
        <v>0</v>
      </c>
      <c r="DJ186" s="23">
        <f t="shared" si="534"/>
        <v>0</v>
      </c>
      <c r="DK186" s="23">
        <f t="shared" si="556"/>
        <v>0</v>
      </c>
      <c r="DL186" s="30">
        <f>INDEX($DC$8:$DZ$133,42,10)</f>
        <v>0</v>
      </c>
      <c r="DM186" s="30">
        <f>INDEX($DC$8:$DZ$133,42,11)</f>
        <v>0.18</v>
      </c>
      <c r="DN186" s="28">
        <f t="shared" si="535"/>
        <v>0</v>
      </c>
      <c r="DO186" s="30">
        <f>INDEX($DC$8:$DZ$133,42,13)</f>
        <v>2.56</v>
      </c>
      <c r="DP186" s="30">
        <f>INDEX($DC$8:$DZ$133,42,14)</f>
        <v>0</v>
      </c>
      <c r="DQ186" s="23">
        <f t="shared" si="536"/>
        <v>0</v>
      </c>
      <c r="DR186" s="26">
        <f>INDEX($DC$8:$DZ$133,42,16)</f>
        <v>40</v>
      </c>
      <c r="DS186" s="23">
        <f t="shared" si="537"/>
        <v>0</v>
      </c>
      <c r="DT186" s="30">
        <f>INDEX($DC$8:$DZ$133,42,18)</f>
        <v>0</v>
      </c>
      <c r="DU186" s="26">
        <f>INDEX($DC$8:$DZ$133,42,19)</f>
        <v>419</v>
      </c>
      <c r="DV186" s="26">
        <f>INDEX($DC$8:$DZ$133,42,20)</f>
        <v>0</v>
      </c>
      <c r="DW186" s="26">
        <f t="shared" si="538"/>
        <v>419</v>
      </c>
      <c r="DX186" s="26">
        <f>INDEX($DC$8:$DZ$133,42,22)</f>
        <v>79</v>
      </c>
      <c r="DY186" s="26">
        <f>INDEX($DC$8:$DZ$133,42,23)</f>
        <v>0</v>
      </c>
      <c r="DZ186" s="26">
        <f t="shared" si="539"/>
        <v>79</v>
      </c>
    </row>
    <row r="187" spans="3:130" x14ac:dyDescent="0.25">
      <c r="C187" s="25">
        <v>7</v>
      </c>
      <c r="D187" s="25" t="str">
        <f t="shared" si="551"/>
        <v>CASETA 1</v>
      </c>
      <c r="E187" s="25"/>
      <c r="F187" s="26">
        <f>INDEX($C$8:$Z$133,49,4)</f>
        <v>93499</v>
      </c>
      <c r="G187" s="26">
        <f>INDEX($C$8:$Z$133,49,5)</f>
        <v>93498</v>
      </c>
      <c r="H187" s="23">
        <f t="shared" si="540"/>
        <v>1</v>
      </c>
      <c r="I187" s="23">
        <f t="shared" si="515"/>
        <v>29</v>
      </c>
      <c r="J187" s="23">
        <f t="shared" si="516"/>
        <v>0</v>
      </c>
      <c r="K187" s="23">
        <f t="shared" ref="K187:K192" si="559">SUMIFS($K$8:$K$133,$C$8:$C$133,$C187)</f>
        <v>30</v>
      </c>
      <c r="L187" s="26">
        <f>INDEX($C$8:$Z$133,49,10)</f>
        <v>59</v>
      </c>
      <c r="M187" s="30">
        <f>INDEX($C$8:$Z$133,49,11)</f>
        <v>0.16</v>
      </c>
      <c r="N187" s="28">
        <f t="shared" si="520"/>
        <v>0.32679598261909093</v>
      </c>
      <c r="O187" s="30">
        <f>INDEX($C$8:$Z$133,49,13)</f>
        <v>2.72</v>
      </c>
      <c r="P187" s="30">
        <f>INDEX($C$8:$Z$133,49,14)</f>
        <v>6.3102279168761169E-2</v>
      </c>
      <c r="Q187" s="23">
        <f t="shared" si="521"/>
        <v>0</v>
      </c>
      <c r="R187" s="75">
        <f>INDEX($C$8:$Z$133,49,16)</f>
        <v>43</v>
      </c>
      <c r="S187" s="23">
        <f t="shared" si="522"/>
        <v>0</v>
      </c>
      <c r="T187" s="30">
        <f>INDEX($C$8:$Z$133,49,18)</f>
        <v>0.11689245893777725</v>
      </c>
      <c r="U187" s="75">
        <f>INDEX($C$8:$Z$133,49,19)</f>
        <v>502</v>
      </c>
      <c r="V187" s="75">
        <f>INDEX($C$8:$Z$133,49,20)</f>
        <v>490</v>
      </c>
      <c r="W187" s="75">
        <f>INDEX($C$8:$Z$133,49,21)</f>
        <v>12</v>
      </c>
      <c r="X187" s="75">
        <f>INDEX($C$8:$Z$133,49,22)</f>
        <v>79</v>
      </c>
      <c r="Y187" s="75">
        <f>INDEX($C$8:$Z$133,49,23)</f>
        <v>86</v>
      </c>
      <c r="Z187" s="75">
        <f>INDEX($C$8:$Z$133,49,24)</f>
        <v>-7</v>
      </c>
      <c r="AB187" s="1"/>
      <c r="AC187" s="25">
        <v>7</v>
      </c>
      <c r="AD187" s="25" t="str">
        <f t="shared" si="541"/>
        <v>CASETA 2</v>
      </c>
      <c r="AE187" s="25"/>
      <c r="AF187" s="26">
        <f>INDEX($AC$8:$AZ$133,49,4)</f>
        <v>92130</v>
      </c>
      <c r="AG187" s="26">
        <f>INDEX($AC$8:$AZ$133,49,5)</f>
        <v>92122</v>
      </c>
      <c r="AH187" s="23">
        <f t="shared" si="542"/>
        <v>96</v>
      </c>
      <c r="AI187" s="23">
        <f t="shared" si="553"/>
        <v>42</v>
      </c>
      <c r="AJ187" s="23">
        <f>SUMIFS($AJ$8:$AJ$133,$AC$8:$AC$133,$AC187)</f>
        <v>0</v>
      </c>
      <c r="AK187" s="23">
        <f t="shared" si="557"/>
        <v>138</v>
      </c>
      <c r="AL187" s="26">
        <f>INDEX($AC$8:$AZ$133,49,10)</f>
        <v>2618</v>
      </c>
      <c r="AM187" s="27">
        <f>INDEX($AC$8:$AZ$133,49,11)</f>
        <v>0.16</v>
      </c>
      <c r="AN187" s="28">
        <f t="shared" si="554"/>
        <v>1.4966679178421618</v>
      </c>
      <c r="AO187" s="27">
        <f>INDEX($AC$8:$AZ$133,49,13)</f>
        <v>2.72</v>
      </c>
      <c r="AP187" s="27">
        <f>INDEX($AC$8:$AZ$133,49,14)</f>
        <v>2.8416368175404321</v>
      </c>
      <c r="AQ187" s="23">
        <f t="shared" si="543"/>
        <v>0</v>
      </c>
      <c r="AR187" s="26">
        <f>INDEX($AC$8:$AZ$133,49,16)</f>
        <v>43</v>
      </c>
      <c r="AS187" s="23">
        <f t="shared" si="524"/>
        <v>0</v>
      </c>
      <c r="AT187" s="27">
        <f>INDEX($AC$8:$AZ$133,49,18)</f>
        <v>5.5413543607296042E-2</v>
      </c>
      <c r="AU187" s="26">
        <f>INDEX($AC$8:$AZ$133,49,19)</f>
        <v>502</v>
      </c>
      <c r="AV187" s="26">
        <f>INDEX($AC$8:$AZ$133,49,20)</f>
        <v>492</v>
      </c>
      <c r="AW187" s="26">
        <f>INDEX($AC$8:$AZ$133,49,21)</f>
        <v>10</v>
      </c>
      <c r="AX187" s="26">
        <f>INDEX($AC$8:$AZ$133,49,22)</f>
        <v>79</v>
      </c>
      <c r="AY187" s="26">
        <f>INDEX($AC$8:$AZ$133,49,23)</f>
        <v>87</v>
      </c>
      <c r="AZ187" s="26">
        <f>INDEX($AC$8:$AZ$133,49,24)</f>
        <v>-8</v>
      </c>
      <c r="BB187" s="1"/>
      <c r="BC187" s="25">
        <v>7</v>
      </c>
      <c r="BD187" s="25" t="str">
        <f t="shared" si="544"/>
        <v>CASETA 3</v>
      </c>
      <c r="BE187" s="25"/>
      <c r="BF187" s="26">
        <f>INDEX($BC$8:$BZ$133,49,4)</f>
        <v>95232</v>
      </c>
      <c r="BG187" s="26">
        <f>INDEX($BC$8:$BZ$133,49,5)</f>
        <v>95224</v>
      </c>
      <c r="BH187" s="23">
        <f t="shared" si="545"/>
        <v>42</v>
      </c>
      <c r="BI187" s="23">
        <f t="shared" si="546"/>
        <v>63</v>
      </c>
      <c r="BJ187" s="23">
        <f t="shared" si="552"/>
        <v>0</v>
      </c>
      <c r="BK187" s="23">
        <f t="shared" si="555"/>
        <v>105</v>
      </c>
      <c r="BL187" s="26">
        <f>INDEX($BC$8:$BZ$133,49,10)</f>
        <v>4979</v>
      </c>
      <c r="BM187" s="27">
        <f>INDEX($BC$8:$BZ$133,49,11)</f>
        <v>0.16</v>
      </c>
      <c r="BN187" s="28">
        <f t="shared" si="517"/>
        <v>1.0626529362373098</v>
      </c>
      <c r="BO187" s="27">
        <f>INDEX($BC$8:$BZ$133,49,13)</f>
        <v>2.72</v>
      </c>
      <c r="BP187" s="27">
        <f>INDEX($BC$8:$BZ$133,49,14)</f>
        <v>5.228284610215054</v>
      </c>
      <c r="BQ187" s="23">
        <f t="shared" si="525"/>
        <v>0</v>
      </c>
      <c r="BR187" s="26">
        <f>INDEX($BC$8:$BZ$133,49,16)</f>
        <v>43</v>
      </c>
      <c r="BS187" s="23">
        <f t="shared" si="526"/>
        <v>0</v>
      </c>
      <c r="BT187" s="27">
        <f>INDEX($BC$8:$BZ$133,49,18)</f>
        <v>7.2033724880284866E-2</v>
      </c>
      <c r="BU187" s="26">
        <f>INDEX($BC$8:$BZ$133,49,19)</f>
        <v>502</v>
      </c>
      <c r="BV187" s="292">
        <f>INDEX($BC$8:$BZ$133,49,20)</f>
        <v>490</v>
      </c>
      <c r="BW187" s="292">
        <f>INDEX($BC$8:$BZ$133,49,21)</f>
        <v>12</v>
      </c>
      <c r="BX187" s="29">
        <f>INDEX($BC$8:$BZ$133,49,22)</f>
        <v>79</v>
      </c>
      <c r="BY187" s="29">
        <f>INDEX($BC$8:$BZ$133,49,23)</f>
        <v>86</v>
      </c>
      <c r="BZ187" s="29">
        <f>INDEX($BC$8:$BZ$133,49,24)</f>
        <v>-7</v>
      </c>
      <c r="CB187" s="1"/>
      <c r="CC187" s="25">
        <v>7</v>
      </c>
      <c r="CD187" s="25" t="str">
        <f t="shared" si="547"/>
        <v>CASETA 4</v>
      </c>
      <c r="CE187" s="25"/>
      <c r="CF187" s="26">
        <f>INDEX($CC$8:$CZ$133,49,4)</f>
        <v>0</v>
      </c>
      <c r="CG187" s="26">
        <f>INDEX($CC$8:$CZ$133,49,5)</f>
        <v>0</v>
      </c>
      <c r="CH187" s="23">
        <f t="shared" si="527"/>
        <v>0</v>
      </c>
      <c r="CI187" s="23">
        <f t="shared" si="528"/>
        <v>0</v>
      </c>
      <c r="CJ187" s="23">
        <f t="shared" si="548"/>
        <v>0</v>
      </c>
      <c r="CK187" s="23">
        <f t="shared" si="549"/>
        <v>0</v>
      </c>
      <c r="CL187" s="26">
        <f>INDEX($CC$8:$CZ$133,49,10)</f>
        <v>0</v>
      </c>
      <c r="CM187" s="27">
        <f>INDEX($CC$8:$CZ$133,49,11)</f>
        <v>0.16</v>
      </c>
      <c r="CN187" s="28">
        <f t="shared" si="558"/>
        <v>0</v>
      </c>
      <c r="CO187" s="27">
        <f>INDEX($CC$8:$CZ$133,49,13)</f>
        <v>2.72</v>
      </c>
      <c r="CP187" s="27">
        <f>INDEX($CC$8:$CZ$133,49,14)</f>
        <v>0</v>
      </c>
      <c r="CQ187" s="23">
        <f t="shared" si="529"/>
        <v>0</v>
      </c>
      <c r="CR187" s="26">
        <f>INDEX($CC$8:$CZ$133,49,16)</f>
        <v>43</v>
      </c>
      <c r="CS187" s="23">
        <f t="shared" si="530"/>
        <v>0</v>
      </c>
      <c r="CT187" s="27">
        <f>INDEX($CC$8:$CZ$133,49,18)</f>
        <v>0</v>
      </c>
      <c r="CU187" s="26">
        <f>INDEX($CC$8:$CZ$133,49,19)</f>
        <v>502</v>
      </c>
      <c r="CV187" s="26">
        <f>INDEX($CC$8:$CZ$133,49,20)</f>
        <v>0</v>
      </c>
      <c r="CW187" s="26">
        <f t="shared" ref="CW187:CW198" si="560">CU187-CV187</f>
        <v>502</v>
      </c>
      <c r="CX187" s="26">
        <f>INDEX($CC$8:$CZ$133,49,22)</f>
        <v>79</v>
      </c>
      <c r="CY187" s="26">
        <f>INDEX($CC$8:$CZ$133,49,23)</f>
        <v>0</v>
      </c>
      <c r="CZ187" s="26">
        <f t="shared" si="531"/>
        <v>79</v>
      </c>
      <c r="DB187" s="1"/>
      <c r="DC187" s="25">
        <v>7</v>
      </c>
      <c r="DD187" s="25" t="str">
        <f t="shared" si="550"/>
        <v>CASETA 5</v>
      </c>
      <c r="DE187" s="25"/>
      <c r="DF187" s="26">
        <f>INDEX($DC$8:$DZ$133,49,4)</f>
        <v>0</v>
      </c>
      <c r="DG187" s="26">
        <f>INDEX($DC$8:$DZ$133,49,5)</f>
        <v>0</v>
      </c>
      <c r="DH187" s="23">
        <f t="shared" si="532"/>
        <v>0</v>
      </c>
      <c r="DI187" s="23">
        <f t="shared" si="533"/>
        <v>0</v>
      </c>
      <c r="DJ187" s="23">
        <f t="shared" si="534"/>
        <v>0</v>
      </c>
      <c r="DK187" s="23">
        <f t="shared" si="556"/>
        <v>0</v>
      </c>
      <c r="DL187" s="30">
        <f>INDEX($DC$8:$DZ$133,49,10)</f>
        <v>0</v>
      </c>
      <c r="DM187" s="30">
        <f>INDEX($DC$8:$DZ$133,49,11)</f>
        <v>0.16</v>
      </c>
      <c r="DN187" s="28">
        <f t="shared" si="535"/>
        <v>0</v>
      </c>
      <c r="DO187" s="30">
        <f>INDEX($DC$8:$DZ$133,49,13)</f>
        <v>2.72</v>
      </c>
      <c r="DP187" s="30">
        <f>INDEX($DC$8:$DZ$133,49,14)</f>
        <v>0</v>
      </c>
      <c r="DQ187" s="23">
        <f t="shared" si="536"/>
        <v>0</v>
      </c>
      <c r="DR187" s="26">
        <f>INDEX($DC$8:$DZ$133,49,16)</f>
        <v>43</v>
      </c>
      <c r="DS187" s="23">
        <f t="shared" si="537"/>
        <v>0</v>
      </c>
      <c r="DT187" s="30">
        <f>INDEX($DC$8:$DZ$133,49,18)</f>
        <v>0</v>
      </c>
      <c r="DU187" s="26">
        <f>INDEX($DC$8:$DZ$133,49,19)</f>
        <v>502</v>
      </c>
      <c r="DV187" s="26">
        <f>INDEX($DC$8:$DZ$133,49,20)</f>
        <v>0</v>
      </c>
      <c r="DW187" s="26">
        <f t="shared" si="538"/>
        <v>502</v>
      </c>
      <c r="DX187" s="26">
        <f>INDEX($DC$8:$DZ$133,49,22)</f>
        <v>79</v>
      </c>
      <c r="DY187" s="26">
        <f>INDEX($DC$8:$DZ$133,49,23)</f>
        <v>0</v>
      </c>
      <c r="DZ187" s="26">
        <f t="shared" si="539"/>
        <v>79</v>
      </c>
    </row>
    <row r="188" spans="3:130" x14ac:dyDescent="0.25">
      <c r="C188" s="25">
        <v>8</v>
      </c>
      <c r="D188" s="25" t="str">
        <f t="shared" si="551"/>
        <v>CASETA 1</v>
      </c>
      <c r="E188" s="25"/>
      <c r="F188" s="26">
        <f>INDEX($C$8:$Z$133,56,4)</f>
        <v>93457</v>
      </c>
      <c r="G188" s="26">
        <f>INDEX($C$8:$Z$133,56,5)</f>
        <v>93454</v>
      </c>
      <c r="H188" s="23">
        <f t="shared" si="540"/>
        <v>0</v>
      </c>
      <c r="I188" s="23">
        <f t="shared" si="515"/>
        <v>44</v>
      </c>
      <c r="J188" s="23">
        <f t="shared" si="516"/>
        <v>0</v>
      </c>
      <c r="K188" s="23">
        <f t="shared" si="559"/>
        <v>44</v>
      </c>
      <c r="L188" s="26">
        <f>INDEX($C$8:$Z$133,56,10)</f>
        <v>103</v>
      </c>
      <c r="M188" s="30">
        <f>INDEX($C$8:$Z$133,56,11)</f>
        <v>0.16</v>
      </c>
      <c r="N188" s="28">
        <f t="shared" si="520"/>
        <v>0.4706915575240625</v>
      </c>
      <c r="O188" s="30">
        <f>INDEX($C$8:$Z$133,56,13)</f>
        <v>2.8800000000000003</v>
      </c>
      <c r="P188" s="30">
        <f>INDEX($C$8:$Z$133,56,14)</f>
        <v>0.11021111313224263</v>
      </c>
      <c r="Q188" s="23">
        <f t="shared" si="521"/>
        <v>0</v>
      </c>
      <c r="R188" s="75">
        <f>INDEX($C$8:$Z$133,56,16)</f>
        <v>45</v>
      </c>
      <c r="S188" s="23">
        <f t="shared" si="522"/>
        <v>0</v>
      </c>
      <c r="T188" s="30">
        <f>INDEX($C$8:$Z$133,56,18)</f>
        <v>0.11689245893777725</v>
      </c>
      <c r="U188" s="75">
        <f>INDEX($C$8:$Z$133,56,19)</f>
        <v>585</v>
      </c>
      <c r="V188" s="75">
        <f>INDEX($C$8:$Z$133,56,20)</f>
        <v>586</v>
      </c>
      <c r="W188" s="75">
        <f>INDEX($C$8:$Z$133,56,21)</f>
        <v>-1</v>
      </c>
      <c r="X188" s="75">
        <f>INDEX($C$8:$Z$133,56,22)</f>
        <v>79</v>
      </c>
      <c r="Y188" s="75">
        <f>INDEX($C$8:$Z$133,56,23)</f>
        <v>86</v>
      </c>
      <c r="Z188" s="75">
        <f>INDEX($C$8:$Z$133,56,24)</f>
        <v>-7</v>
      </c>
      <c r="AB188" s="1"/>
      <c r="AC188" s="25">
        <v>8</v>
      </c>
      <c r="AD188" s="25" t="str">
        <f t="shared" si="541"/>
        <v>CASETA 2</v>
      </c>
      <c r="AE188" s="25"/>
      <c r="AF188" s="26">
        <f>INDEX($AC$8:$AZ$133,56,4)</f>
        <v>92072</v>
      </c>
      <c r="AG188" s="26">
        <f>INDEX($AC$8:$AZ$133,56,5)</f>
        <v>92066</v>
      </c>
      <c r="AH188" s="23">
        <f t="shared" si="542"/>
        <v>9</v>
      </c>
      <c r="AI188" s="23">
        <f t="shared" si="553"/>
        <v>47</v>
      </c>
      <c r="AJ188" s="23">
        <f t="shared" si="523"/>
        <v>0</v>
      </c>
      <c r="AK188" s="23">
        <f t="shared" si="557"/>
        <v>56</v>
      </c>
      <c r="AL188" s="26">
        <f>INDEX($AC$8:$AZ$133,56,10)</f>
        <v>2674</v>
      </c>
      <c r="AM188" s="27">
        <f>INDEX($AC$8:$AZ$133,56,11)</f>
        <v>0.16</v>
      </c>
      <c r="AN188" s="28">
        <f t="shared" si="554"/>
        <v>0.60803853992110712</v>
      </c>
      <c r="AO188" s="27">
        <f>INDEX($AC$8:$AZ$133,56,13)</f>
        <v>2.8800000000000003</v>
      </c>
      <c r="AP188" s="27">
        <f>INDEX($AC$8:$AZ$133,56,14)</f>
        <v>2.9042488487270832</v>
      </c>
      <c r="AQ188" s="23">
        <f t="shared" si="543"/>
        <v>0</v>
      </c>
      <c r="AR188" s="26">
        <f>INDEX($AC$8:$AZ$133,56,16)</f>
        <v>45</v>
      </c>
      <c r="AS188" s="23">
        <f t="shared" si="524"/>
        <v>0</v>
      </c>
      <c r="AT188" s="27">
        <f>INDEX($AC$8:$AZ$133,56,18)</f>
        <v>5.5413543607296042E-2</v>
      </c>
      <c r="AU188" s="26">
        <f>INDEX($AC$8:$AZ$133,56,19)</f>
        <v>585</v>
      </c>
      <c r="AV188" s="26">
        <f>INDEX($AC$8:$AZ$133,56,20)</f>
        <v>578</v>
      </c>
      <c r="AW188" s="26">
        <f>INDEX($AC$8:$AZ$133,56,21)</f>
        <v>7</v>
      </c>
      <c r="AX188" s="26">
        <f>INDEX($AC$8:$AZ$133,56,22)</f>
        <v>79</v>
      </c>
      <c r="AY188" s="26">
        <f>INDEX($AC$8:$AZ$133,56,23)</f>
        <v>86</v>
      </c>
      <c r="AZ188" s="26">
        <f>INDEX($AC$8:$AZ$133,56,24)</f>
        <v>-7</v>
      </c>
      <c r="BB188" s="1"/>
      <c r="BC188" s="25">
        <v>8</v>
      </c>
      <c r="BD188" s="25" t="str">
        <f t="shared" si="544"/>
        <v>CASETA 3</v>
      </c>
      <c r="BE188" s="25"/>
      <c r="BF188" s="26">
        <f>INDEX($BC$8:$BZ$133,56,4)</f>
        <v>95163</v>
      </c>
      <c r="BG188" s="26">
        <f>INDEX($BC$8:$BZ$133,56,5)</f>
        <v>95153</v>
      </c>
      <c r="BH188" s="23">
        <f t="shared" si="545"/>
        <v>5</v>
      </c>
      <c r="BI188" s="23">
        <f t="shared" si="546"/>
        <v>66</v>
      </c>
      <c r="BJ188" s="23">
        <f t="shared" si="552"/>
        <v>0</v>
      </c>
      <c r="BK188" s="23">
        <f t="shared" si="555"/>
        <v>71</v>
      </c>
      <c r="BL188" s="26">
        <f>INDEX($BC$8:$BZ$133,56,10)</f>
        <v>5050</v>
      </c>
      <c r="BM188" s="27">
        <f>INDEX($BC$8:$BZ$133,56,11)</f>
        <v>0.16</v>
      </c>
      <c r="BN188" s="28">
        <f t="shared" ref="BN188:BN198" si="561">SUMIFS($BN$8:$BN$133,$BC$8:$BC$133,$BC188)</f>
        <v>0.74584635449455894</v>
      </c>
      <c r="BO188" s="27">
        <f>INDEX($BC$8:$BZ$133,56,13)</f>
        <v>2.8800000000000003</v>
      </c>
      <c r="BP188" s="27">
        <f>INDEX($BC$8:$BZ$133,56,14)</f>
        <v>5.3066843205867826</v>
      </c>
      <c r="BQ188" s="23">
        <f t="shared" si="525"/>
        <v>0</v>
      </c>
      <c r="BR188" s="26">
        <f>INDEX($BC$8:$BZ$133,56,16)</f>
        <v>45</v>
      </c>
      <c r="BS188" s="23">
        <f t="shared" si="526"/>
        <v>0</v>
      </c>
      <c r="BT188" s="27">
        <f>INDEX($BC$8:$BZ$133,56,18)</f>
        <v>7.2033724880284866E-2</v>
      </c>
      <c r="BU188" s="26">
        <f>INDEX($BC$8:$BZ$133,56,19)</f>
        <v>585</v>
      </c>
      <c r="BV188" s="292">
        <f>INDEX($BC$8:$BZ$133,56,20)</f>
        <v>586</v>
      </c>
      <c r="BW188" s="292">
        <f>INDEX($BC$8:$BZ$133,56,21)</f>
        <v>-1</v>
      </c>
      <c r="BX188" s="29">
        <f>INDEX($BC$8:$BZ$133,56,22)</f>
        <v>79</v>
      </c>
      <c r="BY188" s="29">
        <f>INDEX($BC$8:$BZ$133,56,23)</f>
        <v>86</v>
      </c>
      <c r="BZ188" s="29">
        <f>INDEX($BC$8:$BZ$133,56,24)</f>
        <v>-7</v>
      </c>
      <c r="CB188" s="1"/>
      <c r="CC188" s="25">
        <v>8</v>
      </c>
      <c r="CD188" s="25" t="str">
        <f t="shared" si="547"/>
        <v>CASETA 4</v>
      </c>
      <c r="CE188" s="25"/>
      <c r="CF188" s="26">
        <f>INDEX($CC$8:$CZ$133,56,4)</f>
        <v>0</v>
      </c>
      <c r="CG188" s="26">
        <f>INDEX($CC$8:$CZ$133,56,5)</f>
        <v>0</v>
      </c>
      <c r="CH188" s="23">
        <f t="shared" si="527"/>
        <v>0</v>
      </c>
      <c r="CI188" s="23">
        <f t="shared" si="528"/>
        <v>0</v>
      </c>
      <c r="CJ188" s="23">
        <f t="shared" si="548"/>
        <v>0</v>
      </c>
      <c r="CK188" s="23">
        <f t="shared" si="549"/>
        <v>0</v>
      </c>
      <c r="CL188" s="26">
        <f>INDEX($CC$8:$CZ$133,56,10)</f>
        <v>0</v>
      </c>
      <c r="CM188" s="27">
        <f>INDEX($CC$8:$CZ$133,56,11)</f>
        <v>0.16</v>
      </c>
      <c r="CN188" s="28">
        <f t="shared" si="558"/>
        <v>0</v>
      </c>
      <c r="CO188" s="27">
        <f>INDEX($CC$8:$CZ$133,56,13)</f>
        <v>2.8800000000000003</v>
      </c>
      <c r="CP188" s="27">
        <f>INDEX($CC$8:$CZ$133,56,14)</f>
        <v>0</v>
      </c>
      <c r="CQ188" s="23">
        <f t="shared" si="529"/>
        <v>0</v>
      </c>
      <c r="CR188" s="26">
        <f>INDEX($CC$8:$CZ$133,56,16)</f>
        <v>45</v>
      </c>
      <c r="CS188" s="23">
        <f t="shared" si="530"/>
        <v>0</v>
      </c>
      <c r="CT188" s="27">
        <f>INDEX($CC$8:$CZ$133,56,18)</f>
        <v>0</v>
      </c>
      <c r="CU188" s="26">
        <f>INDEX($CC$8:$CZ$133,56,19)</f>
        <v>585</v>
      </c>
      <c r="CV188" s="26">
        <f>INDEX($CC$8:$CZ$133,56,20)</f>
        <v>0</v>
      </c>
      <c r="CW188" s="26">
        <f>CU188-CV188</f>
        <v>585</v>
      </c>
      <c r="CX188" s="26">
        <f>INDEX($CC$8:$CZ$133,56,22)</f>
        <v>79</v>
      </c>
      <c r="CY188" s="26">
        <f>INDEX($CC$8:$CZ$133,56,23)</f>
        <v>0</v>
      </c>
      <c r="CZ188" s="26">
        <f t="shared" si="531"/>
        <v>79</v>
      </c>
      <c r="DB188" s="1"/>
      <c r="DC188" s="25">
        <v>8</v>
      </c>
      <c r="DD188" s="25" t="str">
        <f t="shared" si="550"/>
        <v>CASETA 5</v>
      </c>
      <c r="DE188" s="25"/>
      <c r="DF188" s="26">
        <f>INDEX($DC$8:$DZ$133,56,4)</f>
        <v>0</v>
      </c>
      <c r="DG188" s="26">
        <f>INDEX($DC$8:$DZ$133,56,5)</f>
        <v>0</v>
      </c>
      <c r="DH188" s="23">
        <f t="shared" si="532"/>
        <v>0</v>
      </c>
      <c r="DI188" s="23">
        <f t="shared" si="533"/>
        <v>0</v>
      </c>
      <c r="DJ188" s="23">
        <f t="shared" si="534"/>
        <v>0</v>
      </c>
      <c r="DK188" s="23">
        <f t="shared" si="556"/>
        <v>0</v>
      </c>
      <c r="DL188" s="30">
        <f>INDEX($DC$8:$DZ$133,56,10)</f>
        <v>0</v>
      </c>
      <c r="DM188" s="30">
        <f>INDEX($DC$8:$DZ$133,56,11)</f>
        <v>0.16</v>
      </c>
      <c r="DN188" s="28">
        <f t="shared" si="535"/>
        <v>0</v>
      </c>
      <c r="DO188" s="30">
        <f>INDEX($DC$8:$DZ$133,56,13)</f>
        <v>2.8800000000000003</v>
      </c>
      <c r="DP188" s="30">
        <f>INDEX($DC$8:$DZ$133,56,14)</f>
        <v>0</v>
      </c>
      <c r="DQ188" s="23">
        <f t="shared" si="536"/>
        <v>0</v>
      </c>
      <c r="DR188" s="26">
        <f>INDEX($DC$8:$DZ$133,56,16)</f>
        <v>45</v>
      </c>
      <c r="DS188" s="23">
        <f t="shared" si="537"/>
        <v>0</v>
      </c>
      <c r="DT188" s="30">
        <f>INDEX($DC$8:$DZ$133,56,18)</f>
        <v>0</v>
      </c>
      <c r="DU188" s="26">
        <f>INDEX($DC$8:$DZ$133,56,19)</f>
        <v>585</v>
      </c>
      <c r="DV188" s="26">
        <f>INDEX($DC$8:$DZ$133,56,20)</f>
        <v>0</v>
      </c>
      <c r="DW188" s="26">
        <f t="shared" si="538"/>
        <v>585</v>
      </c>
      <c r="DX188" s="26">
        <f>INDEX($DC$8:$DZ$133,56,22)</f>
        <v>79</v>
      </c>
      <c r="DY188" s="26">
        <f>INDEX($DC$8:$DZ$133,56,23)</f>
        <v>0</v>
      </c>
      <c r="DZ188" s="26">
        <f t="shared" si="539"/>
        <v>79</v>
      </c>
    </row>
    <row r="189" spans="3:130" x14ac:dyDescent="0.25">
      <c r="C189" s="25">
        <v>9</v>
      </c>
      <c r="D189" s="25" t="str">
        <f t="shared" si="551"/>
        <v>CASETA 1</v>
      </c>
      <c r="E189" s="25"/>
      <c r="F189" s="26">
        <f>INDEX($C$8:$Z$133,63,4)</f>
        <v>93443</v>
      </c>
      <c r="G189" s="26">
        <f>INDEX($C$8:$Z$133,63,5)</f>
        <v>93441</v>
      </c>
      <c r="H189" s="23">
        <f t="shared" si="540"/>
        <v>0</v>
      </c>
      <c r="I189" s="23">
        <f t="shared" si="515"/>
        <v>13</v>
      </c>
      <c r="J189" s="23">
        <f t="shared" si="516"/>
        <v>0</v>
      </c>
      <c r="K189" s="23">
        <f t="shared" si="559"/>
        <v>13</v>
      </c>
      <c r="L189" s="26">
        <f>INDEX($C$8:$Z$133,63,10)</f>
        <v>116</v>
      </c>
      <c r="M189" s="30">
        <f>INDEX($C$8:$Z$133,63,11)</f>
        <v>0.16</v>
      </c>
      <c r="N189" s="28">
        <f t="shared" si="520"/>
        <v>0.13911388589604121</v>
      </c>
      <c r="O189" s="30">
        <f>INDEX($C$8:$Z$133,63,13)</f>
        <v>3.0400000000000005</v>
      </c>
      <c r="P189" s="30">
        <f>INDEX($C$8:$Z$133,63,14)</f>
        <v>0.12413984996200893</v>
      </c>
      <c r="Q189" s="23">
        <f t="shared" si="521"/>
        <v>0</v>
      </c>
      <c r="R189" s="75">
        <f>INDEX($C$8:$Z$133,63,16)</f>
        <v>47</v>
      </c>
      <c r="S189" s="23">
        <f t="shared" si="522"/>
        <v>0</v>
      </c>
      <c r="T189" s="30">
        <f>INDEX($C$8:$Z$133,63,18)</f>
        <v>0.11689245893777725</v>
      </c>
      <c r="U189" s="75">
        <f>INDEX($C$8:$Z$133,63,19)</f>
        <v>668</v>
      </c>
      <c r="V189" s="75">
        <f>INDEX($C$8:$Z$133,63,20)</f>
        <v>681</v>
      </c>
      <c r="W189" s="75">
        <f>INDEX($C$8:$Z$133,63,21)</f>
        <v>-13</v>
      </c>
      <c r="X189" s="75">
        <f>INDEX($C$8:$Z$133,63,22)</f>
        <v>79</v>
      </c>
      <c r="Y189" s="75">
        <f>INDEX($C$8:$Z$133,63,23)</f>
        <v>88</v>
      </c>
      <c r="Z189" s="75">
        <f>INDEX($C$8:$Z$133,63,24)</f>
        <v>-9</v>
      </c>
      <c r="AB189" s="1"/>
      <c r="AC189" s="25">
        <v>9</v>
      </c>
      <c r="AD189" s="25" t="str">
        <f t="shared" si="541"/>
        <v>CASETA 2</v>
      </c>
      <c r="AE189" s="25"/>
      <c r="AF189" s="26">
        <f>INDEX($AC$8:$AZ$133,63,4)</f>
        <v>92047</v>
      </c>
      <c r="AG189" s="26">
        <f>INDEX($AC$8:$AZ$133,63,5)</f>
        <v>92043</v>
      </c>
      <c r="AH189" s="23">
        <f t="shared" si="542"/>
        <v>0</v>
      </c>
      <c r="AI189" s="23">
        <f t="shared" si="553"/>
        <v>23</v>
      </c>
      <c r="AJ189" s="23">
        <f t="shared" si="523"/>
        <v>0</v>
      </c>
      <c r="AK189" s="23">
        <f t="shared" si="557"/>
        <v>23</v>
      </c>
      <c r="AL189" s="26">
        <f>INDEX($AC$8:$AZ$133,63,10)</f>
        <v>2697</v>
      </c>
      <c r="AM189" s="27">
        <f>INDEX($AC$8:$AZ$133,63,11)</f>
        <v>0.16</v>
      </c>
      <c r="AN189" s="28">
        <f t="shared" si="554"/>
        <v>0.24984721188168216</v>
      </c>
      <c r="AO189" s="27">
        <f>INDEX($AC$8:$AZ$133,63,13)</f>
        <v>3.0400000000000005</v>
      </c>
      <c r="AP189" s="27">
        <f>INDEX($AC$8:$AZ$133,63,14)</f>
        <v>2.9300248785946308</v>
      </c>
      <c r="AQ189" s="23">
        <f t="shared" si="543"/>
        <v>0</v>
      </c>
      <c r="AR189" s="26">
        <f>INDEX($AC$8:$AZ$133,63,16)</f>
        <v>47</v>
      </c>
      <c r="AS189" s="23">
        <f t="shared" si="524"/>
        <v>0</v>
      </c>
      <c r="AT189" s="27">
        <f>INDEX($AC$8:$AZ$133,63,18)</f>
        <v>5.5413543607296042E-2</v>
      </c>
      <c r="AU189" s="26">
        <f>INDEX($AC$8:$AZ$133,63,19)</f>
        <v>668</v>
      </c>
      <c r="AV189" s="26">
        <f>INDEX($AC$8:$AZ$133,63,20)</f>
        <v>673</v>
      </c>
      <c r="AW189" s="26">
        <f>INDEX($AC$8:$AZ$133,63,21)</f>
        <v>-5</v>
      </c>
      <c r="AX189" s="26">
        <f>INDEX($AC$8:$AZ$133,63,22)</f>
        <v>79</v>
      </c>
      <c r="AY189" s="26">
        <f>INDEX($AC$8:$AZ$133,63,23)</f>
        <v>86</v>
      </c>
      <c r="AZ189" s="26">
        <f>INDEX($AC$8:$AZ$133,63,24)</f>
        <v>-7</v>
      </c>
      <c r="BB189" s="1"/>
      <c r="BC189" s="25">
        <v>9</v>
      </c>
      <c r="BD189" s="25" t="str">
        <f t="shared" si="544"/>
        <v>CASETA 3</v>
      </c>
      <c r="BE189" s="25"/>
      <c r="BF189" s="26">
        <f>INDEX($BC$8:$BZ$133,63,4)</f>
        <v>95123</v>
      </c>
      <c r="BG189" s="26">
        <f>INDEX($BC$8:$BZ$133,63,5)</f>
        <v>95120</v>
      </c>
      <c r="BH189" s="23">
        <f t="shared" si="545"/>
        <v>0</v>
      </c>
      <c r="BI189" s="23">
        <f t="shared" si="546"/>
        <v>33</v>
      </c>
      <c r="BJ189" s="23">
        <f t="shared" si="552"/>
        <v>0</v>
      </c>
      <c r="BK189" s="23">
        <f t="shared" si="555"/>
        <v>33</v>
      </c>
      <c r="BL189" s="26">
        <f>INDEX($BC$8:$BZ$133,63,10)</f>
        <v>5083</v>
      </c>
      <c r="BM189" s="27">
        <f>INDEX($BC$8:$BZ$133,63,11)</f>
        <v>0.16</v>
      </c>
      <c r="BN189" s="28">
        <f t="shared" si="561"/>
        <v>0.34685980820227308</v>
      </c>
      <c r="BO189" s="27">
        <f>INDEX($BC$8:$BZ$133,63,13)</f>
        <v>3.0400000000000005</v>
      </c>
      <c r="BP189" s="27">
        <f>INDEX($BC$8:$BZ$133,63,14)</f>
        <v>5.3436077499658339</v>
      </c>
      <c r="BQ189" s="23">
        <f t="shared" si="525"/>
        <v>0</v>
      </c>
      <c r="BR189" s="26">
        <f>INDEX($BC$8:$BZ$133,63,16)</f>
        <v>47</v>
      </c>
      <c r="BS189" s="23">
        <f t="shared" si="526"/>
        <v>0</v>
      </c>
      <c r="BT189" s="27">
        <f>INDEX($BC$8:$BZ$133,63,18)</f>
        <v>7.2033724880284866E-2</v>
      </c>
      <c r="BU189" s="26">
        <f>INDEX($BC$8:$BZ$133,63,19)</f>
        <v>668</v>
      </c>
      <c r="BV189" s="292">
        <f>INDEX($BC$8:$BZ$133,63,20)</f>
        <v>681</v>
      </c>
      <c r="BW189" s="292">
        <f>INDEX($BC$8:$BZ$133,63,21)</f>
        <v>-13</v>
      </c>
      <c r="BX189" s="29">
        <f>INDEX($BC$8:$BZ$133,63,22)</f>
        <v>79</v>
      </c>
      <c r="BY189" s="29">
        <f>INDEX($BC$8:$BZ$133,63,23)</f>
        <v>88</v>
      </c>
      <c r="BZ189" s="29">
        <f>INDEX($BC$8:$BZ$133,63,24)</f>
        <v>-9</v>
      </c>
      <c r="CB189" s="1"/>
      <c r="CC189" s="25">
        <v>9</v>
      </c>
      <c r="CD189" s="25" t="str">
        <f t="shared" si="547"/>
        <v>CASETA 4</v>
      </c>
      <c r="CE189" s="25"/>
      <c r="CF189" s="26">
        <f>INDEX($CC$8:$CZ$133,63,4)</f>
        <v>0</v>
      </c>
      <c r="CG189" s="26">
        <f>INDEX($CC$8:$CZ$133,63,5)</f>
        <v>0</v>
      </c>
      <c r="CH189" s="23">
        <f t="shared" si="527"/>
        <v>0</v>
      </c>
      <c r="CI189" s="23">
        <f t="shared" si="528"/>
        <v>0</v>
      </c>
      <c r="CJ189" s="23">
        <f t="shared" si="548"/>
        <v>0</v>
      </c>
      <c r="CK189" s="23">
        <f t="shared" si="549"/>
        <v>0</v>
      </c>
      <c r="CL189" s="26">
        <f>INDEX($CC$8:$CZ$133,63,10)</f>
        <v>0</v>
      </c>
      <c r="CM189" s="27">
        <f>INDEX($CC$8:$CZ$133,63,11)</f>
        <v>0.16</v>
      </c>
      <c r="CN189" s="28">
        <f t="shared" si="558"/>
        <v>0</v>
      </c>
      <c r="CO189" s="27">
        <f>INDEX($CC$8:$CZ$133,63,13)</f>
        <v>3.0400000000000005</v>
      </c>
      <c r="CP189" s="27">
        <f>INDEX($CC$8:$CZ$133,63,14)</f>
        <v>0</v>
      </c>
      <c r="CQ189" s="23">
        <f t="shared" si="529"/>
        <v>0</v>
      </c>
      <c r="CR189" s="26">
        <f>INDEX($CC$8:$CZ$133,63,16)</f>
        <v>47</v>
      </c>
      <c r="CS189" s="23">
        <f t="shared" si="530"/>
        <v>0</v>
      </c>
      <c r="CT189" s="27">
        <f>INDEX($CC$8:$CZ$133,63,18)</f>
        <v>0</v>
      </c>
      <c r="CU189" s="26">
        <f>INDEX($CC$8:$CZ$133,63,19)</f>
        <v>668</v>
      </c>
      <c r="CV189" s="26">
        <f>INDEX($CC$8:$CZ$133,63,20)</f>
        <v>0</v>
      </c>
      <c r="CW189" s="26">
        <f>CU189-CV189</f>
        <v>668</v>
      </c>
      <c r="CX189" s="26">
        <f>INDEX($CC$8:$CZ$133,63,22)</f>
        <v>79</v>
      </c>
      <c r="CY189" s="26">
        <f>INDEX($CC$8:$CZ$133,63,23)</f>
        <v>0</v>
      </c>
      <c r="CZ189" s="26">
        <f t="shared" si="531"/>
        <v>79</v>
      </c>
      <c r="DB189" s="1"/>
      <c r="DC189" s="25">
        <v>9</v>
      </c>
      <c r="DD189" s="25" t="str">
        <f t="shared" si="550"/>
        <v>CASETA 5</v>
      </c>
      <c r="DE189" s="25"/>
      <c r="DF189" s="26">
        <f>INDEX($DC$8:$DZ$133,63,4)</f>
        <v>0</v>
      </c>
      <c r="DG189" s="26">
        <f>INDEX($DC$8:$DZ$133,63,5)</f>
        <v>0</v>
      </c>
      <c r="DH189" s="23">
        <f t="shared" si="532"/>
        <v>0</v>
      </c>
      <c r="DI189" s="23">
        <f t="shared" si="533"/>
        <v>0</v>
      </c>
      <c r="DJ189" s="23">
        <f t="shared" si="534"/>
        <v>0</v>
      </c>
      <c r="DK189" s="23">
        <f t="shared" si="556"/>
        <v>0</v>
      </c>
      <c r="DL189" s="30">
        <f>INDEX($DC$8:$DZ$133,63,10)</f>
        <v>0</v>
      </c>
      <c r="DM189" s="30">
        <f>INDEX($DC$8:$DZ$133,63,11)</f>
        <v>0.16</v>
      </c>
      <c r="DN189" s="28">
        <f t="shared" si="535"/>
        <v>0</v>
      </c>
      <c r="DO189" s="30">
        <f>INDEX($DC$8:$DZ$133,63,13)</f>
        <v>3.0400000000000005</v>
      </c>
      <c r="DP189" s="30">
        <f>INDEX($DC$8:$DZ$133,63,14)</f>
        <v>0</v>
      </c>
      <c r="DQ189" s="23">
        <f t="shared" si="536"/>
        <v>0</v>
      </c>
      <c r="DR189" s="26">
        <f>INDEX($DC$8:$DZ$133,63,16)</f>
        <v>47</v>
      </c>
      <c r="DS189" s="23">
        <f t="shared" si="537"/>
        <v>0</v>
      </c>
      <c r="DT189" s="30">
        <f>INDEX($DC$8:$DZ$133,63,18)</f>
        <v>0</v>
      </c>
      <c r="DU189" s="26">
        <f>INDEX($DC$8:$DZ$133,63,19)</f>
        <v>668</v>
      </c>
      <c r="DV189" s="26">
        <f>INDEX($DC$8:$DZ$133,63,20)</f>
        <v>0</v>
      </c>
      <c r="DW189" s="26">
        <f t="shared" si="538"/>
        <v>668</v>
      </c>
      <c r="DX189" s="26">
        <f>INDEX($DC$8:$DZ$133,63,22)</f>
        <v>79</v>
      </c>
      <c r="DY189" s="26">
        <f>INDEX($DC$8:$DZ$133,63,23)</f>
        <v>0</v>
      </c>
      <c r="DZ189" s="26">
        <f t="shared" si="539"/>
        <v>79</v>
      </c>
    </row>
    <row r="190" spans="3:130" x14ac:dyDescent="0.25">
      <c r="C190" s="25">
        <v>10</v>
      </c>
      <c r="D190" s="25" t="str">
        <f t="shared" si="551"/>
        <v>CASETA 1</v>
      </c>
      <c r="E190" s="25"/>
      <c r="F190" s="26">
        <f>INDEX($C$8:$Z$133,70,4)</f>
        <v>93396</v>
      </c>
      <c r="G190" s="26">
        <f>INDEX($C$8:$Z$133,70,5)</f>
        <v>93394</v>
      </c>
      <c r="H190" s="23">
        <f t="shared" si="540"/>
        <v>26</v>
      </c>
      <c r="I190" s="23">
        <f t="shared" si="515"/>
        <v>21</v>
      </c>
      <c r="J190" s="23">
        <f t="shared" si="516"/>
        <v>0</v>
      </c>
      <c r="K190" s="23">
        <f t="shared" si="559"/>
        <v>47</v>
      </c>
      <c r="L190" s="26">
        <f>INDEX($C$8:$Z$133,70,10)</f>
        <v>163</v>
      </c>
      <c r="M190" s="30">
        <f>INDEX($C$8:$Z$133,70,11)</f>
        <v>0.16</v>
      </c>
      <c r="N190" s="28">
        <f t="shared" si="520"/>
        <v>0.50309430208003802</v>
      </c>
      <c r="O190" s="30">
        <f>INDEX($C$8:$Z$133,70,13)</f>
        <v>3.2000000000000006</v>
      </c>
      <c r="P190" s="30">
        <f>INDEX($C$8:$Z$133,70,14)</f>
        <v>0.17452567561779947</v>
      </c>
      <c r="Q190" s="23">
        <f t="shared" si="521"/>
        <v>0</v>
      </c>
      <c r="R190" s="75">
        <f>INDEX($C$8:$Z$133,70,16)</f>
        <v>49</v>
      </c>
      <c r="S190" s="23">
        <f t="shared" si="522"/>
        <v>0</v>
      </c>
      <c r="T190" s="30">
        <f>INDEX($C$8:$Z$133,70,18)</f>
        <v>0.11689245893777725</v>
      </c>
      <c r="U190" s="75">
        <f>INDEX($C$8:$Z$133,70,19)</f>
        <v>746</v>
      </c>
      <c r="V190" s="75">
        <f>INDEX($C$8:$Z$133,70,20)</f>
        <v>782</v>
      </c>
      <c r="W190" s="75">
        <f>INDEX($C$8:$Z$133,70,21)</f>
        <v>-36</v>
      </c>
      <c r="X190" s="75">
        <f>INDEX($C$8:$Z$133,70,22)</f>
        <v>80</v>
      </c>
      <c r="Y190" s="75">
        <f>INDEX($C$8:$Z$133,70,23)</f>
        <v>86</v>
      </c>
      <c r="Z190" s="75">
        <f>INDEX($C$8:$Z$133,70,24)</f>
        <v>-6</v>
      </c>
      <c r="AB190" s="1"/>
      <c r="AC190" s="25">
        <v>10</v>
      </c>
      <c r="AD190" s="25" t="str">
        <f t="shared" si="541"/>
        <v>CASETA 2</v>
      </c>
      <c r="AE190" s="25"/>
      <c r="AF190" s="26">
        <f>INDEX($AC$8:$AZ$133,70,4)</f>
        <v>91965</v>
      </c>
      <c r="AG190" s="26">
        <f>INDEX($AC$8:$AZ$133,70,5)</f>
        <v>91959</v>
      </c>
      <c r="AH190" s="23">
        <f t="shared" si="542"/>
        <v>49</v>
      </c>
      <c r="AI190" s="23">
        <f t="shared" si="553"/>
        <v>35</v>
      </c>
      <c r="AJ190" s="23">
        <f t="shared" si="523"/>
        <v>0</v>
      </c>
      <c r="AK190" s="23">
        <f t="shared" si="557"/>
        <v>84</v>
      </c>
      <c r="AL190" s="26">
        <f>INDEX($AC$8:$AZ$133,70,10)</f>
        <v>2781</v>
      </c>
      <c r="AM190" s="27">
        <f>INDEX($AC$8:$AZ$133,70,11)</f>
        <v>0.16</v>
      </c>
      <c r="AN190" s="28">
        <f t="shared" si="554"/>
        <v>0.91295848515893319</v>
      </c>
      <c r="AO190" s="27">
        <f>INDEX($AC$8:$AZ$133,70,13)</f>
        <v>3.2000000000000006</v>
      </c>
      <c r="AP190" s="27">
        <f>INDEX($AC$8:$AZ$133,70,14)</f>
        <v>3.0239765128037841</v>
      </c>
      <c r="AQ190" s="23">
        <f t="shared" si="543"/>
        <v>0</v>
      </c>
      <c r="AR190" s="26">
        <f>INDEX($AC$8:$AZ$133,70,16)</f>
        <v>49</v>
      </c>
      <c r="AS190" s="23">
        <f t="shared" si="524"/>
        <v>0</v>
      </c>
      <c r="AT190" s="27">
        <f>INDEX($AC$8:$AZ$133,70,18)</f>
        <v>5.5413543607296042E-2</v>
      </c>
      <c r="AU190" s="26">
        <f>INDEX($AC$8:$AZ$133,70,19)</f>
        <v>746</v>
      </c>
      <c r="AV190" s="26">
        <f>INDEX($AC$8:$AZ$133,70,20)</f>
        <v>784</v>
      </c>
      <c r="AW190" s="26">
        <f>INDEX($AC$8:$AZ$133,70,21)</f>
        <v>-38</v>
      </c>
      <c r="AX190" s="26">
        <f>INDEX($AC$8:$AZ$133,70,22)</f>
        <v>80</v>
      </c>
      <c r="AY190" s="26">
        <f>INDEX($AC$8:$AZ$133,70,23)</f>
        <v>88</v>
      </c>
      <c r="AZ190" s="26">
        <f>INDEX($AC$8:$AZ$133,70,24)</f>
        <v>-8</v>
      </c>
      <c r="BB190" s="1"/>
      <c r="BC190" s="25">
        <v>10</v>
      </c>
      <c r="BD190" s="25" t="str">
        <f t="shared" si="544"/>
        <v>CASETA 3</v>
      </c>
      <c r="BE190" s="25"/>
      <c r="BF190" s="26">
        <f>INDEX($BC$8:$BZ$133,70,4)</f>
        <v>95072</v>
      </c>
      <c r="BG190" s="26">
        <f>INDEX($BC$8:$BZ$133,70,5)</f>
        <v>95068</v>
      </c>
      <c r="BH190" s="23">
        <f t="shared" si="545"/>
        <v>26</v>
      </c>
      <c r="BI190" s="23">
        <f t="shared" si="546"/>
        <v>26</v>
      </c>
      <c r="BJ190" s="23">
        <f t="shared" si="552"/>
        <v>0</v>
      </c>
      <c r="BK190" s="23">
        <f t="shared" si="555"/>
        <v>52</v>
      </c>
      <c r="BL190" s="26">
        <f>INDEX($BC$8:$BZ$133,70,10)</f>
        <v>5135</v>
      </c>
      <c r="BM190" s="27">
        <f>INDEX($BC$8:$BZ$133,70,11)</f>
        <v>0.16</v>
      </c>
      <c r="BN190" s="28">
        <f t="shared" si="561"/>
        <v>0.54678877551761151</v>
      </c>
      <c r="BO190" s="27">
        <f>INDEX($BC$8:$BZ$133,70,13)</f>
        <v>3.2000000000000006</v>
      </c>
      <c r="BP190" s="27">
        <f>INDEX($BC$8:$BZ$133,70,14)</f>
        <v>5.4011696398519016</v>
      </c>
      <c r="BQ190" s="23">
        <f t="shared" si="525"/>
        <v>0</v>
      </c>
      <c r="BR190" s="26">
        <f>INDEX($BC$8:$BZ$133,70,16)</f>
        <v>49</v>
      </c>
      <c r="BS190" s="23">
        <f t="shared" si="526"/>
        <v>0</v>
      </c>
      <c r="BT190" s="27">
        <f>INDEX($BC$8:$BZ$133,70,18)</f>
        <v>7.2033724880284866E-2</v>
      </c>
      <c r="BU190" s="26">
        <f>INDEX($BC$8:$BZ$133,70,19)</f>
        <v>746</v>
      </c>
      <c r="BV190" s="292">
        <f>INDEX($BC$8:$BZ$133,70,20)</f>
        <v>782</v>
      </c>
      <c r="BW190" s="292">
        <f>INDEX($BC$8:$BZ$133,70,21)</f>
        <v>-36</v>
      </c>
      <c r="BX190" s="29">
        <f>INDEX($BC$8:$BZ$133,70,22)</f>
        <v>80</v>
      </c>
      <c r="BY190" s="29">
        <f>INDEX($BC$8:$BZ$133,70,23)</f>
        <v>86</v>
      </c>
      <c r="BZ190" s="29">
        <f>INDEX($BC$8:$BZ$133,70,24)</f>
        <v>-6</v>
      </c>
      <c r="CB190" s="1"/>
      <c r="CC190" s="25">
        <v>10</v>
      </c>
      <c r="CD190" s="25" t="str">
        <f t="shared" si="547"/>
        <v>CASETA 4</v>
      </c>
      <c r="CE190" s="25"/>
      <c r="CF190" s="26">
        <f>INDEX($CC$8:$CZ$133,70,4)</f>
        <v>0</v>
      </c>
      <c r="CG190" s="26">
        <f>INDEX($CC$8:$CZ$133,70,5)</f>
        <v>0</v>
      </c>
      <c r="CH190" s="23">
        <f t="shared" si="527"/>
        <v>0</v>
      </c>
      <c r="CI190" s="23">
        <f t="shared" si="528"/>
        <v>0</v>
      </c>
      <c r="CJ190" s="23">
        <f t="shared" si="548"/>
        <v>0</v>
      </c>
      <c r="CK190" s="23">
        <f t="shared" si="549"/>
        <v>0</v>
      </c>
      <c r="CL190" s="26">
        <f>INDEX($CC$8:$CZ$133,70,10)</f>
        <v>0</v>
      </c>
      <c r="CM190" s="27">
        <f>INDEX($CC$8:$CZ$133,70,11)</f>
        <v>0.16</v>
      </c>
      <c r="CN190" s="28">
        <f t="shared" si="558"/>
        <v>0</v>
      </c>
      <c r="CO190" s="27">
        <f>INDEX($CC$8:$CZ$133,70,13)</f>
        <v>3.2000000000000006</v>
      </c>
      <c r="CP190" s="27">
        <f>INDEX($CC$8:$CZ$133,70,14)</f>
        <v>0</v>
      </c>
      <c r="CQ190" s="23">
        <f t="shared" si="529"/>
        <v>0</v>
      </c>
      <c r="CR190" s="26">
        <f>INDEX($CC$8:$CZ$133,70,16)</f>
        <v>49</v>
      </c>
      <c r="CS190" s="23">
        <f t="shared" si="530"/>
        <v>0</v>
      </c>
      <c r="CT190" s="27">
        <f>INDEX($CC$8:$CZ$133,70,18)</f>
        <v>0</v>
      </c>
      <c r="CU190" s="26">
        <f>INDEX($CC$8:$CZ$133,70,19)</f>
        <v>746</v>
      </c>
      <c r="CV190" s="26">
        <f>INDEX($CC$8:$CZ$133,70,20)</f>
        <v>0</v>
      </c>
      <c r="CW190" s="26">
        <f>CU190-CV190</f>
        <v>746</v>
      </c>
      <c r="CX190" s="26">
        <f>INDEX($CC$8:$CZ$133,70,22)</f>
        <v>80</v>
      </c>
      <c r="CY190" s="26">
        <f>INDEX($CC$8:$CZ$133,70,23)</f>
        <v>0</v>
      </c>
      <c r="CZ190" s="26">
        <f t="shared" si="531"/>
        <v>80</v>
      </c>
      <c r="DB190" s="1"/>
      <c r="DC190" s="25">
        <v>10</v>
      </c>
      <c r="DD190" s="25" t="str">
        <f t="shared" si="550"/>
        <v>CASETA 5</v>
      </c>
      <c r="DE190" s="25"/>
      <c r="DF190" s="26">
        <f>INDEX($DC$8:$DZ$133,70,4)</f>
        <v>0</v>
      </c>
      <c r="DG190" s="26">
        <f>INDEX($DC$8:$DZ$133,70,5)</f>
        <v>0</v>
      </c>
      <c r="DH190" s="23">
        <f t="shared" si="532"/>
        <v>0</v>
      </c>
      <c r="DI190" s="23">
        <f t="shared" si="533"/>
        <v>0</v>
      </c>
      <c r="DJ190" s="23">
        <f t="shared" si="534"/>
        <v>0</v>
      </c>
      <c r="DK190" s="23">
        <f t="shared" si="556"/>
        <v>0</v>
      </c>
      <c r="DL190" s="30">
        <f>INDEX($DC$8:$DZ$133,70,10)</f>
        <v>0</v>
      </c>
      <c r="DM190" s="30">
        <f>INDEX($DC$8:$DZ$133,70,11)</f>
        <v>0.16</v>
      </c>
      <c r="DN190" s="28">
        <f t="shared" si="535"/>
        <v>0</v>
      </c>
      <c r="DO190" s="30">
        <f>INDEX($DC$8:$DZ$133,70,13)</f>
        <v>3.2000000000000006</v>
      </c>
      <c r="DP190" s="30">
        <f>INDEX($DC$8:$DZ$133,70,14)</f>
        <v>0</v>
      </c>
      <c r="DQ190" s="23">
        <f t="shared" si="536"/>
        <v>0</v>
      </c>
      <c r="DR190" s="26">
        <f>INDEX($DC$8:$DZ$133,70,16)</f>
        <v>49</v>
      </c>
      <c r="DS190" s="23">
        <f t="shared" si="537"/>
        <v>0</v>
      </c>
      <c r="DT190" s="30">
        <f>INDEX($DC$8:$DZ$133,70,18)</f>
        <v>0</v>
      </c>
      <c r="DU190" s="26">
        <f>INDEX($DC$8:$DZ$133,70,19)</f>
        <v>746</v>
      </c>
      <c r="DV190" s="26">
        <f>INDEX($DC$8:$DZ$133,70,20)</f>
        <v>0</v>
      </c>
      <c r="DW190" s="26">
        <f t="shared" si="538"/>
        <v>746</v>
      </c>
      <c r="DX190" s="26">
        <f>INDEX($DC$8:$DZ$133,70,22)</f>
        <v>80</v>
      </c>
      <c r="DY190" s="26">
        <f>INDEX($DC$8:$DZ$133,70,23)</f>
        <v>0</v>
      </c>
      <c r="DZ190" s="26">
        <f t="shared" si="539"/>
        <v>80</v>
      </c>
    </row>
    <row r="191" spans="3:130" x14ac:dyDescent="0.25">
      <c r="C191" s="25">
        <v>11</v>
      </c>
      <c r="D191" s="25" t="str">
        <f t="shared" si="551"/>
        <v>CASETA 1</v>
      </c>
      <c r="E191" s="25"/>
      <c r="F191" s="26">
        <f>INDEX($C$8:$Z$133,77,4)</f>
        <v>93374</v>
      </c>
      <c r="G191" s="26">
        <f>INDEX($C$8:$Z$133,77,5)</f>
        <v>93372</v>
      </c>
      <c r="H191" s="23">
        <f t="shared" si="540"/>
        <v>0</v>
      </c>
      <c r="I191" s="23">
        <f t="shared" si="515"/>
        <v>22</v>
      </c>
      <c r="J191" s="23">
        <f t="shared" si="516"/>
        <v>0</v>
      </c>
      <c r="K191" s="23">
        <f t="shared" si="559"/>
        <v>22</v>
      </c>
      <c r="L191" s="26">
        <f>INDEX($C$8:$Z$133,77,10)</f>
        <v>185</v>
      </c>
      <c r="M191" s="30">
        <f>INDEX($C$8:$Z$133,77,11)</f>
        <v>0.16</v>
      </c>
      <c r="N191" s="28">
        <f t="shared" si="520"/>
        <v>0.23558479171381558</v>
      </c>
      <c r="O191" s="30">
        <f>INDEX($C$8:$Z$133,77,13)</f>
        <v>3.3600000000000008</v>
      </c>
      <c r="P191" s="30">
        <f>INDEX($C$8:$Z$133,77,14)</f>
        <v>0.19812795853235377</v>
      </c>
      <c r="Q191" s="23">
        <f t="shared" si="521"/>
        <v>0</v>
      </c>
      <c r="R191" s="75">
        <f>INDEX($C$8:$Z$133,77,16)</f>
        <v>51</v>
      </c>
      <c r="S191" s="23">
        <f t="shared" si="522"/>
        <v>0</v>
      </c>
      <c r="T191" s="30">
        <f>INDEX($C$8:$Z$133,77,18)</f>
        <v>0.11689245893777725</v>
      </c>
      <c r="U191" s="75">
        <f>INDEX($C$8:$Z$133,77,19)</f>
        <v>824</v>
      </c>
      <c r="V191" s="75">
        <f>INDEX($C$8:$Z$133,77,20)</f>
        <v>828</v>
      </c>
      <c r="W191" s="75">
        <f>INDEX($C$8:$Z$133,77,21)</f>
        <v>-4</v>
      </c>
      <c r="X191" s="75">
        <f>INDEX($C$8:$Z$133,77,22)</f>
        <v>80</v>
      </c>
      <c r="Y191" s="75">
        <f>INDEX($C$8:$Z$133,77,23)</f>
        <v>88</v>
      </c>
      <c r="Z191" s="75">
        <f>INDEX($C$8:$Z$133,77,24)</f>
        <v>-8</v>
      </c>
      <c r="AB191" s="1"/>
      <c r="AC191" s="25">
        <v>11</v>
      </c>
      <c r="AD191" s="25" t="str">
        <f t="shared" si="541"/>
        <v>CASETA 2</v>
      </c>
      <c r="AE191" s="25"/>
      <c r="AF191" s="26">
        <f>INDEX($AC$8:$AZ$133,77,4)</f>
        <v>91929</v>
      </c>
      <c r="AG191" s="26">
        <f>INDEX($AC$8:$AZ$133,77,5)</f>
        <v>91923</v>
      </c>
      <c r="AH191" s="23">
        <f t="shared" si="542"/>
        <v>2</v>
      </c>
      <c r="AI191" s="23">
        <f t="shared" si="553"/>
        <v>34</v>
      </c>
      <c r="AJ191" s="23">
        <f t="shared" si="523"/>
        <v>0</v>
      </c>
      <c r="AK191" s="23">
        <f t="shared" si="557"/>
        <v>36</v>
      </c>
      <c r="AL191" s="26">
        <f>INDEX($AC$8:$AZ$133,77,10)</f>
        <v>2817</v>
      </c>
      <c r="AM191" s="27">
        <f>INDEX($AC$8:$AZ$133,77,11)</f>
        <v>0.16</v>
      </c>
      <c r="AN191" s="28">
        <f t="shared" si="554"/>
        <v>0.39154410264073219</v>
      </c>
      <c r="AO191" s="27">
        <f>INDEX($AC$8:$AZ$133,77,13)</f>
        <v>3.3600000000000008</v>
      </c>
      <c r="AP191" s="27">
        <f>INDEX($AC$8:$AZ$133,77,14)</f>
        <v>3.0643213784551122</v>
      </c>
      <c r="AQ191" s="23">
        <f t="shared" si="543"/>
        <v>0</v>
      </c>
      <c r="AR191" s="26">
        <f>INDEX($AC$8:$AZ$133,77,16)</f>
        <v>51</v>
      </c>
      <c r="AS191" s="23">
        <f t="shared" si="524"/>
        <v>0</v>
      </c>
      <c r="AT191" s="27">
        <f>INDEX($AC$8:$AZ$133,77,18)</f>
        <v>5.5413543607296042E-2</v>
      </c>
      <c r="AU191" s="26">
        <f>INDEX($AC$8:$AZ$133,77,19)</f>
        <v>824</v>
      </c>
      <c r="AV191" s="26">
        <f>INDEX($AC$8:$AZ$133,77,20)</f>
        <v>834</v>
      </c>
      <c r="AW191" s="26">
        <f>INDEX($AC$8:$AZ$133,77,21)</f>
        <v>-10</v>
      </c>
      <c r="AX191" s="26">
        <f>INDEX($AC$8:$AZ$133,77,22)</f>
        <v>80</v>
      </c>
      <c r="AY191" s="26">
        <f>INDEX($AC$8:$AZ$133,77,23)</f>
        <v>88</v>
      </c>
      <c r="AZ191" s="26">
        <f>INDEX($AC$8:$AZ$133,77,24)</f>
        <v>-8</v>
      </c>
      <c r="BB191" s="1"/>
      <c r="BC191" s="25">
        <v>11</v>
      </c>
      <c r="BD191" s="25" t="str">
        <f t="shared" si="544"/>
        <v>CASETA 3</v>
      </c>
      <c r="BE191" s="25"/>
      <c r="BF191" s="26">
        <f>INDEX($BC$8:$BZ$133,77,4)</f>
        <v>95048</v>
      </c>
      <c r="BG191" s="26">
        <f>INDEX($BC$8:$BZ$133,77,5)</f>
        <v>95045</v>
      </c>
      <c r="BH191" s="23">
        <f t="shared" si="545"/>
        <v>0</v>
      </c>
      <c r="BI191" s="23">
        <f t="shared" si="546"/>
        <v>23</v>
      </c>
      <c r="BJ191" s="23">
        <f t="shared" si="552"/>
        <v>0</v>
      </c>
      <c r="BK191" s="23">
        <f t="shared" si="555"/>
        <v>23</v>
      </c>
      <c r="BL191" s="26">
        <f>INDEX($BC$8:$BZ$133,77,10)</f>
        <v>5158</v>
      </c>
      <c r="BM191" s="27">
        <f>INDEX($BC$8:$BZ$133,77,11)</f>
        <v>0.16</v>
      </c>
      <c r="BN191" s="28">
        <f t="shared" si="561"/>
        <v>0.2419568789062701</v>
      </c>
      <c r="BO191" s="27">
        <f>INDEX($BC$8:$BZ$133,77,13)</f>
        <v>3.3600000000000008</v>
      </c>
      <c r="BP191" s="27">
        <f>INDEX($BC$8:$BZ$133,77,14)</f>
        <v>5.4267317565861459</v>
      </c>
      <c r="BQ191" s="23">
        <f t="shared" si="525"/>
        <v>0</v>
      </c>
      <c r="BR191" s="26">
        <f>INDEX($BC$8:$BZ$133,77,16)</f>
        <v>51</v>
      </c>
      <c r="BS191" s="23">
        <f t="shared" si="526"/>
        <v>0</v>
      </c>
      <c r="BT191" s="27">
        <f>INDEX($BC$8:$BZ$133,77,18)</f>
        <v>7.2033724880284866E-2</v>
      </c>
      <c r="BU191" s="26">
        <f>INDEX($BC$8:$BZ$133,77,19)</f>
        <v>824</v>
      </c>
      <c r="BV191" s="292">
        <f>INDEX($BC$8:$BZ$133,77,20)</f>
        <v>828</v>
      </c>
      <c r="BW191" s="292">
        <f>INDEX($BC$8:$BZ$133,77,21)</f>
        <v>-4</v>
      </c>
      <c r="BX191" s="29">
        <f>INDEX($BC$8:$BZ$133,77,22)</f>
        <v>80</v>
      </c>
      <c r="BY191" s="29">
        <f>INDEX($BC$8:$BZ$133,77,23)</f>
        <v>88</v>
      </c>
      <c r="BZ191" s="29">
        <f>INDEX($BC$8:$BZ$133,77,24)</f>
        <v>-8</v>
      </c>
      <c r="CB191" s="1"/>
      <c r="CC191" s="25">
        <v>11</v>
      </c>
      <c r="CD191" s="25" t="str">
        <f t="shared" si="547"/>
        <v>CASETA 4</v>
      </c>
      <c r="CE191" s="25"/>
      <c r="CF191" s="26">
        <f>INDEX($CC$8:$CZ$133,77,4)</f>
        <v>0</v>
      </c>
      <c r="CG191" s="26">
        <f>INDEX($CC$8:$CZ$133,77,5)</f>
        <v>0</v>
      </c>
      <c r="CH191" s="23">
        <f t="shared" si="527"/>
        <v>0</v>
      </c>
      <c r="CI191" s="23">
        <f t="shared" si="528"/>
        <v>0</v>
      </c>
      <c r="CJ191" s="23">
        <f t="shared" si="548"/>
        <v>0</v>
      </c>
      <c r="CK191" s="23">
        <f t="shared" si="549"/>
        <v>0</v>
      </c>
      <c r="CL191" s="26">
        <f>INDEX($CC$8:$CZ$133,77,10)</f>
        <v>0</v>
      </c>
      <c r="CM191" s="27">
        <f>INDEX($CC$8:$CZ$133,77,11)</f>
        <v>0.16</v>
      </c>
      <c r="CN191" s="28">
        <f t="shared" si="558"/>
        <v>0</v>
      </c>
      <c r="CO191" s="27">
        <f>INDEX($CC$8:$CZ$133,77,13)</f>
        <v>3.3600000000000008</v>
      </c>
      <c r="CP191" s="27">
        <f>INDEX($CC$8:$CZ$133,77,14)</f>
        <v>0</v>
      </c>
      <c r="CQ191" s="23">
        <f t="shared" si="529"/>
        <v>0</v>
      </c>
      <c r="CR191" s="26">
        <f>INDEX($CC$8:$CZ$133,77,16)</f>
        <v>51</v>
      </c>
      <c r="CS191" s="23">
        <f t="shared" si="530"/>
        <v>0</v>
      </c>
      <c r="CT191" s="27">
        <f>INDEX($CC$8:$CZ$133,77,18)</f>
        <v>0</v>
      </c>
      <c r="CU191" s="26">
        <f>INDEX($CC$8:$CZ$133,77,19)</f>
        <v>824</v>
      </c>
      <c r="CV191" s="26">
        <f>INDEX($CC$8:$CZ$133,77,20)</f>
        <v>0</v>
      </c>
      <c r="CW191" s="26">
        <f>CU191-CV191</f>
        <v>824</v>
      </c>
      <c r="CX191" s="26">
        <f>INDEX($CC$8:$CZ$133,77,22)</f>
        <v>80</v>
      </c>
      <c r="CY191" s="26">
        <f>INDEX($CC$8:$CZ$133,77,23)</f>
        <v>0</v>
      </c>
      <c r="CZ191" s="26">
        <f t="shared" si="531"/>
        <v>80</v>
      </c>
      <c r="DB191" s="1"/>
      <c r="DC191" s="25">
        <v>11</v>
      </c>
      <c r="DD191" s="25" t="str">
        <f t="shared" si="550"/>
        <v>CASETA 5</v>
      </c>
      <c r="DE191" s="25"/>
      <c r="DF191" s="26">
        <f>INDEX($DC$8:$DZ$133,77,4)</f>
        <v>0</v>
      </c>
      <c r="DG191" s="26">
        <f>INDEX($DC$8:$DZ$133,77,5)</f>
        <v>0</v>
      </c>
      <c r="DH191" s="23">
        <f t="shared" si="532"/>
        <v>0</v>
      </c>
      <c r="DI191" s="23">
        <f t="shared" si="533"/>
        <v>0</v>
      </c>
      <c r="DJ191" s="23">
        <f t="shared" si="534"/>
        <v>0</v>
      </c>
      <c r="DK191" s="23">
        <f t="shared" si="556"/>
        <v>0</v>
      </c>
      <c r="DL191" s="30">
        <f>INDEX($DC$8:$DZ$133,77,10)</f>
        <v>0</v>
      </c>
      <c r="DM191" s="30">
        <f>INDEX($DC$8:$DZ$133,77,11)</f>
        <v>0.16</v>
      </c>
      <c r="DN191" s="28">
        <f t="shared" si="535"/>
        <v>0</v>
      </c>
      <c r="DO191" s="30">
        <f>INDEX($DC$8:$DZ$133,77,13)</f>
        <v>3.3600000000000008</v>
      </c>
      <c r="DP191" s="30">
        <f>INDEX($DC$8:$DZ$133,77,14)</f>
        <v>0</v>
      </c>
      <c r="DQ191" s="23">
        <f t="shared" si="536"/>
        <v>0</v>
      </c>
      <c r="DR191" s="26">
        <f>INDEX($DC$8:$DZ$133,77,16)</f>
        <v>51</v>
      </c>
      <c r="DS191" s="23">
        <f t="shared" si="537"/>
        <v>0</v>
      </c>
      <c r="DT191" s="30">
        <f>INDEX($DC$8:$DZ$133,77,18)</f>
        <v>0</v>
      </c>
      <c r="DU191" s="26">
        <f>INDEX($DC$8:$DZ$133,77,19)</f>
        <v>824</v>
      </c>
      <c r="DV191" s="26">
        <f>INDEX($DC$8:$DZ$133,77,20)</f>
        <v>0</v>
      </c>
      <c r="DW191" s="26">
        <f t="shared" si="538"/>
        <v>824</v>
      </c>
      <c r="DX191" s="26">
        <f>INDEX($DC$8:$DZ$133,77,22)</f>
        <v>80</v>
      </c>
      <c r="DY191" s="26">
        <f>INDEX($DC$8:$DZ$133,77,23)</f>
        <v>0</v>
      </c>
      <c r="DZ191" s="26">
        <f t="shared" si="539"/>
        <v>80</v>
      </c>
    </row>
    <row r="192" spans="3:130" x14ac:dyDescent="0.25">
      <c r="C192" s="25">
        <v>12</v>
      </c>
      <c r="D192" s="25" t="str">
        <f t="shared" si="551"/>
        <v>CASETA 1</v>
      </c>
      <c r="E192" s="25"/>
      <c r="F192" s="26">
        <f>INDEX($C$8:$Z$133,84,4)</f>
        <v>93355</v>
      </c>
      <c r="G192" s="26">
        <f>INDEX($C$8:$Z$133,84,5)</f>
        <v>93353</v>
      </c>
      <c r="H192" s="23">
        <f t="shared" si="540"/>
        <v>0</v>
      </c>
      <c r="I192" s="23">
        <f t="shared" si="515"/>
        <v>19</v>
      </c>
      <c r="J192" s="23">
        <f t="shared" si="516"/>
        <v>0</v>
      </c>
      <c r="K192" s="23">
        <f t="shared" si="559"/>
        <v>19</v>
      </c>
      <c r="L192" s="26">
        <f>INDEX($C$8:$Z$133,84,10)</f>
        <v>204</v>
      </c>
      <c r="M192" s="30">
        <f>INDEX($C$8:$Z$133,84,11)</f>
        <v>0.16</v>
      </c>
      <c r="N192" s="28">
        <f t="shared" si="520"/>
        <v>0.20350467822339302</v>
      </c>
      <c r="O192" s="30">
        <f>INDEX($C$8:$Z$133,84,13)</f>
        <v>3.5200000000000009</v>
      </c>
      <c r="P192" s="30">
        <f>INDEX($C$8:$Z$133,84,14)</f>
        <v>0.21852070055165765</v>
      </c>
      <c r="Q192" s="23">
        <f t="shared" si="521"/>
        <v>0</v>
      </c>
      <c r="R192" s="75">
        <f>INDEX($C$8:$Z$133,84,16)</f>
        <v>53</v>
      </c>
      <c r="S192" s="23">
        <f t="shared" si="522"/>
        <v>0</v>
      </c>
      <c r="T192" s="30">
        <f>INDEX($C$8:$Z$133,84,18)</f>
        <v>0.11689245893777725</v>
      </c>
      <c r="U192" s="75">
        <f>INDEX($C$8:$Z$133,84,19)</f>
        <v>902</v>
      </c>
      <c r="V192" s="75">
        <f>INDEX($C$8:$Z$133,84,20)</f>
        <v>898</v>
      </c>
      <c r="W192" s="75">
        <f>INDEX($C$8:$Z$133,84,21)</f>
        <v>4</v>
      </c>
      <c r="X192" s="75">
        <f>INDEX($C$8:$Z$133,84,22)</f>
        <v>82</v>
      </c>
      <c r="Y192" s="75">
        <f>INDEX($C$8:$Z$133,84,23)</f>
        <v>84</v>
      </c>
      <c r="Z192" s="75">
        <f>INDEX($C$8:$Z$133,84,24)</f>
        <v>-2</v>
      </c>
      <c r="AB192" s="1"/>
      <c r="AC192" s="25">
        <v>12</v>
      </c>
      <c r="AD192" s="25" t="str">
        <f t="shared" si="541"/>
        <v>CASETA 2</v>
      </c>
      <c r="AE192" s="25"/>
      <c r="AF192" s="26">
        <f>INDEX($AC$8:$AZ$133,84,4)</f>
        <v>91895</v>
      </c>
      <c r="AG192" s="26">
        <f>INDEX($AC$8:$AZ$133,84,5)</f>
        <v>91892</v>
      </c>
      <c r="AH192" s="23">
        <f t="shared" si="542"/>
        <v>0</v>
      </c>
      <c r="AI192" s="23">
        <f t="shared" si="553"/>
        <v>31</v>
      </c>
      <c r="AJ192" s="23">
        <f t="shared" si="523"/>
        <v>0</v>
      </c>
      <c r="AK192" s="23">
        <f t="shared" si="557"/>
        <v>31</v>
      </c>
      <c r="AL192" s="26">
        <f>INDEX($AC$8:$AZ$133,84,10)</f>
        <v>2848</v>
      </c>
      <c r="AM192" s="27">
        <f>INDEX($AC$8:$AZ$133,84,11)</f>
        <v>0.16</v>
      </c>
      <c r="AN192" s="28">
        <f t="shared" si="554"/>
        <v>0.33728695268507553</v>
      </c>
      <c r="AO192" s="27">
        <f>INDEX($AC$8:$AZ$133,84,13)</f>
        <v>3.5200000000000009</v>
      </c>
      <c r="AP192" s="27">
        <f>INDEX($AC$8:$AZ$133,84,14)</f>
        <v>3.099189292126884</v>
      </c>
      <c r="AQ192" s="23">
        <f t="shared" si="543"/>
        <v>0</v>
      </c>
      <c r="AR192" s="26">
        <f>INDEX($AC$8:$AZ$133,84,16)</f>
        <v>53</v>
      </c>
      <c r="AS192" s="23">
        <f t="shared" si="524"/>
        <v>0</v>
      </c>
      <c r="AT192" s="27">
        <f>INDEX($AC$8:$AZ$133,84,18)</f>
        <v>5.5413543607296042E-2</v>
      </c>
      <c r="AU192" s="26">
        <f>INDEX($AC$8:$AZ$133,84,19)</f>
        <v>902</v>
      </c>
      <c r="AV192" s="26">
        <f>INDEX($AC$8:$AZ$133,84,20)</f>
        <v>888</v>
      </c>
      <c r="AW192" s="26">
        <f>INDEX($AC$8:$AZ$133,84,21)</f>
        <v>14</v>
      </c>
      <c r="AX192" s="26">
        <f>INDEX($AC$8:$AZ$133,84,22)</f>
        <v>82</v>
      </c>
      <c r="AY192" s="26">
        <f>INDEX($AC$8:$AZ$133,84,23)</f>
        <v>85</v>
      </c>
      <c r="AZ192" s="26">
        <f>INDEX($AC$8:$AZ$133,84,24)</f>
        <v>-3</v>
      </c>
      <c r="BB192" s="1"/>
      <c r="BC192" s="25">
        <v>12</v>
      </c>
      <c r="BD192" s="25" t="str">
        <f t="shared" si="544"/>
        <v>CASETA 3</v>
      </c>
      <c r="BE192" s="25"/>
      <c r="BF192" s="26">
        <f>INDEX($BC$8:$BZ$133,84,4)</f>
        <v>95017</v>
      </c>
      <c r="BG192" s="26">
        <f>INDEX($BC$8:$BZ$133,84,5)</f>
        <v>95014</v>
      </c>
      <c r="BH192" s="23">
        <f t="shared" si="545"/>
        <v>3</v>
      </c>
      <c r="BI192" s="23">
        <f t="shared" si="546"/>
        <v>28</v>
      </c>
      <c r="BJ192" s="23">
        <f t="shared" si="552"/>
        <v>0</v>
      </c>
      <c r="BK192" s="23">
        <f t="shared" si="555"/>
        <v>31</v>
      </c>
      <c r="BL192" s="26">
        <f>INDEX($BC$8:$BZ$133,84,10)</f>
        <v>5189</v>
      </c>
      <c r="BM192" s="27">
        <f>INDEX($BC$8:$BZ$133,84,11)</f>
        <v>0.16</v>
      </c>
      <c r="BN192" s="28">
        <f t="shared" si="561"/>
        <v>0.32620657688759502</v>
      </c>
      <c r="BO192" s="27">
        <f>INDEX($BC$8:$BZ$133,84,13)</f>
        <v>3.5200000000000009</v>
      </c>
      <c r="BP192" s="27">
        <f>INDEX($BC$8:$BZ$133,84,14)</f>
        <v>5.4611280086721328</v>
      </c>
      <c r="BQ192" s="23">
        <f t="shared" si="525"/>
        <v>0</v>
      </c>
      <c r="BR192" s="26">
        <f>INDEX($BC$8:$BZ$133,84,16)</f>
        <v>53</v>
      </c>
      <c r="BS192" s="23">
        <f t="shared" si="526"/>
        <v>0</v>
      </c>
      <c r="BT192" s="27">
        <f>INDEX($BC$8:$BZ$133,84,18)</f>
        <v>7.2033724880284866E-2</v>
      </c>
      <c r="BU192" s="26">
        <f>INDEX($BC$8:$BZ$133,84,19)</f>
        <v>902</v>
      </c>
      <c r="BV192" s="292">
        <f>INDEX($BC$8:$BZ$133,84,20)</f>
        <v>898</v>
      </c>
      <c r="BW192" s="292">
        <f>INDEX($BC$8:$BZ$133,84,21)</f>
        <v>4</v>
      </c>
      <c r="BX192" s="29">
        <f>INDEX($BC$8:$BZ$133,84,22)</f>
        <v>82</v>
      </c>
      <c r="BY192" s="29">
        <f>INDEX($BC$8:$BZ$133,84,23)</f>
        <v>84</v>
      </c>
      <c r="BZ192" s="29">
        <f>INDEX($BC$8:$BZ$133,84,24)</f>
        <v>-2</v>
      </c>
      <c r="CB192" s="1"/>
      <c r="CC192" s="25">
        <v>12</v>
      </c>
      <c r="CD192" s="25" t="str">
        <f t="shared" si="547"/>
        <v>CASETA 4</v>
      </c>
      <c r="CE192" s="25"/>
      <c r="CF192" s="26">
        <f>INDEX($CC$8:$CZ$133,84,4)</f>
        <v>0</v>
      </c>
      <c r="CG192" s="26">
        <f>INDEX($CC$8:$CZ$133,84,5)</f>
        <v>0</v>
      </c>
      <c r="CH192" s="23">
        <f t="shared" si="527"/>
        <v>0</v>
      </c>
      <c r="CI192" s="23">
        <f t="shared" si="528"/>
        <v>0</v>
      </c>
      <c r="CJ192" s="23">
        <f t="shared" si="548"/>
        <v>0</v>
      </c>
      <c r="CK192" s="23">
        <f t="shared" si="549"/>
        <v>0</v>
      </c>
      <c r="CL192" s="26">
        <f>INDEX($CC$8:$CZ$133,84,10)</f>
        <v>0</v>
      </c>
      <c r="CM192" s="27">
        <f>INDEX($CC$8:$CZ$133,84,11)</f>
        <v>0.16</v>
      </c>
      <c r="CN192" s="28">
        <f t="shared" si="558"/>
        <v>0</v>
      </c>
      <c r="CO192" s="27">
        <f>INDEX($CC$8:$CZ$133,84,13)</f>
        <v>3.5200000000000009</v>
      </c>
      <c r="CP192" s="27">
        <f>INDEX($CC$8:$CZ$133,84,14)</f>
        <v>0</v>
      </c>
      <c r="CQ192" s="23">
        <f t="shared" si="529"/>
        <v>0</v>
      </c>
      <c r="CR192" s="26">
        <f>INDEX($CC$8:$CZ$133,84,16)</f>
        <v>53</v>
      </c>
      <c r="CS192" s="23">
        <f t="shared" si="530"/>
        <v>0</v>
      </c>
      <c r="CT192" s="27">
        <f>INDEX($CC$8:$CZ$133,84,18)</f>
        <v>0</v>
      </c>
      <c r="CU192" s="26">
        <f>INDEX($CC$8:$CZ$133,84,19)</f>
        <v>902</v>
      </c>
      <c r="CV192" s="26">
        <f>INDEX($CC$8:$CZ$133,84,20)</f>
        <v>0</v>
      </c>
      <c r="CW192" s="26">
        <f t="shared" si="560"/>
        <v>902</v>
      </c>
      <c r="CX192" s="26">
        <f>INDEX($CC$8:$CZ$133,84,22)</f>
        <v>82</v>
      </c>
      <c r="CY192" s="26">
        <f>INDEX($CC$8:$CZ$133,84,23)</f>
        <v>0</v>
      </c>
      <c r="CZ192" s="26">
        <f t="shared" si="531"/>
        <v>82</v>
      </c>
      <c r="DB192" s="1"/>
      <c r="DC192" s="25">
        <v>12</v>
      </c>
      <c r="DD192" s="25" t="str">
        <f t="shared" si="550"/>
        <v>CASETA 5</v>
      </c>
      <c r="DE192" s="25"/>
      <c r="DF192" s="26">
        <f>INDEX($DC$8:$DZ$133,84,4)</f>
        <v>0</v>
      </c>
      <c r="DG192" s="26">
        <f>INDEX($DC$8:$DZ$133,84,5)</f>
        <v>0</v>
      </c>
      <c r="DH192" s="23">
        <f t="shared" si="532"/>
        <v>0</v>
      </c>
      <c r="DI192" s="23">
        <f t="shared" si="533"/>
        <v>0</v>
      </c>
      <c r="DJ192" s="23">
        <f t="shared" si="534"/>
        <v>0</v>
      </c>
      <c r="DK192" s="23">
        <f t="shared" si="556"/>
        <v>0</v>
      </c>
      <c r="DL192" s="30">
        <f>INDEX($DC$8:$DZ$133,84,10)</f>
        <v>0</v>
      </c>
      <c r="DM192" s="30">
        <f>INDEX($DC$8:$DZ$133,84,11)</f>
        <v>0.16</v>
      </c>
      <c r="DN192" s="28">
        <f t="shared" si="535"/>
        <v>0</v>
      </c>
      <c r="DO192" s="30">
        <f>INDEX($DC$8:$DZ$133,84,13)</f>
        <v>3.5200000000000009</v>
      </c>
      <c r="DP192" s="30">
        <f>INDEX($DC$8:$DZ$133,84,14)</f>
        <v>0</v>
      </c>
      <c r="DQ192" s="23">
        <f t="shared" si="536"/>
        <v>0</v>
      </c>
      <c r="DR192" s="26">
        <f>INDEX($DC$8:$DZ$133,84,16)</f>
        <v>53</v>
      </c>
      <c r="DS192" s="23">
        <f t="shared" si="537"/>
        <v>0</v>
      </c>
      <c r="DT192" s="30">
        <f>INDEX($DC$8:$DZ$133,84,18)</f>
        <v>0</v>
      </c>
      <c r="DU192" s="26">
        <f>INDEX($DC$8:$DZ$133,84,19)</f>
        <v>902</v>
      </c>
      <c r="DV192" s="26">
        <f>INDEX($DC$8:$DZ$133,84,20)</f>
        <v>0</v>
      </c>
      <c r="DW192" s="26">
        <f t="shared" si="538"/>
        <v>902</v>
      </c>
      <c r="DX192" s="26">
        <f>INDEX($DC$8:$DZ$133,84,22)</f>
        <v>82</v>
      </c>
      <c r="DY192" s="26">
        <f>INDEX($DC$8:$DZ$133,84,23)</f>
        <v>0</v>
      </c>
      <c r="DZ192" s="26">
        <f t="shared" si="539"/>
        <v>82</v>
      </c>
    </row>
    <row r="193" spans="3:130" x14ac:dyDescent="0.25">
      <c r="C193" s="25">
        <v>13</v>
      </c>
      <c r="D193" s="25" t="str">
        <f t="shared" si="551"/>
        <v>CASETA 1</v>
      </c>
      <c r="E193" s="25"/>
      <c r="F193" s="26">
        <f>INDEX($C$8:$Z$133,91,4)</f>
        <v>93327</v>
      </c>
      <c r="G193" s="26">
        <f>INDEX($C$8:$Z$133,91,5)</f>
        <v>93321</v>
      </c>
      <c r="H193" s="23">
        <f t="shared" si="540"/>
        <v>0</v>
      </c>
      <c r="I193" s="23">
        <f t="shared" si="515"/>
        <v>32</v>
      </c>
      <c r="J193" s="23">
        <f t="shared" si="516"/>
        <v>0</v>
      </c>
      <c r="K193" s="23">
        <f t="shared" si="519"/>
        <v>32</v>
      </c>
      <c r="L193" s="26">
        <f>INDEX($C$8:$Z$133,91,10)</f>
        <v>236</v>
      </c>
      <c r="M193" s="30">
        <f>INDEX($C$8:$Z$133,91,11)</f>
        <v>0.16</v>
      </c>
      <c r="N193" s="28">
        <f t="shared" si="520"/>
        <v>0.342834264832372</v>
      </c>
      <c r="O193" s="30">
        <f>INDEX($C$8:$Z$133,91,13)</f>
        <v>3.680000000000001</v>
      </c>
      <c r="P193" s="30">
        <f>INDEX($C$8:$Z$133,91,14)</f>
        <v>0.25287430218479112</v>
      </c>
      <c r="Q193" s="23">
        <f t="shared" si="521"/>
        <v>0</v>
      </c>
      <c r="R193" s="75">
        <f>INDEX($C$8:$Z$133,91,16)</f>
        <v>55</v>
      </c>
      <c r="S193" s="23">
        <f t="shared" si="522"/>
        <v>0</v>
      </c>
      <c r="T193" s="30">
        <f>INDEX($C$8:$Z$133,91,18)</f>
        <v>0.11689245893777725</v>
      </c>
      <c r="U193" s="75">
        <f>INDEX($C$8:$Z$133,91,19)</f>
        <v>975</v>
      </c>
      <c r="V193" s="75">
        <f>INDEX($C$8:$Z$133,91,20)</f>
        <v>928</v>
      </c>
      <c r="W193" s="75">
        <f>INDEX($C$8:$Z$133,91,21)</f>
        <v>47</v>
      </c>
      <c r="X193" s="75">
        <f>INDEX($C$8:$Z$133,91,22)</f>
        <v>82</v>
      </c>
      <c r="Y193" s="75">
        <f>INDEX($C$8:$Z$133,91,23)</f>
        <v>81</v>
      </c>
      <c r="Z193" s="75">
        <f>INDEX($C$8:$Z$133,91,24)</f>
        <v>1</v>
      </c>
      <c r="AB193" s="1"/>
      <c r="AC193" s="25">
        <v>13</v>
      </c>
      <c r="AD193" s="25" t="str">
        <f t="shared" si="541"/>
        <v>CASETA 2</v>
      </c>
      <c r="AE193" s="25"/>
      <c r="AF193" s="26">
        <f>INDEX($AC$8:$AZ$133,91,4)</f>
        <v>91851</v>
      </c>
      <c r="AG193" s="26">
        <f>INDEX($AC$8:$AZ$133,91,5)</f>
        <v>91827</v>
      </c>
      <c r="AH193" s="23">
        <f t="shared" si="542"/>
        <v>19</v>
      </c>
      <c r="AI193" s="23">
        <f t="shared" si="553"/>
        <v>42</v>
      </c>
      <c r="AJ193" s="23">
        <f t="shared" si="523"/>
        <v>4</v>
      </c>
      <c r="AK193" s="23">
        <f t="shared" si="557"/>
        <v>65</v>
      </c>
      <c r="AL193" s="26">
        <f>INDEX($AC$8:$AZ$133,91,10)</f>
        <v>2913</v>
      </c>
      <c r="AM193" s="27">
        <f>INDEX($AC$8:$AZ$133,91,11)</f>
        <v>0.16</v>
      </c>
      <c r="AN193" s="28">
        <f t="shared" si="554"/>
        <v>0.70754734493303129</v>
      </c>
      <c r="AO193" s="27">
        <f>INDEX($AC$8:$AZ$133,91,13)</f>
        <v>3.680000000000001</v>
      </c>
      <c r="AP193" s="27">
        <f>INDEX($AC$8:$AZ$133,91,14)</f>
        <v>3.1714407028774865</v>
      </c>
      <c r="AQ193" s="23">
        <f t="shared" si="543"/>
        <v>0</v>
      </c>
      <c r="AR193" s="26">
        <f>INDEX($AC$8:$AZ$133,91,16)</f>
        <v>55</v>
      </c>
      <c r="AS193" s="23">
        <f t="shared" si="524"/>
        <v>0</v>
      </c>
      <c r="AT193" s="27">
        <f>INDEX($AC$8:$AZ$133,91,18)</f>
        <v>5.5413543607296042E-2</v>
      </c>
      <c r="AU193" s="26">
        <f>INDEX($AC$8:$AZ$133,91,19)</f>
        <v>975</v>
      </c>
      <c r="AV193" s="26">
        <f>INDEX($AC$8:$AZ$133,91,20)</f>
        <v>915</v>
      </c>
      <c r="AW193" s="26">
        <f>INDEX($AC$8:$AZ$133,91,21)</f>
        <v>60</v>
      </c>
      <c r="AX193" s="26">
        <f>INDEX($AC$8:$AZ$133,91,22)</f>
        <v>82</v>
      </c>
      <c r="AY193" s="26">
        <f>INDEX($AC$8:$AZ$133,91,23)</f>
        <v>82</v>
      </c>
      <c r="AZ193" s="26">
        <f>INDEX($AC$8:$AZ$133,91,24)</f>
        <v>0</v>
      </c>
      <c r="BB193" s="1"/>
      <c r="BC193" s="25">
        <v>13</v>
      </c>
      <c r="BD193" s="25" t="str">
        <f t="shared" si="544"/>
        <v>CASETA 3</v>
      </c>
      <c r="BE193" s="25"/>
      <c r="BF193" s="26">
        <f>INDEX($BC$8:$BZ$133,91,4)</f>
        <v>94976</v>
      </c>
      <c r="BG193" s="26">
        <f>INDEX($BC$8:$BZ$133,91,5)</f>
        <v>94958</v>
      </c>
      <c r="BH193" s="23">
        <f t="shared" si="545"/>
        <v>34</v>
      </c>
      <c r="BI193" s="23">
        <f t="shared" si="546"/>
        <v>22</v>
      </c>
      <c r="BJ193" s="23">
        <f t="shared" si="552"/>
        <v>0</v>
      </c>
      <c r="BK193" s="23">
        <f t="shared" si="555"/>
        <v>56</v>
      </c>
      <c r="BL193" s="26">
        <f>INDEX($BC$8:$BZ$133,91,10)</f>
        <v>5245</v>
      </c>
      <c r="BM193" s="27">
        <f>INDEX($BC$8:$BZ$133,91,11)</f>
        <v>0.16</v>
      </c>
      <c r="BN193" s="28">
        <f t="shared" si="561"/>
        <v>0.58952378308757991</v>
      </c>
      <c r="BO193" s="27">
        <f>INDEX($BC$8:$BZ$133,91,13)</f>
        <v>3.680000000000001</v>
      </c>
      <c r="BP193" s="27">
        <f>INDEX($BC$8:$BZ$133,91,14)</f>
        <v>5.5224477762803232</v>
      </c>
      <c r="BQ193" s="23">
        <f t="shared" si="525"/>
        <v>0</v>
      </c>
      <c r="BR193" s="26">
        <f>INDEX($BC$8:$BZ$133,91,16)</f>
        <v>55</v>
      </c>
      <c r="BS193" s="23">
        <f t="shared" si="526"/>
        <v>0</v>
      </c>
      <c r="BT193" s="27">
        <f>INDEX($BC$8:$BZ$133,91,18)</f>
        <v>7.2033724880284866E-2</v>
      </c>
      <c r="BU193" s="26">
        <f>INDEX($BC$8:$BZ$133,91,19)</f>
        <v>975</v>
      </c>
      <c r="BV193" s="292">
        <f>INDEX($BC$8:$BZ$133,91,20)</f>
        <v>928</v>
      </c>
      <c r="BW193" s="292">
        <f>INDEX($BC$8:$BZ$133,91,21)</f>
        <v>47</v>
      </c>
      <c r="BX193" s="29">
        <f>INDEX($BC$8:$BZ$133,91,22)</f>
        <v>82</v>
      </c>
      <c r="BY193" s="29">
        <f>INDEX($BC$8:$BZ$133,91,23)</f>
        <v>81</v>
      </c>
      <c r="BZ193" s="29">
        <f>INDEX($BC$8:$BZ$133,91,24)</f>
        <v>1</v>
      </c>
      <c r="CB193" s="1"/>
      <c r="CC193" s="25">
        <v>13</v>
      </c>
      <c r="CD193" s="25" t="str">
        <f t="shared" si="547"/>
        <v>CASETA 4</v>
      </c>
      <c r="CE193" s="25"/>
      <c r="CF193" s="26">
        <f>INDEX($CC$8:$CZ$133,91,4)</f>
        <v>0</v>
      </c>
      <c r="CG193" s="26">
        <f>INDEX($CC$8:$CZ$133,91,5)</f>
        <v>0</v>
      </c>
      <c r="CH193" s="23">
        <f t="shared" si="527"/>
        <v>0</v>
      </c>
      <c r="CI193" s="23">
        <f t="shared" si="528"/>
        <v>0</v>
      </c>
      <c r="CJ193" s="23">
        <f t="shared" si="548"/>
        <v>0</v>
      </c>
      <c r="CK193" s="23">
        <f t="shared" si="549"/>
        <v>0</v>
      </c>
      <c r="CL193" s="26">
        <f>INDEX($CC$8:$CZ$133,91,10)</f>
        <v>0</v>
      </c>
      <c r="CM193" s="27">
        <f>INDEX($CC$8:$CZ$133,91,11)</f>
        <v>0.16</v>
      </c>
      <c r="CN193" s="28">
        <f t="shared" si="558"/>
        <v>0</v>
      </c>
      <c r="CO193" s="27">
        <f>INDEX($CC$8:$CZ$133,91,13)</f>
        <v>3.680000000000001</v>
      </c>
      <c r="CP193" s="27">
        <f>INDEX($CC$8:$CZ$133,91,14)</f>
        <v>0</v>
      </c>
      <c r="CQ193" s="23">
        <f t="shared" si="529"/>
        <v>0</v>
      </c>
      <c r="CR193" s="26">
        <f>INDEX($CC$8:$CZ$133,91,16)</f>
        <v>55</v>
      </c>
      <c r="CS193" s="23">
        <f t="shared" si="530"/>
        <v>0</v>
      </c>
      <c r="CT193" s="27">
        <f>INDEX($CC$8:$CZ$133,91,18)</f>
        <v>0</v>
      </c>
      <c r="CU193" s="26">
        <f>INDEX($CC$8:$CZ$133,91,19)</f>
        <v>975</v>
      </c>
      <c r="CV193" s="26">
        <f>INDEX($CC$8:$CZ$133,91,20)</f>
        <v>0</v>
      </c>
      <c r="CW193" s="26">
        <f>CU193-CV193</f>
        <v>975</v>
      </c>
      <c r="CX193" s="26">
        <f>INDEX($CC$8:$CZ$133,91,22)</f>
        <v>82</v>
      </c>
      <c r="CY193" s="26">
        <f>INDEX($CC$8:$CZ$133,91,23)</f>
        <v>0</v>
      </c>
      <c r="CZ193" s="26">
        <f t="shared" si="531"/>
        <v>82</v>
      </c>
      <c r="DB193" s="1"/>
      <c r="DC193" s="25">
        <v>13</v>
      </c>
      <c r="DD193" s="25" t="str">
        <f t="shared" si="550"/>
        <v>CASETA 5</v>
      </c>
      <c r="DE193" s="25"/>
      <c r="DF193" s="26">
        <f>INDEX($DC$8:$DZ$133,91,4)</f>
        <v>0</v>
      </c>
      <c r="DG193" s="26">
        <f>INDEX($DC$8:$DZ$133,91,5)</f>
        <v>0</v>
      </c>
      <c r="DH193" s="23">
        <f t="shared" si="532"/>
        <v>0</v>
      </c>
      <c r="DI193" s="23">
        <f t="shared" si="533"/>
        <v>0</v>
      </c>
      <c r="DJ193" s="23">
        <f t="shared" si="534"/>
        <v>0</v>
      </c>
      <c r="DK193" s="23">
        <f t="shared" si="556"/>
        <v>0</v>
      </c>
      <c r="DL193" s="30">
        <f>INDEX($DC$8:$DZ$133,91,10)</f>
        <v>0</v>
      </c>
      <c r="DM193" s="30">
        <f>INDEX($DC$8:$DZ$133,91,11)</f>
        <v>0.16</v>
      </c>
      <c r="DN193" s="28">
        <f t="shared" si="535"/>
        <v>0</v>
      </c>
      <c r="DO193" s="30">
        <f>INDEX($DC$8:$DZ$133,91,13)</f>
        <v>3.680000000000001</v>
      </c>
      <c r="DP193" s="30">
        <f>INDEX($DC$8:$DZ$133,91,14)</f>
        <v>0</v>
      </c>
      <c r="DQ193" s="23">
        <f t="shared" si="536"/>
        <v>0</v>
      </c>
      <c r="DR193" s="26">
        <f>INDEX($DC$8:$DZ$133,91,16)</f>
        <v>55</v>
      </c>
      <c r="DS193" s="23">
        <f t="shared" si="537"/>
        <v>0</v>
      </c>
      <c r="DT193" s="30">
        <f>INDEX($DC$8:$DZ$133,91,18)</f>
        <v>0</v>
      </c>
      <c r="DU193" s="26">
        <f>INDEX($DC$8:$DZ$133,91,19)</f>
        <v>975</v>
      </c>
      <c r="DV193" s="26">
        <f>INDEX($DC$8:$DZ$133,91,20)</f>
        <v>0</v>
      </c>
      <c r="DW193" s="26">
        <f t="shared" si="538"/>
        <v>975</v>
      </c>
      <c r="DX193" s="26">
        <f>INDEX($DC$8:$DZ$133,91,22)</f>
        <v>82</v>
      </c>
      <c r="DY193" s="26">
        <f>INDEX($DC$8:$DZ$133,91,23)</f>
        <v>0</v>
      </c>
      <c r="DZ193" s="26">
        <f t="shared" si="539"/>
        <v>82</v>
      </c>
    </row>
    <row r="194" spans="3:130" x14ac:dyDescent="0.25">
      <c r="C194" s="25">
        <v>14</v>
      </c>
      <c r="D194" s="25" t="str">
        <f t="shared" si="551"/>
        <v>CASETA 1</v>
      </c>
      <c r="E194" s="25"/>
      <c r="F194" s="26">
        <f>INDEX($C$8:$Z$133,98,4)</f>
        <v>93223</v>
      </c>
      <c r="G194" s="26">
        <f>INDEX($C$8:$Z$133,98,5)</f>
        <v>93211</v>
      </c>
      <c r="H194" s="23">
        <f t="shared" si="540"/>
        <v>41</v>
      </c>
      <c r="I194" s="23">
        <f t="shared" si="515"/>
        <v>67</v>
      </c>
      <c r="J194" s="23">
        <f t="shared" si="516"/>
        <v>2</v>
      </c>
      <c r="K194" s="23">
        <f>SUMIFS($K$8:$K$133,$C$8:$C$133,$C194)</f>
        <v>110</v>
      </c>
      <c r="L194" s="26">
        <f>INDEX($C$8:$Z$133,98,10)</f>
        <v>346</v>
      </c>
      <c r="M194" s="30">
        <f>INDEX($C$8:$Z$133,98,11)</f>
        <v>0.16</v>
      </c>
      <c r="N194" s="28">
        <f t="shared" si="520"/>
        <v>1.1792992068723174</v>
      </c>
      <c r="O194" s="30">
        <f>INDEX($C$8:$Z$133,98,13)</f>
        <v>3.8400000000000012</v>
      </c>
      <c r="P194" s="30">
        <f>INDEX($C$8:$Z$133,98,14)</f>
        <v>0.37115304163135709</v>
      </c>
      <c r="Q194" s="23">
        <f t="shared" si="521"/>
        <v>0</v>
      </c>
      <c r="R194" s="75">
        <f>INDEX($C$8:$Z$133,98,16)</f>
        <v>57</v>
      </c>
      <c r="S194" s="23">
        <f t="shared" si="522"/>
        <v>0</v>
      </c>
      <c r="T194" s="30">
        <f>INDEX($C$8:$Z$133,98,18)</f>
        <v>0.11689245893777725</v>
      </c>
      <c r="U194" s="75">
        <f>INDEX($C$8:$Z$133,98,19)</f>
        <v>1048</v>
      </c>
      <c r="V194" s="75">
        <f>INDEX($C$8:$Z$133,98,20)</f>
        <v>1027</v>
      </c>
      <c r="W194" s="75">
        <f>INDEX($C$8:$Z$133,98,21)</f>
        <v>21</v>
      </c>
      <c r="X194" s="75">
        <f>INDEX($C$8:$Z$133,98,22)</f>
        <v>84</v>
      </c>
      <c r="Y194" s="75">
        <f>INDEX($C$8:$Z$133,98,23)</f>
        <v>83</v>
      </c>
      <c r="Z194" s="75">
        <f>INDEX($C$8:$Z$133,98,24)</f>
        <v>1</v>
      </c>
      <c r="AB194" s="1"/>
      <c r="AC194" s="25">
        <v>14</v>
      </c>
      <c r="AD194" s="25" t="str">
        <f t="shared" si="541"/>
        <v>CASETA 2</v>
      </c>
      <c r="AE194" s="25"/>
      <c r="AF194" s="26">
        <f>INDEX($AC$8:$AZ$133,98,4)</f>
        <v>91747</v>
      </c>
      <c r="AG194" s="26">
        <f>INDEX($AC$8:$AZ$133,98,5)</f>
        <v>91730</v>
      </c>
      <c r="AH194" s="23">
        <f t="shared" si="542"/>
        <v>25</v>
      </c>
      <c r="AI194" s="23">
        <f t="shared" si="553"/>
        <v>65</v>
      </c>
      <c r="AJ194" s="23">
        <f t="shared" si="523"/>
        <v>7</v>
      </c>
      <c r="AK194" s="23">
        <f t="shared" si="557"/>
        <v>97</v>
      </c>
      <c r="AL194" s="26">
        <f>INDEX($AC$8:$AZ$133,98,10)</f>
        <v>3010</v>
      </c>
      <c r="AM194" s="27">
        <f>INDEX($AC$8:$AZ$133,98,11)</f>
        <v>0.16</v>
      </c>
      <c r="AN194" s="28">
        <f t="shared" si="554"/>
        <v>1.0567983201668629</v>
      </c>
      <c r="AO194" s="27">
        <f>INDEX($AC$8:$AZ$133,98,13)</f>
        <v>3.8400000000000012</v>
      </c>
      <c r="AP194" s="27">
        <f>INDEX($AC$8:$AZ$133,98,14)</f>
        <v>3.2807612238002331</v>
      </c>
      <c r="AQ194" s="23">
        <f t="shared" si="543"/>
        <v>0</v>
      </c>
      <c r="AR194" s="26">
        <f>INDEX($AC$8:$AZ$133,98,16)</f>
        <v>57</v>
      </c>
      <c r="AS194" s="23">
        <f t="shared" si="524"/>
        <v>0</v>
      </c>
      <c r="AT194" s="27">
        <f>INDEX($AC$8:$AZ$133,98,18)</f>
        <v>5.5413543607296042E-2</v>
      </c>
      <c r="AU194" s="26">
        <f>INDEX($AC$8:$AZ$133,98,19)</f>
        <v>1048</v>
      </c>
      <c r="AV194" s="26">
        <f>INDEX($AC$8:$AZ$133,98,20)</f>
        <v>967</v>
      </c>
      <c r="AW194" s="26">
        <f>INDEX($AC$8:$AZ$133,98,21)</f>
        <v>81</v>
      </c>
      <c r="AX194" s="26">
        <f>INDEX($AC$8:$AZ$133,98,22)</f>
        <v>84</v>
      </c>
      <c r="AY194" s="26">
        <f>INDEX($AC$8:$AZ$133,98,23)</f>
        <v>75</v>
      </c>
      <c r="AZ194" s="26">
        <f>INDEX($AC$8:$AZ$133,98,24)</f>
        <v>9</v>
      </c>
      <c r="BB194" s="1"/>
      <c r="BC194" s="25">
        <v>14</v>
      </c>
      <c r="BD194" s="25" t="str">
        <f t="shared" si="544"/>
        <v>CASETA 3</v>
      </c>
      <c r="BE194" s="25"/>
      <c r="BF194" s="26">
        <f>INDEX($BC$8:$BZ$133,98,4)</f>
        <v>94848</v>
      </c>
      <c r="BG194" s="26">
        <f>INDEX($BC$8:$BZ$133,98,5)</f>
        <v>94841</v>
      </c>
      <c r="BH194" s="23">
        <f t="shared" si="545"/>
        <v>37</v>
      </c>
      <c r="BI194" s="23">
        <f t="shared" si="546"/>
        <v>74</v>
      </c>
      <c r="BJ194" s="23">
        <f t="shared" si="552"/>
        <v>6</v>
      </c>
      <c r="BK194" s="23">
        <f t="shared" si="555"/>
        <v>117</v>
      </c>
      <c r="BL194" s="26">
        <f>INDEX($BC$8:$BZ$133,98,10)</f>
        <v>5362</v>
      </c>
      <c r="BM194" s="27">
        <f>INDEX($BC$8:$BZ$133,98,11)</f>
        <v>0.16</v>
      </c>
      <c r="BN194" s="28">
        <f t="shared" si="561"/>
        <v>1.2327511840388021</v>
      </c>
      <c r="BO194" s="27">
        <f>INDEX($BC$8:$BZ$133,98,13)</f>
        <v>3.8400000000000012</v>
      </c>
      <c r="BP194" s="27">
        <f>INDEX($BC$8:$BZ$133,98,14)</f>
        <v>5.6532557354925776</v>
      </c>
      <c r="BQ194" s="23">
        <f t="shared" si="525"/>
        <v>0</v>
      </c>
      <c r="BR194" s="26">
        <f>INDEX($BC$8:$BZ$133,98,16)</f>
        <v>57</v>
      </c>
      <c r="BS194" s="23">
        <f t="shared" si="526"/>
        <v>0</v>
      </c>
      <c r="BT194" s="27">
        <f>INDEX($BC$8:$BZ$133,98,18)</f>
        <v>7.2033724880284866E-2</v>
      </c>
      <c r="BU194" s="26">
        <f>INDEX($BC$8:$BZ$133,98,19)</f>
        <v>1048</v>
      </c>
      <c r="BV194" s="292">
        <f>INDEX($BC$8:$BZ$133,98,20)</f>
        <v>1006</v>
      </c>
      <c r="BW194" s="292">
        <f>INDEX($BC$8:$BZ$133,98,21)</f>
        <v>42</v>
      </c>
      <c r="BX194" s="29">
        <f>INDEX($BC$8:$BZ$133,98,22)</f>
        <v>84</v>
      </c>
      <c r="BY194" s="29">
        <f>INDEX($BC$8:$BZ$133,98,23)</f>
        <v>84</v>
      </c>
      <c r="BZ194" s="29">
        <f>INDEX($BC$8:$BZ$133,98,24)</f>
        <v>0</v>
      </c>
      <c r="CB194" s="1"/>
      <c r="CC194" s="25">
        <v>14</v>
      </c>
      <c r="CD194" s="25" t="str">
        <f t="shared" si="547"/>
        <v>CASETA 4</v>
      </c>
      <c r="CE194" s="25"/>
      <c r="CF194" s="26">
        <f>INDEX($CC$8:$CZ$133,98,4)</f>
        <v>0</v>
      </c>
      <c r="CG194" s="26">
        <f>INDEX($CC$8:$CZ$133,98,5)</f>
        <v>0</v>
      </c>
      <c r="CH194" s="23">
        <f t="shared" si="527"/>
        <v>0</v>
      </c>
      <c r="CI194" s="23">
        <f t="shared" si="528"/>
        <v>0</v>
      </c>
      <c r="CJ194" s="23">
        <f t="shared" si="548"/>
        <v>0</v>
      </c>
      <c r="CK194" s="23">
        <f t="shared" si="549"/>
        <v>0</v>
      </c>
      <c r="CL194" s="26">
        <f>INDEX($CC$8:$CZ$133,98,10)</f>
        <v>0</v>
      </c>
      <c r="CM194" s="27">
        <f>INDEX($CC$8:$CZ$133,98,11)</f>
        <v>0.16</v>
      </c>
      <c r="CN194" s="28">
        <f t="shared" si="558"/>
        <v>0</v>
      </c>
      <c r="CO194" s="27">
        <f>INDEX($CC$8:$CZ$133,98,13)</f>
        <v>3.8400000000000012</v>
      </c>
      <c r="CP194" s="27">
        <f>INDEX($CC$8:$CZ$133,98,14)</f>
        <v>0</v>
      </c>
      <c r="CQ194" s="23">
        <f t="shared" si="529"/>
        <v>0</v>
      </c>
      <c r="CR194" s="26">
        <f>INDEX($CC$8:$CZ$133,98,16)</f>
        <v>57</v>
      </c>
      <c r="CS194" s="23">
        <f t="shared" si="530"/>
        <v>0</v>
      </c>
      <c r="CT194" s="27">
        <f>INDEX($CC$8:$CZ$133,98,18)</f>
        <v>0</v>
      </c>
      <c r="CU194" s="26">
        <f>INDEX($CC$8:$CZ$133,98,19)</f>
        <v>1048</v>
      </c>
      <c r="CV194" s="26">
        <f>INDEX($CC$8:$CZ$133,98,20)</f>
        <v>0</v>
      </c>
      <c r="CW194" s="26">
        <f t="shared" si="560"/>
        <v>1048</v>
      </c>
      <c r="CX194" s="26">
        <f>INDEX($CC$8:$CZ$133,98,22)</f>
        <v>84</v>
      </c>
      <c r="CY194" s="26">
        <f>INDEX($CC$8:$CZ$133,98,23)</f>
        <v>0</v>
      </c>
      <c r="CZ194" s="26">
        <f t="shared" si="531"/>
        <v>84</v>
      </c>
      <c r="DB194" s="1"/>
      <c r="DC194" s="25">
        <v>14</v>
      </c>
      <c r="DD194" s="25" t="str">
        <f t="shared" si="550"/>
        <v>CASETA 5</v>
      </c>
      <c r="DE194" s="25"/>
      <c r="DF194" s="26">
        <f>INDEX($DC$8:$DZ$133,98,4)</f>
        <v>0</v>
      </c>
      <c r="DG194" s="26">
        <f>INDEX($DC$8:$DZ$133,98,5)</f>
        <v>0</v>
      </c>
      <c r="DH194" s="23">
        <f t="shared" si="532"/>
        <v>0</v>
      </c>
      <c r="DI194" s="23">
        <f t="shared" si="533"/>
        <v>0</v>
      </c>
      <c r="DJ194" s="23">
        <f t="shared" si="534"/>
        <v>0</v>
      </c>
      <c r="DK194" s="23">
        <f t="shared" si="556"/>
        <v>0</v>
      </c>
      <c r="DL194" s="30">
        <f>INDEX($DC$8:$DZ$133,98,10)</f>
        <v>0</v>
      </c>
      <c r="DM194" s="30">
        <f>INDEX($DC$8:$DZ$133,98,11)</f>
        <v>0.16</v>
      </c>
      <c r="DN194" s="28">
        <f t="shared" si="535"/>
        <v>0</v>
      </c>
      <c r="DO194" s="30">
        <f>INDEX($DC$8:$DZ$133,98,13)</f>
        <v>3.8400000000000012</v>
      </c>
      <c r="DP194" s="30">
        <f>INDEX($DC$8:$DZ$133,98,14)</f>
        <v>0</v>
      </c>
      <c r="DQ194" s="23">
        <f t="shared" si="536"/>
        <v>0</v>
      </c>
      <c r="DR194" s="26">
        <f>INDEX($DC$8:$DZ$133,98,16)</f>
        <v>57</v>
      </c>
      <c r="DS194" s="23">
        <f t="shared" si="537"/>
        <v>0</v>
      </c>
      <c r="DT194" s="30">
        <f>INDEX($DC$8:$DZ$133,98,18)</f>
        <v>0</v>
      </c>
      <c r="DU194" s="26">
        <f>INDEX($DC$8:$DZ$133,98,19)</f>
        <v>1048</v>
      </c>
      <c r="DV194" s="26">
        <f>INDEX($DC$8:$DZ$133,98,20)</f>
        <v>0</v>
      </c>
      <c r="DW194" s="26">
        <f t="shared" si="538"/>
        <v>1048</v>
      </c>
      <c r="DX194" s="26">
        <f>INDEX($DC$8:$DZ$133,98,22)</f>
        <v>84</v>
      </c>
      <c r="DY194" s="26">
        <f>INDEX($DC$8:$DZ$133,98,23)</f>
        <v>0</v>
      </c>
      <c r="DZ194" s="26">
        <f t="shared" si="539"/>
        <v>84</v>
      </c>
    </row>
    <row r="195" spans="3:130" x14ac:dyDescent="0.25">
      <c r="C195" s="25">
        <v>15</v>
      </c>
      <c r="D195" s="25" t="str">
        <f t="shared" si="551"/>
        <v>CASETA 1</v>
      </c>
      <c r="E195" s="25"/>
      <c r="F195" s="26">
        <f>INDEX($C$8:$Z$133,105,4)</f>
        <v>93163</v>
      </c>
      <c r="G195" s="26">
        <f>INDEX($C$8:$Z$133,105,5)</f>
        <v>93163</v>
      </c>
      <c r="H195" s="23">
        <f t="shared" si="540"/>
        <v>0</v>
      </c>
      <c r="I195" s="23">
        <f t="shared" si="515"/>
        <v>48</v>
      </c>
      <c r="J195" s="23">
        <f t="shared" si="516"/>
        <v>0</v>
      </c>
      <c r="K195" s="23">
        <f t="shared" si="519"/>
        <v>48</v>
      </c>
      <c r="L195" s="26">
        <f>INDEX($C$8:$Z$133,105,10)</f>
        <v>394</v>
      </c>
      <c r="M195" s="30">
        <f>INDEX($C$8:$Z$133,105,11)</f>
        <v>0.16</v>
      </c>
      <c r="N195" s="28">
        <f t="shared" si="520"/>
        <v>0.51503424517848195</v>
      </c>
      <c r="O195" s="30">
        <f>INDEX($C$8:$Z$133,105,13)</f>
        <v>4.0000000000000009</v>
      </c>
      <c r="P195" s="30">
        <f>INDEX($C$8:$Z$133,105,14)</f>
        <v>0.42291467642733704</v>
      </c>
      <c r="Q195" s="23">
        <f t="shared" si="521"/>
        <v>0</v>
      </c>
      <c r="R195" s="75">
        <f>INDEX($C$8:$Z$133,105,16)</f>
        <v>60</v>
      </c>
      <c r="S195" s="23">
        <f t="shared" si="522"/>
        <v>0</v>
      </c>
      <c r="T195" s="30">
        <f>INDEX($C$8:$Z$133,105,18)</f>
        <v>0.11689245893777725</v>
      </c>
      <c r="U195" s="75">
        <f>INDEX($C$8:$Z$133,105,19)</f>
        <v>1112</v>
      </c>
      <c r="V195" s="75">
        <f>INDEX($C$8:$Z$133,105,20)</f>
        <v>0</v>
      </c>
      <c r="W195" s="75">
        <f>INDEX($C$8:$Z$133,105,21)</f>
        <v>1112</v>
      </c>
      <c r="X195" s="75">
        <f>INDEX($C$8:$Z$133,105,22)</f>
        <v>86</v>
      </c>
      <c r="Y195" s="75">
        <f>INDEX($C$8:$Z$133,105,23)</f>
        <v>0</v>
      </c>
      <c r="Z195" s="75">
        <f>INDEX($C$8:$Z$133,105,24)</f>
        <v>86</v>
      </c>
      <c r="AB195" s="1"/>
      <c r="AC195" s="25">
        <v>15</v>
      </c>
      <c r="AD195" s="25" t="str">
        <f t="shared" si="541"/>
        <v>CASETA 2</v>
      </c>
      <c r="AE195" s="25"/>
      <c r="AF195" s="26">
        <f>INDEX($AC$8:$AZ$133,105,4)</f>
        <v>91715</v>
      </c>
      <c r="AG195" s="26">
        <f>INDEX($AC$8:$AZ$133,105,5)</f>
        <v>91715</v>
      </c>
      <c r="AH195" s="23">
        <f t="shared" si="542"/>
        <v>0</v>
      </c>
      <c r="AI195" s="23">
        <f t="shared" si="553"/>
        <v>15</v>
      </c>
      <c r="AJ195" s="23">
        <f t="shared" si="523"/>
        <v>0</v>
      </c>
      <c r="AK195" s="23">
        <f t="shared" si="557"/>
        <v>15</v>
      </c>
      <c r="AL195" s="26">
        <f>INDEX($AC$8:$AZ$133,105,10)</f>
        <v>3025</v>
      </c>
      <c r="AM195" s="27">
        <f>INDEX($AC$8:$AZ$133,105,11)</f>
        <v>0.16</v>
      </c>
      <c r="AN195" s="28">
        <f t="shared" si="554"/>
        <v>0.16352338384388967</v>
      </c>
      <c r="AO195" s="27">
        <f>INDEX($AC$8:$AZ$133,105,13)</f>
        <v>4.0000000000000009</v>
      </c>
      <c r="AP195" s="27">
        <f>INDEX($AC$8:$AZ$133,105,14)</f>
        <v>3.2982609169710515</v>
      </c>
      <c r="AQ195" s="23">
        <f t="shared" si="543"/>
        <v>0</v>
      </c>
      <c r="AR195" s="26">
        <f>INDEX($AC$8:$AZ$133,105,16)</f>
        <v>60</v>
      </c>
      <c r="AS195" s="23">
        <f t="shared" si="524"/>
        <v>0</v>
      </c>
      <c r="AT195" s="27">
        <f>INDEX($AC$8:$AZ$133,105,18)</f>
        <v>5.5413543607296042E-2</v>
      </c>
      <c r="AU195" s="26">
        <f>INDEX($AC$8:$AZ$133,105,19)</f>
        <v>1112</v>
      </c>
      <c r="AV195" s="26">
        <f>INDEX($AC$8:$AZ$133,105,20)</f>
        <v>0</v>
      </c>
      <c r="AW195" s="26">
        <f>INDEX($AC$8:$AZ$133,105,21)</f>
        <v>1112</v>
      </c>
      <c r="AX195" s="26">
        <f>INDEX($AC$8:$AZ$133,105,22)</f>
        <v>86</v>
      </c>
      <c r="AY195" s="26">
        <f>INDEX($AC$8:$AZ$133,105,23)</f>
        <v>0</v>
      </c>
      <c r="AZ195" s="26">
        <f>INDEX($AC$8:$AZ$133,105,24)</f>
        <v>86</v>
      </c>
      <c r="BB195" s="1"/>
      <c r="BC195" s="25">
        <v>15</v>
      </c>
      <c r="BD195" s="25" t="str">
        <f t="shared" si="544"/>
        <v>CASETA 3</v>
      </c>
      <c r="BE195" s="25"/>
      <c r="BF195" s="26">
        <f>INDEX($BC$8:$BZ$133,105,4)</f>
        <v>94787</v>
      </c>
      <c r="BG195" s="26">
        <f>INDEX($BC$8:$BZ$133,105,5)</f>
        <v>94787</v>
      </c>
      <c r="BH195" s="23">
        <f t="shared" si="545"/>
        <v>0</v>
      </c>
      <c r="BI195" s="23">
        <f t="shared" si="546"/>
        <v>53</v>
      </c>
      <c r="BJ195" s="23">
        <f t="shared" si="552"/>
        <v>1</v>
      </c>
      <c r="BK195" s="23">
        <f t="shared" si="555"/>
        <v>54</v>
      </c>
      <c r="BL195" s="26">
        <f>INDEX($BC$8:$BZ$133,105,10)</f>
        <v>5416</v>
      </c>
      <c r="BM195" s="27">
        <f>INDEX($BC$8:$BZ$133,105,11)</f>
        <v>0.16</v>
      </c>
      <c r="BN195" s="28">
        <f t="shared" si="561"/>
        <v>0.56946730459437989</v>
      </c>
      <c r="BO195" s="27">
        <f>INDEX($BC$8:$BZ$133,105,13)</f>
        <v>4.0000000000000009</v>
      </c>
      <c r="BP195" s="27">
        <f>INDEX($BC$8:$BZ$133,105,14)</f>
        <v>5.7138637154884107</v>
      </c>
      <c r="BQ195" s="23">
        <f t="shared" si="525"/>
        <v>0</v>
      </c>
      <c r="BR195" s="26">
        <f>INDEX($BC$8:$BZ$133,105,16)</f>
        <v>60</v>
      </c>
      <c r="BS195" s="23">
        <f t="shared" si="526"/>
        <v>0</v>
      </c>
      <c r="BT195" s="27">
        <f>INDEX($BC$8:$BZ$133,105,18)</f>
        <v>7.2033724880284866E-2</v>
      </c>
      <c r="BU195" s="26">
        <f>INDEX($BC$8:$BZ$133,105,19)</f>
        <v>1112</v>
      </c>
      <c r="BV195" s="292">
        <f>INDEX($BC$8:$BZ$133,105,20)</f>
        <v>0</v>
      </c>
      <c r="BW195" s="292">
        <f>INDEX($BC$8:$BZ$133,105,21)</f>
        <v>1112</v>
      </c>
      <c r="BX195" s="29">
        <f>INDEX($BC$8:$BZ$133,105,22)</f>
        <v>86</v>
      </c>
      <c r="BY195" s="29">
        <f>INDEX($BC$8:$BZ$133,105,23)</f>
        <v>0</v>
      </c>
      <c r="BZ195" s="29">
        <f>INDEX($BC$8:$BZ$133,105,24)</f>
        <v>86</v>
      </c>
      <c r="CB195" s="1"/>
      <c r="CC195" s="25">
        <v>15</v>
      </c>
      <c r="CD195" s="25" t="str">
        <f t="shared" si="547"/>
        <v>CASETA 4</v>
      </c>
      <c r="CE195" s="25"/>
      <c r="CF195" s="26">
        <f>INDEX($CC$8:$CZ$133,105,4)</f>
        <v>0</v>
      </c>
      <c r="CG195" s="26">
        <f>INDEX($CC$8:$CZ$133,105,5)</f>
        <v>0</v>
      </c>
      <c r="CH195" s="23">
        <f t="shared" si="527"/>
        <v>0</v>
      </c>
      <c r="CI195" s="23">
        <f t="shared" si="528"/>
        <v>0</v>
      </c>
      <c r="CJ195" s="23">
        <f t="shared" si="548"/>
        <v>0</v>
      </c>
      <c r="CK195" s="23">
        <f t="shared" si="549"/>
        <v>0</v>
      </c>
      <c r="CL195" s="26">
        <f>INDEX($CC$8:$CZ$133,105,10)</f>
        <v>0</v>
      </c>
      <c r="CM195" s="27">
        <f>INDEX($CC$8:$CZ$133,105,11)</f>
        <v>0.16</v>
      </c>
      <c r="CN195" s="28">
        <f t="shared" si="558"/>
        <v>0</v>
      </c>
      <c r="CO195" s="27">
        <f>INDEX($CC$8:$CZ$133,105,13)</f>
        <v>4.0000000000000009</v>
      </c>
      <c r="CP195" s="27">
        <f>INDEX($CC$8:$CZ$133,105,14)</f>
        <v>0</v>
      </c>
      <c r="CQ195" s="23">
        <f t="shared" si="529"/>
        <v>0</v>
      </c>
      <c r="CR195" s="26">
        <f>INDEX($CC$8:$CZ$133,105,16)</f>
        <v>60</v>
      </c>
      <c r="CS195" s="23">
        <f t="shared" si="530"/>
        <v>0</v>
      </c>
      <c r="CT195" s="27">
        <f>INDEX($CC$8:$CZ$133,105,18)</f>
        <v>0</v>
      </c>
      <c r="CU195" s="26">
        <f>INDEX($CC$8:$CZ$133,105,19)</f>
        <v>1112</v>
      </c>
      <c r="CV195" s="26">
        <f>INDEX($CC$8:$CZ$133,105,20)</f>
        <v>0</v>
      </c>
      <c r="CW195" s="26">
        <f t="shared" si="560"/>
        <v>1112</v>
      </c>
      <c r="CX195" s="26">
        <f>INDEX($CC$8:$CZ$133,105,22)</f>
        <v>86</v>
      </c>
      <c r="CY195" s="26">
        <f>INDEX($CC$8:$CZ$133,105,23)</f>
        <v>0</v>
      </c>
      <c r="CZ195" s="26">
        <f t="shared" si="531"/>
        <v>86</v>
      </c>
      <c r="DB195" s="1"/>
      <c r="DC195" s="25">
        <v>15</v>
      </c>
      <c r="DD195" s="25" t="str">
        <f t="shared" si="550"/>
        <v>CASETA 5</v>
      </c>
      <c r="DE195" s="25"/>
      <c r="DF195" s="26">
        <f>INDEX($DC$8:$DZ$133,105,4)</f>
        <v>0</v>
      </c>
      <c r="DG195" s="26">
        <f>INDEX($DC$8:$DZ$133,105,5)</f>
        <v>0</v>
      </c>
      <c r="DH195" s="23">
        <f t="shared" si="532"/>
        <v>0</v>
      </c>
      <c r="DI195" s="23">
        <f t="shared" si="533"/>
        <v>0</v>
      </c>
      <c r="DJ195" s="23">
        <f t="shared" si="534"/>
        <v>0</v>
      </c>
      <c r="DK195" s="23">
        <f t="shared" si="556"/>
        <v>0</v>
      </c>
      <c r="DL195" s="30">
        <f>INDEX($DC$8:$DZ$133,105,10)</f>
        <v>0</v>
      </c>
      <c r="DM195" s="30">
        <f>INDEX($DC$8:$DZ$133,105,11)</f>
        <v>0.16</v>
      </c>
      <c r="DN195" s="28">
        <f t="shared" si="535"/>
        <v>0</v>
      </c>
      <c r="DO195" s="30">
        <f>INDEX($DC$8:$DZ$133,105,13)</f>
        <v>4.0000000000000009</v>
      </c>
      <c r="DP195" s="30">
        <f>INDEX($DC$8:$DZ$133,105,14)</f>
        <v>0</v>
      </c>
      <c r="DQ195" s="23">
        <f t="shared" si="536"/>
        <v>0</v>
      </c>
      <c r="DR195" s="26">
        <f>INDEX($DC$8:$DZ$133,105,16)</f>
        <v>60</v>
      </c>
      <c r="DS195" s="23">
        <f t="shared" si="537"/>
        <v>0</v>
      </c>
      <c r="DT195" s="30">
        <f>INDEX($DC$8:$DZ$133,105,18)</f>
        <v>0</v>
      </c>
      <c r="DU195" s="26">
        <f>INDEX($DC$8:$DZ$133,105,19)</f>
        <v>1112</v>
      </c>
      <c r="DV195" s="26">
        <f>INDEX($DC$8:$DZ$133,105,20)</f>
        <v>0</v>
      </c>
      <c r="DW195" s="26">
        <f t="shared" si="538"/>
        <v>1112</v>
      </c>
      <c r="DX195" s="26">
        <f>INDEX($DC$8:$DZ$133,105,22)</f>
        <v>86</v>
      </c>
      <c r="DY195" s="26">
        <f>INDEX($DC$8:$DZ$133,105,23)</f>
        <v>0</v>
      </c>
      <c r="DZ195" s="26">
        <f t="shared" si="539"/>
        <v>86</v>
      </c>
    </row>
    <row r="196" spans="3:130" x14ac:dyDescent="0.25">
      <c r="C196" s="25">
        <v>16</v>
      </c>
      <c r="D196" s="25" t="str">
        <f t="shared" si="551"/>
        <v>CASETA 1</v>
      </c>
      <c r="E196" s="25"/>
      <c r="F196" s="26">
        <f>INDEX($C$8:$Z$133,112,4)</f>
        <v>93163</v>
      </c>
      <c r="G196" s="26">
        <f>INDEX($C$8:$Z$133,112,5)</f>
        <v>93163</v>
      </c>
      <c r="H196" s="23">
        <f t="shared" si="540"/>
        <v>0</v>
      </c>
      <c r="I196" s="23">
        <f t="shared" si="515"/>
        <v>0</v>
      </c>
      <c r="J196" s="23">
        <f t="shared" si="516"/>
        <v>0</v>
      </c>
      <c r="K196" s="23">
        <f t="shared" si="519"/>
        <v>0</v>
      </c>
      <c r="L196" s="26">
        <f>INDEX($C$8:$Z$133,112,10)</f>
        <v>394</v>
      </c>
      <c r="M196" s="30">
        <f>INDEX($C$8:$Z$133,112,11)</f>
        <v>0.16</v>
      </c>
      <c r="N196" s="28">
        <f t="shared" si="520"/>
        <v>0</v>
      </c>
      <c r="O196" s="30">
        <f>INDEX($C$8:$Z$133,112,13)</f>
        <v>4.160000000000001</v>
      </c>
      <c r="P196" s="30">
        <f>INDEX($C$8:$Z$133,112,14)</f>
        <v>0.42291467642733704</v>
      </c>
      <c r="Q196" s="23">
        <f t="shared" si="521"/>
        <v>0</v>
      </c>
      <c r="R196" s="75">
        <f>INDEX($C$8:$Z$133,112,16)</f>
        <v>64</v>
      </c>
      <c r="S196" s="23">
        <f t="shared" si="522"/>
        <v>0</v>
      </c>
      <c r="T196" s="30">
        <f>INDEX($C$8:$Z$133,112,18)</f>
        <v>0.11689245893777725</v>
      </c>
      <c r="U196" s="75">
        <f>INDEX($C$8:$Z$133,112,19)</f>
        <v>1165</v>
      </c>
      <c r="V196" s="75">
        <f>INDEX($C$8:$Z$133,112,20)</f>
        <v>0</v>
      </c>
      <c r="W196" s="75">
        <f>INDEX($C$8:$Z$133,112,21)</f>
        <v>1165</v>
      </c>
      <c r="X196" s="75">
        <f>INDEX($C$8:$Z$133,112,22)</f>
        <v>86</v>
      </c>
      <c r="Y196" s="75">
        <f>INDEX($C$8:$Z$133,112,23)</f>
        <v>0</v>
      </c>
      <c r="Z196" s="75">
        <f>INDEX($C$8:$Z$133,112,24)</f>
        <v>86</v>
      </c>
      <c r="AB196" s="1"/>
      <c r="AC196" s="25">
        <v>16</v>
      </c>
      <c r="AD196" s="25" t="str">
        <f t="shared" si="541"/>
        <v>CASETA 2</v>
      </c>
      <c r="AE196" s="25"/>
      <c r="AF196" s="26">
        <f>INDEX($AC$8:$AZ$133,112,4)</f>
        <v>91715</v>
      </c>
      <c r="AG196" s="26">
        <f>INDEX($AC$8:$AZ$133,112,5)</f>
        <v>91715</v>
      </c>
      <c r="AH196" s="23">
        <f t="shared" si="542"/>
        <v>0</v>
      </c>
      <c r="AI196" s="23">
        <f t="shared" si="553"/>
        <v>0</v>
      </c>
      <c r="AJ196" s="23">
        <f t="shared" si="523"/>
        <v>0</v>
      </c>
      <c r="AK196" s="23">
        <f t="shared" si="557"/>
        <v>0</v>
      </c>
      <c r="AL196" s="26">
        <f>INDEX($AC$8:$AZ$133,112,10)</f>
        <v>3025</v>
      </c>
      <c r="AM196" s="27">
        <f>INDEX($AC$8:$AZ$133,112,11)</f>
        <v>0.16</v>
      </c>
      <c r="AN196" s="28">
        <f t="shared" si="554"/>
        <v>0</v>
      </c>
      <c r="AO196" s="27">
        <f>INDEX($AC$8:$AZ$133,112,13)</f>
        <v>4.160000000000001</v>
      </c>
      <c r="AP196" s="27">
        <f>INDEX($AC$8:$AZ$133,112,14)</f>
        <v>3.2982609169710515</v>
      </c>
      <c r="AQ196" s="23">
        <f t="shared" si="543"/>
        <v>0</v>
      </c>
      <c r="AR196" s="26">
        <f>INDEX($AC$8:$AZ$133,112,16)</f>
        <v>64</v>
      </c>
      <c r="AS196" s="23">
        <f t="shared" si="524"/>
        <v>0</v>
      </c>
      <c r="AT196" s="27">
        <f>INDEX($AC$8:$AZ$133,112,18)</f>
        <v>5.5413543607296042E-2</v>
      </c>
      <c r="AU196" s="26">
        <f>INDEX($AC$8:$AZ$133,112,19)</f>
        <v>1165</v>
      </c>
      <c r="AV196" s="26">
        <f>INDEX($AC$8:$AZ$133,112,20)</f>
        <v>0</v>
      </c>
      <c r="AW196" s="26">
        <f>INDEX($AC$8:$AZ$133,112,21)</f>
        <v>1165</v>
      </c>
      <c r="AX196" s="26">
        <f>INDEX($AC$8:$AZ$133,112,22)</f>
        <v>86</v>
      </c>
      <c r="AY196" s="26">
        <f>INDEX($AC$8:$AZ$133,112,23)</f>
        <v>0</v>
      </c>
      <c r="AZ196" s="26">
        <f>INDEX($AC$8:$AZ$133,112,24)</f>
        <v>86</v>
      </c>
      <c r="BB196" s="1"/>
      <c r="BC196" s="25">
        <v>16</v>
      </c>
      <c r="BD196" s="25" t="str">
        <f t="shared" si="544"/>
        <v>CASETA 3</v>
      </c>
      <c r="BE196" s="25"/>
      <c r="BF196" s="26">
        <f>INDEX($BC$8:$BZ$133,112,4)</f>
        <v>94787</v>
      </c>
      <c r="BG196" s="26">
        <f>INDEX($BC$8:$BZ$133,112,5)</f>
        <v>94787</v>
      </c>
      <c r="BH196" s="23">
        <f t="shared" si="545"/>
        <v>0</v>
      </c>
      <c r="BI196" s="23">
        <f t="shared" si="546"/>
        <v>0</v>
      </c>
      <c r="BJ196" s="23">
        <f t="shared" si="552"/>
        <v>0</v>
      </c>
      <c r="BK196" s="23">
        <f t="shared" si="555"/>
        <v>0</v>
      </c>
      <c r="BL196" s="26">
        <f>INDEX($BC$8:$BZ$133,112,10)</f>
        <v>5416</v>
      </c>
      <c r="BM196" s="27">
        <f>INDEX($BC$8:$BZ$133,112,11)</f>
        <v>0.16</v>
      </c>
      <c r="BN196" s="28">
        <f t="shared" si="561"/>
        <v>0</v>
      </c>
      <c r="BO196" s="27">
        <f>INDEX($BC$8:$BZ$133,112,13)</f>
        <v>4.160000000000001</v>
      </c>
      <c r="BP196" s="27">
        <f>INDEX($BC$8:$BZ$133,112,14)</f>
        <v>5.7138637154884107</v>
      </c>
      <c r="BQ196" s="23">
        <f t="shared" si="525"/>
        <v>0</v>
      </c>
      <c r="BR196" s="26">
        <f>INDEX($BC$8:$BZ$133,112,16)</f>
        <v>64</v>
      </c>
      <c r="BS196" s="23">
        <f t="shared" si="526"/>
        <v>0</v>
      </c>
      <c r="BT196" s="27">
        <f>INDEX($BC$8:$BZ$133,112,18)</f>
        <v>7.2033724880284866E-2</v>
      </c>
      <c r="BU196" s="26">
        <f>INDEX($BC$8:$BZ$133,112,19)</f>
        <v>1165</v>
      </c>
      <c r="BV196" s="292">
        <f>INDEX($BC$8:$BZ$133,112,20)</f>
        <v>0</v>
      </c>
      <c r="BW196" s="292">
        <f>INDEX($BC$8:$BZ$133,112,21)</f>
        <v>1165</v>
      </c>
      <c r="BX196" s="29">
        <f>INDEX($BC$8:$BZ$133,112,22)</f>
        <v>86</v>
      </c>
      <c r="BY196" s="29">
        <f>INDEX($BC$8:$BZ$133,112,23)</f>
        <v>0</v>
      </c>
      <c r="BZ196" s="29">
        <f>INDEX($BC$8:$BZ$133,112,24)</f>
        <v>86</v>
      </c>
      <c r="CB196" s="1"/>
      <c r="CC196" s="25">
        <v>16</v>
      </c>
      <c r="CD196" s="25" t="str">
        <f t="shared" si="547"/>
        <v>CASETA 4</v>
      </c>
      <c r="CE196" s="25"/>
      <c r="CF196" s="26">
        <f>INDEX($CC$8:$CZ$133,112,4)</f>
        <v>0</v>
      </c>
      <c r="CG196" s="26">
        <f>INDEX($CC$8:$CZ$133,112,5)</f>
        <v>0</v>
      </c>
      <c r="CH196" s="23">
        <f t="shared" si="527"/>
        <v>0</v>
      </c>
      <c r="CI196" s="23">
        <f t="shared" si="528"/>
        <v>0</v>
      </c>
      <c r="CJ196" s="23">
        <f t="shared" si="548"/>
        <v>0</v>
      </c>
      <c r="CK196" s="23">
        <f t="shared" si="549"/>
        <v>0</v>
      </c>
      <c r="CL196" s="26">
        <f>INDEX($CC$8:$CZ$133,112,10)</f>
        <v>0</v>
      </c>
      <c r="CM196" s="27">
        <f>INDEX($CC$8:$CZ$133,112,11)</f>
        <v>0.16</v>
      </c>
      <c r="CN196" s="28">
        <f t="shared" si="558"/>
        <v>0</v>
      </c>
      <c r="CO196" s="27">
        <f>INDEX($CC$8:$CZ$133,112,13)</f>
        <v>4.160000000000001</v>
      </c>
      <c r="CP196" s="27">
        <f>INDEX($CC$8:$CZ$133,112,14)</f>
        <v>0</v>
      </c>
      <c r="CQ196" s="23">
        <f t="shared" si="529"/>
        <v>0</v>
      </c>
      <c r="CR196" s="26">
        <f>INDEX($CC$8:$CZ$133,112,16)</f>
        <v>64</v>
      </c>
      <c r="CS196" s="23">
        <f t="shared" si="530"/>
        <v>0</v>
      </c>
      <c r="CT196" s="27">
        <f>INDEX($CC$8:$CZ$133,112,18)</f>
        <v>0</v>
      </c>
      <c r="CU196" s="26">
        <f>INDEX($CC$8:$CZ$133,112,19)</f>
        <v>1165</v>
      </c>
      <c r="CV196" s="26">
        <f>INDEX($CC$8:$CZ$133,112,20)</f>
        <v>0</v>
      </c>
      <c r="CW196" s="26">
        <f t="shared" si="560"/>
        <v>1165</v>
      </c>
      <c r="CX196" s="26">
        <f>INDEX($CC$8:$CZ$133,112,22)</f>
        <v>86</v>
      </c>
      <c r="CY196" s="26">
        <f>INDEX($CC$8:$CZ$133,112,23)</f>
        <v>0</v>
      </c>
      <c r="CZ196" s="26">
        <f t="shared" si="531"/>
        <v>86</v>
      </c>
      <c r="DB196" s="1"/>
      <c r="DC196" s="25">
        <v>16</v>
      </c>
      <c r="DD196" s="25" t="str">
        <f t="shared" si="550"/>
        <v>CASETA 5</v>
      </c>
      <c r="DE196" s="25"/>
      <c r="DF196" s="26">
        <f>INDEX($DC$8:$DZ$133,112,4)</f>
        <v>0</v>
      </c>
      <c r="DG196" s="26">
        <f>INDEX($DC$8:$DZ$133,112,5)</f>
        <v>0</v>
      </c>
      <c r="DH196" s="23">
        <f t="shared" si="532"/>
        <v>0</v>
      </c>
      <c r="DI196" s="23">
        <f t="shared" si="533"/>
        <v>0</v>
      </c>
      <c r="DJ196" s="23">
        <f t="shared" si="534"/>
        <v>0</v>
      </c>
      <c r="DK196" s="23">
        <f t="shared" si="556"/>
        <v>0</v>
      </c>
      <c r="DL196" s="30">
        <f>INDEX($DC$8:$DZ$133,112,10)</f>
        <v>0</v>
      </c>
      <c r="DM196" s="30">
        <f>INDEX($DC$8:$DZ$133,112,11)</f>
        <v>0.16</v>
      </c>
      <c r="DN196" s="28">
        <f t="shared" si="535"/>
        <v>0</v>
      </c>
      <c r="DO196" s="30">
        <f>INDEX($DC$8:$DZ$133,112,13)</f>
        <v>4.160000000000001</v>
      </c>
      <c r="DP196" s="30">
        <f>INDEX($DC$8:$DZ$133,112,14)</f>
        <v>0</v>
      </c>
      <c r="DQ196" s="23">
        <f t="shared" si="536"/>
        <v>0</v>
      </c>
      <c r="DR196" s="26">
        <f>INDEX($DC$8:$DZ$133,112,16)</f>
        <v>64</v>
      </c>
      <c r="DS196" s="23">
        <f t="shared" si="537"/>
        <v>0</v>
      </c>
      <c r="DT196" s="30">
        <f>INDEX($DC$8:$DZ$133,112,18)</f>
        <v>0</v>
      </c>
      <c r="DU196" s="26">
        <f>INDEX($DC$8:$DZ$133,112,19)</f>
        <v>1165</v>
      </c>
      <c r="DV196" s="26">
        <f>INDEX($DC$8:$DZ$133,112,20)</f>
        <v>0</v>
      </c>
      <c r="DW196" s="26">
        <f t="shared" si="538"/>
        <v>1165</v>
      </c>
      <c r="DX196" s="26">
        <f>INDEX($DC$8:$DZ$133,112,22)</f>
        <v>86</v>
      </c>
      <c r="DY196" s="26">
        <f>INDEX($DC$8:$DZ$133,112,23)</f>
        <v>0</v>
      </c>
      <c r="DZ196" s="26">
        <f t="shared" si="539"/>
        <v>86</v>
      </c>
    </row>
    <row r="197" spans="3:130" x14ac:dyDescent="0.25">
      <c r="C197" s="25">
        <v>17</v>
      </c>
      <c r="D197" s="25" t="str">
        <f t="shared" si="551"/>
        <v>CASETA 1</v>
      </c>
      <c r="E197" s="25"/>
      <c r="F197" s="26">
        <f>INDEX($C$8:$Z$133,119,4)</f>
        <v>93163</v>
      </c>
      <c r="G197" s="26">
        <f>INDEX($C$8:$Z$133,119,5)</f>
        <v>93163</v>
      </c>
      <c r="H197" s="23">
        <f t="shared" si="540"/>
        <v>0</v>
      </c>
      <c r="I197" s="23">
        <f t="shared" si="515"/>
        <v>0</v>
      </c>
      <c r="J197" s="23">
        <f t="shared" si="516"/>
        <v>0</v>
      </c>
      <c r="K197" s="23">
        <f t="shared" si="519"/>
        <v>0</v>
      </c>
      <c r="L197" s="26">
        <f>INDEX($C$8:$Z$133,119,10)</f>
        <v>394</v>
      </c>
      <c r="M197" s="30">
        <f>INDEX($C$8:$Z$133,119,11)</f>
        <v>0.16</v>
      </c>
      <c r="N197" s="28">
        <f t="shared" si="520"/>
        <v>0</v>
      </c>
      <c r="O197" s="30">
        <f>INDEX($C$8:$Z$133,119,13)</f>
        <v>4.3200000000000012</v>
      </c>
      <c r="P197" s="30">
        <f>INDEX($C$8:$Z$133,119,14)</f>
        <v>0.42291467642733704</v>
      </c>
      <c r="Q197" s="23">
        <f t="shared" si="521"/>
        <v>0</v>
      </c>
      <c r="R197" s="75">
        <f>INDEX($C$8:$Z$133,119,16)</f>
        <v>70</v>
      </c>
      <c r="S197" s="23">
        <f t="shared" si="522"/>
        <v>0</v>
      </c>
      <c r="T197" s="30">
        <f>INDEX($C$8:$Z$133,119,18)</f>
        <v>0.11689245893777725</v>
      </c>
      <c r="U197" s="75">
        <f>INDEX($C$8:$Z$133,119,19)</f>
        <v>1204</v>
      </c>
      <c r="V197" s="75">
        <f>INDEX($C$8:$Z$133,119,20)</f>
        <v>0</v>
      </c>
      <c r="W197" s="75">
        <f>INDEX($C$8:$Z$133,119,21)</f>
        <v>1204</v>
      </c>
      <c r="X197" s="75">
        <f>INDEX($C$8:$Z$133,119,22)</f>
        <v>86</v>
      </c>
      <c r="Y197" s="75">
        <f>INDEX($C$8:$Z$133,119,23)</f>
        <v>0</v>
      </c>
      <c r="Z197" s="75">
        <f>INDEX($C$8:$Z$133,119,24)</f>
        <v>86</v>
      </c>
      <c r="AB197" s="1"/>
      <c r="AC197" s="25">
        <v>17</v>
      </c>
      <c r="AD197" s="25" t="str">
        <f t="shared" si="541"/>
        <v>CASETA 2</v>
      </c>
      <c r="AE197" s="25"/>
      <c r="AF197" s="26">
        <f>INDEX($AC$8:$AZ$133,119,4)</f>
        <v>91715</v>
      </c>
      <c r="AG197" s="26">
        <f>INDEX($AC$8:$AZ$133,119,5)</f>
        <v>91715</v>
      </c>
      <c r="AH197" s="23">
        <f t="shared" si="542"/>
        <v>0</v>
      </c>
      <c r="AI197" s="23">
        <f t="shared" si="553"/>
        <v>0</v>
      </c>
      <c r="AJ197" s="23">
        <f t="shared" si="523"/>
        <v>0</v>
      </c>
      <c r="AK197" s="23">
        <f t="shared" si="557"/>
        <v>0</v>
      </c>
      <c r="AL197" s="26">
        <f>INDEX($AC$8:$AZ$133,119,10)</f>
        <v>3025</v>
      </c>
      <c r="AM197" s="27">
        <f>INDEX($AC$8:$AZ$133,119,11)</f>
        <v>0.16</v>
      </c>
      <c r="AN197" s="28">
        <f t="shared" si="554"/>
        <v>0</v>
      </c>
      <c r="AO197" s="27">
        <f>INDEX($AC$8:$AZ$133,119,13)</f>
        <v>4.3200000000000012</v>
      </c>
      <c r="AP197" s="27">
        <f>INDEX($AC$8:$AZ$133,119,14)</f>
        <v>3.2982609169710515</v>
      </c>
      <c r="AQ197" s="23">
        <f t="shared" si="543"/>
        <v>0</v>
      </c>
      <c r="AR197" s="26">
        <f>INDEX($AC$8:$AZ$133,119,16)</f>
        <v>70</v>
      </c>
      <c r="AS197" s="23">
        <f t="shared" si="524"/>
        <v>0</v>
      </c>
      <c r="AT197" s="27">
        <f>INDEX($AC$8:$AZ$133,119,18)</f>
        <v>5.5413543607296042E-2</v>
      </c>
      <c r="AU197" s="26">
        <f>INDEX($AC$8:$AZ$133,119,19)</f>
        <v>1204</v>
      </c>
      <c r="AV197" s="26">
        <f>INDEX($AC$8:$AZ$133,119,20)</f>
        <v>0</v>
      </c>
      <c r="AW197" s="26">
        <f>INDEX($AC$8:$AZ$133,119,21)</f>
        <v>1204</v>
      </c>
      <c r="AX197" s="26">
        <f>INDEX($AC$8:$AZ$133,119,22)</f>
        <v>86</v>
      </c>
      <c r="AY197" s="26">
        <f>INDEX($AC$8:$AZ$133,119,23)</f>
        <v>0</v>
      </c>
      <c r="AZ197" s="26">
        <f>INDEX($AC$8:$AZ$133,119,24)</f>
        <v>86</v>
      </c>
      <c r="BB197" s="1"/>
      <c r="BC197" s="25">
        <v>17</v>
      </c>
      <c r="BD197" s="25" t="str">
        <f t="shared" si="544"/>
        <v>CASETA 3</v>
      </c>
      <c r="BE197" s="25"/>
      <c r="BF197" s="26">
        <f>INDEX($BC$8:$BZ$133,119,4)</f>
        <v>94787</v>
      </c>
      <c r="BG197" s="26">
        <f>INDEX($BC$8:$BZ$133,119,5)</f>
        <v>94787</v>
      </c>
      <c r="BH197" s="23">
        <f t="shared" si="545"/>
        <v>0</v>
      </c>
      <c r="BI197" s="23">
        <f t="shared" si="546"/>
        <v>0</v>
      </c>
      <c r="BJ197" s="23">
        <f t="shared" si="552"/>
        <v>0</v>
      </c>
      <c r="BK197" s="23">
        <f t="shared" si="555"/>
        <v>0</v>
      </c>
      <c r="BL197" s="26">
        <f>INDEX($BC$8:$BZ$133,119,10)</f>
        <v>5416</v>
      </c>
      <c r="BM197" s="27">
        <f>INDEX($BC$8:$BZ$133,119,11)</f>
        <v>0.16</v>
      </c>
      <c r="BN197" s="28">
        <f t="shared" si="561"/>
        <v>0</v>
      </c>
      <c r="BO197" s="27">
        <f>INDEX($BC$8:$BZ$133,119,13)</f>
        <v>4.3200000000000012</v>
      </c>
      <c r="BP197" s="27">
        <f>INDEX($BC$8:$BZ$133,119,14)</f>
        <v>5.7138637154884107</v>
      </c>
      <c r="BQ197" s="23">
        <f t="shared" si="525"/>
        <v>0</v>
      </c>
      <c r="BR197" s="26">
        <f>INDEX($BC$8:$BZ$133,119,16)</f>
        <v>70</v>
      </c>
      <c r="BS197" s="23">
        <f t="shared" si="526"/>
        <v>0</v>
      </c>
      <c r="BT197" s="27">
        <f>INDEX($BC$8:$BZ$133,119,18)</f>
        <v>7.2033724880284866E-2</v>
      </c>
      <c r="BU197" s="26">
        <f>INDEX($BC$8:$BZ$133,119,19)</f>
        <v>1204</v>
      </c>
      <c r="BV197" s="292">
        <f>INDEX($BC$8:$BZ$133,119,20)</f>
        <v>0</v>
      </c>
      <c r="BW197" s="292">
        <f>INDEX($BC$8:$BZ$133,119,21)</f>
        <v>1204</v>
      </c>
      <c r="BX197" s="29">
        <f>INDEX($BC$8:$BZ$133,119,22)</f>
        <v>86</v>
      </c>
      <c r="BY197" s="29">
        <f>INDEX($BC$8:$BZ$133,119,23)</f>
        <v>0</v>
      </c>
      <c r="BZ197" s="29">
        <f>INDEX($BC$8:$BZ$133,119,24)</f>
        <v>86</v>
      </c>
      <c r="CB197" s="1"/>
      <c r="CC197" s="25">
        <v>17</v>
      </c>
      <c r="CD197" s="25" t="str">
        <f t="shared" si="547"/>
        <v>CASETA 4</v>
      </c>
      <c r="CE197" s="25"/>
      <c r="CF197" s="26">
        <f>INDEX($CC$8:$CZ$133,119,4)</f>
        <v>0</v>
      </c>
      <c r="CG197" s="26">
        <f>INDEX($CC$8:$CZ$133,119,5)</f>
        <v>0</v>
      </c>
      <c r="CH197" s="23">
        <f t="shared" si="527"/>
        <v>0</v>
      </c>
      <c r="CI197" s="23">
        <f t="shared" si="528"/>
        <v>0</v>
      </c>
      <c r="CJ197" s="23">
        <f t="shared" si="548"/>
        <v>0</v>
      </c>
      <c r="CK197" s="23">
        <f t="shared" si="549"/>
        <v>0</v>
      </c>
      <c r="CL197" s="26">
        <f>INDEX($CC$8:$CZ$133,119,10)</f>
        <v>0</v>
      </c>
      <c r="CM197" s="27">
        <f>INDEX($CC$8:$CZ$133,119,11)</f>
        <v>0.16</v>
      </c>
      <c r="CN197" s="28">
        <f t="shared" si="558"/>
        <v>0</v>
      </c>
      <c r="CO197" s="27">
        <f>INDEX($CC$8:$CZ$133,119,13)</f>
        <v>4.3200000000000012</v>
      </c>
      <c r="CP197" s="27">
        <f>INDEX($CC$8:$CZ$133,119,14)</f>
        <v>0</v>
      </c>
      <c r="CQ197" s="23">
        <f t="shared" si="529"/>
        <v>0</v>
      </c>
      <c r="CR197" s="26">
        <f>INDEX($CC$8:$CZ$133,119,16)</f>
        <v>70</v>
      </c>
      <c r="CS197" s="23">
        <f t="shared" si="530"/>
        <v>0</v>
      </c>
      <c r="CT197" s="27">
        <f>INDEX($CC$8:$CZ$133,119,18)</f>
        <v>0</v>
      </c>
      <c r="CU197" s="26">
        <f>INDEX($CC$8:$CZ$133,119,19)</f>
        <v>1204</v>
      </c>
      <c r="CV197" s="26">
        <f>INDEX($CC$8:$CZ$133,119,20)</f>
        <v>0</v>
      </c>
      <c r="CW197" s="26">
        <f t="shared" si="560"/>
        <v>1204</v>
      </c>
      <c r="CX197" s="26">
        <f>INDEX($CC$8:$CZ$133,119,22)</f>
        <v>86</v>
      </c>
      <c r="CY197" s="26">
        <f>INDEX($CC$8:$CZ$133,119,23)</f>
        <v>0</v>
      </c>
      <c r="CZ197" s="26">
        <f t="shared" si="531"/>
        <v>86</v>
      </c>
      <c r="DB197" s="1"/>
      <c r="DC197" s="25">
        <v>17</v>
      </c>
      <c r="DD197" s="25" t="str">
        <f t="shared" si="550"/>
        <v>CASETA 5</v>
      </c>
      <c r="DE197" s="25"/>
      <c r="DF197" s="26">
        <f>INDEX($DC$8:$DZ$133,119,4)</f>
        <v>0</v>
      </c>
      <c r="DG197" s="26">
        <f>INDEX($DC$8:$DZ$133,119,5)</f>
        <v>0</v>
      </c>
      <c r="DH197" s="23">
        <f t="shared" si="532"/>
        <v>0</v>
      </c>
      <c r="DI197" s="23">
        <f t="shared" si="533"/>
        <v>0</v>
      </c>
      <c r="DJ197" s="23">
        <f t="shared" si="534"/>
        <v>0</v>
      </c>
      <c r="DK197" s="23">
        <f t="shared" si="556"/>
        <v>0</v>
      </c>
      <c r="DL197" s="30">
        <f>INDEX($DC$8:$DZ$133,119,10)</f>
        <v>0</v>
      </c>
      <c r="DM197" s="30">
        <f>INDEX($DC$8:$DZ$133,119,11)</f>
        <v>0.16</v>
      </c>
      <c r="DN197" s="28">
        <f t="shared" si="535"/>
        <v>0</v>
      </c>
      <c r="DO197" s="30">
        <f>INDEX($DC$8:$DZ$133,119,13)</f>
        <v>4.3200000000000012</v>
      </c>
      <c r="DP197" s="30">
        <f>INDEX($DC$8:$DZ$133,119,14)</f>
        <v>0</v>
      </c>
      <c r="DQ197" s="23">
        <f t="shared" si="536"/>
        <v>0</v>
      </c>
      <c r="DR197" s="26">
        <f>INDEX($DC$8:$DZ$133,119,16)</f>
        <v>70</v>
      </c>
      <c r="DS197" s="23">
        <f t="shared" si="537"/>
        <v>0</v>
      </c>
      <c r="DT197" s="30">
        <f>INDEX($DC$8:$DZ$133,119,18)</f>
        <v>0</v>
      </c>
      <c r="DU197" s="26">
        <f>INDEX($DC$8:$DZ$133,119,19)</f>
        <v>1204</v>
      </c>
      <c r="DV197" s="26">
        <f>INDEX($DC$8:$DZ$133,119,20)</f>
        <v>0</v>
      </c>
      <c r="DW197" s="26">
        <f t="shared" si="538"/>
        <v>1204</v>
      </c>
      <c r="DX197" s="26">
        <f>INDEX($DC$8:$DZ$133,119,22)</f>
        <v>86</v>
      </c>
      <c r="DY197" s="26">
        <f>INDEX($DC$8:$DZ$133,119,23)</f>
        <v>0</v>
      </c>
      <c r="DZ197" s="26">
        <f t="shared" si="539"/>
        <v>86</v>
      </c>
    </row>
    <row r="198" spans="3:130" x14ac:dyDescent="0.25">
      <c r="C198" s="25">
        <v>18</v>
      </c>
      <c r="D198" s="25" t="str">
        <f t="shared" si="551"/>
        <v>CASETA 1</v>
      </c>
      <c r="E198" s="25"/>
      <c r="F198" s="26">
        <f>INDEX($C$8:$Z$133,126,4)</f>
        <v>93163</v>
      </c>
      <c r="G198" s="26">
        <f>INDEX($C$8:$Z$133,126,5)</f>
        <v>93163</v>
      </c>
      <c r="H198" s="23">
        <f t="shared" si="540"/>
        <v>0</v>
      </c>
      <c r="I198" s="23">
        <f t="shared" si="515"/>
        <v>0</v>
      </c>
      <c r="J198" s="23">
        <f t="shared" si="516"/>
        <v>0</v>
      </c>
      <c r="K198" s="23">
        <f t="shared" si="519"/>
        <v>0</v>
      </c>
      <c r="L198" s="26">
        <f>INDEX($C$8:$Z$133,126,10)</f>
        <v>394</v>
      </c>
      <c r="M198" s="30">
        <f>INDEX($C$8:$Z$133,126,11)</f>
        <v>0.16</v>
      </c>
      <c r="N198" s="28">
        <f t="shared" si="520"/>
        <v>0</v>
      </c>
      <c r="O198" s="30">
        <f>INDEX($C$8:$Z$133,126,13)</f>
        <v>4.4800000000000013</v>
      </c>
      <c r="P198" s="30">
        <f>INDEX($C$8:$Z$133,126,14)</f>
        <v>0.42291467642733704</v>
      </c>
      <c r="Q198" s="23">
        <f t="shared" si="521"/>
        <v>0</v>
      </c>
      <c r="R198" s="75">
        <f>INDEX($C$8:$Z$133,126,16)</f>
        <v>77</v>
      </c>
      <c r="S198" s="23">
        <f t="shared" si="522"/>
        <v>0</v>
      </c>
      <c r="T198" s="30">
        <f>INDEX($C$8:$Z$133,126,18)</f>
        <v>0.11689245893777725</v>
      </c>
      <c r="U198" s="75">
        <f>INDEX($C$8:$Z$133,126,19)</f>
        <v>1229</v>
      </c>
      <c r="V198" s="75">
        <f>INDEX($C$8:$Z$133,126,20)</f>
        <v>0</v>
      </c>
      <c r="W198" s="75">
        <f>INDEX($C$8:$Z$133,126,21)</f>
        <v>1229</v>
      </c>
      <c r="X198" s="75">
        <f>INDEX($C$8:$Z$133,126,22)</f>
        <v>86</v>
      </c>
      <c r="Y198" s="75">
        <f>INDEX($C$8:$Z$133,126,23)</f>
        <v>0</v>
      </c>
      <c r="Z198" s="75">
        <f>INDEX($C$8:$Z$133,126,24)</f>
        <v>86</v>
      </c>
      <c r="AB198" s="1"/>
      <c r="AC198" s="25">
        <v>18</v>
      </c>
      <c r="AD198" s="25" t="str">
        <f t="shared" si="541"/>
        <v>CASETA 2</v>
      </c>
      <c r="AE198" s="25"/>
      <c r="AF198" s="26">
        <f>INDEX($AC$8:$AZ$133,126,4)</f>
        <v>91715</v>
      </c>
      <c r="AG198" s="26">
        <f>INDEX($AC$8:$AZ$133,126,)</f>
        <v>91715</v>
      </c>
      <c r="AH198" s="23">
        <f t="shared" si="542"/>
        <v>0</v>
      </c>
      <c r="AI198" s="23">
        <f t="shared" si="553"/>
        <v>0</v>
      </c>
      <c r="AJ198" s="23">
        <f t="shared" si="523"/>
        <v>0</v>
      </c>
      <c r="AK198" s="23">
        <f t="shared" si="557"/>
        <v>0</v>
      </c>
      <c r="AL198" s="26">
        <f>INDEX($AC$8:$AZ$133,126,10)</f>
        <v>3025</v>
      </c>
      <c r="AM198" s="27">
        <f>INDEX($AC$8:$AZ$133,126,11)</f>
        <v>0.16</v>
      </c>
      <c r="AN198" s="28">
        <f t="shared" si="554"/>
        <v>0</v>
      </c>
      <c r="AO198" s="27">
        <f>INDEX($AC$8:$AZ$133,126,13)</f>
        <v>4.4800000000000013</v>
      </c>
      <c r="AP198" s="27">
        <f>INDEX($AC$8:$AZ$133,126,14)</f>
        <v>3.2982609169710515</v>
      </c>
      <c r="AQ198" s="23">
        <f t="shared" si="543"/>
        <v>0</v>
      </c>
      <c r="AR198" s="26">
        <f>INDEX($AC$8:$AZ$133,126,16)</f>
        <v>77</v>
      </c>
      <c r="AS198" s="23">
        <f t="shared" si="524"/>
        <v>0</v>
      </c>
      <c r="AT198" s="27">
        <f>INDEX($AC$8:$AZ$133,126,18)</f>
        <v>5.5413543607296042E-2</v>
      </c>
      <c r="AU198" s="26">
        <f>INDEX($AC$8:$AZ$133,126,19)</f>
        <v>1229</v>
      </c>
      <c r="AV198" s="26">
        <f>INDEX($AC$8:$AZ$133,126,20)</f>
        <v>0</v>
      </c>
      <c r="AW198" s="26">
        <f>INDEX($AC$8:$AZ$133,126,21)</f>
        <v>1229</v>
      </c>
      <c r="AX198" s="26">
        <f>INDEX($AC$8:$AZ$133,126,22)</f>
        <v>86</v>
      </c>
      <c r="AY198" s="26">
        <f>INDEX($AC$8:$AZ$133,126,23)</f>
        <v>0</v>
      </c>
      <c r="AZ198" s="26">
        <f>INDEX($AC$8:$AZ$133,126,24)</f>
        <v>86</v>
      </c>
      <c r="BB198" s="1"/>
      <c r="BC198" s="25">
        <v>18</v>
      </c>
      <c r="BD198" s="25" t="str">
        <f t="shared" si="544"/>
        <v>CASETA 3</v>
      </c>
      <c r="BE198" s="25"/>
      <c r="BF198" s="26">
        <f>INDEX($BC$8:$BZ$133,126,4)</f>
        <v>94787</v>
      </c>
      <c r="BG198" s="26">
        <f>INDEX($BC$8:$BZ$133,126,5)</f>
        <v>94787</v>
      </c>
      <c r="BH198" s="23">
        <f t="shared" si="545"/>
        <v>0</v>
      </c>
      <c r="BI198" s="23">
        <f t="shared" si="546"/>
        <v>0</v>
      </c>
      <c r="BJ198" s="23">
        <f t="shared" si="552"/>
        <v>0</v>
      </c>
      <c r="BK198" s="23">
        <f t="shared" si="555"/>
        <v>0</v>
      </c>
      <c r="BL198" s="26">
        <f>INDEX($BC$8:$BZ$133,126,10)</f>
        <v>5416</v>
      </c>
      <c r="BM198" s="27">
        <f>INDEX($BC$8:$BZ$133,126,11)</f>
        <v>0.16</v>
      </c>
      <c r="BN198" s="28">
        <f t="shared" si="561"/>
        <v>0</v>
      </c>
      <c r="BO198" s="27">
        <f>INDEX($BC$8:$BZ$133,126,13)</f>
        <v>4.4800000000000013</v>
      </c>
      <c r="BP198" s="27">
        <f>INDEX($BC$8:$BZ$133,126,14)</f>
        <v>5.7138637154884107</v>
      </c>
      <c r="BQ198" s="23">
        <f t="shared" si="525"/>
        <v>0</v>
      </c>
      <c r="BR198" s="26">
        <f>INDEX($BC$8:$BZ$133,126,16)</f>
        <v>77</v>
      </c>
      <c r="BS198" s="23">
        <f t="shared" si="526"/>
        <v>0</v>
      </c>
      <c r="BT198" s="27">
        <f>INDEX($BC$8:$BZ$133,126,18)</f>
        <v>7.2033724880284866E-2</v>
      </c>
      <c r="BU198" s="26">
        <f>INDEX($BC$8:$BZ$133,126,19)</f>
        <v>1229</v>
      </c>
      <c r="BV198" s="292">
        <f>INDEX($BC$8:$BZ$133,126,20)</f>
        <v>0</v>
      </c>
      <c r="BW198" s="292">
        <f>INDEX($BC$8:$BZ$133,126,21)</f>
        <v>1229</v>
      </c>
      <c r="BX198" s="29">
        <f>INDEX($BC$8:$BZ$133,126,22)</f>
        <v>86</v>
      </c>
      <c r="BY198" s="29">
        <f>INDEX($BC$8:$BZ$133,126,23)</f>
        <v>0</v>
      </c>
      <c r="BZ198" s="29">
        <f>INDEX($BC$8:$BZ$133,126,24)</f>
        <v>86</v>
      </c>
      <c r="CB198" s="1"/>
      <c r="CC198" s="25">
        <v>18</v>
      </c>
      <c r="CD198" s="25" t="str">
        <f t="shared" si="547"/>
        <v>CASETA 4</v>
      </c>
      <c r="CE198" s="25"/>
      <c r="CF198" s="26">
        <f>INDEX($CC$8:$CZ$133,126,4)</f>
        <v>0</v>
      </c>
      <c r="CG198" s="26">
        <f>INDEX($CC$8:$CZ$133,126,5)</f>
        <v>0</v>
      </c>
      <c r="CH198" s="23">
        <f t="shared" si="527"/>
        <v>0</v>
      </c>
      <c r="CI198" s="23">
        <f t="shared" si="528"/>
        <v>0</v>
      </c>
      <c r="CJ198" s="23">
        <f t="shared" si="548"/>
        <v>0</v>
      </c>
      <c r="CK198" s="23">
        <f t="shared" si="549"/>
        <v>0</v>
      </c>
      <c r="CL198" s="26">
        <f>INDEX($CC$8:$CZ$133,126,10)</f>
        <v>0</v>
      </c>
      <c r="CM198" s="27">
        <f>INDEX($CC$8:$CZ$133,126,11)</f>
        <v>0.16</v>
      </c>
      <c r="CN198" s="28">
        <f t="shared" si="558"/>
        <v>0</v>
      </c>
      <c r="CO198" s="27">
        <f>INDEX($CC$8:$CZ$133,126,13)</f>
        <v>4.4800000000000013</v>
      </c>
      <c r="CP198" s="27">
        <f>INDEX($CC$8:$CZ$133,126,14)</f>
        <v>0</v>
      </c>
      <c r="CQ198" s="23">
        <f t="shared" si="529"/>
        <v>0</v>
      </c>
      <c r="CR198" s="26">
        <f>INDEX($CC$8:$CZ$133,126,16)</f>
        <v>77</v>
      </c>
      <c r="CS198" s="23">
        <f t="shared" si="530"/>
        <v>0</v>
      </c>
      <c r="CT198" s="27">
        <f>INDEX($CC$8:$CZ$133,126,18)</f>
        <v>0</v>
      </c>
      <c r="CU198" s="26">
        <f>INDEX($CC$8:$CZ$133,126,19)</f>
        <v>1229</v>
      </c>
      <c r="CV198" s="26">
        <f>INDEX($CC$8:$CZ$133,126,20)</f>
        <v>0</v>
      </c>
      <c r="CW198" s="26">
        <f t="shared" si="560"/>
        <v>1229</v>
      </c>
      <c r="CX198" s="26">
        <f>INDEX($CC$8:$CZ$133,126,22)</f>
        <v>86</v>
      </c>
      <c r="CY198" s="26">
        <f>INDEX($CC$8:$CZ$133,126,23)</f>
        <v>0</v>
      </c>
      <c r="CZ198" s="26">
        <f t="shared" si="531"/>
        <v>86</v>
      </c>
      <c r="DB198" s="1"/>
      <c r="DC198" s="25">
        <v>18</v>
      </c>
      <c r="DD198" s="25" t="str">
        <f t="shared" si="550"/>
        <v>CASETA 5</v>
      </c>
      <c r="DE198" s="25"/>
      <c r="DF198" s="26">
        <f>INDEX($DC$8:$DZ$133,126,4)</f>
        <v>0</v>
      </c>
      <c r="DG198" s="26">
        <f>INDEX($DC$8:$DZ$133,126,5)</f>
        <v>0</v>
      </c>
      <c r="DH198" s="23">
        <f>SUMIFS($DH$8:$DH$133,$DC$8:$DC$133,$DC198)</f>
        <v>0</v>
      </c>
      <c r="DI198" s="23">
        <f t="shared" si="533"/>
        <v>0</v>
      </c>
      <c r="DJ198" s="23">
        <f t="shared" si="534"/>
        <v>0</v>
      </c>
      <c r="DK198" s="23">
        <f t="shared" si="556"/>
        <v>0</v>
      </c>
      <c r="DL198" s="30">
        <f>INDEX($DC$8:$DZ$133,126,10)</f>
        <v>0</v>
      </c>
      <c r="DM198" s="30">
        <f>INDEX($DC$8:$DZ$133,126,11)</f>
        <v>0.16</v>
      </c>
      <c r="DN198" s="28">
        <f t="shared" si="535"/>
        <v>0</v>
      </c>
      <c r="DO198" s="30">
        <f>INDEX($DC$8:$DZ$133,126,13)</f>
        <v>4.4800000000000013</v>
      </c>
      <c r="DP198" s="30">
        <f>INDEX($DC$8:$DZ$133,126,14)</f>
        <v>0</v>
      </c>
      <c r="DQ198" s="23">
        <f t="shared" si="536"/>
        <v>0</v>
      </c>
      <c r="DR198" s="26">
        <f>INDEX($DC$8:$DZ$133,126,1)</f>
        <v>18</v>
      </c>
      <c r="DS198" s="23">
        <f t="shared" si="537"/>
        <v>0</v>
      </c>
      <c r="DT198" s="30">
        <f>INDEX($DC$8:$DZ$133,126,18)</f>
        <v>0</v>
      </c>
      <c r="DU198" s="26">
        <f>INDEX($DC$8:$DZ$133,126,19)</f>
        <v>1229</v>
      </c>
      <c r="DV198" s="26">
        <f>INDEX($DC$8:$DZ$133,126,20)</f>
        <v>0</v>
      </c>
      <c r="DW198" s="26">
        <f t="shared" si="538"/>
        <v>1229</v>
      </c>
      <c r="DX198" s="26">
        <f>INDEX($DC$8:$DZ$133,126,22)</f>
        <v>86</v>
      </c>
      <c r="DY198" s="26">
        <f>INDEX($DC$8:$DZ$133,126,23)</f>
        <v>0</v>
      </c>
      <c r="DZ198" s="26">
        <f t="shared" si="539"/>
        <v>86</v>
      </c>
    </row>
    <row r="203" spans="3:130" x14ac:dyDescent="0.25">
      <c r="E203" s="367">
        <v>0</v>
      </c>
      <c r="F203" s="76">
        <v>1</v>
      </c>
      <c r="G203" s="76">
        <v>2</v>
      </c>
      <c r="H203" s="76">
        <v>3</v>
      </c>
      <c r="I203" s="76">
        <v>4</v>
      </c>
      <c r="J203" s="76">
        <v>5</v>
      </c>
      <c r="K203" s="76">
        <v>6</v>
      </c>
      <c r="L203" s="76">
        <v>7</v>
      </c>
      <c r="M203" s="76">
        <v>8</v>
      </c>
      <c r="N203" s="76">
        <v>9</v>
      </c>
      <c r="O203" s="76">
        <v>10</v>
      </c>
      <c r="P203" s="76">
        <v>11</v>
      </c>
      <c r="Q203" s="76">
        <v>12</v>
      </c>
      <c r="R203" s="76">
        <v>13</v>
      </c>
      <c r="S203" s="76">
        <v>14</v>
      </c>
      <c r="T203" s="76">
        <v>15</v>
      </c>
      <c r="U203" s="76">
        <v>16</v>
      </c>
      <c r="V203" s="76">
        <v>17</v>
      </c>
      <c r="W203" s="76">
        <v>18</v>
      </c>
    </row>
    <row r="204" spans="3:130" ht="25.5" x14ac:dyDescent="0.25">
      <c r="C204" t="s">
        <v>52</v>
      </c>
      <c r="D204" s="24" t="s">
        <v>67</v>
      </c>
      <c r="E204" s="207"/>
      <c r="F204" s="10">
        <f t="shared" ref="F204:W204" si="562">VLOOKUP(F$203,CASETA1,4,0)</f>
        <v>0</v>
      </c>
      <c r="G204" s="10">
        <f t="shared" si="562"/>
        <v>0</v>
      </c>
      <c r="H204" s="10">
        <f t="shared" si="562"/>
        <v>0</v>
      </c>
      <c r="I204" s="10">
        <f t="shared" si="562"/>
        <v>0</v>
      </c>
      <c r="J204" s="10">
        <f t="shared" si="562"/>
        <v>17836</v>
      </c>
      <c r="K204" s="10">
        <f t="shared" si="562"/>
        <v>66728</v>
      </c>
      <c r="L204" s="10">
        <f t="shared" si="562"/>
        <v>93499</v>
      </c>
      <c r="M204" s="10">
        <f t="shared" si="562"/>
        <v>93457</v>
      </c>
      <c r="N204" s="10">
        <f t="shared" si="562"/>
        <v>93443</v>
      </c>
      <c r="O204" s="10">
        <f t="shared" si="562"/>
        <v>93396</v>
      </c>
      <c r="P204" s="10">
        <f t="shared" si="562"/>
        <v>93374</v>
      </c>
      <c r="Q204" s="10">
        <f t="shared" si="562"/>
        <v>93355</v>
      </c>
      <c r="R204" s="10">
        <f t="shared" si="562"/>
        <v>93327</v>
      </c>
      <c r="S204" s="10">
        <f t="shared" si="562"/>
        <v>93223</v>
      </c>
      <c r="T204" s="10">
        <f t="shared" si="562"/>
        <v>93163</v>
      </c>
      <c r="U204" s="10">
        <f t="shared" si="562"/>
        <v>93163</v>
      </c>
      <c r="V204" s="10">
        <f t="shared" si="562"/>
        <v>93163</v>
      </c>
      <c r="W204" s="10">
        <f t="shared" si="562"/>
        <v>93163</v>
      </c>
    </row>
    <row r="205" spans="3:130" x14ac:dyDescent="0.25">
      <c r="C205" s="77" t="str">
        <f>C204</f>
        <v>CASETA 1</v>
      </c>
      <c r="D205" s="24" t="s">
        <v>34</v>
      </c>
      <c r="E205" s="207"/>
      <c r="F205" s="10">
        <f t="shared" ref="F205:W205" si="563">VLOOKUP(F$203,CASETA1,5,0)</f>
        <v>0</v>
      </c>
      <c r="G205" s="10">
        <f t="shared" si="563"/>
        <v>0</v>
      </c>
      <c r="H205" s="10">
        <f t="shared" si="563"/>
        <v>0</v>
      </c>
      <c r="I205" s="10">
        <f t="shared" si="563"/>
        <v>0</v>
      </c>
      <c r="J205" s="10">
        <f t="shared" si="563"/>
        <v>17833</v>
      </c>
      <c r="K205" s="10">
        <f t="shared" si="563"/>
        <v>66723</v>
      </c>
      <c r="L205" s="10">
        <f t="shared" si="563"/>
        <v>93498</v>
      </c>
      <c r="M205" s="10">
        <f t="shared" si="563"/>
        <v>93454</v>
      </c>
      <c r="N205" s="10">
        <f t="shared" si="563"/>
        <v>93441</v>
      </c>
      <c r="O205" s="10">
        <f t="shared" si="563"/>
        <v>93394</v>
      </c>
      <c r="P205" s="10">
        <f t="shared" si="563"/>
        <v>93372</v>
      </c>
      <c r="Q205" s="10">
        <f t="shared" si="563"/>
        <v>93353</v>
      </c>
      <c r="R205" s="10">
        <f t="shared" si="563"/>
        <v>93321</v>
      </c>
      <c r="S205" s="10">
        <f t="shared" si="563"/>
        <v>93211</v>
      </c>
      <c r="T205" s="10">
        <f t="shared" si="563"/>
        <v>93163</v>
      </c>
      <c r="U205" s="10">
        <f t="shared" si="563"/>
        <v>93163</v>
      </c>
      <c r="V205" s="10">
        <f t="shared" si="563"/>
        <v>93163</v>
      </c>
      <c r="W205" s="10">
        <f t="shared" si="563"/>
        <v>93163</v>
      </c>
    </row>
    <row r="206" spans="3:130" x14ac:dyDescent="0.25">
      <c r="C206" s="77" t="str">
        <f t="shared" ref="C206:C224" si="564">C205</f>
        <v>CASETA 1</v>
      </c>
      <c r="D206" s="23" t="s">
        <v>27</v>
      </c>
      <c r="E206" s="85"/>
      <c r="F206" s="10">
        <f t="shared" ref="F206:W206" si="565">VLOOKUP(F$203,CASETA1,6,0)</f>
        <v>0</v>
      </c>
      <c r="G206" s="10">
        <f t="shared" si="565"/>
        <v>0</v>
      </c>
      <c r="H206" s="10">
        <f t="shared" si="565"/>
        <v>0</v>
      </c>
      <c r="I206" s="10">
        <f t="shared" si="565"/>
        <v>0</v>
      </c>
      <c r="J206" s="10">
        <f t="shared" si="565"/>
        <v>0</v>
      </c>
      <c r="K206" s="10">
        <f t="shared" si="565"/>
        <v>6</v>
      </c>
      <c r="L206" s="10">
        <f t="shared" si="565"/>
        <v>1</v>
      </c>
      <c r="M206" s="10">
        <f t="shared" si="565"/>
        <v>0</v>
      </c>
      <c r="N206" s="10">
        <f t="shared" si="565"/>
        <v>0</v>
      </c>
      <c r="O206" s="10">
        <f t="shared" si="565"/>
        <v>26</v>
      </c>
      <c r="P206" s="10">
        <f t="shared" si="565"/>
        <v>0</v>
      </c>
      <c r="Q206" s="10">
        <f t="shared" si="565"/>
        <v>0</v>
      </c>
      <c r="R206" s="10">
        <f t="shared" si="565"/>
        <v>0</v>
      </c>
      <c r="S206" s="10">
        <f t="shared" si="565"/>
        <v>41</v>
      </c>
      <c r="T206" s="10">
        <f t="shared" si="565"/>
        <v>0</v>
      </c>
      <c r="U206" s="10">
        <f t="shared" si="565"/>
        <v>0</v>
      </c>
      <c r="V206" s="10">
        <f t="shared" si="565"/>
        <v>0</v>
      </c>
      <c r="W206" s="10">
        <f t="shared" si="565"/>
        <v>0</v>
      </c>
    </row>
    <row r="207" spans="3:130" x14ac:dyDescent="0.25">
      <c r="C207" s="77" t="str">
        <f t="shared" si="564"/>
        <v>CASETA 1</v>
      </c>
      <c r="D207" s="23" t="s">
        <v>16</v>
      </c>
      <c r="E207" s="85"/>
      <c r="F207" s="10">
        <f t="shared" ref="F207:W207" si="566">VLOOKUP(F$203,CASETA1,7,0)</f>
        <v>0</v>
      </c>
      <c r="G207" s="10">
        <f t="shared" si="566"/>
        <v>0</v>
      </c>
      <c r="H207" s="10">
        <f t="shared" si="566"/>
        <v>0</v>
      </c>
      <c r="I207" s="10">
        <f t="shared" si="566"/>
        <v>0</v>
      </c>
      <c r="J207" s="10">
        <f t="shared" si="566"/>
        <v>7</v>
      </c>
      <c r="K207" s="10">
        <f t="shared" si="566"/>
        <v>16</v>
      </c>
      <c r="L207" s="10">
        <f t="shared" si="566"/>
        <v>29</v>
      </c>
      <c r="M207" s="10">
        <f t="shared" si="566"/>
        <v>44</v>
      </c>
      <c r="N207" s="10">
        <f t="shared" si="566"/>
        <v>13</v>
      </c>
      <c r="O207" s="10">
        <f t="shared" si="566"/>
        <v>21</v>
      </c>
      <c r="P207" s="10">
        <f t="shared" si="566"/>
        <v>22</v>
      </c>
      <c r="Q207" s="10">
        <f t="shared" si="566"/>
        <v>19</v>
      </c>
      <c r="R207" s="10">
        <f t="shared" si="566"/>
        <v>32</v>
      </c>
      <c r="S207" s="10">
        <f t="shared" si="566"/>
        <v>67</v>
      </c>
      <c r="T207" s="10">
        <f t="shared" si="566"/>
        <v>48</v>
      </c>
      <c r="U207" s="10">
        <f t="shared" si="566"/>
        <v>0</v>
      </c>
      <c r="V207" s="10">
        <f t="shared" si="566"/>
        <v>0</v>
      </c>
      <c r="W207" s="10">
        <f t="shared" si="566"/>
        <v>0</v>
      </c>
    </row>
    <row r="208" spans="3:130" x14ac:dyDescent="0.25">
      <c r="C208" s="77" t="str">
        <f t="shared" si="564"/>
        <v>CASETA 1</v>
      </c>
      <c r="D208" s="23" t="s">
        <v>17</v>
      </c>
      <c r="E208" s="85"/>
      <c r="F208" s="10">
        <f t="shared" ref="F208:W208" si="567">VLOOKUP(F$203,CASETA1,8,0)</f>
        <v>0</v>
      </c>
      <c r="G208" s="10">
        <f t="shared" si="567"/>
        <v>0</v>
      </c>
      <c r="H208" s="10">
        <f t="shared" si="567"/>
        <v>0</v>
      </c>
      <c r="I208" s="10">
        <f t="shared" si="567"/>
        <v>0</v>
      </c>
      <c r="J208" s="10">
        <f t="shared" si="567"/>
        <v>0</v>
      </c>
      <c r="K208" s="10">
        <f t="shared" si="567"/>
        <v>0</v>
      </c>
      <c r="L208" s="10">
        <f t="shared" si="567"/>
        <v>0</v>
      </c>
      <c r="M208" s="10">
        <f t="shared" si="567"/>
        <v>0</v>
      </c>
      <c r="N208" s="10">
        <f t="shared" si="567"/>
        <v>0</v>
      </c>
      <c r="O208" s="10">
        <f t="shared" si="567"/>
        <v>0</v>
      </c>
      <c r="P208" s="10">
        <f t="shared" si="567"/>
        <v>0</v>
      </c>
      <c r="Q208" s="10">
        <f t="shared" si="567"/>
        <v>0</v>
      </c>
      <c r="R208" s="10">
        <f t="shared" si="567"/>
        <v>0</v>
      </c>
      <c r="S208" s="10">
        <f t="shared" si="567"/>
        <v>2</v>
      </c>
      <c r="T208" s="10">
        <f t="shared" si="567"/>
        <v>0</v>
      </c>
      <c r="U208" s="10">
        <f t="shared" si="567"/>
        <v>0</v>
      </c>
      <c r="V208" s="10">
        <f t="shared" si="567"/>
        <v>0</v>
      </c>
      <c r="W208" s="10">
        <f t="shared" si="567"/>
        <v>0</v>
      </c>
    </row>
    <row r="209" spans="3:23" x14ac:dyDescent="0.25">
      <c r="C209" s="77" t="str">
        <f t="shared" si="564"/>
        <v>CASETA 1</v>
      </c>
      <c r="D209" s="23" t="s">
        <v>18</v>
      </c>
      <c r="E209" s="85"/>
      <c r="F209" s="10">
        <f t="shared" ref="F209:W209" si="568">VLOOKUP(F$203,CASETA1,9,0)</f>
        <v>0</v>
      </c>
      <c r="G209" s="10">
        <f t="shared" si="568"/>
        <v>0</v>
      </c>
      <c r="H209" s="10">
        <f t="shared" si="568"/>
        <v>0</v>
      </c>
      <c r="I209" s="10">
        <f t="shared" si="568"/>
        <v>0</v>
      </c>
      <c r="J209" s="10">
        <f t="shared" si="568"/>
        <v>7</v>
      </c>
      <c r="K209" s="10">
        <f t="shared" si="568"/>
        <v>22</v>
      </c>
      <c r="L209" s="10">
        <f t="shared" si="568"/>
        <v>30</v>
      </c>
      <c r="M209" s="10">
        <f t="shared" si="568"/>
        <v>44</v>
      </c>
      <c r="N209" s="10">
        <f t="shared" si="568"/>
        <v>13</v>
      </c>
      <c r="O209" s="10">
        <f t="shared" si="568"/>
        <v>47</v>
      </c>
      <c r="P209" s="10">
        <f t="shared" si="568"/>
        <v>22</v>
      </c>
      <c r="Q209" s="10">
        <f t="shared" si="568"/>
        <v>19</v>
      </c>
      <c r="R209" s="10">
        <f t="shared" si="568"/>
        <v>32</v>
      </c>
      <c r="S209" s="10">
        <f t="shared" si="568"/>
        <v>110</v>
      </c>
      <c r="T209" s="10">
        <f t="shared" si="568"/>
        <v>48</v>
      </c>
      <c r="U209" s="10">
        <f t="shared" si="568"/>
        <v>0</v>
      </c>
      <c r="V209" s="10">
        <f t="shared" si="568"/>
        <v>0</v>
      </c>
      <c r="W209" s="10">
        <f t="shared" si="568"/>
        <v>0</v>
      </c>
    </row>
    <row r="210" spans="3:23" x14ac:dyDescent="0.25">
      <c r="C210" s="77" t="str">
        <f t="shared" si="564"/>
        <v>CASETA 1</v>
      </c>
      <c r="D210" s="23" t="s">
        <v>48</v>
      </c>
      <c r="E210" s="85"/>
      <c r="F210" s="10">
        <f t="shared" ref="F210:W210" si="569">VLOOKUP(F$203,CASETA1,10,0)</f>
        <v>0</v>
      </c>
      <c r="G210" s="10">
        <f t="shared" si="569"/>
        <v>0</v>
      </c>
      <c r="H210" s="10">
        <f t="shared" si="569"/>
        <v>0</v>
      </c>
      <c r="I210" s="10">
        <f t="shared" si="569"/>
        <v>0</v>
      </c>
      <c r="J210" s="10">
        <f t="shared" si="569"/>
        <v>7</v>
      </c>
      <c r="K210" s="10">
        <f t="shared" si="569"/>
        <v>29</v>
      </c>
      <c r="L210" s="10">
        <f t="shared" si="569"/>
        <v>59</v>
      </c>
      <c r="M210" s="10">
        <f t="shared" si="569"/>
        <v>103</v>
      </c>
      <c r="N210" s="10">
        <f t="shared" si="569"/>
        <v>116</v>
      </c>
      <c r="O210" s="10">
        <f t="shared" si="569"/>
        <v>163</v>
      </c>
      <c r="P210" s="10">
        <f t="shared" si="569"/>
        <v>185</v>
      </c>
      <c r="Q210" s="10">
        <f t="shared" si="569"/>
        <v>204</v>
      </c>
      <c r="R210" s="10">
        <f t="shared" si="569"/>
        <v>236</v>
      </c>
      <c r="S210" s="10">
        <f t="shared" si="569"/>
        <v>346</v>
      </c>
      <c r="T210" s="10">
        <f t="shared" si="569"/>
        <v>394</v>
      </c>
      <c r="U210" s="10">
        <f t="shared" si="569"/>
        <v>394</v>
      </c>
      <c r="V210" s="10">
        <f t="shared" si="569"/>
        <v>394</v>
      </c>
      <c r="W210" s="10">
        <f t="shared" si="569"/>
        <v>394</v>
      </c>
    </row>
    <row r="211" spans="3:23" x14ac:dyDescent="0.25">
      <c r="C211" s="77" t="str">
        <f t="shared" si="564"/>
        <v>CASETA 1</v>
      </c>
      <c r="D211" s="86" t="s">
        <v>72</v>
      </c>
      <c r="E211" s="222"/>
      <c r="F211" s="10">
        <f t="shared" ref="F211:W211" si="570">VLOOKUP(F$203,CASETA1,11,0)</f>
        <v>0.7</v>
      </c>
      <c r="G211" s="10">
        <f t="shared" si="570"/>
        <v>0.7</v>
      </c>
      <c r="H211" s="10">
        <f t="shared" si="570"/>
        <v>0.5</v>
      </c>
      <c r="I211" s="10">
        <f t="shared" si="570"/>
        <v>0.3</v>
      </c>
      <c r="J211" s="10">
        <f t="shared" si="570"/>
        <v>0.18</v>
      </c>
      <c r="K211" s="10">
        <f t="shared" si="570"/>
        <v>0.18</v>
      </c>
      <c r="L211" s="10">
        <f t="shared" si="570"/>
        <v>0.16</v>
      </c>
      <c r="M211" s="10">
        <f t="shared" si="570"/>
        <v>0.16</v>
      </c>
      <c r="N211" s="10">
        <f t="shared" si="570"/>
        <v>0.16</v>
      </c>
      <c r="O211" s="10">
        <f t="shared" si="570"/>
        <v>0.16</v>
      </c>
      <c r="P211" s="10">
        <f t="shared" si="570"/>
        <v>0.16</v>
      </c>
      <c r="Q211" s="10">
        <f t="shared" si="570"/>
        <v>0.16</v>
      </c>
      <c r="R211" s="10">
        <f t="shared" si="570"/>
        <v>0.16</v>
      </c>
      <c r="S211" s="10">
        <f t="shared" si="570"/>
        <v>0.16</v>
      </c>
      <c r="T211" s="10">
        <f t="shared" si="570"/>
        <v>0.16</v>
      </c>
      <c r="U211" s="10">
        <f t="shared" si="570"/>
        <v>0.16</v>
      </c>
      <c r="V211" s="10">
        <f t="shared" si="570"/>
        <v>0.16</v>
      </c>
      <c r="W211" s="10">
        <f t="shared" si="570"/>
        <v>0.16</v>
      </c>
    </row>
    <row r="212" spans="3:23" x14ac:dyDescent="0.25">
      <c r="C212" s="77" t="str">
        <f t="shared" si="564"/>
        <v>CASETA 1</v>
      </c>
      <c r="D212" s="86" t="s">
        <v>74</v>
      </c>
      <c r="E212" s="222"/>
      <c r="F212" s="10">
        <f t="shared" ref="F212:W212" si="571">VLOOKUP(F$203,CASETA1,12,0)</f>
        <v>0</v>
      </c>
      <c r="G212" s="10">
        <f t="shared" si="571"/>
        <v>0</v>
      </c>
      <c r="H212" s="10">
        <f t="shared" si="571"/>
        <v>0</v>
      </c>
      <c r="I212" s="10">
        <f t="shared" si="571"/>
        <v>0</v>
      </c>
      <c r="J212" s="10">
        <f t="shared" si="571"/>
        <v>0.50259341364168464</v>
      </c>
      <c r="K212" s="10">
        <f t="shared" si="571"/>
        <v>0.44015530528933727</v>
      </c>
      <c r="L212" s="10">
        <f t="shared" si="571"/>
        <v>0.32679598261909093</v>
      </c>
      <c r="M212" s="10">
        <f t="shared" si="571"/>
        <v>0.4706915575240625</v>
      </c>
      <c r="N212" s="10">
        <f t="shared" si="571"/>
        <v>0.13911388589604121</v>
      </c>
      <c r="O212" s="10">
        <f t="shared" si="571"/>
        <v>0.50309430208003802</v>
      </c>
      <c r="P212" s="10">
        <f t="shared" si="571"/>
        <v>0.23558479171381558</v>
      </c>
      <c r="Q212" s="10">
        <f t="shared" si="571"/>
        <v>0.20350467822339302</v>
      </c>
      <c r="R212" s="10">
        <f t="shared" si="571"/>
        <v>0.342834264832372</v>
      </c>
      <c r="S212" s="10">
        <f t="shared" si="571"/>
        <v>1.1792992068723174</v>
      </c>
      <c r="T212" s="10">
        <f t="shared" si="571"/>
        <v>0.51503424517848195</v>
      </c>
      <c r="U212" s="10">
        <f t="shared" si="571"/>
        <v>0</v>
      </c>
      <c r="V212" s="10">
        <f t="shared" si="571"/>
        <v>0</v>
      </c>
      <c r="W212" s="10">
        <f t="shared" si="571"/>
        <v>0</v>
      </c>
    </row>
    <row r="213" spans="3:23" ht="25.5" x14ac:dyDescent="0.25">
      <c r="C213" s="77" t="str">
        <f t="shared" si="564"/>
        <v>CASETA 1</v>
      </c>
      <c r="D213" s="87" t="s">
        <v>49</v>
      </c>
      <c r="E213" s="223"/>
      <c r="F213" s="10">
        <f t="shared" ref="F213:W213" si="572">VLOOKUP(F$203,CASETA1,13,0)</f>
        <v>0.7</v>
      </c>
      <c r="G213" s="10">
        <f t="shared" si="572"/>
        <v>1.4</v>
      </c>
      <c r="H213" s="10">
        <f t="shared" si="572"/>
        <v>1.9</v>
      </c>
      <c r="I213" s="10">
        <f t="shared" si="572"/>
        <v>2.1999999999999997</v>
      </c>
      <c r="J213" s="10">
        <f t="shared" si="572"/>
        <v>2.38</v>
      </c>
      <c r="K213" s="10">
        <f t="shared" si="572"/>
        <v>2.56</v>
      </c>
      <c r="L213" s="10">
        <f t="shared" si="572"/>
        <v>2.72</v>
      </c>
      <c r="M213" s="10">
        <f t="shared" si="572"/>
        <v>2.8800000000000003</v>
      </c>
      <c r="N213" s="10">
        <f t="shared" si="572"/>
        <v>3.0400000000000005</v>
      </c>
      <c r="O213" s="10">
        <f t="shared" si="572"/>
        <v>3.2000000000000006</v>
      </c>
      <c r="P213" s="10">
        <f t="shared" si="572"/>
        <v>3.3600000000000008</v>
      </c>
      <c r="Q213" s="10">
        <f t="shared" si="572"/>
        <v>3.5200000000000009</v>
      </c>
      <c r="R213" s="10">
        <f t="shared" si="572"/>
        <v>3.680000000000001</v>
      </c>
      <c r="S213" s="10">
        <f t="shared" si="572"/>
        <v>3.8400000000000012</v>
      </c>
      <c r="T213" s="10">
        <f t="shared" si="572"/>
        <v>4.0000000000000009</v>
      </c>
      <c r="U213" s="10">
        <f t="shared" si="572"/>
        <v>4.160000000000001</v>
      </c>
      <c r="V213" s="10">
        <f t="shared" si="572"/>
        <v>4.3200000000000012</v>
      </c>
      <c r="W213" s="10">
        <f t="shared" si="572"/>
        <v>4.4800000000000013</v>
      </c>
    </row>
    <row r="214" spans="3:23" ht="25.5" x14ac:dyDescent="0.25">
      <c r="C214" s="77" t="str">
        <f t="shared" si="564"/>
        <v>CASETA 1</v>
      </c>
      <c r="D214" s="87" t="s">
        <v>73</v>
      </c>
      <c r="E214" s="223"/>
      <c r="F214" s="10">
        <f t="shared" ref="F214:W214" si="573">VLOOKUP(F$203,CASETA1,14,0)</f>
        <v>0</v>
      </c>
      <c r="G214" s="10">
        <f t="shared" si="573"/>
        <v>0</v>
      </c>
      <c r="H214" s="10">
        <f t="shared" si="573"/>
        <v>0</v>
      </c>
      <c r="I214" s="10">
        <f t="shared" si="573"/>
        <v>0</v>
      </c>
      <c r="J214" s="10">
        <f t="shared" si="573"/>
        <v>3.924646781789639E-2</v>
      </c>
      <c r="K214" s="10">
        <f t="shared" si="573"/>
        <v>4.3460016784558207E-2</v>
      </c>
      <c r="L214" s="10">
        <f t="shared" si="573"/>
        <v>6.3102279168761169E-2</v>
      </c>
      <c r="M214" s="10">
        <f t="shared" si="573"/>
        <v>0.11021111313224263</v>
      </c>
      <c r="N214" s="10">
        <f t="shared" si="573"/>
        <v>0.12413984996200893</v>
      </c>
      <c r="O214" s="10">
        <f t="shared" si="573"/>
        <v>0.17452567561779947</v>
      </c>
      <c r="P214" s="10">
        <f t="shared" si="573"/>
        <v>0.19812795853235377</v>
      </c>
      <c r="Q214" s="10">
        <f t="shared" si="573"/>
        <v>0.21852070055165765</v>
      </c>
      <c r="R214" s="10">
        <f t="shared" si="573"/>
        <v>0.25287430218479112</v>
      </c>
      <c r="S214" s="10">
        <f t="shared" si="573"/>
        <v>0.37115304163135709</v>
      </c>
      <c r="T214" s="10">
        <f t="shared" si="573"/>
        <v>0.42291467642733704</v>
      </c>
      <c r="U214" s="10">
        <f t="shared" si="573"/>
        <v>0.42291467642733704</v>
      </c>
      <c r="V214" s="10">
        <f t="shared" si="573"/>
        <v>0.42291467642733704</v>
      </c>
      <c r="W214" s="10">
        <f t="shared" si="573"/>
        <v>0.42291467642733704</v>
      </c>
    </row>
    <row r="215" spans="3:23" x14ac:dyDescent="0.25">
      <c r="C215" s="77" t="str">
        <f t="shared" si="564"/>
        <v>CASETA 1</v>
      </c>
      <c r="D215" s="23" t="s">
        <v>9</v>
      </c>
      <c r="E215" s="85"/>
      <c r="F215" s="10">
        <f t="shared" ref="F215:W215" si="574">VLOOKUP(F$203,CASETA1,15,0)</f>
        <v>0</v>
      </c>
      <c r="G215" s="10">
        <f t="shared" si="574"/>
        <v>0</v>
      </c>
      <c r="H215" s="10">
        <f t="shared" si="574"/>
        <v>0</v>
      </c>
      <c r="I215" s="10">
        <f t="shared" si="574"/>
        <v>0</v>
      </c>
      <c r="J215" s="10">
        <f t="shared" si="574"/>
        <v>0</v>
      </c>
      <c r="K215" s="10">
        <f t="shared" si="574"/>
        <v>7800</v>
      </c>
      <c r="L215" s="10">
        <f t="shared" si="574"/>
        <v>0</v>
      </c>
      <c r="M215" s="10">
        <f t="shared" si="574"/>
        <v>0</v>
      </c>
      <c r="N215" s="10">
        <f t="shared" si="574"/>
        <v>0</v>
      </c>
      <c r="O215" s="10">
        <f t="shared" si="574"/>
        <v>0</v>
      </c>
      <c r="P215" s="10">
        <f t="shared" si="574"/>
        <v>0</v>
      </c>
      <c r="Q215" s="10">
        <f t="shared" si="574"/>
        <v>0</v>
      </c>
      <c r="R215" s="10">
        <f t="shared" si="574"/>
        <v>0</v>
      </c>
      <c r="S215" s="10">
        <f t="shared" si="574"/>
        <v>0</v>
      </c>
      <c r="T215" s="10">
        <f t="shared" si="574"/>
        <v>0</v>
      </c>
      <c r="U215" s="10">
        <f t="shared" si="574"/>
        <v>0</v>
      </c>
      <c r="V215" s="10">
        <f t="shared" si="574"/>
        <v>0</v>
      </c>
      <c r="W215" s="10">
        <f t="shared" si="574"/>
        <v>0</v>
      </c>
    </row>
    <row r="216" spans="3:23" ht="25.5" x14ac:dyDescent="0.25">
      <c r="C216" s="77" t="str">
        <f t="shared" si="564"/>
        <v>CASETA 1</v>
      </c>
      <c r="D216" s="86" t="s">
        <v>75</v>
      </c>
      <c r="E216" s="222"/>
      <c r="F216" s="10">
        <f t="shared" ref="F216:W216" si="575">VLOOKUP(F$203,CASETA1,16,0)</f>
        <v>6</v>
      </c>
      <c r="G216" s="10">
        <f t="shared" si="575"/>
        <v>12</v>
      </c>
      <c r="H216" s="10">
        <f t="shared" si="575"/>
        <v>20</v>
      </c>
      <c r="I216" s="10">
        <f t="shared" si="575"/>
        <v>29</v>
      </c>
      <c r="J216" s="10">
        <f t="shared" si="575"/>
        <v>36</v>
      </c>
      <c r="K216" s="10">
        <f t="shared" si="575"/>
        <v>40</v>
      </c>
      <c r="L216" s="10">
        <f t="shared" si="575"/>
        <v>43</v>
      </c>
      <c r="M216" s="10">
        <f t="shared" si="575"/>
        <v>45</v>
      </c>
      <c r="N216" s="10">
        <f t="shared" si="575"/>
        <v>47</v>
      </c>
      <c r="O216" s="10">
        <f t="shared" si="575"/>
        <v>49</v>
      </c>
      <c r="P216" s="10">
        <f t="shared" si="575"/>
        <v>51</v>
      </c>
      <c r="Q216" s="10">
        <f t="shared" si="575"/>
        <v>53</v>
      </c>
      <c r="R216" s="10">
        <f t="shared" si="575"/>
        <v>55</v>
      </c>
      <c r="S216" s="10">
        <f t="shared" si="575"/>
        <v>57</v>
      </c>
      <c r="T216" s="10">
        <f t="shared" si="575"/>
        <v>60</v>
      </c>
      <c r="U216" s="10">
        <f t="shared" si="575"/>
        <v>64</v>
      </c>
      <c r="V216" s="10">
        <f t="shared" si="575"/>
        <v>70</v>
      </c>
      <c r="W216" s="10">
        <f t="shared" si="575"/>
        <v>77</v>
      </c>
    </row>
    <row r="217" spans="3:23" ht="25.5" x14ac:dyDescent="0.25">
      <c r="C217" s="77" t="str">
        <f t="shared" si="564"/>
        <v>CASETA 1</v>
      </c>
      <c r="D217" s="86" t="s">
        <v>62</v>
      </c>
      <c r="E217" s="222"/>
      <c r="F217" s="10">
        <f t="shared" ref="F217:W217" si="576">VLOOKUP(F$203,CASETA1,17,0)</f>
        <v>0</v>
      </c>
      <c r="G217" s="10">
        <f t="shared" si="576"/>
        <v>0</v>
      </c>
      <c r="H217" s="10">
        <f t="shared" si="576"/>
        <v>0</v>
      </c>
      <c r="I217" s="10">
        <f t="shared" si="576"/>
        <v>0</v>
      </c>
      <c r="J217" s="10">
        <f t="shared" si="576"/>
        <v>0</v>
      </c>
      <c r="K217" s="10">
        <f t="shared" si="576"/>
        <v>1.6698922705396749E-2</v>
      </c>
      <c r="L217" s="10">
        <f t="shared" si="576"/>
        <v>0</v>
      </c>
      <c r="M217" s="10">
        <f t="shared" si="576"/>
        <v>0</v>
      </c>
      <c r="N217" s="10">
        <f t="shared" si="576"/>
        <v>0</v>
      </c>
      <c r="O217" s="10">
        <f t="shared" si="576"/>
        <v>0</v>
      </c>
      <c r="P217" s="10">
        <f t="shared" si="576"/>
        <v>0</v>
      </c>
      <c r="Q217" s="10">
        <f t="shared" si="576"/>
        <v>0</v>
      </c>
      <c r="R217" s="10">
        <f t="shared" si="576"/>
        <v>0</v>
      </c>
      <c r="S217" s="10">
        <f t="shared" si="576"/>
        <v>0</v>
      </c>
      <c r="T217" s="10">
        <f t="shared" si="576"/>
        <v>0</v>
      </c>
      <c r="U217" s="10">
        <f t="shared" si="576"/>
        <v>0</v>
      </c>
      <c r="V217" s="10">
        <f t="shared" si="576"/>
        <v>0</v>
      </c>
      <c r="W217" s="10">
        <f t="shared" si="576"/>
        <v>0</v>
      </c>
    </row>
    <row r="218" spans="3:23" ht="25.5" x14ac:dyDescent="0.25">
      <c r="C218" s="77" t="str">
        <f t="shared" si="564"/>
        <v>CASETA 1</v>
      </c>
      <c r="D218" s="24" t="s">
        <v>50</v>
      </c>
      <c r="E218" s="207"/>
      <c r="F218" s="10">
        <f t="shared" ref="F218:W218" si="577">VLOOKUP(F$203,CASETA1,18,0)</f>
        <v>0</v>
      </c>
      <c r="G218" s="10">
        <f t="shared" si="577"/>
        <v>0</v>
      </c>
      <c r="H218" s="10">
        <f t="shared" si="577"/>
        <v>0</v>
      </c>
      <c r="I218" s="10">
        <f t="shared" si="577"/>
        <v>0</v>
      </c>
      <c r="J218" s="10">
        <f t="shared" si="577"/>
        <v>0</v>
      </c>
      <c r="K218" s="10">
        <f t="shared" si="577"/>
        <v>0.11689245893777725</v>
      </c>
      <c r="L218" s="10">
        <f t="shared" si="577"/>
        <v>0.11689245893777725</v>
      </c>
      <c r="M218" s="10">
        <f t="shared" si="577"/>
        <v>0.11689245893777725</v>
      </c>
      <c r="N218" s="10">
        <f t="shared" si="577"/>
        <v>0.11689245893777725</v>
      </c>
      <c r="O218" s="10">
        <f t="shared" si="577"/>
        <v>0.11689245893777725</v>
      </c>
      <c r="P218" s="10">
        <f t="shared" si="577"/>
        <v>0.11689245893777725</v>
      </c>
      <c r="Q218" s="10">
        <f t="shared" si="577"/>
        <v>0.11689245893777725</v>
      </c>
      <c r="R218" s="10">
        <f t="shared" si="577"/>
        <v>0.11689245893777725</v>
      </c>
      <c r="S218" s="10">
        <f t="shared" si="577"/>
        <v>0.11689245893777725</v>
      </c>
      <c r="T218" s="10">
        <f t="shared" si="577"/>
        <v>0.11689245893777725</v>
      </c>
      <c r="U218" s="10">
        <f t="shared" si="577"/>
        <v>0.11689245893777725</v>
      </c>
      <c r="V218" s="10">
        <f t="shared" si="577"/>
        <v>0.11689245893777725</v>
      </c>
      <c r="W218" s="10">
        <f t="shared" si="577"/>
        <v>0.11689245893777725</v>
      </c>
    </row>
    <row r="219" spans="3:23" x14ac:dyDescent="0.25">
      <c r="C219" s="77" t="str">
        <f t="shared" si="564"/>
        <v>CASETA 1</v>
      </c>
      <c r="D219" s="86" t="s">
        <v>63</v>
      </c>
      <c r="E219" s="222"/>
      <c r="F219" s="10">
        <f t="shared" ref="F219:W219" si="578">VLOOKUP(F$203,CASETA1,19,0)</f>
        <v>64</v>
      </c>
      <c r="G219" s="10">
        <f t="shared" si="578"/>
        <v>118</v>
      </c>
      <c r="H219" s="10">
        <f t="shared" si="578"/>
        <v>185</v>
      </c>
      <c r="I219" s="10">
        <f t="shared" si="578"/>
        <v>258</v>
      </c>
      <c r="J219" s="10">
        <f t="shared" si="578"/>
        <v>336</v>
      </c>
      <c r="K219" s="10">
        <f t="shared" si="578"/>
        <v>419</v>
      </c>
      <c r="L219" s="10">
        <f t="shared" si="578"/>
        <v>502</v>
      </c>
      <c r="M219" s="10">
        <f t="shared" si="578"/>
        <v>585</v>
      </c>
      <c r="N219" s="10">
        <f t="shared" si="578"/>
        <v>668</v>
      </c>
      <c r="O219" s="10">
        <f t="shared" si="578"/>
        <v>746</v>
      </c>
      <c r="P219" s="10">
        <f t="shared" si="578"/>
        <v>824</v>
      </c>
      <c r="Q219" s="10">
        <f t="shared" si="578"/>
        <v>902</v>
      </c>
      <c r="R219" s="10">
        <f t="shared" si="578"/>
        <v>975</v>
      </c>
      <c r="S219" s="10">
        <f t="shared" si="578"/>
        <v>1048</v>
      </c>
      <c r="T219" s="10">
        <f t="shared" si="578"/>
        <v>1112</v>
      </c>
      <c r="U219" s="10">
        <f t="shared" si="578"/>
        <v>1165</v>
      </c>
      <c r="V219" s="10">
        <f t="shared" si="578"/>
        <v>1204</v>
      </c>
      <c r="W219" s="10">
        <f t="shared" si="578"/>
        <v>1229</v>
      </c>
    </row>
    <row r="220" spans="3:23" x14ac:dyDescent="0.25">
      <c r="C220" s="77" t="str">
        <f t="shared" si="564"/>
        <v>CASETA 1</v>
      </c>
      <c r="D220" s="86" t="s">
        <v>64</v>
      </c>
      <c r="E220" s="222"/>
      <c r="F220" s="10">
        <f t="shared" ref="F220:W220" si="579">VLOOKUP(F$203,CASETA1,20,0)</f>
        <v>0</v>
      </c>
      <c r="G220" s="10">
        <f t="shared" si="579"/>
        <v>0</v>
      </c>
      <c r="H220" s="10">
        <f t="shared" si="579"/>
        <v>0</v>
      </c>
      <c r="I220" s="10">
        <f t="shared" si="579"/>
        <v>0</v>
      </c>
      <c r="J220" s="10">
        <f t="shared" si="579"/>
        <v>311</v>
      </c>
      <c r="K220" s="10">
        <f t="shared" si="579"/>
        <v>401</v>
      </c>
      <c r="L220" s="10">
        <f t="shared" si="579"/>
        <v>490</v>
      </c>
      <c r="M220" s="10">
        <f t="shared" si="579"/>
        <v>586</v>
      </c>
      <c r="N220" s="10">
        <f t="shared" si="579"/>
        <v>681</v>
      </c>
      <c r="O220" s="10">
        <f t="shared" si="579"/>
        <v>782</v>
      </c>
      <c r="P220" s="10">
        <f t="shared" si="579"/>
        <v>828</v>
      </c>
      <c r="Q220" s="10">
        <f t="shared" si="579"/>
        <v>898</v>
      </c>
      <c r="R220" s="10">
        <f t="shared" si="579"/>
        <v>928</v>
      </c>
      <c r="S220" s="10">
        <f t="shared" si="579"/>
        <v>1027</v>
      </c>
      <c r="T220" s="10">
        <f t="shared" si="579"/>
        <v>0</v>
      </c>
      <c r="U220" s="10">
        <f t="shared" si="579"/>
        <v>0</v>
      </c>
      <c r="V220" s="10">
        <f t="shared" si="579"/>
        <v>0</v>
      </c>
      <c r="W220" s="10">
        <f t="shared" si="579"/>
        <v>0</v>
      </c>
    </row>
    <row r="221" spans="3:23" x14ac:dyDescent="0.25">
      <c r="C221" s="77" t="str">
        <f t="shared" si="564"/>
        <v>CASETA 1</v>
      </c>
      <c r="D221" s="23" t="s">
        <v>15</v>
      </c>
      <c r="E221" s="85"/>
      <c r="F221" s="10">
        <f t="shared" ref="F221:W221" si="580">VLOOKUP(F$203,CASETA1,21,0)</f>
        <v>64</v>
      </c>
      <c r="G221" s="10">
        <f t="shared" si="580"/>
        <v>118</v>
      </c>
      <c r="H221" s="10">
        <f t="shared" si="580"/>
        <v>185</v>
      </c>
      <c r="I221" s="10">
        <f t="shared" si="580"/>
        <v>258</v>
      </c>
      <c r="J221" s="10">
        <f t="shared" si="580"/>
        <v>25</v>
      </c>
      <c r="K221" s="10">
        <f t="shared" si="580"/>
        <v>18</v>
      </c>
      <c r="L221" s="10">
        <f t="shared" si="580"/>
        <v>12</v>
      </c>
      <c r="M221" s="10">
        <f t="shared" si="580"/>
        <v>-1</v>
      </c>
      <c r="N221" s="10">
        <f t="shared" si="580"/>
        <v>-13</v>
      </c>
      <c r="O221" s="10">
        <f t="shared" si="580"/>
        <v>-36</v>
      </c>
      <c r="P221" s="10">
        <f t="shared" si="580"/>
        <v>-4</v>
      </c>
      <c r="Q221" s="10">
        <f t="shared" si="580"/>
        <v>4</v>
      </c>
      <c r="R221" s="10">
        <f t="shared" si="580"/>
        <v>47</v>
      </c>
      <c r="S221" s="10">
        <f t="shared" si="580"/>
        <v>21</v>
      </c>
      <c r="T221" s="10">
        <f t="shared" si="580"/>
        <v>1112</v>
      </c>
      <c r="U221" s="10">
        <f t="shared" si="580"/>
        <v>1165</v>
      </c>
      <c r="V221" s="10">
        <f t="shared" si="580"/>
        <v>1204</v>
      </c>
      <c r="W221" s="10">
        <f t="shared" si="580"/>
        <v>1229</v>
      </c>
    </row>
    <row r="222" spans="3:23" ht="25.5" x14ac:dyDescent="0.25">
      <c r="C222" s="77" t="str">
        <f t="shared" si="564"/>
        <v>CASETA 1</v>
      </c>
      <c r="D222" s="86" t="s">
        <v>65</v>
      </c>
      <c r="E222" s="222"/>
      <c r="F222" s="10">
        <f t="shared" ref="F222:W222" si="581">VLOOKUP(F$203,CASETA1,22,0)</f>
        <v>77</v>
      </c>
      <c r="G222" s="10">
        <f t="shared" si="581"/>
        <v>77</v>
      </c>
      <c r="H222" s="10">
        <f t="shared" si="581"/>
        <v>77</v>
      </c>
      <c r="I222" s="10">
        <f t="shared" si="581"/>
        <v>79</v>
      </c>
      <c r="J222" s="10">
        <f t="shared" si="581"/>
        <v>79</v>
      </c>
      <c r="K222" s="10">
        <f t="shared" si="581"/>
        <v>79</v>
      </c>
      <c r="L222" s="10">
        <f t="shared" si="581"/>
        <v>79</v>
      </c>
      <c r="M222" s="10">
        <f t="shared" si="581"/>
        <v>79</v>
      </c>
      <c r="N222" s="10">
        <f t="shared" si="581"/>
        <v>79</v>
      </c>
      <c r="O222" s="10">
        <f t="shared" si="581"/>
        <v>80</v>
      </c>
      <c r="P222" s="10">
        <f t="shared" si="581"/>
        <v>80</v>
      </c>
      <c r="Q222" s="10">
        <f t="shared" si="581"/>
        <v>82</v>
      </c>
      <c r="R222" s="10">
        <f t="shared" si="581"/>
        <v>82</v>
      </c>
      <c r="S222" s="10">
        <f t="shared" si="581"/>
        <v>84</v>
      </c>
      <c r="T222" s="10">
        <f t="shared" si="581"/>
        <v>86</v>
      </c>
      <c r="U222" s="10">
        <f t="shared" si="581"/>
        <v>86</v>
      </c>
      <c r="V222" s="10">
        <f t="shared" si="581"/>
        <v>86</v>
      </c>
      <c r="W222" s="10">
        <f t="shared" si="581"/>
        <v>86</v>
      </c>
    </row>
    <row r="223" spans="3:23" ht="25.5" x14ac:dyDescent="0.25">
      <c r="C223" s="77" t="str">
        <f t="shared" si="564"/>
        <v>CASETA 1</v>
      </c>
      <c r="D223" s="86" t="s">
        <v>66</v>
      </c>
      <c r="E223" s="222"/>
      <c r="F223" s="10">
        <f t="shared" ref="F223:W223" si="582">VLOOKUP(F$203,CASETA1,23,0)</f>
        <v>0</v>
      </c>
      <c r="G223" s="10">
        <f t="shared" si="582"/>
        <v>0</v>
      </c>
      <c r="H223" s="10">
        <f t="shared" si="582"/>
        <v>0</v>
      </c>
      <c r="I223" s="10">
        <f t="shared" si="582"/>
        <v>0</v>
      </c>
      <c r="J223" s="10">
        <f t="shared" si="582"/>
        <v>79</v>
      </c>
      <c r="K223" s="10">
        <f t="shared" si="582"/>
        <v>88</v>
      </c>
      <c r="L223" s="10">
        <f t="shared" si="582"/>
        <v>86</v>
      </c>
      <c r="M223" s="10">
        <f t="shared" si="582"/>
        <v>86</v>
      </c>
      <c r="N223" s="10">
        <f t="shared" si="582"/>
        <v>88</v>
      </c>
      <c r="O223" s="10">
        <f t="shared" si="582"/>
        <v>86</v>
      </c>
      <c r="P223" s="10">
        <f t="shared" si="582"/>
        <v>88</v>
      </c>
      <c r="Q223" s="10">
        <f t="shared" si="582"/>
        <v>84</v>
      </c>
      <c r="R223" s="10">
        <f t="shared" si="582"/>
        <v>81</v>
      </c>
      <c r="S223" s="10">
        <f t="shared" si="582"/>
        <v>83</v>
      </c>
      <c r="T223" s="10">
        <f t="shared" si="582"/>
        <v>0</v>
      </c>
      <c r="U223" s="10">
        <f t="shared" si="582"/>
        <v>0</v>
      </c>
      <c r="V223" s="10">
        <f t="shared" si="582"/>
        <v>0</v>
      </c>
      <c r="W223" s="10">
        <f t="shared" si="582"/>
        <v>0</v>
      </c>
    </row>
    <row r="224" spans="3:23" x14ac:dyDescent="0.25">
      <c r="C224" s="77" t="str">
        <f t="shared" si="564"/>
        <v>CASETA 1</v>
      </c>
      <c r="D224" s="23" t="s">
        <v>15</v>
      </c>
      <c r="E224" s="85"/>
      <c r="F224" s="10">
        <f t="shared" ref="F224:W224" si="583">VLOOKUP(F$203,CASETA1,24,0)</f>
        <v>77</v>
      </c>
      <c r="G224" s="10">
        <f t="shared" si="583"/>
        <v>77</v>
      </c>
      <c r="H224" s="10">
        <f t="shared" si="583"/>
        <v>77</v>
      </c>
      <c r="I224" s="10">
        <f t="shared" si="583"/>
        <v>79</v>
      </c>
      <c r="J224" s="10">
        <f t="shared" si="583"/>
        <v>0</v>
      </c>
      <c r="K224" s="10">
        <f t="shared" si="583"/>
        <v>-9</v>
      </c>
      <c r="L224" s="10">
        <f t="shared" si="583"/>
        <v>-7</v>
      </c>
      <c r="M224" s="10">
        <f t="shared" si="583"/>
        <v>-7</v>
      </c>
      <c r="N224" s="10">
        <f t="shared" si="583"/>
        <v>-9</v>
      </c>
      <c r="O224" s="10">
        <f t="shared" si="583"/>
        <v>-6</v>
      </c>
      <c r="P224" s="10">
        <f t="shared" si="583"/>
        <v>-8</v>
      </c>
      <c r="Q224" s="10">
        <f t="shared" si="583"/>
        <v>-2</v>
      </c>
      <c r="R224" s="10">
        <f t="shared" si="583"/>
        <v>1</v>
      </c>
      <c r="S224" s="10">
        <f t="shared" si="583"/>
        <v>1</v>
      </c>
      <c r="T224" s="10">
        <f t="shared" si="583"/>
        <v>86</v>
      </c>
      <c r="U224" s="10">
        <f t="shared" si="583"/>
        <v>86</v>
      </c>
      <c r="V224" s="10">
        <f t="shared" si="583"/>
        <v>86</v>
      </c>
      <c r="W224" s="10">
        <f t="shared" si="583"/>
        <v>86</v>
      </c>
    </row>
    <row r="228" spans="3:23" ht="25.5" x14ac:dyDescent="0.25">
      <c r="C228" t="s">
        <v>53</v>
      </c>
      <c r="D228" s="24" t="s">
        <v>67</v>
      </c>
      <c r="E228" s="207"/>
      <c r="F228" s="10">
        <f t="shared" ref="F228:W228" si="584">VLOOKUP(F$203,CASETA2,4,0)</f>
        <v>94740</v>
      </c>
      <c r="G228" s="10">
        <f t="shared" si="584"/>
        <v>93239</v>
      </c>
      <c r="H228" s="10">
        <f t="shared" si="584"/>
        <v>92699</v>
      </c>
      <c r="I228" s="10">
        <f t="shared" si="584"/>
        <v>92473</v>
      </c>
      <c r="J228" s="10">
        <f t="shared" si="584"/>
        <v>92367</v>
      </c>
      <c r="K228" s="10">
        <f t="shared" si="584"/>
        <v>92284</v>
      </c>
      <c r="L228" s="10">
        <f t="shared" si="584"/>
        <v>92130</v>
      </c>
      <c r="M228" s="10">
        <f t="shared" si="584"/>
        <v>92072</v>
      </c>
      <c r="N228" s="10">
        <f t="shared" si="584"/>
        <v>92047</v>
      </c>
      <c r="O228" s="10">
        <f t="shared" si="584"/>
        <v>91965</v>
      </c>
      <c r="P228" s="10">
        <f t="shared" si="584"/>
        <v>91929</v>
      </c>
      <c r="Q228" s="10">
        <f t="shared" si="584"/>
        <v>91895</v>
      </c>
      <c r="R228" s="10">
        <f t="shared" si="584"/>
        <v>91851</v>
      </c>
      <c r="S228" s="10">
        <f t="shared" si="584"/>
        <v>91747</v>
      </c>
      <c r="T228" s="10">
        <f t="shared" si="584"/>
        <v>91715</v>
      </c>
      <c r="U228" s="10">
        <f t="shared" si="584"/>
        <v>91715</v>
      </c>
      <c r="V228" s="10">
        <f t="shared" si="584"/>
        <v>91715</v>
      </c>
      <c r="W228" s="10">
        <f t="shared" si="584"/>
        <v>91715</v>
      </c>
    </row>
    <row r="229" spans="3:23" x14ac:dyDescent="0.25">
      <c r="C229" s="78" t="str">
        <f>C228</f>
        <v>CASETA 2</v>
      </c>
      <c r="D229" s="24" t="s">
        <v>34</v>
      </c>
      <c r="E229" s="207"/>
      <c r="F229" s="10">
        <f t="shared" ref="F229:W229" si="585">VLOOKUP(F$203,CASETA2,5,0)</f>
        <v>93893</v>
      </c>
      <c r="G229" s="10">
        <f t="shared" si="585"/>
        <v>93141</v>
      </c>
      <c r="H229" s="10">
        <f t="shared" si="585"/>
        <v>92659</v>
      </c>
      <c r="I229" s="10">
        <f t="shared" si="585"/>
        <v>92453</v>
      </c>
      <c r="J229" s="10">
        <f t="shared" si="585"/>
        <v>92355</v>
      </c>
      <c r="K229" s="10">
        <f t="shared" si="585"/>
        <v>92260</v>
      </c>
      <c r="L229" s="10">
        <f t="shared" si="585"/>
        <v>92122</v>
      </c>
      <c r="M229" s="10">
        <f t="shared" si="585"/>
        <v>92066</v>
      </c>
      <c r="N229" s="10">
        <f t="shared" si="585"/>
        <v>92043</v>
      </c>
      <c r="O229" s="10">
        <f t="shared" si="585"/>
        <v>91959</v>
      </c>
      <c r="P229" s="10">
        <f t="shared" si="585"/>
        <v>91923</v>
      </c>
      <c r="Q229" s="10">
        <f t="shared" si="585"/>
        <v>91892</v>
      </c>
      <c r="R229" s="10">
        <f t="shared" si="585"/>
        <v>91827</v>
      </c>
      <c r="S229" s="10">
        <f t="shared" si="585"/>
        <v>91730</v>
      </c>
      <c r="T229" s="10">
        <f t="shared" si="585"/>
        <v>91715</v>
      </c>
      <c r="U229" s="10">
        <f t="shared" si="585"/>
        <v>91715</v>
      </c>
      <c r="V229" s="10">
        <f t="shared" si="585"/>
        <v>91715</v>
      </c>
      <c r="W229" s="10">
        <f t="shared" si="585"/>
        <v>91715</v>
      </c>
    </row>
    <row r="230" spans="3:23" x14ac:dyDescent="0.25">
      <c r="C230" s="78" t="str">
        <f t="shared" ref="C230:C248" si="586">C229</f>
        <v>CASETA 2</v>
      </c>
      <c r="D230" s="23" t="s">
        <v>27</v>
      </c>
      <c r="E230" s="85"/>
      <c r="F230" s="10">
        <f t="shared" ref="F230:W230" si="587">VLOOKUP(F$203,CASETA2,6,0)</f>
        <v>54</v>
      </c>
      <c r="G230" s="10">
        <f t="shared" si="587"/>
        <v>70</v>
      </c>
      <c r="H230" s="10">
        <f t="shared" si="587"/>
        <v>12</v>
      </c>
      <c r="I230" s="10">
        <f t="shared" si="587"/>
        <v>20</v>
      </c>
      <c r="J230" s="10">
        <f t="shared" si="587"/>
        <v>0</v>
      </c>
      <c r="K230" s="10">
        <f t="shared" si="587"/>
        <v>45</v>
      </c>
      <c r="L230" s="10">
        <f t="shared" si="587"/>
        <v>96</v>
      </c>
      <c r="M230" s="10">
        <f t="shared" si="587"/>
        <v>9</v>
      </c>
      <c r="N230" s="10">
        <f t="shared" si="587"/>
        <v>0</v>
      </c>
      <c r="O230" s="10">
        <f t="shared" si="587"/>
        <v>49</v>
      </c>
      <c r="P230" s="10">
        <f t="shared" si="587"/>
        <v>2</v>
      </c>
      <c r="Q230" s="10">
        <f t="shared" si="587"/>
        <v>0</v>
      </c>
      <c r="R230" s="10">
        <f t="shared" si="587"/>
        <v>19</v>
      </c>
      <c r="S230" s="10">
        <f t="shared" si="587"/>
        <v>25</v>
      </c>
      <c r="T230" s="10">
        <f t="shared" si="587"/>
        <v>0</v>
      </c>
      <c r="U230" s="10">
        <f t="shared" si="587"/>
        <v>0</v>
      </c>
      <c r="V230" s="10">
        <f t="shared" si="587"/>
        <v>0</v>
      </c>
      <c r="W230" s="10">
        <f t="shared" si="587"/>
        <v>0</v>
      </c>
    </row>
    <row r="231" spans="3:23" x14ac:dyDescent="0.25">
      <c r="C231" s="78" t="str">
        <f t="shared" si="586"/>
        <v>CASETA 2</v>
      </c>
      <c r="D231" s="23" t="s">
        <v>16</v>
      </c>
      <c r="E231" s="85"/>
      <c r="F231" s="10">
        <f t="shared" ref="F231:W231" si="588">VLOOKUP(F$203,CASETA2,7,0)</f>
        <v>754</v>
      </c>
      <c r="G231" s="10">
        <f t="shared" si="588"/>
        <v>682</v>
      </c>
      <c r="H231" s="10">
        <f t="shared" si="588"/>
        <v>470</v>
      </c>
      <c r="I231" s="10">
        <f t="shared" si="588"/>
        <v>186</v>
      </c>
      <c r="J231" s="10">
        <f t="shared" si="588"/>
        <v>98</v>
      </c>
      <c r="K231" s="10">
        <f t="shared" si="588"/>
        <v>50</v>
      </c>
      <c r="L231" s="10">
        <f t="shared" si="588"/>
        <v>42</v>
      </c>
      <c r="M231" s="10">
        <f t="shared" si="588"/>
        <v>47</v>
      </c>
      <c r="N231" s="10">
        <f t="shared" si="588"/>
        <v>23</v>
      </c>
      <c r="O231" s="10">
        <f t="shared" si="588"/>
        <v>35</v>
      </c>
      <c r="P231" s="10">
        <f t="shared" si="588"/>
        <v>34</v>
      </c>
      <c r="Q231" s="10">
        <f t="shared" si="588"/>
        <v>31</v>
      </c>
      <c r="R231" s="10">
        <f t="shared" si="588"/>
        <v>42</v>
      </c>
      <c r="S231" s="10">
        <f t="shared" si="588"/>
        <v>65</v>
      </c>
      <c r="T231" s="10">
        <f t="shared" si="588"/>
        <v>15</v>
      </c>
      <c r="U231" s="10">
        <f t="shared" si="588"/>
        <v>0</v>
      </c>
      <c r="V231" s="10">
        <f t="shared" si="588"/>
        <v>0</v>
      </c>
      <c r="W231" s="10">
        <f t="shared" si="588"/>
        <v>0</v>
      </c>
    </row>
    <row r="232" spans="3:23" x14ac:dyDescent="0.25">
      <c r="C232" s="78" t="str">
        <f t="shared" si="586"/>
        <v>CASETA 2</v>
      </c>
      <c r="D232" s="23" t="s">
        <v>17</v>
      </c>
      <c r="E232" s="85"/>
      <c r="F232" s="10">
        <f t="shared" ref="F232:W232" si="589">VLOOKUP(F$203,CASETA2,8,0)</f>
        <v>39</v>
      </c>
      <c r="G232" s="10">
        <f t="shared" si="589"/>
        <v>0</v>
      </c>
      <c r="H232" s="10">
        <f t="shared" si="589"/>
        <v>0</v>
      </c>
      <c r="I232" s="10">
        <f t="shared" si="589"/>
        <v>0</v>
      </c>
      <c r="J232" s="10">
        <f t="shared" si="589"/>
        <v>0</v>
      </c>
      <c r="K232" s="10">
        <f t="shared" si="589"/>
        <v>0</v>
      </c>
      <c r="L232" s="10">
        <f t="shared" si="589"/>
        <v>0</v>
      </c>
      <c r="M232" s="10">
        <f t="shared" si="589"/>
        <v>0</v>
      </c>
      <c r="N232" s="10">
        <f t="shared" si="589"/>
        <v>0</v>
      </c>
      <c r="O232" s="10">
        <f t="shared" si="589"/>
        <v>0</v>
      </c>
      <c r="P232" s="10">
        <f t="shared" si="589"/>
        <v>0</v>
      </c>
      <c r="Q232" s="10">
        <f t="shared" si="589"/>
        <v>0</v>
      </c>
      <c r="R232" s="10">
        <f t="shared" si="589"/>
        <v>4</v>
      </c>
      <c r="S232" s="10">
        <f t="shared" si="589"/>
        <v>7</v>
      </c>
      <c r="T232" s="10">
        <f t="shared" si="589"/>
        <v>0</v>
      </c>
      <c r="U232" s="10">
        <f t="shared" si="589"/>
        <v>0</v>
      </c>
      <c r="V232" s="10">
        <f t="shared" si="589"/>
        <v>0</v>
      </c>
      <c r="W232" s="10">
        <f t="shared" si="589"/>
        <v>0</v>
      </c>
    </row>
    <row r="233" spans="3:23" x14ac:dyDescent="0.25">
      <c r="C233" s="78" t="str">
        <f t="shared" si="586"/>
        <v>CASETA 2</v>
      </c>
      <c r="D233" s="23" t="s">
        <v>18</v>
      </c>
      <c r="E233" s="85"/>
      <c r="F233" s="10">
        <f t="shared" ref="F233:W233" si="590">VLOOKUP(F$203,CASETA2,9,0)</f>
        <v>847</v>
      </c>
      <c r="G233" s="10">
        <f t="shared" si="590"/>
        <v>752</v>
      </c>
      <c r="H233" s="10">
        <f t="shared" si="590"/>
        <v>482</v>
      </c>
      <c r="I233" s="10">
        <f t="shared" si="590"/>
        <v>206</v>
      </c>
      <c r="J233" s="10">
        <f t="shared" si="590"/>
        <v>98</v>
      </c>
      <c r="K233" s="10">
        <f t="shared" si="590"/>
        <v>95</v>
      </c>
      <c r="L233" s="10">
        <f t="shared" si="590"/>
        <v>138</v>
      </c>
      <c r="M233" s="10">
        <f t="shared" si="590"/>
        <v>56</v>
      </c>
      <c r="N233" s="10">
        <f t="shared" si="590"/>
        <v>23</v>
      </c>
      <c r="O233" s="10">
        <f t="shared" si="590"/>
        <v>84</v>
      </c>
      <c r="P233" s="10">
        <f t="shared" si="590"/>
        <v>36</v>
      </c>
      <c r="Q233" s="10">
        <f t="shared" si="590"/>
        <v>31</v>
      </c>
      <c r="R233" s="10">
        <f t="shared" si="590"/>
        <v>65</v>
      </c>
      <c r="S233" s="10">
        <f t="shared" si="590"/>
        <v>97</v>
      </c>
      <c r="T233" s="10">
        <f t="shared" si="590"/>
        <v>15</v>
      </c>
      <c r="U233" s="10">
        <f t="shared" si="590"/>
        <v>0</v>
      </c>
      <c r="V233" s="10">
        <f t="shared" si="590"/>
        <v>0</v>
      </c>
      <c r="W233" s="10">
        <f t="shared" si="590"/>
        <v>0</v>
      </c>
    </row>
    <row r="234" spans="3:23" x14ac:dyDescent="0.25">
      <c r="C234" s="78" t="str">
        <f t="shared" si="586"/>
        <v>CASETA 2</v>
      </c>
      <c r="D234" s="23" t="s">
        <v>48</v>
      </c>
      <c r="E234" s="85"/>
      <c r="F234" s="10">
        <f t="shared" ref="F234:W234" si="591">VLOOKUP(F$203,CASETA2,10,0)</f>
        <v>847</v>
      </c>
      <c r="G234" s="10">
        <f t="shared" si="591"/>
        <v>1599</v>
      </c>
      <c r="H234" s="10">
        <f t="shared" si="591"/>
        <v>2081</v>
      </c>
      <c r="I234" s="10">
        <f t="shared" si="591"/>
        <v>2287</v>
      </c>
      <c r="J234" s="10">
        <f t="shared" si="591"/>
        <v>2385</v>
      </c>
      <c r="K234" s="10">
        <f t="shared" si="591"/>
        <v>2480</v>
      </c>
      <c r="L234" s="10">
        <f t="shared" si="591"/>
        <v>2618</v>
      </c>
      <c r="M234" s="10">
        <f t="shared" si="591"/>
        <v>2674</v>
      </c>
      <c r="N234" s="10">
        <f t="shared" si="591"/>
        <v>2697</v>
      </c>
      <c r="O234" s="10">
        <f t="shared" si="591"/>
        <v>2781</v>
      </c>
      <c r="P234" s="10">
        <f t="shared" si="591"/>
        <v>2817</v>
      </c>
      <c r="Q234" s="10">
        <f t="shared" si="591"/>
        <v>2848</v>
      </c>
      <c r="R234" s="10">
        <f t="shared" si="591"/>
        <v>2913</v>
      </c>
      <c r="S234" s="10">
        <f t="shared" si="591"/>
        <v>3010</v>
      </c>
      <c r="T234" s="10">
        <f t="shared" si="591"/>
        <v>3025</v>
      </c>
      <c r="U234" s="10">
        <f t="shared" si="591"/>
        <v>3025</v>
      </c>
      <c r="V234" s="10">
        <f t="shared" si="591"/>
        <v>3025</v>
      </c>
      <c r="W234" s="10">
        <f t="shared" si="591"/>
        <v>3025</v>
      </c>
    </row>
    <row r="235" spans="3:23" x14ac:dyDescent="0.25">
      <c r="C235" s="78" t="str">
        <f t="shared" si="586"/>
        <v>CASETA 2</v>
      </c>
      <c r="D235" s="86" t="s">
        <v>72</v>
      </c>
      <c r="E235" s="222"/>
      <c r="F235" s="10">
        <f t="shared" ref="F235:W235" si="592">VLOOKUP(F$203,CASETA2,11,0)</f>
        <v>0.7</v>
      </c>
      <c r="G235" s="10">
        <f t="shared" si="592"/>
        <v>0.7</v>
      </c>
      <c r="H235" s="10">
        <f t="shared" si="592"/>
        <v>0.5</v>
      </c>
      <c r="I235" s="10">
        <f t="shared" si="592"/>
        <v>0.3</v>
      </c>
      <c r="J235" s="10">
        <f t="shared" si="592"/>
        <v>0.18</v>
      </c>
      <c r="K235" s="10">
        <f t="shared" si="592"/>
        <v>0.18</v>
      </c>
      <c r="L235" s="10">
        <f t="shared" si="592"/>
        <v>0.16</v>
      </c>
      <c r="M235" s="10">
        <f t="shared" si="592"/>
        <v>0.16</v>
      </c>
      <c r="N235" s="10">
        <f t="shared" si="592"/>
        <v>0.16</v>
      </c>
      <c r="O235" s="10">
        <f t="shared" si="592"/>
        <v>0.16</v>
      </c>
      <c r="P235" s="10">
        <f t="shared" si="592"/>
        <v>0.16</v>
      </c>
      <c r="Q235" s="10">
        <f t="shared" si="592"/>
        <v>0.16</v>
      </c>
      <c r="R235" s="10">
        <f t="shared" si="592"/>
        <v>0.16</v>
      </c>
      <c r="S235" s="10">
        <f t="shared" si="592"/>
        <v>0.16</v>
      </c>
      <c r="T235" s="10">
        <f t="shared" si="592"/>
        <v>0.16</v>
      </c>
      <c r="U235" s="10">
        <f t="shared" si="592"/>
        <v>0.16</v>
      </c>
      <c r="V235" s="10">
        <f t="shared" si="592"/>
        <v>0.16</v>
      </c>
      <c r="W235" s="10">
        <f t="shared" si="592"/>
        <v>0.16</v>
      </c>
    </row>
    <row r="236" spans="3:23" x14ac:dyDescent="0.25">
      <c r="C236" s="78" t="str">
        <f t="shared" si="586"/>
        <v>CASETA 2</v>
      </c>
      <c r="D236" s="86" t="s">
        <v>74</v>
      </c>
      <c r="E236" s="222"/>
      <c r="F236" s="293">
        <f t="shared" ref="F236:W236" si="593">VLOOKUP(F$203,CASETA2,12,0)</f>
        <v>8.9735181043861623</v>
      </c>
      <c r="G236" s="293">
        <f t="shared" si="593"/>
        <v>8.0359070344744659</v>
      </c>
      <c r="H236" s="293">
        <f t="shared" si="593"/>
        <v>5.1863321895631023</v>
      </c>
      <c r="I236" s="293">
        <f t="shared" si="593"/>
        <v>2.2253048826301898</v>
      </c>
      <c r="J236" s="293">
        <f t="shared" si="593"/>
        <v>1.0604744143932283</v>
      </c>
      <c r="K236" s="293">
        <f t="shared" si="593"/>
        <v>1.0290725938631808</v>
      </c>
      <c r="L236" s="293">
        <f t="shared" si="593"/>
        <v>1.4966679178421618</v>
      </c>
      <c r="M236" s="293">
        <f t="shared" si="593"/>
        <v>0.60803853992110712</v>
      </c>
      <c r="N236" s="293">
        <f t="shared" si="593"/>
        <v>0.24984721188168216</v>
      </c>
      <c r="O236" s="293">
        <f t="shared" si="593"/>
        <v>0.91295848515893319</v>
      </c>
      <c r="P236" s="293">
        <f t="shared" si="593"/>
        <v>0.39154410264073219</v>
      </c>
      <c r="Q236" s="293">
        <f t="shared" si="593"/>
        <v>0.33728695268507553</v>
      </c>
      <c r="R236" s="293">
        <f t="shared" si="593"/>
        <v>0.70754734493303129</v>
      </c>
      <c r="S236" s="293">
        <f t="shared" si="593"/>
        <v>1.0567983201668629</v>
      </c>
      <c r="T236" s="293">
        <f t="shared" si="593"/>
        <v>0.16352338384388967</v>
      </c>
      <c r="U236" s="293">
        <f t="shared" si="593"/>
        <v>0</v>
      </c>
      <c r="V236" s="293">
        <f t="shared" si="593"/>
        <v>0</v>
      </c>
      <c r="W236" s="293">
        <f t="shared" si="593"/>
        <v>0</v>
      </c>
    </row>
    <row r="237" spans="3:23" ht="25.5" x14ac:dyDescent="0.25">
      <c r="C237" s="78" t="str">
        <f t="shared" si="586"/>
        <v>CASETA 2</v>
      </c>
      <c r="D237" s="87" t="s">
        <v>49</v>
      </c>
      <c r="E237" s="223"/>
      <c r="F237" s="10">
        <f t="shared" ref="F237:W237" si="594">VLOOKUP(F$203,CASETA2,13,0)</f>
        <v>0.7</v>
      </c>
      <c r="G237" s="10">
        <f t="shared" si="594"/>
        <v>1.4</v>
      </c>
      <c r="H237" s="10">
        <f t="shared" si="594"/>
        <v>1.9</v>
      </c>
      <c r="I237" s="10">
        <f t="shared" si="594"/>
        <v>2.1999999999999997</v>
      </c>
      <c r="J237" s="10">
        <f t="shared" si="594"/>
        <v>2.38</v>
      </c>
      <c r="K237" s="10">
        <f t="shared" si="594"/>
        <v>2.56</v>
      </c>
      <c r="L237" s="10">
        <f t="shared" si="594"/>
        <v>2.72</v>
      </c>
      <c r="M237" s="10">
        <f t="shared" si="594"/>
        <v>2.8800000000000003</v>
      </c>
      <c r="N237" s="10">
        <f t="shared" si="594"/>
        <v>3.0400000000000005</v>
      </c>
      <c r="O237" s="10">
        <f t="shared" si="594"/>
        <v>3.2000000000000006</v>
      </c>
      <c r="P237" s="10">
        <f t="shared" si="594"/>
        <v>3.3600000000000008</v>
      </c>
      <c r="Q237" s="10">
        <f t="shared" si="594"/>
        <v>3.5200000000000009</v>
      </c>
      <c r="R237" s="10">
        <f t="shared" si="594"/>
        <v>3.680000000000001</v>
      </c>
      <c r="S237" s="10">
        <f t="shared" si="594"/>
        <v>3.8400000000000012</v>
      </c>
      <c r="T237" s="10">
        <f t="shared" si="594"/>
        <v>4.0000000000000009</v>
      </c>
      <c r="U237" s="10">
        <f t="shared" si="594"/>
        <v>4.160000000000001</v>
      </c>
      <c r="V237" s="10">
        <f t="shared" si="594"/>
        <v>4.3200000000000012</v>
      </c>
      <c r="W237" s="10">
        <f t="shared" si="594"/>
        <v>4.4800000000000013</v>
      </c>
    </row>
    <row r="238" spans="3:23" ht="25.5" x14ac:dyDescent="0.25">
      <c r="C238" s="78" t="str">
        <f t="shared" si="586"/>
        <v>CASETA 2</v>
      </c>
      <c r="D238" s="87" t="s">
        <v>73</v>
      </c>
      <c r="E238" s="223"/>
      <c r="F238" s="293">
        <f t="shared" ref="F238:W238" si="595">VLOOKUP(F$203,CASETA2,14,0)</f>
        <v>0.90024977414040497</v>
      </c>
      <c r="G238" s="293">
        <f t="shared" si="595"/>
        <v>1.7149476077607011</v>
      </c>
      <c r="H238" s="293">
        <f t="shared" si="595"/>
        <v>2.2449001607352832</v>
      </c>
      <c r="I238" s="293">
        <f t="shared" si="595"/>
        <v>2.4731543261276263</v>
      </c>
      <c r="J238" s="293">
        <f t="shared" si="595"/>
        <v>2.5820910065283056</v>
      </c>
      <c r="K238" s="293">
        <f t="shared" si="595"/>
        <v>2.6873564214815135</v>
      </c>
      <c r="L238" s="293">
        <f t="shared" si="595"/>
        <v>2.8416368175404321</v>
      </c>
      <c r="M238" s="293">
        <f t="shared" si="595"/>
        <v>2.9042488487270832</v>
      </c>
      <c r="N238" s="293">
        <f t="shared" si="595"/>
        <v>2.9300248785946308</v>
      </c>
      <c r="O238" s="293">
        <f t="shared" si="595"/>
        <v>3.0239765128037841</v>
      </c>
      <c r="P238" s="293">
        <f t="shared" si="595"/>
        <v>3.0643213784551122</v>
      </c>
      <c r="Q238" s="293">
        <f t="shared" si="595"/>
        <v>3.099189292126884</v>
      </c>
      <c r="R238" s="293">
        <f t="shared" si="595"/>
        <v>3.1714407028774865</v>
      </c>
      <c r="S238" s="293">
        <f t="shared" si="595"/>
        <v>3.2807612238002331</v>
      </c>
      <c r="T238" s="293">
        <f t="shared" si="595"/>
        <v>3.2982609169710515</v>
      </c>
      <c r="U238" s="293">
        <f t="shared" si="595"/>
        <v>3.2982609169710515</v>
      </c>
      <c r="V238" s="293">
        <f t="shared" si="595"/>
        <v>3.2982609169710515</v>
      </c>
      <c r="W238" s="293">
        <f t="shared" si="595"/>
        <v>3.2982609169710515</v>
      </c>
    </row>
    <row r="239" spans="3:23" x14ac:dyDescent="0.25">
      <c r="C239" s="78" t="str">
        <f t="shared" si="586"/>
        <v>CASETA 2</v>
      </c>
      <c r="D239" s="23" t="s">
        <v>9</v>
      </c>
      <c r="E239" s="85"/>
      <c r="F239" s="10">
        <f t="shared" ref="F239:W239" si="596">VLOOKUP(F$203,CASETA2,15,0)</f>
        <v>0</v>
      </c>
      <c r="G239" s="10">
        <f t="shared" si="596"/>
        <v>0</v>
      </c>
      <c r="H239" s="10">
        <f t="shared" si="596"/>
        <v>0</v>
      </c>
      <c r="I239" s="10">
        <f t="shared" si="596"/>
        <v>0</v>
      </c>
      <c r="J239" s="10">
        <f t="shared" si="596"/>
        <v>0</v>
      </c>
      <c r="K239" s="10">
        <f t="shared" si="596"/>
        <v>5116</v>
      </c>
      <c r="L239" s="10">
        <f t="shared" si="596"/>
        <v>0</v>
      </c>
      <c r="M239" s="10">
        <f t="shared" si="596"/>
        <v>0</v>
      </c>
      <c r="N239" s="10">
        <f t="shared" si="596"/>
        <v>0</v>
      </c>
      <c r="O239" s="10">
        <f t="shared" si="596"/>
        <v>0</v>
      </c>
      <c r="P239" s="10">
        <f t="shared" si="596"/>
        <v>0</v>
      </c>
      <c r="Q239" s="10">
        <f t="shared" si="596"/>
        <v>0</v>
      </c>
      <c r="R239" s="10">
        <f t="shared" si="596"/>
        <v>0</v>
      </c>
      <c r="S239" s="10">
        <f t="shared" si="596"/>
        <v>0</v>
      </c>
      <c r="T239" s="10">
        <f t="shared" si="596"/>
        <v>0</v>
      </c>
      <c r="U239" s="10">
        <f t="shared" si="596"/>
        <v>0</v>
      </c>
      <c r="V239" s="10">
        <f t="shared" si="596"/>
        <v>0</v>
      </c>
      <c r="W239" s="10">
        <f t="shared" si="596"/>
        <v>0</v>
      </c>
    </row>
    <row r="240" spans="3:23" ht="25.5" x14ac:dyDescent="0.25">
      <c r="C240" s="78" t="str">
        <f t="shared" si="586"/>
        <v>CASETA 2</v>
      </c>
      <c r="D240" s="86" t="s">
        <v>75</v>
      </c>
      <c r="E240" s="222"/>
      <c r="F240" s="10">
        <f t="shared" ref="F240:W240" si="597">VLOOKUP(F$203,CASETA2,16,0)</f>
        <v>6</v>
      </c>
      <c r="G240" s="10">
        <f t="shared" si="597"/>
        <v>12</v>
      </c>
      <c r="H240" s="10">
        <f t="shared" si="597"/>
        <v>20</v>
      </c>
      <c r="I240" s="10">
        <f t="shared" si="597"/>
        <v>29</v>
      </c>
      <c r="J240" s="10">
        <f t="shared" si="597"/>
        <v>36</v>
      </c>
      <c r="K240" s="10">
        <f t="shared" si="597"/>
        <v>40</v>
      </c>
      <c r="L240" s="10">
        <f t="shared" si="597"/>
        <v>43</v>
      </c>
      <c r="M240" s="10">
        <f t="shared" si="597"/>
        <v>45</v>
      </c>
      <c r="N240" s="10">
        <f t="shared" si="597"/>
        <v>47</v>
      </c>
      <c r="O240" s="10">
        <f t="shared" si="597"/>
        <v>49</v>
      </c>
      <c r="P240" s="10">
        <f t="shared" si="597"/>
        <v>51</v>
      </c>
      <c r="Q240" s="10">
        <f t="shared" si="597"/>
        <v>53</v>
      </c>
      <c r="R240" s="10">
        <f t="shared" si="597"/>
        <v>55</v>
      </c>
      <c r="S240" s="10">
        <f t="shared" si="597"/>
        <v>57</v>
      </c>
      <c r="T240" s="10">
        <f t="shared" si="597"/>
        <v>60</v>
      </c>
      <c r="U240" s="10">
        <f t="shared" si="597"/>
        <v>64</v>
      </c>
      <c r="V240" s="10">
        <f t="shared" si="597"/>
        <v>70</v>
      </c>
      <c r="W240" s="10">
        <f t="shared" si="597"/>
        <v>77</v>
      </c>
    </row>
    <row r="241" spans="3:23" ht="25.5" x14ac:dyDescent="0.25">
      <c r="C241" s="78" t="str">
        <f t="shared" si="586"/>
        <v>CASETA 2</v>
      </c>
      <c r="D241" s="86" t="s">
        <v>62</v>
      </c>
      <c r="E241" s="222"/>
      <c r="F241" s="10">
        <f t="shared" ref="F241:W241" si="598">VLOOKUP(F$203,CASETA2,17,0)</f>
        <v>0</v>
      </c>
      <c r="G241" s="10">
        <f t="shared" si="598"/>
        <v>0</v>
      </c>
      <c r="H241" s="10">
        <f t="shared" si="598"/>
        <v>0</v>
      </c>
      <c r="I241" s="10">
        <f t="shared" si="598"/>
        <v>0</v>
      </c>
      <c r="J241" s="10">
        <f t="shared" si="598"/>
        <v>0</v>
      </c>
      <c r="K241" s="10">
        <f t="shared" si="598"/>
        <v>7.9162205153280058E-3</v>
      </c>
      <c r="L241" s="10">
        <f t="shared" si="598"/>
        <v>0</v>
      </c>
      <c r="M241" s="10">
        <f t="shared" si="598"/>
        <v>0</v>
      </c>
      <c r="N241" s="10">
        <f t="shared" si="598"/>
        <v>0</v>
      </c>
      <c r="O241" s="10">
        <f t="shared" si="598"/>
        <v>0</v>
      </c>
      <c r="P241" s="10">
        <f t="shared" si="598"/>
        <v>0</v>
      </c>
      <c r="Q241" s="10">
        <f t="shared" si="598"/>
        <v>0</v>
      </c>
      <c r="R241" s="10">
        <f t="shared" si="598"/>
        <v>0</v>
      </c>
      <c r="S241" s="10">
        <f t="shared" si="598"/>
        <v>0</v>
      </c>
      <c r="T241" s="10">
        <f t="shared" si="598"/>
        <v>0</v>
      </c>
      <c r="U241" s="10">
        <f t="shared" si="598"/>
        <v>0</v>
      </c>
      <c r="V241" s="10">
        <f t="shared" si="598"/>
        <v>0</v>
      </c>
      <c r="W241" s="10">
        <f t="shared" si="598"/>
        <v>0</v>
      </c>
    </row>
    <row r="242" spans="3:23" ht="25.5" x14ac:dyDescent="0.25">
      <c r="C242" s="78" t="str">
        <f t="shared" si="586"/>
        <v>CASETA 2</v>
      </c>
      <c r="D242" s="24" t="s">
        <v>50</v>
      </c>
      <c r="E242" s="207"/>
      <c r="F242" s="10">
        <f t="shared" ref="F242:W242" si="599">VLOOKUP(F$203,CASETA2,18,0)</f>
        <v>0</v>
      </c>
      <c r="G242" s="10">
        <f t="shared" si="599"/>
        <v>0</v>
      </c>
      <c r="H242" s="10">
        <f t="shared" si="599"/>
        <v>0</v>
      </c>
      <c r="I242" s="10">
        <f t="shared" si="599"/>
        <v>0</v>
      </c>
      <c r="J242" s="10">
        <f t="shared" si="599"/>
        <v>0</v>
      </c>
      <c r="K242" s="10">
        <f t="shared" si="599"/>
        <v>5.5413543607296042E-2</v>
      </c>
      <c r="L242" s="10">
        <f t="shared" si="599"/>
        <v>5.5413543607296042E-2</v>
      </c>
      <c r="M242" s="10">
        <f t="shared" si="599"/>
        <v>5.5413543607296042E-2</v>
      </c>
      <c r="N242" s="10">
        <f t="shared" si="599"/>
        <v>5.5413543607296042E-2</v>
      </c>
      <c r="O242" s="10">
        <f t="shared" si="599"/>
        <v>5.5413543607296042E-2</v>
      </c>
      <c r="P242" s="10">
        <f t="shared" si="599"/>
        <v>5.5413543607296042E-2</v>
      </c>
      <c r="Q242" s="10">
        <f t="shared" si="599"/>
        <v>5.5413543607296042E-2</v>
      </c>
      <c r="R242" s="10">
        <f t="shared" si="599"/>
        <v>5.5413543607296042E-2</v>
      </c>
      <c r="S242" s="10">
        <f t="shared" si="599"/>
        <v>5.5413543607296042E-2</v>
      </c>
      <c r="T242" s="10">
        <f t="shared" si="599"/>
        <v>5.5413543607296042E-2</v>
      </c>
      <c r="U242" s="10">
        <f t="shared" si="599"/>
        <v>5.5413543607296042E-2</v>
      </c>
      <c r="V242" s="10">
        <f t="shared" si="599"/>
        <v>5.5413543607296042E-2</v>
      </c>
      <c r="W242" s="10">
        <f t="shared" si="599"/>
        <v>5.5413543607296042E-2</v>
      </c>
    </row>
    <row r="243" spans="3:23" x14ac:dyDescent="0.25">
      <c r="C243" s="78" t="str">
        <f t="shared" si="586"/>
        <v>CASETA 2</v>
      </c>
      <c r="D243" s="86" t="s">
        <v>63</v>
      </c>
      <c r="E243" s="222"/>
      <c r="F243" s="10">
        <f t="shared" ref="F243:W243" si="600">VLOOKUP(F$203,CASETA2,19,0)</f>
        <v>64</v>
      </c>
      <c r="G243" s="10">
        <f t="shared" si="600"/>
        <v>118</v>
      </c>
      <c r="H243" s="10">
        <f t="shared" si="600"/>
        <v>185</v>
      </c>
      <c r="I243" s="10">
        <f t="shared" si="600"/>
        <v>258</v>
      </c>
      <c r="J243" s="10">
        <f t="shared" si="600"/>
        <v>336</v>
      </c>
      <c r="K243" s="10">
        <f t="shared" si="600"/>
        <v>419</v>
      </c>
      <c r="L243" s="10">
        <f t="shared" si="600"/>
        <v>502</v>
      </c>
      <c r="M243" s="10">
        <f t="shared" si="600"/>
        <v>585</v>
      </c>
      <c r="N243" s="10">
        <f t="shared" si="600"/>
        <v>668</v>
      </c>
      <c r="O243" s="10">
        <f t="shared" si="600"/>
        <v>746</v>
      </c>
      <c r="P243" s="10">
        <f t="shared" si="600"/>
        <v>824</v>
      </c>
      <c r="Q243" s="10">
        <f t="shared" si="600"/>
        <v>902</v>
      </c>
      <c r="R243" s="10">
        <f t="shared" si="600"/>
        <v>975</v>
      </c>
      <c r="S243" s="10">
        <f t="shared" si="600"/>
        <v>1048</v>
      </c>
      <c r="T243" s="10">
        <f t="shared" si="600"/>
        <v>1112</v>
      </c>
      <c r="U243" s="10">
        <f t="shared" si="600"/>
        <v>1165</v>
      </c>
      <c r="V243" s="10">
        <f t="shared" si="600"/>
        <v>1204</v>
      </c>
      <c r="W243" s="10">
        <f t="shared" si="600"/>
        <v>1229</v>
      </c>
    </row>
    <row r="244" spans="3:23" x14ac:dyDescent="0.25">
      <c r="C244" s="78" t="str">
        <f t="shared" si="586"/>
        <v>CASETA 2</v>
      </c>
      <c r="D244" s="86" t="s">
        <v>64</v>
      </c>
      <c r="E244" s="222"/>
      <c r="F244" s="10">
        <f t="shared" ref="F244:W244" si="601">VLOOKUP(F$203,CASETA2,20,0)</f>
        <v>67.900000000000006</v>
      </c>
      <c r="G244" s="10">
        <f t="shared" si="601"/>
        <v>86.24</v>
      </c>
      <c r="H244" s="10">
        <f t="shared" si="601"/>
        <v>162.4</v>
      </c>
      <c r="I244" s="10">
        <f t="shared" si="601"/>
        <v>215.2</v>
      </c>
      <c r="J244" s="10">
        <f t="shared" si="601"/>
        <v>322</v>
      </c>
      <c r="K244" s="10">
        <f t="shared" si="601"/>
        <v>409</v>
      </c>
      <c r="L244" s="10">
        <f t="shared" si="601"/>
        <v>492</v>
      </c>
      <c r="M244" s="10">
        <f t="shared" si="601"/>
        <v>578</v>
      </c>
      <c r="N244" s="10">
        <f t="shared" si="601"/>
        <v>673</v>
      </c>
      <c r="O244" s="10">
        <f t="shared" si="601"/>
        <v>784</v>
      </c>
      <c r="P244" s="10">
        <f t="shared" si="601"/>
        <v>834</v>
      </c>
      <c r="Q244" s="10">
        <f t="shared" si="601"/>
        <v>888</v>
      </c>
      <c r="R244" s="10">
        <f t="shared" si="601"/>
        <v>915</v>
      </c>
      <c r="S244" s="10">
        <f t="shared" si="601"/>
        <v>967</v>
      </c>
      <c r="T244" s="10">
        <f t="shared" si="601"/>
        <v>0</v>
      </c>
      <c r="U244" s="10">
        <f t="shared" si="601"/>
        <v>0</v>
      </c>
      <c r="V244" s="10">
        <f t="shared" si="601"/>
        <v>0</v>
      </c>
      <c r="W244" s="10">
        <f t="shared" si="601"/>
        <v>0</v>
      </c>
    </row>
    <row r="245" spans="3:23" x14ac:dyDescent="0.25">
      <c r="C245" s="78" t="str">
        <f t="shared" si="586"/>
        <v>CASETA 2</v>
      </c>
      <c r="D245" s="23" t="s">
        <v>15</v>
      </c>
      <c r="E245" s="85"/>
      <c r="F245" s="10">
        <f t="shared" ref="F245:W245" si="602">VLOOKUP(F$203,CASETA2,21,0)</f>
        <v>-3.9000000000000057</v>
      </c>
      <c r="G245" s="10">
        <f t="shared" si="602"/>
        <v>31.760000000000005</v>
      </c>
      <c r="H245" s="10">
        <f t="shared" si="602"/>
        <v>22.599999999999994</v>
      </c>
      <c r="I245" s="10">
        <f t="shared" si="602"/>
        <v>42.800000000000011</v>
      </c>
      <c r="J245" s="10">
        <f t="shared" si="602"/>
        <v>14</v>
      </c>
      <c r="K245" s="10">
        <f t="shared" si="602"/>
        <v>10</v>
      </c>
      <c r="L245" s="10">
        <f t="shared" si="602"/>
        <v>10</v>
      </c>
      <c r="M245" s="10">
        <f t="shared" si="602"/>
        <v>7</v>
      </c>
      <c r="N245" s="10">
        <f t="shared" si="602"/>
        <v>-5</v>
      </c>
      <c r="O245" s="10">
        <f t="shared" si="602"/>
        <v>-38</v>
      </c>
      <c r="P245" s="10">
        <f t="shared" si="602"/>
        <v>-10</v>
      </c>
      <c r="Q245" s="10">
        <f t="shared" si="602"/>
        <v>14</v>
      </c>
      <c r="R245" s="10">
        <f t="shared" si="602"/>
        <v>60</v>
      </c>
      <c r="S245" s="10">
        <f t="shared" si="602"/>
        <v>81</v>
      </c>
      <c r="T245" s="10">
        <f t="shared" si="602"/>
        <v>1112</v>
      </c>
      <c r="U245" s="10">
        <f t="shared" si="602"/>
        <v>1165</v>
      </c>
      <c r="V245" s="10">
        <f t="shared" si="602"/>
        <v>1204</v>
      </c>
      <c r="W245" s="10">
        <f t="shared" si="602"/>
        <v>1229</v>
      </c>
    </row>
    <row r="246" spans="3:23" ht="25.5" x14ac:dyDescent="0.25">
      <c r="C246" s="78" t="str">
        <f t="shared" si="586"/>
        <v>CASETA 2</v>
      </c>
      <c r="D246" s="86" t="s">
        <v>65</v>
      </c>
      <c r="E246" s="222"/>
      <c r="F246" s="10">
        <f t="shared" ref="F246:W246" si="603">VLOOKUP(F$203,CASETA2,22,0)</f>
        <v>77</v>
      </c>
      <c r="G246" s="10">
        <f t="shared" si="603"/>
        <v>77</v>
      </c>
      <c r="H246" s="10">
        <f t="shared" si="603"/>
        <v>77</v>
      </c>
      <c r="I246" s="10">
        <f t="shared" si="603"/>
        <v>79</v>
      </c>
      <c r="J246" s="10">
        <f t="shared" si="603"/>
        <v>79</v>
      </c>
      <c r="K246" s="10">
        <f t="shared" si="603"/>
        <v>79</v>
      </c>
      <c r="L246" s="10">
        <f t="shared" si="603"/>
        <v>79</v>
      </c>
      <c r="M246" s="10">
        <f t="shared" si="603"/>
        <v>79</v>
      </c>
      <c r="N246" s="10">
        <f t="shared" si="603"/>
        <v>79</v>
      </c>
      <c r="O246" s="10">
        <f t="shared" si="603"/>
        <v>80</v>
      </c>
      <c r="P246" s="10">
        <f t="shared" si="603"/>
        <v>80</v>
      </c>
      <c r="Q246" s="10">
        <f t="shared" si="603"/>
        <v>82</v>
      </c>
      <c r="R246" s="10">
        <f t="shared" si="603"/>
        <v>82</v>
      </c>
      <c r="S246" s="10">
        <f t="shared" si="603"/>
        <v>84</v>
      </c>
      <c r="T246" s="10">
        <f t="shared" si="603"/>
        <v>86</v>
      </c>
      <c r="U246" s="10">
        <f t="shared" si="603"/>
        <v>86</v>
      </c>
      <c r="V246" s="10">
        <f t="shared" si="603"/>
        <v>86</v>
      </c>
      <c r="W246" s="10">
        <f t="shared" si="603"/>
        <v>86</v>
      </c>
    </row>
    <row r="247" spans="3:23" ht="25.5" x14ac:dyDescent="0.25">
      <c r="C247" s="78" t="str">
        <f t="shared" si="586"/>
        <v>CASETA 2</v>
      </c>
      <c r="D247" s="86" t="s">
        <v>66</v>
      </c>
      <c r="E247" s="222"/>
      <c r="F247" s="10">
        <f t="shared" ref="F247:W247" si="604">VLOOKUP(F$203,CASETA2,23,0)</f>
        <v>82</v>
      </c>
      <c r="G247" s="10">
        <f t="shared" si="604"/>
        <v>81</v>
      </c>
      <c r="H247" s="10">
        <f t="shared" si="604"/>
        <v>82</v>
      </c>
      <c r="I247" s="10">
        <f t="shared" si="604"/>
        <v>84</v>
      </c>
      <c r="J247" s="10">
        <f t="shared" si="604"/>
        <v>82</v>
      </c>
      <c r="K247" s="10">
        <f t="shared" si="604"/>
        <v>89</v>
      </c>
      <c r="L247" s="10">
        <f t="shared" si="604"/>
        <v>87</v>
      </c>
      <c r="M247" s="10">
        <f t="shared" si="604"/>
        <v>86</v>
      </c>
      <c r="N247" s="10">
        <f t="shared" si="604"/>
        <v>86</v>
      </c>
      <c r="O247" s="10">
        <f t="shared" si="604"/>
        <v>88</v>
      </c>
      <c r="P247" s="10">
        <f t="shared" si="604"/>
        <v>88</v>
      </c>
      <c r="Q247" s="10">
        <f t="shared" si="604"/>
        <v>85</v>
      </c>
      <c r="R247" s="10">
        <f t="shared" si="604"/>
        <v>82</v>
      </c>
      <c r="S247" s="10">
        <f t="shared" si="604"/>
        <v>75</v>
      </c>
      <c r="T247" s="10">
        <f t="shared" si="604"/>
        <v>0</v>
      </c>
      <c r="U247" s="10">
        <f t="shared" si="604"/>
        <v>0</v>
      </c>
      <c r="V247" s="10">
        <f t="shared" si="604"/>
        <v>0</v>
      </c>
      <c r="W247" s="10">
        <f t="shared" si="604"/>
        <v>0</v>
      </c>
    </row>
    <row r="248" spans="3:23" x14ac:dyDescent="0.25">
      <c r="C248" s="78" t="str">
        <f t="shared" si="586"/>
        <v>CASETA 2</v>
      </c>
      <c r="D248" s="23" t="s">
        <v>15</v>
      </c>
      <c r="E248" s="85"/>
      <c r="F248" s="10">
        <f t="shared" ref="F248:W248" si="605">VLOOKUP(F$203,CASETA2,24,0)</f>
        <v>-5</v>
      </c>
      <c r="G248" s="10">
        <f t="shared" si="605"/>
        <v>-4</v>
      </c>
      <c r="H248" s="10">
        <f t="shared" si="605"/>
        <v>-5</v>
      </c>
      <c r="I248" s="10">
        <f t="shared" si="605"/>
        <v>-5</v>
      </c>
      <c r="J248" s="10">
        <f t="shared" si="605"/>
        <v>-3</v>
      </c>
      <c r="K248" s="10">
        <f t="shared" si="605"/>
        <v>-10</v>
      </c>
      <c r="L248" s="10">
        <f t="shared" si="605"/>
        <v>-8</v>
      </c>
      <c r="M248" s="10">
        <f t="shared" si="605"/>
        <v>-7</v>
      </c>
      <c r="N248" s="10">
        <f t="shared" si="605"/>
        <v>-7</v>
      </c>
      <c r="O248" s="10">
        <f t="shared" si="605"/>
        <v>-8</v>
      </c>
      <c r="P248" s="10">
        <f t="shared" si="605"/>
        <v>-8</v>
      </c>
      <c r="Q248" s="10">
        <f t="shared" si="605"/>
        <v>-3</v>
      </c>
      <c r="R248" s="10">
        <f t="shared" si="605"/>
        <v>0</v>
      </c>
      <c r="S248" s="10">
        <f t="shared" si="605"/>
        <v>9</v>
      </c>
      <c r="T248" s="10">
        <f t="shared" si="605"/>
        <v>86</v>
      </c>
      <c r="U248" s="10">
        <f t="shared" si="605"/>
        <v>86</v>
      </c>
      <c r="V248" s="10">
        <f t="shared" si="605"/>
        <v>86</v>
      </c>
      <c r="W248" s="10">
        <f t="shared" si="605"/>
        <v>86</v>
      </c>
    </row>
    <row r="252" spans="3:23" ht="25.5" x14ac:dyDescent="0.25">
      <c r="C252" t="s">
        <v>54</v>
      </c>
      <c r="D252" s="24" t="s">
        <v>67</v>
      </c>
      <c r="E252" s="207"/>
      <c r="F252" s="10">
        <f t="shared" ref="F252:W252" si="606">VLOOKUP(F$203,CASETA3,4,0)</f>
        <v>193760</v>
      </c>
      <c r="G252" s="10">
        <f t="shared" si="606"/>
        <v>191065</v>
      </c>
      <c r="H252" s="10">
        <f t="shared" si="606"/>
        <v>189978</v>
      </c>
      <c r="I252" s="10">
        <f t="shared" si="606"/>
        <v>189685</v>
      </c>
      <c r="J252" s="10">
        <f t="shared" si="606"/>
        <v>171499</v>
      </c>
      <c r="K252" s="10">
        <f t="shared" si="606"/>
        <v>122165</v>
      </c>
      <c r="L252" s="10">
        <f t="shared" si="606"/>
        <v>95232</v>
      </c>
      <c r="M252" s="10">
        <f t="shared" si="606"/>
        <v>95163</v>
      </c>
      <c r="N252" s="10">
        <f t="shared" si="606"/>
        <v>95123</v>
      </c>
      <c r="O252" s="10">
        <f t="shared" si="606"/>
        <v>95072</v>
      </c>
      <c r="P252" s="10">
        <f t="shared" si="606"/>
        <v>95048</v>
      </c>
      <c r="Q252" s="10">
        <f t="shared" si="606"/>
        <v>95017</v>
      </c>
      <c r="R252" s="10">
        <f t="shared" si="606"/>
        <v>94976</v>
      </c>
      <c r="S252" s="10">
        <f t="shared" si="606"/>
        <v>94848</v>
      </c>
      <c r="T252" s="10">
        <f t="shared" si="606"/>
        <v>94787</v>
      </c>
      <c r="U252" s="10">
        <f t="shared" si="606"/>
        <v>94787</v>
      </c>
      <c r="V252" s="10">
        <f t="shared" si="606"/>
        <v>94787</v>
      </c>
      <c r="W252" s="10">
        <f t="shared" si="606"/>
        <v>94787</v>
      </c>
    </row>
    <row r="253" spans="3:23" x14ac:dyDescent="0.25">
      <c r="C253" s="78" t="str">
        <f>C252</f>
        <v>CASETA 3</v>
      </c>
      <c r="D253" s="24" t="s">
        <v>34</v>
      </c>
      <c r="E253" s="207"/>
      <c r="F253" s="10">
        <f t="shared" ref="F253:W253" si="607">VLOOKUP(F$203,CASETA3,5,0)</f>
        <v>192706</v>
      </c>
      <c r="G253" s="10">
        <f t="shared" si="607"/>
        <v>190802</v>
      </c>
      <c r="H253" s="10">
        <f t="shared" si="607"/>
        <v>189908</v>
      </c>
      <c r="I253" s="10">
        <f t="shared" si="607"/>
        <v>189665</v>
      </c>
      <c r="J253" s="10">
        <f t="shared" si="607"/>
        <v>171429</v>
      </c>
      <c r="K253" s="10">
        <f t="shared" si="607"/>
        <v>122134</v>
      </c>
      <c r="L253" s="10">
        <f t="shared" si="607"/>
        <v>95224</v>
      </c>
      <c r="M253" s="10">
        <f t="shared" si="607"/>
        <v>95153</v>
      </c>
      <c r="N253" s="10">
        <f t="shared" si="607"/>
        <v>95120</v>
      </c>
      <c r="O253" s="10">
        <f t="shared" si="607"/>
        <v>95068</v>
      </c>
      <c r="P253" s="10">
        <f t="shared" si="607"/>
        <v>95045</v>
      </c>
      <c r="Q253" s="10">
        <f t="shared" si="607"/>
        <v>95014</v>
      </c>
      <c r="R253" s="10">
        <f t="shared" si="607"/>
        <v>94958</v>
      </c>
      <c r="S253" s="10">
        <f t="shared" si="607"/>
        <v>94841</v>
      </c>
      <c r="T253" s="10">
        <f t="shared" si="607"/>
        <v>94787</v>
      </c>
      <c r="U253" s="10">
        <f t="shared" si="607"/>
        <v>94787</v>
      </c>
      <c r="V253" s="10">
        <f t="shared" si="607"/>
        <v>94787</v>
      </c>
      <c r="W253" s="10">
        <f t="shared" si="607"/>
        <v>94787</v>
      </c>
    </row>
    <row r="254" spans="3:23" x14ac:dyDescent="0.25">
      <c r="C254" s="78" t="str">
        <f t="shared" ref="C254:C272" si="608">C253</f>
        <v>CASETA 3</v>
      </c>
      <c r="D254" s="23" t="s">
        <v>27</v>
      </c>
      <c r="E254" s="85"/>
      <c r="F254" s="10">
        <f t="shared" ref="F254:W254" si="609">VLOOKUP(F$203,CASETA3,6,0)</f>
        <v>50</v>
      </c>
      <c r="G254" s="10">
        <f t="shared" si="609"/>
        <v>231</v>
      </c>
      <c r="H254" s="10">
        <f t="shared" si="609"/>
        <v>95</v>
      </c>
      <c r="I254" s="10">
        <f t="shared" si="609"/>
        <v>18</v>
      </c>
      <c r="J254" s="10">
        <f t="shared" si="609"/>
        <v>296</v>
      </c>
      <c r="K254" s="10">
        <f t="shared" si="609"/>
        <v>310</v>
      </c>
      <c r="L254" s="10">
        <f t="shared" si="609"/>
        <v>42</v>
      </c>
      <c r="M254" s="10">
        <f t="shared" si="609"/>
        <v>5</v>
      </c>
      <c r="N254" s="10">
        <f t="shared" si="609"/>
        <v>0</v>
      </c>
      <c r="O254" s="10">
        <f t="shared" si="609"/>
        <v>26</v>
      </c>
      <c r="P254" s="10">
        <f t="shared" si="609"/>
        <v>0</v>
      </c>
      <c r="Q254" s="10">
        <f t="shared" si="609"/>
        <v>3</v>
      </c>
      <c r="R254" s="10">
        <f t="shared" si="609"/>
        <v>34</v>
      </c>
      <c r="S254" s="10">
        <f t="shared" si="609"/>
        <v>37</v>
      </c>
      <c r="T254" s="10">
        <f t="shared" si="609"/>
        <v>0</v>
      </c>
      <c r="U254" s="10">
        <f t="shared" si="609"/>
        <v>0</v>
      </c>
      <c r="V254" s="10">
        <f t="shared" si="609"/>
        <v>0</v>
      </c>
      <c r="W254" s="10">
        <f t="shared" si="609"/>
        <v>0</v>
      </c>
    </row>
    <row r="255" spans="3:23" x14ac:dyDescent="0.25">
      <c r="C255" s="78" t="str">
        <f t="shared" si="608"/>
        <v>CASETA 3</v>
      </c>
      <c r="D255" s="23" t="s">
        <v>16</v>
      </c>
      <c r="E255" s="85"/>
      <c r="F255" s="10">
        <f t="shared" ref="F255:W255" si="610">VLOOKUP(F$203,CASETA3,7,0)</f>
        <v>925</v>
      </c>
      <c r="G255" s="10">
        <f t="shared" si="610"/>
        <v>1673</v>
      </c>
      <c r="H255" s="10">
        <f t="shared" si="610"/>
        <v>799</v>
      </c>
      <c r="I255" s="10">
        <f t="shared" si="610"/>
        <v>225</v>
      </c>
      <c r="J255" s="10">
        <f t="shared" si="610"/>
        <v>100</v>
      </c>
      <c r="K255" s="10">
        <f t="shared" si="610"/>
        <v>73</v>
      </c>
      <c r="L255" s="10">
        <f t="shared" si="610"/>
        <v>63</v>
      </c>
      <c r="M255" s="10">
        <f t="shared" si="610"/>
        <v>66</v>
      </c>
      <c r="N255" s="10">
        <f t="shared" si="610"/>
        <v>33</v>
      </c>
      <c r="O255" s="10">
        <f t="shared" si="610"/>
        <v>26</v>
      </c>
      <c r="P255" s="10">
        <f t="shared" si="610"/>
        <v>23</v>
      </c>
      <c r="Q255" s="10">
        <f t="shared" si="610"/>
        <v>28</v>
      </c>
      <c r="R255" s="10">
        <f t="shared" si="610"/>
        <v>22</v>
      </c>
      <c r="S255" s="10">
        <f t="shared" si="610"/>
        <v>74</v>
      </c>
      <c r="T255" s="10">
        <f t="shared" si="610"/>
        <v>53</v>
      </c>
      <c r="U255" s="10">
        <f t="shared" si="610"/>
        <v>0</v>
      </c>
      <c r="V255" s="10">
        <f t="shared" si="610"/>
        <v>0</v>
      </c>
      <c r="W255" s="10">
        <f t="shared" si="610"/>
        <v>0</v>
      </c>
    </row>
    <row r="256" spans="3:23" x14ac:dyDescent="0.25">
      <c r="C256" s="78" t="str">
        <f t="shared" si="608"/>
        <v>CASETA 3</v>
      </c>
      <c r="D256" s="23" t="s">
        <v>17</v>
      </c>
      <c r="E256" s="85"/>
      <c r="F256" s="10">
        <f t="shared" ref="F256:W256" si="611">VLOOKUP(F$203,CASETA3,8,0)</f>
        <v>79</v>
      </c>
      <c r="G256" s="10">
        <f t="shared" si="611"/>
        <v>0</v>
      </c>
      <c r="H256" s="10">
        <f t="shared" si="611"/>
        <v>0</v>
      </c>
      <c r="I256" s="10">
        <f t="shared" si="611"/>
        <v>0</v>
      </c>
      <c r="J256" s="10">
        <f t="shared" si="611"/>
        <v>0</v>
      </c>
      <c r="K256" s="10">
        <f t="shared" si="611"/>
        <v>0</v>
      </c>
      <c r="L256" s="10">
        <f t="shared" si="611"/>
        <v>0</v>
      </c>
      <c r="M256" s="10">
        <f t="shared" si="611"/>
        <v>0</v>
      </c>
      <c r="N256" s="10">
        <f t="shared" si="611"/>
        <v>0</v>
      </c>
      <c r="O256" s="10">
        <f t="shared" si="611"/>
        <v>0</v>
      </c>
      <c r="P256" s="10">
        <f t="shared" si="611"/>
        <v>0</v>
      </c>
      <c r="Q256" s="10">
        <f t="shared" si="611"/>
        <v>0</v>
      </c>
      <c r="R256" s="10">
        <f t="shared" si="611"/>
        <v>0</v>
      </c>
      <c r="S256" s="10">
        <f t="shared" si="611"/>
        <v>6</v>
      </c>
      <c r="T256" s="10">
        <f t="shared" si="611"/>
        <v>1</v>
      </c>
      <c r="U256" s="10">
        <f t="shared" si="611"/>
        <v>0</v>
      </c>
      <c r="V256" s="10">
        <f t="shared" si="611"/>
        <v>0</v>
      </c>
      <c r="W256" s="10">
        <f t="shared" si="611"/>
        <v>0</v>
      </c>
    </row>
    <row r="257" spans="3:23" x14ac:dyDescent="0.25">
      <c r="C257" s="78" t="str">
        <f t="shared" si="608"/>
        <v>CASETA 3</v>
      </c>
      <c r="D257" s="23" t="s">
        <v>18</v>
      </c>
      <c r="E257" s="85"/>
      <c r="F257" s="10">
        <f t="shared" ref="F257:W257" si="612">VLOOKUP(F$203,CASETA3,9,0)</f>
        <v>1054</v>
      </c>
      <c r="G257" s="10">
        <f t="shared" si="612"/>
        <v>1904</v>
      </c>
      <c r="H257" s="10">
        <f t="shared" si="612"/>
        <v>894</v>
      </c>
      <c r="I257" s="10">
        <f t="shared" si="612"/>
        <v>243</v>
      </c>
      <c r="J257" s="10">
        <f t="shared" si="612"/>
        <v>396</v>
      </c>
      <c r="K257" s="10">
        <f t="shared" si="612"/>
        <v>383</v>
      </c>
      <c r="L257" s="10">
        <f t="shared" si="612"/>
        <v>105</v>
      </c>
      <c r="M257" s="10">
        <f t="shared" si="612"/>
        <v>71</v>
      </c>
      <c r="N257" s="10">
        <f t="shared" si="612"/>
        <v>33</v>
      </c>
      <c r="O257" s="10">
        <f t="shared" si="612"/>
        <v>52</v>
      </c>
      <c r="P257" s="10">
        <f t="shared" si="612"/>
        <v>23</v>
      </c>
      <c r="Q257" s="10">
        <f t="shared" si="612"/>
        <v>31</v>
      </c>
      <c r="R257" s="10">
        <f t="shared" si="612"/>
        <v>56</v>
      </c>
      <c r="S257" s="10">
        <f t="shared" si="612"/>
        <v>117</v>
      </c>
      <c r="T257" s="10">
        <f t="shared" si="612"/>
        <v>54</v>
      </c>
      <c r="U257" s="10">
        <f t="shared" si="612"/>
        <v>0</v>
      </c>
      <c r="V257" s="10">
        <f t="shared" si="612"/>
        <v>0</v>
      </c>
      <c r="W257" s="10">
        <f t="shared" si="612"/>
        <v>0</v>
      </c>
    </row>
    <row r="258" spans="3:23" x14ac:dyDescent="0.25">
      <c r="C258" s="78" t="str">
        <f t="shared" si="608"/>
        <v>CASETA 3</v>
      </c>
      <c r="D258" s="23" t="s">
        <v>48</v>
      </c>
      <c r="E258" s="85"/>
      <c r="F258" s="10">
        <f t="shared" ref="F258:W258" si="613">VLOOKUP(F$203,CASETA3,10,0)</f>
        <v>1054</v>
      </c>
      <c r="G258" s="10">
        <f t="shared" si="613"/>
        <v>2958</v>
      </c>
      <c r="H258" s="10">
        <f t="shared" si="613"/>
        <v>3852</v>
      </c>
      <c r="I258" s="10">
        <f t="shared" si="613"/>
        <v>4095</v>
      </c>
      <c r="J258" s="10">
        <f t="shared" si="613"/>
        <v>4491</v>
      </c>
      <c r="K258" s="10">
        <f t="shared" si="613"/>
        <v>4874</v>
      </c>
      <c r="L258" s="10">
        <f t="shared" si="613"/>
        <v>4979</v>
      </c>
      <c r="M258" s="10">
        <f t="shared" si="613"/>
        <v>5050</v>
      </c>
      <c r="N258" s="10">
        <f t="shared" si="613"/>
        <v>5083</v>
      </c>
      <c r="O258" s="10">
        <f t="shared" si="613"/>
        <v>5135</v>
      </c>
      <c r="P258" s="10">
        <f t="shared" si="613"/>
        <v>5158</v>
      </c>
      <c r="Q258" s="10">
        <f t="shared" si="613"/>
        <v>5189</v>
      </c>
      <c r="R258" s="10">
        <f t="shared" si="613"/>
        <v>5245</v>
      </c>
      <c r="S258" s="10">
        <f t="shared" si="613"/>
        <v>5362</v>
      </c>
      <c r="T258" s="10">
        <f t="shared" si="613"/>
        <v>5416</v>
      </c>
      <c r="U258" s="10">
        <f t="shared" si="613"/>
        <v>5416</v>
      </c>
      <c r="V258" s="10">
        <f t="shared" si="613"/>
        <v>5416</v>
      </c>
      <c r="W258" s="10">
        <f t="shared" si="613"/>
        <v>5416</v>
      </c>
    </row>
    <row r="259" spans="3:23" x14ac:dyDescent="0.25">
      <c r="C259" s="78" t="str">
        <f t="shared" si="608"/>
        <v>CASETA 3</v>
      </c>
      <c r="D259" s="86" t="s">
        <v>72</v>
      </c>
      <c r="E259" s="222"/>
      <c r="F259" s="10">
        <f t="shared" ref="F259:W259" si="614">VLOOKUP(F$203,CASETA3,11,0)</f>
        <v>0.7</v>
      </c>
      <c r="G259" s="10">
        <f t="shared" si="614"/>
        <v>0.7</v>
      </c>
      <c r="H259" s="10">
        <f t="shared" si="614"/>
        <v>0.5</v>
      </c>
      <c r="I259" s="10">
        <f t="shared" si="614"/>
        <v>0.3</v>
      </c>
      <c r="J259" s="10">
        <f t="shared" si="614"/>
        <v>0.18</v>
      </c>
      <c r="K259" s="10">
        <f t="shared" si="614"/>
        <v>0.18</v>
      </c>
      <c r="L259" s="10">
        <f t="shared" si="614"/>
        <v>0.16</v>
      </c>
      <c r="M259" s="10">
        <f t="shared" si="614"/>
        <v>0.16</v>
      </c>
      <c r="N259" s="10">
        <f t="shared" si="614"/>
        <v>0.16</v>
      </c>
      <c r="O259" s="10">
        <f t="shared" si="614"/>
        <v>0.16</v>
      </c>
      <c r="P259" s="10">
        <f t="shared" si="614"/>
        <v>0.16</v>
      </c>
      <c r="Q259" s="10">
        <f t="shared" si="614"/>
        <v>0.16</v>
      </c>
      <c r="R259" s="10">
        <f t="shared" si="614"/>
        <v>0.16</v>
      </c>
      <c r="S259" s="10">
        <f t="shared" si="614"/>
        <v>0.16</v>
      </c>
      <c r="T259" s="10">
        <f t="shared" si="614"/>
        <v>0.16</v>
      </c>
      <c r="U259" s="10">
        <f t="shared" si="614"/>
        <v>0.16</v>
      </c>
      <c r="V259" s="10">
        <f t="shared" si="614"/>
        <v>0.16</v>
      </c>
      <c r="W259" s="10">
        <f t="shared" si="614"/>
        <v>0.16</v>
      </c>
    </row>
    <row r="260" spans="3:23" x14ac:dyDescent="0.25">
      <c r="C260" s="78" t="str">
        <f t="shared" si="608"/>
        <v>CASETA 3</v>
      </c>
      <c r="D260" s="86" t="s">
        <v>74</v>
      </c>
      <c r="E260" s="222"/>
      <c r="F260" s="293">
        <f t="shared" ref="F260:W260" si="615">VLOOKUP(F$203,CASETA3,12,0)</f>
        <v>5.722448402775492</v>
      </c>
      <c r="G260" s="293">
        <f t="shared" si="615"/>
        <v>9.9223577034387045</v>
      </c>
      <c r="H260" s="293">
        <f t="shared" si="615"/>
        <v>4.6945245624371932</v>
      </c>
      <c r="I260" s="293">
        <f t="shared" si="615"/>
        <v>1.2802512527848198</v>
      </c>
      <c r="J260" s="293">
        <f t="shared" si="615"/>
        <v>2.1993637448131982</v>
      </c>
      <c r="K260" s="293">
        <f t="shared" si="615"/>
        <v>2.7635013789438023</v>
      </c>
      <c r="L260" s="293">
        <f t="shared" si="615"/>
        <v>1.0626529362373098</v>
      </c>
      <c r="M260" s="293">
        <f t="shared" si="615"/>
        <v>0.74584635449455894</v>
      </c>
      <c r="N260" s="293">
        <f t="shared" si="615"/>
        <v>0.34685980820227308</v>
      </c>
      <c r="O260" s="293">
        <f t="shared" si="615"/>
        <v>0.54678877551761151</v>
      </c>
      <c r="P260" s="293">
        <f t="shared" si="615"/>
        <v>0.2419568789062701</v>
      </c>
      <c r="Q260" s="293">
        <f t="shared" si="615"/>
        <v>0.32620657688759502</v>
      </c>
      <c r="R260" s="293">
        <f t="shared" si="615"/>
        <v>0.58952378308757991</v>
      </c>
      <c r="S260" s="293">
        <f t="shared" si="615"/>
        <v>1.2327511840388021</v>
      </c>
      <c r="T260" s="293">
        <f t="shared" si="615"/>
        <v>0.56946730459437989</v>
      </c>
      <c r="U260" s="293">
        <f t="shared" si="615"/>
        <v>0</v>
      </c>
      <c r="V260" s="293">
        <f t="shared" si="615"/>
        <v>0</v>
      </c>
      <c r="W260" s="293">
        <f t="shared" si="615"/>
        <v>0</v>
      </c>
    </row>
    <row r="261" spans="3:23" ht="25.5" x14ac:dyDescent="0.25">
      <c r="C261" s="78" t="str">
        <f t="shared" si="608"/>
        <v>CASETA 3</v>
      </c>
      <c r="D261" s="87" t="s">
        <v>49</v>
      </c>
      <c r="E261" s="223"/>
      <c r="F261" s="10">
        <f t="shared" ref="F261:W261" si="616">VLOOKUP(F$203,CASETA3,13,0)</f>
        <v>0.7</v>
      </c>
      <c r="G261" s="10">
        <f t="shared" si="616"/>
        <v>1.4</v>
      </c>
      <c r="H261" s="10">
        <f t="shared" si="616"/>
        <v>1.9</v>
      </c>
      <c r="I261" s="10">
        <f t="shared" si="616"/>
        <v>2.1999999999999997</v>
      </c>
      <c r="J261" s="10">
        <f t="shared" si="616"/>
        <v>2.38</v>
      </c>
      <c r="K261" s="10">
        <f t="shared" si="616"/>
        <v>2.56</v>
      </c>
      <c r="L261" s="10">
        <f t="shared" si="616"/>
        <v>2.72</v>
      </c>
      <c r="M261" s="10">
        <f t="shared" si="616"/>
        <v>2.8800000000000003</v>
      </c>
      <c r="N261" s="10">
        <f t="shared" si="616"/>
        <v>3.0400000000000005</v>
      </c>
      <c r="O261" s="10">
        <f t="shared" si="616"/>
        <v>3.2000000000000006</v>
      </c>
      <c r="P261" s="10">
        <f t="shared" si="616"/>
        <v>3.3600000000000008</v>
      </c>
      <c r="Q261" s="10">
        <f t="shared" si="616"/>
        <v>3.5200000000000009</v>
      </c>
      <c r="R261" s="10">
        <f t="shared" si="616"/>
        <v>3.680000000000001</v>
      </c>
      <c r="S261" s="10">
        <f t="shared" si="616"/>
        <v>3.8400000000000012</v>
      </c>
      <c r="T261" s="10">
        <f t="shared" si="616"/>
        <v>4.0000000000000009</v>
      </c>
      <c r="U261" s="10">
        <f t="shared" si="616"/>
        <v>4.160000000000001</v>
      </c>
      <c r="V261" s="10">
        <f t="shared" si="616"/>
        <v>4.3200000000000012</v>
      </c>
      <c r="W261" s="10">
        <f t="shared" si="616"/>
        <v>4.4800000000000013</v>
      </c>
    </row>
    <row r="262" spans="3:23" ht="25.5" x14ac:dyDescent="0.25">
      <c r="C262" s="78" t="str">
        <f t="shared" si="608"/>
        <v>CASETA 3</v>
      </c>
      <c r="D262" s="87" t="s">
        <v>73</v>
      </c>
      <c r="E262" s="223"/>
      <c r="F262" s="293">
        <f t="shared" ref="F262:W262" si="617">VLOOKUP(F$203,CASETA3,14,0)</f>
        <v>0.5464310895441914</v>
      </c>
      <c r="G262" s="293">
        <f t="shared" si="617"/>
        <v>1.5481642373014419</v>
      </c>
      <c r="H262" s="293">
        <f t="shared" si="617"/>
        <v>2.0276031961595553</v>
      </c>
      <c r="I262" s="293">
        <f t="shared" si="617"/>
        <v>2.1588422911669345</v>
      </c>
      <c r="J262" s="293">
        <f t="shared" si="617"/>
        <v>2.6186741613653726</v>
      </c>
      <c r="K262" s="293">
        <f t="shared" si="617"/>
        <v>3.9896860803012317</v>
      </c>
      <c r="L262" s="293">
        <f t="shared" si="617"/>
        <v>5.228284610215054</v>
      </c>
      <c r="M262" s="293">
        <f t="shared" si="617"/>
        <v>5.3066843205867826</v>
      </c>
      <c r="N262" s="293">
        <f t="shared" si="617"/>
        <v>5.3436077499658339</v>
      </c>
      <c r="O262" s="293">
        <f t="shared" si="617"/>
        <v>5.4011696398519016</v>
      </c>
      <c r="P262" s="293">
        <f t="shared" si="617"/>
        <v>5.4267317565861459</v>
      </c>
      <c r="Q262" s="293">
        <f t="shared" si="617"/>
        <v>5.4611280086721328</v>
      </c>
      <c r="R262" s="293">
        <f t="shared" si="617"/>
        <v>5.5224477762803232</v>
      </c>
      <c r="S262" s="293">
        <f t="shared" si="617"/>
        <v>5.6532557354925776</v>
      </c>
      <c r="T262" s="293">
        <f t="shared" si="617"/>
        <v>5.7138637154884107</v>
      </c>
      <c r="U262" s="293">
        <f t="shared" si="617"/>
        <v>5.7138637154884107</v>
      </c>
      <c r="V262" s="293">
        <f t="shared" si="617"/>
        <v>5.7138637154884107</v>
      </c>
      <c r="W262" s="293">
        <f t="shared" si="617"/>
        <v>5.7138637154884107</v>
      </c>
    </row>
    <row r="263" spans="3:23" x14ac:dyDescent="0.25">
      <c r="C263" s="78" t="str">
        <f t="shared" si="608"/>
        <v>CASETA 3</v>
      </c>
      <c r="D263" s="23" t="s">
        <v>9</v>
      </c>
      <c r="E263" s="85"/>
      <c r="F263" s="10">
        <f t="shared" ref="F263:W263" si="618">VLOOKUP(F$203,CASETA3,15,0)</f>
        <v>0</v>
      </c>
      <c r="G263" s="10">
        <f t="shared" si="618"/>
        <v>0</v>
      </c>
      <c r="H263" s="10">
        <f t="shared" si="618"/>
        <v>0</v>
      </c>
      <c r="I263" s="10">
        <f t="shared" si="618"/>
        <v>0</v>
      </c>
      <c r="J263" s="10">
        <f t="shared" si="618"/>
        <v>0</v>
      </c>
      <c r="K263" s="10">
        <f t="shared" si="618"/>
        <v>8800</v>
      </c>
      <c r="L263" s="10">
        <f t="shared" si="618"/>
        <v>0</v>
      </c>
      <c r="M263" s="10">
        <f t="shared" si="618"/>
        <v>0</v>
      </c>
      <c r="N263" s="10">
        <f t="shared" si="618"/>
        <v>0</v>
      </c>
      <c r="O263" s="10">
        <f t="shared" si="618"/>
        <v>0</v>
      </c>
      <c r="P263" s="10">
        <f t="shared" si="618"/>
        <v>0</v>
      </c>
      <c r="Q263" s="10">
        <f t="shared" si="618"/>
        <v>0</v>
      </c>
      <c r="R263" s="10">
        <f t="shared" si="618"/>
        <v>0</v>
      </c>
      <c r="S263" s="10">
        <f t="shared" si="618"/>
        <v>0</v>
      </c>
      <c r="T263" s="10">
        <f t="shared" si="618"/>
        <v>0</v>
      </c>
      <c r="U263" s="10">
        <f t="shared" si="618"/>
        <v>0</v>
      </c>
      <c r="V263" s="10">
        <f t="shared" si="618"/>
        <v>0</v>
      </c>
      <c r="W263" s="10">
        <f t="shared" si="618"/>
        <v>0</v>
      </c>
    </row>
    <row r="264" spans="3:23" ht="25.5" x14ac:dyDescent="0.25">
      <c r="C264" s="78" t="str">
        <f t="shared" si="608"/>
        <v>CASETA 3</v>
      </c>
      <c r="D264" s="86" t="s">
        <v>75</v>
      </c>
      <c r="E264" s="222"/>
      <c r="F264" s="10">
        <f t="shared" ref="F264:W264" si="619">VLOOKUP(F$203,CASETA3,16,0)</f>
        <v>6</v>
      </c>
      <c r="G264" s="10">
        <f t="shared" si="619"/>
        <v>12</v>
      </c>
      <c r="H264" s="10">
        <f t="shared" si="619"/>
        <v>20</v>
      </c>
      <c r="I264" s="10">
        <f t="shared" si="619"/>
        <v>29</v>
      </c>
      <c r="J264" s="10">
        <f t="shared" si="619"/>
        <v>36</v>
      </c>
      <c r="K264" s="10">
        <f t="shared" si="619"/>
        <v>40</v>
      </c>
      <c r="L264" s="10">
        <f t="shared" si="619"/>
        <v>43</v>
      </c>
      <c r="M264" s="10">
        <f t="shared" si="619"/>
        <v>45</v>
      </c>
      <c r="N264" s="10">
        <f t="shared" si="619"/>
        <v>47</v>
      </c>
      <c r="O264" s="10">
        <f t="shared" si="619"/>
        <v>49</v>
      </c>
      <c r="P264" s="10">
        <f t="shared" si="619"/>
        <v>51</v>
      </c>
      <c r="Q264" s="10">
        <f t="shared" si="619"/>
        <v>53</v>
      </c>
      <c r="R264" s="10">
        <f t="shared" si="619"/>
        <v>55</v>
      </c>
      <c r="S264" s="10">
        <f t="shared" si="619"/>
        <v>57</v>
      </c>
      <c r="T264" s="10">
        <f t="shared" si="619"/>
        <v>60</v>
      </c>
      <c r="U264" s="10">
        <f t="shared" si="619"/>
        <v>64</v>
      </c>
      <c r="V264" s="10">
        <f t="shared" si="619"/>
        <v>70</v>
      </c>
      <c r="W264" s="10">
        <f t="shared" si="619"/>
        <v>77</v>
      </c>
    </row>
    <row r="265" spans="3:23" ht="25.5" x14ac:dyDescent="0.25">
      <c r="C265" s="78" t="str">
        <f t="shared" si="608"/>
        <v>CASETA 3</v>
      </c>
      <c r="D265" s="86" t="s">
        <v>62</v>
      </c>
      <c r="E265" s="222"/>
      <c r="F265" s="10">
        <f t="shared" ref="F265:W265" si="620">VLOOKUP(F$203,CASETA3,17,0)</f>
        <v>0</v>
      </c>
      <c r="G265" s="10">
        <f t="shared" si="620"/>
        <v>0</v>
      </c>
      <c r="H265" s="10">
        <f t="shared" si="620"/>
        <v>0</v>
      </c>
      <c r="I265" s="10">
        <f t="shared" si="620"/>
        <v>0</v>
      </c>
      <c r="J265" s="10">
        <f t="shared" si="620"/>
        <v>0</v>
      </c>
      <c r="K265" s="10">
        <f t="shared" si="620"/>
        <v>1.0290532125754981E-2</v>
      </c>
      <c r="L265" s="10">
        <f t="shared" si="620"/>
        <v>0</v>
      </c>
      <c r="M265" s="10">
        <f t="shared" si="620"/>
        <v>0</v>
      </c>
      <c r="N265" s="10">
        <f t="shared" si="620"/>
        <v>0</v>
      </c>
      <c r="O265" s="10">
        <f t="shared" si="620"/>
        <v>0</v>
      </c>
      <c r="P265" s="10">
        <f t="shared" si="620"/>
        <v>0</v>
      </c>
      <c r="Q265" s="10">
        <f t="shared" si="620"/>
        <v>0</v>
      </c>
      <c r="R265" s="10">
        <f t="shared" si="620"/>
        <v>0</v>
      </c>
      <c r="S265" s="10">
        <f t="shared" si="620"/>
        <v>0</v>
      </c>
      <c r="T265" s="10">
        <f t="shared" si="620"/>
        <v>0</v>
      </c>
      <c r="U265" s="10">
        <f t="shared" si="620"/>
        <v>0</v>
      </c>
      <c r="V265" s="10">
        <f t="shared" si="620"/>
        <v>0</v>
      </c>
      <c r="W265" s="10">
        <f t="shared" si="620"/>
        <v>0</v>
      </c>
    </row>
    <row r="266" spans="3:23" ht="25.5" x14ac:dyDescent="0.25">
      <c r="C266" s="78" t="str">
        <f t="shared" si="608"/>
        <v>CASETA 3</v>
      </c>
      <c r="D266" s="24" t="s">
        <v>50</v>
      </c>
      <c r="E266" s="207"/>
      <c r="F266" s="10">
        <f t="shared" ref="F266:W266" si="621">VLOOKUP(F$203,CASETA3,18,0)</f>
        <v>0</v>
      </c>
      <c r="G266" s="10">
        <f t="shared" si="621"/>
        <v>0</v>
      </c>
      <c r="H266" s="10">
        <f t="shared" si="621"/>
        <v>0</v>
      </c>
      <c r="I266" s="10">
        <f t="shared" si="621"/>
        <v>0</v>
      </c>
      <c r="J266" s="10">
        <f t="shared" si="621"/>
        <v>0</v>
      </c>
      <c r="K266" s="10">
        <f t="shared" si="621"/>
        <v>7.2033724880284866E-2</v>
      </c>
      <c r="L266" s="10">
        <f t="shared" si="621"/>
        <v>7.2033724880284866E-2</v>
      </c>
      <c r="M266" s="10">
        <f t="shared" si="621"/>
        <v>7.2033724880284866E-2</v>
      </c>
      <c r="N266" s="10">
        <f t="shared" si="621"/>
        <v>7.2033724880284866E-2</v>
      </c>
      <c r="O266" s="10">
        <f t="shared" si="621"/>
        <v>7.2033724880284866E-2</v>
      </c>
      <c r="P266" s="10">
        <f t="shared" si="621"/>
        <v>7.2033724880284866E-2</v>
      </c>
      <c r="Q266" s="10">
        <f t="shared" si="621"/>
        <v>7.2033724880284866E-2</v>
      </c>
      <c r="R266" s="10">
        <f t="shared" si="621"/>
        <v>7.2033724880284866E-2</v>
      </c>
      <c r="S266" s="10">
        <f t="shared" si="621"/>
        <v>7.2033724880284866E-2</v>
      </c>
      <c r="T266" s="10">
        <f t="shared" si="621"/>
        <v>7.2033724880284866E-2</v>
      </c>
      <c r="U266" s="10">
        <f t="shared" si="621"/>
        <v>7.2033724880284866E-2</v>
      </c>
      <c r="V266" s="10">
        <f t="shared" si="621"/>
        <v>7.2033724880284866E-2</v>
      </c>
      <c r="W266" s="10">
        <f t="shared" si="621"/>
        <v>7.2033724880284866E-2</v>
      </c>
    </row>
    <row r="267" spans="3:23" x14ac:dyDescent="0.25">
      <c r="C267" s="78" t="str">
        <f t="shared" si="608"/>
        <v>CASETA 3</v>
      </c>
      <c r="D267" s="86" t="s">
        <v>63</v>
      </c>
      <c r="E267" s="222"/>
      <c r="F267" s="10">
        <f t="shared" ref="F267:W267" si="622">VLOOKUP(F$203,CASETA3,19,0)</f>
        <v>64</v>
      </c>
      <c r="G267" s="10">
        <f t="shared" si="622"/>
        <v>118</v>
      </c>
      <c r="H267" s="10">
        <f t="shared" si="622"/>
        <v>185</v>
      </c>
      <c r="I267" s="10">
        <f t="shared" si="622"/>
        <v>258</v>
      </c>
      <c r="J267" s="10">
        <f t="shared" si="622"/>
        <v>336</v>
      </c>
      <c r="K267" s="10">
        <f t="shared" si="622"/>
        <v>419</v>
      </c>
      <c r="L267" s="10">
        <f t="shared" si="622"/>
        <v>502</v>
      </c>
      <c r="M267" s="10">
        <f t="shared" si="622"/>
        <v>585</v>
      </c>
      <c r="N267" s="10">
        <f t="shared" si="622"/>
        <v>668</v>
      </c>
      <c r="O267" s="10">
        <f t="shared" si="622"/>
        <v>746</v>
      </c>
      <c r="P267" s="10">
        <f t="shared" si="622"/>
        <v>824</v>
      </c>
      <c r="Q267" s="10">
        <f t="shared" si="622"/>
        <v>902</v>
      </c>
      <c r="R267" s="10">
        <f t="shared" si="622"/>
        <v>975</v>
      </c>
      <c r="S267" s="10">
        <f t="shared" si="622"/>
        <v>1048</v>
      </c>
      <c r="T267" s="10">
        <f t="shared" si="622"/>
        <v>1112</v>
      </c>
      <c r="U267" s="10">
        <f t="shared" si="622"/>
        <v>1165</v>
      </c>
      <c r="V267" s="10">
        <f t="shared" si="622"/>
        <v>1204</v>
      </c>
      <c r="W267" s="10">
        <f t="shared" si="622"/>
        <v>1229</v>
      </c>
    </row>
    <row r="268" spans="3:23" x14ac:dyDescent="0.25">
      <c r="C268" s="78" t="str">
        <f t="shared" si="608"/>
        <v>CASETA 3</v>
      </c>
      <c r="D268" s="86" t="s">
        <v>64</v>
      </c>
      <c r="E268" s="222"/>
      <c r="F268" s="10">
        <f t="shared" ref="F268:W268" si="623">VLOOKUP(F$203,CASETA3,20,0)</f>
        <v>63.7</v>
      </c>
      <c r="G268" s="10">
        <f t="shared" si="623"/>
        <v>82.2</v>
      </c>
      <c r="H268" s="10">
        <f t="shared" si="623"/>
        <v>168.3</v>
      </c>
      <c r="I268" s="10">
        <f t="shared" si="623"/>
        <v>218</v>
      </c>
      <c r="J268" s="10">
        <f t="shared" si="623"/>
        <v>311</v>
      </c>
      <c r="K268" s="10">
        <f t="shared" si="623"/>
        <v>401</v>
      </c>
      <c r="L268" s="10">
        <f t="shared" si="623"/>
        <v>490</v>
      </c>
      <c r="M268" s="10">
        <f t="shared" si="623"/>
        <v>586</v>
      </c>
      <c r="N268" s="10">
        <f t="shared" si="623"/>
        <v>681</v>
      </c>
      <c r="O268" s="10">
        <f t="shared" si="623"/>
        <v>782</v>
      </c>
      <c r="P268" s="10">
        <f t="shared" si="623"/>
        <v>828</v>
      </c>
      <c r="Q268" s="10">
        <f t="shared" si="623"/>
        <v>898</v>
      </c>
      <c r="R268" s="10">
        <f t="shared" si="623"/>
        <v>928</v>
      </c>
      <c r="S268" s="10">
        <f t="shared" si="623"/>
        <v>1006</v>
      </c>
      <c r="T268" s="10">
        <f t="shared" si="623"/>
        <v>0</v>
      </c>
      <c r="U268" s="10">
        <f t="shared" si="623"/>
        <v>0</v>
      </c>
      <c r="V268" s="10">
        <f t="shared" si="623"/>
        <v>0</v>
      </c>
      <c r="W268" s="10">
        <f t="shared" si="623"/>
        <v>0</v>
      </c>
    </row>
    <row r="269" spans="3:23" x14ac:dyDescent="0.25">
      <c r="C269" s="78" t="str">
        <f t="shared" si="608"/>
        <v>CASETA 3</v>
      </c>
      <c r="D269" s="23" t="s">
        <v>15</v>
      </c>
      <c r="E269" s="85"/>
      <c r="F269" s="10">
        <f t="shared" ref="F269:W269" si="624">VLOOKUP(F$203,CASETA3,21,0)</f>
        <v>0.29999999999999716</v>
      </c>
      <c r="G269" s="10">
        <f t="shared" si="624"/>
        <v>35.799999999999997</v>
      </c>
      <c r="H269" s="10">
        <f t="shared" si="624"/>
        <v>16.699999999999989</v>
      </c>
      <c r="I269" s="10">
        <f t="shared" si="624"/>
        <v>40</v>
      </c>
      <c r="J269" s="10">
        <f t="shared" si="624"/>
        <v>25</v>
      </c>
      <c r="K269" s="10">
        <f t="shared" si="624"/>
        <v>18</v>
      </c>
      <c r="L269" s="10">
        <f t="shared" si="624"/>
        <v>12</v>
      </c>
      <c r="M269" s="10">
        <f t="shared" si="624"/>
        <v>-1</v>
      </c>
      <c r="N269" s="10">
        <f t="shared" si="624"/>
        <v>-13</v>
      </c>
      <c r="O269" s="10">
        <f t="shared" si="624"/>
        <v>-36</v>
      </c>
      <c r="P269" s="10">
        <f t="shared" si="624"/>
        <v>-4</v>
      </c>
      <c r="Q269" s="10">
        <f t="shared" si="624"/>
        <v>4</v>
      </c>
      <c r="R269" s="10">
        <f t="shared" si="624"/>
        <v>47</v>
      </c>
      <c r="S269" s="10">
        <f t="shared" si="624"/>
        <v>42</v>
      </c>
      <c r="T269" s="10">
        <f t="shared" si="624"/>
        <v>1112</v>
      </c>
      <c r="U269" s="10">
        <f t="shared" si="624"/>
        <v>1165</v>
      </c>
      <c r="V269" s="10">
        <f t="shared" si="624"/>
        <v>1204</v>
      </c>
      <c r="W269" s="10">
        <f t="shared" si="624"/>
        <v>1229</v>
      </c>
    </row>
    <row r="270" spans="3:23" ht="25.5" x14ac:dyDescent="0.25">
      <c r="C270" s="78" t="str">
        <f t="shared" si="608"/>
        <v>CASETA 3</v>
      </c>
      <c r="D270" s="86" t="s">
        <v>65</v>
      </c>
      <c r="E270" s="222"/>
      <c r="F270" s="10">
        <f t="shared" ref="F270:W270" si="625">VLOOKUP(F$203,CASETA3,22,0)</f>
        <v>77</v>
      </c>
      <c r="G270" s="10">
        <f t="shared" si="625"/>
        <v>77</v>
      </c>
      <c r="H270" s="10">
        <f t="shared" si="625"/>
        <v>77</v>
      </c>
      <c r="I270" s="10">
        <f t="shared" si="625"/>
        <v>79</v>
      </c>
      <c r="J270" s="10">
        <f t="shared" si="625"/>
        <v>79</v>
      </c>
      <c r="K270" s="10">
        <f t="shared" si="625"/>
        <v>79</v>
      </c>
      <c r="L270" s="10">
        <f t="shared" si="625"/>
        <v>79</v>
      </c>
      <c r="M270" s="10">
        <f t="shared" si="625"/>
        <v>79</v>
      </c>
      <c r="N270" s="10">
        <f t="shared" si="625"/>
        <v>79</v>
      </c>
      <c r="O270" s="10">
        <f t="shared" si="625"/>
        <v>80</v>
      </c>
      <c r="P270" s="10">
        <f t="shared" si="625"/>
        <v>80</v>
      </c>
      <c r="Q270" s="10">
        <f t="shared" si="625"/>
        <v>82</v>
      </c>
      <c r="R270" s="10">
        <f t="shared" si="625"/>
        <v>82</v>
      </c>
      <c r="S270" s="10">
        <f t="shared" si="625"/>
        <v>84</v>
      </c>
      <c r="T270" s="10">
        <f t="shared" si="625"/>
        <v>86</v>
      </c>
      <c r="U270" s="10">
        <f t="shared" si="625"/>
        <v>86</v>
      </c>
      <c r="V270" s="10">
        <f t="shared" si="625"/>
        <v>86</v>
      </c>
      <c r="W270" s="10">
        <f t="shared" si="625"/>
        <v>86</v>
      </c>
    </row>
    <row r="271" spans="3:23" ht="25.5" x14ac:dyDescent="0.25">
      <c r="C271" s="78" t="str">
        <f t="shared" si="608"/>
        <v>CASETA 3</v>
      </c>
      <c r="D271" s="86" t="s">
        <v>66</v>
      </c>
      <c r="E271" s="222"/>
      <c r="F271" s="10">
        <f t="shared" ref="F271:W271" si="626">VLOOKUP(F$203,CASETA3,23,0)</f>
        <v>77</v>
      </c>
      <c r="G271" s="10">
        <f t="shared" si="626"/>
        <v>79</v>
      </c>
      <c r="H271" s="10">
        <f t="shared" si="626"/>
        <v>78</v>
      </c>
      <c r="I271" s="10">
        <f t="shared" si="626"/>
        <v>81</v>
      </c>
      <c r="J271" s="10">
        <f t="shared" si="626"/>
        <v>79</v>
      </c>
      <c r="K271" s="10">
        <f t="shared" si="626"/>
        <v>88</v>
      </c>
      <c r="L271" s="10">
        <f t="shared" si="626"/>
        <v>86</v>
      </c>
      <c r="M271" s="10">
        <f t="shared" si="626"/>
        <v>86</v>
      </c>
      <c r="N271" s="10">
        <f t="shared" si="626"/>
        <v>88</v>
      </c>
      <c r="O271" s="10">
        <f t="shared" si="626"/>
        <v>86</v>
      </c>
      <c r="P271" s="10">
        <f t="shared" si="626"/>
        <v>88</v>
      </c>
      <c r="Q271" s="10">
        <f t="shared" si="626"/>
        <v>84</v>
      </c>
      <c r="R271" s="10">
        <f t="shared" si="626"/>
        <v>81</v>
      </c>
      <c r="S271" s="10">
        <f t="shared" si="626"/>
        <v>84</v>
      </c>
      <c r="T271" s="10">
        <f t="shared" si="626"/>
        <v>0</v>
      </c>
      <c r="U271" s="10">
        <f t="shared" si="626"/>
        <v>0</v>
      </c>
      <c r="V271" s="10">
        <f t="shared" si="626"/>
        <v>0</v>
      </c>
      <c r="W271" s="10">
        <f t="shared" si="626"/>
        <v>0</v>
      </c>
    </row>
    <row r="272" spans="3:23" x14ac:dyDescent="0.25">
      <c r="C272" s="78" t="str">
        <f t="shared" si="608"/>
        <v>CASETA 3</v>
      </c>
      <c r="D272" s="23" t="s">
        <v>15</v>
      </c>
      <c r="E272" s="85"/>
      <c r="F272" s="10">
        <f t="shared" ref="F272:W272" si="627">VLOOKUP(F$203,CASETA3,24,0)</f>
        <v>0</v>
      </c>
      <c r="G272" s="10">
        <f t="shared" si="627"/>
        <v>-2</v>
      </c>
      <c r="H272" s="10">
        <f t="shared" si="627"/>
        <v>-1</v>
      </c>
      <c r="I272" s="10">
        <f t="shared" si="627"/>
        <v>-2</v>
      </c>
      <c r="J272" s="10">
        <f t="shared" si="627"/>
        <v>0</v>
      </c>
      <c r="K272" s="10">
        <f t="shared" si="627"/>
        <v>-9</v>
      </c>
      <c r="L272" s="10">
        <f t="shared" si="627"/>
        <v>-7</v>
      </c>
      <c r="M272" s="10">
        <f t="shared" si="627"/>
        <v>-7</v>
      </c>
      <c r="N272" s="10">
        <f t="shared" si="627"/>
        <v>-9</v>
      </c>
      <c r="O272" s="10">
        <f t="shared" si="627"/>
        <v>-6</v>
      </c>
      <c r="P272" s="10">
        <f t="shared" si="627"/>
        <v>-8</v>
      </c>
      <c r="Q272" s="10">
        <f t="shared" si="627"/>
        <v>-2</v>
      </c>
      <c r="R272" s="10">
        <f t="shared" si="627"/>
        <v>1</v>
      </c>
      <c r="S272" s="10">
        <f t="shared" si="627"/>
        <v>0</v>
      </c>
      <c r="T272" s="10">
        <f t="shared" si="627"/>
        <v>86</v>
      </c>
      <c r="U272" s="10">
        <f t="shared" si="627"/>
        <v>86</v>
      </c>
      <c r="V272" s="10">
        <f t="shared" si="627"/>
        <v>86</v>
      </c>
      <c r="W272" s="10">
        <f t="shared" si="627"/>
        <v>86</v>
      </c>
    </row>
    <row r="277" spans="3:23" ht="25.5" x14ac:dyDescent="0.25">
      <c r="C277" t="s">
        <v>55</v>
      </c>
      <c r="D277" s="24" t="s">
        <v>67</v>
      </c>
      <c r="E277" s="207"/>
      <c r="F277" s="10">
        <f t="shared" ref="F277:W277" si="628">VLOOKUP(F$203,CASETA4,4,0)</f>
        <v>0</v>
      </c>
      <c r="G277" s="10">
        <f t="shared" si="628"/>
        <v>0</v>
      </c>
      <c r="H277" s="10">
        <f t="shared" si="628"/>
        <v>0</v>
      </c>
      <c r="I277" s="10">
        <f t="shared" si="628"/>
        <v>0</v>
      </c>
      <c r="J277" s="10">
        <f t="shared" si="628"/>
        <v>0</v>
      </c>
      <c r="K277" s="10">
        <f t="shared" si="628"/>
        <v>0</v>
      </c>
      <c r="L277" s="10">
        <f t="shared" si="628"/>
        <v>0</v>
      </c>
      <c r="M277" s="10">
        <f t="shared" si="628"/>
        <v>0</v>
      </c>
      <c r="N277" s="10">
        <f t="shared" si="628"/>
        <v>0</v>
      </c>
      <c r="O277" s="10">
        <f t="shared" si="628"/>
        <v>0</v>
      </c>
      <c r="P277" s="10">
        <f t="shared" si="628"/>
        <v>0</v>
      </c>
      <c r="Q277" s="10">
        <f t="shared" si="628"/>
        <v>0</v>
      </c>
      <c r="R277" s="10">
        <f t="shared" si="628"/>
        <v>0</v>
      </c>
      <c r="S277" s="10">
        <f t="shared" si="628"/>
        <v>0</v>
      </c>
      <c r="T277" s="10">
        <f t="shared" si="628"/>
        <v>0</v>
      </c>
      <c r="U277" s="10">
        <f t="shared" si="628"/>
        <v>0</v>
      </c>
      <c r="V277" s="10">
        <f t="shared" si="628"/>
        <v>0</v>
      </c>
      <c r="W277" s="10">
        <f t="shared" si="628"/>
        <v>0</v>
      </c>
    </row>
    <row r="278" spans="3:23" x14ac:dyDescent="0.25">
      <c r="C278" s="78" t="str">
        <f>C277</f>
        <v>CASETA 4</v>
      </c>
      <c r="D278" s="24" t="s">
        <v>34</v>
      </c>
      <c r="E278" s="207"/>
      <c r="F278" s="10">
        <f t="shared" ref="F278:W278" si="629">VLOOKUP(F$203,CASETA4,5,0)</f>
        <v>0</v>
      </c>
      <c r="G278" s="10">
        <f t="shared" si="629"/>
        <v>0</v>
      </c>
      <c r="H278" s="10">
        <f t="shared" si="629"/>
        <v>0</v>
      </c>
      <c r="I278" s="10">
        <f t="shared" si="629"/>
        <v>0</v>
      </c>
      <c r="J278" s="10">
        <f t="shared" si="629"/>
        <v>0</v>
      </c>
      <c r="K278" s="10">
        <f t="shared" si="629"/>
        <v>0</v>
      </c>
      <c r="L278" s="10">
        <f t="shared" si="629"/>
        <v>0</v>
      </c>
      <c r="M278" s="10">
        <f t="shared" si="629"/>
        <v>0</v>
      </c>
      <c r="N278" s="10">
        <f t="shared" si="629"/>
        <v>0</v>
      </c>
      <c r="O278" s="10">
        <f t="shared" si="629"/>
        <v>0</v>
      </c>
      <c r="P278" s="10">
        <f t="shared" si="629"/>
        <v>0</v>
      </c>
      <c r="Q278" s="10">
        <f t="shared" si="629"/>
        <v>0</v>
      </c>
      <c r="R278" s="10">
        <f t="shared" si="629"/>
        <v>0</v>
      </c>
      <c r="S278" s="10">
        <f t="shared" si="629"/>
        <v>0</v>
      </c>
      <c r="T278" s="10">
        <f t="shared" si="629"/>
        <v>0</v>
      </c>
      <c r="U278" s="10">
        <f t="shared" si="629"/>
        <v>0</v>
      </c>
      <c r="V278" s="10">
        <f t="shared" si="629"/>
        <v>0</v>
      </c>
      <c r="W278" s="10">
        <f t="shared" si="629"/>
        <v>0</v>
      </c>
    </row>
    <row r="279" spans="3:23" x14ac:dyDescent="0.25">
      <c r="C279" s="78" t="str">
        <f t="shared" ref="C279:C297" si="630">C278</f>
        <v>CASETA 4</v>
      </c>
      <c r="D279" s="23" t="s">
        <v>27</v>
      </c>
      <c r="E279" s="85"/>
      <c r="F279" s="10">
        <f t="shared" ref="F279:W279" si="631">VLOOKUP(F$203,CASETA4,6,0)</f>
        <v>0</v>
      </c>
      <c r="G279" s="10">
        <f t="shared" si="631"/>
        <v>0</v>
      </c>
      <c r="H279" s="10">
        <f t="shared" si="631"/>
        <v>0</v>
      </c>
      <c r="I279" s="10">
        <f t="shared" si="631"/>
        <v>0</v>
      </c>
      <c r="J279" s="10">
        <f t="shared" si="631"/>
        <v>0</v>
      </c>
      <c r="K279" s="10">
        <f t="shared" si="631"/>
        <v>0</v>
      </c>
      <c r="L279" s="10">
        <f t="shared" si="631"/>
        <v>0</v>
      </c>
      <c r="M279" s="10">
        <f t="shared" si="631"/>
        <v>0</v>
      </c>
      <c r="N279" s="10">
        <f t="shared" si="631"/>
        <v>0</v>
      </c>
      <c r="O279" s="10">
        <f t="shared" si="631"/>
        <v>0</v>
      </c>
      <c r="P279" s="10">
        <f t="shared" si="631"/>
        <v>0</v>
      </c>
      <c r="Q279" s="10">
        <f t="shared" si="631"/>
        <v>0</v>
      </c>
      <c r="R279" s="10">
        <f t="shared" si="631"/>
        <v>0</v>
      </c>
      <c r="S279" s="10">
        <f t="shared" si="631"/>
        <v>0</v>
      </c>
      <c r="T279" s="10">
        <f t="shared" si="631"/>
        <v>0</v>
      </c>
      <c r="U279" s="10">
        <f t="shared" si="631"/>
        <v>0</v>
      </c>
      <c r="V279" s="10">
        <f t="shared" si="631"/>
        <v>0</v>
      </c>
      <c r="W279" s="10">
        <f t="shared" si="631"/>
        <v>0</v>
      </c>
    </row>
    <row r="280" spans="3:23" x14ac:dyDescent="0.25">
      <c r="C280" s="78" t="str">
        <f t="shared" si="630"/>
        <v>CASETA 4</v>
      </c>
      <c r="D280" s="23" t="s">
        <v>16</v>
      </c>
      <c r="E280" s="85"/>
      <c r="F280" s="10">
        <f t="shared" ref="F280:W280" si="632">VLOOKUP(F$203,CASETA4,7,0)</f>
        <v>0</v>
      </c>
      <c r="G280" s="10">
        <f t="shared" si="632"/>
        <v>0</v>
      </c>
      <c r="H280" s="10">
        <f t="shared" si="632"/>
        <v>0</v>
      </c>
      <c r="I280" s="10">
        <f t="shared" si="632"/>
        <v>0</v>
      </c>
      <c r="J280" s="10">
        <f t="shared" si="632"/>
        <v>0</v>
      </c>
      <c r="K280" s="10">
        <f t="shared" si="632"/>
        <v>0</v>
      </c>
      <c r="L280" s="10">
        <f t="shared" si="632"/>
        <v>0</v>
      </c>
      <c r="M280" s="10">
        <f t="shared" si="632"/>
        <v>0</v>
      </c>
      <c r="N280" s="10">
        <f t="shared" si="632"/>
        <v>0</v>
      </c>
      <c r="O280" s="10">
        <f t="shared" si="632"/>
        <v>0</v>
      </c>
      <c r="P280" s="10">
        <f t="shared" si="632"/>
        <v>0</v>
      </c>
      <c r="Q280" s="10">
        <f t="shared" si="632"/>
        <v>0</v>
      </c>
      <c r="R280" s="10">
        <f t="shared" si="632"/>
        <v>0</v>
      </c>
      <c r="S280" s="10">
        <f t="shared" si="632"/>
        <v>0</v>
      </c>
      <c r="T280" s="10">
        <f t="shared" si="632"/>
        <v>0</v>
      </c>
      <c r="U280" s="10">
        <f t="shared" si="632"/>
        <v>0</v>
      </c>
      <c r="V280" s="10">
        <f t="shared" si="632"/>
        <v>0</v>
      </c>
      <c r="W280" s="10">
        <f t="shared" si="632"/>
        <v>0</v>
      </c>
    </row>
    <row r="281" spans="3:23" x14ac:dyDescent="0.25">
      <c r="C281" s="78" t="str">
        <f t="shared" si="630"/>
        <v>CASETA 4</v>
      </c>
      <c r="D281" s="23" t="s">
        <v>17</v>
      </c>
      <c r="E281" s="85"/>
      <c r="F281" s="10">
        <f t="shared" ref="F281:W281" si="633">VLOOKUP(F$203,CASETA4,8,0)</f>
        <v>0</v>
      </c>
      <c r="G281" s="10">
        <f t="shared" si="633"/>
        <v>0</v>
      </c>
      <c r="H281" s="10">
        <f t="shared" si="633"/>
        <v>0</v>
      </c>
      <c r="I281" s="10">
        <f t="shared" si="633"/>
        <v>0</v>
      </c>
      <c r="J281" s="10">
        <f t="shared" si="633"/>
        <v>0</v>
      </c>
      <c r="K281" s="10">
        <f t="shared" si="633"/>
        <v>0</v>
      </c>
      <c r="L281" s="10">
        <f t="shared" si="633"/>
        <v>0</v>
      </c>
      <c r="M281" s="10">
        <f t="shared" si="633"/>
        <v>0</v>
      </c>
      <c r="N281" s="10">
        <f t="shared" si="633"/>
        <v>0</v>
      </c>
      <c r="O281" s="10">
        <f t="shared" si="633"/>
        <v>0</v>
      </c>
      <c r="P281" s="10">
        <f t="shared" si="633"/>
        <v>0</v>
      </c>
      <c r="Q281" s="10">
        <f t="shared" si="633"/>
        <v>0</v>
      </c>
      <c r="R281" s="10">
        <f t="shared" si="633"/>
        <v>0</v>
      </c>
      <c r="S281" s="10">
        <f t="shared" si="633"/>
        <v>0</v>
      </c>
      <c r="T281" s="10">
        <f t="shared" si="633"/>
        <v>0</v>
      </c>
      <c r="U281" s="10">
        <f t="shared" si="633"/>
        <v>0</v>
      </c>
      <c r="V281" s="10">
        <f t="shared" si="633"/>
        <v>0</v>
      </c>
      <c r="W281" s="10">
        <f t="shared" si="633"/>
        <v>0</v>
      </c>
    </row>
    <row r="282" spans="3:23" x14ac:dyDescent="0.25">
      <c r="C282" s="78" t="str">
        <f t="shared" si="630"/>
        <v>CASETA 4</v>
      </c>
      <c r="D282" s="23" t="s">
        <v>18</v>
      </c>
      <c r="E282" s="85"/>
      <c r="F282" s="10">
        <f t="shared" ref="F282:W282" si="634">VLOOKUP(F$203,CASETA4,9,0)</f>
        <v>0</v>
      </c>
      <c r="G282" s="10">
        <f t="shared" si="634"/>
        <v>0</v>
      </c>
      <c r="H282" s="10">
        <f t="shared" si="634"/>
        <v>0</v>
      </c>
      <c r="I282" s="10">
        <f t="shared" si="634"/>
        <v>0</v>
      </c>
      <c r="J282" s="10">
        <f t="shared" si="634"/>
        <v>0</v>
      </c>
      <c r="K282" s="10">
        <f t="shared" si="634"/>
        <v>0</v>
      </c>
      <c r="L282" s="10">
        <f t="shared" si="634"/>
        <v>0</v>
      </c>
      <c r="M282" s="10">
        <f t="shared" si="634"/>
        <v>0</v>
      </c>
      <c r="N282" s="10">
        <f t="shared" si="634"/>
        <v>0</v>
      </c>
      <c r="O282" s="10">
        <f t="shared" si="634"/>
        <v>0</v>
      </c>
      <c r="P282" s="10">
        <f t="shared" si="634"/>
        <v>0</v>
      </c>
      <c r="Q282" s="10">
        <f t="shared" si="634"/>
        <v>0</v>
      </c>
      <c r="R282" s="10">
        <f t="shared" si="634"/>
        <v>0</v>
      </c>
      <c r="S282" s="10">
        <f t="shared" si="634"/>
        <v>0</v>
      </c>
      <c r="T282" s="10">
        <f t="shared" si="634"/>
        <v>0</v>
      </c>
      <c r="U282" s="10">
        <f t="shared" si="634"/>
        <v>0</v>
      </c>
      <c r="V282" s="10">
        <f t="shared" si="634"/>
        <v>0</v>
      </c>
      <c r="W282" s="10">
        <f t="shared" si="634"/>
        <v>0</v>
      </c>
    </row>
    <row r="283" spans="3:23" x14ac:dyDescent="0.25">
      <c r="C283" s="78" t="str">
        <f t="shared" si="630"/>
        <v>CASETA 4</v>
      </c>
      <c r="D283" s="23" t="s">
        <v>48</v>
      </c>
      <c r="E283" s="85"/>
      <c r="F283" s="10">
        <f t="shared" ref="F283:W283" si="635">VLOOKUP(F$203,CASETA4,10,0)</f>
        <v>0</v>
      </c>
      <c r="G283" s="10">
        <f t="shared" si="635"/>
        <v>0</v>
      </c>
      <c r="H283" s="10">
        <f t="shared" si="635"/>
        <v>0</v>
      </c>
      <c r="I283" s="10">
        <f t="shared" si="635"/>
        <v>0</v>
      </c>
      <c r="J283" s="10">
        <f t="shared" si="635"/>
        <v>0</v>
      </c>
      <c r="K283" s="10">
        <f t="shared" si="635"/>
        <v>0</v>
      </c>
      <c r="L283" s="10">
        <f t="shared" si="635"/>
        <v>0</v>
      </c>
      <c r="M283" s="10">
        <f t="shared" si="635"/>
        <v>0</v>
      </c>
      <c r="N283" s="10">
        <f t="shared" si="635"/>
        <v>0</v>
      </c>
      <c r="O283" s="10">
        <f t="shared" si="635"/>
        <v>0</v>
      </c>
      <c r="P283" s="10">
        <f t="shared" si="635"/>
        <v>0</v>
      </c>
      <c r="Q283" s="10">
        <f t="shared" si="635"/>
        <v>0</v>
      </c>
      <c r="R283" s="10">
        <f t="shared" si="635"/>
        <v>0</v>
      </c>
      <c r="S283" s="10">
        <f t="shared" si="635"/>
        <v>0</v>
      </c>
      <c r="T283" s="10">
        <f t="shared" si="635"/>
        <v>0</v>
      </c>
      <c r="U283" s="10">
        <f t="shared" si="635"/>
        <v>0</v>
      </c>
      <c r="V283" s="10">
        <f t="shared" si="635"/>
        <v>0</v>
      </c>
      <c r="W283" s="10">
        <f t="shared" si="635"/>
        <v>0</v>
      </c>
    </row>
    <row r="284" spans="3:23" x14ac:dyDescent="0.25">
      <c r="C284" s="78" t="str">
        <f t="shared" si="630"/>
        <v>CASETA 4</v>
      </c>
      <c r="D284" s="86" t="s">
        <v>72</v>
      </c>
      <c r="E284" s="222"/>
      <c r="F284" s="10">
        <f t="shared" ref="F284:W284" si="636">VLOOKUP(F$203,CASETA4,11,0)</f>
        <v>0.7</v>
      </c>
      <c r="G284" s="10">
        <f t="shared" si="636"/>
        <v>0.7</v>
      </c>
      <c r="H284" s="10">
        <f t="shared" si="636"/>
        <v>0.5</v>
      </c>
      <c r="I284" s="10">
        <f t="shared" si="636"/>
        <v>0.3</v>
      </c>
      <c r="J284" s="10">
        <f t="shared" si="636"/>
        <v>0.18</v>
      </c>
      <c r="K284" s="10">
        <f t="shared" si="636"/>
        <v>0.18</v>
      </c>
      <c r="L284" s="10">
        <f t="shared" si="636"/>
        <v>0.16</v>
      </c>
      <c r="M284" s="10">
        <f t="shared" si="636"/>
        <v>0.16</v>
      </c>
      <c r="N284" s="10">
        <f t="shared" si="636"/>
        <v>0.16</v>
      </c>
      <c r="O284" s="10">
        <f t="shared" si="636"/>
        <v>0.16</v>
      </c>
      <c r="P284" s="10">
        <f t="shared" si="636"/>
        <v>0.16</v>
      </c>
      <c r="Q284" s="10">
        <f t="shared" si="636"/>
        <v>0.16</v>
      </c>
      <c r="R284" s="10">
        <f t="shared" si="636"/>
        <v>0.16</v>
      </c>
      <c r="S284" s="10">
        <f t="shared" si="636"/>
        <v>0.16</v>
      </c>
      <c r="T284" s="10">
        <f t="shared" si="636"/>
        <v>0.16</v>
      </c>
      <c r="U284" s="10">
        <f t="shared" si="636"/>
        <v>0.16</v>
      </c>
      <c r="V284" s="10">
        <f t="shared" si="636"/>
        <v>0.16</v>
      </c>
      <c r="W284" s="10">
        <f t="shared" si="636"/>
        <v>0.16</v>
      </c>
    </row>
    <row r="285" spans="3:23" x14ac:dyDescent="0.25">
      <c r="C285" s="78" t="str">
        <f t="shared" si="630"/>
        <v>CASETA 4</v>
      </c>
      <c r="D285" s="86" t="s">
        <v>74</v>
      </c>
      <c r="E285" s="222"/>
      <c r="F285" s="10">
        <f t="shared" ref="F285:W285" si="637">VLOOKUP(F$203,CASETA4,12,0)</f>
        <v>0</v>
      </c>
      <c r="G285" s="10">
        <f t="shared" si="637"/>
        <v>0</v>
      </c>
      <c r="H285" s="10">
        <f t="shared" si="637"/>
        <v>0</v>
      </c>
      <c r="I285" s="10">
        <f t="shared" si="637"/>
        <v>0</v>
      </c>
      <c r="J285" s="10">
        <f t="shared" si="637"/>
        <v>0</v>
      </c>
      <c r="K285" s="10">
        <f t="shared" si="637"/>
        <v>0</v>
      </c>
      <c r="L285" s="10">
        <f t="shared" si="637"/>
        <v>0</v>
      </c>
      <c r="M285" s="10">
        <f t="shared" si="637"/>
        <v>0</v>
      </c>
      <c r="N285" s="10">
        <f t="shared" si="637"/>
        <v>0</v>
      </c>
      <c r="O285" s="10">
        <f t="shared" si="637"/>
        <v>0</v>
      </c>
      <c r="P285" s="10">
        <f t="shared" si="637"/>
        <v>0</v>
      </c>
      <c r="Q285" s="10">
        <f t="shared" si="637"/>
        <v>0</v>
      </c>
      <c r="R285" s="10">
        <f t="shared" si="637"/>
        <v>0</v>
      </c>
      <c r="S285" s="10">
        <f t="shared" si="637"/>
        <v>0</v>
      </c>
      <c r="T285" s="10">
        <f t="shared" si="637"/>
        <v>0</v>
      </c>
      <c r="U285" s="10">
        <f t="shared" si="637"/>
        <v>0</v>
      </c>
      <c r="V285" s="10">
        <f t="shared" si="637"/>
        <v>0</v>
      </c>
      <c r="W285" s="10">
        <f t="shared" si="637"/>
        <v>0</v>
      </c>
    </row>
    <row r="286" spans="3:23" ht="25.5" x14ac:dyDescent="0.25">
      <c r="C286" s="78" t="str">
        <f t="shared" si="630"/>
        <v>CASETA 4</v>
      </c>
      <c r="D286" s="87" t="s">
        <v>49</v>
      </c>
      <c r="E286" s="223"/>
      <c r="F286" s="10">
        <f t="shared" ref="F286:W286" si="638">VLOOKUP(F$203,CASETA4,13,0)</f>
        <v>0.7</v>
      </c>
      <c r="G286" s="10">
        <f t="shared" si="638"/>
        <v>1.4</v>
      </c>
      <c r="H286" s="10">
        <f t="shared" si="638"/>
        <v>1.9</v>
      </c>
      <c r="I286" s="10">
        <f t="shared" si="638"/>
        <v>2.1999999999999997</v>
      </c>
      <c r="J286" s="10">
        <f t="shared" si="638"/>
        <v>2.38</v>
      </c>
      <c r="K286" s="10">
        <f t="shared" si="638"/>
        <v>2.56</v>
      </c>
      <c r="L286" s="10">
        <f t="shared" si="638"/>
        <v>2.72</v>
      </c>
      <c r="M286" s="10">
        <f t="shared" si="638"/>
        <v>2.8800000000000003</v>
      </c>
      <c r="N286" s="10">
        <f t="shared" si="638"/>
        <v>3.0400000000000005</v>
      </c>
      <c r="O286" s="10">
        <f t="shared" si="638"/>
        <v>3.2000000000000006</v>
      </c>
      <c r="P286" s="10">
        <f t="shared" si="638"/>
        <v>3.3600000000000008</v>
      </c>
      <c r="Q286" s="10">
        <f t="shared" si="638"/>
        <v>3.5200000000000009</v>
      </c>
      <c r="R286" s="10">
        <f t="shared" si="638"/>
        <v>3.680000000000001</v>
      </c>
      <c r="S286" s="10">
        <f t="shared" si="638"/>
        <v>3.8400000000000012</v>
      </c>
      <c r="T286" s="10">
        <f t="shared" si="638"/>
        <v>4.0000000000000009</v>
      </c>
      <c r="U286" s="10">
        <f t="shared" si="638"/>
        <v>4.160000000000001</v>
      </c>
      <c r="V286" s="10">
        <f t="shared" si="638"/>
        <v>4.3200000000000012</v>
      </c>
      <c r="W286" s="10">
        <f t="shared" si="638"/>
        <v>4.4800000000000013</v>
      </c>
    </row>
    <row r="287" spans="3:23" ht="25.5" x14ac:dyDescent="0.25">
      <c r="C287" s="78" t="str">
        <f t="shared" si="630"/>
        <v>CASETA 4</v>
      </c>
      <c r="D287" s="87" t="s">
        <v>73</v>
      </c>
      <c r="E287" s="223"/>
      <c r="F287" s="10">
        <f t="shared" ref="F287:W287" si="639">VLOOKUP(F$203,CASETA4,14,0)</f>
        <v>0</v>
      </c>
      <c r="G287" s="10">
        <f t="shared" si="639"/>
        <v>0</v>
      </c>
      <c r="H287" s="10">
        <f t="shared" si="639"/>
        <v>0</v>
      </c>
      <c r="I287" s="10">
        <f t="shared" si="639"/>
        <v>0</v>
      </c>
      <c r="J287" s="10">
        <f t="shared" si="639"/>
        <v>0</v>
      </c>
      <c r="K287" s="10">
        <f t="shared" si="639"/>
        <v>0</v>
      </c>
      <c r="L287" s="10">
        <f t="shared" si="639"/>
        <v>0</v>
      </c>
      <c r="M287" s="10">
        <f t="shared" si="639"/>
        <v>0</v>
      </c>
      <c r="N287" s="10">
        <f t="shared" si="639"/>
        <v>0</v>
      </c>
      <c r="O287" s="10">
        <f t="shared" si="639"/>
        <v>0</v>
      </c>
      <c r="P287" s="10">
        <f t="shared" si="639"/>
        <v>0</v>
      </c>
      <c r="Q287" s="10">
        <f t="shared" si="639"/>
        <v>0</v>
      </c>
      <c r="R287" s="10">
        <f t="shared" si="639"/>
        <v>0</v>
      </c>
      <c r="S287" s="10">
        <f t="shared" si="639"/>
        <v>0</v>
      </c>
      <c r="T287" s="10">
        <f t="shared" si="639"/>
        <v>0</v>
      </c>
      <c r="U287" s="10">
        <f t="shared" si="639"/>
        <v>0</v>
      </c>
      <c r="V287" s="10">
        <f t="shared" si="639"/>
        <v>0</v>
      </c>
      <c r="W287" s="10">
        <f t="shared" si="639"/>
        <v>0</v>
      </c>
    </row>
    <row r="288" spans="3:23" x14ac:dyDescent="0.25">
      <c r="C288" s="78" t="str">
        <f t="shared" si="630"/>
        <v>CASETA 4</v>
      </c>
      <c r="D288" s="23" t="s">
        <v>9</v>
      </c>
      <c r="E288" s="85"/>
      <c r="F288" s="10">
        <f t="shared" ref="F288:W288" si="640">VLOOKUP(F$203,CASETA4,15,0)</f>
        <v>0</v>
      </c>
      <c r="G288" s="10">
        <f t="shared" si="640"/>
        <v>0</v>
      </c>
      <c r="H288" s="10">
        <f t="shared" si="640"/>
        <v>0</v>
      </c>
      <c r="I288" s="10">
        <f t="shared" si="640"/>
        <v>0</v>
      </c>
      <c r="J288" s="10">
        <f t="shared" si="640"/>
        <v>0</v>
      </c>
      <c r="K288" s="10">
        <f t="shared" si="640"/>
        <v>0</v>
      </c>
      <c r="L288" s="10">
        <f t="shared" si="640"/>
        <v>0</v>
      </c>
      <c r="M288" s="10">
        <f t="shared" si="640"/>
        <v>0</v>
      </c>
      <c r="N288" s="10">
        <f t="shared" si="640"/>
        <v>0</v>
      </c>
      <c r="O288" s="10">
        <f t="shared" si="640"/>
        <v>0</v>
      </c>
      <c r="P288" s="10">
        <f t="shared" si="640"/>
        <v>0</v>
      </c>
      <c r="Q288" s="10">
        <f t="shared" si="640"/>
        <v>0</v>
      </c>
      <c r="R288" s="10">
        <f t="shared" si="640"/>
        <v>0</v>
      </c>
      <c r="S288" s="10">
        <f t="shared" si="640"/>
        <v>0</v>
      </c>
      <c r="T288" s="10">
        <f t="shared" si="640"/>
        <v>0</v>
      </c>
      <c r="U288" s="10">
        <f t="shared" si="640"/>
        <v>0</v>
      </c>
      <c r="V288" s="10">
        <f t="shared" si="640"/>
        <v>0</v>
      </c>
      <c r="W288" s="10">
        <f t="shared" si="640"/>
        <v>0</v>
      </c>
    </row>
    <row r="289" spans="3:23" ht="25.5" x14ac:dyDescent="0.25">
      <c r="C289" s="78" t="str">
        <f t="shared" si="630"/>
        <v>CASETA 4</v>
      </c>
      <c r="D289" s="86" t="s">
        <v>75</v>
      </c>
      <c r="E289" s="222"/>
      <c r="F289" s="10">
        <f t="shared" ref="F289:W289" si="641">VLOOKUP(F$203,CASETA4,16,0)</f>
        <v>6</v>
      </c>
      <c r="G289" s="10">
        <f t="shared" si="641"/>
        <v>12</v>
      </c>
      <c r="H289" s="10">
        <f t="shared" si="641"/>
        <v>20</v>
      </c>
      <c r="I289" s="10">
        <f t="shared" si="641"/>
        <v>29</v>
      </c>
      <c r="J289" s="10">
        <f t="shared" si="641"/>
        <v>36</v>
      </c>
      <c r="K289" s="10">
        <f t="shared" si="641"/>
        <v>40</v>
      </c>
      <c r="L289" s="10">
        <f t="shared" si="641"/>
        <v>43</v>
      </c>
      <c r="M289" s="10">
        <f t="shared" si="641"/>
        <v>45</v>
      </c>
      <c r="N289" s="10">
        <f t="shared" si="641"/>
        <v>47</v>
      </c>
      <c r="O289" s="10">
        <f t="shared" si="641"/>
        <v>49</v>
      </c>
      <c r="P289" s="10">
        <f t="shared" si="641"/>
        <v>51</v>
      </c>
      <c r="Q289" s="10">
        <f t="shared" si="641"/>
        <v>53</v>
      </c>
      <c r="R289" s="10">
        <f t="shared" si="641"/>
        <v>55</v>
      </c>
      <c r="S289" s="10">
        <f t="shared" si="641"/>
        <v>57</v>
      </c>
      <c r="T289" s="10">
        <f t="shared" si="641"/>
        <v>60</v>
      </c>
      <c r="U289" s="10">
        <f t="shared" si="641"/>
        <v>64</v>
      </c>
      <c r="V289" s="10">
        <f t="shared" si="641"/>
        <v>70</v>
      </c>
      <c r="W289" s="10">
        <f t="shared" si="641"/>
        <v>77</v>
      </c>
    </row>
    <row r="290" spans="3:23" ht="25.5" x14ac:dyDescent="0.25">
      <c r="C290" s="78" t="str">
        <f t="shared" si="630"/>
        <v>CASETA 4</v>
      </c>
      <c r="D290" s="86" t="s">
        <v>62</v>
      </c>
      <c r="E290" s="222"/>
      <c r="F290" s="10">
        <f t="shared" ref="F290:W290" si="642">VLOOKUP(F$203,CASETA4,17,0)</f>
        <v>0</v>
      </c>
      <c r="G290" s="10">
        <f t="shared" si="642"/>
        <v>0</v>
      </c>
      <c r="H290" s="10">
        <f t="shared" si="642"/>
        <v>0</v>
      </c>
      <c r="I290" s="10">
        <f t="shared" si="642"/>
        <v>0</v>
      </c>
      <c r="J290" s="10">
        <f t="shared" si="642"/>
        <v>0</v>
      </c>
      <c r="K290" s="10">
        <f t="shared" si="642"/>
        <v>0</v>
      </c>
      <c r="L290" s="10">
        <f t="shared" si="642"/>
        <v>0</v>
      </c>
      <c r="M290" s="10">
        <f t="shared" si="642"/>
        <v>0</v>
      </c>
      <c r="N290" s="10">
        <f t="shared" si="642"/>
        <v>0</v>
      </c>
      <c r="O290" s="10">
        <f t="shared" si="642"/>
        <v>0</v>
      </c>
      <c r="P290" s="10">
        <f t="shared" si="642"/>
        <v>0</v>
      </c>
      <c r="Q290" s="10">
        <f t="shared" si="642"/>
        <v>0</v>
      </c>
      <c r="R290" s="10">
        <f t="shared" si="642"/>
        <v>0</v>
      </c>
      <c r="S290" s="10">
        <f t="shared" si="642"/>
        <v>0</v>
      </c>
      <c r="T290" s="10">
        <f t="shared" si="642"/>
        <v>0</v>
      </c>
      <c r="U290" s="10">
        <f t="shared" si="642"/>
        <v>0</v>
      </c>
      <c r="V290" s="10">
        <f t="shared" si="642"/>
        <v>0</v>
      </c>
      <c r="W290" s="10">
        <f t="shared" si="642"/>
        <v>0</v>
      </c>
    </row>
    <row r="291" spans="3:23" ht="25.5" x14ac:dyDescent="0.25">
      <c r="C291" s="78" t="str">
        <f t="shared" si="630"/>
        <v>CASETA 4</v>
      </c>
      <c r="D291" s="24" t="s">
        <v>50</v>
      </c>
      <c r="E291" s="207"/>
      <c r="F291" s="10">
        <f t="shared" ref="F291:W291" si="643">VLOOKUP(F$203,CASETA4,18,0)</f>
        <v>0</v>
      </c>
      <c r="G291" s="10">
        <f t="shared" si="643"/>
        <v>0</v>
      </c>
      <c r="H291" s="10">
        <f t="shared" si="643"/>
        <v>0</v>
      </c>
      <c r="I291" s="10">
        <f t="shared" si="643"/>
        <v>0</v>
      </c>
      <c r="J291" s="10">
        <f t="shared" si="643"/>
        <v>0</v>
      </c>
      <c r="K291" s="10">
        <f t="shared" si="643"/>
        <v>0</v>
      </c>
      <c r="L291" s="10">
        <f t="shared" si="643"/>
        <v>0</v>
      </c>
      <c r="M291" s="10">
        <f t="shared" si="643"/>
        <v>0</v>
      </c>
      <c r="N291" s="10">
        <f t="shared" si="643"/>
        <v>0</v>
      </c>
      <c r="O291" s="10">
        <f t="shared" si="643"/>
        <v>0</v>
      </c>
      <c r="P291" s="10">
        <f t="shared" si="643"/>
        <v>0</v>
      </c>
      <c r="Q291" s="10">
        <f t="shared" si="643"/>
        <v>0</v>
      </c>
      <c r="R291" s="10">
        <f t="shared" si="643"/>
        <v>0</v>
      </c>
      <c r="S291" s="10">
        <f t="shared" si="643"/>
        <v>0</v>
      </c>
      <c r="T291" s="10">
        <f t="shared" si="643"/>
        <v>0</v>
      </c>
      <c r="U291" s="10">
        <f t="shared" si="643"/>
        <v>0</v>
      </c>
      <c r="V291" s="10">
        <f t="shared" si="643"/>
        <v>0</v>
      </c>
      <c r="W291" s="10">
        <f t="shared" si="643"/>
        <v>0</v>
      </c>
    </row>
    <row r="292" spans="3:23" x14ac:dyDescent="0.25">
      <c r="C292" s="78" t="str">
        <f t="shared" si="630"/>
        <v>CASETA 4</v>
      </c>
      <c r="D292" s="86" t="s">
        <v>63</v>
      </c>
      <c r="E292" s="222"/>
      <c r="F292" s="10">
        <f t="shared" ref="F292:W292" si="644">VLOOKUP(F$203,CASETA4,19,0)</f>
        <v>64</v>
      </c>
      <c r="G292" s="10">
        <f t="shared" si="644"/>
        <v>118</v>
      </c>
      <c r="H292" s="10">
        <f t="shared" si="644"/>
        <v>185</v>
      </c>
      <c r="I292" s="10">
        <f t="shared" si="644"/>
        <v>258</v>
      </c>
      <c r="J292" s="10">
        <f t="shared" si="644"/>
        <v>336</v>
      </c>
      <c r="K292" s="10">
        <f t="shared" si="644"/>
        <v>419</v>
      </c>
      <c r="L292" s="10">
        <f t="shared" si="644"/>
        <v>502</v>
      </c>
      <c r="M292" s="10">
        <f t="shared" si="644"/>
        <v>585</v>
      </c>
      <c r="N292" s="10">
        <f t="shared" si="644"/>
        <v>668</v>
      </c>
      <c r="O292" s="10">
        <f t="shared" si="644"/>
        <v>746</v>
      </c>
      <c r="P292" s="10">
        <f t="shared" si="644"/>
        <v>824</v>
      </c>
      <c r="Q292" s="10">
        <f t="shared" si="644"/>
        <v>902</v>
      </c>
      <c r="R292" s="10">
        <f t="shared" si="644"/>
        <v>975</v>
      </c>
      <c r="S292" s="10">
        <f t="shared" si="644"/>
        <v>1048</v>
      </c>
      <c r="T292" s="10">
        <f t="shared" si="644"/>
        <v>1112</v>
      </c>
      <c r="U292" s="10">
        <f t="shared" si="644"/>
        <v>1165</v>
      </c>
      <c r="V292" s="10">
        <f t="shared" si="644"/>
        <v>1204</v>
      </c>
      <c r="W292" s="10">
        <f t="shared" si="644"/>
        <v>1229</v>
      </c>
    </row>
    <row r="293" spans="3:23" x14ac:dyDescent="0.25">
      <c r="C293" s="78" t="str">
        <f t="shared" si="630"/>
        <v>CASETA 4</v>
      </c>
      <c r="D293" s="86" t="s">
        <v>64</v>
      </c>
      <c r="E293" s="222"/>
      <c r="F293" s="10">
        <f t="shared" ref="F293:W293" si="645">VLOOKUP(F$203,CASETA4,20,0)</f>
        <v>0</v>
      </c>
      <c r="G293" s="10">
        <f t="shared" si="645"/>
        <v>0</v>
      </c>
      <c r="H293" s="10">
        <f t="shared" si="645"/>
        <v>0</v>
      </c>
      <c r="I293" s="10">
        <f t="shared" si="645"/>
        <v>0</v>
      </c>
      <c r="J293" s="10">
        <f t="shared" si="645"/>
        <v>0</v>
      </c>
      <c r="K293" s="10">
        <f t="shared" si="645"/>
        <v>0</v>
      </c>
      <c r="L293" s="10">
        <f t="shared" si="645"/>
        <v>0</v>
      </c>
      <c r="M293" s="10">
        <f t="shared" si="645"/>
        <v>0</v>
      </c>
      <c r="N293" s="10">
        <f t="shared" si="645"/>
        <v>0</v>
      </c>
      <c r="O293" s="10">
        <f t="shared" si="645"/>
        <v>0</v>
      </c>
      <c r="P293" s="10">
        <f t="shared" si="645"/>
        <v>0</v>
      </c>
      <c r="Q293" s="10">
        <f t="shared" si="645"/>
        <v>0</v>
      </c>
      <c r="R293" s="10">
        <f t="shared" si="645"/>
        <v>0</v>
      </c>
      <c r="S293" s="10">
        <f t="shared" si="645"/>
        <v>0</v>
      </c>
      <c r="T293" s="10">
        <f t="shared" si="645"/>
        <v>0</v>
      </c>
      <c r="U293" s="10">
        <f t="shared" si="645"/>
        <v>0</v>
      </c>
      <c r="V293" s="10">
        <f t="shared" si="645"/>
        <v>0</v>
      </c>
      <c r="W293" s="10">
        <f t="shared" si="645"/>
        <v>0</v>
      </c>
    </row>
    <row r="294" spans="3:23" x14ac:dyDescent="0.25">
      <c r="C294" s="78" t="str">
        <f t="shared" si="630"/>
        <v>CASETA 4</v>
      </c>
      <c r="D294" s="23" t="s">
        <v>15</v>
      </c>
      <c r="E294" s="85"/>
      <c r="F294" s="10">
        <f t="shared" ref="F294:W294" si="646">VLOOKUP(F$203,CASETA4,21,0)</f>
        <v>64</v>
      </c>
      <c r="G294" s="10">
        <f t="shared" si="646"/>
        <v>118</v>
      </c>
      <c r="H294" s="10">
        <f t="shared" si="646"/>
        <v>185</v>
      </c>
      <c r="I294" s="10">
        <f t="shared" si="646"/>
        <v>258</v>
      </c>
      <c r="J294" s="10">
        <f t="shared" si="646"/>
        <v>336</v>
      </c>
      <c r="K294" s="10">
        <f t="shared" si="646"/>
        <v>419</v>
      </c>
      <c r="L294" s="10">
        <f t="shared" si="646"/>
        <v>502</v>
      </c>
      <c r="M294" s="10">
        <f t="shared" si="646"/>
        <v>585</v>
      </c>
      <c r="N294" s="10">
        <f t="shared" si="646"/>
        <v>668</v>
      </c>
      <c r="O294" s="10">
        <f t="shared" si="646"/>
        <v>746</v>
      </c>
      <c r="P294" s="10">
        <f t="shared" si="646"/>
        <v>824</v>
      </c>
      <c r="Q294" s="10">
        <f t="shared" si="646"/>
        <v>902</v>
      </c>
      <c r="R294" s="10">
        <f t="shared" si="646"/>
        <v>975</v>
      </c>
      <c r="S294" s="10">
        <f t="shared" si="646"/>
        <v>1048</v>
      </c>
      <c r="T294" s="10">
        <f t="shared" si="646"/>
        <v>1112</v>
      </c>
      <c r="U294" s="10">
        <f t="shared" si="646"/>
        <v>1165</v>
      </c>
      <c r="V294" s="10">
        <f t="shared" si="646"/>
        <v>1204</v>
      </c>
      <c r="W294" s="10">
        <f t="shared" si="646"/>
        <v>1229</v>
      </c>
    </row>
    <row r="295" spans="3:23" ht="25.5" x14ac:dyDescent="0.25">
      <c r="C295" s="78" t="str">
        <f t="shared" si="630"/>
        <v>CASETA 4</v>
      </c>
      <c r="D295" s="86" t="s">
        <v>65</v>
      </c>
      <c r="E295" s="222"/>
      <c r="F295" s="10">
        <f t="shared" ref="F295:W295" si="647">VLOOKUP(F$203,CASETA4,22,0)</f>
        <v>77</v>
      </c>
      <c r="G295" s="10">
        <f t="shared" si="647"/>
        <v>77</v>
      </c>
      <c r="H295" s="10">
        <f t="shared" si="647"/>
        <v>77</v>
      </c>
      <c r="I295" s="10">
        <f t="shared" si="647"/>
        <v>79</v>
      </c>
      <c r="J295" s="10">
        <f t="shared" si="647"/>
        <v>79</v>
      </c>
      <c r="K295" s="10">
        <f t="shared" si="647"/>
        <v>79</v>
      </c>
      <c r="L295" s="10">
        <f t="shared" si="647"/>
        <v>79</v>
      </c>
      <c r="M295" s="10">
        <f t="shared" si="647"/>
        <v>79</v>
      </c>
      <c r="N295" s="10">
        <f t="shared" si="647"/>
        <v>79</v>
      </c>
      <c r="O295" s="10">
        <f t="shared" si="647"/>
        <v>80</v>
      </c>
      <c r="P295" s="10">
        <f t="shared" si="647"/>
        <v>80</v>
      </c>
      <c r="Q295" s="10">
        <f t="shared" si="647"/>
        <v>82</v>
      </c>
      <c r="R295" s="10">
        <f t="shared" si="647"/>
        <v>82</v>
      </c>
      <c r="S295" s="10">
        <f t="shared" si="647"/>
        <v>84</v>
      </c>
      <c r="T295" s="10">
        <f t="shared" si="647"/>
        <v>86</v>
      </c>
      <c r="U295" s="10">
        <f t="shared" si="647"/>
        <v>86</v>
      </c>
      <c r="V295" s="10">
        <f t="shared" si="647"/>
        <v>86</v>
      </c>
      <c r="W295" s="10">
        <f t="shared" si="647"/>
        <v>86</v>
      </c>
    </row>
    <row r="296" spans="3:23" ht="25.5" x14ac:dyDescent="0.25">
      <c r="C296" s="78" t="str">
        <f t="shared" si="630"/>
        <v>CASETA 4</v>
      </c>
      <c r="D296" s="86" t="s">
        <v>66</v>
      </c>
      <c r="E296" s="222"/>
      <c r="F296" s="10">
        <f t="shared" ref="F296:W296" si="648">VLOOKUP(F$203,CASETA4,23,0)</f>
        <v>0</v>
      </c>
      <c r="G296" s="10">
        <f t="shared" si="648"/>
        <v>0</v>
      </c>
      <c r="H296" s="10">
        <f t="shared" si="648"/>
        <v>0</v>
      </c>
      <c r="I296" s="10">
        <f t="shared" si="648"/>
        <v>0</v>
      </c>
      <c r="J296" s="10">
        <f t="shared" si="648"/>
        <v>0</v>
      </c>
      <c r="K296" s="10">
        <f t="shared" si="648"/>
        <v>0</v>
      </c>
      <c r="L296" s="10">
        <f t="shared" si="648"/>
        <v>0</v>
      </c>
      <c r="M296" s="10">
        <f t="shared" si="648"/>
        <v>0</v>
      </c>
      <c r="N296" s="10">
        <f t="shared" si="648"/>
        <v>0</v>
      </c>
      <c r="O296" s="10">
        <f t="shared" si="648"/>
        <v>0</v>
      </c>
      <c r="P296" s="10">
        <f t="shared" si="648"/>
        <v>0</v>
      </c>
      <c r="Q296" s="10">
        <f t="shared" si="648"/>
        <v>0</v>
      </c>
      <c r="R296" s="10">
        <f t="shared" si="648"/>
        <v>0</v>
      </c>
      <c r="S296" s="10">
        <f t="shared" si="648"/>
        <v>0</v>
      </c>
      <c r="T296" s="10">
        <f t="shared" si="648"/>
        <v>0</v>
      </c>
      <c r="U296" s="10">
        <f t="shared" si="648"/>
        <v>0</v>
      </c>
      <c r="V296" s="10">
        <f t="shared" si="648"/>
        <v>0</v>
      </c>
      <c r="W296" s="10">
        <f t="shared" si="648"/>
        <v>0</v>
      </c>
    </row>
    <row r="297" spans="3:23" x14ac:dyDescent="0.25">
      <c r="C297" s="78" t="str">
        <f t="shared" si="630"/>
        <v>CASETA 4</v>
      </c>
      <c r="D297" s="23" t="s">
        <v>15</v>
      </c>
      <c r="E297" s="85"/>
      <c r="F297" s="10">
        <f t="shared" ref="F297:W297" si="649">VLOOKUP(F$203,CASETA4,24,0)</f>
        <v>77</v>
      </c>
      <c r="G297" s="10">
        <f t="shared" si="649"/>
        <v>77</v>
      </c>
      <c r="H297" s="10">
        <f t="shared" si="649"/>
        <v>77</v>
      </c>
      <c r="I297" s="10">
        <f t="shared" si="649"/>
        <v>79</v>
      </c>
      <c r="J297" s="10">
        <f t="shared" si="649"/>
        <v>79</v>
      </c>
      <c r="K297" s="10">
        <f t="shared" si="649"/>
        <v>79</v>
      </c>
      <c r="L297" s="10">
        <f t="shared" si="649"/>
        <v>79</v>
      </c>
      <c r="M297" s="10">
        <f t="shared" si="649"/>
        <v>79</v>
      </c>
      <c r="N297" s="10">
        <f t="shared" si="649"/>
        <v>79</v>
      </c>
      <c r="O297" s="10">
        <f t="shared" si="649"/>
        <v>80</v>
      </c>
      <c r="P297" s="10">
        <f t="shared" si="649"/>
        <v>80</v>
      </c>
      <c r="Q297" s="10">
        <f t="shared" si="649"/>
        <v>82</v>
      </c>
      <c r="R297" s="10">
        <f t="shared" si="649"/>
        <v>82</v>
      </c>
      <c r="S297" s="10">
        <f t="shared" si="649"/>
        <v>84</v>
      </c>
      <c r="T297" s="10">
        <f t="shared" si="649"/>
        <v>86</v>
      </c>
      <c r="U297" s="10">
        <f t="shared" si="649"/>
        <v>86</v>
      </c>
      <c r="V297" s="10">
        <f t="shared" si="649"/>
        <v>86</v>
      </c>
      <c r="W297" s="10">
        <f t="shared" si="649"/>
        <v>86</v>
      </c>
    </row>
    <row r="300" spans="3:23" ht="25.5" x14ac:dyDescent="0.25">
      <c r="C300" t="s">
        <v>56</v>
      </c>
      <c r="D300" s="24" t="s">
        <v>67</v>
      </c>
      <c r="E300" s="207"/>
      <c r="F300" s="10">
        <f t="shared" ref="F300:W300" si="650">VLOOKUP(F$203,CASETA5,4,0)</f>
        <v>0</v>
      </c>
      <c r="G300" s="10">
        <f t="shared" si="650"/>
        <v>0</v>
      </c>
      <c r="H300" s="10">
        <f t="shared" si="650"/>
        <v>0</v>
      </c>
      <c r="I300" s="10">
        <f t="shared" si="650"/>
        <v>0</v>
      </c>
      <c r="J300" s="10">
        <f t="shared" si="650"/>
        <v>0</v>
      </c>
      <c r="K300" s="10">
        <f t="shared" si="650"/>
        <v>0</v>
      </c>
      <c r="L300" s="10">
        <f t="shared" si="650"/>
        <v>0</v>
      </c>
      <c r="M300" s="10">
        <f t="shared" si="650"/>
        <v>0</v>
      </c>
      <c r="N300" s="10">
        <f t="shared" si="650"/>
        <v>0</v>
      </c>
      <c r="O300" s="10">
        <f t="shared" si="650"/>
        <v>0</v>
      </c>
      <c r="P300" s="10">
        <f t="shared" si="650"/>
        <v>0</v>
      </c>
      <c r="Q300" s="10">
        <f t="shared" si="650"/>
        <v>0</v>
      </c>
      <c r="R300" s="10">
        <f t="shared" si="650"/>
        <v>0</v>
      </c>
      <c r="S300" s="10">
        <f t="shared" si="650"/>
        <v>0</v>
      </c>
      <c r="T300" s="10">
        <f t="shared" si="650"/>
        <v>0</v>
      </c>
      <c r="U300" s="10">
        <f t="shared" si="650"/>
        <v>0</v>
      </c>
      <c r="V300" s="10">
        <f t="shared" si="650"/>
        <v>0</v>
      </c>
      <c r="W300" s="10">
        <f t="shared" si="650"/>
        <v>0</v>
      </c>
    </row>
    <row r="301" spans="3:23" x14ac:dyDescent="0.25">
      <c r="C301" s="79" t="str">
        <f>C300</f>
        <v>CASETA 5</v>
      </c>
      <c r="D301" s="24" t="s">
        <v>34</v>
      </c>
      <c r="E301" s="207"/>
      <c r="F301" s="10">
        <f t="shared" ref="F301:W301" si="651">VLOOKUP(F$203,CASETA5,5,0)</f>
        <v>0</v>
      </c>
      <c r="G301" s="10">
        <f t="shared" si="651"/>
        <v>0</v>
      </c>
      <c r="H301" s="10">
        <f t="shared" si="651"/>
        <v>0</v>
      </c>
      <c r="I301" s="10">
        <f t="shared" si="651"/>
        <v>0</v>
      </c>
      <c r="J301" s="10">
        <f t="shared" si="651"/>
        <v>0</v>
      </c>
      <c r="K301" s="10">
        <f t="shared" si="651"/>
        <v>0</v>
      </c>
      <c r="L301" s="10">
        <f t="shared" si="651"/>
        <v>0</v>
      </c>
      <c r="M301" s="10">
        <f t="shared" si="651"/>
        <v>0</v>
      </c>
      <c r="N301" s="10">
        <f t="shared" si="651"/>
        <v>0</v>
      </c>
      <c r="O301" s="10">
        <f t="shared" si="651"/>
        <v>0</v>
      </c>
      <c r="P301" s="10">
        <f t="shared" si="651"/>
        <v>0</v>
      </c>
      <c r="Q301" s="10">
        <f t="shared" si="651"/>
        <v>0</v>
      </c>
      <c r="R301" s="10">
        <f t="shared" si="651"/>
        <v>0</v>
      </c>
      <c r="S301" s="10">
        <f t="shared" si="651"/>
        <v>0</v>
      </c>
      <c r="T301" s="10">
        <f t="shared" si="651"/>
        <v>0</v>
      </c>
      <c r="U301" s="10">
        <f t="shared" si="651"/>
        <v>0</v>
      </c>
      <c r="V301" s="10">
        <f t="shared" si="651"/>
        <v>0</v>
      </c>
      <c r="W301" s="10">
        <f t="shared" si="651"/>
        <v>0</v>
      </c>
    </row>
    <row r="302" spans="3:23" x14ac:dyDescent="0.25">
      <c r="C302" s="79" t="str">
        <f t="shared" ref="C302:C320" si="652">C301</f>
        <v>CASETA 5</v>
      </c>
      <c r="D302" s="23" t="s">
        <v>27</v>
      </c>
      <c r="E302" s="85"/>
      <c r="F302" s="10">
        <f t="shared" ref="F302:W302" si="653">VLOOKUP(F$203,CASETA5,6,0)</f>
        <v>0</v>
      </c>
      <c r="G302" s="10">
        <f t="shared" si="653"/>
        <v>0</v>
      </c>
      <c r="H302" s="10">
        <f t="shared" si="653"/>
        <v>0</v>
      </c>
      <c r="I302" s="10">
        <f t="shared" si="653"/>
        <v>0</v>
      </c>
      <c r="J302" s="10">
        <f t="shared" si="653"/>
        <v>0</v>
      </c>
      <c r="K302" s="10">
        <f t="shared" si="653"/>
        <v>0</v>
      </c>
      <c r="L302" s="10">
        <f t="shared" si="653"/>
        <v>0</v>
      </c>
      <c r="M302" s="10">
        <f t="shared" si="653"/>
        <v>0</v>
      </c>
      <c r="N302" s="10">
        <f t="shared" si="653"/>
        <v>0</v>
      </c>
      <c r="O302" s="10">
        <f t="shared" si="653"/>
        <v>0</v>
      </c>
      <c r="P302" s="10">
        <f t="shared" si="653"/>
        <v>0</v>
      </c>
      <c r="Q302" s="10">
        <f t="shared" si="653"/>
        <v>0</v>
      </c>
      <c r="R302" s="10">
        <f t="shared" si="653"/>
        <v>0</v>
      </c>
      <c r="S302" s="10">
        <f t="shared" si="653"/>
        <v>0</v>
      </c>
      <c r="T302" s="10">
        <f t="shared" si="653"/>
        <v>0</v>
      </c>
      <c r="U302" s="10">
        <f t="shared" si="653"/>
        <v>0</v>
      </c>
      <c r="V302" s="10">
        <f t="shared" si="653"/>
        <v>0</v>
      </c>
      <c r="W302" s="10">
        <f t="shared" si="653"/>
        <v>0</v>
      </c>
    </row>
    <row r="303" spans="3:23" x14ac:dyDescent="0.25">
      <c r="C303" s="79" t="str">
        <f t="shared" si="652"/>
        <v>CASETA 5</v>
      </c>
      <c r="D303" s="23" t="s">
        <v>16</v>
      </c>
      <c r="E303" s="85"/>
      <c r="F303" s="10">
        <f t="shared" ref="F303:W303" si="654">VLOOKUP(F$203,CASETA5,7,0)</f>
        <v>0</v>
      </c>
      <c r="G303" s="10">
        <f t="shared" si="654"/>
        <v>0</v>
      </c>
      <c r="H303" s="10">
        <f t="shared" si="654"/>
        <v>0</v>
      </c>
      <c r="I303" s="10">
        <f t="shared" si="654"/>
        <v>0</v>
      </c>
      <c r="J303" s="10">
        <f t="shared" si="654"/>
        <v>0</v>
      </c>
      <c r="K303" s="10">
        <f t="shared" si="654"/>
        <v>0</v>
      </c>
      <c r="L303" s="10">
        <f t="shared" si="654"/>
        <v>0</v>
      </c>
      <c r="M303" s="10">
        <f t="shared" si="654"/>
        <v>0</v>
      </c>
      <c r="N303" s="10">
        <f t="shared" si="654"/>
        <v>0</v>
      </c>
      <c r="O303" s="10">
        <f t="shared" si="654"/>
        <v>0</v>
      </c>
      <c r="P303" s="10">
        <f t="shared" si="654"/>
        <v>0</v>
      </c>
      <c r="Q303" s="10">
        <f t="shared" si="654"/>
        <v>0</v>
      </c>
      <c r="R303" s="10">
        <f t="shared" si="654"/>
        <v>0</v>
      </c>
      <c r="S303" s="10">
        <f t="shared" si="654"/>
        <v>0</v>
      </c>
      <c r="T303" s="10">
        <f t="shared" si="654"/>
        <v>0</v>
      </c>
      <c r="U303" s="10">
        <f t="shared" si="654"/>
        <v>0</v>
      </c>
      <c r="V303" s="10">
        <f t="shared" si="654"/>
        <v>0</v>
      </c>
      <c r="W303" s="10">
        <f t="shared" si="654"/>
        <v>0</v>
      </c>
    </row>
    <row r="304" spans="3:23" x14ac:dyDescent="0.25">
      <c r="C304" s="79" t="str">
        <f t="shared" si="652"/>
        <v>CASETA 5</v>
      </c>
      <c r="D304" s="23" t="s">
        <v>17</v>
      </c>
      <c r="E304" s="85"/>
      <c r="F304" s="10">
        <f t="shared" ref="F304:W304" si="655">VLOOKUP(F$203,CASETA5,8,0)</f>
        <v>0</v>
      </c>
      <c r="G304" s="10">
        <f t="shared" si="655"/>
        <v>0</v>
      </c>
      <c r="H304" s="10">
        <f t="shared" si="655"/>
        <v>0</v>
      </c>
      <c r="I304" s="10">
        <f t="shared" si="655"/>
        <v>0</v>
      </c>
      <c r="J304" s="10">
        <f t="shared" si="655"/>
        <v>0</v>
      </c>
      <c r="K304" s="10">
        <f t="shared" si="655"/>
        <v>0</v>
      </c>
      <c r="L304" s="10">
        <f t="shared" si="655"/>
        <v>0</v>
      </c>
      <c r="M304" s="10">
        <f t="shared" si="655"/>
        <v>0</v>
      </c>
      <c r="N304" s="10">
        <f t="shared" si="655"/>
        <v>0</v>
      </c>
      <c r="O304" s="10">
        <f t="shared" si="655"/>
        <v>0</v>
      </c>
      <c r="P304" s="10">
        <f t="shared" si="655"/>
        <v>0</v>
      </c>
      <c r="Q304" s="10">
        <f t="shared" si="655"/>
        <v>0</v>
      </c>
      <c r="R304" s="10">
        <f t="shared" si="655"/>
        <v>0</v>
      </c>
      <c r="S304" s="10">
        <f t="shared" si="655"/>
        <v>0</v>
      </c>
      <c r="T304" s="10">
        <f t="shared" si="655"/>
        <v>0</v>
      </c>
      <c r="U304" s="10">
        <f t="shared" si="655"/>
        <v>0</v>
      </c>
      <c r="V304" s="10">
        <f t="shared" si="655"/>
        <v>0</v>
      </c>
      <c r="W304" s="10">
        <f t="shared" si="655"/>
        <v>0</v>
      </c>
    </row>
    <row r="305" spans="3:23" x14ac:dyDescent="0.25">
      <c r="C305" s="79" t="str">
        <f t="shared" si="652"/>
        <v>CASETA 5</v>
      </c>
      <c r="D305" s="23" t="s">
        <v>18</v>
      </c>
      <c r="E305" s="85"/>
      <c r="F305" s="10">
        <f t="shared" ref="F305:W305" si="656">VLOOKUP(F$203,CASETA5,9,0)</f>
        <v>0</v>
      </c>
      <c r="G305" s="10">
        <f t="shared" si="656"/>
        <v>0</v>
      </c>
      <c r="H305" s="10">
        <f t="shared" si="656"/>
        <v>0</v>
      </c>
      <c r="I305" s="10">
        <f t="shared" si="656"/>
        <v>0</v>
      </c>
      <c r="J305" s="10">
        <f t="shared" si="656"/>
        <v>0</v>
      </c>
      <c r="K305" s="10">
        <f t="shared" si="656"/>
        <v>0</v>
      </c>
      <c r="L305" s="10">
        <f t="shared" si="656"/>
        <v>0</v>
      </c>
      <c r="M305" s="10">
        <f t="shared" si="656"/>
        <v>0</v>
      </c>
      <c r="N305" s="10">
        <f t="shared" si="656"/>
        <v>0</v>
      </c>
      <c r="O305" s="10">
        <f t="shared" si="656"/>
        <v>0</v>
      </c>
      <c r="P305" s="10">
        <f t="shared" si="656"/>
        <v>0</v>
      </c>
      <c r="Q305" s="10">
        <f t="shared" si="656"/>
        <v>0</v>
      </c>
      <c r="R305" s="10">
        <f t="shared" si="656"/>
        <v>0</v>
      </c>
      <c r="S305" s="10">
        <f t="shared" si="656"/>
        <v>0</v>
      </c>
      <c r="T305" s="10">
        <f t="shared" si="656"/>
        <v>0</v>
      </c>
      <c r="U305" s="10">
        <f t="shared" si="656"/>
        <v>0</v>
      </c>
      <c r="V305" s="10">
        <f t="shared" si="656"/>
        <v>0</v>
      </c>
      <c r="W305" s="10">
        <f t="shared" si="656"/>
        <v>0</v>
      </c>
    </row>
    <row r="306" spans="3:23" x14ac:dyDescent="0.25">
      <c r="C306" s="79" t="str">
        <f t="shared" si="652"/>
        <v>CASETA 5</v>
      </c>
      <c r="D306" s="23" t="s">
        <v>48</v>
      </c>
      <c r="E306" s="85"/>
      <c r="F306" s="10">
        <f t="shared" ref="F306:W306" si="657">VLOOKUP(F$203,CASETA5,10,0)</f>
        <v>0</v>
      </c>
      <c r="G306" s="10">
        <f t="shared" si="657"/>
        <v>0</v>
      </c>
      <c r="H306" s="10">
        <f t="shared" si="657"/>
        <v>0</v>
      </c>
      <c r="I306" s="10">
        <f t="shared" si="657"/>
        <v>0</v>
      </c>
      <c r="J306" s="10">
        <f t="shared" si="657"/>
        <v>0</v>
      </c>
      <c r="K306" s="10">
        <f t="shared" si="657"/>
        <v>0</v>
      </c>
      <c r="L306" s="10">
        <f t="shared" si="657"/>
        <v>0</v>
      </c>
      <c r="M306" s="10">
        <f t="shared" si="657"/>
        <v>0</v>
      </c>
      <c r="N306" s="10">
        <f t="shared" si="657"/>
        <v>0</v>
      </c>
      <c r="O306" s="10">
        <f t="shared" si="657"/>
        <v>0</v>
      </c>
      <c r="P306" s="10">
        <f t="shared" si="657"/>
        <v>0</v>
      </c>
      <c r="Q306" s="10">
        <f t="shared" si="657"/>
        <v>0</v>
      </c>
      <c r="R306" s="10">
        <f t="shared" si="657"/>
        <v>0</v>
      </c>
      <c r="S306" s="10">
        <f t="shared" si="657"/>
        <v>0</v>
      </c>
      <c r="T306" s="10">
        <f t="shared" si="657"/>
        <v>0</v>
      </c>
      <c r="U306" s="10">
        <f t="shared" si="657"/>
        <v>0</v>
      </c>
      <c r="V306" s="10">
        <f t="shared" si="657"/>
        <v>0</v>
      </c>
      <c r="W306" s="10">
        <f t="shared" si="657"/>
        <v>0</v>
      </c>
    </row>
    <row r="307" spans="3:23" x14ac:dyDescent="0.25">
      <c r="C307" s="79" t="str">
        <f t="shared" si="652"/>
        <v>CASETA 5</v>
      </c>
      <c r="D307" s="86" t="s">
        <v>72</v>
      </c>
      <c r="E307" s="222"/>
      <c r="F307" s="10">
        <f t="shared" ref="F307:W307" si="658">VLOOKUP(F$203,CASETA5,11,0)</f>
        <v>0.7</v>
      </c>
      <c r="G307" s="10">
        <f t="shared" si="658"/>
        <v>0.7</v>
      </c>
      <c r="H307" s="10">
        <f t="shared" si="658"/>
        <v>0.5</v>
      </c>
      <c r="I307" s="10">
        <f t="shared" si="658"/>
        <v>0.3</v>
      </c>
      <c r="J307" s="10">
        <f t="shared" si="658"/>
        <v>0.18</v>
      </c>
      <c r="K307" s="10">
        <f t="shared" si="658"/>
        <v>0.18</v>
      </c>
      <c r="L307" s="10">
        <f t="shared" si="658"/>
        <v>0.16</v>
      </c>
      <c r="M307" s="10">
        <f t="shared" si="658"/>
        <v>0.16</v>
      </c>
      <c r="N307" s="10">
        <f t="shared" si="658"/>
        <v>0.16</v>
      </c>
      <c r="O307" s="10">
        <f t="shared" si="658"/>
        <v>0.16</v>
      </c>
      <c r="P307" s="10">
        <f t="shared" si="658"/>
        <v>0.16</v>
      </c>
      <c r="Q307" s="10">
        <f t="shared" si="658"/>
        <v>0.16</v>
      </c>
      <c r="R307" s="10">
        <f t="shared" si="658"/>
        <v>0.16</v>
      </c>
      <c r="S307" s="10">
        <f t="shared" si="658"/>
        <v>0.16</v>
      </c>
      <c r="T307" s="10">
        <f t="shared" si="658"/>
        <v>0.16</v>
      </c>
      <c r="U307" s="10">
        <f t="shared" si="658"/>
        <v>0.16</v>
      </c>
      <c r="V307" s="10">
        <f t="shared" si="658"/>
        <v>0.16</v>
      </c>
      <c r="W307" s="10">
        <f t="shared" si="658"/>
        <v>0.16</v>
      </c>
    </row>
    <row r="308" spans="3:23" x14ac:dyDescent="0.25">
      <c r="C308" s="79" t="str">
        <f t="shared" si="652"/>
        <v>CASETA 5</v>
      </c>
      <c r="D308" s="86" t="s">
        <v>74</v>
      </c>
      <c r="E308" s="222"/>
      <c r="F308" s="10">
        <f t="shared" ref="F308:W308" si="659">VLOOKUP(F$203,CASETA5,12,0)</f>
        <v>0</v>
      </c>
      <c r="G308" s="10">
        <f t="shared" si="659"/>
        <v>0</v>
      </c>
      <c r="H308" s="10">
        <f t="shared" si="659"/>
        <v>0</v>
      </c>
      <c r="I308" s="10">
        <f t="shared" si="659"/>
        <v>0</v>
      </c>
      <c r="J308" s="10">
        <f t="shared" si="659"/>
        <v>0</v>
      </c>
      <c r="K308" s="10">
        <f t="shared" si="659"/>
        <v>0</v>
      </c>
      <c r="L308" s="10">
        <f t="shared" si="659"/>
        <v>0</v>
      </c>
      <c r="M308" s="10">
        <f t="shared" si="659"/>
        <v>0</v>
      </c>
      <c r="N308" s="10">
        <f t="shared" si="659"/>
        <v>0</v>
      </c>
      <c r="O308" s="10">
        <f t="shared" si="659"/>
        <v>0</v>
      </c>
      <c r="P308" s="10">
        <f t="shared" si="659"/>
        <v>0</v>
      </c>
      <c r="Q308" s="10">
        <f t="shared" si="659"/>
        <v>0</v>
      </c>
      <c r="R308" s="10">
        <f t="shared" si="659"/>
        <v>0</v>
      </c>
      <c r="S308" s="10">
        <f t="shared" si="659"/>
        <v>0</v>
      </c>
      <c r="T308" s="10">
        <f t="shared" si="659"/>
        <v>0</v>
      </c>
      <c r="U308" s="10">
        <f t="shared" si="659"/>
        <v>0</v>
      </c>
      <c r="V308" s="10">
        <f t="shared" si="659"/>
        <v>0</v>
      </c>
      <c r="W308" s="10">
        <f t="shared" si="659"/>
        <v>0</v>
      </c>
    </row>
    <row r="309" spans="3:23" ht="25.5" x14ac:dyDescent="0.25">
      <c r="C309" s="79" t="str">
        <f t="shared" si="652"/>
        <v>CASETA 5</v>
      </c>
      <c r="D309" s="87" t="s">
        <v>49</v>
      </c>
      <c r="E309" s="223"/>
      <c r="F309" s="10">
        <f t="shared" ref="F309:W309" si="660">VLOOKUP(F$203,CASETA5,13,0)</f>
        <v>0.7</v>
      </c>
      <c r="G309" s="10">
        <f t="shared" si="660"/>
        <v>1.4</v>
      </c>
      <c r="H309" s="10">
        <f t="shared" si="660"/>
        <v>1.9</v>
      </c>
      <c r="I309" s="10">
        <f t="shared" si="660"/>
        <v>2.1999999999999997</v>
      </c>
      <c r="J309" s="10">
        <f t="shared" si="660"/>
        <v>2.38</v>
      </c>
      <c r="K309" s="10">
        <f t="shared" si="660"/>
        <v>2.56</v>
      </c>
      <c r="L309" s="10">
        <f t="shared" si="660"/>
        <v>2.72</v>
      </c>
      <c r="M309" s="10">
        <f t="shared" si="660"/>
        <v>2.8800000000000003</v>
      </c>
      <c r="N309" s="10">
        <f t="shared" si="660"/>
        <v>3.0400000000000005</v>
      </c>
      <c r="O309" s="10">
        <f t="shared" si="660"/>
        <v>3.2000000000000006</v>
      </c>
      <c r="P309" s="10">
        <f t="shared" si="660"/>
        <v>3.3600000000000008</v>
      </c>
      <c r="Q309" s="10">
        <f t="shared" si="660"/>
        <v>3.5200000000000009</v>
      </c>
      <c r="R309" s="10">
        <f t="shared" si="660"/>
        <v>3.680000000000001</v>
      </c>
      <c r="S309" s="10">
        <f t="shared" si="660"/>
        <v>3.8400000000000012</v>
      </c>
      <c r="T309" s="10">
        <f t="shared" si="660"/>
        <v>4.0000000000000009</v>
      </c>
      <c r="U309" s="10">
        <f t="shared" si="660"/>
        <v>4.160000000000001</v>
      </c>
      <c r="V309" s="10">
        <f t="shared" si="660"/>
        <v>4.3200000000000012</v>
      </c>
      <c r="W309" s="10">
        <f t="shared" si="660"/>
        <v>4.4800000000000013</v>
      </c>
    </row>
    <row r="310" spans="3:23" ht="25.5" x14ac:dyDescent="0.25">
      <c r="C310" s="79" t="str">
        <f t="shared" si="652"/>
        <v>CASETA 5</v>
      </c>
      <c r="D310" s="87" t="s">
        <v>73</v>
      </c>
      <c r="E310" s="223"/>
      <c r="F310" s="10">
        <f t="shared" ref="F310:W310" si="661">VLOOKUP(F$203,CASETA5,14,0)</f>
        <v>0</v>
      </c>
      <c r="G310" s="10">
        <f t="shared" si="661"/>
        <v>0</v>
      </c>
      <c r="H310" s="10">
        <f t="shared" si="661"/>
        <v>0</v>
      </c>
      <c r="I310" s="10">
        <f t="shared" si="661"/>
        <v>0</v>
      </c>
      <c r="J310" s="10">
        <f t="shared" si="661"/>
        <v>0</v>
      </c>
      <c r="K310" s="10">
        <f t="shared" si="661"/>
        <v>0</v>
      </c>
      <c r="L310" s="10">
        <f t="shared" si="661"/>
        <v>0</v>
      </c>
      <c r="M310" s="10">
        <f t="shared" si="661"/>
        <v>0</v>
      </c>
      <c r="N310" s="10">
        <f t="shared" si="661"/>
        <v>0</v>
      </c>
      <c r="O310" s="10">
        <f t="shared" si="661"/>
        <v>0</v>
      </c>
      <c r="P310" s="10">
        <f t="shared" si="661"/>
        <v>0</v>
      </c>
      <c r="Q310" s="10">
        <f t="shared" si="661"/>
        <v>0</v>
      </c>
      <c r="R310" s="10">
        <f t="shared" si="661"/>
        <v>0</v>
      </c>
      <c r="S310" s="10">
        <f t="shared" si="661"/>
        <v>0</v>
      </c>
      <c r="T310" s="10">
        <f t="shared" si="661"/>
        <v>0</v>
      </c>
      <c r="U310" s="10">
        <f t="shared" si="661"/>
        <v>0</v>
      </c>
      <c r="V310" s="10">
        <f t="shared" si="661"/>
        <v>0</v>
      </c>
      <c r="W310" s="10">
        <f t="shared" si="661"/>
        <v>0</v>
      </c>
    </row>
    <row r="311" spans="3:23" x14ac:dyDescent="0.25">
      <c r="C311" s="79" t="str">
        <f t="shared" si="652"/>
        <v>CASETA 5</v>
      </c>
      <c r="D311" s="23" t="s">
        <v>9</v>
      </c>
      <c r="E311" s="85"/>
      <c r="F311" s="10">
        <f t="shared" ref="F311:W311" si="662">VLOOKUP(F$203,CASETA5,15,0)</f>
        <v>0</v>
      </c>
      <c r="G311" s="10">
        <f t="shared" si="662"/>
        <v>0</v>
      </c>
      <c r="H311" s="10">
        <f t="shared" si="662"/>
        <v>0</v>
      </c>
      <c r="I311" s="10">
        <f t="shared" si="662"/>
        <v>0</v>
      </c>
      <c r="J311" s="10">
        <f t="shared" si="662"/>
        <v>0</v>
      </c>
      <c r="K311" s="10">
        <f t="shared" si="662"/>
        <v>0</v>
      </c>
      <c r="L311" s="10">
        <f t="shared" si="662"/>
        <v>0</v>
      </c>
      <c r="M311" s="10">
        <f t="shared" si="662"/>
        <v>0</v>
      </c>
      <c r="N311" s="10">
        <f t="shared" si="662"/>
        <v>0</v>
      </c>
      <c r="O311" s="10">
        <f t="shared" si="662"/>
        <v>0</v>
      </c>
      <c r="P311" s="10">
        <f t="shared" si="662"/>
        <v>0</v>
      </c>
      <c r="Q311" s="10">
        <f t="shared" si="662"/>
        <v>0</v>
      </c>
      <c r="R311" s="10">
        <f t="shared" si="662"/>
        <v>0</v>
      </c>
      <c r="S311" s="10">
        <f t="shared" si="662"/>
        <v>0</v>
      </c>
      <c r="T311" s="10">
        <f t="shared" si="662"/>
        <v>0</v>
      </c>
      <c r="U311" s="10">
        <f t="shared" si="662"/>
        <v>0</v>
      </c>
      <c r="V311" s="10">
        <f t="shared" si="662"/>
        <v>0</v>
      </c>
      <c r="W311" s="10">
        <f t="shared" si="662"/>
        <v>0</v>
      </c>
    </row>
    <row r="312" spans="3:23" ht="25.5" x14ac:dyDescent="0.25">
      <c r="C312" s="79" t="str">
        <f t="shared" si="652"/>
        <v>CASETA 5</v>
      </c>
      <c r="D312" s="86" t="s">
        <v>75</v>
      </c>
      <c r="E312" s="222"/>
      <c r="F312" s="10">
        <f t="shared" ref="F312:W312" si="663">VLOOKUP(F$203,CASETA5,16,0)</f>
        <v>6</v>
      </c>
      <c r="G312" s="10">
        <f t="shared" si="663"/>
        <v>12</v>
      </c>
      <c r="H312" s="10">
        <f t="shared" si="663"/>
        <v>20</v>
      </c>
      <c r="I312" s="10">
        <f t="shared" si="663"/>
        <v>29</v>
      </c>
      <c r="J312" s="10">
        <f t="shared" si="663"/>
        <v>36</v>
      </c>
      <c r="K312" s="10">
        <f t="shared" si="663"/>
        <v>40</v>
      </c>
      <c r="L312" s="10">
        <f t="shared" si="663"/>
        <v>43</v>
      </c>
      <c r="M312" s="10">
        <f t="shared" si="663"/>
        <v>45</v>
      </c>
      <c r="N312" s="10">
        <f t="shared" si="663"/>
        <v>47</v>
      </c>
      <c r="O312" s="10">
        <f t="shared" si="663"/>
        <v>49</v>
      </c>
      <c r="P312" s="10">
        <f t="shared" si="663"/>
        <v>51</v>
      </c>
      <c r="Q312" s="10">
        <f t="shared" si="663"/>
        <v>53</v>
      </c>
      <c r="R312" s="10">
        <f t="shared" si="663"/>
        <v>55</v>
      </c>
      <c r="S312" s="10">
        <f t="shared" si="663"/>
        <v>57</v>
      </c>
      <c r="T312" s="10">
        <f t="shared" si="663"/>
        <v>60</v>
      </c>
      <c r="U312" s="10">
        <f t="shared" si="663"/>
        <v>64</v>
      </c>
      <c r="V312" s="10">
        <f t="shared" si="663"/>
        <v>70</v>
      </c>
      <c r="W312" s="10">
        <f t="shared" si="663"/>
        <v>18</v>
      </c>
    </row>
    <row r="313" spans="3:23" ht="25.5" x14ac:dyDescent="0.25">
      <c r="C313" s="79" t="str">
        <f t="shared" si="652"/>
        <v>CASETA 5</v>
      </c>
      <c r="D313" s="86" t="s">
        <v>62</v>
      </c>
      <c r="E313" s="222"/>
      <c r="F313" s="10">
        <f t="shared" ref="F313:W313" si="664">VLOOKUP(F$203,CASETA5,17,0)</f>
        <v>0</v>
      </c>
      <c r="G313" s="10">
        <f t="shared" si="664"/>
        <v>0</v>
      </c>
      <c r="H313" s="10">
        <f t="shared" si="664"/>
        <v>0</v>
      </c>
      <c r="I313" s="10">
        <f t="shared" si="664"/>
        <v>0</v>
      </c>
      <c r="J313" s="10">
        <f t="shared" si="664"/>
        <v>0</v>
      </c>
      <c r="K313" s="10">
        <f t="shared" si="664"/>
        <v>0</v>
      </c>
      <c r="L313" s="10">
        <f t="shared" si="664"/>
        <v>0</v>
      </c>
      <c r="M313" s="10">
        <f t="shared" si="664"/>
        <v>0</v>
      </c>
      <c r="N313" s="10">
        <f t="shared" si="664"/>
        <v>0</v>
      </c>
      <c r="O313" s="10">
        <f t="shared" si="664"/>
        <v>0</v>
      </c>
      <c r="P313" s="10">
        <f t="shared" si="664"/>
        <v>0</v>
      </c>
      <c r="Q313" s="10">
        <f t="shared" si="664"/>
        <v>0</v>
      </c>
      <c r="R313" s="10">
        <f t="shared" si="664"/>
        <v>0</v>
      </c>
      <c r="S313" s="10">
        <f t="shared" si="664"/>
        <v>0</v>
      </c>
      <c r="T313" s="10">
        <f t="shared" si="664"/>
        <v>0</v>
      </c>
      <c r="U313" s="10">
        <f t="shared" si="664"/>
        <v>0</v>
      </c>
      <c r="V313" s="10">
        <f t="shared" si="664"/>
        <v>0</v>
      </c>
      <c r="W313" s="10">
        <f t="shared" si="664"/>
        <v>0</v>
      </c>
    </row>
    <row r="314" spans="3:23" ht="25.5" x14ac:dyDescent="0.25">
      <c r="C314" s="79" t="str">
        <f t="shared" si="652"/>
        <v>CASETA 5</v>
      </c>
      <c r="D314" s="24" t="s">
        <v>50</v>
      </c>
      <c r="E314" s="207"/>
      <c r="F314" s="10">
        <f t="shared" ref="F314:W314" si="665">VLOOKUP(F$203,CASETA5,18,0)</f>
        <v>0</v>
      </c>
      <c r="G314" s="10">
        <f t="shared" si="665"/>
        <v>0</v>
      </c>
      <c r="H314" s="10">
        <f t="shared" si="665"/>
        <v>0</v>
      </c>
      <c r="I314" s="10">
        <f t="shared" si="665"/>
        <v>0</v>
      </c>
      <c r="J314" s="10">
        <f t="shared" si="665"/>
        <v>0</v>
      </c>
      <c r="K314" s="10">
        <f t="shared" si="665"/>
        <v>0</v>
      </c>
      <c r="L314" s="10">
        <f t="shared" si="665"/>
        <v>0</v>
      </c>
      <c r="M314" s="10">
        <f t="shared" si="665"/>
        <v>0</v>
      </c>
      <c r="N314" s="10">
        <f t="shared" si="665"/>
        <v>0</v>
      </c>
      <c r="O314" s="10">
        <f t="shared" si="665"/>
        <v>0</v>
      </c>
      <c r="P314" s="10">
        <f t="shared" si="665"/>
        <v>0</v>
      </c>
      <c r="Q314" s="10">
        <f t="shared" si="665"/>
        <v>0</v>
      </c>
      <c r="R314" s="10">
        <f t="shared" si="665"/>
        <v>0</v>
      </c>
      <c r="S314" s="10">
        <f t="shared" si="665"/>
        <v>0</v>
      </c>
      <c r="T314" s="10">
        <f t="shared" si="665"/>
        <v>0</v>
      </c>
      <c r="U314" s="10">
        <f t="shared" si="665"/>
        <v>0</v>
      </c>
      <c r="V314" s="10">
        <f t="shared" si="665"/>
        <v>0</v>
      </c>
      <c r="W314" s="10">
        <f t="shared" si="665"/>
        <v>0</v>
      </c>
    </row>
    <row r="315" spans="3:23" x14ac:dyDescent="0.25">
      <c r="C315" s="79" t="str">
        <f t="shared" si="652"/>
        <v>CASETA 5</v>
      </c>
      <c r="D315" s="86" t="s">
        <v>63</v>
      </c>
      <c r="E315" s="222"/>
      <c r="F315" s="10">
        <f t="shared" ref="F315:W315" si="666">VLOOKUP(F$203,CASETA5,19,0)</f>
        <v>64</v>
      </c>
      <c r="G315" s="10">
        <f t="shared" si="666"/>
        <v>118</v>
      </c>
      <c r="H315" s="10">
        <f t="shared" si="666"/>
        <v>185</v>
      </c>
      <c r="I315" s="10">
        <f t="shared" si="666"/>
        <v>258</v>
      </c>
      <c r="J315" s="10">
        <f t="shared" si="666"/>
        <v>336</v>
      </c>
      <c r="K315" s="10">
        <f t="shared" si="666"/>
        <v>419</v>
      </c>
      <c r="L315" s="10">
        <f t="shared" si="666"/>
        <v>502</v>
      </c>
      <c r="M315" s="10">
        <f t="shared" si="666"/>
        <v>585</v>
      </c>
      <c r="N315" s="10">
        <f t="shared" si="666"/>
        <v>668</v>
      </c>
      <c r="O315" s="10">
        <f t="shared" si="666"/>
        <v>746</v>
      </c>
      <c r="P315" s="10">
        <f t="shared" si="666"/>
        <v>824</v>
      </c>
      <c r="Q315" s="10">
        <f t="shared" si="666"/>
        <v>902</v>
      </c>
      <c r="R315" s="10">
        <f t="shared" si="666"/>
        <v>975</v>
      </c>
      <c r="S315" s="10">
        <f t="shared" si="666"/>
        <v>1048</v>
      </c>
      <c r="T315" s="10">
        <f t="shared" si="666"/>
        <v>1112</v>
      </c>
      <c r="U315" s="10">
        <f t="shared" si="666"/>
        <v>1165</v>
      </c>
      <c r="V315" s="10">
        <f t="shared" si="666"/>
        <v>1204</v>
      </c>
      <c r="W315" s="10">
        <f t="shared" si="666"/>
        <v>1229</v>
      </c>
    </row>
    <row r="316" spans="3:23" x14ac:dyDescent="0.25">
      <c r="C316" s="79" t="str">
        <f t="shared" si="652"/>
        <v>CASETA 5</v>
      </c>
      <c r="D316" s="86" t="s">
        <v>64</v>
      </c>
      <c r="E316" s="222"/>
      <c r="F316" s="10">
        <f t="shared" ref="F316:W316" si="667">VLOOKUP(F$203,CASETA5,20,0)</f>
        <v>0</v>
      </c>
      <c r="G316" s="10">
        <f t="shared" si="667"/>
        <v>0</v>
      </c>
      <c r="H316" s="10">
        <f t="shared" si="667"/>
        <v>0</v>
      </c>
      <c r="I316" s="10">
        <f t="shared" si="667"/>
        <v>0</v>
      </c>
      <c r="J316" s="10">
        <f t="shared" si="667"/>
        <v>0</v>
      </c>
      <c r="K316" s="10">
        <f t="shared" si="667"/>
        <v>0</v>
      </c>
      <c r="L316" s="10">
        <f t="shared" si="667"/>
        <v>0</v>
      </c>
      <c r="M316" s="10">
        <f t="shared" si="667"/>
        <v>0</v>
      </c>
      <c r="N316" s="10">
        <f t="shared" si="667"/>
        <v>0</v>
      </c>
      <c r="O316" s="10">
        <f t="shared" si="667"/>
        <v>0</v>
      </c>
      <c r="P316" s="10">
        <f t="shared" si="667"/>
        <v>0</v>
      </c>
      <c r="Q316" s="10">
        <f t="shared" si="667"/>
        <v>0</v>
      </c>
      <c r="R316" s="10">
        <f t="shared" si="667"/>
        <v>0</v>
      </c>
      <c r="S316" s="10">
        <f t="shared" si="667"/>
        <v>0</v>
      </c>
      <c r="T316" s="10">
        <f t="shared" si="667"/>
        <v>0</v>
      </c>
      <c r="U316" s="10">
        <f t="shared" si="667"/>
        <v>0</v>
      </c>
      <c r="V316" s="10">
        <f t="shared" si="667"/>
        <v>0</v>
      </c>
      <c r="W316" s="10">
        <f t="shared" si="667"/>
        <v>0</v>
      </c>
    </row>
    <row r="317" spans="3:23" x14ac:dyDescent="0.25">
      <c r="C317" s="79" t="str">
        <f t="shared" si="652"/>
        <v>CASETA 5</v>
      </c>
      <c r="D317" s="23" t="s">
        <v>15</v>
      </c>
      <c r="E317" s="85"/>
      <c r="F317" s="10">
        <f t="shared" ref="F317:W317" si="668">VLOOKUP(F$203,CASETA5,21,0)</f>
        <v>64</v>
      </c>
      <c r="G317" s="10">
        <f t="shared" si="668"/>
        <v>118</v>
      </c>
      <c r="H317" s="10">
        <f t="shared" si="668"/>
        <v>185</v>
      </c>
      <c r="I317" s="10">
        <f t="shared" si="668"/>
        <v>258</v>
      </c>
      <c r="J317" s="10">
        <f t="shared" si="668"/>
        <v>336</v>
      </c>
      <c r="K317" s="10">
        <f t="shared" si="668"/>
        <v>419</v>
      </c>
      <c r="L317" s="10">
        <f t="shared" si="668"/>
        <v>502</v>
      </c>
      <c r="M317" s="10">
        <f t="shared" si="668"/>
        <v>585</v>
      </c>
      <c r="N317" s="10">
        <f t="shared" si="668"/>
        <v>668</v>
      </c>
      <c r="O317" s="10">
        <f t="shared" si="668"/>
        <v>746</v>
      </c>
      <c r="P317" s="10">
        <f t="shared" si="668"/>
        <v>824</v>
      </c>
      <c r="Q317" s="10">
        <f t="shared" si="668"/>
        <v>902</v>
      </c>
      <c r="R317" s="10">
        <f t="shared" si="668"/>
        <v>975</v>
      </c>
      <c r="S317" s="10">
        <f t="shared" si="668"/>
        <v>1048</v>
      </c>
      <c r="T317" s="10">
        <f t="shared" si="668"/>
        <v>1112</v>
      </c>
      <c r="U317" s="10">
        <f t="shared" si="668"/>
        <v>1165</v>
      </c>
      <c r="V317" s="10">
        <f t="shared" si="668"/>
        <v>1204</v>
      </c>
      <c r="W317" s="10">
        <f t="shared" si="668"/>
        <v>1229</v>
      </c>
    </row>
    <row r="318" spans="3:23" ht="25.5" x14ac:dyDescent="0.25">
      <c r="C318" s="79" t="str">
        <f t="shared" si="652"/>
        <v>CASETA 5</v>
      </c>
      <c r="D318" s="86" t="s">
        <v>65</v>
      </c>
      <c r="E318" s="222"/>
      <c r="F318" s="10">
        <f t="shared" ref="F318:W318" si="669">VLOOKUP(F$203,CASETA5,22,0)</f>
        <v>77</v>
      </c>
      <c r="G318" s="10">
        <f t="shared" si="669"/>
        <v>77</v>
      </c>
      <c r="H318" s="10">
        <f t="shared" si="669"/>
        <v>77</v>
      </c>
      <c r="I318" s="10">
        <f t="shared" si="669"/>
        <v>79</v>
      </c>
      <c r="J318" s="10">
        <f t="shared" si="669"/>
        <v>79</v>
      </c>
      <c r="K318" s="10">
        <f t="shared" si="669"/>
        <v>79</v>
      </c>
      <c r="L318" s="10">
        <f t="shared" si="669"/>
        <v>79</v>
      </c>
      <c r="M318" s="10">
        <f t="shared" si="669"/>
        <v>79</v>
      </c>
      <c r="N318" s="10">
        <f t="shared" si="669"/>
        <v>79</v>
      </c>
      <c r="O318" s="10">
        <f t="shared" si="669"/>
        <v>80</v>
      </c>
      <c r="P318" s="10">
        <f t="shared" si="669"/>
        <v>80</v>
      </c>
      <c r="Q318" s="10">
        <f t="shared" si="669"/>
        <v>82</v>
      </c>
      <c r="R318" s="10">
        <f t="shared" si="669"/>
        <v>82</v>
      </c>
      <c r="S318" s="10">
        <f t="shared" si="669"/>
        <v>84</v>
      </c>
      <c r="T318" s="10">
        <f t="shared" si="669"/>
        <v>86</v>
      </c>
      <c r="U318" s="10">
        <f t="shared" si="669"/>
        <v>86</v>
      </c>
      <c r="V318" s="10">
        <f t="shared" si="669"/>
        <v>86</v>
      </c>
      <c r="W318" s="10">
        <f t="shared" si="669"/>
        <v>86</v>
      </c>
    </row>
    <row r="319" spans="3:23" ht="25.5" x14ac:dyDescent="0.25">
      <c r="C319" s="79" t="str">
        <f t="shared" si="652"/>
        <v>CASETA 5</v>
      </c>
      <c r="D319" s="86" t="s">
        <v>66</v>
      </c>
      <c r="E319" s="222"/>
      <c r="F319" s="10">
        <f t="shared" ref="F319:W319" si="670">VLOOKUP(F$203,CASETA5,23,0)</f>
        <v>0</v>
      </c>
      <c r="G319" s="10">
        <f t="shared" si="670"/>
        <v>0</v>
      </c>
      <c r="H319" s="10">
        <f t="shared" si="670"/>
        <v>0</v>
      </c>
      <c r="I319" s="10">
        <f t="shared" si="670"/>
        <v>0</v>
      </c>
      <c r="J319" s="10">
        <f t="shared" si="670"/>
        <v>0</v>
      </c>
      <c r="K319" s="10">
        <f t="shared" si="670"/>
        <v>0</v>
      </c>
      <c r="L319" s="10">
        <f t="shared" si="670"/>
        <v>0</v>
      </c>
      <c r="M319" s="10">
        <f t="shared" si="670"/>
        <v>0</v>
      </c>
      <c r="N319" s="10">
        <f t="shared" si="670"/>
        <v>0</v>
      </c>
      <c r="O319" s="10">
        <f t="shared" si="670"/>
        <v>0</v>
      </c>
      <c r="P319" s="10">
        <f t="shared" si="670"/>
        <v>0</v>
      </c>
      <c r="Q319" s="10">
        <f t="shared" si="670"/>
        <v>0</v>
      </c>
      <c r="R319" s="10">
        <f t="shared" si="670"/>
        <v>0</v>
      </c>
      <c r="S319" s="10">
        <f t="shared" si="670"/>
        <v>0</v>
      </c>
      <c r="T319" s="10">
        <f t="shared" si="670"/>
        <v>0</v>
      </c>
      <c r="U319" s="10">
        <f t="shared" si="670"/>
        <v>0</v>
      </c>
      <c r="V319" s="10">
        <f t="shared" si="670"/>
        <v>0</v>
      </c>
      <c r="W319" s="10">
        <f t="shared" si="670"/>
        <v>0</v>
      </c>
    </row>
    <row r="320" spans="3:23" x14ac:dyDescent="0.25">
      <c r="C320" s="79" t="str">
        <f t="shared" si="652"/>
        <v>CASETA 5</v>
      </c>
      <c r="D320" s="23" t="s">
        <v>15</v>
      </c>
      <c r="E320" s="85"/>
      <c r="F320" s="10">
        <f t="shared" ref="F320:W320" si="671">VLOOKUP(F$203,CASETA5,24,0)</f>
        <v>77</v>
      </c>
      <c r="G320" s="10">
        <f t="shared" si="671"/>
        <v>77</v>
      </c>
      <c r="H320" s="10">
        <f t="shared" si="671"/>
        <v>77</v>
      </c>
      <c r="I320" s="10">
        <f t="shared" si="671"/>
        <v>79</v>
      </c>
      <c r="J320" s="10">
        <f t="shared" si="671"/>
        <v>79</v>
      </c>
      <c r="K320" s="10">
        <f t="shared" si="671"/>
        <v>79</v>
      </c>
      <c r="L320" s="10">
        <f t="shared" si="671"/>
        <v>79</v>
      </c>
      <c r="M320" s="10">
        <f t="shared" si="671"/>
        <v>79</v>
      </c>
      <c r="N320" s="10">
        <f t="shared" si="671"/>
        <v>79</v>
      </c>
      <c r="O320" s="10">
        <f t="shared" si="671"/>
        <v>80</v>
      </c>
      <c r="P320" s="10">
        <f t="shared" si="671"/>
        <v>80</v>
      </c>
      <c r="Q320" s="10">
        <f t="shared" si="671"/>
        <v>82</v>
      </c>
      <c r="R320" s="10">
        <f t="shared" si="671"/>
        <v>82</v>
      </c>
      <c r="S320" s="10">
        <f t="shared" si="671"/>
        <v>84</v>
      </c>
      <c r="T320" s="10">
        <f t="shared" si="671"/>
        <v>86</v>
      </c>
      <c r="U320" s="10">
        <f t="shared" si="671"/>
        <v>86</v>
      </c>
      <c r="V320" s="10">
        <f t="shared" si="671"/>
        <v>86</v>
      </c>
      <c r="W320" s="10">
        <f t="shared" si="671"/>
        <v>86</v>
      </c>
    </row>
    <row r="324" spans="2:23" s="81" customFormat="1" x14ac:dyDescent="0.25">
      <c r="B324" s="80"/>
      <c r="C324" s="80"/>
      <c r="D324" s="80"/>
      <c r="E324" s="80"/>
    </row>
    <row r="325" spans="2:23" x14ac:dyDescent="0.3">
      <c r="E325" s="82">
        <v>0</v>
      </c>
      <c r="F325" s="82">
        <v>1</v>
      </c>
      <c r="G325" s="82">
        <v>2</v>
      </c>
      <c r="H325" s="82">
        <v>3</v>
      </c>
      <c r="I325" s="82">
        <v>4</v>
      </c>
      <c r="J325" s="82">
        <v>5</v>
      </c>
      <c r="K325" s="82">
        <v>6</v>
      </c>
      <c r="L325" s="82">
        <v>7</v>
      </c>
      <c r="M325" s="82">
        <v>8</v>
      </c>
      <c r="N325" s="82">
        <v>9</v>
      </c>
      <c r="O325" s="82">
        <v>10</v>
      </c>
      <c r="P325" s="82">
        <v>11</v>
      </c>
      <c r="Q325" s="82">
        <v>12</v>
      </c>
      <c r="R325" s="82">
        <v>13</v>
      </c>
      <c r="S325" s="82">
        <v>14</v>
      </c>
      <c r="T325" s="82">
        <v>15</v>
      </c>
      <c r="U325" s="82">
        <v>16</v>
      </c>
      <c r="V325" s="82">
        <v>17</v>
      </c>
      <c r="W325" s="82">
        <v>18</v>
      </c>
    </row>
    <row r="326" spans="2:23" ht="25.5" x14ac:dyDescent="0.25">
      <c r="C326" s="1" t="str">
        <f>VLOOKUP(TABLERO!$M$48,TABLERO!$K$48:$L$55,2,FALSE)</f>
        <v>GENERAL</v>
      </c>
      <c r="D326" s="24" t="s">
        <v>67</v>
      </c>
      <c r="E326" s="207"/>
      <c r="F326" s="83">
        <f>IF($C326="GENERAL",SUMIFS(F$204:F$320,$D$204:$D$320,$D326),SUMIFS(F$204:F$320,$C$204:$C$320,$C326,$D$204:$D$320,$D326))</f>
        <v>288500</v>
      </c>
      <c r="G326" s="83">
        <f>IF($C326="GENERAL",SUMIFS(G$204:G$320,$D$204:$D$320,$D326),SUMIFS(G$204:G$320,$C$204:$C$320,$C326,$D$204:$D$320,$D326))</f>
        <v>284304</v>
      </c>
      <c r="H326" s="83">
        <f>IF($C326="GENERAL",SUMIFS(H$204:H$320,$D$204:$D$320,$D326),SUMIFS(H$204:H$320,$C$204:$C$320,$C326,$D$204:$D$320,$D326))</f>
        <v>282677</v>
      </c>
      <c r="I326" s="83">
        <f>IF($C326="GENERAL",SUMIFS(I$204:I$320,$D$204:$D$320,$D326),SUMIFS(I$204:I$320,$C$204:$C$320,$C326,$D$204:$D$320,$D326))</f>
        <v>282158</v>
      </c>
      <c r="J326" s="83">
        <f>IF($C326="GENERAL",SUMIFS(J$204:J$320,$D$204:$D$320,$D326),SUMIFS(J$204:J$320,$C$204:$C$320,$C326,$D$204:$D$320,$D326))</f>
        <v>281702</v>
      </c>
      <c r="K326" s="83">
        <f t="shared" ref="F326:U340" si="672">IF($C326="GENERAL",SUMIFS(K$204:K$320,$D$204:$D$320,$D326),SUMIFS(K$204:K$320,$C$204:$C$320,$C326,$D$204:$D$320,$D326))</f>
        <v>281177</v>
      </c>
      <c r="L326" s="83">
        <f t="shared" si="672"/>
        <v>280861</v>
      </c>
      <c r="M326" s="83">
        <f t="shared" si="672"/>
        <v>280692</v>
      </c>
      <c r="N326" s="83">
        <f t="shared" si="672"/>
        <v>280613</v>
      </c>
      <c r="O326" s="83">
        <f t="shared" si="672"/>
        <v>280433</v>
      </c>
      <c r="P326" s="83">
        <f t="shared" si="672"/>
        <v>280351</v>
      </c>
      <c r="Q326" s="83">
        <f t="shared" si="672"/>
        <v>280267</v>
      </c>
      <c r="R326" s="83">
        <f t="shared" si="672"/>
        <v>280154</v>
      </c>
      <c r="S326" s="83">
        <f t="shared" si="672"/>
        <v>279818</v>
      </c>
      <c r="T326" s="83">
        <f t="shared" si="672"/>
        <v>279665</v>
      </c>
      <c r="U326" s="83">
        <f t="shared" si="672"/>
        <v>279665</v>
      </c>
      <c r="V326" s="83">
        <f t="shared" ref="P326:W340" si="673">IF($C326="GENERAL",SUMIFS(V$204:V$320,$D$204:$D$320,$D326),SUMIFS(V$204:V$320,$C$204:$C$320,$C326,$D$204:$D$320,$D326))</f>
        <v>279665</v>
      </c>
      <c r="W326" s="83">
        <f t="shared" si="673"/>
        <v>279665</v>
      </c>
    </row>
    <row r="327" spans="2:23" x14ac:dyDescent="0.25">
      <c r="C327" s="1" t="str">
        <f>C326</f>
        <v>GENERAL</v>
      </c>
      <c r="D327" s="24" t="s">
        <v>34</v>
      </c>
      <c r="E327" s="207"/>
      <c r="F327" s="83">
        <f>IF($C327="GENERAL",SUMIFS(F$204:F$320,$D$204:$D$320,$D327),SUMIFS(F$204:F$320,$C$204:$C$320,$C327,$D$204:$D$320,$D327))</f>
        <v>286599</v>
      </c>
      <c r="G327" s="83">
        <f t="shared" si="672"/>
        <v>283943</v>
      </c>
      <c r="H327" s="83">
        <f t="shared" si="672"/>
        <v>282567</v>
      </c>
      <c r="I327" s="83">
        <f t="shared" si="672"/>
        <v>282118</v>
      </c>
      <c r="J327" s="83">
        <f t="shared" si="672"/>
        <v>281617</v>
      </c>
      <c r="K327" s="83">
        <f t="shared" si="672"/>
        <v>281117</v>
      </c>
      <c r="L327" s="83">
        <f t="shared" si="672"/>
        <v>280844</v>
      </c>
      <c r="M327" s="83">
        <f t="shared" si="672"/>
        <v>280673</v>
      </c>
      <c r="N327" s="83">
        <f t="shared" si="672"/>
        <v>280604</v>
      </c>
      <c r="O327" s="83">
        <f t="shared" si="672"/>
        <v>280421</v>
      </c>
      <c r="P327" s="83">
        <f t="shared" si="673"/>
        <v>280340</v>
      </c>
      <c r="Q327" s="83">
        <f t="shared" si="673"/>
        <v>280259</v>
      </c>
      <c r="R327" s="83">
        <f t="shared" si="673"/>
        <v>280106</v>
      </c>
      <c r="S327" s="83">
        <f t="shared" si="673"/>
        <v>279782</v>
      </c>
      <c r="T327" s="83">
        <f t="shared" si="673"/>
        <v>279665</v>
      </c>
      <c r="U327" s="83">
        <f t="shared" si="673"/>
        <v>279665</v>
      </c>
      <c r="V327" s="83">
        <f t="shared" si="673"/>
        <v>279665</v>
      </c>
      <c r="W327" s="83">
        <f t="shared" si="673"/>
        <v>279665</v>
      </c>
    </row>
    <row r="328" spans="2:23" x14ac:dyDescent="0.25">
      <c r="C328" s="1" t="str">
        <f t="shared" ref="C328:C346" si="674">C327</f>
        <v>GENERAL</v>
      </c>
      <c r="D328" s="23" t="s">
        <v>27</v>
      </c>
      <c r="E328" s="85"/>
      <c r="F328" s="83">
        <f>IF($C328="GENERAL",SUMIFS(F$204:F$320,$D$204:$D$320,$D328),SUMIFS(F$204:F$320,$C$204:$C$320,$C328,$D$204:$D$320,$D328))</f>
        <v>104</v>
      </c>
      <c r="G328" s="83">
        <f t="shared" si="672"/>
        <v>301</v>
      </c>
      <c r="H328" s="83">
        <f t="shared" si="672"/>
        <v>107</v>
      </c>
      <c r="I328" s="83">
        <f t="shared" si="672"/>
        <v>38</v>
      </c>
      <c r="J328" s="83">
        <f t="shared" si="672"/>
        <v>296</v>
      </c>
      <c r="K328" s="83">
        <f t="shared" si="672"/>
        <v>361</v>
      </c>
      <c r="L328" s="83">
        <f t="shared" si="672"/>
        <v>139</v>
      </c>
      <c r="M328" s="83">
        <f t="shared" si="672"/>
        <v>14</v>
      </c>
      <c r="N328" s="83">
        <f t="shared" si="672"/>
        <v>0</v>
      </c>
      <c r="O328" s="83">
        <f t="shared" si="672"/>
        <v>101</v>
      </c>
      <c r="P328" s="83">
        <f t="shared" si="673"/>
        <v>2</v>
      </c>
      <c r="Q328" s="83">
        <f t="shared" si="673"/>
        <v>3</v>
      </c>
      <c r="R328" s="83">
        <f t="shared" si="673"/>
        <v>53</v>
      </c>
      <c r="S328" s="83">
        <f t="shared" si="673"/>
        <v>103</v>
      </c>
      <c r="T328" s="83">
        <f t="shared" si="673"/>
        <v>0</v>
      </c>
      <c r="U328" s="83">
        <f t="shared" si="673"/>
        <v>0</v>
      </c>
      <c r="V328" s="83">
        <f t="shared" si="673"/>
        <v>0</v>
      </c>
      <c r="W328" s="83">
        <f t="shared" si="673"/>
        <v>0</v>
      </c>
    </row>
    <row r="329" spans="2:23" x14ac:dyDescent="0.25">
      <c r="C329" s="1" t="str">
        <f t="shared" si="674"/>
        <v>GENERAL</v>
      </c>
      <c r="D329" s="23" t="s">
        <v>16</v>
      </c>
      <c r="E329" s="85"/>
      <c r="F329" s="83">
        <f>IF($C329="GENERAL",SUMIFS(F$204:F$320,$D$204:$D$320,$D329),SUMIFS(F$204:F$320,$C$204:$C$320,$C329,$D$204:$D$320,$D329))</f>
        <v>1679</v>
      </c>
      <c r="G329" s="83">
        <f t="shared" si="672"/>
        <v>2355</v>
      </c>
      <c r="H329" s="83">
        <f t="shared" si="672"/>
        <v>1269</v>
      </c>
      <c r="I329" s="83">
        <f t="shared" si="672"/>
        <v>411</v>
      </c>
      <c r="J329" s="83">
        <f t="shared" si="672"/>
        <v>205</v>
      </c>
      <c r="K329" s="83">
        <f t="shared" si="672"/>
        <v>139</v>
      </c>
      <c r="L329" s="83">
        <f t="shared" si="672"/>
        <v>134</v>
      </c>
      <c r="M329" s="83">
        <f t="shared" si="672"/>
        <v>157</v>
      </c>
      <c r="N329" s="83">
        <f t="shared" si="672"/>
        <v>69</v>
      </c>
      <c r="O329" s="83">
        <f t="shared" si="672"/>
        <v>82</v>
      </c>
      <c r="P329" s="83">
        <f t="shared" si="673"/>
        <v>79</v>
      </c>
      <c r="Q329" s="83">
        <f t="shared" si="673"/>
        <v>78</v>
      </c>
      <c r="R329" s="83">
        <f t="shared" si="673"/>
        <v>96</v>
      </c>
      <c r="S329" s="83">
        <f t="shared" si="673"/>
        <v>206</v>
      </c>
      <c r="T329" s="83">
        <f t="shared" si="673"/>
        <v>116</v>
      </c>
      <c r="U329" s="83">
        <f t="shared" si="673"/>
        <v>0</v>
      </c>
      <c r="V329" s="83">
        <f t="shared" si="673"/>
        <v>0</v>
      </c>
      <c r="W329" s="83">
        <f t="shared" si="673"/>
        <v>0</v>
      </c>
    </row>
    <row r="330" spans="2:23" x14ac:dyDescent="0.25">
      <c r="C330" s="1" t="str">
        <f t="shared" si="674"/>
        <v>GENERAL</v>
      </c>
      <c r="D330" s="23" t="s">
        <v>17</v>
      </c>
      <c r="E330" s="85"/>
      <c r="F330" s="83">
        <f>IF($C330="GENERAL",SUMIFS(F$204:F$320,$D$204:$D$320,$D330),SUMIFS(F$204:F$320,$C$204:$C$320,$C330,$D$204:$D$320,$D330))</f>
        <v>118</v>
      </c>
      <c r="G330" s="83">
        <f t="shared" si="672"/>
        <v>0</v>
      </c>
      <c r="H330" s="83">
        <f t="shared" si="672"/>
        <v>0</v>
      </c>
      <c r="I330" s="83">
        <f t="shared" si="672"/>
        <v>0</v>
      </c>
      <c r="J330" s="83">
        <f t="shared" si="672"/>
        <v>0</v>
      </c>
      <c r="K330" s="83">
        <f t="shared" si="672"/>
        <v>0</v>
      </c>
      <c r="L330" s="83">
        <f t="shared" si="672"/>
        <v>0</v>
      </c>
      <c r="M330" s="83">
        <f t="shared" si="672"/>
        <v>0</v>
      </c>
      <c r="N330" s="83">
        <f t="shared" si="672"/>
        <v>0</v>
      </c>
      <c r="O330" s="83">
        <f t="shared" si="672"/>
        <v>0</v>
      </c>
      <c r="P330" s="83">
        <f t="shared" si="673"/>
        <v>0</v>
      </c>
      <c r="Q330" s="83">
        <f t="shared" si="673"/>
        <v>0</v>
      </c>
      <c r="R330" s="83">
        <f t="shared" si="673"/>
        <v>4</v>
      </c>
      <c r="S330" s="83">
        <f t="shared" si="673"/>
        <v>15</v>
      </c>
      <c r="T330" s="83">
        <f t="shared" si="673"/>
        <v>1</v>
      </c>
      <c r="U330" s="83">
        <f t="shared" si="673"/>
        <v>0</v>
      </c>
      <c r="V330" s="83">
        <f t="shared" si="673"/>
        <v>0</v>
      </c>
      <c r="W330" s="83">
        <f t="shared" si="673"/>
        <v>0</v>
      </c>
    </row>
    <row r="331" spans="2:23" x14ac:dyDescent="0.25">
      <c r="C331" s="1" t="str">
        <f t="shared" si="674"/>
        <v>GENERAL</v>
      </c>
      <c r="D331" s="23" t="s">
        <v>18</v>
      </c>
      <c r="E331" s="85"/>
      <c r="F331" s="83">
        <f>IF($C331="GENERAL",SUMIFS(F$204:F$320,$D$204:$D$320,$D331),SUMIFS(F$204:F$320,$C$204:$C$320,$C331,$D$204:$D$320,$D331))</f>
        <v>1901</v>
      </c>
      <c r="G331" s="83">
        <f t="shared" si="672"/>
        <v>2656</v>
      </c>
      <c r="H331" s="83">
        <f t="shared" si="672"/>
        <v>1376</v>
      </c>
      <c r="I331" s="83">
        <f t="shared" si="672"/>
        <v>449</v>
      </c>
      <c r="J331" s="83">
        <f t="shared" si="672"/>
        <v>501</v>
      </c>
      <c r="K331" s="83">
        <f t="shared" si="672"/>
        <v>500</v>
      </c>
      <c r="L331" s="83">
        <f t="shared" si="672"/>
        <v>273</v>
      </c>
      <c r="M331" s="83">
        <f t="shared" si="672"/>
        <v>171</v>
      </c>
      <c r="N331" s="83">
        <f t="shared" si="672"/>
        <v>69</v>
      </c>
      <c r="O331" s="83">
        <f t="shared" si="672"/>
        <v>183</v>
      </c>
      <c r="P331" s="83">
        <f t="shared" si="673"/>
        <v>81</v>
      </c>
      <c r="Q331" s="83">
        <f t="shared" si="673"/>
        <v>81</v>
      </c>
      <c r="R331" s="83">
        <f t="shared" si="673"/>
        <v>153</v>
      </c>
      <c r="S331" s="83">
        <f t="shared" si="673"/>
        <v>324</v>
      </c>
      <c r="T331" s="83">
        <f t="shared" si="673"/>
        <v>117</v>
      </c>
      <c r="U331" s="83">
        <f t="shared" si="673"/>
        <v>0</v>
      </c>
      <c r="V331" s="83">
        <f t="shared" si="673"/>
        <v>0</v>
      </c>
      <c r="W331" s="83">
        <f t="shared" si="673"/>
        <v>0</v>
      </c>
    </row>
    <row r="332" spans="2:23" x14ac:dyDescent="0.25">
      <c r="C332" s="1" t="str">
        <f t="shared" si="674"/>
        <v>GENERAL</v>
      </c>
      <c r="D332" s="23" t="s">
        <v>48</v>
      </c>
      <c r="E332" s="85"/>
      <c r="F332" s="83">
        <f t="shared" si="672"/>
        <v>1901</v>
      </c>
      <c r="G332" s="83">
        <f t="shared" si="672"/>
        <v>4557</v>
      </c>
      <c r="H332" s="83">
        <f t="shared" si="672"/>
        <v>5933</v>
      </c>
      <c r="I332" s="83">
        <f t="shared" si="672"/>
        <v>6382</v>
      </c>
      <c r="J332" s="83">
        <f t="shared" si="672"/>
        <v>6883</v>
      </c>
      <c r="K332" s="83">
        <f t="shared" si="672"/>
        <v>7383</v>
      </c>
      <c r="L332" s="83">
        <f t="shared" si="672"/>
        <v>7656</v>
      </c>
      <c r="M332" s="83">
        <f t="shared" si="672"/>
        <v>7827</v>
      </c>
      <c r="N332" s="83">
        <f t="shared" si="672"/>
        <v>7896</v>
      </c>
      <c r="O332" s="83">
        <f t="shared" si="672"/>
        <v>8079</v>
      </c>
      <c r="P332" s="83">
        <f t="shared" si="673"/>
        <v>8160</v>
      </c>
      <c r="Q332" s="83">
        <f t="shared" si="673"/>
        <v>8241</v>
      </c>
      <c r="R332" s="83">
        <f t="shared" si="673"/>
        <v>8394</v>
      </c>
      <c r="S332" s="83">
        <f t="shared" si="673"/>
        <v>8718</v>
      </c>
      <c r="T332" s="83">
        <f t="shared" si="673"/>
        <v>8835</v>
      </c>
      <c r="U332" s="83">
        <f t="shared" si="673"/>
        <v>8835</v>
      </c>
      <c r="V332" s="83">
        <f t="shared" si="673"/>
        <v>8835</v>
      </c>
      <c r="W332" s="83">
        <f t="shared" si="673"/>
        <v>8835</v>
      </c>
    </row>
    <row r="333" spans="2:23" x14ac:dyDescent="0.25">
      <c r="C333" s="1" t="str">
        <f t="shared" si="674"/>
        <v>GENERAL</v>
      </c>
      <c r="D333" s="86" t="s">
        <v>72</v>
      </c>
      <c r="E333" s="222"/>
      <c r="F333" s="83">
        <f t="shared" ref="F333:W333" si="675">VLOOKUP(F$325,PARAMETROCRIANZA,6,0)</f>
        <v>0.7</v>
      </c>
      <c r="G333" s="83">
        <f t="shared" si="675"/>
        <v>0.7</v>
      </c>
      <c r="H333" s="83">
        <f t="shared" si="675"/>
        <v>0.5</v>
      </c>
      <c r="I333" s="83">
        <f t="shared" si="675"/>
        <v>0.3</v>
      </c>
      <c r="J333" s="83">
        <f t="shared" si="675"/>
        <v>0.18</v>
      </c>
      <c r="K333" s="83">
        <f t="shared" si="675"/>
        <v>0.18</v>
      </c>
      <c r="L333" s="83">
        <f t="shared" si="675"/>
        <v>0.16</v>
      </c>
      <c r="M333" s="83">
        <f t="shared" si="675"/>
        <v>0.16</v>
      </c>
      <c r="N333" s="83">
        <f t="shared" si="675"/>
        <v>0.16</v>
      </c>
      <c r="O333" s="83">
        <f t="shared" si="675"/>
        <v>0.16</v>
      </c>
      <c r="P333" s="83">
        <f t="shared" si="675"/>
        <v>0.16</v>
      </c>
      <c r="Q333" s="83">
        <f t="shared" si="675"/>
        <v>0.16</v>
      </c>
      <c r="R333" s="83">
        <f t="shared" si="675"/>
        <v>0.16</v>
      </c>
      <c r="S333" s="83">
        <f t="shared" si="675"/>
        <v>0.16</v>
      </c>
      <c r="T333" s="83">
        <f t="shared" si="675"/>
        <v>0.16</v>
      </c>
      <c r="U333" s="83">
        <f t="shared" si="675"/>
        <v>0.16</v>
      </c>
      <c r="V333" s="83">
        <f t="shared" si="675"/>
        <v>0.16</v>
      </c>
      <c r="W333" s="83">
        <f t="shared" si="675"/>
        <v>0.16</v>
      </c>
    </row>
    <row r="334" spans="2:23" x14ac:dyDescent="0.25">
      <c r="C334" s="1" t="str">
        <f t="shared" si="674"/>
        <v>GENERAL</v>
      </c>
      <c r="D334" s="308" t="s">
        <v>74</v>
      </c>
      <c r="E334" s="310"/>
      <c r="F334" s="213">
        <f>IFERROR((F331/F326)*100,0)</f>
        <v>0.65892547660311962</v>
      </c>
      <c r="G334" s="213">
        <f t="shared" ref="G334:W334" si="676">IFERROR((G331/G326)*100,0)</f>
        <v>0.93421126681298894</v>
      </c>
      <c r="H334" s="213">
        <f>IFERROR((H331/H326)*100,0)</f>
        <v>0.48677465800188907</v>
      </c>
      <c r="I334" s="213">
        <f>IFERROR((I331/I326)*100,0)</f>
        <v>0.15913069982066785</v>
      </c>
      <c r="J334" s="213">
        <f t="shared" si="676"/>
        <v>0.17784751261971871</v>
      </c>
      <c r="K334" s="213">
        <f t="shared" si="676"/>
        <v>0.17782393296749022</v>
      </c>
      <c r="L334" s="213">
        <f t="shared" si="676"/>
        <v>9.7201106597213566E-2</v>
      </c>
      <c r="M334" s="213">
        <f t="shared" si="676"/>
        <v>6.0920867000128248E-2</v>
      </c>
      <c r="N334" s="213">
        <f t="shared" si="676"/>
        <v>2.4589024742260695E-2</v>
      </c>
      <c r="O334" s="213">
        <f t="shared" si="676"/>
        <v>6.5256228760523907E-2</v>
      </c>
      <c r="P334" s="213">
        <f t="shared" si="676"/>
        <v>2.8892352800596394E-2</v>
      </c>
      <c r="Q334" s="213">
        <f t="shared" si="676"/>
        <v>2.8901012249033957E-2</v>
      </c>
      <c r="R334" s="213">
        <f t="shared" si="676"/>
        <v>5.4612820091806645E-2</v>
      </c>
      <c r="S334" s="213">
        <f t="shared" si="676"/>
        <v>0.11578954892108442</v>
      </c>
      <c r="T334" s="213">
        <f t="shared" si="676"/>
        <v>4.1835767793610215E-2</v>
      </c>
      <c r="U334" s="213">
        <f t="shared" si="676"/>
        <v>0</v>
      </c>
      <c r="V334" s="213">
        <f t="shared" si="676"/>
        <v>0</v>
      </c>
      <c r="W334" s="213">
        <f t="shared" si="676"/>
        <v>0</v>
      </c>
    </row>
    <row r="335" spans="2:23" ht="25.5" x14ac:dyDescent="0.25">
      <c r="C335" s="1" t="str">
        <f t="shared" si="674"/>
        <v>GENERAL</v>
      </c>
      <c r="D335" s="87" t="s">
        <v>49</v>
      </c>
      <c r="E335" s="223"/>
      <c r="F335" s="83">
        <f t="shared" ref="F335:W335" si="677">VLOOKUP(F$325,PARAMETROCRIANZA,8,0)</f>
        <v>0.7</v>
      </c>
      <c r="G335" s="83">
        <f t="shared" si="677"/>
        <v>1.4</v>
      </c>
      <c r="H335" s="83">
        <f t="shared" si="677"/>
        <v>1.9</v>
      </c>
      <c r="I335" s="83">
        <f t="shared" si="677"/>
        <v>2.1999999999999997</v>
      </c>
      <c r="J335" s="83">
        <f t="shared" si="677"/>
        <v>2.38</v>
      </c>
      <c r="K335" s="83">
        <f t="shared" si="677"/>
        <v>2.56</v>
      </c>
      <c r="L335" s="83">
        <f t="shared" si="677"/>
        <v>2.72</v>
      </c>
      <c r="M335" s="83">
        <f t="shared" si="677"/>
        <v>2.8800000000000003</v>
      </c>
      <c r="N335" s="83">
        <f t="shared" si="677"/>
        <v>3.0400000000000005</v>
      </c>
      <c r="O335" s="83">
        <f t="shared" si="677"/>
        <v>3.2000000000000006</v>
      </c>
      <c r="P335" s="83">
        <f t="shared" si="677"/>
        <v>3.3600000000000008</v>
      </c>
      <c r="Q335" s="83">
        <f t="shared" si="677"/>
        <v>3.5200000000000009</v>
      </c>
      <c r="R335" s="83">
        <f t="shared" si="677"/>
        <v>3.680000000000001</v>
      </c>
      <c r="S335" s="83">
        <f t="shared" si="677"/>
        <v>3.8400000000000012</v>
      </c>
      <c r="T335" s="83">
        <f t="shared" si="677"/>
        <v>4.0000000000000009</v>
      </c>
      <c r="U335" s="83">
        <f t="shared" si="677"/>
        <v>4.160000000000001</v>
      </c>
      <c r="V335" s="83">
        <f t="shared" si="677"/>
        <v>4.3200000000000012</v>
      </c>
      <c r="W335" s="83">
        <f t="shared" si="677"/>
        <v>4.4800000000000013</v>
      </c>
    </row>
    <row r="336" spans="2:23" ht="25.5" x14ac:dyDescent="0.25">
      <c r="C336" s="1" t="str">
        <f t="shared" si="674"/>
        <v>GENERAL</v>
      </c>
      <c r="D336" s="309" t="s">
        <v>73</v>
      </c>
      <c r="E336" s="311"/>
      <c r="F336" s="213">
        <f>IFERROR((F332/F326)*100,0)</f>
        <v>0.65892547660311962</v>
      </c>
      <c r="G336" s="213">
        <f t="shared" ref="G336:W336" si="678">IFERROR((G332/G326)*100,0)</f>
        <v>1.6028617254769542</v>
      </c>
      <c r="H336" s="213">
        <f t="shared" si="678"/>
        <v>2.0988619519805289</v>
      </c>
      <c r="I336" s="213">
        <f t="shared" si="678"/>
        <v>2.2618532878741697</v>
      </c>
      <c r="J336" s="213">
        <f t="shared" si="678"/>
        <v>2.4433621344541394</v>
      </c>
      <c r="K336" s="213">
        <f t="shared" si="678"/>
        <v>2.625748194197961</v>
      </c>
      <c r="L336" s="213">
        <f t="shared" si="678"/>
        <v>2.725903560836143</v>
      </c>
      <c r="M336" s="213">
        <f t="shared" si="678"/>
        <v>2.7884656491813091</v>
      </c>
      <c r="N336" s="213">
        <f t="shared" si="678"/>
        <v>2.813839700940441</v>
      </c>
      <c r="O336" s="213">
        <f t="shared" si="678"/>
        <v>2.880902033640834</v>
      </c>
      <c r="P336" s="213">
        <f t="shared" si="678"/>
        <v>2.9106370228748961</v>
      </c>
      <c r="Q336" s="213">
        <f t="shared" si="678"/>
        <v>2.9404103943739361</v>
      </c>
      <c r="R336" s="213">
        <f t="shared" si="678"/>
        <v>2.996209227781863</v>
      </c>
      <c r="S336" s="213">
        <f t="shared" si="678"/>
        <v>3.1155965663395491</v>
      </c>
      <c r="T336" s="213">
        <f t="shared" si="678"/>
        <v>3.1591368244149249</v>
      </c>
      <c r="U336" s="213">
        <f t="shared" si="678"/>
        <v>3.1591368244149249</v>
      </c>
      <c r="V336" s="213">
        <f t="shared" si="678"/>
        <v>3.1591368244149249</v>
      </c>
      <c r="W336" s="213">
        <f t="shared" si="678"/>
        <v>3.1591368244149249</v>
      </c>
    </row>
    <row r="337" spans="1:23" x14ac:dyDescent="0.25">
      <c r="C337" s="1" t="str">
        <f t="shared" si="674"/>
        <v>GENERAL</v>
      </c>
      <c r="D337" s="23" t="s">
        <v>9</v>
      </c>
      <c r="E337" s="85"/>
      <c r="F337" s="83">
        <f t="shared" si="672"/>
        <v>0</v>
      </c>
      <c r="G337" s="83">
        <f t="shared" si="672"/>
        <v>0</v>
      </c>
      <c r="H337" s="83">
        <f t="shared" si="672"/>
        <v>0</v>
      </c>
      <c r="I337" s="83">
        <f t="shared" si="672"/>
        <v>0</v>
      </c>
      <c r="J337" s="83">
        <f t="shared" si="672"/>
        <v>0</v>
      </c>
      <c r="K337" s="83">
        <f t="shared" si="672"/>
        <v>21716</v>
      </c>
      <c r="L337" s="83">
        <f t="shared" si="672"/>
        <v>0</v>
      </c>
      <c r="M337" s="83">
        <f t="shared" si="672"/>
        <v>0</v>
      </c>
      <c r="N337" s="83">
        <f t="shared" si="672"/>
        <v>0</v>
      </c>
      <c r="O337" s="83">
        <f t="shared" si="672"/>
        <v>0</v>
      </c>
      <c r="P337" s="83">
        <f t="shared" si="673"/>
        <v>0</v>
      </c>
      <c r="Q337" s="83">
        <f t="shared" si="673"/>
        <v>0</v>
      </c>
      <c r="R337" s="83">
        <f t="shared" si="673"/>
        <v>0</v>
      </c>
      <c r="S337" s="83">
        <f t="shared" si="673"/>
        <v>0</v>
      </c>
      <c r="T337" s="83">
        <f t="shared" si="673"/>
        <v>0</v>
      </c>
      <c r="U337" s="83">
        <f t="shared" si="673"/>
        <v>0</v>
      </c>
      <c r="V337" s="83">
        <f t="shared" si="673"/>
        <v>0</v>
      </c>
      <c r="W337" s="83">
        <f t="shared" si="673"/>
        <v>0</v>
      </c>
    </row>
    <row r="338" spans="1:23" ht="25.5" x14ac:dyDescent="0.25">
      <c r="C338" s="1" t="str">
        <f t="shared" si="674"/>
        <v>GENERAL</v>
      </c>
      <c r="D338" s="86" t="s">
        <v>75</v>
      </c>
      <c r="E338" s="222"/>
      <c r="F338" s="83">
        <f t="shared" ref="F338:W338" si="679">VLOOKUP(F$325,PARAMETROCRIANZA,10,0)</f>
        <v>6</v>
      </c>
      <c r="G338" s="83">
        <f t="shared" si="679"/>
        <v>12</v>
      </c>
      <c r="H338" s="83">
        <f t="shared" si="679"/>
        <v>20</v>
      </c>
      <c r="I338" s="83">
        <f t="shared" si="679"/>
        <v>29</v>
      </c>
      <c r="J338" s="83">
        <f t="shared" si="679"/>
        <v>36</v>
      </c>
      <c r="K338" s="83">
        <f t="shared" si="679"/>
        <v>40</v>
      </c>
      <c r="L338" s="83">
        <f t="shared" si="679"/>
        <v>43</v>
      </c>
      <c r="M338" s="83">
        <f t="shared" si="679"/>
        <v>45</v>
      </c>
      <c r="N338" s="83">
        <f t="shared" si="679"/>
        <v>47</v>
      </c>
      <c r="O338" s="83">
        <f t="shared" si="679"/>
        <v>49</v>
      </c>
      <c r="P338" s="83">
        <f t="shared" si="679"/>
        <v>51</v>
      </c>
      <c r="Q338" s="83">
        <f t="shared" si="679"/>
        <v>53</v>
      </c>
      <c r="R338" s="83">
        <f t="shared" si="679"/>
        <v>55</v>
      </c>
      <c r="S338" s="83">
        <f t="shared" si="679"/>
        <v>57</v>
      </c>
      <c r="T338" s="83">
        <f t="shared" si="679"/>
        <v>60</v>
      </c>
      <c r="U338" s="83">
        <f t="shared" si="679"/>
        <v>64</v>
      </c>
      <c r="V338" s="83">
        <f t="shared" si="679"/>
        <v>70</v>
      </c>
      <c r="W338" s="83">
        <f t="shared" si="679"/>
        <v>77</v>
      </c>
    </row>
    <row r="339" spans="1:23" ht="25.5" x14ac:dyDescent="0.25">
      <c r="C339" s="1" t="str">
        <f t="shared" si="674"/>
        <v>GENERAL</v>
      </c>
      <c r="D339" s="308" t="s">
        <v>62</v>
      </c>
      <c r="E339" s="310"/>
      <c r="F339" s="212">
        <f>IF($C339="GENERAL",SUMIFS(F$204:F$320,$D$204:$D$320,$D339),SUMIFS(F$204:F$320,$C$204:$C$320,$C339,$D$204:$D$320,$D339))</f>
        <v>0</v>
      </c>
      <c r="G339" s="212">
        <f t="shared" si="672"/>
        <v>0</v>
      </c>
      <c r="H339" s="212">
        <f t="shared" si="672"/>
        <v>0</v>
      </c>
      <c r="I339" s="212">
        <f t="shared" si="672"/>
        <v>0</v>
      </c>
      <c r="J339" s="212">
        <f t="shared" si="672"/>
        <v>0</v>
      </c>
      <c r="K339" s="212">
        <f t="shared" si="672"/>
        <v>3.4905675346479738E-2</v>
      </c>
      <c r="L339" s="212">
        <f t="shared" si="672"/>
        <v>0</v>
      </c>
      <c r="M339" s="212">
        <f t="shared" si="672"/>
        <v>0</v>
      </c>
      <c r="N339" s="212">
        <f t="shared" si="672"/>
        <v>0</v>
      </c>
      <c r="O339" s="212">
        <f t="shared" si="672"/>
        <v>0</v>
      </c>
      <c r="P339" s="212">
        <f t="shared" si="673"/>
        <v>0</v>
      </c>
      <c r="Q339" s="212">
        <f t="shared" si="673"/>
        <v>0</v>
      </c>
      <c r="R339" s="212">
        <f t="shared" si="673"/>
        <v>0</v>
      </c>
      <c r="S339" s="212">
        <f t="shared" si="673"/>
        <v>0</v>
      </c>
      <c r="T339" s="212">
        <f t="shared" si="673"/>
        <v>0</v>
      </c>
      <c r="U339" s="212">
        <f t="shared" si="673"/>
        <v>0</v>
      </c>
      <c r="V339" s="212">
        <f t="shared" si="673"/>
        <v>0</v>
      </c>
      <c r="W339" s="212">
        <f t="shared" si="673"/>
        <v>0</v>
      </c>
    </row>
    <row r="340" spans="1:23" ht="25.5" x14ac:dyDescent="0.25">
      <c r="C340" s="1" t="str">
        <f t="shared" si="674"/>
        <v>GENERAL</v>
      </c>
      <c r="D340" s="24" t="s">
        <v>50</v>
      </c>
      <c r="E340" s="207"/>
      <c r="F340" s="83">
        <f t="shared" si="672"/>
        <v>0</v>
      </c>
      <c r="G340" s="83">
        <f t="shared" si="672"/>
        <v>0</v>
      </c>
      <c r="H340" s="83">
        <f t="shared" si="672"/>
        <v>0</v>
      </c>
      <c r="I340" s="83">
        <f t="shared" si="672"/>
        <v>0</v>
      </c>
      <c r="J340" s="83">
        <f t="shared" si="672"/>
        <v>0</v>
      </c>
      <c r="K340" s="83">
        <f>IF($C340="GENERAL",SUMIFS(K$204:K$320,$D$204:$D$320,$D340),SUMIFS(K$204:K$320,$C$204:$C$320,$C340,$D$204:$D$320,$D340))</f>
        <v>0.24433972742535814</v>
      </c>
      <c r="L340" s="83">
        <f t="shared" si="672"/>
        <v>0.24433972742535814</v>
      </c>
      <c r="M340" s="83">
        <f t="shared" si="672"/>
        <v>0.24433972742535814</v>
      </c>
      <c r="N340" s="83">
        <f t="shared" si="672"/>
        <v>0.24433972742535814</v>
      </c>
      <c r="O340" s="83">
        <f t="shared" si="672"/>
        <v>0.24433972742535814</v>
      </c>
      <c r="P340" s="83">
        <f t="shared" si="673"/>
        <v>0.24433972742535814</v>
      </c>
      <c r="Q340" s="83">
        <f t="shared" si="673"/>
        <v>0.24433972742535814</v>
      </c>
      <c r="R340" s="83">
        <f t="shared" si="673"/>
        <v>0.24433972742535814</v>
      </c>
      <c r="S340" s="83">
        <f t="shared" si="673"/>
        <v>0.24433972742535814</v>
      </c>
      <c r="T340" s="83">
        <f t="shared" si="673"/>
        <v>0.24433972742535814</v>
      </c>
      <c r="U340" s="83">
        <f t="shared" si="673"/>
        <v>0.24433972742535814</v>
      </c>
      <c r="V340" s="83">
        <f t="shared" si="673"/>
        <v>0.24433972742535814</v>
      </c>
      <c r="W340" s="83">
        <f t="shared" si="673"/>
        <v>0.24433972742535814</v>
      </c>
    </row>
    <row r="341" spans="1:23" x14ac:dyDescent="0.25">
      <c r="C341" s="1" t="str">
        <f t="shared" si="674"/>
        <v>GENERAL</v>
      </c>
      <c r="D341" s="86" t="s">
        <v>63</v>
      </c>
      <c r="E341" s="222"/>
      <c r="F341" s="83">
        <f>VLOOKUP(F$325,PARAMETROCRIANZA,2,0)</f>
        <v>64</v>
      </c>
      <c r="G341" s="83">
        <f t="shared" ref="G341:W341" si="680">VLOOKUP(G$325,PARAMETROCRIANZA,2,0)</f>
        <v>118</v>
      </c>
      <c r="H341" s="83">
        <f t="shared" si="680"/>
        <v>185</v>
      </c>
      <c r="I341" s="83">
        <f t="shared" si="680"/>
        <v>258</v>
      </c>
      <c r="J341" s="83">
        <f t="shared" si="680"/>
        <v>336</v>
      </c>
      <c r="K341" s="83">
        <f t="shared" si="680"/>
        <v>419</v>
      </c>
      <c r="L341" s="83">
        <f t="shared" si="680"/>
        <v>502</v>
      </c>
      <c r="M341" s="83">
        <f t="shared" si="680"/>
        <v>585</v>
      </c>
      <c r="N341" s="83">
        <f t="shared" si="680"/>
        <v>668</v>
      </c>
      <c r="O341" s="83">
        <f t="shared" si="680"/>
        <v>746</v>
      </c>
      <c r="P341" s="83">
        <f t="shared" si="680"/>
        <v>824</v>
      </c>
      <c r="Q341" s="83">
        <f t="shared" si="680"/>
        <v>902</v>
      </c>
      <c r="R341" s="83">
        <f t="shared" si="680"/>
        <v>975</v>
      </c>
      <c r="S341" s="83">
        <f t="shared" si="680"/>
        <v>1048</v>
      </c>
      <c r="T341" s="83">
        <f t="shared" si="680"/>
        <v>1112</v>
      </c>
      <c r="U341" s="83">
        <f t="shared" si="680"/>
        <v>1165</v>
      </c>
      <c r="V341" s="83">
        <f t="shared" si="680"/>
        <v>1204</v>
      </c>
      <c r="W341" s="83">
        <f t="shared" si="680"/>
        <v>1229</v>
      </c>
    </row>
    <row r="342" spans="1:23" x14ac:dyDescent="0.25">
      <c r="C342" s="1" t="str">
        <f t="shared" si="674"/>
        <v>GENERAL</v>
      </c>
      <c r="D342" s="308" t="s">
        <v>64</v>
      </c>
      <c r="E342" s="310"/>
      <c r="F342" s="212">
        <f>IF($C342="GENERAL",SUM(F220+F244+F268)/2,SUMIFS(F$204:F$320,$C$204:$C$320,$C342,$D$204:$D$320,$D342))</f>
        <v>65.800000000000011</v>
      </c>
      <c r="G342" s="212">
        <f t="shared" ref="G342:H342" si="681">IF($C342="GENERAL",SUM(G220+G244+G268)/2,SUMIFS(G$204:G$320,$C$204:$C$320,$C342,$D$204:$D$320,$D342))</f>
        <v>84.22</v>
      </c>
      <c r="H342" s="212">
        <f t="shared" si="681"/>
        <v>165.35000000000002</v>
      </c>
      <c r="I342" s="212">
        <f>IF($C342="GENERAL",SUM(I220+I244+I268)/2,SUMIFS(I$204:I$320,$C$204:$C$320,$C342,$D$204:$D$320,$D342))</f>
        <v>216.6</v>
      </c>
      <c r="J342" s="212">
        <f>IF($C342="GENERAL",SUM(J220+J244+J268)/3,SUMIFS(J$204:J$320,$C$204:$C$320,$C342,$D$204:$D$320,$D342))</f>
        <v>314.66666666666669</v>
      </c>
      <c r="K342" s="212">
        <f>IF($C342="GENERAL",SUM(K220+K244+K268)/3,SUMIFS(K$204:K$320,$C$204:$C$320,$C342,$D$204:$D$320,$D342))</f>
        <v>403.66666666666669</v>
      </c>
      <c r="L342" s="212">
        <f>IF($C342="GENERAL",SUM(L220+L244+L268)/3,SUMIFS(L$204:L$320,$C$204:$C$320,$C342,$D$204:$D$320,$D342))</f>
        <v>490.66666666666669</v>
      </c>
      <c r="M342" s="212">
        <f t="shared" ref="M342:W342" si="682">IF($C342="GENERAL",SUM(M220+M244+M268)/3,SUMIFS(M$204:M$320,$C$204:$C$320,$C342,$D$204:$D$320,$D342))</f>
        <v>583.33333333333337</v>
      </c>
      <c r="N342" s="212">
        <f t="shared" si="682"/>
        <v>678.33333333333337</v>
      </c>
      <c r="O342" s="212">
        <f t="shared" si="682"/>
        <v>782.66666666666663</v>
      </c>
      <c r="P342" s="212">
        <f t="shared" si="682"/>
        <v>830</v>
      </c>
      <c r="Q342" s="212">
        <f t="shared" si="682"/>
        <v>894.66666666666663</v>
      </c>
      <c r="R342" s="212">
        <f t="shared" si="682"/>
        <v>923.66666666666663</v>
      </c>
      <c r="S342" s="212">
        <f>IF($C342="GENERAL",SUM(S220+S244+S268)/3,SUMIFS(S$204:S$320,$C$204:$C$320,$C342,$D$204:$D$320,$D342))</f>
        <v>1000</v>
      </c>
      <c r="T342" s="212">
        <f t="shared" si="682"/>
        <v>0</v>
      </c>
      <c r="U342" s="212">
        <f t="shared" si="682"/>
        <v>0</v>
      </c>
      <c r="V342" s="212">
        <f t="shared" si="682"/>
        <v>0</v>
      </c>
      <c r="W342" s="212">
        <f t="shared" si="682"/>
        <v>0</v>
      </c>
    </row>
    <row r="343" spans="1:23" x14ac:dyDescent="0.25">
      <c r="C343" s="1" t="str">
        <f t="shared" si="674"/>
        <v>GENERAL</v>
      </c>
      <c r="D343" s="23" t="s">
        <v>15</v>
      </c>
      <c r="E343" s="85"/>
      <c r="F343" s="83">
        <f>F341-F342</f>
        <v>-1.8000000000000114</v>
      </c>
      <c r="G343" s="83">
        <f t="shared" ref="G343:W343" si="683">G341-G342</f>
        <v>33.78</v>
      </c>
      <c r="H343" s="83">
        <f t="shared" si="683"/>
        <v>19.649999999999977</v>
      </c>
      <c r="I343" s="83">
        <f t="shared" si="683"/>
        <v>41.400000000000006</v>
      </c>
      <c r="J343" s="83">
        <f t="shared" si="683"/>
        <v>21.333333333333314</v>
      </c>
      <c r="K343" s="83">
        <f t="shared" si="683"/>
        <v>15.333333333333314</v>
      </c>
      <c r="L343" s="83">
        <f t="shared" si="683"/>
        <v>11.333333333333314</v>
      </c>
      <c r="M343" s="83">
        <f t="shared" si="683"/>
        <v>1.6666666666666288</v>
      </c>
      <c r="N343" s="83">
        <f t="shared" si="683"/>
        <v>-10.333333333333371</v>
      </c>
      <c r="O343" s="83">
        <f t="shared" si="683"/>
        <v>-36.666666666666629</v>
      </c>
      <c r="P343" s="83">
        <f t="shared" si="683"/>
        <v>-6</v>
      </c>
      <c r="Q343" s="83">
        <f t="shared" si="683"/>
        <v>7.3333333333333712</v>
      </c>
      <c r="R343" s="83">
        <f t="shared" si="683"/>
        <v>51.333333333333371</v>
      </c>
      <c r="S343" s="83">
        <f t="shared" si="683"/>
        <v>48</v>
      </c>
      <c r="T343" s="83">
        <f t="shared" si="683"/>
        <v>1112</v>
      </c>
      <c r="U343" s="83">
        <f t="shared" si="683"/>
        <v>1165</v>
      </c>
      <c r="V343" s="83">
        <f t="shared" si="683"/>
        <v>1204</v>
      </c>
      <c r="W343" s="83">
        <f t="shared" si="683"/>
        <v>1229</v>
      </c>
    </row>
    <row r="344" spans="1:23" ht="25.5" x14ac:dyDescent="0.25">
      <c r="C344" s="1" t="str">
        <f t="shared" si="674"/>
        <v>GENERAL</v>
      </c>
      <c r="D344" s="86" t="s">
        <v>65</v>
      </c>
      <c r="E344" s="222"/>
      <c r="F344" s="83">
        <f t="shared" ref="F344:W344" si="684">VLOOKUP(F$325,PARAMETROCRIANZA,4,0)</f>
        <v>77</v>
      </c>
      <c r="G344" s="83">
        <f t="shared" si="684"/>
        <v>77</v>
      </c>
      <c r="H344" s="83">
        <f t="shared" si="684"/>
        <v>77</v>
      </c>
      <c r="I344" s="83">
        <f t="shared" si="684"/>
        <v>79</v>
      </c>
      <c r="J344" s="83">
        <f t="shared" si="684"/>
        <v>79</v>
      </c>
      <c r="K344" s="83">
        <f t="shared" si="684"/>
        <v>79</v>
      </c>
      <c r="L344" s="83">
        <f t="shared" si="684"/>
        <v>79</v>
      </c>
      <c r="M344" s="83">
        <f t="shared" si="684"/>
        <v>79</v>
      </c>
      <c r="N344" s="83">
        <f t="shared" si="684"/>
        <v>79</v>
      </c>
      <c r="O344" s="83">
        <f t="shared" si="684"/>
        <v>80</v>
      </c>
      <c r="P344" s="83">
        <f t="shared" si="684"/>
        <v>80</v>
      </c>
      <c r="Q344" s="83">
        <f t="shared" si="684"/>
        <v>82</v>
      </c>
      <c r="R344" s="83">
        <f t="shared" si="684"/>
        <v>82</v>
      </c>
      <c r="S344" s="83">
        <f t="shared" si="684"/>
        <v>84</v>
      </c>
      <c r="T344" s="83">
        <f t="shared" si="684"/>
        <v>86</v>
      </c>
      <c r="U344" s="83">
        <f t="shared" si="684"/>
        <v>86</v>
      </c>
      <c r="V344" s="83">
        <f t="shared" si="684"/>
        <v>86</v>
      </c>
      <c r="W344" s="83">
        <f t="shared" si="684"/>
        <v>86</v>
      </c>
    </row>
    <row r="345" spans="1:23" ht="25.5" x14ac:dyDescent="0.25">
      <c r="C345" s="1" t="str">
        <f t="shared" si="674"/>
        <v>GENERAL</v>
      </c>
      <c r="D345" s="308" t="s">
        <v>66</v>
      </c>
      <c r="E345" s="310"/>
      <c r="F345" s="212">
        <f>IF($C345="GENERAL",SUM(F223+F247+F271)/3,SUMIFS(F$204:F$320,$C$204:$C$320,$C345,$D$204:$D$320,$D345))</f>
        <v>53</v>
      </c>
      <c r="G345" s="294">
        <f t="shared" ref="G345:W345" si="685">IF($C345="GENERAL",SUM(G223+G247+G271)/3,SUMIFS(G$204:G$320,$C$204:$C$320,$C345,$D$204:$D$320,$D345))</f>
        <v>53.333333333333336</v>
      </c>
      <c r="H345" s="212">
        <f t="shared" si="685"/>
        <v>53.333333333333336</v>
      </c>
      <c r="I345" s="212">
        <f t="shared" si="685"/>
        <v>55</v>
      </c>
      <c r="J345" s="212">
        <f t="shared" si="685"/>
        <v>80</v>
      </c>
      <c r="K345" s="212">
        <f t="shared" si="685"/>
        <v>88.333333333333329</v>
      </c>
      <c r="L345" s="212">
        <f t="shared" si="685"/>
        <v>86.333333333333329</v>
      </c>
      <c r="M345" s="212">
        <f t="shared" si="685"/>
        <v>86</v>
      </c>
      <c r="N345" s="212">
        <f t="shared" si="685"/>
        <v>87.333333333333329</v>
      </c>
      <c r="O345" s="212">
        <f t="shared" si="685"/>
        <v>86.666666666666671</v>
      </c>
      <c r="P345" s="212">
        <f t="shared" si="685"/>
        <v>88</v>
      </c>
      <c r="Q345" s="212">
        <f t="shared" si="685"/>
        <v>84.333333333333329</v>
      </c>
      <c r="R345" s="212">
        <f>IF($C345="GENERAL",SUM(R223+R247+R271)/3,SUMIFS(R$204:R$320,$C$204:$C$320,$C345,$D$204:$D$320,$D345))</f>
        <v>81.333333333333329</v>
      </c>
      <c r="S345" s="212">
        <f t="shared" si="685"/>
        <v>80.666666666666671</v>
      </c>
      <c r="T345" s="212">
        <f t="shared" si="685"/>
        <v>0</v>
      </c>
      <c r="U345" s="212">
        <f t="shared" si="685"/>
        <v>0</v>
      </c>
      <c r="V345" s="212">
        <f t="shared" si="685"/>
        <v>0</v>
      </c>
      <c r="W345" s="212">
        <f t="shared" si="685"/>
        <v>0</v>
      </c>
    </row>
    <row r="346" spans="1:23" x14ac:dyDescent="0.25">
      <c r="C346" s="1" t="str">
        <f t="shared" si="674"/>
        <v>GENERAL</v>
      </c>
      <c r="D346" s="23" t="s">
        <v>15</v>
      </c>
      <c r="E346" s="85"/>
      <c r="F346" s="83">
        <f>F344-F345</f>
        <v>24</v>
      </c>
      <c r="G346" s="295">
        <f t="shared" ref="G346:W346" si="686">G344-G345</f>
        <v>23.666666666666664</v>
      </c>
      <c r="H346" s="83">
        <f t="shared" si="686"/>
        <v>23.666666666666664</v>
      </c>
      <c r="I346" s="83">
        <f t="shared" si="686"/>
        <v>24</v>
      </c>
      <c r="J346" s="83">
        <f t="shared" si="686"/>
        <v>-1</v>
      </c>
      <c r="K346" s="83">
        <f t="shared" si="686"/>
        <v>-9.3333333333333286</v>
      </c>
      <c r="L346" s="83">
        <f t="shared" si="686"/>
        <v>-7.3333333333333286</v>
      </c>
      <c r="M346" s="83">
        <f t="shared" si="686"/>
        <v>-7</v>
      </c>
      <c r="N346" s="83">
        <f t="shared" si="686"/>
        <v>-8.3333333333333286</v>
      </c>
      <c r="O346" s="83">
        <f t="shared" si="686"/>
        <v>-6.6666666666666714</v>
      </c>
      <c r="P346" s="83">
        <f t="shared" si="686"/>
        <v>-8</v>
      </c>
      <c r="Q346" s="83">
        <f t="shared" si="686"/>
        <v>-2.3333333333333286</v>
      </c>
      <c r="R346" s="83">
        <f t="shared" si="686"/>
        <v>0.6666666666666714</v>
      </c>
      <c r="S346" s="83">
        <f t="shared" si="686"/>
        <v>3.3333333333333286</v>
      </c>
      <c r="T346" s="83">
        <f t="shared" si="686"/>
        <v>86</v>
      </c>
      <c r="U346" s="83">
        <f t="shared" si="686"/>
        <v>86</v>
      </c>
      <c r="V346" s="83">
        <f t="shared" si="686"/>
        <v>86</v>
      </c>
      <c r="W346" s="83">
        <f t="shared" si="686"/>
        <v>86</v>
      </c>
    </row>
    <row r="347" spans="1:23" x14ac:dyDescent="0.25">
      <c r="D347" s="85"/>
      <c r="E347" s="85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</row>
    <row r="348" spans="1:23" x14ac:dyDescent="0.3">
      <c r="D348" s="85"/>
      <c r="E348" s="82">
        <v>0</v>
      </c>
      <c r="F348" s="82">
        <v>1</v>
      </c>
      <c r="G348" s="82">
        <v>2</v>
      </c>
      <c r="H348" s="82">
        <v>3</v>
      </c>
      <c r="I348" s="82">
        <v>4</v>
      </c>
      <c r="J348" s="82">
        <v>5</v>
      </c>
      <c r="K348" s="82">
        <v>6</v>
      </c>
      <c r="L348" s="82">
        <v>7</v>
      </c>
      <c r="M348" s="82">
        <v>8</v>
      </c>
      <c r="N348" s="82">
        <v>9</v>
      </c>
      <c r="O348" s="82">
        <v>10</v>
      </c>
      <c r="P348" s="82">
        <v>11</v>
      </c>
      <c r="Q348" s="82">
        <v>12</v>
      </c>
      <c r="R348" s="82">
        <v>13</v>
      </c>
      <c r="S348" s="82">
        <v>14</v>
      </c>
      <c r="T348" s="82">
        <v>15</v>
      </c>
      <c r="U348" s="82">
        <v>16</v>
      </c>
      <c r="V348" s="82">
        <v>17</v>
      </c>
      <c r="W348" s="82">
        <v>18</v>
      </c>
    </row>
    <row r="349" spans="1:23" ht="25.5" x14ac:dyDescent="0.25">
      <c r="A349" s="10" t="s">
        <v>86</v>
      </c>
      <c r="B349" s="864" t="s">
        <v>42</v>
      </c>
      <c r="C349" s="1" t="str">
        <f>C346</f>
        <v>GENERAL</v>
      </c>
      <c r="D349" s="24" t="s">
        <v>67</v>
      </c>
      <c r="E349" s="207"/>
      <c r="F349" s="83">
        <f>IF($C349="GENERAL",SUMIFS(F$204:F$320,$D$204:$D$320,$D349),SUMIFS(F$204:F$320,$C$204:$C$320,$C349,$D$204:$D$320,$D349))</f>
        <v>288500</v>
      </c>
      <c r="G349" s="83">
        <f>IF($C349="GENERAL",SUMIFS(G$204:G$320,$D$204:$D$320,$D349),SUMIFS(G$204:G$320,$C$204:$C$320,$C349,$D$204:$D$320,$D349))</f>
        <v>284304</v>
      </c>
      <c r="H349" s="83">
        <f t="shared" ref="H349:W349" si="687">IF($C349="GENERAL",SUMIFS(H$204:H$320,$D$204:$D$320,$D349),SUMIFS(H$204:H$320,$C$204:$C$320,$C349,$D$204:$D$320,$D349))</f>
        <v>282677</v>
      </c>
      <c r="I349" s="83">
        <f t="shared" si="687"/>
        <v>282158</v>
      </c>
      <c r="J349" s="83">
        <f t="shared" si="687"/>
        <v>281702</v>
      </c>
      <c r="K349" s="83">
        <f t="shared" si="687"/>
        <v>281177</v>
      </c>
      <c r="L349" s="83">
        <f t="shared" si="687"/>
        <v>280861</v>
      </c>
      <c r="M349" s="83">
        <f t="shared" si="687"/>
        <v>280692</v>
      </c>
      <c r="N349" s="83">
        <f t="shared" si="687"/>
        <v>280613</v>
      </c>
      <c r="O349" s="83">
        <f t="shared" si="687"/>
        <v>280433</v>
      </c>
      <c r="P349" s="83">
        <f t="shared" si="687"/>
        <v>280351</v>
      </c>
      <c r="Q349" s="83">
        <f t="shared" si="687"/>
        <v>280267</v>
      </c>
      <c r="R349" s="83">
        <f t="shared" si="687"/>
        <v>280154</v>
      </c>
      <c r="S349" s="83">
        <f t="shared" si="687"/>
        <v>279818</v>
      </c>
      <c r="T349" s="83">
        <f t="shared" si="687"/>
        <v>279665</v>
      </c>
      <c r="U349" s="83">
        <f t="shared" si="687"/>
        <v>279665</v>
      </c>
      <c r="V349" s="83">
        <f t="shared" si="687"/>
        <v>279665</v>
      </c>
      <c r="W349" s="83">
        <f t="shared" si="687"/>
        <v>279665</v>
      </c>
    </row>
    <row r="350" spans="1:23" ht="16.5" customHeight="1" x14ac:dyDescent="0.25">
      <c r="A350" s="10" t="s">
        <v>68</v>
      </c>
      <c r="B350" s="864"/>
      <c r="C350" s="1" t="str">
        <f>C349</f>
        <v>GENERAL</v>
      </c>
      <c r="D350" s="86" t="s">
        <v>72</v>
      </c>
      <c r="E350" s="222"/>
      <c r="F350" s="83">
        <f>F333</f>
        <v>0.7</v>
      </c>
      <c r="G350" s="83">
        <f t="shared" ref="G350:W350" si="688">G333</f>
        <v>0.7</v>
      </c>
      <c r="H350" s="83">
        <f t="shared" si="688"/>
        <v>0.5</v>
      </c>
      <c r="I350" s="83">
        <f t="shared" si="688"/>
        <v>0.3</v>
      </c>
      <c r="J350" s="83">
        <f t="shared" si="688"/>
        <v>0.18</v>
      </c>
      <c r="K350" s="83">
        <f t="shared" si="688"/>
        <v>0.18</v>
      </c>
      <c r="L350" s="83">
        <f t="shared" si="688"/>
        <v>0.16</v>
      </c>
      <c r="M350" s="83">
        <f t="shared" si="688"/>
        <v>0.16</v>
      </c>
      <c r="N350" s="83">
        <f t="shared" si="688"/>
        <v>0.16</v>
      </c>
      <c r="O350" s="83">
        <f t="shared" si="688"/>
        <v>0.16</v>
      </c>
      <c r="P350" s="83">
        <f t="shared" si="688"/>
        <v>0.16</v>
      </c>
      <c r="Q350" s="83">
        <f t="shared" si="688"/>
        <v>0.16</v>
      </c>
      <c r="R350" s="83">
        <f t="shared" si="688"/>
        <v>0.16</v>
      </c>
      <c r="S350" s="83">
        <f t="shared" si="688"/>
        <v>0.16</v>
      </c>
      <c r="T350" s="83">
        <f t="shared" si="688"/>
        <v>0.16</v>
      </c>
      <c r="U350" s="83">
        <f t="shared" si="688"/>
        <v>0.16</v>
      </c>
      <c r="V350" s="83">
        <f t="shared" si="688"/>
        <v>0.16</v>
      </c>
      <c r="W350" s="83">
        <f t="shared" si="688"/>
        <v>0.16</v>
      </c>
    </row>
    <row r="351" spans="1:23" ht="25.5" x14ac:dyDescent="0.25">
      <c r="A351" s="10" t="s">
        <v>70</v>
      </c>
      <c r="B351" s="864"/>
      <c r="C351" s="1" t="str">
        <f t="shared" ref="C351:C354" si="689">C350</f>
        <v>GENERAL</v>
      </c>
      <c r="D351" s="87" t="s">
        <v>49</v>
      </c>
      <c r="E351" s="223"/>
      <c r="F351" s="83">
        <f>F335</f>
        <v>0.7</v>
      </c>
      <c r="G351" s="83">
        <f t="shared" ref="G351:W351" si="690">G335</f>
        <v>1.4</v>
      </c>
      <c r="H351" s="83">
        <f t="shared" si="690"/>
        <v>1.9</v>
      </c>
      <c r="I351" s="83">
        <f t="shared" si="690"/>
        <v>2.1999999999999997</v>
      </c>
      <c r="J351" s="83">
        <f t="shared" si="690"/>
        <v>2.38</v>
      </c>
      <c r="K351" s="83">
        <f t="shared" si="690"/>
        <v>2.56</v>
      </c>
      <c r="L351" s="83">
        <f t="shared" si="690"/>
        <v>2.72</v>
      </c>
      <c r="M351" s="83">
        <f t="shared" si="690"/>
        <v>2.8800000000000003</v>
      </c>
      <c r="N351" s="83">
        <f t="shared" si="690"/>
        <v>3.0400000000000005</v>
      </c>
      <c r="O351" s="83">
        <f t="shared" si="690"/>
        <v>3.2000000000000006</v>
      </c>
      <c r="P351" s="83">
        <f t="shared" si="690"/>
        <v>3.3600000000000008</v>
      </c>
      <c r="Q351" s="83">
        <f t="shared" si="690"/>
        <v>3.5200000000000009</v>
      </c>
      <c r="R351" s="83">
        <f t="shared" si="690"/>
        <v>3.680000000000001</v>
      </c>
      <c r="S351" s="83">
        <f t="shared" si="690"/>
        <v>3.8400000000000012</v>
      </c>
      <c r="T351" s="83">
        <f t="shared" si="690"/>
        <v>4.0000000000000009</v>
      </c>
      <c r="U351" s="83">
        <f t="shared" si="690"/>
        <v>4.160000000000001</v>
      </c>
      <c r="V351" s="83">
        <f t="shared" si="690"/>
        <v>4.3200000000000012</v>
      </c>
      <c r="W351" s="83">
        <f t="shared" si="690"/>
        <v>4.4800000000000013</v>
      </c>
    </row>
    <row r="352" spans="1:23" ht="25.5" x14ac:dyDescent="0.25">
      <c r="A352" s="10" t="s">
        <v>71</v>
      </c>
      <c r="B352" s="864"/>
      <c r="C352" s="1" t="str">
        <f t="shared" si="689"/>
        <v>GENERAL</v>
      </c>
      <c r="D352" s="86" t="s">
        <v>75</v>
      </c>
      <c r="E352" s="222"/>
      <c r="F352" s="83">
        <f>F338</f>
        <v>6</v>
      </c>
      <c r="G352" s="83">
        <f t="shared" ref="G352:W352" si="691">G338</f>
        <v>12</v>
      </c>
      <c r="H352" s="83">
        <f t="shared" si="691"/>
        <v>20</v>
      </c>
      <c r="I352" s="83">
        <f t="shared" si="691"/>
        <v>29</v>
      </c>
      <c r="J352" s="83">
        <f t="shared" si="691"/>
        <v>36</v>
      </c>
      <c r="K352" s="83">
        <f t="shared" si="691"/>
        <v>40</v>
      </c>
      <c r="L352" s="83">
        <f t="shared" si="691"/>
        <v>43</v>
      </c>
      <c r="M352" s="83">
        <f t="shared" si="691"/>
        <v>45</v>
      </c>
      <c r="N352" s="83">
        <f t="shared" si="691"/>
        <v>47</v>
      </c>
      <c r="O352" s="83">
        <f t="shared" si="691"/>
        <v>49</v>
      </c>
      <c r="P352" s="83">
        <f t="shared" si="691"/>
        <v>51</v>
      </c>
      <c r="Q352" s="83">
        <f t="shared" si="691"/>
        <v>53</v>
      </c>
      <c r="R352" s="83">
        <f t="shared" si="691"/>
        <v>55</v>
      </c>
      <c r="S352" s="83">
        <f t="shared" si="691"/>
        <v>57</v>
      </c>
      <c r="T352" s="83">
        <f t="shared" si="691"/>
        <v>60</v>
      </c>
      <c r="U352" s="83">
        <f t="shared" si="691"/>
        <v>64</v>
      </c>
      <c r="V352" s="83">
        <f t="shared" si="691"/>
        <v>70</v>
      </c>
      <c r="W352" s="83">
        <f t="shared" si="691"/>
        <v>77</v>
      </c>
    </row>
    <row r="353" spans="1:23" x14ac:dyDescent="0.25">
      <c r="A353" s="10" t="s">
        <v>11</v>
      </c>
      <c r="B353" s="864"/>
      <c r="C353" s="1" t="str">
        <f t="shared" si="689"/>
        <v>GENERAL</v>
      </c>
      <c r="D353" s="86" t="s">
        <v>63</v>
      </c>
      <c r="E353" s="222"/>
      <c r="F353" s="83">
        <f>F341</f>
        <v>64</v>
      </c>
      <c r="G353" s="83">
        <f t="shared" ref="G353:W353" si="692">G341</f>
        <v>118</v>
      </c>
      <c r="H353" s="83">
        <f t="shared" si="692"/>
        <v>185</v>
      </c>
      <c r="I353" s="83">
        <f t="shared" si="692"/>
        <v>258</v>
      </c>
      <c r="J353" s="83">
        <f t="shared" si="692"/>
        <v>336</v>
      </c>
      <c r="K353" s="83">
        <f t="shared" si="692"/>
        <v>419</v>
      </c>
      <c r="L353" s="83">
        <f t="shared" si="692"/>
        <v>502</v>
      </c>
      <c r="M353" s="83">
        <f t="shared" si="692"/>
        <v>585</v>
      </c>
      <c r="N353" s="83">
        <f t="shared" si="692"/>
        <v>668</v>
      </c>
      <c r="O353" s="83">
        <f t="shared" si="692"/>
        <v>746</v>
      </c>
      <c r="P353" s="83">
        <f t="shared" si="692"/>
        <v>824</v>
      </c>
      <c r="Q353" s="83">
        <f t="shared" si="692"/>
        <v>902</v>
      </c>
      <c r="R353" s="83">
        <f t="shared" si="692"/>
        <v>975</v>
      </c>
      <c r="S353" s="83">
        <f t="shared" si="692"/>
        <v>1048</v>
      </c>
      <c r="T353" s="83">
        <f t="shared" si="692"/>
        <v>1112</v>
      </c>
      <c r="U353" s="83">
        <f t="shared" si="692"/>
        <v>1165</v>
      </c>
      <c r="V353" s="83">
        <f t="shared" si="692"/>
        <v>1204</v>
      </c>
      <c r="W353" s="83">
        <f t="shared" si="692"/>
        <v>1229</v>
      </c>
    </row>
    <row r="354" spans="1:23" ht="25.5" x14ac:dyDescent="0.25">
      <c r="A354" s="10" t="s">
        <v>69</v>
      </c>
      <c r="B354" s="864"/>
      <c r="C354" s="1" t="str">
        <f t="shared" si="689"/>
        <v>GENERAL</v>
      </c>
      <c r="D354" s="86" t="s">
        <v>65</v>
      </c>
      <c r="E354" s="222"/>
      <c r="F354" s="83">
        <f>F344</f>
        <v>77</v>
      </c>
      <c r="G354" s="83">
        <f t="shared" ref="G354:W354" si="693">G344</f>
        <v>77</v>
      </c>
      <c r="H354" s="83">
        <f t="shared" si="693"/>
        <v>77</v>
      </c>
      <c r="I354" s="83">
        <f t="shared" si="693"/>
        <v>79</v>
      </c>
      <c r="J354" s="83">
        <f t="shared" si="693"/>
        <v>79</v>
      </c>
      <c r="K354" s="83">
        <f t="shared" si="693"/>
        <v>79</v>
      </c>
      <c r="L354" s="83">
        <f t="shared" si="693"/>
        <v>79</v>
      </c>
      <c r="M354" s="83">
        <f t="shared" si="693"/>
        <v>79</v>
      </c>
      <c r="N354" s="83">
        <f t="shared" si="693"/>
        <v>79</v>
      </c>
      <c r="O354" s="83">
        <f t="shared" si="693"/>
        <v>80</v>
      </c>
      <c r="P354" s="83">
        <f t="shared" si="693"/>
        <v>80</v>
      </c>
      <c r="Q354" s="83">
        <f t="shared" si="693"/>
        <v>82</v>
      </c>
      <c r="R354" s="83">
        <f t="shared" si="693"/>
        <v>82</v>
      </c>
      <c r="S354" s="83">
        <f t="shared" si="693"/>
        <v>84</v>
      </c>
      <c r="T354" s="83">
        <f t="shared" si="693"/>
        <v>86</v>
      </c>
      <c r="U354" s="83">
        <f t="shared" si="693"/>
        <v>86</v>
      </c>
      <c r="V354" s="83">
        <f t="shared" si="693"/>
        <v>86</v>
      </c>
      <c r="W354" s="83">
        <f t="shared" si="693"/>
        <v>86</v>
      </c>
    </row>
    <row r="355" spans="1:23" x14ac:dyDescent="0.25">
      <c r="D355" s="85"/>
      <c r="E355" s="85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</row>
    <row r="356" spans="1:23" x14ac:dyDescent="0.25">
      <c r="D356" s="85"/>
      <c r="E356" s="85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</row>
    <row r="357" spans="1:23" x14ac:dyDescent="0.3">
      <c r="D357" s="85"/>
      <c r="E357" s="82">
        <v>0</v>
      </c>
      <c r="F357" s="82">
        <v>1</v>
      </c>
      <c r="G357" s="82">
        <v>2</v>
      </c>
      <c r="H357" s="82">
        <v>3</v>
      </c>
      <c r="I357" s="82">
        <v>4</v>
      </c>
      <c r="J357" s="82">
        <v>5</v>
      </c>
      <c r="K357" s="82">
        <v>6</v>
      </c>
      <c r="L357" s="82">
        <v>7</v>
      </c>
      <c r="M357" s="82">
        <v>8</v>
      </c>
      <c r="N357" s="82">
        <v>9</v>
      </c>
      <c r="O357" s="82">
        <v>10</v>
      </c>
      <c r="P357" s="82">
        <v>11</v>
      </c>
      <c r="Q357" s="82">
        <v>12</v>
      </c>
      <c r="R357" s="82">
        <v>13</v>
      </c>
      <c r="S357" s="82">
        <v>14</v>
      </c>
      <c r="T357" s="82">
        <v>15</v>
      </c>
      <c r="U357" s="82">
        <v>16</v>
      </c>
      <c r="V357" s="82">
        <v>17</v>
      </c>
      <c r="W357" s="82">
        <v>18</v>
      </c>
    </row>
    <row r="358" spans="1:23" x14ac:dyDescent="0.25">
      <c r="A358" s="10" t="s">
        <v>86</v>
      </c>
      <c r="B358" s="864" t="s">
        <v>38</v>
      </c>
      <c r="C358" s="1" t="str">
        <f>C354</f>
        <v>GENERAL</v>
      </c>
      <c r="D358" s="24" t="s">
        <v>34</v>
      </c>
      <c r="E358" s="207"/>
      <c r="F358" s="83">
        <f>IF($C358="GENERAL",SUMIFS(F$204:F$320,$D$204:$D$320,$D358),SUMIFS(F$204:F$320,$C$204:$C$320,$C358,$D$204:$D$320,$D358))</f>
        <v>286599</v>
      </c>
      <c r="G358" s="83">
        <f t="shared" ref="G358:W358" si="694">IF($C358="GENERAL",SUMIFS(G$204:G$320,$D$204:$D$320,$D358),SUMIFS(G$204:G$320,$C$204:$C$320,$C358,$D$204:$D$320,$D358))</f>
        <v>283943</v>
      </c>
      <c r="H358" s="83">
        <f t="shared" si="694"/>
        <v>282567</v>
      </c>
      <c r="I358" s="83">
        <f t="shared" si="694"/>
        <v>282118</v>
      </c>
      <c r="J358" s="83">
        <f t="shared" si="694"/>
        <v>281617</v>
      </c>
      <c r="K358" s="83">
        <f t="shared" si="694"/>
        <v>281117</v>
      </c>
      <c r="L358" s="83">
        <f t="shared" si="694"/>
        <v>280844</v>
      </c>
      <c r="M358" s="83">
        <f t="shared" si="694"/>
        <v>280673</v>
      </c>
      <c r="N358" s="83">
        <f t="shared" si="694"/>
        <v>280604</v>
      </c>
      <c r="O358" s="83">
        <f t="shared" si="694"/>
        <v>280421</v>
      </c>
      <c r="P358" s="83">
        <f t="shared" si="694"/>
        <v>280340</v>
      </c>
      <c r="Q358" s="83">
        <f t="shared" si="694"/>
        <v>280259</v>
      </c>
      <c r="R358" s="83">
        <f t="shared" si="694"/>
        <v>280106</v>
      </c>
      <c r="S358" s="83">
        <f t="shared" si="694"/>
        <v>279782</v>
      </c>
      <c r="T358" s="83">
        <f t="shared" si="694"/>
        <v>279665</v>
      </c>
      <c r="U358" s="83">
        <f t="shared" si="694"/>
        <v>279665</v>
      </c>
      <c r="V358" s="83">
        <f t="shared" si="694"/>
        <v>279665</v>
      </c>
      <c r="W358" s="83">
        <f t="shared" si="694"/>
        <v>279665</v>
      </c>
    </row>
    <row r="359" spans="1:23" ht="16.5" customHeight="1" x14ac:dyDescent="0.25">
      <c r="A359" s="10" t="s">
        <v>68</v>
      </c>
      <c r="B359" s="864"/>
      <c r="C359" s="1" t="str">
        <f>C358</f>
        <v>GENERAL</v>
      </c>
      <c r="D359" s="86" t="s">
        <v>74</v>
      </c>
      <c r="E359" s="222"/>
      <c r="F359" s="214">
        <f>F334</f>
        <v>0.65892547660311962</v>
      </c>
      <c r="G359" s="214">
        <f t="shared" ref="G359:W359" si="695">G334</f>
        <v>0.93421126681298894</v>
      </c>
      <c r="H359" s="214">
        <f t="shared" si="695"/>
        <v>0.48677465800188907</v>
      </c>
      <c r="I359" s="214">
        <f t="shared" si="695"/>
        <v>0.15913069982066785</v>
      </c>
      <c r="J359" s="214">
        <f t="shared" si="695"/>
        <v>0.17784751261971871</v>
      </c>
      <c r="K359" s="214">
        <f t="shared" si="695"/>
        <v>0.17782393296749022</v>
      </c>
      <c r="L359" s="214">
        <f t="shared" si="695"/>
        <v>9.7201106597213566E-2</v>
      </c>
      <c r="M359" s="214">
        <f t="shared" si="695"/>
        <v>6.0920867000128248E-2</v>
      </c>
      <c r="N359" s="214">
        <f t="shared" si="695"/>
        <v>2.4589024742260695E-2</v>
      </c>
      <c r="O359" s="214">
        <f t="shared" si="695"/>
        <v>6.5256228760523907E-2</v>
      </c>
      <c r="P359" s="214">
        <f t="shared" si="695"/>
        <v>2.8892352800596394E-2</v>
      </c>
      <c r="Q359" s="214">
        <f t="shared" si="695"/>
        <v>2.8901012249033957E-2</v>
      </c>
      <c r="R359" s="214">
        <f t="shared" si="695"/>
        <v>5.4612820091806645E-2</v>
      </c>
      <c r="S359" s="214">
        <f t="shared" si="695"/>
        <v>0.11578954892108442</v>
      </c>
      <c r="T359" s="214">
        <f t="shared" si="695"/>
        <v>4.1835767793610215E-2</v>
      </c>
      <c r="U359" s="214">
        <f t="shared" si="695"/>
        <v>0</v>
      </c>
      <c r="V359" s="214">
        <f t="shared" si="695"/>
        <v>0</v>
      </c>
      <c r="W359" s="214">
        <f t="shared" si="695"/>
        <v>0</v>
      </c>
    </row>
    <row r="360" spans="1:23" ht="25.5" x14ac:dyDescent="0.25">
      <c r="A360" s="10" t="s">
        <v>70</v>
      </c>
      <c r="B360" s="864"/>
      <c r="C360" s="1" t="str">
        <f t="shared" ref="C360:C364" si="696">C359</f>
        <v>GENERAL</v>
      </c>
      <c r="D360" s="87" t="s">
        <v>73</v>
      </c>
      <c r="E360" s="223"/>
      <c r="F360" s="214">
        <f>F336</f>
        <v>0.65892547660311962</v>
      </c>
      <c r="G360" s="214">
        <f t="shared" ref="G360:W360" si="697">G336</f>
        <v>1.6028617254769542</v>
      </c>
      <c r="H360" s="214">
        <f t="shared" si="697"/>
        <v>2.0988619519805289</v>
      </c>
      <c r="I360" s="214">
        <f t="shared" si="697"/>
        <v>2.2618532878741697</v>
      </c>
      <c r="J360" s="214">
        <f t="shared" si="697"/>
        <v>2.4433621344541394</v>
      </c>
      <c r="K360" s="214">
        <f t="shared" si="697"/>
        <v>2.625748194197961</v>
      </c>
      <c r="L360" s="214">
        <f t="shared" si="697"/>
        <v>2.725903560836143</v>
      </c>
      <c r="M360" s="214">
        <f t="shared" si="697"/>
        <v>2.7884656491813091</v>
      </c>
      <c r="N360" s="214">
        <f t="shared" si="697"/>
        <v>2.813839700940441</v>
      </c>
      <c r="O360" s="214">
        <f t="shared" si="697"/>
        <v>2.880902033640834</v>
      </c>
      <c r="P360" s="214">
        <f t="shared" si="697"/>
        <v>2.9106370228748961</v>
      </c>
      <c r="Q360" s="214">
        <f t="shared" si="697"/>
        <v>2.9404103943739361</v>
      </c>
      <c r="R360" s="214">
        <f t="shared" si="697"/>
        <v>2.996209227781863</v>
      </c>
      <c r="S360" s="214">
        <f t="shared" si="697"/>
        <v>3.1155965663395491</v>
      </c>
      <c r="T360" s="214">
        <f t="shared" si="697"/>
        <v>3.1591368244149249</v>
      </c>
      <c r="U360" s="214">
        <f t="shared" si="697"/>
        <v>3.1591368244149249</v>
      </c>
      <c r="V360" s="214">
        <f t="shared" si="697"/>
        <v>3.1591368244149249</v>
      </c>
      <c r="W360" s="214">
        <f t="shared" si="697"/>
        <v>3.1591368244149249</v>
      </c>
    </row>
    <row r="361" spans="1:23" ht="25.5" x14ac:dyDescent="0.25">
      <c r="A361" s="10" t="s">
        <v>71</v>
      </c>
      <c r="B361" s="864"/>
      <c r="C361" s="1" t="str">
        <f t="shared" si="696"/>
        <v>GENERAL</v>
      </c>
      <c r="D361" s="86" t="s">
        <v>62</v>
      </c>
      <c r="E361" s="222"/>
      <c r="F361" s="83">
        <f>F339</f>
        <v>0</v>
      </c>
      <c r="G361" s="83">
        <f t="shared" ref="G361:W361" si="698">G339</f>
        <v>0</v>
      </c>
      <c r="H361" s="83">
        <f t="shared" si="698"/>
        <v>0</v>
      </c>
      <c r="I361" s="83">
        <f t="shared" si="698"/>
        <v>0</v>
      </c>
      <c r="J361" s="83">
        <f t="shared" si="698"/>
        <v>0</v>
      </c>
      <c r="K361" s="83">
        <f t="shared" si="698"/>
        <v>3.4905675346479738E-2</v>
      </c>
      <c r="L361" s="83">
        <f t="shared" si="698"/>
        <v>0</v>
      </c>
      <c r="M361" s="83">
        <f t="shared" si="698"/>
        <v>0</v>
      </c>
      <c r="N361" s="83">
        <f t="shared" si="698"/>
        <v>0</v>
      </c>
      <c r="O361" s="83">
        <f t="shared" si="698"/>
        <v>0</v>
      </c>
      <c r="P361" s="83">
        <f t="shared" si="698"/>
        <v>0</v>
      </c>
      <c r="Q361" s="83">
        <f t="shared" si="698"/>
        <v>0</v>
      </c>
      <c r="R361" s="83">
        <f t="shared" si="698"/>
        <v>0</v>
      </c>
      <c r="S361" s="83">
        <f t="shared" si="698"/>
        <v>0</v>
      </c>
      <c r="T361" s="83">
        <f t="shared" si="698"/>
        <v>0</v>
      </c>
      <c r="U361" s="83">
        <f t="shared" si="698"/>
        <v>0</v>
      </c>
      <c r="V361" s="83">
        <f t="shared" si="698"/>
        <v>0</v>
      </c>
      <c r="W361" s="83">
        <f t="shared" si="698"/>
        <v>0</v>
      </c>
    </row>
    <row r="362" spans="1:23" ht="25.5" x14ac:dyDescent="0.25">
      <c r="A362" s="10" t="s">
        <v>50</v>
      </c>
      <c r="B362" s="864"/>
      <c r="C362" s="1" t="str">
        <f t="shared" si="696"/>
        <v>GENERAL</v>
      </c>
      <c r="D362" s="86" t="s">
        <v>50</v>
      </c>
      <c r="E362" s="222"/>
      <c r="F362" s="83">
        <f>F340</f>
        <v>0</v>
      </c>
      <c r="G362" s="83">
        <f t="shared" ref="G362:W362" si="699">G340</f>
        <v>0</v>
      </c>
      <c r="H362" s="83">
        <f t="shared" si="699"/>
        <v>0</v>
      </c>
      <c r="I362" s="83">
        <f t="shared" si="699"/>
        <v>0</v>
      </c>
      <c r="J362" s="83">
        <f t="shared" si="699"/>
        <v>0</v>
      </c>
      <c r="K362" s="83">
        <f t="shared" si="699"/>
        <v>0.24433972742535814</v>
      </c>
      <c r="L362" s="83">
        <f t="shared" si="699"/>
        <v>0.24433972742535814</v>
      </c>
      <c r="M362" s="83">
        <f t="shared" si="699"/>
        <v>0.24433972742535814</v>
      </c>
      <c r="N362" s="83">
        <f t="shared" si="699"/>
        <v>0.24433972742535814</v>
      </c>
      <c r="O362" s="83">
        <f t="shared" si="699"/>
        <v>0.24433972742535814</v>
      </c>
      <c r="P362" s="83">
        <f t="shared" si="699"/>
        <v>0.24433972742535814</v>
      </c>
      <c r="Q362" s="83">
        <f t="shared" si="699"/>
        <v>0.24433972742535814</v>
      </c>
      <c r="R362" s="83">
        <f t="shared" si="699"/>
        <v>0.24433972742535814</v>
      </c>
      <c r="S362" s="83">
        <f t="shared" si="699"/>
        <v>0.24433972742535814</v>
      </c>
      <c r="T362" s="83">
        <f t="shared" si="699"/>
        <v>0.24433972742535814</v>
      </c>
      <c r="U362" s="83">
        <f t="shared" si="699"/>
        <v>0.24433972742535814</v>
      </c>
      <c r="V362" s="83">
        <f t="shared" si="699"/>
        <v>0.24433972742535814</v>
      </c>
      <c r="W362" s="83">
        <f t="shared" si="699"/>
        <v>0.24433972742535814</v>
      </c>
    </row>
    <row r="363" spans="1:23" x14ac:dyDescent="0.25">
      <c r="A363" s="10" t="s">
        <v>11</v>
      </c>
      <c r="B363" s="864"/>
      <c r="C363" s="1" t="str">
        <f t="shared" si="696"/>
        <v>GENERAL</v>
      </c>
      <c r="D363" s="86" t="s">
        <v>64</v>
      </c>
      <c r="E363" s="222"/>
      <c r="F363" s="83">
        <f>F342</f>
        <v>65.800000000000011</v>
      </c>
      <c r="G363" s="83">
        <f t="shared" ref="G363:W363" si="700">G342</f>
        <v>84.22</v>
      </c>
      <c r="H363" s="83">
        <f t="shared" si="700"/>
        <v>165.35000000000002</v>
      </c>
      <c r="I363" s="83">
        <f t="shared" si="700"/>
        <v>216.6</v>
      </c>
      <c r="J363" s="83">
        <f t="shared" si="700"/>
        <v>314.66666666666669</v>
      </c>
      <c r="K363" s="83">
        <f t="shared" si="700"/>
        <v>403.66666666666669</v>
      </c>
      <c r="L363" s="83">
        <f t="shared" si="700"/>
        <v>490.66666666666669</v>
      </c>
      <c r="M363" s="83">
        <f t="shared" si="700"/>
        <v>583.33333333333337</v>
      </c>
      <c r="N363" s="83">
        <f t="shared" si="700"/>
        <v>678.33333333333337</v>
      </c>
      <c r="O363" s="83">
        <f t="shared" si="700"/>
        <v>782.66666666666663</v>
      </c>
      <c r="P363" s="83">
        <f t="shared" si="700"/>
        <v>830</v>
      </c>
      <c r="Q363" s="83">
        <f t="shared" si="700"/>
        <v>894.66666666666663</v>
      </c>
      <c r="R363" s="83">
        <f t="shared" si="700"/>
        <v>923.66666666666663</v>
      </c>
      <c r="S363" s="83">
        <f>S342</f>
        <v>1000</v>
      </c>
      <c r="T363" s="83">
        <f t="shared" si="700"/>
        <v>0</v>
      </c>
      <c r="U363" s="83">
        <f t="shared" si="700"/>
        <v>0</v>
      </c>
      <c r="V363" s="83">
        <f t="shared" si="700"/>
        <v>0</v>
      </c>
      <c r="W363" s="83">
        <f t="shared" si="700"/>
        <v>0</v>
      </c>
    </row>
    <row r="364" spans="1:23" ht="25.5" x14ac:dyDescent="0.25">
      <c r="A364" s="10" t="s">
        <v>69</v>
      </c>
      <c r="B364" s="864"/>
      <c r="C364" s="1" t="str">
        <f t="shared" si="696"/>
        <v>GENERAL</v>
      </c>
      <c r="D364" s="86" t="s">
        <v>66</v>
      </c>
      <c r="E364" s="222"/>
      <c r="F364" s="83">
        <f>F345</f>
        <v>53</v>
      </c>
      <c r="G364" s="83">
        <f t="shared" ref="G364:W364" si="701">G345</f>
        <v>53.333333333333336</v>
      </c>
      <c r="H364" s="83">
        <f t="shared" si="701"/>
        <v>53.333333333333336</v>
      </c>
      <c r="I364" s="83">
        <f t="shared" si="701"/>
        <v>55</v>
      </c>
      <c r="J364" s="83">
        <f t="shared" si="701"/>
        <v>80</v>
      </c>
      <c r="K364" s="83">
        <f t="shared" si="701"/>
        <v>88.333333333333329</v>
      </c>
      <c r="L364" s="83">
        <f t="shared" si="701"/>
        <v>86.333333333333329</v>
      </c>
      <c r="M364" s="83">
        <f t="shared" si="701"/>
        <v>86</v>
      </c>
      <c r="N364" s="83">
        <f t="shared" si="701"/>
        <v>87.333333333333329</v>
      </c>
      <c r="O364" s="83">
        <f t="shared" si="701"/>
        <v>86.666666666666671</v>
      </c>
      <c r="P364" s="83">
        <f t="shared" si="701"/>
        <v>88</v>
      </c>
      <c r="Q364" s="83">
        <f t="shared" si="701"/>
        <v>84.333333333333329</v>
      </c>
      <c r="R364" s="83">
        <f t="shared" si="701"/>
        <v>81.333333333333329</v>
      </c>
      <c r="S364" s="83">
        <f t="shared" si="701"/>
        <v>80.666666666666671</v>
      </c>
      <c r="T364" s="83">
        <f t="shared" si="701"/>
        <v>0</v>
      </c>
      <c r="U364" s="83">
        <f t="shared" si="701"/>
        <v>0</v>
      </c>
      <c r="V364" s="83">
        <f t="shared" si="701"/>
        <v>0</v>
      </c>
      <c r="W364" s="83">
        <f t="shared" si="701"/>
        <v>0</v>
      </c>
    </row>
    <row r="365" spans="1:23" x14ac:dyDescent="0.25">
      <c r="D365" s="85"/>
      <c r="E365" s="85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</row>
    <row r="366" spans="1:23" x14ac:dyDescent="0.25">
      <c r="D366" s="85"/>
      <c r="E366" s="85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</row>
    <row r="367" spans="1:23" x14ac:dyDescent="0.25">
      <c r="D367" s="85"/>
      <c r="E367" s="85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</row>
    <row r="370" spans="1:23" x14ac:dyDescent="0.25">
      <c r="B370" s="84" t="s">
        <v>61</v>
      </c>
    </row>
    <row r="371" spans="1:23" x14ac:dyDescent="0.25">
      <c r="B371" s="84"/>
      <c r="D371" s="1" t="s">
        <v>32</v>
      </c>
    </row>
    <row r="372" spans="1:23" x14ac:dyDescent="0.25">
      <c r="B372" s="84"/>
    </row>
    <row r="373" spans="1:23" x14ac:dyDescent="0.3">
      <c r="B373" s="84"/>
      <c r="D373" s="1" t="s">
        <v>57</v>
      </c>
      <c r="E373" s="82">
        <v>0</v>
      </c>
      <c r="F373" s="82">
        <v>1</v>
      </c>
      <c r="G373" s="82">
        <v>2</v>
      </c>
      <c r="H373" s="82">
        <v>3</v>
      </c>
      <c r="I373" s="82">
        <v>4</v>
      </c>
      <c r="J373" s="82">
        <v>5</v>
      </c>
      <c r="K373" s="82">
        <v>6</v>
      </c>
      <c r="L373" s="82">
        <v>7</v>
      </c>
      <c r="M373" s="82">
        <v>8</v>
      </c>
      <c r="N373" s="82">
        <v>9</v>
      </c>
      <c r="O373" s="82">
        <v>10</v>
      </c>
      <c r="P373" s="82">
        <v>11</v>
      </c>
      <c r="Q373" s="82">
        <v>12</v>
      </c>
      <c r="R373" s="82">
        <v>13</v>
      </c>
      <c r="S373" s="82">
        <v>14</v>
      </c>
      <c r="T373" s="82">
        <v>15</v>
      </c>
      <c r="U373" s="82">
        <v>16</v>
      </c>
      <c r="V373" s="82">
        <v>17</v>
      </c>
      <c r="W373" s="82">
        <v>18</v>
      </c>
    </row>
    <row r="374" spans="1:23" x14ac:dyDescent="0.25">
      <c r="A374" s="84" t="b">
        <v>1</v>
      </c>
      <c r="C374" s="92"/>
      <c r="D374" s="1" t="str">
        <f>IF(TABLERO!$Q$4=TRUE,VLOOKUP(TABLERO!$J$48,TABLERO!$H$48:$I$56,2,FALSE),"")</f>
        <v>%MORT. ACUMULADA</v>
      </c>
      <c r="E374" s="94">
        <f>SUMIFS(E$349:E$354,$A$349:$A$354,$D$374)</f>
        <v>0</v>
      </c>
      <c r="F374" s="94">
        <f>SUMIFS(F$349:F$354,$A$349:$A$354,$D$374)</f>
        <v>0.7</v>
      </c>
      <c r="G374" s="94">
        <f t="shared" ref="G374:W374" si="702">SUMIFS(G$349:G$354,$A$349:$A$354,$D$374)</f>
        <v>1.4</v>
      </c>
      <c r="H374" s="94">
        <f t="shared" si="702"/>
        <v>1.9</v>
      </c>
      <c r="I374" s="94">
        <f t="shared" si="702"/>
        <v>2.1999999999999997</v>
      </c>
      <c r="J374" s="94">
        <f t="shared" si="702"/>
        <v>2.38</v>
      </c>
      <c r="K374" s="94">
        <f t="shared" si="702"/>
        <v>2.56</v>
      </c>
      <c r="L374" s="94">
        <f t="shared" si="702"/>
        <v>2.72</v>
      </c>
      <c r="M374" s="94">
        <f t="shared" si="702"/>
        <v>2.8800000000000003</v>
      </c>
      <c r="N374" s="94">
        <f t="shared" si="702"/>
        <v>3.0400000000000005</v>
      </c>
      <c r="O374" s="94">
        <f t="shared" si="702"/>
        <v>3.2000000000000006</v>
      </c>
      <c r="P374" s="94">
        <f t="shared" si="702"/>
        <v>3.3600000000000008</v>
      </c>
      <c r="Q374" s="94">
        <f t="shared" si="702"/>
        <v>3.5200000000000009</v>
      </c>
      <c r="R374" s="94">
        <f t="shared" si="702"/>
        <v>3.680000000000001</v>
      </c>
      <c r="S374" s="94">
        <f t="shared" si="702"/>
        <v>3.8400000000000012</v>
      </c>
      <c r="T374" s="94">
        <f t="shared" si="702"/>
        <v>4.0000000000000009</v>
      </c>
      <c r="U374" s="94">
        <f t="shared" si="702"/>
        <v>4.160000000000001</v>
      </c>
      <c r="V374" s="94">
        <f t="shared" si="702"/>
        <v>4.3200000000000012</v>
      </c>
      <c r="W374" s="94">
        <f t="shared" si="702"/>
        <v>4.4800000000000013</v>
      </c>
    </row>
    <row r="375" spans="1:23" x14ac:dyDescent="0.25">
      <c r="B375" s="84"/>
      <c r="C375" s="92"/>
      <c r="D375" s="1" t="str">
        <f>IF(A374=FALSE,"",IF(TABLERO!$Q$5=TRUE,VLOOKUP(TABLERO!$J$48,TABLERO!$H$48:$I$56,2,FALSE),""))</f>
        <v>%MORT. ACUMULADA</v>
      </c>
      <c r="E375" s="94">
        <f>SUMIFS(E$358:E$364,$A$358:$A$364,$D$375)</f>
        <v>0</v>
      </c>
      <c r="F375" s="94">
        <f>SUMIFS(F$358:F$364,$A$358:$A$364,$D$375)</f>
        <v>0.65892547660311962</v>
      </c>
      <c r="G375" s="94">
        <f>SUMIFS(G$358:G$364,$A$358:$A$364,$D$375)</f>
        <v>1.6028617254769542</v>
      </c>
      <c r="H375" s="94">
        <f>SUMIFS(H$358:H$364,$A$358:$A$364,$D$375)</f>
        <v>2.0988619519805289</v>
      </c>
      <c r="I375" s="94">
        <f>SUMIFS(I$358:I$364,$A$358:$A$364,$D$375)</f>
        <v>2.2618532878741697</v>
      </c>
      <c r="J375" s="94">
        <f t="shared" ref="J375:W375" si="703">SUMIFS(J$358:J$364,$A$358:$A$364,$D$375)</f>
        <v>2.4433621344541394</v>
      </c>
      <c r="K375" s="94">
        <f t="shared" si="703"/>
        <v>2.625748194197961</v>
      </c>
      <c r="L375" s="94">
        <f t="shared" si="703"/>
        <v>2.725903560836143</v>
      </c>
      <c r="M375" s="94">
        <f t="shared" si="703"/>
        <v>2.7884656491813091</v>
      </c>
      <c r="N375" s="94">
        <f t="shared" si="703"/>
        <v>2.813839700940441</v>
      </c>
      <c r="O375" s="94">
        <f t="shared" si="703"/>
        <v>2.880902033640834</v>
      </c>
      <c r="P375" s="94">
        <f t="shared" si="703"/>
        <v>2.9106370228748961</v>
      </c>
      <c r="Q375" s="94">
        <f t="shared" si="703"/>
        <v>2.9404103943739361</v>
      </c>
      <c r="R375" s="94">
        <f t="shared" si="703"/>
        <v>2.996209227781863</v>
      </c>
      <c r="S375" s="94">
        <f t="shared" si="703"/>
        <v>3.1155965663395491</v>
      </c>
      <c r="T375" s="94">
        <f t="shared" si="703"/>
        <v>3.1591368244149249</v>
      </c>
      <c r="U375" s="94">
        <f t="shared" si="703"/>
        <v>3.1591368244149249</v>
      </c>
      <c r="V375" s="94">
        <f t="shared" si="703"/>
        <v>3.1591368244149249</v>
      </c>
      <c r="W375" s="94">
        <f t="shared" si="703"/>
        <v>3.1591368244149249</v>
      </c>
    </row>
    <row r="376" spans="1:23" x14ac:dyDescent="0.25">
      <c r="B376" s="84"/>
      <c r="C376" s="1" t="str">
        <f>CONCATENATE($D$371,"                                            ",$C$326,"                                      ",$D$374)</f>
        <v>BUEYERA 1                                            GENERAL                                      %MORT. ACUMULADA</v>
      </c>
    </row>
    <row r="377" spans="1:23" x14ac:dyDescent="0.25">
      <c r="B377" s="84"/>
    </row>
    <row r="378" spans="1:23" x14ac:dyDescent="0.25">
      <c r="B378" s="84"/>
    </row>
    <row r="379" spans="1:23" x14ac:dyDescent="0.3">
      <c r="D379" s="2"/>
      <c r="E379" s="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</row>
    <row r="380" spans="1:23" x14ac:dyDescent="0.25">
      <c r="D380" s="2"/>
      <c r="E380" s="2"/>
    </row>
    <row r="381" spans="1:23" x14ac:dyDescent="0.25">
      <c r="D381" s="2"/>
      <c r="E381" s="2"/>
    </row>
  </sheetData>
  <mergeCells count="61">
    <mergeCell ref="BD5:BG5"/>
    <mergeCell ref="DX5:DZ5"/>
    <mergeCell ref="DC5:DC6"/>
    <mergeCell ref="BQ5:BT5"/>
    <mergeCell ref="BU5:BW5"/>
    <mergeCell ref="BX5:BZ5"/>
    <mergeCell ref="CB5:CB6"/>
    <mergeCell ref="CC5:CC6"/>
    <mergeCell ref="CD5:CG5"/>
    <mergeCell ref="CH5:CP5"/>
    <mergeCell ref="CQ5:CT5"/>
    <mergeCell ref="CU5:CW5"/>
    <mergeCell ref="CX5:CZ5"/>
    <mergeCell ref="DB5:DB6"/>
    <mergeCell ref="B358:B364"/>
    <mergeCell ref="DD5:DG5"/>
    <mergeCell ref="DH5:DP5"/>
    <mergeCell ref="DQ5:DT5"/>
    <mergeCell ref="DU5:DW5"/>
    <mergeCell ref="BH5:BP5"/>
    <mergeCell ref="X5:Z5"/>
    <mergeCell ref="AB5:AB6"/>
    <mergeCell ref="AC5:AC6"/>
    <mergeCell ref="AD5:AG5"/>
    <mergeCell ref="AH5:AP5"/>
    <mergeCell ref="AQ5:AT5"/>
    <mergeCell ref="AU5:AW5"/>
    <mergeCell ref="AX5:AZ5"/>
    <mergeCell ref="BB5:BB6"/>
    <mergeCell ref="BC5:BC6"/>
    <mergeCell ref="B2:F3"/>
    <mergeCell ref="G2:Z2"/>
    <mergeCell ref="M4:N4"/>
    <mergeCell ref="G3:H3"/>
    <mergeCell ref="B349:B354"/>
    <mergeCell ref="B5:B6"/>
    <mergeCell ref="C5:C6"/>
    <mergeCell ref="D5:G5"/>
    <mergeCell ref="H5:P5"/>
    <mergeCell ref="Q5:T5"/>
    <mergeCell ref="U5:W5"/>
    <mergeCell ref="BG2:BZ2"/>
    <mergeCell ref="BG3:BH3"/>
    <mergeCell ref="BM4:BN4"/>
    <mergeCell ref="BX4:BZ4"/>
    <mergeCell ref="AX4:AZ4"/>
    <mergeCell ref="AB2:AF3"/>
    <mergeCell ref="AG2:AZ2"/>
    <mergeCell ref="AG3:AH3"/>
    <mergeCell ref="AM4:AN4"/>
    <mergeCell ref="BB2:BF3"/>
    <mergeCell ref="DG2:DZ2"/>
    <mergeCell ref="DG3:DH3"/>
    <mergeCell ref="DM4:DN4"/>
    <mergeCell ref="CX4:CZ4"/>
    <mergeCell ref="DX4:DZ4"/>
    <mergeCell ref="CB2:CF3"/>
    <mergeCell ref="CG2:CZ2"/>
    <mergeCell ref="CG3:CH3"/>
    <mergeCell ref="CM4:CN4"/>
    <mergeCell ref="DB2:DF3"/>
  </mergeCells>
  <printOptions horizontalCentered="1" verticalCentered="1"/>
  <pageMargins left="0" right="0" top="0" bottom="0" header="0.31496062992125984" footer="0.31496062992125984"/>
  <pageSetup scale="97" orientation="portrait" r:id="rId1"/>
  <ignoredErrors>
    <ignoredError sqref="AB9:AB10 AB11:AB126 AV9:AV14 AY9 AY10:AY14 AV128:AV133 AY128:AY133 BB9:BB133 AV16:AV21 AY16:AY21 AV23:AV28 AV30:AV35 AY23:AY28 AY30:AY35 B44 B45:B49 B51:B56 B58:B63 B65:B67 B84 B86:B91 B93:B98 B101:B105 B107:B111 B114:B119 AV44:AV49 AV37:AV42 AY37:AY42 AY44:AY49 AV51:AV56 AY51:AY56 AV58:AV63 AY58:AY63 AV65:AV70 AY65:AY70 AV72:AV77 AY72:AY77 AV79:AV84 AY79:AY84 B128:B133 B121:B126 B72:B83 B68:B71 AV86:AV91 AY86:AY91 AV93:AV98 AY93:AY98 AV100:AV105 AY100:AY105 AV107:AV126 AY107:AY126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defaultSize="0" autoFill="0" autoLine="0" autoPict="0">
                <anchor moveWithCells="1">
                  <from>
                    <xdr:col>1</xdr:col>
                    <xdr:colOff>85725</xdr:colOff>
                    <xdr:row>370</xdr:row>
                    <xdr:rowOff>133350</xdr:rowOff>
                  </from>
                  <to>
                    <xdr:col>3</xdr:col>
                    <xdr:colOff>142875</xdr:colOff>
                    <xdr:row>371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pageSetUpPr fitToPage="1"/>
  </sheetPr>
  <dimension ref="A1:CV324"/>
  <sheetViews>
    <sheetView showGridLines="0" zoomScale="85" zoomScaleNormal="85" zoomScaleSheetLayoutView="96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N19" sqref="N19"/>
    </sheetView>
  </sheetViews>
  <sheetFormatPr baseColWidth="10" defaultColWidth="11.42578125" defaultRowHeight="16.5" x14ac:dyDescent="0.25"/>
  <cols>
    <col min="1" max="1" width="16.7109375" style="2" customWidth="1"/>
    <col min="2" max="2" width="15" style="1" customWidth="1"/>
    <col min="3" max="3" width="8.5703125" style="1" customWidth="1"/>
    <col min="4" max="4" width="12.140625" style="1" customWidth="1"/>
    <col min="5" max="6" width="12.140625" style="2" customWidth="1"/>
    <col min="7" max="7" width="8.85546875" style="2" customWidth="1"/>
    <col min="8" max="8" width="7.5703125" style="2" customWidth="1"/>
    <col min="9" max="10" width="6.85546875" style="2" customWidth="1"/>
    <col min="11" max="11" width="6.28515625" style="2" customWidth="1"/>
    <col min="12" max="12" width="5.85546875" style="2" customWidth="1"/>
    <col min="13" max="13" width="8" style="2" customWidth="1"/>
    <col min="14" max="14" width="9.7109375" style="2" customWidth="1"/>
    <col min="15" max="15" width="6.85546875" style="2" customWidth="1"/>
    <col min="16" max="17" width="7.85546875" style="2" customWidth="1"/>
    <col min="18" max="18" width="8.5703125" style="2" customWidth="1"/>
    <col min="19" max="19" width="9" style="2" customWidth="1"/>
    <col min="20" max="20" width="7.28515625" style="2" customWidth="1"/>
    <col min="21" max="21" width="6.85546875" style="2" customWidth="1"/>
    <col min="22" max="22" width="6.28515625" style="2" customWidth="1"/>
    <col min="23" max="24" width="5.42578125" style="2" customWidth="1"/>
    <col min="25" max="25" width="5.140625" style="2" customWidth="1"/>
    <col min="26" max="26" width="14.85546875" style="362" customWidth="1"/>
    <col min="27" max="28" width="5.140625" style="362" customWidth="1"/>
    <col min="29" max="29" width="11.85546875" style="362" customWidth="1"/>
    <col min="30" max="31" width="8.140625" style="362" customWidth="1"/>
    <col min="32" max="36" width="5.140625" style="362" customWidth="1"/>
    <col min="37" max="37" width="5.7109375" style="362" customWidth="1"/>
    <col min="38" max="38" width="6.85546875" style="362" customWidth="1"/>
    <col min="39" max="39" width="8.28515625" style="362" customWidth="1"/>
    <col min="40" max="40" width="7.85546875" style="362" customWidth="1"/>
    <col min="41" max="41" width="8" style="362" customWidth="1"/>
    <col min="42" max="42" width="5.140625" style="362" customWidth="1"/>
    <col min="43" max="43" width="8.140625" style="362" customWidth="1"/>
    <col min="44" max="44" width="9" style="362" customWidth="1"/>
    <col min="45" max="45" width="5.7109375" style="362" customWidth="1"/>
    <col min="46" max="46" width="7.140625" style="362" customWidth="1"/>
    <col min="47" max="47" width="6.28515625" style="362" customWidth="1"/>
    <col min="48" max="50" width="5.140625" style="362" customWidth="1"/>
    <col min="51" max="51" width="16.85546875" style="2" customWidth="1"/>
    <col min="52" max="53" width="4.85546875" style="2" customWidth="1"/>
    <col min="54" max="56" width="10.140625" style="2" customWidth="1"/>
    <col min="57" max="60" width="4.5703125" style="2" customWidth="1"/>
    <col min="61" max="63" width="7" style="2" customWidth="1"/>
    <col min="64" max="64" width="9.85546875" style="2" customWidth="1"/>
    <col min="65" max="65" width="7" style="2" customWidth="1"/>
    <col min="66" max="69" width="7.42578125" style="2" customWidth="1"/>
    <col min="70" max="70" width="5.42578125" style="2" customWidth="1"/>
    <col min="71" max="71" width="5.7109375" style="2" customWidth="1"/>
    <col min="72" max="72" width="5.42578125" style="2" customWidth="1"/>
    <col min="73" max="73" width="7.28515625" style="2" customWidth="1"/>
    <col min="74" max="74" width="6.28515625" style="2" customWidth="1"/>
    <col min="75" max="75" width="7.28515625" style="2" customWidth="1"/>
    <col min="76" max="76" width="11.42578125" style="2" customWidth="1"/>
    <col min="77" max="78" width="5.85546875" style="2" customWidth="1"/>
    <col min="79" max="81" width="9.140625" style="2" customWidth="1"/>
    <col min="82" max="85" width="5.7109375" style="2" customWidth="1"/>
    <col min="86" max="87" width="6.140625" style="2" customWidth="1"/>
    <col min="88" max="88" width="6.5703125" style="2" customWidth="1"/>
    <col min="89" max="89" width="9.140625" style="2" customWidth="1"/>
    <col min="90" max="90" width="6.140625" style="2" customWidth="1"/>
    <col min="91" max="91" width="8.85546875" style="2" customWidth="1"/>
    <col min="92" max="94" width="7.5703125" style="2" customWidth="1"/>
    <col min="95" max="95" width="5.140625" style="2" customWidth="1"/>
    <col min="96" max="96" width="5.85546875" style="2" customWidth="1"/>
    <col min="97" max="97" width="6.28515625" style="2" customWidth="1"/>
    <col min="98" max="100" width="5.140625" style="2" customWidth="1"/>
    <col min="101" max="16384" width="11.42578125" style="2"/>
  </cols>
  <sheetData>
    <row r="1" spans="1:100" ht="17.25" thickBot="1" x14ac:dyDescent="0.3">
      <c r="AZ1" s="392"/>
      <c r="BA1" s="392"/>
      <c r="BB1" s="392"/>
      <c r="BC1" s="392"/>
      <c r="BD1" s="392"/>
      <c r="BE1" s="392"/>
      <c r="BF1" s="392"/>
      <c r="BG1" s="392"/>
      <c r="BH1" s="392"/>
      <c r="BI1" s="392"/>
      <c r="BJ1" s="392"/>
      <c r="BK1" s="392"/>
      <c r="BL1" s="392"/>
      <c r="BM1" s="392"/>
      <c r="BN1" s="392"/>
      <c r="BO1" s="392"/>
      <c r="BP1" s="392"/>
      <c r="BQ1" s="392"/>
      <c r="BR1" s="392"/>
      <c r="BS1" s="392"/>
      <c r="BT1" s="392"/>
      <c r="BU1" s="392"/>
      <c r="BV1" s="392"/>
      <c r="BW1" s="392"/>
    </row>
    <row r="2" spans="1:100" ht="36.75" customHeight="1" x14ac:dyDescent="0.25">
      <c r="A2" s="4"/>
      <c r="B2" s="637"/>
      <c r="C2" s="616"/>
      <c r="D2" s="616"/>
      <c r="E2" s="617"/>
      <c r="F2" s="617"/>
      <c r="G2" s="617"/>
      <c r="H2" s="617"/>
      <c r="I2" s="617"/>
      <c r="J2" s="617"/>
      <c r="K2" s="617"/>
      <c r="L2" s="617"/>
      <c r="M2" s="618" t="s">
        <v>29</v>
      </c>
      <c r="N2" s="618"/>
      <c r="O2" s="618"/>
      <c r="P2" s="618"/>
      <c r="Q2" s="618"/>
      <c r="R2" s="618"/>
      <c r="S2" s="619" t="s">
        <v>148</v>
      </c>
      <c r="T2" s="619"/>
      <c r="U2" s="619"/>
      <c r="V2" s="619"/>
      <c r="W2" s="619" t="s">
        <v>134</v>
      </c>
      <c r="X2" s="617"/>
      <c r="Y2" s="633"/>
      <c r="Z2" s="490"/>
      <c r="AA2" s="615"/>
      <c r="AB2" s="616"/>
      <c r="AC2" s="616"/>
      <c r="AD2" s="617"/>
      <c r="AE2" s="617"/>
      <c r="AF2" s="617"/>
      <c r="AG2" s="617"/>
      <c r="AH2" s="617"/>
      <c r="AI2" s="617"/>
      <c r="AJ2" s="617"/>
      <c r="AK2" s="617"/>
      <c r="AL2" s="618" t="s">
        <v>29</v>
      </c>
      <c r="AM2" s="618"/>
      <c r="AN2" s="618"/>
      <c r="AO2" s="618"/>
      <c r="AP2" s="618"/>
      <c r="AQ2" s="618"/>
      <c r="AR2" s="619" t="s">
        <v>150</v>
      </c>
      <c r="AS2" s="619"/>
      <c r="AT2" s="619"/>
      <c r="AU2" s="619"/>
      <c r="AV2" s="619" t="s">
        <v>134</v>
      </c>
      <c r="AW2" s="617"/>
      <c r="AX2" s="633"/>
      <c r="AZ2" s="615"/>
      <c r="BA2" s="616"/>
      <c r="BB2" s="616"/>
      <c r="BC2" s="617"/>
      <c r="BD2" s="617"/>
      <c r="BE2" s="617"/>
      <c r="BF2" s="617"/>
      <c r="BG2" s="617"/>
      <c r="BH2" s="617"/>
      <c r="BI2" s="617"/>
      <c r="BJ2" s="617"/>
      <c r="BK2" s="618" t="s">
        <v>29</v>
      </c>
      <c r="BL2" s="618"/>
      <c r="BM2" s="618"/>
      <c r="BN2" s="618"/>
      <c r="BO2" s="618"/>
      <c r="BP2" s="618"/>
      <c r="BQ2" s="619" t="s">
        <v>143</v>
      </c>
      <c r="BR2" s="632"/>
      <c r="BS2" s="619"/>
      <c r="BT2" s="619"/>
      <c r="BU2" s="619" t="s">
        <v>14</v>
      </c>
      <c r="BV2" s="632" t="s">
        <v>144</v>
      </c>
      <c r="BW2" s="633"/>
      <c r="BY2" s="615"/>
      <c r="BZ2" s="616"/>
      <c r="CA2" s="616"/>
      <c r="CB2" s="617"/>
      <c r="CC2" s="617"/>
      <c r="CD2" s="617"/>
      <c r="CE2" s="617"/>
      <c r="CF2" s="617"/>
      <c r="CG2" s="617"/>
      <c r="CH2" s="617"/>
      <c r="CI2" s="617"/>
      <c r="CJ2" s="618" t="s">
        <v>29</v>
      </c>
      <c r="CK2" s="618"/>
      <c r="CL2" s="618"/>
      <c r="CM2" s="618"/>
      <c r="CN2" s="618"/>
      <c r="CO2" s="618"/>
      <c r="CP2" s="619" t="s">
        <v>129</v>
      </c>
      <c r="CQ2" s="635">
        <v>4</v>
      </c>
      <c r="CR2" s="619"/>
      <c r="CS2" s="619"/>
      <c r="CT2" s="619" t="s">
        <v>131</v>
      </c>
      <c r="CU2" s="617"/>
      <c r="CV2" s="633"/>
    </row>
    <row r="3" spans="1:100" ht="36.75" customHeight="1" thickBot="1" x14ac:dyDescent="0.3">
      <c r="A3" s="4"/>
      <c r="B3" s="620" t="s">
        <v>133</v>
      </c>
      <c r="C3" s="621"/>
      <c r="D3" s="621"/>
      <c r="E3" s="621"/>
      <c r="F3" s="621"/>
      <c r="G3" s="621" t="s">
        <v>130</v>
      </c>
      <c r="H3" s="621"/>
      <c r="I3" s="621"/>
      <c r="J3" s="621"/>
      <c r="K3" s="621"/>
      <c r="L3" s="621"/>
      <c r="M3" s="621" t="s">
        <v>132</v>
      </c>
      <c r="N3" s="621"/>
      <c r="O3" s="621"/>
      <c r="P3" s="622"/>
      <c r="Q3" s="622"/>
      <c r="R3" s="622"/>
      <c r="S3" s="622"/>
      <c r="T3" s="623" t="s">
        <v>12</v>
      </c>
      <c r="U3" s="622"/>
      <c r="V3" s="622" t="s">
        <v>135</v>
      </c>
      <c r="W3" s="621"/>
      <c r="X3" s="621"/>
      <c r="Y3" s="638"/>
      <c r="Z3" s="490"/>
      <c r="AA3" s="620" t="s">
        <v>133</v>
      </c>
      <c r="AB3" s="621"/>
      <c r="AC3" s="621"/>
      <c r="AD3" s="621"/>
      <c r="AE3" s="621"/>
      <c r="AF3" s="621" t="s">
        <v>130</v>
      </c>
      <c r="AG3" s="621"/>
      <c r="AH3" s="621"/>
      <c r="AI3" s="621"/>
      <c r="AJ3" s="621"/>
      <c r="AK3" s="621"/>
      <c r="AL3" s="621" t="s">
        <v>132</v>
      </c>
      <c r="AM3" s="621"/>
      <c r="AN3" s="621"/>
      <c r="AO3" s="622"/>
      <c r="AP3" s="622"/>
      <c r="AQ3" s="622"/>
      <c r="AR3" s="622"/>
      <c r="AS3" s="623" t="s">
        <v>12</v>
      </c>
      <c r="AT3" s="622"/>
      <c r="AU3" s="622" t="s">
        <v>135</v>
      </c>
      <c r="AV3" s="621"/>
      <c r="AW3" s="621"/>
      <c r="AX3" s="638"/>
      <c r="AZ3" s="620" t="s">
        <v>13</v>
      </c>
      <c r="BA3" s="621"/>
      <c r="BB3" s="621"/>
      <c r="BC3" s="621"/>
      <c r="BD3" s="621"/>
      <c r="BE3" s="621" t="s">
        <v>0</v>
      </c>
      <c r="BF3" s="621"/>
      <c r="BG3" s="621" t="s">
        <v>145</v>
      </c>
      <c r="BH3" s="621"/>
      <c r="BI3" s="621"/>
      <c r="BJ3" s="621"/>
      <c r="BK3" s="621" t="s">
        <v>132</v>
      </c>
      <c r="BL3" s="621"/>
      <c r="BM3" s="634" t="s">
        <v>146</v>
      </c>
      <c r="BN3" s="622"/>
      <c r="BO3" s="622"/>
      <c r="BP3" s="622"/>
      <c r="BQ3" s="622"/>
      <c r="BR3" s="623" t="s">
        <v>12</v>
      </c>
      <c r="BS3" s="622"/>
      <c r="BT3" s="622"/>
      <c r="BU3" s="879">
        <v>43106</v>
      </c>
      <c r="BV3" s="879"/>
      <c r="BW3" s="880"/>
      <c r="BY3" s="620" t="s">
        <v>13</v>
      </c>
      <c r="BZ3" s="621"/>
      <c r="CA3" s="621"/>
      <c r="CB3" s="621"/>
      <c r="CC3" s="621"/>
      <c r="CD3" s="621" t="s">
        <v>130</v>
      </c>
      <c r="CE3" s="621"/>
      <c r="CF3" s="621"/>
      <c r="CG3" s="621"/>
      <c r="CH3" s="621"/>
      <c r="CI3" s="621"/>
      <c r="CJ3" s="621" t="s">
        <v>132</v>
      </c>
      <c r="CK3" s="621"/>
      <c r="CL3" s="621"/>
      <c r="CM3" s="636" t="s">
        <v>146</v>
      </c>
      <c r="CN3" s="622"/>
      <c r="CO3" s="622"/>
      <c r="CP3" s="622"/>
      <c r="CQ3" s="623" t="s">
        <v>12</v>
      </c>
      <c r="CR3" s="622"/>
      <c r="CS3" s="622"/>
      <c r="CT3" s="881">
        <v>43112</v>
      </c>
      <c r="CU3" s="881"/>
      <c r="CV3" s="882"/>
    </row>
    <row r="4" spans="1:100" ht="27.75" customHeight="1" x14ac:dyDescent="0.25">
      <c r="A4" s="4"/>
      <c r="B4" s="877" t="s">
        <v>4</v>
      </c>
      <c r="C4" s="877" t="s">
        <v>41</v>
      </c>
      <c r="D4" s="874" t="s">
        <v>5</v>
      </c>
      <c r="E4" s="875"/>
      <c r="F4" s="876"/>
      <c r="G4" s="874" t="s">
        <v>3</v>
      </c>
      <c r="H4" s="875"/>
      <c r="I4" s="875"/>
      <c r="J4" s="875"/>
      <c r="K4" s="875"/>
      <c r="L4" s="875"/>
      <c r="M4" s="875"/>
      <c r="N4" s="875"/>
      <c r="O4" s="876"/>
      <c r="P4" s="874" t="s">
        <v>8</v>
      </c>
      <c r="Q4" s="875"/>
      <c r="R4" s="875"/>
      <c r="S4" s="876"/>
      <c r="T4" s="874" t="s">
        <v>11</v>
      </c>
      <c r="U4" s="875"/>
      <c r="V4" s="876"/>
      <c r="W4" s="874" t="s">
        <v>2</v>
      </c>
      <c r="X4" s="875"/>
      <c r="Y4" s="876"/>
      <c r="Z4" s="491"/>
      <c r="AA4" s="877" t="s">
        <v>4</v>
      </c>
      <c r="AB4" s="877" t="s">
        <v>41</v>
      </c>
      <c r="AC4" s="874" t="s">
        <v>5</v>
      </c>
      <c r="AD4" s="875"/>
      <c r="AE4" s="876"/>
      <c r="AF4" s="874" t="s">
        <v>3</v>
      </c>
      <c r="AG4" s="875"/>
      <c r="AH4" s="875"/>
      <c r="AI4" s="875"/>
      <c r="AJ4" s="875"/>
      <c r="AK4" s="875"/>
      <c r="AL4" s="875"/>
      <c r="AM4" s="875"/>
      <c r="AN4" s="876"/>
      <c r="AO4" s="874" t="s">
        <v>8</v>
      </c>
      <c r="AP4" s="875"/>
      <c r="AQ4" s="875"/>
      <c r="AR4" s="876"/>
      <c r="AS4" s="874" t="s">
        <v>11</v>
      </c>
      <c r="AT4" s="875"/>
      <c r="AU4" s="876"/>
      <c r="AV4" s="874" t="s">
        <v>2</v>
      </c>
      <c r="AW4" s="875"/>
      <c r="AX4" s="876"/>
      <c r="AY4" s="614"/>
      <c r="AZ4" s="877" t="s">
        <v>4</v>
      </c>
      <c r="BA4" s="877" t="s">
        <v>41</v>
      </c>
      <c r="BB4" s="874" t="s">
        <v>5</v>
      </c>
      <c r="BC4" s="875"/>
      <c r="BD4" s="876"/>
      <c r="BE4" s="874" t="s">
        <v>3</v>
      </c>
      <c r="BF4" s="875"/>
      <c r="BG4" s="875"/>
      <c r="BH4" s="875"/>
      <c r="BI4" s="875"/>
      <c r="BJ4" s="875"/>
      <c r="BK4" s="875"/>
      <c r="BL4" s="875"/>
      <c r="BM4" s="876"/>
      <c r="BN4" s="874" t="s">
        <v>8</v>
      </c>
      <c r="BO4" s="875"/>
      <c r="BP4" s="875"/>
      <c r="BQ4" s="876"/>
      <c r="BR4" s="874" t="s">
        <v>11</v>
      </c>
      <c r="BS4" s="875"/>
      <c r="BT4" s="876"/>
      <c r="BU4" s="874" t="s">
        <v>2</v>
      </c>
      <c r="BV4" s="875"/>
      <c r="BW4" s="876"/>
      <c r="BX4" s="614"/>
      <c r="BY4" s="877" t="s">
        <v>4</v>
      </c>
      <c r="BZ4" s="877" t="s">
        <v>41</v>
      </c>
      <c r="CA4" s="874" t="s">
        <v>5</v>
      </c>
      <c r="CB4" s="875"/>
      <c r="CC4" s="876"/>
      <c r="CD4" s="874" t="s">
        <v>3</v>
      </c>
      <c r="CE4" s="875"/>
      <c r="CF4" s="875"/>
      <c r="CG4" s="875"/>
      <c r="CH4" s="875"/>
      <c r="CI4" s="875"/>
      <c r="CJ4" s="875"/>
      <c r="CK4" s="875"/>
      <c r="CL4" s="876"/>
      <c r="CM4" s="874" t="s">
        <v>8</v>
      </c>
      <c r="CN4" s="875"/>
      <c r="CO4" s="875"/>
      <c r="CP4" s="876"/>
      <c r="CQ4" s="874" t="s">
        <v>11</v>
      </c>
      <c r="CR4" s="875"/>
      <c r="CS4" s="876"/>
      <c r="CT4" s="874" t="s">
        <v>2</v>
      </c>
      <c r="CU4" s="875"/>
      <c r="CV4" s="876"/>
    </row>
    <row r="5" spans="1:100" ht="42" customHeight="1" thickBot="1" x14ac:dyDescent="0.3">
      <c r="A5" s="4"/>
      <c r="B5" s="878"/>
      <c r="C5" s="878"/>
      <c r="D5" s="624" t="s">
        <v>28</v>
      </c>
      <c r="E5" s="625" t="s">
        <v>6</v>
      </c>
      <c r="F5" s="626" t="s">
        <v>7</v>
      </c>
      <c r="G5" s="624" t="s">
        <v>27</v>
      </c>
      <c r="H5" s="625" t="s">
        <v>16</v>
      </c>
      <c r="I5" s="627" t="s">
        <v>17</v>
      </c>
      <c r="J5" s="627" t="s">
        <v>18</v>
      </c>
      <c r="K5" s="627" t="s">
        <v>24</v>
      </c>
      <c r="L5" s="627" t="s">
        <v>46</v>
      </c>
      <c r="M5" s="627" t="s">
        <v>22</v>
      </c>
      <c r="N5" s="625" t="s">
        <v>47</v>
      </c>
      <c r="O5" s="626" t="s">
        <v>23</v>
      </c>
      <c r="P5" s="624" t="s">
        <v>141</v>
      </c>
      <c r="Q5" s="628" t="s">
        <v>42</v>
      </c>
      <c r="R5" s="629" t="s">
        <v>10</v>
      </c>
      <c r="S5" s="630" t="s">
        <v>21</v>
      </c>
      <c r="T5" s="624" t="s">
        <v>25</v>
      </c>
      <c r="U5" s="631" t="s">
        <v>26</v>
      </c>
      <c r="V5" s="630" t="s">
        <v>15</v>
      </c>
      <c r="W5" s="624" t="s">
        <v>19</v>
      </c>
      <c r="X5" s="625" t="s">
        <v>20</v>
      </c>
      <c r="Y5" s="626" t="s">
        <v>15</v>
      </c>
      <c r="Z5" s="491"/>
      <c r="AA5" s="878"/>
      <c r="AB5" s="878"/>
      <c r="AC5" s="624" t="s">
        <v>28</v>
      </c>
      <c r="AD5" s="625" t="s">
        <v>6</v>
      </c>
      <c r="AE5" s="626" t="s">
        <v>7</v>
      </c>
      <c r="AF5" s="624" t="s">
        <v>27</v>
      </c>
      <c r="AG5" s="625" t="s">
        <v>16</v>
      </c>
      <c r="AH5" s="627" t="s">
        <v>17</v>
      </c>
      <c r="AI5" s="627" t="s">
        <v>18</v>
      </c>
      <c r="AJ5" s="627" t="s">
        <v>24</v>
      </c>
      <c r="AK5" s="627" t="s">
        <v>46</v>
      </c>
      <c r="AL5" s="627" t="s">
        <v>22</v>
      </c>
      <c r="AM5" s="625" t="s">
        <v>47</v>
      </c>
      <c r="AN5" s="626" t="s">
        <v>23</v>
      </c>
      <c r="AO5" s="624" t="s">
        <v>141</v>
      </c>
      <c r="AP5" s="628" t="s">
        <v>42</v>
      </c>
      <c r="AQ5" s="629" t="s">
        <v>10</v>
      </c>
      <c r="AR5" s="630" t="s">
        <v>21</v>
      </c>
      <c r="AS5" s="624" t="s">
        <v>25</v>
      </c>
      <c r="AT5" s="631" t="s">
        <v>26</v>
      </c>
      <c r="AU5" s="630" t="s">
        <v>15</v>
      </c>
      <c r="AV5" s="624" t="s">
        <v>19</v>
      </c>
      <c r="AW5" s="625" t="s">
        <v>20</v>
      </c>
      <c r="AX5" s="626" t="s">
        <v>15</v>
      </c>
      <c r="AY5" s="614"/>
      <c r="AZ5" s="878"/>
      <c r="BA5" s="878"/>
      <c r="BB5" s="624" t="s">
        <v>28</v>
      </c>
      <c r="BC5" s="625" t="s">
        <v>6</v>
      </c>
      <c r="BD5" s="626" t="s">
        <v>7</v>
      </c>
      <c r="BE5" s="624" t="s">
        <v>27</v>
      </c>
      <c r="BF5" s="625" t="s">
        <v>16</v>
      </c>
      <c r="BG5" s="627" t="s">
        <v>17</v>
      </c>
      <c r="BH5" s="627" t="s">
        <v>18</v>
      </c>
      <c r="BI5" s="627" t="s">
        <v>24</v>
      </c>
      <c r="BJ5" s="627" t="s">
        <v>46</v>
      </c>
      <c r="BK5" s="627" t="s">
        <v>22</v>
      </c>
      <c r="BL5" s="625" t="s">
        <v>47</v>
      </c>
      <c r="BM5" s="626" t="s">
        <v>23</v>
      </c>
      <c r="BN5" s="624" t="s">
        <v>9</v>
      </c>
      <c r="BO5" s="628" t="s">
        <v>42</v>
      </c>
      <c r="BP5" s="629" t="s">
        <v>10</v>
      </c>
      <c r="BQ5" s="630" t="s">
        <v>21</v>
      </c>
      <c r="BR5" s="624" t="s">
        <v>25</v>
      </c>
      <c r="BS5" s="631" t="s">
        <v>26</v>
      </c>
      <c r="BT5" s="630" t="s">
        <v>15</v>
      </c>
      <c r="BU5" s="624" t="s">
        <v>19</v>
      </c>
      <c r="BV5" s="625" t="s">
        <v>20</v>
      </c>
      <c r="BW5" s="626" t="s">
        <v>15</v>
      </c>
      <c r="BX5" s="614"/>
      <c r="BY5" s="878"/>
      <c r="BZ5" s="878"/>
      <c r="CA5" s="624" t="s">
        <v>28</v>
      </c>
      <c r="CB5" s="625" t="s">
        <v>6</v>
      </c>
      <c r="CC5" s="626" t="s">
        <v>7</v>
      </c>
      <c r="CD5" s="624" t="s">
        <v>27</v>
      </c>
      <c r="CE5" s="625" t="s">
        <v>16</v>
      </c>
      <c r="CF5" s="627" t="s">
        <v>17</v>
      </c>
      <c r="CG5" s="627" t="s">
        <v>18</v>
      </c>
      <c r="CH5" s="627" t="s">
        <v>24</v>
      </c>
      <c r="CI5" s="627" t="s">
        <v>46</v>
      </c>
      <c r="CJ5" s="627" t="s">
        <v>22</v>
      </c>
      <c r="CK5" s="625" t="s">
        <v>47</v>
      </c>
      <c r="CL5" s="626" t="s">
        <v>23</v>
      </c>
      <c r="CM5" s="624" t="s">
        <v>9</v>
      </c>
      <c r="CN5" s="628" t="s">
        <v>42</v>
      </c>
      <c r="CO5" s="629" t="s">
        <v>10</v>
      </c>
      <c r="CP5" s="630" t="s">
        <v>21</v>
      </c>
      <c r="CQ5" s="624" t="s">
        <v>25</v>
      </c>
      <c r="CR5" s="631" t="s">
        <v>26</v>
      </c>
      <c r="CS5" s="630" t="s">
        <v>15</v>
      </c>
      <c r="CT5" s="624" t="s">
        <v>19</v>
      </c>
      <c r="CU5" s="625" t="s">
        <v>20</v>
      </c>
      <c r="CV5" s="626" t="s">
        <v>15</v>
      </c>
    </row>
    <row r="6" spans="1:100" ht="17.25" thickBot="1" x14ac:dyDescent="0.3">
      <c r="A6" s="465" t="s">
        <v>107</v>
      </c>
      <c r="B6" s="466">
        <v>6</v>
      </c>
      <c r="C6" s="467">
        <v>0</v>
      </c>
      <c r="D6" s="500">
        <v>77067</v>
      </c>
      <c r="E6" s="444">
        <f>D6</f>
        <v>77067</v>
      </c>
      <c r="F6" s="44">
        <f t="shared" ref="F6:F12" si="0">IFERROR(E6-J6,0)</f>
        <v>77009</v>
      </c>
      <c r="G6" s="130">
        <v>0</v>
      </c>
      <c r="H6" s="131">
        <v>58</v>
      </c>
      <c r="I6" s="131"/>
      <c r="J6" s="11">
        <f>SUM(G6:I6)</f>
        <v>58</v>
      </c>
      <c r="K6" s="11">
        <f>J6</f>
        <v>58</v>
      </c>
      <c r="L6" s="16">
        <f t="shared" ref="L6:L37" si="1">VLOOKUP($C6,LOHMANN,4,FALSE)</f>
        <v>0.7</v>
      </c>
      <c r="M6" s="42">
        <f>IFERROR((J6*100)/E6,0)</f>
        <v>7.5259190055406336E-2</v>
      </c>
      <c r="N6" s="154">
        <f>VLOOKUP($C6,LOHMANN,5,FALSE)</f>
        <v>0.7</v>
      </c>
      <c r="O6" s="132">
        <f>IFERROR((K6*100)/$D$13,0)</f>
        <v>3.0308889388230745E-2</v>
      </c>
      <c r="P6" s="130">
        <v>2160</v>
      </c>
      <c r="Q6" s="16">
        <f t="shared" ref="Q6:Q37" si="2">VLOOKUP($C6,LOHMANN,6,FALSE)</f>
        <v>10</v>
      </c>
      <c r="R6" s="441">
        <f>IFERROR((P6/E6)*1000,0)</f>
        <v>28.027560434427187</v>
      </c>
      <c r="S6" s="469">
        <f>R6</f>
        <v>28.027560434427187</v>
      </c>
      <c r="T6" s="45">
        <f t="shared" ref="T6:T37" si="3">VLOOKUP($C6,LOHMANN,2,FALSE)</f>
        <v>40</v>
      </c>
      <c r="U6" s="131">
        <v>36.64</v>
      </c>
      <c r="V6" s="57">
        <f>T6-U6</f>
        <v>3.3599999999999994</v>
      </c>
      <c r="W6" s="58">
        <f t="shared" ref="W6:W37" si="4">VLOOKUP(C6,LOHMANN,3,FALSE)</f>
        <v>77</v>
      </c>
      <c r="X6" s="131">
        <v>77</v>
      </c>
      <c r="Y6" s="57">
        <f>W6-X6</f>
        <v>0</v>
      </c>
      <c r="Z6" s="487"/>
      <c r="AA6" s="394">
        <v>6</v>
      </c>
      <c r="AB6" s="395">
        <v>0</v>
      </c>
      <c r="AC6" s="468"/>
      <c r="AD6" s="444">
        <f>AC6</f>
        <v>0</v>
      </c>
      <c r="AE6" s="44">
        <f t="shared" ref="AE6:AE24" si="5">IFERROR(AD6-AI6,0)</f>
        <v>0</v>
      </c>
      <c r="AF6" s="130"/>
      <c r="AG6" s="131"/>
      <c r="AH6" s="131"/>
      <c r="AI6" s="11">
        <f>SUM(AF6:AH6)</f>
        <v>0</v>
      </c>
      <c r="AJ6" s="11">
        <f>AI6</f>
        <v>0</v>
      </c>
      <c r="AK6" s="16">
        <f t="shared" ref="AK6:AK69" si="6">VLOOKUP($C6,LOHMANN,4,FALSE)</f>
        <v>0.7</v>
      </c>
      <c r="AL6" s="42">
        <f>IFERROR((AI6*100)/AD6,0)</f>
        <v>0</v>
      </c>
      <c r="AM6" s="154">
        <f t="shared" ref="AM6:AM69" si="7">VLOOKUP($C6,LOHMANN,5,FALSE)</f>
        <v>0.7</v>
      </c>
      <c r="AN6" s="132">
        <f>IFERROR((AJ6*100)/AD6,0)</f>
        <v>0</v>
      </c>
      <c r="AO6" s="130"/>
      <c r="AP6" s="16">
        <f t="shared" ref="AP6:AP69" si="8">VLOOKUP($C6,LOHMANN,6,FALSE)</f>
        <v>10</v>
      </c>
      <c r="AQ6" s="441">
        <f>IFERROR((AO6/AD6)*1000,0)</f>
        <v>0</v>
      </c>
      <c r="AR6" s="469">
        <f>AQ6</f>
        <v>0</v>
      </c>
      <c r="AS6" s="45">
        <f t="shared" ref="AS6:AS69" si="9">VLOOKUP($C6,LOHMANN,2,FALSE)</f>
        <v>40</v>
      </c>
      <c r="AT6" s="131"/>
      <c r="AU6" s="57">
        <f>AS6-AT6</f>
        <v>40</v>
      </c>
      <c r="AV6" s="58">
        <f t="shared" ref="AV6:AV69" si="10">VLOOKUP(AB6,LOHMANN,3,FALSE)</f>
        <v>77</v>
      </c>
      <c r="AW6" s="131"/>
      <c r="AX6" s="57">
        <f>AV6-AW6</f>
        <v>77</v>
      </c>
      <c r="AY6" s="84"/>
      <c r="AZ6" s="394">
        <v>6</v>
      </c>
      <c r="BA6" s="395">
        <v>0</v>
      </c>
      <c r="BB6" s="468"/>
      <c r="BC6" s="444">
        <f>BB6</f>
        <v>0</v>
      </c>
      <c r="BD6" s="44">
        <f t="shared" ref="BD6:BD24" si="11">IFERROR(BC6-BH6,0)</f>
        <v>0</v>
      </c>
      <c r="BE6" s="130"/>
      <c r="BF6" s="131"/>
      <c r="BG6" s="131"/>
      <c r="BH6" s="11">
        <f>SUM(BE6:BG6)</f>
        <v>0</v>
      </c>
      <c r="BI6" s="11">
        <f>BH6</f>
        <v>0</v>
      </c>
      <c r="BJ6" s="16">
        <f t="shared" ref="BJ6:BJ69" si="12">VLOOKUP($C6,LOHMANN,4,FALSE)</f>
        <v>0.7</v>
      </c>
      <c r="BK6" s="153">
        <f>IFERROR((BH6*100)/BC6,0)</f>
        <v>0</v>
      </c>
      <c r="BL6" s="154">
        <f t="shared" ref="BL6:BL69" si="13">VLOOKUP($C6,LOHMANN,5,FALSE)</f>
        <v>0.7</v>
      </c>
      <c r="BM6" s="132">
        <f t="shared" ref="BM6:BM26" si="14">IFERROR((BI6*100)/BC6,0)</f>
        <v>0</v>
      </c>
      <c r="BN6" s="130"/>
      <c r="BO6" s="16">
        <f t="shared" ref="BO6:BO69" si="15">VLOOKUP($C6,LOHMANN,6,FALSE)</f>
        <v>10</v>
      </c>
      <c r="BP6" s="481">
        <f>IFERROR((BN6/BC6)*1000,0)</f>
        <v>0</v>
      </c>
      <c r="BQ6" s="377">
        <f>BP6</f>
        <v>0</v>
      </c>
      <c r="BR6" s="45">
        <f t="shared" ref="BR6:BR69" si="16">VLOOKUP($C6,LOHMANN,2,FALSE)</f>
        <v>40</v>
      </c>
      <c r="BS6" s="131"/>
      <c r="BT6" s="57">
        <f t="shared" ref="BT6:BT11" si="17">BR6-BS6</f>
        <v>40</v>
      </c>
      <c r="BU6" s="58">
        <f t="shared" ref="BU6:BU69" si="18">VLOOKUP(BA6,LOHMANN,3,FALSE)</f>
        <v>77</v>
      </c>
      <c r="BV6" s="131"/>
      <c r="BW6" s="57">
        <f>BU6-BV6</f>
        <v>77</v>
      </c>
      <c r="BY6" s="118">
        <v>25</v>
      </c>
      <c r="BZ6" s="9">
        <v>0</v>
      </c>
      <c r="CA6" s="340"/>
      <c r="CB6" s="11">
        <f>CA6</f>
        <v>0</v>
      </c>
      <c r="CC6" s="41">
        <f>IFERROR(CB6-CG6,0)</f>
        <v>0</v>
      </c>
      <c r="CD6" s="398"/>
      <c r="CE6" s="399"/>
      <c r="CF6" s="399"/>
      <c r="CG6" s="11">
        <f>SUM(CD6:CF6)</f>
        <v>0</v>
      </c>
      <c r="CH6" s="11">
        <f>CG6</f>
        <v>0</v>
      </c>
      <c r="CI6" s="16">
        <f t="shared" ref="CI6:CI37" si="19">VLOOKUP($C6,LOHMANN,4,FALSE)</f>
        <v>0.7</v>
      </c>
      <c r="CJ6" s="153">
        <f>IFERROR((CG6*1000)/CB6,0)</f>
        <v>0</v>
      </c>
      <c r="CK6" s="154">
        <f t="shared" ref="CK6:CK37" si="20">VLOOKUP($C6,LOHMANN,5,FALSE)</f>
        <v>0.7</v>
      </c>
      <c r="CL6" s="132">
        <f>IFERROR((CH6*100)/CB6,0)</f>
        <v>0</v>
      </c>
      <c r="CM6" s="130"/>
      <c r="CN6" s="16">
        <f t="shared" ref="CN6:CN37" si="21">VLOOKUP($C6,LOHMANN,6,FALSE)</f>
        <v>10</v>
      </c>
      <c r="CO6" s="43">
        <f>IFERROR(CM6/CB6,0)</f>
        <v>0</v>
      </c>
      <c r="CP6" s="377">
        <f>CO6</f>
        <v>0</v>
      </c>
      <c r="CQ6" s="45">
        <f t="shared" ref="CQ6:CQ37" si="22">VLOOKUP($C6,LOHMANN,2,FALSE)</f>
        <v>40</v>
      </c>
      <c r="CR6" s="131"/>
      <c r="CS6" s="57">
        <f>CQ6-CR6</f>
        <v>40</v>
      </c>
      <c r="CT6" s="58">
        <f t="shared" ref="CT6:CT37" si="23">VLOOKUP(BZ6,LOHMANN,3,FALSE)</f>
        <v>77</v>
      </c>
      <c r="CU6" s="131"/>
      <c r="CV6" s="57">
        <f>CT6-CU6</f>
        <v>77</v>
      </c>
    </row>
    <row r="7" spans="1:100" ht="17.25" thickBot="1" x14ac:dyDescent="0.3">
      <c r="B7" s="120">
        <f>B6+1</f>
        <v>7</v>
      </c>
      <c r="C7" s="7">
        <f>C6</f>
        <v>0</v>
      </c>
      <c r="D7" s="642"/>
      <c r="E7" s="445">
        <f t="shared" ref="E7:E12" si="24">IFERROR(F6+D7,0)</f>
        <v>77009</v>
      </c>
      <c r="F7" s="49">
        <f t="shared" si="0"/>
        <v>76906</v>
      </c>
      <c r="G7" s="134">
        <v>0</v>
      </c>
      <c r="H7" s="135">
        <v>102</v>
      </c>
      <c r="I7" s="135">
        <v>1</v>
      </c>
      <c r="J7" s="14">
        <f>SUM(G7:I7)</f>
        <v>103</v>
      </c>
      <c r="K7" s="14">
        <f t="shared" ref="K7:K14" si="25">K6+J7</f>
        <v>161</v>
      </c>
      <c r="L7" s="14">
        <f t="shared" si="1"/>
        <v>0.7</v>
      </c>
      <c r="M7" s="47">
        <f t="shared" ref="M7:M70" si="26">IFERROR((J7*100)/E7,0)</f>
        <v>0.13375060057915308</v>
      </c>
      <c r="N7" s="35">
        <f t="shared" ref="N7:N37" si="27">VLOOKUP($C7,LOHMANN,5,FALSE)</f>
        <v>0.7</v>
      </c>
      <c r="O7" s="132">
        <f t="shared" ref="O7:O30" si="28">IFERROR((K7*100)/$D$13,0)</f>
        <v>8.413329640526121E-2</v>
      </c>
      <c r="P7" s="476">
        <v>900</v>
      </c>
      <c r="Q7" s="14">
        <f t="shared" si="2"/>
        <v>10</v>
      </c>
      <c r="R7" s="442">
        <f t="shared" ref="R7:R70" si="29">IFERROR((P7/E7)*1000,0)</f>
        <v>11.686945681673571</v>
      </c>
      <c r="S7" s="470">
        <f>S6+R7</f>
        <v>39.714506116100758</v>
      </c>
      <c r="T7" s="51">
        <f t="shared" si="3"/>
        <v>40</v>
      </c>
      <c r="U7" s="103">
        <f>U6</f>
        <v>36.64</v>
      </c>
      <c r="V7" s="59">
        <f t="shared" ref="V7:V14" si="30">T7-U7</f>
        <v>3.3599999999999994</v>
      </c>
      <c r="W7" s="51">
        <f t="shared" si="4"/>
        <v>77</v>
      </c>
      <c r="X7" s="103">
        <f>X6</f>
        <v>77</v>
      </c>
      <c r="Y7" s="46">
        <f t="shared" ref="Y7:Y70" si="31">W7-X7</f>
        <v>0</v>
      </c>
      <c r="Z7" s="487"/>
      <c r="AA7" s="403">
        <f>AA6+1</f>
        <v>7</v>
      </c>
      <c r="AB7" s="404">
        <f>AB6</f>
        <v>0</v>
      </c>
      <c r="AC7" s="229"/>
      <c r="AD7" s="445">
        <f>IFERROR(AE6+AC7,0)</f>
        <v>0</v>
      </c>
      <c r="AE7" s="49">
        <f t="shared" si="5"/>
        <v>0</v>
      </c>
      <c r="AF7" s="134"/>
      <c r="AG7" s="135"/>
      <c r="AH7" s="135"/>
      <c r="AI7" s="14">
        <f>SUM(AF7:AH7)</f>
        <v>0</v>
      </c>
      <c r="AJ7" s="14">
        <f t="shared" ref="AJ7:AJ20" si="32">AJ6+AI7</f>
        <v>0</v>
      </c>
      <c r="AK7" s="14">
        <f t="shared" si="6"/>
        <v>0.7</v>
      </c>
      <c r="AL7" s="47">
        <f t="shared" ref="AL7:AL70" si="33">IFERROR((AI7*100)/AD7,0)</f>
        <v>0</v>
      </c>
      <c r="AM7" s="35">
        <f t="shared" si="7"/>
        <v>0.7</v>
      </c>
      <c r="AN7" s="157">
        <f>IFERROR((AJ7*100)/AD7,0)</f>
        <v>0</v>
      </c>
      <c r="AO7" s="476"/>
      <c r="AP7" s="14">
        <f t="shared" si="8"/>
        <v>10</v>
      </c>
      <c r="AQ7" s="442">
        <f t="shared" ref="AQ7:AQ70" si="34">IFERROR((AO7/AD7)*1000,0)</f>
        <v>0</v>
      </c>
      <c r="AR7" s="470">
        <f>AR6+AQ7</f>
        <v>0</v>
      </c>
      <c r="AS7" s="51">
        <f t="shared" si="9"/>
        <v>40</v>
      </c>
      <c r="AT7" s="103">
        <f>AT6</f>
        <v>0</v>
      </c>
      <c r="AU7" s="59">
        <f t="shared" ref="AU7:AU8" si="35">AS7-AT7</f>
        <v>40</v>
      </c>
      <c r="AV7" s="51">
        <f t="shared" si="10"/>
        <v>77</v>
      </c>
      <c r="AW7" s="103">
        <f>AW6</f>
        <v>0</v>
      </c>
      <c r="AX7" s="46">
        <f t="shared" ref="AX7:AX9" si="36">AV7-AW7</f>
        <v>77</v>
      </c>
      <c r="AZ7" s="120">
        <f>AZ6+1</f>
        <v>7</v>
      </c>
      <c r="BA7" s="7">
        <f>BA6</f>
        <v>0</v>
      </c>
      <c r="BB7" s="133"/>
      <c r="BC7" s="445">
        <f>IFERROR(BD6+BB7,0)</f>
        <v>0</v>
      </c>
      <c r="BD7" s="49">
        <f t="shared" si="11"/>
        <v>0</v>
      </c>
      <c r="BE7" s="134"/>
      <c r="BF7" s="135"/>
      <c r="BG7" s="135"/>
      <c r="BH7" s="14">
        <f>SUM(BE7:BG7)</f>
        <v>0</v>
      </c>
      <c r="BI7" s="14">
        <f t="shared" ref="BI7:BI20" si="37">BI6+BH7</f>
        <v>0</v>
      </c>
      <c r="BJ7" s="14">
        <f t="shared" si="12"/>
        <v>0.7</v>
      </c>
      <c r="BK7" s="47">
        <f>IFERROR((BH7*100)/BC7,0)</f>
        <v>0</v>
      </c>
      <c r="BL7" s="35">
        <f t="shared" si="13"/>
        <v>0.7</v>
      </c>
      <c r="BM7" s="157">
        <f t="shared" si="14"/>
        <v>0</v>
      </c>
      <c r="BN7" s="438"/>
      <c r="BO7" s="14">
        <f t="shared" si="15"/>
        <v>10</v>
      </c>
      <c r="BP7" s="442">
        <f>IFERROR((BN7/BC7)*1000,0)</f>
        <v>0</v>
      </c>
      <c r="BQ7" s="68">
        <f>BQ6+BP7</f>
        <v>0</v>
      </c>
      <c r="BR7" s="51">
        <f t="shared" si="16"/>
        <v>40</v>
      </c>
      <c r="BS7" s="103">
        <f>BS6</f>
        <v>0</v>
      </c>
      <c r="BT7" s="59">
        <f t="shared" si="17"/>
        <v>40</v>
      </c>
      <c r="BU7" s="51">
        <f t="shared" si="18"/>
        <v>77</v>
      </c>
      <c r="BV7" s="103">
        <f>BV6</f>
        <v>0</v>
      </c>
      <c r="BW7" s="46">
        <f t="shared" ref="BW7:BW9" si="38">BU7-BV7</f>
        <v>77</v>
      </c>
      <c r="BY7" s="120">
        <f>BY6+1</f>
        <v>26</v>
      </c>
      <c r="BZ7" s="7">
        <f>BZ6</f>
        <v>0</v>
      </c>
      <c r="CA7" s="133"/>
      <c r="CB7" s="14">
        <f>IFERROR(CC6+CA7,0)</f>
        <v>0</v>
      </c>
      <c r="CC7" s="46">
        <f t="shared" ref="CC7:CC10" si="39">IFERROR(CB7-CG7,0)</f>
        <v>0</v>
      </c>
      <c r="CD7" s="405"/>
      <c r="CE7" s="406"/>
      <c r="CF7" s="406"/>
      <c r="CG7" s="14">
        <f>SUM(CD7:CF7)</f>
        <v>0</v>
      </c>
      <c r="CH7" s="14">
        <f>CH6+CG7</f>
        <v>0</v>
      </c>
      <c r="CI7" s="14">
        <f t="shared" si="19"/>
        <v>0.7</v>
      </c>
      <c r="CJ7" s="47">
        <f>IFERROR((CG7*1000)/CB7,0)</f>
        <v>0</v>
      </c>
      <c r="CK7" s="35">
        <f t="shared" si="20"/>
        <v>0.7</v>
      </c>
      <c r="CL7" s="157">
        <f>IFERROR((CH7*100)/CB7,0)</f>
        <v>0</v>
      </c>
      <c r="CM7" s="134"/>
      <c r="CN7" s="14">
        <f t="shared" si="21"/>
        <v>10</v>
      </c>
      <c r="CO7" s="48">
        <f>IFERROR(CM7/CB7,0)</f>
        <v>0</v>
      </c>
      <c r="CP7" s="68">
        <f>CP6+CO7</f>
        <v>0</v>
      </c>
      <c r="CQ7" s="51">
        <f t="shared" si="22"/>
        <v>40</v>
      </c>
      <c r="CR7" s="103">
        <f>CR6</f>
        <v>0</v>
      </c>
      <c r="CS7" s="59">
        <f t="shared" ref="CS7:CS15" si="40">CQ7-CR7</f>
        <v>40</v>
      </c>
      <c r="CT7" s="51">
        <f t="shared" si="23"/>
        <v>77</v>
      </c>
      <c r="CU7" s="103">
        <f>CU6</f>
        <v>0</v>
      </c>
      <c r="CV7" s="46">
        <f t="shared" ref="CV7:CV70" si="41">CT7-CU7</f>
        <v>77</v>
      </c>
    </row>
    <row r="8" spans="1:100" ht="17.25" thickBot="1" x14ac:dyDescent="0.3">
      <c r="A8" s="84"/>
      <c r="B8" s="120">
        <f t="shared" ref="B8:B12" si="42">B7+1</f>
        <v>8</v>
      </c>
      <c r="C8" s="7">
        <f t="shared" ref="C8:C12" si="43">C7</f>
        <v>0</v>
      </c>
      <c r="D8" s="643"/>
      <c r="E8" s="445">
        <f t="shared" si="24"/>
        <v>76906</v>
      </c>
      <c r="F8" s="49">
        <f t="shared" si="0"/>
        <v>76611</v>
      </c>
      <c r="G8" s="134"/>
      <c r="H8" s="135">
        <v>295</v>
      </c>
      <c r="I8" s="135"/>
      <c r="J8" s="14">
        <f>SUM(G8:I8)</f>
        <v>295</v>
      </c>
      <c r="K8" s="14">
        <f t="shared" si="25"/>
        <v>456</v>
      </c>
      <c r="L8" s="14">
        <f t="shared" si="1"/>
        <v>0.7</v>
      </c>
      <c r="M8" s="231">
        <f t="shared" si="26"/>
        <v>0.38358515590461084</v>
      </c>
      <c r="N8" s="35">
        <f t="shared" si="27"/>
        <v>0.7</v>
      </c>
      <c r="O8" s="132">
        <f t="shared" si="28"/>
        <v>0.23829057863850378</v>
      </c>
      <c r="P8" s="476">
        <v>810</v>
      </c>
      <c r="Q8" s="14">
        <f t="shared" si="2"/>
        <v>10</v>
      </c>
      <c r="R8" s="442">
        <f t="shared" si="29"/>
        <v>10.532338179075754</v>
      </c>
      <c r="S8" s="470">
        <f>S7+R8</f>
        <v>50.246844295176516</v>
      </c>
      <c r="T8" s="51">
        <f t="shared" si="3"/>
        <v>40</v>
      </c>
      <c r="U8" s="103">
        <f>U7</f>
        <v>36.64</v>
      </c>
      <c r="V8" s="59">
        <f t="shared" si="30"/>
        <v>3.3599999999999994</v>
      </c>
      <c r="W8" s="12">
        <f t="shared" si="4"/>
        <v>77</v>
      </c>
      <c r="X8" s="103">
        <f t="shared" ref="X8:X12" si="44">X7</f>
        <v>77</v>
      </c>
      <c r="Y8" s="46">
        <f t="shared" si="31"/>
        <v>0</v>
      </c>
      <c r="Z8" s="487"/>
      <c r="AA8" s="403">
        <f t="shared" ref="AA8:AA12" si="45">AA7+1</f>
        <v>8</v>
      </c>
      <c r="AB8" s="404">
        <f t="shared" ref="AB8:AB12" si="46">AB7</f>
        <v>0</v>
      </c>
      <c r="AC8" s="493"/>
      <c r="AD8" s="445">
        <f>IFERROR(AE7+AC8,0)</f>
        <v>0</v>
      </c>
      <c r="AE8" s="49">
        <f t="shared" si="5"/>
        <v>0</v>
      </c>
      <c r="AF8" s="134"/>
      <c r="AG8" s="135"/>
      <c r="AH8" s="135"/>
      <c r="AI8" s="14">
        <f>SUM(AF8:AH8)</f>
        <v>0</v>
      </c>
      <c r="AJ8" s="14">
        <f t="shared" si="32"/>
        <v>0</v>
      </c>
      <c r="AK8" s="14">
        <f t="shared" si="6"/>
        <v>0.7</v>
      </c>
      <c r="AL8" s="231">
        <f t="shared" si="33"/>
        <v>0</v>
      </c>
      <c r="AM8" s="35">
        <f t="shared" si="7"/>
        <v>0.7</v>
      </c>
      <c r="AN8" s="157">
        <f>IFERROR((AJ8*100)/AD8,0)</f>
        <v>0</v>
      </c>
      <c r="AO8" s="476"/>
      <c r="AP8" s="14">
        <f t="shared" si="8"/>
        <v>10</v>
      </c>
      <c r="AQ8" s="442">
        <f t="shared" si="34"/>
        <v>0</v>
      </c>
      <c r="AR8" s="470">
        <f>AR7+AQ8</f>
        <v>0</v>
      </c>
      <c r="AS8" s="51">
        <f t="shared" si="9"/>
        <v>40</v>
      </c>
      <c r="AT8" s="103">
        <f>AT7</f>
        <v>0</v>
      </c>
      <c r="AU8" s="59">
        <f t="shared" si="35"/>
        <v>40</v>
      </c>
      <c r="AV8" s="12">
        <f t="shared" si="10"/>
        <v>77</v>
      </c>
      <c r="AW8" s="103">
        <f t="shared" ref="AW8:AW12" si="47">AW7</f>
        <v>0</v>
      </c>
      <c r="AX8" s="46">
        <f t="shared" si="36"/>
        <v>77</v>
      </c>
      <c r="AZ8" s="120">
        <f t="shared" ref="AZ8:AZ12" si="48">AZ7+1</f>
        <v>8</v>
      </c>
      <c r="BA8" s="7">
        <f t="shared" ref="BA8:BA12" si="49">BA7</f>
        <v>0</v>
      </c>
      <c r="BB8" s="341"/>
      <c r="BC8" s="445">
        <f>IFERROR(BD7+BB8,0)</f>
        <v>0</v>
      </c>
      <c r="BD8" s="49">
        <f t="shared" si="11"/>
        <v>0</v>
      </c>
      <c r="BE8" s="134"/>
      <c r="BF8" s="135"/>
      <c r="BG8" s="135"/>
      <c r="BH8" s="14">
        <f>SUM(BE8:BG8)</f>
        <v>0</v>
      </c>
      <c r="BI8" s="14">
        <f t="shared" si="37"/>
        <v>0</v>
      </c>
      <c r="BJ8" s="14">
        <f t="shared" si="12"/>
        <v>0.7</v>
      </c>
      <c r="BK8" s="47">
        <f t="shared" ref="BK8:BK71" si="50">IFERROR((BH8*100)/BC8,0)</f>
        <v>0</v>
      </c>
      <c r="BL8" s="35">
        <f t="shared" si="13"/>
        <v>0.7</v>
      </c>
      <c r="BM8" s="157">
        <f t="shared" si="14"/>
        <v>0</v>
      </c>
      <c r="BN8" s="438"/>
      <c r="BO8" s="14">
        <f t="shared" si="15"/>
        <v>10</v>
      </c>
      <c r="BP8" s="442">
        <f t="shared" ref="BP8:BP71" si="51">IFERROR((BN8/BC8)*1000,0)</f>
        <v>0</v>
      </c>
      <c r="BQ8" s="68">
        <f>BQ7+BP8</f>
        <v>0</v>
      </c>
      <c r="BR8" s="51">
        <f t="shared" si="16"/>
        <v>40</v>
      </c>
      <c r="BS8" s="103">
        <f>BS7</f>
        <v>0</v>
      </c>
      <c r="BT8" s="59">
        <f t="shared" si="17"/>
        <v>40</v>
      </c>
      <c r="BU8" s="12">
        <f t="shared" si="18"/>
        <v>77</v>
      </c>
      <c r="BV8" s="103">
        <f t="shared" ref="BV8:BV12" si="52">BV7</f>
        <v>0</v>
      </c>
      <c r="BW8" s="46">
        <f t="shared" si="38"/>
        <v>77</v>
      </c>
      <c r="BY8" s="120">
        <f t="shared" ref="BY8:BY11" si="53">BY7+1</f>
        <v>27</v>
      </c>
      <c r="BZ8" s="7">
        <f t="shared" ref="BZ8:BZ12" si="54">BZ7</f>
        <v>0</v>
      </c>
      <c r="CA8" s="133"/>
      <c r="CB8" s="14">
        <f>IFERROR(CC7+CA8,0)</f>
        <v>0</v>
      </c>
      <c r="CC8" s="46">
        <f t="shared" si="39"/>
        <v>0</v>
      </c>
      <c r="CD8" s="405"/>
      <c r="CE8" s="406"/>
      <c r="CF8" s="406"/>
      <c r="CG8" s="14">
        <f>SUM(CD8:CF8)</f>
        <v>0</v>
      </c>
      <c r="CH8" s="14">
        <f>CH7+CG8</f>
        <v>0</v>
      </c>
      <c r="CI8" s="14">
        <f t="shared" si="19"/>
        <v>0.7</v>
      </c>
      <c r="CJ8" s="47">
        <f t="shared" ref="CJ8:CJ71" si="55">IFERROR((CG8*1000)/CB8,0)</f>
        <v>0</v>
      </c>
      <c r="CK8" s="35">
        <f t="shared" si="20"/>
        <v>0.7</v>
      </c>
      <c r="CL8" s="157">
        <f>IFERROR((CH8*100)/CB8,0)</f>
        <v>0</v>
      </c>
      <c r="CM8" s="134"/>
      <c r="CN8" s="14">
        <f t="shared" si="21"/>
        <v>10</v>
      </c>
      <c r="CO8" s="48">
        <f>IFERROR(CM8/CB8,0)</f>
        <v>0</v>
      </c>
      <c r="CP8" s="68">
        <f t="shared" ref="CP8:CP70" si="56">CP7+CO8</f>
        <v>0</v>
      </c>
      <c r="CQ8" s="51">
        <f t="shared" si="22"/>
        <v>40</v>
      </c>
      <c r="CR8" s="103">
        <f t="shared" ref="CR8:CR12" si="57">CR7</f>
        <v>0</v>
      </c>
      <c r="CS8" s="59">
        <f>CQ8-CR8</f>
        <v>40</v>
      </c>
      <c r="CT8" s="50">
        <f t="shared" si="23"/>
        <v>77</v>
      </c>
      <c r="CU8" s="103">
        <f t="shared" ref="CU8:CU12" si="58">CU7</f>
        <v>0</v>
      </c>
      <c r="CV8" s="46">
        <f t="shared" si="41"/>
        <v>77</v>
      </c>
    </row>
    <row r="9" spans="1:100" ht="17.25" thickBot="1" x14ac:dyDescent="0.3">
      <c r="A9" s="465" t="s">
        <v>107</v>
      </c>
      <c r="B9" s="324">
        <f t="shared" si="42"/>
        <v>9</v>
      </c>
      <c r="C9" s="477">
        <f t="shared" si="43"/>
        <v>0</v>
      </c>
      <c r="D9" s="644">
        <v>106296</v>
      </c>
      <c r="E9" s="445">
        <f t="shared" si="24"/>
        <v>182907</v>
      </c>
      <c r="F9" s="49">
        <f t="shared" si="0"/>
        <v>182308</v>
      </c>
      <c r="G9" s="134"/>
      <c r="H9" s="135">
        <v>599</v>
      </c>
      <c r="I9" s="135"/>
      <c r="J9" s="14">
        <f t="shared" ref="J9:J11" si="59">SUM(G9:I9)</f>
        <v>599</v>
      </c>
      <c r="K9" s="14">
        <f t="shared" si="25"/>
        <v>1055</v>
      </c>
      <c r="L9" s="14">
        <f t="shared" si="1"/>
        <v>0.7</v>
      </c>
      <c r="M9" s="47">
        <f t="shared" si="26"/>
        <v>0.32748883312284383</v>
      </c>
      <c r="N9" s="35">
        <f t="shared" si="27"/>
        <v>0.7</v>
      </c>
      <c r="O9" s="132">
        <f t="shared" si="28"/>
        <v>0.55130824663074884</v>
      </c>
      <c r="P9" s="478">
        <v>3600</v>
      </c>
      <c r="Q9" s="14">
        <f t="shared" si="2"/>
        <v>10</v>
      </c>
      <c r="R9" s="480">
        <f t="shared" si="29"/>
        <v>19.682133543276091</v>
      </c>
      <c r="S9" s="470">
        <f t="shared" ref="S9:S12" si="60">S8+R9</f>
        <v>69.92897783845261</v>
      </c>
      <c r="T9" s="51">
        <f t="shared" si="3"/>
        <v>40</v>
      </c>
      <c r="U9" s="103">
        <f t="shared" ref="U9:U12" si="61">U8</f>
        <v>36.64</v>
      </c>
      <c r="V9" s="59">
        <f>T9-U9</f>
        <v>3.3599999999999994</v>
      </c>
      <c r="W9" s="50">
        <f t="shared" si="4"/>
        <v>77</v>
      </c>
      <c r="X9" s="103">
        <f t="shared" si="44"/>
        <v>77</v>
      </c>
      <c r="Y9" s="62">
        <f t="shared" si="31"/>
        <v>0</v>
      </c>
      <c r="Z9" s="487"/>
      <c r="AA9" s="403">
        <f t="shared" si="45"/>
        <v>9</v>
      </c>
      <c r="AB9" s="404">
        <f t="shared" si="46"/>
        <v>0</v>
      </c>
      <c r="AC9" s="494"/>
      <c r="AD9" s="445">
        <f>IFERROR(AE8+AC9,0)</f>
        <v>0</v>
      </c>
      <c r="AE9" s="49">
        <f t="shared" si="5"/>
        <v>0</v>
      </c>
      <c r="AF9" s="134"/>
      <c r="AG9" s="135"/>
      <c r="AH9" s="135"/>
      <c r="AI9" s="14">
        <f t="shared" ref="AI9:AI11" si="62">SUM(AF9:AH9)</f>
        <v>0</v>
      </c>
      <c r="AJ9" s="14">
        <f t="shared" si="32"/>
        <v>0</v>
      </c>
      <c r="AK9" s="14">
        <f t="shared" si="6"/>
        <v>0.7</v>
      </c>
      <c r="AL9" s="47">
        <f t="shared" si="33"/>
        <v>0</v>
      </c>
      <c r="AM9" s="35">
        <f t="shared" si="7"/>
        <v>0.7</v>
      </c>
      <c r="AN9" s="157">
        <f>IFERROR((AJ9*100)/AD9,0)</f>
        <v>0</v>
      </c>
      <c r="AO9" s="478"/>
      <c r="AP9" s="14">
        <f t="shared" si="8"/>
        <v>10</v>
      </c>
      <c r="AQ9" s="480">
        <f t="shared" si="34"/>
        <v>0</v>
      </c>
      <c r="AR9" s="470">
        <f t="shared" ref="AR9:AR23" si="63">AR8+AQ9</f>
        <v>0</v>
      </c>
      <c r="AS9" s="51">
        <f t="shared" si="9"/>
        <v>40</v>
      </c>
      <c r="AT9" s="103">
        <f t="shared" ref="AT9:AT12" si="64">AT8</f>
        <v>0</v>
      </c>
      <c r="AU9" s="59">
        <f>AS9-AT9</f>
        <v>40</v>
      </c>
      <c r="AV9" s="50">
        <f t="shared" si="10"/>
        <v>77</v>
      </c>
      <c r="AW9" s="103">
        <f t="shared" si="47"/>
        <v>0</v>
      </c>
      <c r="AX9" s="62">
        <f t="shared" si="36"/>
        <v>77</v>
      </c>
      <c r="AZ9" s="120">
        <f t="shared" si="48"/>
        <v>9</v>
      </c>
      <c r="BA9" s="7">
        <f t="shared" si="49"/>
        <v>0</v>
      </c>
      <c r="BB9" s="133"/>
      <c r="BC9" s="445">
        <f>IFERROR(BD8+BB9,0)</f>
        <v>0</v>
      </c>
      <c r="BD9" s="49">
        <f t="shared" si="11"/>
        <v>0</v>
      </c>
      <c r="BE9" s="134"/>
      <c r="BF9" s="135"/>
      <c r="BG9" s="135"/>
      <c r="BH9" s="14">
        <f t="shared" ref="BH9:BH11" si="65">SUM(BE9:BG9)</f>
        <v>0</v>
      </c>
      <c r="BI9" s="14">
        <f t="shared" si="37"/>
        <v>0</v>
      </c>
      <c r="BJ9" s="14">
        <f t="shared" si="12"/>
        <v>0.7</v>
      </c>
      <c r="BK9" s="47">
        <f t="shared" si="50"/>
        <v>0</v>
      </c>
      <c r="BL9" s="35">
        <f t="shared" si="13"/>
        <v>0.7</v>
      </c>
      <c r="BM9" s="157">
        <f t="shared" si="14"/>
        <v>0</v>
      </c>
      <c r="BN9" s="438"/>
      <c r="BO9" s="14">
        <f t="shared" si="15"/>
        <v>10</v>
      </c>
      <c r="BP9" s="442">
        <f t="shared" si="51"/>
        <v>0</v>
      </c>
      <c r="BQ9" s="68">
        <f t="shared" ref="BQ9:BQ72" si="66">BQ8+BP9</f>
        <v>0</v>
      </c>
      <c r="BR9" s="51">
        <f t="shared" si="16"/>
        <v>40</v>
      </c>
      <c r="BS9" s="103">
        <f t="shared" ref="BS9:BS12" si="67">BS8</f>
        <v>0</v>
      </c>
      <c r="BT9" s="59">
        <f t="shared" si="17"/>
        <v>40</v>
      </c>
      <c r="BU9" s="50">
        <f t="shared" si="18"/>
        <v>77</v>
      </c>
      <c r="BV9" s="103">
        <f t="shared" si="52"/>
        <v>0</v>
      </c>
      <c r="BW9" s="62">
        <f t="shared" si="38"/>
        <v>77</v>
      </c>
      <c r="BY9" s="120">
        <f t="shared" si="53"/>
        <v>28</v>
      </c>
      <c r="BZ9" s="7">
        <f t="shared" si="54"/>
        <v>0</v>
      </c>
      <c r="CA9" s="133"/>
      <c r="CB9" s="14">
        <f>IFERROR(CC8+CA9,0)</f>
        <v>0</v>
      </c>
      <c r="CC9" s="46">
        <f t="shared" si="39"/>
        <v>0</v>
      </c>
      <c r="CD9" s="405"/>
      <c r="CE9" s="406"/>
      <c r="CF9" s="406"/>
      <c r="CG9" s="14">
        <f t="shared" ref="CG9:CG11" si="68">SUM(CD9:CF9)</f>
        <v>0</v>
      </c>
      <c r="CH9" s="14">
        <f>CH8+CG9</f>
        <v>0</v>
      </c>
      <c r="CI9" s="14">
        <f t="shared" si="19"/>
        <v>0.7</v>
      </c>
      <c r="CJ9" s="47">
        <f t="shared" si="55"/>
        <v>0</v>
      </c>
      <c r="CK9" s="35">
        <f t="shared" si="20"/>
        <v>0.7</v>
      </c>
      <c r="CL9" s="157">
        <f t="shared" ref="CL9:CL46" si="69">IFERROR((CH9*100)/CB9,0)</f>
        <v>0</v>
      </c>
      <c r="CM9" s="134"/>
      <c r="CN9" s="14">
        <f t="shared" si="21"/>
        <v>10</v>
      </c>
      <c r="CO9" s="48">
        <f t="shared" ref="CO9:CO36" si="70">IFERROR(CM9/CB9,0)</f>
        <v>0</v>
      </c>
      <c r="CP9" s="68">
        <f t="shared" si="56"/>
        <v>0</v>
      </c>
      <c r="CQ9" s="51">
        <f t="shared" si="22"/>
        <v>40</v>
      </c>
      <c r="CR9" s="103">
        <f t="shared" si="57"/>
        <v>0</v>
      </c>
      <c r="CS9" s="59">
        <f t="shared" si="40"/>
        <v>40</v>
      </c>
      <c r="CT9" s="50">
        <f t="shared" si="23"/>
        <v>77</v>
      </c>
      <c r="CU9" s="103">
        <f t="shared" si="58"/>
        <v>0</v>
      </c>
      <c r="CV9" s="62">
        <f>CT9-CU9</f>
        <v>77</v>
      </c>
    </row>
    <row r="10" spans="1:100" ht="17.25" thickBot="1" x14ac:dyDescent="0.3">
      <c r="B10" s="120">
        <f t="shared" si="42"/>
        <v>10</v>
      </c>
      <c r="C10" s="7">
        <f t="shared" si="43"/>
        <v>0</v>
      </c>
      <c r="D10" s="642"/>
      <c r="E10" s="445">
        <f t="shared" si="24"/>
        <v>182308</v>
      </c>
      <c r="F10" s="49">
        <f t="shared" si="0"/>
        <v>180612</v>
      </c>
      <c r="G10" s="134"/>
      <c r="H10" s="135">
        <v>1696</v>
      </c>
      <c r="I10" s="135"/>
      <c r="J10" s="14">
        <f t="shared" si="59"/>
        <v>1696</v>
      </c>
      <c r="K10" s="14">
        <f t="shared" si="25"/>
        <v>2751</v>
      </c>
      <c r="L10" s="14">
        <f t="shared" si="1"/>
        <v>0.7</v>
      </c>
      <c r="M10" s="231">
        <f t="shared" si="26"/>
        <v>0.93029378853369027</v>
      </c>
      <c r="N10" s="35">
        <f t="shared" si="27"/>
        <v>0.7</v>
      </c>
      <c r="O10" s="132">
        <f t="shared" si="28"/>
        <v>1.4375819777072893</v>
      </c>
      <c r="P10" s="438">
        <v>2160</v>
      </c>
      <c r="Q10" s="14">
        <f t="shared" si="2"/>
        <v>10</v>
      </c>
      <c r="R10" s="442">
        <f t="shared" si="29"/>
        <v>11.848081269061151</v>
      </c>
      <c r="S10" s="470">
        <f t="shared" si="60"/>
        <v>81.777059107513765</v>
      </c>
      <c r="T10" s="51">
        <f t="shared" si="3"/>
        <v>40</v>
      </c>
      <c r="U10" s="103">
        <f t="shared" si="61"/>
        <v>36.64</v>
      </c>
      <c r="V10" s="46">
        <f t="shared" si="30"/>
        <v>3.3599999999999994</v>
      </c>
      <c r="W10" s="50">
        <f t="shared" si="4"/>
        <v>77</v>
      </c>
      <c r="X10" s="103">
        <f t="shared" si="44"/>
        <v>77</v>
      </c>
      <c r="Y10" s="46">
        <f>W10-X10</f>
        <v>0</v>
      </c>
      <c r="Z10" s="487"/>
      <c r="AA10" s="403">
        <f t="shared" si="45"/>
        <v>10</v>
      </c>
      <c r="AB10" s="404">
        <f t="shared" si="46"/>
        <v>0</v>
      </c>
      <c r="AC10" s="229"/>
      <c r="AD10" s="445">
        <f t="shared" ref="AD10:AD11" si="71">IFERROR(AE9+AC10,0)</f>
        <v>0</v>
      </c>
      <c r="AE10" s="49">
        <f t="shared" si="5"/>
        <v>0</v>
      </c>
      <c r="AF10" s="134"/>
      <c r="AG10" s="135"/>
      <c r="AH10" s="135"/>
      <c r="AI10" s="14">
        <f t="shared" si="62"/>
        <v>0</v>
      </c>
      <c r="AJ10" s="14">
        <f t="shared" si="32"/>
        <v>0</v>
      </c>
      <c r="AK10" s="14">
        <f t="shared" si="6"/>
        <v>0.7</v>
      </c>
      <c r="AL10" s="231">
        <f t="shared" si="33"/>
        <v>0</v>
      </c>
      <c r="AM10" s="35">
        <f t="shared" si="7"/>
        <v>0.7</v>
      </c>
      <c r="AN10" s="157">
        <f t="shared" ref="AN10:AN21" si="72">IFERROR((AJ10*100)/AD10,0)</f>
        <v>0</v>
      </c>
      <c r="AO10" s="438"/>
      <c r="AP10" s="14">
        <f t="shared" si="8"/>
        <v>10</v>
      </c>
      <c r="AQ10" s="442">
        <f t="shared" si="34"/>
        <v>0</v>
      </c>
      <c r="AR10" s="470">
        <f t="shared" si="63"/>
        <v>0</v>
      </c>
      <c r="AS10" s="51">
        <f t="shared" si="9"/>
        <v>40</v>
      </c>
      <c r="AT10" s="103">
        <f t="shared" si="64"/>
        <v>0</v>
      </c>
      <c r="AU10" s="46">
        <f t="shared" ref="AU10:AU15" si="73">AS10-AT10</f>
        <v>40</v>
      </c>
      <c r="AV10" s="50">
        <f t="shared" si="10"/>
        <v>77</v>
      </c>
      <c r="AW10" s="103">
        <f t="shared" si="47"/>
        <v>0</v>
      </c>
      <c r="AX10" s="46">
        <f>AV10-AW10</f>
        <v>77</v>
      </c>
      <c r="AZ10" s="120">
        <f t="shared" si="48"/>
        <v>10</v>
      </c>
      <c r="BA10" s="7">
        <f t="shared" si="49"/>
        <v>0</v>
      </c>
      <c r="BB10" s="133"/>
      <c r="BC10" s="445">
        <f t="shared" ref="BC10:BC13" si="74">IFERROR(BD9+BB10,0)</f>
        <v>0</v>
      </c>
      <c r="BD10" s="49">
        <f t="shared" si="11"/>
        <v>0</v>
      </c>
      <c r="BE10" s="134"/>
      <c r="BF10" s="135"/>
      <c r="BG10" s="135"/>
      <c r="BH10" s="14">
        <f t="shared" si="65"/>
        <v>0</v>
      </c>
      <c r="BI10" s="14">
        <f t="shared" si="37"/>
        <v>0</v>
      </c>
      <c r="BJ10" s="14">
        <f t="shared" si="12"/>
        <v>0.7</v>
      </c>
      <c r="BK10" s="47">
        <f t="shared" si="50"/>
        <v>0</v>
      </c>
      <c r="BL10" s="35">
        <f t="shared" si="13"/>
        <v>0.7</v>
      </c>
      <c r="BM10" s="157">
        <f t="shared" si="14"/>
        <v>0</v>
      </c>
      <c r="BN10" s="438"/>
      <c r="BO10" s="14">
        <f t="shared" si="15"/>
        <v>10</v>
      </c>
      <c r="BP10" s="442">
        <f t="shared" si="51"/>
        <v>0</v>
      </c>
      <c r="BQ10" s="68">
        <f t="shared" si="66"/>
        <v>0</v>
      </c>
      <c r="BR10" s="51">
        <f t="shared" si="16"/>
        <v>40</v>
      </c>
      <c r="BS10" s="103">
        <f t="shared" si="67"/>
        <v>0</v>
      </c>
      <c r="BT10" s="46">
        <f t="shared" si="17"/>
        <v>40</v>
      </c>
      <c r="BU10" s="50">
        <f t="shared" si="18"/>
        <v>77</v>
      </c>
      <c r="BV10" s="103">
        <f t="shared" si="52"/>
        <v>0</v>
      </c>
      <c r="BW10" s="46">
        <f>BU10-BV10</f>
        <v>77</v>
      </c>
      <c r="BY10" s="120">
        <f t="shared" si="53"/>
        <v>29</v>
      </c>
      <c r="BZ10" s="7">
        <f t="shared" si="54"/>
        <v>0</v>
      </c>
      <c r="CA10" s="133"/>
      <c r="CB10" s="14">
        <f>IFERROR(CC9+CA10,0)</f>
        <v>0</v>
      </c>
      <c r="CC10" s="46">
        <f t="shared" si="39"/>
        <v>0</v>
      </c>
      <c r="CD10" s="405"/>
      <c r="CE10" s="406"/>
      <c r="CF10" s="406"/>
      <c r="CG10" s="14">
        <f t="shared" si="68"/>
        <v>0</v>
      </c>
      <c r="CH10" s="14">
        <f>CH9+CG10</f>
        <v>0</v>
      </c>
      <c r="CI10" s="14">
        <f t="shared" si="19"/>
        <v>0.7</v>
      </c>
      <c r="CJ10" s="47">
        <f>IFERROR((CG10*1000)/CB10,0)</f>
        <v>0</v>
      </c>
      <c r="CK10" s="35">
        <f t="shared" si="20"/>
        <v>0.7</v>
      </c>
      <c r="CL10" s="157">
        <f>IFERROR((CH10*100)/CB10,0)</f>
        <v>0</v>
      </c>
      <c r="CM10" s="134"/>
      <c r="CN10" s="14">
        <f t="shared" si="21"/>
        <v>10</v>
      </c>
      <c r="CO10" s="48">
        <f t="shared" si="70"/>
        <v>0</v>
      </c>
      <c r="CP10" s="68">
        <f>CP9+CO10</f>
        <v>0</v>
      </c>
      <c r="CQ10" s="51">
        <f t="shared" si="22"/>
        <v>40</v>
      </c>
      <c r="CR10" s="103">
        <f t="shared" si="57"/>
        <v>0</v>
      </c>
      <c r="CS10" s="46">
        <f t="shared" si="40"/>
        <v>40</v>
      </c>
      <c r="CT10" s="50">
        <f t="shared" si="23"/>
        <v>77</v>
      </c>
      <c r="CU10" s="103">
        <f t="shared" si="58"/>
        <v>0</v>
      </c>
      <c r="CV10" s="46">
        <f t="shared" si="41"/>
        <v>77</v>
      </c>
    </row>
    <row r="11" spans="1:100" ht="17.25" thickBot="1" x14ac:dyDescent="0.3">
      <c r="B11" s="120">
        <f t="shared" si="42"/>
        <v>11</v>
      </c>
      <c r="C11" s="7">
        <f t="shared" si="43"/>
        <v>0</v>
      </c>
      <c r="D11" s="642"/>
      <c r="E11" s="445">
        <f t="shared" si="24"/>
        <v>180612</v>
      </c>
      <c r="F11" s="49">
        <f t="shared" si="0"/>
        <v>178767</v>
      </c>
      <c r="G11" s="134"/>
      <c r="H11" s="135">
        <v>1845</v>
      </c>
      <c r="I11" s="135"/>
      <c r="J11" s="14">
        <f t="shared" si="59"/>
        <v>1845</v>
      </c>
      <c r="K11" s="14">
        <f t="shared" si="25"/>
        <v>4596</v>
      </c>
      <c r="L11" s="14">
        <f t="shared" si="1"/>
        <v>0.7</v>
      </c>
      <c r="M11" s="47">
        <f t="shared" si="26"/>
        <v>1.0215268088499103</v>
      </c>
      <c r="N11" s="35">
        <f t="shared" si="27"/>
        <v>0.7</v>
      </c>
      <c r="O11" s="132">
        <f t="shared" si="28"/>
        <v>2.4017182004880775</v>
      </c>
      <c r="P11" s="438">
        <v>1530</v>
      </c>
      <c r="Q11" s="14">
        <f t="shared" si="2"/>
        <v>10</v>
      </c>
      <c r="R11" s="480">
        <f t="shared" si="29"/>
        <v>8.4711979270480366</v>
      </c>
      <c r="S11" s="470">
        <f t="shared" si="60"/>
        <v>90.248257034561803</v>
      </c>
      <c r="T11" s="51">
        <f t="shared" si="3"/>
        <v>40</v>
      </c>
      <c r="U11" s="103">
        <f t="shared" si="61"/>
        <v>36.64</v>
      </c>
      <c r="V11" s="62">
        <f t="shared" si="30"/>
        <v>3.3599999999999994</v>
      </c>
      <c r="W11" s="50">
        <f t="shared" si="4"/>
        <v>77</v>
      </c>
      <c r="X11" s="103">
        <f t="shared" si="44"/>
        <v>77</v>
      </c>
      <c r="Y11" s="62">
        <f t="shared" si="31"/>
        <v>0</v>
      </c>
      <c r="Z11" s="487"/>
      <c r="AA11" s="403">
        <f t="shared" si="45"/>
        <v>11</v>
      </c>
      <c r="AB11" s="404">
        <f t="shared" si="46"/>
        <v>0</v>
      </c>
      <c r="AC11" s="229"/>
      <c r="AD11" s="445">
        <f t="shared" si="71"/>
        <v>0</v>
      </c>
      <c r="AE11" s="49">
        <f t="shared" si="5"/>
        <v>0</v>
      </c>
      <c r="AF11" s="134"/>
      <c r="AG11" s="135"/>
      <c r="AH11" s="135"/>
      <c r="AI11" s="14">
        <f t="shared" si="62"/>
        <v>0</v>
      </c>
      <c r="AJ11" s="14">
        <f t="shared" si="32"/>
        <v>0</v>
      </c>
      <c r="AK11" s="14">
        <f t="shared" si="6"/>
        <v>0.7</v>
      </c>
      <c r="AL11" s="47">
        <f t="shared" si="33"/>
        <v>0</v>
      </c>
      <c r="AM11" s="35">
        <f t="shared" si="7"/>
        <v>0.7</v>
      </c>
      <c r="AN11" s="157">
        <f t="shared" si="72"/>
        <v>0</v>
      </c>
      <c r="AO11" s="438"/>
      <c r="AP11" s="14">
        <f t="shared" si="8"/>
        <v>10</v>
      </c>
      <c r="AQ11" s="480">
        <f t="shared" si="34"/>
        <v>0</v>
      </c>
      <c r="AR11" s="470">
        <f t="shared" si="63"/>
        <v>0</v>
      </c>
      <c r="AS11" s="51">
        <f t="shared" si="9"/>
        <v>40</v>
      </c>
      <c r="AT11" s="103">
        <f t="shared" si="64"/>
        <v>0</v>
      </c>
      <c r="AU11" s="62">
        <f t="shared" si="73"/>
        <v>40</v>
      </c>
      <c r="AV11" s="50">
        <f t="shared" si="10"/>
        <v>77</v>
      </c>
      <c r="AW11" s="103">
        <f t="shared" si="47"/>
        <v>0</v>
      </c>
      <c r="AX11" s="62">
        <f t="shared" ref="AX11:AX74" si="75">AV11-AW11</f>
        <v>77</v>
      </c>
      <c r="AZ11" s="120">
        <f t="shared" si="48"/>
        <v>11</v>
      </c>
      <c r="BA11" s="7">
        <f t="shared" si="49"/>
        <v>0</v>
      </c>
      <c r="BB11" s="133"/>
      <c r="BC11" s="445">
        <f t="shared" si="74"/>
        <v>0</v>
      </c>
      <c r="BD11" s="49">
        <f t="shared" si="11"/>
        <v>0</v>
      </c>
      <c r="BE11" s="134"/>
      <c r="BF11" s="135"/>
      <c r="BG11" s="135"/>
      <c r="BH11" s="14">
        <f t="shared" si="65"/>
        <v>0</v>
      </c>
      <c r="BI11" s="14">
        <f t="shared" si="37"/>
        <v>0</v>
      </c>
      <c r="BJ11" s="14">
        <f t="shared" si="12"/>
        <v>0.7</v>
      </c>
      <c r="BK11" s="47">
        <f t="shared" si="50"/>
        <v>0</v>
      </c>
      <c r="BL11" s="35">
        <f t="shared" si="13"/>
        <v>0.7</v>
      </c>
      <c r="BM11" s="157">
        <f t="shared" si="14"/>
        <v>0</v>
      </c>
      <c r="BN11" s="438"/>
      <c r="BO11" s="14">
        <f t="shared" si="15"/>
        <v>10</v>
      </c>
      <c r="BP11" s="442">
        <f t="shared" si="51"/>
        <v>0</v>
      </c>
      <c r="BQ11" s="68">
        <f t="shared" si="66"/>
        <v>0</v>
      </c>
      <c r="BR11" s="51">
        <f t="shared" si="16"/>
        <v>40</v>
      </c>
      <c r="BS11" s="103">
        <f t="shared" si="67"/>
        <v>0</v>
      </c>
      <c r="BT11" s="62">
        <f t="shared" si="17"/>
        <v>40</v>
      </c>
      <c r="BU11" s="50">
        <f t="shared" si="18"/>
        <v>77</v>
      </c>
      <c r="BV11" s="103">
        <f t="shared" si="52"/>
        <v>0</v>
      </c>
      <c r="BW11" s="62">
        <f t="shared" ref="BW11:BW74" si="76">BU11-BV11</f>
        <v>77</v>
      </c>
      <c r="BY11" s="120">
        <f t="shared" si="53"/>
        <v>30</v>
      </c>
      <c r="BZ11" s="7">
        <f t="shared" si="54"/>
        <v>0</v>
      </c>
      <c r="CA11" s="133"/>
      <c r="CB11" s="14">
        <f t="shared" ref="CB11:CB70" si="77">IFERROR(CC10+CA11,0)</f>
        <v>0</v>
      </c>
      <c r="CC11" s="46">
        <f>IFERROR(CB11-CG11,0)</f>
        <v>0</v>
      </c>
      <c r="CD11" s="405"/>
      <c r="CE11" s="406"/>
      <c r="CF11" s="406"/>
      <c r="CG11" s="14">
        <f t="shared" si="68"/>
        <v>0</v>
      </c>
      <c r="CH11" s="14">
        <f t="shared" ref="CH11:CH74" si="78">CH10+CG11</f>
        <v>0</v>
      </c>
      <c r="CI11" s="14">
        <f t="shared" si="19"/>
        <v>0.7</v>
      </c>
      <c r="CJ11" s="47">
        <f t="shared" si="55"/>
        <v>0</v>
      </c>
      <c r="CK11" s="35">
        <f t="shared" si="20"/>
        <v>0.7</v>
      </c>
      <c r="CL11" s="157">
        <f t="shared" si="69"/>
        <v>0</v>
      </c>
      <c r="CM11" s="134"/>
      <c r="CN11" s="14">
        <f t="shared" si="21"/>
        <v>10</v>
      </c>
      <c r="CO11" s="48">
        <f t="shared" si="70"/>
        <v>0</v>
      </c>
      <c r="CP11" s="68">
        <f t="shared" si="56"/>
        <v>0</v>
      </c>
      <c r="CQ11" s="51">
        <f t="shared" si="22"/>
        <v>40</v>
      </c>
      <c r="CR11" s="103">
        <f t="shared" si="57"/>
        <v>0</v>
      </c>
      <c r="CS11" s="62">
        <f t="shared" si="40"/>
        <v>40</v>
      </c>
      <c r="CT11" s="51">
        <f t="shared" si="23"/>
        <v>77</v>
      </c>
      <c r="CU11" s="103">
        <f t="shared" si="58"/>
        <v>0</v>
      </c>
      <c r="CV11" s="62">
        <f t="shared" si="41"/>
        <v>77</v>
      </c>
    </row>
    <row r="12" spans="1:100" ht="17.25" thickBot="1" x14ac:dyDescent="0.3">
      <c r="A12" s="465" t="s">
        <v>107</v>
      </c>
      <c r="B12" s="324">
        <f t="shared" si="42"/>
        <v>12</v>
      </c>
      <c r="C12" s="483">
        <f t="shared" si="43"/>
        <v>0</v>
      </c>
      <c r="D12" s="485">
        <v>8000</v>
      </c>
      <c r="E12" s="54">
        <f t="shared" si="24"/>
        <v>186767</v>
      </c>
      <c r="F12" s="55">
        <f t="shared" si="0"/>
        <v>186187</v>
      </c>
      <c r="G12" s="137"/>
      <c r="H12" s="138">
        <v>580</v>
      </c>
      <c r="I12" s="138"/>
      <c r="J12" s="32">
        <f>SUM(G12:I12)</f>
        <v>580</v>
      </c>
      <c r="K12" s="32">
        <f t="shared" si="25"/>
        <v>5176</v>
      </c>
      <c r="L12" s="17">
        <f t="shared" si="1"/>
        <v>0.7</v>
      </c>
      <c r="M12" s="231">
        <f t="shared" si="26"/>
        <v>0.31054736650478937</v>
      </c>
      <c r="N12" s="33">
        <f t="shared" si="27"/>
        <v>0.7</v>
      </c>
      <c r="O12" s="132">
        <f t="shared" si="28"/>
        <v>2.704807094370385</v>
      </c>
      <c r="P12" s="439">
        <v>1620</v>
      </c>
      <c r="Q12" s="13">
        <f t="shared" si="2"/>
        <v>10</v>
      </c>
      <c r="R12" s="443">
        <f t="shared" si="29"/>
        <v>8.6739092023751514</v>
      </c>
      <c r="S12" s="471">
        <f t="shared" si="60"/>
        <v>98.92216623693696</v>
      </c>
      <c r="T12" s="50">
        <f t="shared" si="3"/>
        <v>40</v>
      </c>
      <c r="U12" s="103">
        <f t="shared" si="61"/>
        <v>36.64</v>
      </c>
      <c r="V12" s="53">
        <f t="shared" si="30"/>
        <v>3.3599999999999994</v>
      </c>
      <c r="W12" s="56">
        <f t="shared" si="4"/>
        <v>77</v>
      </c>
      <c r="X12" s="103">
        <f t="shared" si="44"/>
        <v>77</v>
      </c>
      <c r="Y12" s="53">
        <f t="shared" si="31"/>
        <v>0</v>
      </c>
      <c r="Z12" s="487"/>
      <c r="AA12" s="403">
        <f t="shared" si="45"/>
        <v>12</v>
      </c>
      <c r="AB12" s="433">
        <f t="shared" si="46"/>
        <v>0</v>
      </c>
      <c r="AC12" s="495"/>
      <c r="AD12" s="54">
        <f>IFERROR(AE11+AC12,0)</f>
        <v>0</v>
      </c>
      <c r="AE12" s="55">
        <f t="shared" si="5"/>
        <v>0</v>
      </c>
      <c r="AF12" s="137"/>
      <c r="AG12" s="138"/>
      <c r="AH12" s="138"/>
      <c r="AI12" s="32">
        <f>SUM(AF12:AH12)</f>
        <v>0</v>
      </c>
      <c r="AJ12" s="32">
        <f t="shared" si="32"/>
        <v>0</v>
      </c>
      <c r="AK12" s="17">
        <f t="shared" si="6"/>
        <v>0.7</v>
      </c>
      <c r="AL12" s="231">
        <f t="shared" si="33"/>
        <v>0</v>
      </c>
      <c r="AM12" s="33">
        <f t="shared" si="7"/>
        <v>0.7</v>
      </c>
      <c r="AN12" s="156">
        <f t="shared" si="72"/>
        <v>0</v>
      </c>
      <c r="AO12" s="439"/>
      <c r="AP12" s="13">
        <f t="shared" si="8"/>
        <v>10</v>
      </c>
      <c r="AQ12" s="443">
        <f t="shared" si="34"/>
        <v>0</v>
      </c>
      <c r="AR12" s="471">
        <f t="shared" si="63"/>
        <v>0</v>
      </c>
      <c r="AS12" s="50">
        <f t="shared" si="9"/>
        <v>40</v>
      </c>
      <c r="AT12" s="103">
        <f t="shared" si="64"/>
        <v>0</v>
      </c>
      <c r="AU12" s="53">
        <f t="shared" si="73"/>
        <v>40</v>
      </c>
      <c r="AV12" s="56">
        <f t="shared" si="10"/>
        <v>77</v>
      </c>
      <c r="AW12" s="103">
        <f t="shared" si="47"/>
        <v>0</v>
      </c>
      <c r="AX12" s="53">
        <f t="shared" si="75"/>
        <v>77</v>
      </c>
      <c r="AZ12" s="120">
        <f t="shared" si="48"/>
        <v>12</v>
      </c>
      <c r="BA12" s="8">
        <f t="shared" si="49"/>
        <v>0</v>
      </c>
      <c r="BB12" s="136"/>
      <c r="BC12" s="54">
        <f t="shared" si="74"/>
        <v>0</v>
      </c>
      <c r="BD12" s="55">
        <f t="shared" si="11"/>
        <v>0</v>
      </c>
      <c r="BE12" s="137"/>
      <c r="BF12" s="138"/>
      <c r="BG12" s="138"/>
      <c r="BH12" s="32">
        <f>SUM(BE12:BG12)</f>
        <v>0</v>
      </c>
      <c r="BI12" s="32">
        <f t="shared" si="37"/>
        <v>0</v>
      </c>
      <c r="BJ12" s="17">
        <f t="shared" si="12"/>
        <v>0.7</v>
      </c>
      <c r="BK12" s="96">
        <f t="shared" si="50"/>
        <v>0</v>
      </c>
      <c r="BL12" s="33">
        <f t="shared" si="13"/>
        <v>0.7</v>
      </c>
      <c r="BM12" s="156">
        <f t="shared" si="14"/>
        <v>0</v>
      </c>
      <c r="BN12" s="439"/>
      <c r="BO12" s="13">
        <f t="shared" si="15"/>
        <v>10</v>
      </c>
      <c r="BP12" s="443">
        <f t="shared" si="51"/>
        <v>0</v>
      </c>
      <c r="BQ12" s="70">
        <f t="shared" si="66"/>
        <v>0</v>
      </c>
      <c r="BR12" s="50">
        <f t="shared" si="16"/>
        <v>40</v>
      </c>
      <c r="BS12" s="103">
        <f t="shared" si="67"/>
        <v>0</v>
      </c>
      <c r="BT12" s="53">
        <f t="shared" ref="BT12:BT15" si="79">BR12-BS12</f>
        <v>40</v>
      </c>
      <c r="BU12" s="56">
        <f t="shared" si="18"/>
        <v>77</v>
      </c>
      <c r="BV12" s="103">
        <f t="shared" si="52"/>
        <v>0</v>
      </c>
      <c r="BW12" s="53">
        <f t="shared" si="76"/>
        <v>77</v>
      </c>
      <c r="BY12" s="197">
        <f>BY11+1</f>
        <v>31</v>
      </c>
      <c r="BZ12" s="8">
        <f t="shared" si="54"/>
        <v>0</v>
      </c>
      <c r="CA12" s="136"/>
      <c r="CB12" s="14">
        <f t="shared" si="77"/>
        <v>0</v>
      </c>
      <c r="CC12" s="53">
        <f>IFERROR(CB12-CG12,0)</f>
        <v>0</v>
      </c>
      <c r="CD12" s="421"/>
      <c r="CE12" s="426"/>
      <c r="CF12" s="426"/>
      <c r="CG12" s="32">
        <f>SUM(CD12:CF12)</f>
        <v>0</v>
      </c>
      <c r="CH12" s="32">
        <f t="shared" si="78"/>
        <v>0</v>
      </c>
      <c r="CI12" s="17">
        <f t="shared" si="19"/>
        <v>0.7</v>
      </c>
      <c r="CJ12" s="166">
        <f>IFERROR((CG12*1000)/CB12,0)</f>
        <v>0</v>
      </c>
      <c r="CK12" s="33">
        <f t="shared" si="20"/>
        <v>0.7</v>
      </c>
      <c r="CL12" s="156">
        <f t="shared" si="69"/>
        <v>0</v>
      </c>
      <c r="CM12" s="137"/>
      <c r="CN12" s="13">
        <f t="shared" si="21"/>
        <v>10</v>
      </c>
      <c r="CO12" s="54">
        <f t="shared" si="70"/>
        <v>0</v>
      </c>
      <c r="CP12" s="70">
        <f t="shared" si="56"/>
        <v>0</v>
      </c>
      <c r="CQ12" s="50">
        <f t="shared" si="22"/>
        <v>40</v>
      </c>
      <c r="CR12" s="103">
        <f t="shared" si="57"/>
        <v>0</v>
      </c>
      <c r="CS12" s="53">
        <f t="shared" si="40"/>
        <v>40</v>
      </c>
      <c r="CT12" s="12">
        <f t="shared" si="23"/>
        <v>77</v>
      </c>
      <c r="CU12" s="103">
        <f t="shared" si="58"/>
        <v>0</v>
      </c>
      <c r="CV12" s="53">
        <f t="shared" si="41"/>
        <v>77</v>
      </c>
    </row>
    <row r="13" spans="1:100" ht="17.25" thickBot="1" x14ac:dyDescent="0.3">
      <c r="A13" s="412"/>
      <c r="B13" s="394">
        <v>13</v>
      </c>
      <c r="C13" s="395">
        <v>1</v>
      </c>
      <c r="D13" s="743">
        <f>SUM(D6:D12)</f>
        <v>191363</v>
      </c>
      <c r="E13" s="400">
        <f>IFERROR(F12+D14,0)</f>
        <v>186187</v>
      </c>
      <c r="F13" s="446">
        <f t="shared" ref="F13:F45" si="80">IFERROR(E13-J13,0)</f>
        <v>185422</v>
      </c>
      <c r="G13" s="398"/>
      <c r="H13" s="399">
        <v>765</v>
      </c>
      <c r="I13" s="399"/>
      <c r="J13" s="379">
        <f t="shared" ref="J13:J76" si="81">SUM(G13:I13)</f>
        <v>765</v>
      </c>
      <c r="K13" s="379">
        <f t="shared" si="25"/>
        <v>5941</v>
      </c>
      <c r="L13" s="413">
        <f t="shared" si="1"/>
        <v>0.7</v>
      </c>
      <c r="M13" s="42">
        <f t="shared" si="26"/>
        <v>0.41087723632691864</v>
      </c>
      <c r="N13" s="418">
        <f t="shared" si="27"/>
        <v>0.7</v>
      </c>
      <c r="O13" s="132">
        <f t="shared" si="28"/>
        <v>3.1045708940599801</v>
      </c>
      <c r="P13" s="440">
        <v>2340</v>
      </c>
      <c r="Q13" s="379">
        <f t="shared" si="2"/>
        <v>10</v>
      </c>
      <c r="R13" s="481">
        <f t="shared" si="29"/>
        <v>12.568009581764571</v>
      </c>
      <c r="S13" s="472">
        <f t="shared" ref="S13:S74" si="82">S12+R13</f>
        <v>111.49017581870153</v>
      </c>
      <c r="T13" s="386">
        <f t="shared" si="3"/>
        <v>70</v>
      </c>
      <c r="U13" s="399">
        <v>68.61</v>
      </c>
      <c r="V13" s="402">
        <f t="shared" si="30"/>
        <v>1.3900000000000006</v>
      </c>
      <c r="W13" s="414">
        <f t="shared" si="4"/>
        <v>77</v>
      </c>
      <c r="X13" s="399">
        <v>70</v>
      </c>
      <c r="Y13" s="402">
        <f t="shared" si="31"/>
        <v>7</v>
      </c>
      <c r="Z13" s="487"/>
      <c r="AA13" s="394">
        <v>13</v>
      </c>
      <c r="AB13" s="395">
        <v>1</v>
      </c>
      <c r="AC13" s="396"/>
      <c r="AD13" s="400">
        <f t="shared" ref="AD13" si="83">IFERROR(AE12+AC13,0)</f>
        <v>0</v>
      </c>
      <c r="AE13" s="446">
        <f t="shared" si="5"/>
        <v>0</v>
      </c>
      <c r="AF13" s="398"/>
      <c r="AG13" s="399"/>
      <c r="AH13" s="399"/>
      <c r="AI13" s="379">
        <f t="shared" ref="AI13:AI76" si="84">SUM(AF13:AH13)</f>
        <v>0</v>
      </c>
      <c r="AJ13" s="379">
        <f t="shared" si="32"/>
        <v>0</v>
      </c>
      <c r="AK13" s="413">
        <f t="shared" si="6"/>
        <v>0.7</v>
      </c>
      <c r="AL13" s="42">
        <f t="shared" si="33"/>
        <v>0</v>
      </c>
      <c r="AM13" s="418">
        <f t="shared" si="7"/>
        <v>0.7</v>
      </c>
      <c r="AN13" s="422">
        <f t="shared" si="72"/>
        <v>0</v>
      </c>
      <c r="AO13" s="440"/>
      <c r="AP13" s="379">
        <f t="shared" si="8"/>
        <v>10</v>
      </c>
      <c r="AQ13" s="481">
        <f t="shared" si="34"/>
        <v>0</v>
      </c>
      <c r="AR13" s="472">
        <f t="shared" si="63"/>
        <v>0</v>
      </c>
      <c r="AS13" s="386">
        <f t="shared" si="9"/>
        <v>70</v>
      </c>
      <c r="AT13" s="399"/>
      <c r="AU13" s="402">
        <f t="shared" si="73"/>
        <v>70</v>
      </c>
      <c r="AV13" s="414">
        <f t="shared" si="10"/>
        <v>77</v>
      </c>
      <c r="AW13" s="399"/>
      <c r="AX13" s="402">
        <f t="shared" si="75"/>
        <v>77</v>
      </c>
      <c r="AY13" s="393"/>
      <c r="AZ13" s="394">
        <v>13</v>
      </c>
      <c r="BA13" s="395">
        <v>1</v>
      </c>
      <c r="BB13" s="396"/>
      <c r="BC13" s="400">
        <f t="shared" si="74"/>
        <v>0</v>
      </c>
      <c r="BD13" s="446">
        <f t="shared" si="11"/>
        <v>0</v>
      </c>
      <c r="BE13" s="398"/>
      <c r="BF13" s="399"/>
      <c r="BG13" s="399"/>
      <c r="BH13" s="379">
        <f t="shared" ref="BH13:BH76" si="85">SUM(BE13:BG13)</f>
        <v>0</v>
      </c>
      <c r="BI13" s="379">
        <f t="shared" si="37"/>
        <v>0</v>
      </c>
      <c r="BJ13" s="413">
        <f t="shared" si="12"/>
        <v>0.7</v>
      </c>
      <c r="BK13" s="235">
        <f t="shared" si="50"/>
        <v>0</v>
      </c>
      <c r="BL13" s="418">
        <f t="shared" si="13"/>
        <v>0.7</v>
      </c>
      <c r="BM13" s="422">
        <f t="shared" si="14"/>
        <v>0</v>
      </c>
      <c r="BN13" s="440"/>
      <c r="BO13" s="379">
        <f t="shared" si="15"/>
        <v>10</v>
      </c>
      <c r="BP13" s="479">
        <f t="shared" si="51"/>
        <v>0</v>
      </c>
      <c r="BQ13" s="401">
        <f t="shared" si="66"/>
        <v>0</v>
      </c>
      <c r="BR13" s="386">
        <f t="shared" si="16"/>
        <v>70</v>
      </c>
      <c r="BS13" s="399"/>
      <c r="BT13" s="402">
        <f t="shared" si="79"/>
        <v>70</v>
      </c>
      <c r="BU13" s="414">
        <f t="shared" si="18"/>
        <v>77</v>
      </c>
      <c r="BV13" s="399"/>
      <c r="BW13" s="402">
        <f t="shared" si="76"/>
        <v>77</v>
      </c>
      <c r="BX13" s="412"/>
      <c r="BY13" s="394">
        <v>1</v>
      </c>
      <c r="BZ13" s="395">
        <v>1</v>
      </c>
      <c r="CA13" s="396"/>
      <c r="CB13" s="379">
        <f t="shared" si="77"/>
        <v>0</v>
      </c>
      <c r="CC13" s="397">
        <f t="shared" ref="CC13:CC76" si="86">IFERROR(CB13-CG13,0)</f>
        <v>0</v>
      </c>
      <c r="CD13" s="398"/>
      <c r="CE13" s="399"/>
      <c r="CF13" s="399"/>
      <c r="CG13" s="379">
        <f t="shared" ref="CG13:CG76" si="87">SUM(CD13:CF13)</f>
        <v>0</v>
      </c>
      <c r="CH13" s="379">
        <f t="shared" si="78"/>
        <v>0</v>
      </c>
      <c r="CI13" s="413">
        <f t="shared" si="19"/>
        <v>0.7</v>
      </c>
      <c r="CJ13" s="429">
        <f t="shared" si="55"/>
        <v>0</v>
      </c>
      <c r="CK13" s="418">
        <f t="shared" si="20"/>
        <v>0.7</v>
      </c>
      <c r="CL13" s="422">
        <f t="shared" si="69"/>
        <v>0</v>
      </c>
      <c r="CM13" s="398"/>
      <c r="CN13" s="379">
        <f t="shared" si="21"/>
        <v>10</v>
      </c>
      <c r="CO13" s="430">
        <f t="shared" si="70"/>
        <v>0</v>
      </c>
      <c r="CP13" s="401">
        <f t="shared" si="56"/>
        <v>0</v>
      </c>
      <c r="CQ13" s="386">
        <f t="shared" si="22"/>
        <v>70</v>
      </c>
      <c r="CR13" s="399"/>
      <c r="CS13" s="402">
        <f t="shared" si="40"/>
        <v>70</v>
      </c>
      <c r="CT13" s="386">
        <f t="shared" si="23"/>
        <v>77</v>
      </c>
      <c r="CU13" s="399"/>
      <c r="CV13" s="402">
        <f t="shared" si="41"/>
        <v>77</v>
      </c>
    </row>
    <row r="14" spans="1:100" ht="17.25" thickBot="1" x14ac:dyDescent="0.3">
      <c r="B14" s="120">
        <f t="shared" ref="B14:B19" si="88">B13+1</f>
        <v>14</v>
      </c>
      <c r="C14" s="7">
        <f>C13</f>
        <v>1</v>
      </c>
      <c r="D14" s="133"/>
      <c r="E14" s="48">
        <f>IFERROR(F13+D14,0)</f>
        <v>185422</v>
      </c>
      <c r="F14" s="196">
        <f t="shared" si="80"/>
        <v>184991</v>
      </c>
      <c r="G14" s="134"/>
      <c r="H14" s="135">
        <v>431</v>
      </c>
      <c r="I14" s="135"/>
      <c r="J14" s="14">
        <f t="shared" si="81"/>
        <v>431</v>
      </c>
      <c r="K14" s="14">
        <f t="shared" si="25"/>
        <v>6372</v>
      </c>
      <c r="L14" s="14">
        <f t="shared" si="1"/>
        <v>0.7</v>
      </c>
      <c r="M14" s="231">
        <f t="shared" si="26"/>
        <v>0.23244275220847579</v>
      </c>
      <c r="N14" s="35">
        <f t="shared" si="27"/>
        <v>0.7</v>
      </c>
      <c r="O14" s="132">
        <f t="shared" si="28"/>
        <v>3.3297972962380396</v>
      </c>
      <c r="P14" s="134">
        <v>1980</v>
      </c>
      <c r="Q14" s="14">
        <f t="shared" si="2"/>
        <v>10</v>
      </c>
      <c r="R14" s="482">
        <f t="shared" si="29"/>
        <v>10.678344533011185</v>
      </c>
      <c r="S14" s="470">
        <f t="shared" si="82"/>
        <v>122.16852035171271</v>
      </c>
      <c r="T14" s="51">
        <f t="shared" si="3"/>
        <v>70</v>
      </c>
      <c r="U14" s="103">
        <f>U13</f>
        <v>68.61</v>
      </c>
      <c r="V14" s="71">
        <f t="shared" si="30"/>
        <v>1.3900000000000006</v>
      </c>
      <c r="W14" s="50">
        <f t="shared" si="4"/>
        <v>77</v>
      </c>
      <c r="X14" s="103">
        <f>X13</f>
        <v>70</v>
      </c>
      <c r="Y14" s="71">
        <f t="shared" si="31"/>
        <v>7</v>
      </c>
      <c r="Z14" s="487"/>
      <c r="AA14" s="120">
        <f t="shared" ref="AA14:AA19" si="89">AA13+1</f>
        <v>14</v>
      </c>
      <c r="AB14" s="7">
        <f>AB13</f>
        <v>1</v>
      </c>
      <c r="AC14" s="229"/>
      <c r="AD14" s="48">
        <f>IFERROR(AE13+AC14,0)</f>
        <v>0</v>
      </c>
      <c r="AE14" s="196">
        <f t="shared" si="5"/>
        <v>0</v>
      </c>
      <c r="AF14" s="134"/>
      <c r="AG14" s="135"/>
      <c r="AH14" s="135"/>
      <c r="AI14" s="14">
        <f t="shared" si="84"/>
        <v>0</v>
      </c>
      <c r="AJ14" s="14">
        <f t="shared" si="32"/>
        <v>0</v>
      </c>
      <c r="AK14" s="14">
        <f t="shared" si="6"/>
        <v>0.7</v>
      </c>
      <c r="AL14" s="231">
        <f t="shared" si="33"/>
        <v>0</v>
      </c>
      <c r="AM14" s="35">
        <f t="shared" si="7"/>
        <v>0.7</v>
      </c>
      <c r="AN14" s="157">
        <f t="shared" si="72"/>
        <v>0</v>
      </c>
      <c r="AO14" s="134"/>
      <c r="AP14" s="14">
        <f t="shared" si="8"/>
        <v>10</v>
      </c>
      <c r="AQ14" s="482">
        <f t="shared" si="34"/>
        <v>0</v>
      </c>
      <c r="AR14" s="470">
        <f t="shared" si="63"/>
        <v>0</v>
      </c>
      <c r="AS14" s="51">
        <f t="shared" si="9"/>
        <v>70</v>
      </c>
      <c r="AT14" s="103">
        <f>AT13</f>
        <v>0</v>
      </c>
      <c r="AU14" s="71">
        <f t="shared" si="73"/>
        <v>70</v>
      </c>
      <c r="AV14" s="50">
        <f t="shared" si="10"/>
        <v>77</v>
      </c>
      <c r="AW14" s="103">
        <f>AW13</f>
        <v>0</v>
      </c>
      <c r="AX14" s="71">
        <f t="shared" si="75"/>
        <v>77</v>
      </c>
      <c r="AZ14" s="120">
        <f t="shared" ref="AZ14:AZ19" si="90">AZ13+1</f>
        <v>14</v>
      </c>
      <c r="BA14" s="7">
        <f>BA13</f>
        <v>1</v>
      </c>
      <c r="BB14" s="133"/>
      <c r="BC14" s="48">
        <f>IFERROR(BD13+BB14,0)</f>
        <v>0</v>
      </c>
      <c r="BD14" s="196">
        <f t="shared" si="11"/>
        <v>0</v>
      </c>
      <c r="BE14" s="134"/>
      <c r="BF14" s="135"/>
      <c r="BG14" s="135"/>
      <c r="BH14" s="14">
        <f t="shared" si="85"/>
        <v>0</v>
      </c>
      <c r="BI14" s="14">
        <f t="shared" si="37"/>
        <v>0</v>
      </c>
      <c r="BJ14" s="14">
        <f t="shared" si="12"/>
        <v>0.7</v>
      </c>
      <c r="BK14" s="47">
        <f t="shared" si="50"/>
        <v>0</v>
      </c>
      <c r="BL14" s="35">
        <f t="shared" si="13"/>
        <v>0.7</v>
      </c>
      <c r="BM14" s="157">
        <f t="shared" si="14"/>
        <v>0</v>
      </c>
      <c r="BN14" s="134"/>
      <c r="BO14" s="14">
        <f t="shared" si="15"/>
        <v>10</v>
      </c>
      <c r="BP14" s="442">
        <f t="shared" si="51"/>
        <v>0</v>
      </c>
      <c r="BQ14" s="68">
        <f t="shared" si="66"/>
        <v>0</v>
      </c>
      <c r="BR14" s="51">
        <f t="shared" si="16"/>
        <v>70</v>
      </c>
      <c r="BS14" s="103">
        <f>BS13</f>
        <v>0</v>
      </c>
      <c r="BT14" s="71">
        <f t="shared" si="79"/>
        <v>70</v>
      </c>
      <c r="BU14" s="50">
        <f t="shared" si="18"/>
        <v>77</v>
      </c>
      <c r="BV14" s="103">
        <f>BV13</f>
        <v>0</v>
      </c>
      <c r="BW14" s="71">
        <f t="shared" si="76"/>
        <v>77</v>
      </c>
      <c r="BY14" s="120">
        <f>BY13+1</f>
        <v>2</v>
      </c>
      <c r="BZ14" s="7">
        <f>BZ13</f>
        <v>1</v>
      </c>
      <c r="CA14" s="133"/>
      <c r="CB14" s="14">
        <f t="shared" si="77"/>
        <v>0</v>
      </c>
      <c r="CC14" s="59">
        <f t="shared" si="86"/>
        <v>0</v>
      </c>
      <c r="CD14" s="405"/>
      <c r="CE14" s="406"/>
      <c r="CF14" s="406"/>
      <c r="CG14" s="14">
        <f t="shared" si="87"/>
        <v>0</v>
      </c>
      <c r="CH14" s="14">
        <f t="shared" si="78"/>
        <v>0</v>
      </c>
      <c r="CI14" s="14">
        <f t="shared" si="19"/>
        <v>0.7</v>
      </c>
      <c r="CJ14" s="47">
        <f t="shared" si="55"/>
        <v>0</v>
      </c>
      <c r="CK14" s="35">
        <f t="shared" si="20"/>
        <v>0.7</v>
      </c>
      <c r="CL14" s="157">
        <f t="shared" si="69"/>
        <v>0</v>
      </c>
      <c r="CM14" s="134"/>
      <c r="CN14" s="14">
        <f t="shared" si="21"/>
        <v>10</v>
      </c>
      <c r="CO14" s="48">
        <f t="shared" si="70"/>
        <v>0</v>
      </c>
      <c r="CP14" s="68">
        <f t="shared" si="56"/>
        <v>0</v>
      </c>
      <c r="CQ14" s="51">
        <f t="shared" si="22"/>
        <v>70</v>
      </c>
      <c r="CR14" s="103">
        <f>CR13</f>
        <v>0</v>
      </c>
      <c r="CS14" s="46">
        <f t="shared" si="40"/>
        <v>70</v>
      </c>
      <c r="CT14" s="51">
        <f t="shared" si="23"/>
        <v>77</v>
      </c>
      <c r="CU14" s="112">
        <f>CU13</f>
        <v>0</v>
      </c>
      <c r="CV14" s="71">
        <f t="shared" si="41"/>
        <v>77</v>
      </c>
    </row>
    <row r="15" spans="1:100" ht="17.25" thickBot="1" x14ac:dyDescent="0.3">
      <c r="B15" s="120">
        <f t="shared" si="88"/>
        <v>15</v>
      </c>
      <c r="C15" s="7">
        <f t="shared" ref="C15:C19" si="91">C14</f>
        <v>1</v>
      </c>
      <c r="D15" s="133"/>
      <c r="E15" s="48">
        <f>IFERROR(F14+D15,0)</f>
        <v>184991</v>
      </c>
      <c r="F15" s="49">
        <f t="shared" si="80"/>
        <v>184659</v>
      </c>
      <c r="G15" s="134"/>
      <c r="H15" s="135">
        <v>332</v>
      </c>
      <c r="I15" s="135"/>
      <c r="J15" s="31">
        <f t="shared" si="81"/>
        <v>332</v>
      </c>
      <c r="K15" s="14">
        <f t="shared" ref="K15:K73" si="92">K14+J15</f>
        <v>6704</v>
      </c>
      <c r="L15" s="14">
        <f t="shared" si="1"/>
        <v>0.7</v>
      </c>
      <c r="M15" s="230">
        <f t="shared" si="26"/>
        <v>0.17946819034439512</v>
      </c>
      <c r="N15" s="35">
        <f t="shared" si="27"/>
        <v>0.7</v>
      </c>
      <c r="O15" s="132">
        <f t="shared" si="28"/>
        <v>3.5032895596327398</v>
      </c>
      <c r="P15" s="134">
        <v>1260</v>
      </c>
      <c r="Q15" s="14">
        <f t="shared" si="2"/>
        <v>10</v>
      </c>
      <c r="R15" s="482">
        <f t="shared" si="29"/>
        <v>6.8111421636728267</v>
      </c>
      <c r="S15" s="470">
        <f t="shared" si="82"/>
        <v>128.97966251538554</v>
      </c>
      <c r="T15" s="51">
        <f t="shared" si="3"/>
        <v>70</v>
      </c>
      <c r="U15" s="103">
        <f t="shared" ref="U15:U19" si="93">U14</f>
        <v>68.61</v>
      </c>
      <c r="V15" s="46">
        <f t="shared" ref="V15:V70" si="94">T15-U15</f>
        <v>1.3900000000000006</v>
      </c>
      <c r="W15" s="50">
        <f t="shared" si="4"/>
        <v>77</v>
      </c>
      <c r="X15" s="103">
        <f t="shared" ref="X15:X19" si="95">X14</f>
        <v>70</v>
      </c>
      <c r="Y15" s="71">
        <f t="shared" si="31"/>
        <v>7</v>
      </c>
      <c r="Z15" s="487"/>
      <c r="AA15" s="120">
        <f t="shared" si="89"/>
        <v>15</v>
      </c>
      <c r="AB15" s="7">
        <f t="shared" ref="AB15:AB19" si="96">AB14</f>
        <v>1</v>
      </c>
      <c r="AC15" s="229"/>
      <c r="AD15" s="48">
        <f>IFERROR(AE14+AC15,0)</f>
        <v>0</v>
      </c>
      <c r="AE15" s="49">
        <f t="shared" si="5"/>
        <v>0</v>
      </c>
      <c r="AF15" s="134"/>
      <c r="AG15" s="135"/>
      <c r="AH15" s="135"/>
      <c r="AI15" s="31">
        <f t="shared" si="84"/>
        <v>0</v>
      </c>
      <c r="AJ15" s="14">
        <f t="shared" si="32"/>
        <v>0</v>
      </c>
      <c r="AK15" s="14">
        <f t="shared" si="6"/>
        <v>0.7</v>
      </c>
      <c r="AL15" s="230">
        <f t="shared" si="33"/>
        <v>0</v>
      </c>
      <c r="AM15" s="35">
        <f t="shared" si="7"/>
        <v>0.7</v>
      </c>
      <c r="AN15" s="157">
        <f t="shared" si="72"/>
        <v>0</v>
      </c>
      <c r="AO15" s="134"/>
      <c r="AP15" s="14">
        <f t="shared" si="8"/>
        <v>10</v>
      </c>
      <c r="AQ15" s="482">
        <f t="shared" si="34"/>
        <v>0</v>
      </c>
      <c r="AR15" s="470">
        <f t="shared" si="63"/>
        <v>0</v>
      </c>
      <c r="AS15" s="51">
        <f t="shared" si="9"/>
        <v>70</v>
      </c>
      <c r="AT15" s="103">
        <f t="shared" ref="AT15:AT19" si="97">AT14</f>
        <v>0</v>
      </c>
      <c r="AU15" s="46">
        <f t="shared" si="73"/>
        <v>70</v>
      </c>
      <c r="AV15" s="50">
        <f t="shared" si="10"/>
        <v>77</v>
      </c>
      <c r="AW15" s="103">
        <f t="shared" ref="AW15:AW19" si="98">AW14</f>
        <v>0</v>
      </c>
      <c r="AX15" s="71">
        <f t="shared" si="75"/>
        <v>77</v>
      </c>
      <c r="AZ15" s="120">
        <f t="shared" si="90"/>
        <v>15</v>
      </c>
      <c r="BA15" s="7">
        <f t="shared" ref="BA15:BA19" si="99">BA14</f>
        <v>1</v>
      </c>
      <c r="BB15" s="133"/>
      <c r="BC15" s="48">
        <f>IFERROR(BD14+BB15,0)</f>
        <v>0</v>
      </c>
      <c r="BD15" s="49">
        <f t="shared" si="11"/>
        <v>0</v>
      </c>
      <c r="BE15" s="134"/>
      <c r="BF15" s="135"/>
      <c r="BG15" s="135"/>
      <c r="BH15" s="31">
        <f t="shared" si="85"/>
        <v>0</v>
      </c>
      <c r="BI15" s="14">
        <f t="shared" si="37"/>
        <v>0</v>
      </c>
      <c r="BJ15" s="14">
        <f t="shared" si="12"/>
        <v>0.7</v>
      </c>
      <c r="BK15" s="47">
        <f t="shared" si="50"/>
        <v>0</v>
      </c>
      <c r="BL15" s="35">
        <f t="shared" si="13"/>
        <v>0.7</v>
      </c>
      <c r="BM15" s="157">
        <f t="shared" si="14"/>
        <v>0</v>
      </c>
      <c r="BN15" s="134"/>
      <c r="BO15" s="14">
        <f t="shared" si="15"/>
        <v>10</v>
      </c>
      <c r="BP15" s="442">
        <f t="shared" si="51"/>
        <v>0</v>
      </c>
      <c r="BQ15" s="68">
        <f t="shared" si="66"/>
        <v>0</v>
      </c>
      <c r="BR15" s="51">
        <f t="shared" si="16"/>
        <v>70</v>
      </c>
      <c r="BS15" s="103">
        <f t="shared" ref="BS15:BS19" si="100">BS14</f>
        <v>0</v>
      </c>
      <c r="BT15" s="46">
        <f t="shared" si="79"/>
        <v>70</v>
      </c>
      <c r="BU15" s="50">
        <f t="shared" si="18"/>
        <v>77</v>
      </c>
      <c r="BV15" s="103">
        <f t="shared" ref="BV15:BV19" si="101">BV14</f>
        <v>0</v>
      </c>
      <c r="BW15" s="71">
        <f t="shared" si="76"/>
        <v>77</v>
      </c>
      <c r="BY15" s="120">
        <f t="shared" ref="BY15:BY16" si="102">BY14+1</f>
        <v>3</v>
      </c>
      <c r="BZ15" s="7">
        <f t="shared" ref="BZ15:BZ19" si="103">BZ14</f>
        <v>1</v>
      </c>
      <c r="CA15" s="133"/>
      <c r="CB15" s="14">
        <f t="shared" si="77"/>
        <v>0</v>
      </c>
      <c r="CC15" s="46">
        <f>IFERROR(CB15-CG15,0)</f>
        <v>0</v>
      </c>
      <c r="CD15" s="405"/>
      <c r="CE15" s="406"/>
      <c r="CF15" s="406"/>
      <c r="CG15" s="31">
        <f t="shared" si="87"/>
        <v>0</v>
      </c>
      <c r="CH15" s="14">
        <f t="shared" si="78"/>
        <v>0</v>
      </c>
      <c r="CI15" s="14">
        <f t="shared" si="19"/>
        <v>0.7</v>
      </c>
      <c r="CJ15" s="47">
        <f t="shared" si="55"/>
        <v>0</v>
      </c>
      <c r="CK15" s="35">
        <f t="shared" si="20"/>
        <v>0.7</v>
      </c>
      <c r="CL15" s="157">
        <f t="shared" si="69"/>
        <v>0</v>
      </c>
      <c r="CM15" s="134"/>
      <c r="CN15" s="14">
        <f t="shared" si="21"/>
        <v>10</v>
      </c>
      <c r="CO15" s="48">
        <f t="shared" si="70"/>
        <v>0</v>
      </c>
      <c r="CP15" s="68">
        <f t="shared" si="56"/>
        <v>0</v>
      </c>
      <c r="CQ15" s="51">
        <f t="shared" si="22"/>
        <v>70</v>
      </c>
      <c r="CR15" s="103">
        <f t="shared" ref="CR15:CR19" si="104">CR14</f>
        <v>0</v>
      </c>
      <c r="CS15" s="46">
        <f t="shared" si="40"/>
        <v>70</v>
      </c>
      <c r="CT15" s="51">
        <f t="shared" si="23"/>
        <v>77</v>
      </c>
      <c r="CU15" s="112">
        <f t="shared" ref="CU15:CU19" si="105">CU14</f>
        <v>0</v>
      </c>
      <c r="CV15" s="71">
        <f t="shared" si="41"/>
        <v>77</v>
      </c>
    </row>
    <row r="16" spans="1:100" ht="17.25" thickBot="1" x14ac:dyDescent="0.3">
      <c r="B16" s="120">
        <f t="shared" si="88"/>
        <v>16</v>
      </c>
      <c r="C16" s="7">
        <f t="shared" si="91"/>
        <v>1</v>
      </c>
      <c r="D16" s="133"/>
      <c r="E16" s="48">
        <f>IFERROR(F15+D16,0)</f>
        <v>184659</v>
      </c>
      <c r="F16" s="447">
        <f t="shared" si="80"/>
        <v>184354</v>
      </c>
      <c r="G16" s="134">
        <v>4</v>
      </c>
      <c r="H16" s="135">
        <v>301</v>
      </c>
      <c r="I16" s="135"/>
      <c r="J16" s="14">
        <f t="shared" si="81"/>
        <v>305</v>
      </c>
      <c r="K16" s="14">
        <f t="shared" si="92"/>
        <v>7009</v>
      </c>
      <c r="L16" s="14">
        <f t="shared" si="1"/>
        <v>0.7</v>
      </c>
      <c r="M16" s="230">
        <f t="shared" si="26"/>
        <v>0.16516931208335364</v>
      </c>
      <c r="N16" s="35">
        <f t="shared" si="27"/>
        <v>0.7</v>
      </c>
      <c r="O16" s="132">
        <f t="shared" si="28"/>
        <v>3.6626725124501602</v>
      </c>
      <c r="P16" s="134">
        <v>2700</v>
      </c>
      <c r="Q16" s="14">
        <f t="shared" si="2"/>
        <v>10</v>
      </c>
      <c r="R16" s="482">
        <f t="shared" si="29"/>
        <v>14.621545659837864</v>
      </c>
      <c r="S16" s="470">
        <f t="shared" si="82"/>
        <v>143.60120817522341</v>
      </c>
      <c r="T16" s="51">
        <f t="shared" si="3"/>
        <v>70</v>
      </c>
      <c r="U16" s="103">
        <v>72.959999999999994</v>
      </c>
      <c r="V16" s="46">
        <f>T16-U16</f>
        <v>-2.9599999999999937</v>
      </c>
      <c r="W16" s="51">
        <f t="shared" si="4"/>
        <v>77</v>
      </c>
      <c r="X16" s="103">
        <v>72</v>
      </c>
      <c r="Y16" s="71">
        <f t="shared" si="31"/>
        <v>5</v>
      </c>
      <c r="Z16" s="487"/>
      <c r="AA16" s="120">
        <f t="shared" si="89"/>
        <v>16</v>
      </c>
      <c r="AB16" s="7">
        <f t="shared" si="96"/>
        <v>1</v>
      </c>
      <c r="AC16" s="229"/>
      <c r="AD16" s="48">
        <f>IFERROR(AE15+AC16,0)</f>
        <v>0</v>
      </c>
      <c r="AE16" s="447">
        <f t="shared" si="5"/>
        <v>0</v>
      </c>
      <c r="AF16" s="134"/>
      <c r="AG16" s="135"/>
      <c r="AH16" s="135"/>
      <c r="AI16" s="14">
        <f t="shared" si="84"/>
        <v>0</v>
      </c>
      <c r="AJ16" s="14">
        <f t="shared" si="32"/>
        <v>0</v>
      </c>
      <c r="AK16" s="14">
        <f t="shared" si="6"/>
        <v>0.7</v>
      </c>
      <c r="AL16" s="230">
        <f t="shared" si="33"/>
        <v>0</v>
      </c>
      <c r="AM16" s="35">
        <f t="shared" si="7"/>
        <v>0.7</v>
      </c>
      <c r="AN16" s="157">
        <f t="shared" si="72"/>
        <v>0</v>
      </c>
      <c r="AO16" s="134"/>
      <c r="AP16" s="14">
        <f t="shared" si="8"/>
        <v>10</v>
      </c>
      <c r="AQ16" s="482">
        <f t="shared" si="34"/>
        <v>0</v>
      </c>
      <c r="AR16" s="470">
        <f t="shared" si="63"/>
        <v>0</v>
      </c>
      <c r="AS16" s="51">
        <f t="shared" si="9"/>
        <v>70</v>
      </c>
      <c r="AT16" s="103"/>
      <c r="AU16" s="46">
        <f>AS16-AT16</f>
        <v>70</v>
      </c>
      <c r="AV16" s="51">
        <f t="shared" si="10"/>
        <v>77</v>
      </c>
      <c r="AW16" s="103"/>
      <c r="AX16" s="71">
        <f t="shared" si="75"/>
        <v>77</v>
      </c>
      <c r="AZ16" s="120">
        <f t="shared" si="90"/>
        <v>16</v>
      </c>
      <c r="BA16" s="7">
        <f t="shared" si="99"/>
        <v>1</v>
      </c>
      <c r="BB16" s="133"/>
      <c r="BC16" s="48">
        <f>IFERROR(BD15+BB16,0)</f>
        <v>0</v>
      </c>
      <c r="BD16" s="447">
        <f t="shared" si="11"/>
        <v>0</v>
      </c>
      <c r="BE16" s="134"/>
      <c r="BF16" s="135"/>
      <c r="BG16" s="135"/>
      <c r="BH16" s="14">
        <f t="shared" si="85"/>
        <v>0</v>
      </c>
      <c r="BI16" s="14">
        <f t="shared" si="37"/>
        <v>0</v>
      </c>
      <c r="BJ16" s="14">
        <f t="shared" si="12"/>
        <v>0.7</v>
      </c>
      <c r="BK16" s="47">
        <f t="shared" si="50"/>
        <v>0</v>
      </c>
      <c r="BL16" s="35">
        <f t="shared" si="13"/>
        <v>0.7</v>
      </c>
      <c r="BM16" s="157">
        <f t="shared" si="14"/>
        <v>0</v>
      </c>
      <c r="BN16" s="134"/>
      <c r="BO16" s="14">
        <f t="shared" si="15"/>
        <v>10</v>
      </c>
      <c r="BP16" s="442">
        <f t="shared" si="51"/>
        <v>0</v>
      </c>
      <c r="BQ16" s="68">
        <f t="shared" si="66"/>
        <v>0</v>
      </c>
      <c r="BR16" s="51">
        <f t="shared" si="16"/>
        <v>70</v>
      </c>
      <c r="BS16" s="103">
        <f t="shared" si="100"/>
        <v>0</v>
      </c>
      <c r="BT16" s="46">
        <f>BR16-BS16</f>
        <v>70</v>
      </c>
      <c r="BU16" s="51">
        <f t="shared" si="18"/>
        <v>77</v>
      </c>
      <c r="BV16" s="103">
        <f t="shared" si="101"/>
        <v>0</v>
      </c>
      <c r="BW16" s="71">
        <f t="shared" si="76"/>
        <v>77</v>
      </c>
      <c r="BY16" s="120">
        <f t="shared" si="102"/>
        <v>4</v>
      </c>
      <c r="BZ16" s="7">
        <f t="shared" si="103"/>
        <v>1</v>
      </c>
      <c r="CA16" s="133"/>
      <c r="CB16" s="14">
        <f t="shared" si="77"/>
        <v>0</v>
      </c>
      <c r="CC16" s="62">
        <f>IFERROR(CB16-CG16,0)</f>
        <v>0</v>
      </c>
      <c r="CD16" s="405"/>
      <c r="CE16" s="406"/>
      <c r="CF16" s="406"/>
      <c r="CG16" s="14">
        <f t="shared" si="87"/>
        <v>0</v>
      </c>
      <c r="CH16" s="14">
        <f t="shared" si="78"/>
        <v>0</v>
      </c>
      <c r="CI16" s="14">
        <f t="shared" si="19"/>
        <v>0.7</v>
      </c>
      <c r="CJ16" s="47">
        <f t="shared" si="55"/>
        <v>0</v>
      </c>
      <c r="CK16" s="35">
        <f t="shared" si="20"/>
        <v>0.7</v>
      </c>
      <c r="CL16" s="157">
        <f t="shared" si="69"/>
        <v>0</v>
      </c>
      <c r="CM16" s="134"/>
      <c r="CN16" s="14">
        <f t="shared" si="21"/>
        <v>10</v>
      </c>
      <c r="CO16" s="48">
        <f>IFERROR(CM16/CB16,0)</f>
        <v>0</v>
      </c>
      <c r="CP16" s="68">
        <f t="shared" si="56"/>
        <v>0</v>
      </c>
      <c r="CQ16" s="51">
        <f t="shared" si="22"/>
        <v>70</v>
      </c>
      <c r="CR16" s="103">
        <f t="shared" si="104"/>
        <v>0</v>
      </c>
      <c r="CS16" s="46">
        <f>CQ16-CR16</f>
        <v>70</v>
      </c>
      <c r="CT16" s="12">
        <f t="shared" si="23"/>
        <v>77</v>
      </c>
      <c r="CU16" s="112">
        <f t="shared" si="105"/>
        <v>0</v>
      </c>
      <c r="CV16" s="71">
        <f t="shared" si="41"/>
        <v>77</v>
      </c>
    </row>
    <row r="17" spans="1:100" ht="17.25" thickBot="1" x14ac:dyDescent="0.3">
      <c r="B17" s="120">
        <f t="shared" si="88"/>
        <v>17</v>
      </c>
      <c r="C17" s="7">
        <f t="shared" si="91"/>
        <v>1</v>
      </c>
      <c r="D17" s="133"/>
      <c r="E17" s="48">
        <f>IFERROR(F16+D17,0)</f>
        <v>184354</v>
      </c>
      <c r="F17" s="196">
        <f t="shared" si="80"/>
        <v>184118</v>
      </c>
      <c r="G17" s="134">
        <v>5</v>
      </c>
      <c r="H17" s="135">
        <v>231</v>
      </c>
      <c r="I17" s="135"/>
      <c r="J17" s="14">
        <f t="shared" si="81"/>
        <v>236</v>
      </c>
      <c r="K17" s="14">
        <f t="shared" si="92"/>
        <v>7245</v>
      </c>
      <c r="L17" s="14">
        <f t="shared" si="1"/>
        <v>0.7</v>
      </c>
      <c r="M17" s="230">
        <f t="shared" si="26"/>
        <v>0.12801458064376145</v>
      </c>
      <c r="N17" s="35">
        <f t="shared" si="27"/>
        <v>0.7</v>
      </c>
      <c r="O17" s="132">
        <f t="shared" si="28"/>
        <v>3.7859983382367544</v>
      </c>
      <c r="P17" s="134">
        <v>2880</v>
      </c>
      <c r="Q17" s="14">
        <f t="shared" si="2"/>
        <v>10</v>
      </c>
      <c r="R17" s="482">
        <f t="shared" si="29"/>
        <v>15.622118315848857</v>
      </c>
      <c r="S17" s="470">
        <f t="shared" si="82"/>
        <v>159.22332649107227</v>
      </c>
      <c r="T17" s="51">
        <f t="shared" si="3"/>
        <v>70</v>
      </c>
      <c r="U17" s="103">
        <f t="shared" si="93"/>
        <v>72.959999999999994</v>
      </c>
      <c r="V17" s="62">
        <f>T17-U17</f>
        <v>-2.9599999999999937</v>
      </c>
      <c r="W17" s="51">
        <f t="shared" si="4"/>
        <v>77</v>
      </c>
      <c r="X17" s="103">
        <f t="shared" si="95"/>
        <v>72</v>
      </c>
      <c r="Y17" s="71">
        <f t="shared" si="31"/>
        <v>5</v>
      </c>
      <c r="Z17" s="487"/>
      <c r="AA17" s="120">
        <f t="shared" si="89"/>
        <v>17</v>
      </c>
      <c r="AB17" s="7">
        <f t="shared" si="96"/>
        <v>1</v>
      </c>
      <c r="AC17" s="229"/>
      <c r="AD17" s="48">
        <f>IFERROR(AE16+AC17,0)</f>
        <v>0</v>
      </c>
      <c r="AE17" s="196">
        <f t="shared" si="5"/>
        <v>0</v>
      </c>
      <c r="AF17" s="134"/>
      <c r="AG17" s="135"/>
      <c r="AH17" s="135"/>
      <c r="AI17" s="14">
        <f t="shared" si="84"/>
        <v>0</v>
      </c>
      <c r="AJ17" s="14">
        <f t="shared" si="32"/>
        <v>0</v>
      </c>
      <c r="AK17" s="14">
        <f t="shared" si="6"/>
        <v>0.7</v>
      </c>
      <c r="AL17" s="230">
        <f t="shared" si="33"/>
        <v>0</v>
      </c>
      <c r="AM17" s="35">
        <f t="shared" si="7"/>
        <v>0.7</v>
      </c>
      <c r="AN17" s="157">
        <f t="shared" si="72"/>
        <v>0</v>
      </c>
      <c r="AO17" s="134"/>
      <c r="AP17" s="14">
        <f t="shared" si="8"/>
        <v>10</v>
      </c>
      <c r="AQ17" s="482">
        <f t="shared" si="34"/>
        <v>0</v>
      </c>
      <c r="AR17" s="470">
        <f t="shared" si="63"/>
        <v>0</v>
      </c>
      <c r="AS17" s="51">
        <f t="shared" si="9"/>
        <v>70</v>
      </c>
      <c r="AT17" s="103">
        <f t="shared" si="97"/>
        <v>0</v>
      </c>
      <c r="AU17" s="62">
        <f>AS17-AT17</f>
        <v>70</v>
      </c>
      <c r="AV17" s="51">
        <f t="shared" si="10"/>
        <v>77</v>
      </c>
      <c r="AW17" s="103">
        <f t="shared" si="98"/>
        <v>0</v>
      </c>
      <c r="AX17" s="71">
        <f t="shared" si="75"/>
        <v>77</v>
      </c>
      <c r="AZ17" s="120">
        <f t="shared" si="90"/>
        <v>17</v>
      </c>
      <c r="BA17" s="7">
        <f t="shared" si="99"/>
        <v>1</v>
      </c>
      <c r="BB17" s="133"/>
      <c r="BC17" s="48">
        <f>IFERROR(BD16+BB17,0)</f>
        <v>0</v>
      </c>
      <c r="BD17" s="196">
        <f t="shared" si="11"/>
        <v>0</v>
      </c>
      <c r="BE17" s="134"/>
      <c r="BF17" s="135"/>
      <c r="BG17" s="135"/>
      <c r="BH17" s="14">
        <f t="shared" si="85"/>
        <v>0</v>
      </c>
      <c r="BI17" s="14">
        <f t="shared" si="37"/>
        <v>0</v>
      </c>
      <c r="BJ17" s="14">
        <f t="shared" si="12"/>
        <v>0.7</v>
      </c>
      <c r="BK17" s="47">
        <f t="shared" si="50"/>
        <v>0</v>
      </c>
      <c r="BL17" s="35">
        <f t="shared" si="13"/>
        <v>0.7</v>
      </c>
      <c r="BM17" s="157">
        <f t="shared" si="14"/>
        <v>0</v>
      </c>
      <c r="BN17" s="134"/>
      <c r="BO17" s="14">
        <f t="shared" si="15"/>
        <v>10</v>
      </c>
      <c r="BP17" s="442">
        <f t="shared" si="51"/>
        <v>0</v>
      </c>
      <c r="BQ17" s="68">
        <f t="shared" si="66"/>
        <v>0</v>
      </c>
      <c r="BR17" s="51">
        <f t="shared" si="16"/>
        <v>70</v>
      </c>
      <c r="BS17" s="103">
        <f t="shared" si="100"/>
        <v>0</v>
      </c>
      <c r="BT17" s="62">
        <f>BR17-BS17</f>
        <v>70</v>
      </c>
      <c r="BU17" s="51">
        <f t="shared" si="18"/>
        <v>77</v>
      </c>
      <c r="BV17" s="103">
        <f t="shared" si="101"/>
        <v>0</v>
      </c>
      <c r="BW17" s="71">
        <f t="shared" si="76"/>
        <v>77</v>
      </c>
      <c r="BY17" s="120">
        <f>BY16+1</f>
        <v>5</v>
      </c>
      <c r="BZ17" s="7">
        <f t="shared" si="103"/>
        <v>1</v>
      </c>
      <c r="CA17" s="133"/>
      <c r="CB17" s="14">
        <f t="shared" si="77"/>
        <v>0</v>
      </c>
      <c r="CC17" s="59">
        <f>IFERROR(CB17-CG17,0)</f>
        <v>0</v>
      </c>
      <c r="CD17" s="405"/>
      <c r="CE17" s="406"/>
      <c r="CF17" s="406"/>
      <c r="CG17" s="14">
        <f t="shared" si="87"/>
        <v>0</v>
      </c>
      <c r="CH17" s="14">
        <f t="shared" si="78"/>
        <v>0</v>
      </c>
      <c r="CI17" s="14">
        <f t="shared" si="19"/>
        <v>0.7</v>
      </c>
      <c r="CJ17" s="47">
        <f t="shared" si="55"/>
        <v>0</v>
      </c>
      <c r="CK17" s="35">
        <f t="shared" si="20"/>
        <v>0.7</v>
      </c>
      <c r="CL17" s="157">
        <f t="shared" si="69"/>
        <v>0</v>
      </c>
      <c r="CM17" s="134"/>
      <c r="CN17" s="14">
        <f t="shared" si="21"/>
        <v>10</v>
      </c>
      <c r="CO17" s="48">
        <f t="shared" si="70"/>
        <v>0</v>
      </c>
      <c r="CP17" s="68">
        <f t="shared" si="56"/>
        <v>0</v>
      </c>
      <c r="CQ17" s="51">
        <f t="shared" si="22"/>
        <v>70</v>
      </c>
      <c r="CR17" s="103">
        <f t="shared" si="104"/>
        <v>0</v>
      </c>
      <c r="CS17" s="62">
        <f>CQ17-CR17</f>
        <v>70</v>
      </c>
      <c r="CT17" s="50">
        <f t="shared" si="23"/>
        <v>77</v>
      </c>
      <c r="CU17" s="112">
        <f t="shared" si="105"/>
        <v>0</v>
      </c>
      <c r="CV17" s="71">
        <f t="shared" si="41"/>
        <v>77</v>
      </c>
    </row>
    <row r="18" spans="1:100" ht="17.25" thickBot="1" x14ac:dyDescent="0.3">
      <c r="B18" s="120">
        <f t="shared" si="88"/>
        <v>18</v>
      </c>
      <c r="C18" s="7">
        <f t="shared" si="91"/>
        <v>1</v>
      </c>
      <c r="D18" s="133"/>
      <c r="E18" s="48">
        <f t="shared" ref="E18:E42" si="106">IFERROR(F17+D18,0)</f>
        <v>184118</v>
      </c>
      <c r="F18" s="49">
        <f t="shared" si="80"/>
        <v>183558</v>
      </c>
      <c r="G18" s="134"/>
      <c r="H18" s="135">
        <v>560</v>
      </c>
      <c r="I18" s="135"/>
      <c r="J18" s="14">
        <f t="shared" si="81"/>
        <v>560</v>
      </c>
      <c r="K18" s="14">
        <f t="shared" si="92"/>
        <v>7805</v>
      </c>
      <c r="L18" s="14">
        <f t="shared" si="1"/>
        <v>0.7</v>
      </c>
      <c r="M18" s="230">
        <f t="shared" si="26"/>
        <v>0.30415277159213111</v>
      </c>
      <c r="N18" s="35">
        <f t="shared" si="27"/>
        <v>0.7</v>
      </c>
      <c r="O18" s="132">
        <f t="shared" si="28"/>
        <v>4.0786358909507063</v>
      </c>
      <c r="P18" s="134">
        <v>2160</v>
      </c>
      <c r="Q18" s="14">
        <f t="shared" si="2"/>
        <v>10</v>
      </c>
      <c r="R18" s="482">
        <f t="shared" si="29"/>
        <v>11.731606904267915</v>
      </c>
      <c r="S18" s="470">
        <f t="shared" si="82"/>
        <v>170.95493339534019</v>
      </c>
      <c r="T18" s="51">
        <f t="shared" si="3"/>
        <v>70</v>
      </c>
      <c r="U18" s="103">
        <f t="shared" si="93"/>
        <v>72.959999999999994</v>
      </c>
      <c r="V18" s="46">
        <f>T18-U18</f>
        <v>-2.9599999999999937</v>
      </c>
      <c r="W18" s="12">
        <f t="shared" si="4"/>
        <v>77</v>
      </c>
      <c r="X18" s="103">
        <f t="shared" si="95"/>
        <v>72</v>
      </c>
      <c r="Y18" s="71">
        <f t="shared" si="31"/>
        <v>5</v>
      </c>
      <c r="Z18" s="487"/>
      <c r="AA18" s="120">
        <f t="shared" si="89"/>
        <v>18</v>
      </c>
      <c r="AB18" s="7">
        <f t="shared" si="96"/>
        <v>1</v>
      </c>
      <c r="AC18" s="229"/>
      <c r="AD18" s="48">
        <f t="shared" ref="AD18:AD25" si="107">IFERROR(AE17+AC18,0)</f>
        <v>0</v>
      </c>
      <c r="AE18" s="49">
        <f t="shared" si="5"/>
        <v>0</v>
      </c>
      <c r="AF18" s="134"/>
      <c r="AG18" s="135"/>
      <c r="AH18" s="135"/>
      <c r="AI18" s="14">
        <f t="shared" si="84"/>
        <v>0</v>
      </c>
      <c r="AJ18" s="14">
        <f t="shared" si="32"/>
        <v>0</v>
      </c>
      <c r="AK18" s="14">
        <f t="shared" si="6"/>
        <v>0.7</v>
      </c>
      <c r="AL18" s="230">
        <f t="shared" si="33"/>
        <v>0</v>
      </c>
      <c r="AM18" s="35">
        <f t="shared" si="7"/>
        <v>0.7</v>
      </c>
      <c r="AN18" s="157">
        <f t="shared" si="72"/>
        <v>0</v>
      </c>
      <c r="AO18" s="134"/>
      <c r="AP18" s="14">
        <f t="shared" si="8"/>
        <v>10</v>
      </c>
      <c r="AQ18" s="482">
        <f t="shared" si="34"/>
        <v>0</v>
      </c>
      <c r="AR18" s="470">
        <f t="shared" si="63"/>
        <v>0</v>
      </c>
      <c r="AS18" s="51">
        <f t="shared" si="9"/>
        <v>70</v>
      </c>
      <c r="AT18" s="103">
        <f t="shared" si="97"/>
        <v>0</v>
      </c>
      <c r="AU18" s="46">
        <f>AS18-AT18</f>
        <v>70</v>
      </c>
      <c r="AV18" s="12">
        <f t="shared" si="10"/>
        <v>77</v>
      </c>
      <c r="AW18" s="103">
        <f t="shared" si="98"/>
        <v>0</v>
      </c>
      <c r="AX18" s="71">
        <f t="shared" si="75"/>
        <v>77</v>
      </c>
      <c r="AZ18" s="120">
        <f t="shared" si="90"/>
        <v>18</v>
      </c>
      <c r="BA18" s="7">
        <f t="shared" si="99"/>
        <v>1</v>
      </c>
      <c r="BB18" s="133"/>
      <c r="BC18" s="48">
        <f t="shared" ref="BC18:BC25" si="108">IFERROR(BD17+BB18,0)</f>
        <v>0</v>
      </c>
      <c r="BD18" s="49">
        <f t="shared" si="11"/>
        <v>0</v>
      </c>
      <c r="BE18" s="134"/>
      <c r="BF18" s="135"/>
      <c r="BG18" s="135"/>
      <c r="BH18" s="14">
        <f t="shared" si="85"/>
        <v>0</v>
      </c>
      <c r="BI18" s="14">
        <f t="shared" si="37"/>
        <v>0</v>
      </c>
      <c r="BJ18" s="14">
        <f t="shared" si="12"/>
        <v>0.7</v>
      </c>
      <c r="BK18" s="47">
        <f t="shared" si="50"/>
        <v>0</v>
      </c>
      <c r="BL18" s="35">
        <f t="shared" si="13"/>
        <v>0.7</v>
      </c>
      <c r="BM18" s="157">
        <f t="shared" si="14"/>
        <v>0</v>
      </c>
      <c r="BN18" s="134"/>
      <c r="BO18" s="14">
        <f t="shared" si="15"/>
        <v>10</v>
      </c>
      <c r="BP18" s="442">
        <f t="shared" si="51"/>
        <v>0</v>
      </c>
      <c r="BQ18" s="68">
        <f t="shared" si="66"/>
        <v>0</v>
      </c>
      <c r="BR18" s="51">
        <f t="shared" si="16"/>
        <v>70</v>
      </c>
      <c r="BS18" s="103">
        <f t="shared" si="100"/>
        <v>0</v>
      </c>
      <c r="BT18" s="46">
        <f>BR18-BS18</f>
        <v>70</v>
      </c>
      <c r="BU18" s="12">
        <f t="shared" si="18"/>
        <v>77</v>
      </c>
      <c r="BV18" s="103">
        <f t="shared" si="101"/>
        <v>0</v>
      </c>
      <c r="BW18" s="71">
        <f t="shared" si="76"/>
        <v>77</v>
      </c>
      <c r="BY18" s="120">
        <f t="shared" ref="BY18:BY19" si="109">BY17+1</f>
        <v>6</v>
      </c>
      <c r="BZ18" s="7">
        <f t="shared" si="103"/>
        <v>1</v>
      </c>
      <c r="CA18" s="133"/>
      <c r="CB18" s="14">
        <f t="shared" si="77"/>
        <v>0</v>
      </c>
      <c r="CC18" s="46">
        <f>IFERROR(CB18-CG18,0)</f>
        <v>0</v>
      </c>
      <c r="CD18" s="405"/>
      <c r="CE18" s="406"/>
      <c r="CF18" s="406"/>
      <c r="CG18" s="14">
        <f t="shared" si="87"/>
        <v>0</v>
      </c>
      <c r="CH18" s="14">
        <f t="shared" si="78"/>
        <v>0</v>
      </c>
      <c r="CI18" s="14">
        <f t="shared" si="19"/>
        <v>0.7</v>
      </c>
      <c r="CJ18" s="47">
        <f t="shared" si="55"/>
        <v>0</v>
      </c>
      <c r="CK18" s="35">
        <f t="shared" si="20"/>
        <v>0.7</v>
      </c>
      <c r="CL18" s="157">
        <f t="shared" si="69"/>
        <v>0</v>
      </c>
      <c r="CM18" s="134"/>
      <c r="CN18" s="14">
        <f t="shared" si="21"/>
        <v>10</v>
      </c>
      <c r="CO18" s="48">
        <f t="shared" si="70"/>
        <v>0</v>
      </c>
      <c r="CP18" s="68">
        <f t="shared" si="56"/>
        <v>0</v>
      </c>
      <c r="CQ18" s="51">
        <f t="shared" si="22"/>
        <v>70</v>
      </c>
      <c r="CR18" s="103">
        <f t="shared" si="104"/>
        <v>0</v>
      </c>
      <c r="CS18" s="46">
        <f>CQ18-CR18</f>
        <v>70</v>
      </c>
      <c r="CT18" s="50">
        <f t="shared" si="23"/>
        <v>77</v>
      </c>
      <c r="CU18" s="112">
        <f t="shared" si="105"/>
        <v>0</v>
      </c>
      <c r="CV18" s="71">
        <f t="shared" si="41"/>
        <v>77</v>
      </c>
    </row>
    <row r="19" spans="1:100" ht="17.25" thickBot="1" x14ac:dyDescent="0.3">
      <c r="B19" s="197">
        <f t="shared" si="88"/>
        <v>19</v>
      </c>
      <c r="C19" s="8">
        <f t="shared" si="91"/>
        <v>1</v>
      </c>
      <c r="D19" s="136"/>
      <c r="E19" s="54">
        <f t="shared" si="106"/>
        <v>183558</v>
      </c>
      <c r="F19" s="448">
        <f t="shared" si="80"/>
        <v>183045</v>
      </c>
      <c r="G19" s="137"/>
      <c r="H19" s="138">
        <v>513</v>
      </c>
      <c r="I19" s="138"/>
      <c r="J19" s="34">
        <f t="shared" si="81"/>
        <v>513</v>
      </c>
      <c r="K19" s="34">
        <f t="shared" si="92"/>
        <v>8318</v>
      </c>
      <c r="L19" s="17">
        <f t="shared" si="1"/>
        <v>0.7</v>
      </c>
      <c r="M19" s="96">
        <f t="shared" si="26"/>
        <v>0.27947569705488184</v>
      </c>
      <c r="N19" s="33">
        <f t="shared" si="27"/>
        <v>0.7</v>
      </c>
      <c r="O19" s="132">
        <f t="shared" si="28"/>
        <v>4.3467127919190229</v>
      </c>
      <c r="P19" s="137">
        <v>3240</v>
      </c>
      <c r="Q19" s="13">
        <f t="shared" si="2"/>
        <v>10</v>
      </c>
      <c r="R19" s="443">
        <f t="shared" si="29"/>
        <v>17.651096656097799</v>
      </c>
      <c r="S19" s="471">
        <f t="shared" si="82"/>
        <v>188.60603005143798</v>
      </c>
      <c r="T19" s="56">
        <f t="shared" si="3"/>
        <v>70</v>
      </c>
      <c r="U19" s="103">
        <f t="shared" si="93"/>
        <v>72.959999999999994</v>
      </c>
      <c r="V19" s="63">
        <f>T19-U19</f>
        <v>-2.9599999999999937</v>
      </c>
      <c r="W19" s="56">
        <f t="shared" si="4"/>
        <v>77</v>
      </c>
      <c r="X19" s="103">
        <f t="shared" si="95"/>
        <v>72</v>
      </c>
      <c r="Y19" s="63">
        <f t="shared" si="31"/>
        <v>5</v>
      </c>
      <c r="Z19" s="487"/>
      <c r="AA19" s="197">
        <f t="shared" si="89"/>
        <v>19</v>
      </c>
      <c r="AB19" s="8">
        <f t="shared" si="96"/>
        <v>1</v>
      </c>
      <c r="AC19" s="434"/>
      <c r="AD19" s="54">
        <f t="shared" si="107"/>
        <v>0</v>
      </c>
      <c r="AE19" s="448">
        <f t="shared" si="5"/>
        <v>0</v>
      </c>
      <c r="AF19" s="137"/>
      <c r="AG19" s="138"/>
      <c r="AH19" s="138"/>
      <c r="AI19" s="34">
        <f t="shared" si="84"/>
        <v>0</v>
      </c>
      <c r="AJ19" s="34">
        <f t="shared" si="32"/>
        <v>0</v>
      </c>
      <c r="AK19" s="17">
        <f t="shared" si="6"/>
        <v>0.7</v>
      </c>
      <c r="AL19" s="96">
        <f t="shared" si="33"/>
        <v>0</v>
      </c>
      <c r="AM19" s="33">
        <f t="shared" si="7"/>
        <v>0.7</v>
      </c>
      <c r="AN19" s="156">
        <f t="shared" si="72"/>
        <v>0</v>
      </c>
      <c r="AO19" s="137"/>
      <c r="AP19" s="13">
        <f t="shared" si="8"/>
        <v>10</v>
      </c>
      <c r="AQ19" s="443">
        <f t="shared" si="34"/>
        <v>0</v>
      </c>
      <c r="AR19" s="471">
        <f t="shared" si="63"/>
        <v>0</v>
      </c>
      <c r="AS19" s="56">
        <f t="shared" si="9"/>
        <v>70</v>
      </c>
      <c r="AT19" s="103">
        <f t="shared" si="97"/>
        <v>0</v>
      </c>
      <c r="AU19" s="63">
        <f>AS19-AT19</f>
        <v>70</v>
      </c>
      <c r="AV19" s="56">
        <f t="shared" si="10"/>
        <v>77</v>
      </c>
      <c r="AW19" s="103">
        <f t="shared" si="98"/>
        <v>0</v>
      </c>
      <c r="AX19" s="63">
        <f t="shared" si="75"/>
        <v>77</v>
      </c>
      <c r="AZ19" s="197">
        <f t="shared" si="90"/>
        <v>19</v>
      </c>
      <c r="BA19" s="8">
        <f t="shared" si="99"/>
        <v>1</v>
      </c>
      <c r="BB19" s="136"/>
      <c r="BC19" s="54">
        <f t="shared" si="108"/>
        <v>0</v>
      </c>
      <c r="BD19" s="448">
        <f t="shared" si="11"/>
        <v>0</v>
      </c>
      <c r="BE19" s="137"/>
      <c r="BF19" s="138"/>
      <c r="BG19" s="138"/>
      <c r="BH19" s="34">
        <f t="shared" si="85"/>
        <v>0</v>
      </c>
      <c r="BI19" s="34">
        <f t="shared" si="37"/>
        <v>0</v>
      </c>
      <c r="BJ19" s="17">
        <f t="shared" si="12"/>
        <v>0.7</v>
      </c>
      <c r="BK19" s="96">
        <f t="shared" si="50"/>
        <v>0</v>
      </c>
      <c r="BL19" s="33">
        <f t="shared" si="13"/>
        <v>0.7</v>
      </c>
      <c r="BM19" s="156">
        <f t="shared" si="14"/>
        <v>0</v>
      </c>
      <c r="BN19" s="137"/>
      <c r="BO19" s="13">
        <f t="shared" si="15"/>
        <v>10</v>
      </c>
      <c r="BP19" s="482">
        <f t="shared" si="51"/>
        <v>0</v>
      </c>
      <c r="BQ19" s="70">
        <f t="shared" si="66"/>
        <v>0</v>
      </c>
      <c r="BR19" s="56">
        <f t="shared" si="16"/>
        <v>70</v>
      </c>
      <c r="BS19" s="103">
        <f t="shared" si="100"/>
        <v>0</v>
      </c>
      <c r="BT19" s="63">
        <f>BR19-BS19</f>
        <v>70</v>
      </c>
      <c r="BU19" s="56">
        <f t="shared" si="18"/>
        <v>77</v>
      </c>
      <c r="BV19" s="103">
        <f t="shared" si="101"/>
        <v>0</v>
      </c>
      <c r="BW19" s="63">
        <f t="shared" si="76"/>
        <v>77</v>
      </c>
      <c r="BY19" s="120">
        <f t="shared" si="109"/>
        <v>7</v>
      </c>
      <c r="BZ19" s="8">
        <f t="shared" si="103"/>
        <v>1</v>
      </c>
      <c r="CA19" s="136"/>
      <c r="CB19" s="32">
        <f t="shared" si="77"/>
        <v>0</v>
      </c>
      <c r="CC19" s="63">
        <f>IFERROR(CB19-CG19,0)</f>
        <v>0</v>
      </c>
      <c r="CD19" s="421"/>
      <c r="CE19" s="426"/>
      <c r="CF19" s="426"/>
      <c r="CG19" s="34">
        <f t="shared" si="87"/>
        <v>0</v>
      </c>
      <c r="CH19" s="34">
        <f t="shared" si="78"/>
        <v>0</v>
      </c>
      <c r="CI19" s="17">
        <f t="shared" si="19"/>
        <v>0.7</v>
      </c>
      <c r="CJ19" s="166">
        <f t="shared" si="55"/>
        <v>0</v>
      </c>
      <c r="CK19" s="33">
        <f t="shared" si="20"/>
        <v>0.7</v>
      </c>
      <c r="CL19" s="156">
        <f t="shared" si="69"/>
        <v>0</v>
      </c>
      <c r="CM19" s="137"/>
      <c r="CN19" s="32">
        <f t="shared" si="21"/>
        <v>10</v>
      </c>
      <c r="CO19" s="54">
        <f t="shared" si="70"/>
        <v>0</v>
      </c>
      <c r="CP19" s="70">
        <f t="shared" si="56"/>
        <v>0</v>
      </c>
      <c r="CQ19" s="56">
        <f t="shared" si="22"/>
        <v>70</v>
      </c>
      <c r="CR19" s="103">
        <f t="shared" si="104"/>
        <v>0</v>
      </c>
      <c r="CS19" s="63">
        <f>CQ19-CR19</f>
        <v>70</v>
      </c>
      <c r="CT19" s="56">
        <f t="shared" si="23"/>
        <v>77</v>
      </c>
      <c r="CU19" s="112">
        <f t="shared" si="105"/>
        <v>0</v>
      </c>
      <c r="CV19" s="63">
        <f t="shared" si="41"/>
        <v>77</v>
      </c>
    </row>
    <row r="20" spans="1:100" ht="17.25" thickBot="1" x14ac:dyDescent="0.3">
      <c r="B20" s="118">
        <v>20</v>
      </c>
      <c r="C20" s="9">
        <v>2</v>
      </c>
      <c r="D20" s="129"/>
      <c r="E20" s="43">
        <f t="shared" si="106"/>
        <v>183045</v>
      </c>
      <c r="F20" s="449">
        <f t="shared" si="80"/>
        <v>182788</v>
      </c>
      <c r="G20" s="130"/>
      <c r="H20" s="131">
        <v>257</v>
      </c>
      <c r="I20" s="131"/>
      <c r="J20" s="11">
        <f t="shared" si="81"/>
        <v>257</v>
      </c>
      <c r="K20" s="11">
        <f t="shared" si="92"/>
        <v>8575</v>
      </c>
      <c r="L20" s="16">
        <f t="shared" si="1"/>
        <v>0.7</v>
      </c>
      <c r="M20" s="153">
        <f t="shared" si="26"/>
        <v>0.14040263323226529</v>
      </c>
      <c r="N20" s="154">
        <f t="shared" si="27"/>
        <v>1.4</v>
      </c>
      <c r="O20" s="132">
        <f t="shared" si="28"/>
        <v>4.4810125259323899</v>
      </c>
      <c r="P20" s="130">
        <v>2700</v>
      </c>
      <c r="Q20" s="11">
        <f t="shared" si="2"/>
        <v>17</v>
      </c>
      <c r="R20" s="481">
        <f t="shared" si="29"/>
        <v>14.750471195607638</v>
      </c>
      <c r="S20" s="469">
        <f t="shared" si="82"/>
        <v>203.35650124704563</v>
      </c>
      <c r="T20" s="61">
        <f t="shared" si="3"/>
        <v>120</v>
      </c>
      <c r="U20" s="131">
        <v>116</v>
      </c>
      <c r="V20" s="57">
        <f t="shared" si="94"/>
        <v>4</v>
      </c>
      <c r="W20" s="58">
        <f t="shared" si="4"/>
        <v>77</v>
      </c>
      <c r="X20" s="131">
        <v>64</v>
      </c>
      <c r="Y20" s="41">
        <f t="shared" si="31"/>
        <v>13</v>
      </c>
      <c r="Z20" s="487"/>
      <c r="AA20" s="118">
        <v>20</v>
      </c>
      <c r="AB20" s="9">
        <v>2</v>
      </c>
      <c r="AC20" s="396"/>
      <c r="AD20" s="43">
        <f t="shared" si="107"/>
        <v>0</v>
      </c>
      <c r="AE20" s="449">
        <f t="shared" si="5"/>
        <v>0</v>
      </c>
      <c r="AF20" s="130"/>
      <c r="AG20" s="131"/>
      <c r="AH20" s="131"/>
      <c r="AI20" s="11">
        <f t="shared" si="84"/>
        <v>0</v>
      </c>
      <c r="AJ20" s="11">
        <f t="shared" si="32"/>
        <v>0</v>
      </c>
      <c r="AK20" s="16">
        <f t="shared" si="6"/>
        <v>0.7</v>
      </c>
      <c r="AL20" s="153">
        <f t="shared" si="33"/>
        <v>0</v>
      </c>
      <c r="AM20" s="154">
        <f t="shared" si="7"/>
        <v>1.4</v>
      </c>
      <c r="AN20" s="155">
        <f t="shared" si="72"/>
        <v>0</v>
      </c>
      <c r="AO20" s="130"/>
      <c r="AP20" s="11">
        <f t="shared" si="8"/>
        <v>17</v>
      </c>
      <c r="AQ20" s="481">
        <f t="shared" si="34"/>
        <v>0</v>
      </c>
      <c r="AR20" s="469">
        <f t="shared" si="63"/>
        <v>0</v>
      </c>
      <c r="AS20" s="61">
        <f t="shared" si="9"/>
        <v>120</v>
      </c>
      <c r="AT20" s="131"/>
      <c r="AU20" s="57">
        <f t="shared" ref="AU20:AU83" si="110">AS20-AT20</f>
        <v>120</v>
      </c>
      <c r="AV20" s="58">
        <f t="shared" si="10"/>
        <v>77</v>
      </c>
      <c r="AW20" s="131"/>
      <c r="AX20" s="41">
        <f t="shared" si="75"/>
        <v>77</v>
      </c>
      <c r="AZ20" s="118">
        <v>20</v>
      </c>
      <c r="BA20" s="9">
        <v>2</v>
      </c>
      <c r="BB20" s="129"/>
      <c r="BC20" s="43">
        <f t="shared" si="108"/>
        <v>0</v>
      </c>
      <c r="BD20" s="449">
        <f t="shared" si="11"/>
        <v>0</v>
      </c>
      <c r="BE20" s="130"/>
      <c r="BF20" s="131"/>
      <c r="BG20" s="131"/>
      <c r="BH20" s="11">
        <f t="shared" si="85"/>
        <v>0</v>
      </c>
      <c r="BI20" s="11">
        <f t="shared" si="37"/>
        <v>0</v>
      </c>
      <c r="BJ20" s="16">
        <f t="shared" si="12"/>
        <v>0.7</v>
      </c>
      <c r="BK20" s="235">
        <f t="shared" si="50"/>
        <v>0</v>
      </c>
      <c r="BL20" s="154">
        <f t="shared" si="13"/>
        <v>1.4</v>
      </c>
      <c r="BM20" s="155">
        <f t="shared" si="14"/>
        <v>0</v>
      </c>
      <c r="BN20" s="130"/>
      <c r="BO20" s="11">
        <f t="shared" si="15"/>
        <v>17</v>
      </c>
      <c r="BP20" s="441">
        <f t="shared" si="51"/>
        <v>0</v>
      </c>
      <c r="BQ20" s="377">
        <f t="shared" si="66"/>
        <v>0</v>
      </c>
      <c r="BR20" s="61">
        <f t="shared" si="16"/>
        <v>120</v>
      </c>
      <c r="BS20" s="131"/>
      <c r="BT20" s="57">
        <f t="shared" ref="BT20:BT83" si="111">BR20-BS20</f>
        <v>120</v>
      </c>
      <c r="BU20" s="58">
        <f t="shared" si="18"/>
        <v>77</v>
      </c>
      <c r="BV20" s="131"/>
      <c r="BW20" s="41">
        <f t="shared" si="76"/>
        <v>77</v>
      </c>
      <c r="BY20" s="118">
        <v>8</v>
      </c>
      <c r="BZ20" s="9">
        <v>2</v>
      </c>
      <c r="CA20" s="129"/>
      <c r="CB20" s="11">
        <f t="shared" si="77"/>
        <v>0</v>
      </c>
      <c r="CC20" s="57">
        <f t="shared" si="86"/>
        <v>0</v>
      </c>
      <c r="CD20" s="398"/>
      <c r="CE20" s="399"/>
      <c r="CF20" s="399"/>
      <c r="CG20" s="11">
        <f t="shared" si="87"/>
        <v>0</v>
      </c>
      <c r="CH20" s="11">
        <f t="shared" si="78"/>
        <v>0</v>
      </c>
      <c r="CI20" s="16">
        <f t="shared" si="19"/>
        <v>0.7</v>
      </c>
      <c r="CJ20" s="231">
        <f t="shared" si="55"/>
        <v>0</v>
      </c>
      <c r="CK20" s="154">
        <f t="shared" si="20"/>
        <v>1.4</v>
      </c>
      <c r="CL20" s="155">
        <f t="shared" si="69"/>
        <v>0</v>
      </c>
      <c r="CM20" s="130"/>
      <c r="CN20" s="17">
        <f t="shared" si="21"/>
        <v>17</v>
      </c>
      <c r="CO20" s="60">
        <f t="shared" si="70"/>
        <v>0</v>
      </c>
      <c r="CP20" s="377">
        <f t="shared" si="56"/>
        <v>0</v>
      </c>
      <c r="CQ20" s="61">
        <f t="shared" si="22"/>
        <v>120</v>
      </c>
      <c r="CR20" s="131"/>
      <c r="CS20" s="57">
        <f t="shared" ref="CS20:CS83" si="112">CQ20-CR20</f>
        <v>120</v>
      </c>
      <c r="CT20" s="58">
        <f t="shared" si="23"/>
        <v>77</v>
      </c>
      <c r="CU20" s="131"/>
      <c r="CV20" s="41">
        <f t="shared" si="41"/>
        <v>77</v>
      </c>
    </row>
    <row r="21" spans="1:100" ht="17.25" thickBot="1" x14ac:dyDescent="0.3">
      <c r="B21" s="120">
        <f>B20+1</f>
        <v>21</v>
      </c>
      <c r="C21" s="7">
        <f>C20</f>
        <v>2</v>
      </c>
      <c r="D21" s="133"/>
      <c r="E21" s="48">
        <f t="shared" si="106"/>
        <v>182788</v>
      </c>
      <c r="F21" s="196">
        <f t="shared" si="80"/>
        <v>182606</v>
      </c>
      <c r="G21" s="134"/>
      <c r="H21" s="135">
        <v>182</v>
      </c>
      <c r="I21" s="135"/>
      <c r="J21" s="14">
        <f t="shared" si="81"/>
        <v>182</v>
      </c>
      <c r="K21" s="14">
        <f>K20+J21</f>
        <v>8757</v>
      </c>
      <c r="L21" s="14">
        <f t="shared" si="1"/>
        <v>0.7</v>
      </c>
      <c r="M21" s="47">
        <f t="shared" si="26"/>
        <v>9.9568899490119697E-2</v>
      </c>
      <c r="N21" s="35">
        <f t="shared" si="27"/>
        <v>1.4</v>
      </c>
      <c r="O21" s="132">
        <f t="shared" si="28"/>
        <v>4.5761197305644243</v>
      </c>
      <c r="P21" s="134">
        <v>1800</v>
      </c>
      <c r="Q21" s="14">
        <f t="shared" si="2"/>
        <v>17</v>
      </c>
      <c r="R21" s="482">
        <f t="shared" si="29"/>
        <v>9.8474735759459051</v>
      </c>
      <c r="S21" s="470">
        <f t="shared" si="82"/>
        <v>213.20397482299154</v>
      </c>
      <c r="T21" s="51">
        <f t="shared" si="3"/>
        <v>120</v>
      </c>
      <c r="U21" s="103">
        <f>U20</f>
        <v>116</v>
      </c>
      <c r="V21" s="59">
        <f t="shared" si="94"/>
        <v>4</v>
      </c>
      <c r="W21" s="12">
        <f t="shared" si="4"/>
        <v>77</v>
      </c>
      <c r="X21" s="103">
        <f>X20</f>
        <v>64</v>
      </c>
      <c r="Y21" s="71">
        <f t="shared" si="31"/>
        <v>13</v>
      </c>
      <c r="Z21" s="487"/>
      <c r="AA21" s="120">
        <f>AA20+1</f>
        <v>21</v>
      </c>
      <c r="AB21" s="7">
        <f>AB20</f>
        <v>2</v>
      </c>
      <c r="AC21" s="229"/>
      <c r="AD21" s="48">
        <f t="shared" si="107"/>
        <v>0</v>
      </c>
      <c r="AE21" s="196">
        <f t="shared" si="5"/>
        <v>0</v>
      </c>
      <c r="AF21" s="134"/>
      <c r="AG21" s="135"/>
      <c r="AH21" s="135"/>
      <c r="AI21" s="14">
        <f t="shared" si="84"/>
        <v>0</v>
      </c>
      <c r="AJ21" s="14">
        <f>AJ20+AI21</f>
        <v>0</v>
      </c>
      <c r="AK21" s="14">
        <f t="shared" si="6"/>
        <v>0.7</v>
      </c>
      <c r="AL21" s="47">
        <f t="shared" si="33"/>
        <v>0</v>
      </c>
      <c r="AM21" s="35">
        <f t="shared" si="7"/>
        <v>1.4</v>
      </c>
      <c r="AN21" s="157">
        <f t="shared" si="72"/>
        <v>0</v>
      </c>
      <c r="AO21" s="134"/>
      <c r="AP21" s="14">
        <f t="shared" si="8"/>
        <v>17</v>
      </c>
      <c r="AQ21" s="482">
        <f t="shared" si="34"/>
        <v>0</v>
      </c>
      <c r="AR21" s="470">
        <f t="shared" si="63"/>
        <v>0</v>
      </c>
      <c r="AS21" s="51">
        <f t="shared" si="9"/>
        <v>120</v>
      </c>
      <c r="AT21" s="103">
        <f>AT20</f>
        <v>0</v>
      </c>
      <c r="AU21" s="59">
        <f t="shared" si="110"/>
        <v>120</v>
      </c>
      <c r="AV21" s="12">
        <f t="shared" si="10"/>
        <v>77</v>
      </c>
      <c r="AW21" s="103">
        <f>AW20</f>
        <v>0</v>
      </c>
      <c r="AX21" s="71">
        <f t="shared" si="75"/>
        <v>77</v>
      </c>
      <c r="AZ21" s="120">
        <f>AZ20+1</f>
        <v>21</v>
      </c>
      <c r="BA21" s="7">
        <f>BA20</f>
        <v>2</v>
      </c>
      <c r="BB21" s="133"/>
      <c r="BC21" s="48">
        <f t="shared" si="108"/>
        <v>0</v>
      </c>
      <c r="BD21" s="196">
        <f t="shared" si="11"/>
        <v>0</v>
      </c>
      <c r="BE21" s="134"/>
      <c r="BF21" s="135"/>
      <c r="BG21" s="135"/>
      <c r="BH21" s="14">
        <f t="shared" si="85"/>
        <v>0</v>
      </c>
      <c r="BI21" s="14">
        <f>BI20+BH21</f>
        <v>0</v>
      </c>
      <c r="BJ21" s="14">
        <f t="shared" si="12"/>
        <v>0.7</v>
      </c>
      <c r="BK21" s="47">
        <f t="shared" si="50"/>
        <v>0</v>
      </c>
      <c r="BL21" s="35">
        <f t="shared" si="13"/>
        <v>1.4</v>
      </c>
      <c r="BM21" s="157">
        <f t="shared" si="14"/>
        <v>0</v>
      </c>
      <c r="BN21" s="134"/>
      <c r="BO21" s="14">
        <f t="shared" si="15"/>
        <v>17</v>
      </c>
      <c r="BP21" s="442">
        <f t="shared" si="51"/>
        <v>0</v>
      </c>
      <c r="BQ21" s="68">
        <f t="shared" si="66"/>
        <v>0</v>
      </c>
      <c r="BR21" s="51">
        <f t="shared" si="16"/>
        <v>120</v>
      </c>
      <c r="BS21" s="103">
        <f>BS20</f>
        <v>0</v>
      </c>
      <c r="BT21" s="59">
        <f t="shared" si="111"/>
        <v>120</v>
      </c>
      <c r="BU21" s="12">
        <f t="shared" si="18"/>
        <v>77</v>
      </c>
      <c r="BV21" s="103">
        <f>BV20</f>
        <v>0</v>
      </c>
      <c r="BW21" s="71">
        <f t="shared" si="76"/>
        <v>77</v>
      </c>
      <c r="BY21" s="120">
        <f>BY20+1</f>
        <v>9</v>
      </c>
      <c r="BZ21" s="7">
        <f>BZ20</f>
        <v>2</v>
      </c>
      <c r="CA21" s="133"/>
      <c r="CB21" s="14">
        <f t="shared" si="77"/>
        <v>0</v>
      </c>
      <c r="CC21" s="59">
        <f t="shared" si="86"/>
        <v>0</v>
      </c>
      <c r="CD21" s="405"/>
      <c r="CE21" s="406"/>
      <c r="CF21" s="406"/>
      <c r="CG21" s="14">
        <f t="shared" si="87"/>
        <v>0</v>
      </c>
      <c r="CH21" s="14">
        <f t="shared" si="78"/>
        <v>0</v>
      </c>
      <c r="CI21" s="14">
        <f t="shared" si="19"/>
        <v>0.7</v>
      </c>
      <c r="CJ21" s="47">
        <f t="shared" si="55"/>
        <v>0</v>
      </c>
      <c r="CK21" s="35">
        <f t="shared" si="20"/>
        <v>1.4</v>
      </c>
      <c r="CL21" s="157">
        <f t="shared" si="69"/>
        <v>0</v>
      </c>
      <c r="CM21" s="134"/>
      <c r="CN21" s="14">
        <f t="shared" si="21"/>
        <v>17</v>
      </c>
      <c r="CO21" s="48">
        <f t="shared" si="70"/>
        <v>0</v>
      </c>
      <c r="CP21" s="68">
        <f t="shared" si="56"/>
        <v>0</v>
      </c>
      <c r="CQ21" s="51">
        <f t="shared" si="22"/>
        <v>120</v>
      </c>
      <c r="CR21" s="103">
        <f>CR20</f>
        <v>0</v>
      </c>
      <c r="CS21" s="59">
        <f t="shared" si="112"/>
        <v>120</v>
      </c>
      <c r="CT21" s="61">
        <f t="shared" si="23"/>
        <v>77</v>
      </c>
      <c r="CU21" s="112">
        <f>CU20</f>
        <v>0</v>
      </c>
      <c r="CV21" s="71">
        <f t="shared" si="41"/>
        <v>77</v>
      </c>
    </row>
    <row r="22" spans="1:100" ht="17.25" thickBot="1" x14ac:dyDescent="0.3">
      <c r="B22" s="120">
        <f t="shared" ref="B22:B25" si="113">B21+1</f>
        <v>22</v>
      </c>
      <c r="C22" s="7">
        <f t="shared" ref="C22:C26" si="114">C21</f>
        <v>2</v>
      </c>
      <c r="D22" s="133"/>
      <c r="E22" s="48">
        <f t="shared" si="106"/>
        <v>182606</v>
      </c>
      <c r="F22" s="196">
        <f t="shared" si="80"/>
        <v>182397</v>
      </c>
      <c r="G22" s="134"/>
      <c r="H22" s="135">
        <v>209</v>
      </c>
      <c r="I22" s="135"/>
      <c r="J22" s="14">
        <f t="shared" si="81"/>
        <v>209</v>
      </c>
      <c r="K22" s="14">
        <f>K21+J22</f>
        <v>8966</v>
      </c>
      <c r="L22" s="14">
        <f t="shared" si="1"/>
        <v>0.7</v>
      </c>
      <c r="M22" s="231">
        <f t="shared" si="26"/>
        <v>0.11445407051246947</v>
      </c>
      <c r="N22" s="35">
        <f t="shared" si="27"/>
        <v>1.4</v>
      </c>
      <c r="O22" s="132">
        <f t="shared" si="28"/>
        <v>4.6853362457737386</v>
      </c>
      <c r="P22" s="134">
        <v>3240</v>
      </c>
      <c r="Q22" s="14">
        <f t="shared" si="2"/>
        <v>17</v>
      </c>
      <c r="R22" s="442">
        <f t="shared" si="29"/>
        <v>17.743119065090962</v>
      </c>
      <c r="S22" s="470">
        <f t="shared" si="82"/>
        <v>230.94709388808249</v>
      </c>
      <c r="T22" s="51">
        <f t="shared" si="3"/>
        <v>120</v>
      </c>
      <c r="U22" s="103">
        <f t="shared" ref="U22:U26" si="115">U21</f>
        <v>116</v>
      </c>
      <c r="V22" s="59">
        <f t="shared" si="94"/>
        <v>4</v>
      </c>
      <c r="W22" s="50">
        <f t="shared" si="4"/>
        <v>77</v>
      </c>
      <c r="X22" s="103">
        <f t="shared" ref="X22:X26" si="116">X21</f>
        <v>64</v>
      </c>
      <c r="Y22" s="71">
        <f t="shared" si="31"/>
        <v>13</v>
      </c>
      <c r="Z22" s="487"/>
      <c r="AA22" s="120">
        <f t="shared" ref="AA22:AA25" si="117">AA21+1</f>
        <v>22</v>
      </c>
      <c r="AB22" s="7">
        <f t="shared" ref="AB22:AB26" si="118">AB21</f>
        <v>2</v>
      </c>
      <c r="AC22" s="229"/>
      <c r="AD22" s="48">
        <f t="shared" si="107"/>
        <v>0</v>
      </c>
      <c r="AE22" s="196">
        <f t="shared" si="5"/>
        <v>0</v>
      </c>
      <c r="AF22" s="134"/>
      <c r="AG22" s="135"/>
      <c r="AH22" s="135"/>
      <c r="AI22" s="14">
        <f t="shared" si="84"/>
        <v>0</v>
      </c>
      <c r="AJ22" s="14">
        <f>AJ21+AI22</f>
        <v>0</v>
      </c>
      <c r="AK22" s="14">
        <f t="shared" si="6"/>
        <v>0.7</v>
      </c>
      <c r="AL22" s="231">
        <f t="shared" si="33"/>
        <v>0</v>
      </c>
      <c r="AM22" s="35">
        <f t="shared" si="7"/>
        <v>1.4</v>
      </c>
      <c r="AN22" s="157">
        <f>IFERROR((AJ22*100)/AD22,0)</f>
        <v>0</v>
      </c>
      <c r="AO22" s="134"/>
      <c r="AP22" s="14">
        <f t="shared" si="8"/>
        <v>17</v>
      </c>
      <c r="AQ22" s="442">
        <f t="shared" si="34"/>
        <v>0</v>
      </c>
      <c r="AR22" s="470">
        <f t="shared" si="63"/>
        <v>0</v>
      </c>
      <c r="AS22" s="51">
        <f t="shared" si="9"/>
        <v>120</v>
      </c>
      <c r="AT22" s="103">
        <f t="shared" ref="AT22:AT26" si="119">AT21</f>
        <v>0</v>
      </c>
      <c r="AU22" s="59">
        <f t="shared" si="110"/>
        <v>120</v>
      </c>
      <c r="AV22" s="50">
        <f t="shared" si="10"/>
        <v>77</v>
      </c>
      <c r="AW22" s="103">
        <f t="shared" ref="AW22:AW26" si="120">AW21</f>
        <v>0</v>
      </c>
      <c r="AX22" s="71">
        <f t="shared" si="75"/>
        <v>77</v>
      </c>
      <c r="AZ22" s="120">
        <f t="shared" ref="AZ22:AZ25" si="121">AZ21+1</f>
        <v>22</v>
      </c>
      <c r="BA22" s="7">
        <f t="shared" ref="BA22:BA26" si="122">BA21</f>
        <v>2</v>
      </c>
      <c r="BB22" s="133"/>
      <c r="BC22" s="48">
        <f t="shared" si="108"/>
        <v>0</v>
      </c>
      <c r="BD22" s="196">
        <f t="shared" si="11"/>
        <v>0</v>
      </c>
      <c r="BE22" s="134"/>
      <c r="BF22" s="135"/>
      <c r="BG22" s="135"/>
      <c r="BH22" s="14">
        <f t="shared" si="85"/>
        <v>0</v>
      </c>
      <c r="BI22" s="14">
        <f t="shared" ref="BI22:BI85" si="123">BI21+BH22</f>
        <v>0</v>
      </c>
      <c r="BJ22" s="14">
        <f t="shared" si="12"/>
        <v>0.7</v>
      </c>
      <c r="BK22" s="47">
        <f t="shared" si="50"/>
        <v>0</v>
      </c>
      <c r="BL22" s="35">
        <f t="shared" si="13"/>
        <v>1.4</v>
      </c>
      <c r="BM22" s="157">
        <f t="shared" si="14"/>
        <v>0</v>
      </c>
      <c r="BN22" s="134"/>
      <c r="BO22" s="14">
        <f t="shared" si="15"/>
        <v>17</v>
      </c>
      <c r="BP22" s="442">
        <f t="shared" si="51"/>
        <v>0</v>
      </c>
      <c r="BQ22" s="68">
        <f t="shared" si="66"/>
        <v>0</v>
      </c>
      <c r="BR22" s="51">
        <f t="shared" si="16"/>
        <v>120</v>
      </c>
      <c r="BS22" s="103">
        <f t="shared" ref="BS22:BS26" si="124">BS21</f>
        <v>0</v>
      </c>
      <c r="BT22" s="59">
        <f t="shared" si="111"/>
        <v>120</v>
      </c>
      <c r="BU22" s="50">
        <f t="shared" si="18"/>
        <v>77</v>
      </c>
      <c r="BV22" s="103">
        <f t="shared" ref="BV22:BV26" si="125">BV21</f>
        <v>0</v>
      </c>
      <c r="BW22" s="71">
        <f t="shared" si="76"/>
        <v>77</v>
      </c>
      <c r="BY22" s="120">
        <f t="shared" ref="BY22:BY25" si="126">BY21+1</f>
        <v>10</v>
      </c>
      <c r="BZ22" s="7">
        <f t="shared" ref="BZ22:BZ26" si="127">BZ21</f>
        <v>2</v>
      </c>
      <c r="CA22" s="133"/>
      <c r="CB22" s="14">
        <f t="shared" si="77"/>
        <v>0</v>
      </c>
      <c r="CC22" s="59">
        <f t="shared" si="86"/>
        <v>0</v>
      </c>
      <c r="CD22" s="405"/>
      <c r="CE22" s="406"/>
      <c r="CF22" s="406"/>
      <c r="CG22" s="14">
        <f t="shared" si="87"/>
        <v>0</v>
      </c>
      <c r="CH22" s="14">
        <f t="shared" si="78"/>
        <v>0</v>
      </c>
      <c r="CI22" s="14">
        <f t="shared" si="19"/>
        <v>0.7</v>
      </c>
      <c r="CJ22" s="47">
        <f t="shared" si="55"/>
        <v>0</v>
      </c>
      <c r="CK22" s="35">
        <f t="shared" si="20"/>
        <v>1.4</v>
      </c>
      <c r="CL22" s="157">
        <f t="shared" si="69"/>
        <v>0</v>
      </c>
      <c r="CM22" s="134"/>
      <c r="CN22" s="14">
        <f t="shared" si="21"/>
        <v>17</v>
      </c>
      <c r="CO22" s="48">
        <f t="shared" si="70"/>
        <v>0</v>
      </c>
      <c r="CP22" s="68">
        <f t="shared" si="56"/>
        <v>0</v>
      </c>
      <c r="CQ22" s="51">
        <f t="shared" si="22"/>
        <v>120</v>
      </c>
      <c r="CR22" s="103">
        <f t="shared" ref="CR22:CR26" si="128">CR21</f>
        <v>0</v>
      </c>
      <c r="CS22" s="59">
        <f t="shared" si="112"/>
        <v>120</v>
      </c>
      <c r="CT22" s="12">
        <f t="shared" si="23"/>
        <v>77</v>
      </c>
      <c r="CU22" s="112">
        <f t="shared" ref="CU22:CU26" si="129">CU21</f>
        <v>0</v>
      </c>
      <c r="CV22" s="71">
        <f t="shared" si="41"/>
        <v>77</v>
      </c>
    </row>
    <row r="23" spans="1:100" ht="17.25" thickBot="1" x14ac:dyDescent="0.3">
      <c r="B23" s="120">
        <f t="shared" si="113"/>
        <v>23</v>
      </c>
      <c r="C23" s="7">
        <f t="shared" si="114"/>
        <v>2</v>
      </c>
      <c r="D23" s="133"/>
      <c r="E23" s="48">
        <f t="shared" si="106"/>
        <v>182397</v>
      </c>
      <c r="F23" s="196">
        <f t="shared" si="80"/>
        <v>182344</v>
      </c>
      <c r="G23" s="134"/>
      <c r="H23" s="135">
        <v>53</v>
      </c>
      <c r="I23" s="135"/>
      <c r="J23" s="14">
        <f t="shared" si="81"/>
        <v>53</v>
      </c>
      <c r="K23" s="14">
        <f t="shared" si="92"/>
        <v>9019</v>
      </c>
      <c r="L23" s="14">
        <f t="shared" si="1"/>
        <v>0.7</v>
      </c>
      <c r="M23" s="230">
        <f t="shared" si="26"/>
        <v>2.9057495463192924E-2</v>
      </c>
      <c r="N23" s="35">
        <f t="shared" si="27"/>
        <v>1.4</v>
      </c>
      <c r="O23" s="132">
        <f t="shared" si="28"/>
        <v>4.713032299869881</v>
      </c>
      <c r="P23" s="134">
        <v>3420</v>
      </c>
      <c r="Q23" s="14">
        <f t="shared" si="2"/>
        <v>17</v>
      </c>
      <c r="R23" s="480">
        <f t="shared" si="29"/>
        <v>18.750308393230149</v>
      </c>
      <c r="S23" s="470">
        <f t="shared" si="82"/>
        <v>249.69740228131263</v>
      </c>
      <c r="T23" s="51">
        <f t="shared" si="3"/>
        <v>120</v>
      </c>
      <c r="U23" s="103">
        <f t="shared" si="115"/>
        <v>116</v>
      </c>
      <c r="V23" s="59">
        <f t="shared" si="94"/>
        <v>4</v>
      </c>
      <c r="W23" s="51">
        <f t="shared" si="4"/>
        <v>77</v>
      </c>
      <c r="X23" s="103">
        <f t="shared" si="116"/>
        <v>64</v>
      </c>
      <c r="Y23" s="71">
        <f t="shared" si="31"/>
        <v>13</v>
      </c>
      <c r="Z23" s="487"/>
      <c r="AA23" s="120">
        <f t="shared" si="117"/>
        <v>23</v>
      </c>
      <c r="AB23" s="7">
        <f t="shared" si="118"/>
        <v>2</v>
      </c>
      <c r="AC23" s="229"/>
      <c r="AD23" s="48">
        <f t="shared" si="107"/>
        <v>0</v>
      </c>
      <c r="AE23" s="196">
        <f t="shared" si="5"/>
        <v>0</v>
      </c>
      <c r="AF23" s="134"/>
      <c r="AG23" s="135"/>
      <c r="AH23" s="135"/>
      <c r="AI23" s="14">
        <f t="shared" si="84"/>
        <v>0</v>
      </c>
      <c r="AJ23" s="14">
        <f t="shared" ref="AJ23:AJ86" si="130">AJ22+AI23</f>
        <v>0</v>
      </c>
      <c r="AK23" s="14">
        <f t="shared" si="6"/>
        <v>0.7</v>
      </c>
      <c r="AL23" s="230">
        <f t="shared" si="33"/>
        <v>0</v>
      </c>
      <c r="AM23" s="35">
        <f t="shared" si="7"/>
        <v>1.4</v>
      </c>
      <c r="AN23" s="157">
        <f t="shared" ref="AN23:AN26" si="131">IFERROR((AJ23*100)/AD23,0)</f>
        <v>0</v>
      </c>
      <c r="AO23" s="134"/>
      <c r="AP23" s="14">
        <f t="shared" si="8"/>
        <v>17</v>
      </c>
      <c r="AQ23" s="480">
        <f t="shared" si="34"/>
        <v>0</v>
      </c>
      <c r="AR23" s="470">
        <f t="shared" si="63"/>
        <v>0</v>
      </c>
      <c r="AS23" s="51">
        <f t="shared" si="9"/>
        <v>120</v>
      </c>
      <c r="AT23" s="103">
        <f t="shared" si="119"/>
        <v>0</v>
      </c>
      <c r="AU23" s="59">
        <f t="shared" si="110"/>
        <v>120</v>
      </c>
      <c r="AV23" s="51">
        <f t="shared" si="10"/>
        <v>77</v>
      </c>
      <c r="AW23" s="103">
        <f t="shared" si="120"/>
        <v>0</v>
      </c>
      <c r="AX23" s="71">
        <f t="shared" si="75"/>
        <v>77</v>
      </c>
      <c r="AZ23" s="120">
        <f t="shared" si="121"/>
        <v>23</v>
      </c>
      <c r="BA23" s="7">
        <f t="shared" si="122"/>
        <v>2</v>
      </c>
      <c r="BB23" s="133"/>
      <c r="BC23" s="48">
        <f t="shared" si="108"/>
        <v>0</v>
      </c>
      <c r="BD23" s="196">
        <f t="shared" si="11"/>
        <v>0</v>
      </c>
      <c r="BE23" s="134"/>
      <c r="BF23" s="135"/>
      <c r="BG23" s="135"/>
      <c r="BH23" s="14">
        <f t="shared" si="85"/>
        <v>0</v>
      </c>
      <c r="BI23" s="14">
        <f t="shared" si="123"/>
        <v>0</v>
      </c>
      <c r="BJ23" s="14">
        <f t="shared" si="12"/>
        <v>0.7</v>
      </c>
      <c r="BK23" s="47">
        <f t="shared" si="50"/>
        <v>0</v>
      </c>
      <c r="BL23" s="35">
        <f t="shared" si="13"/>
        <v>1.4</v>
      </c>
      <c r="BM23" s="157">
        <f t="shared" si="14"/>
        <v>0</v>
      </c>
      <c r="BN23" s="134"/>
      <c r="BO23" s="14">
        <f t="shared" si="15"/>
        <v>17</v>
      </c>
      <c r="BP23" s="442">
        <f t="shared" si="51"/>
        <v>0</v>
      </c>
      <c r="BQ23" s="68">
        <f t="shared" si="66"/>
        <v>0</v>
      </c>
      <c r="BR23" s="51">
        <f t="shared" si="16"/>
        <v>120</v>
      </c>
      <c r="BS23" s="103">
        <f t="shared" si="124"/>
        <v>0</v>
      </c>
      <c r="BT23" s="59">
        <f t="shared" si="111"/>
        <v>120</v>
      </c>
      <c r="BU23" s="51">
        <f t="shared" si="18"/>
        <v>77</v>
      </c>
      <c r="BV23" s="103">
        <f t="shared" si="125"/>
        <v>0</v>
      </c>
      <c r="BW23" s="71">
        <f t="shared" si="76"/>
        <v>77</v>
      </c>
      <c r="BY23" s="120">
        <f t="shared" si="126"/>
        <v>11</v>
      </c>
      <c r="BZ23" s="7">
        <f t="shared" si="127"/>
        <v>2</v>
      </c>
      <c r="CA23" s="133"/>
      <c r="CB23" s="14">
        <f t="shared" si="77"/>
        <v>0</v>
      </c>
      <c r="CC23" s="59">
        <f t="shared" si="86"/>
        <v>0</v>
      </c>
      <c r="CD23" s="405"/>
      <c r="CE23" s="406"/>
      <c r="CF23" s="406"/>
      <c r="CG23" s="14">
        <f t="shared" si="87"/>
        <v>0</v>
      </c>
      <c r="CH23" s="14">
        <f t="shared" si="78"/>
        <v>0</v>
      </c>
      <c r="CI23" s="14">
        <f t="shared" si="19"/>
        <v>0.7</v>
      </c>
      <c r="CJ23" s="47">
        <f t="shared" si="55"/>
        <v>0</v>
      </c>
      <c r="CK23" s="35">
        <f t="shared" si="20"/>
        <v>1.4</v>
      </c>
      <c r="CL23" s="157">
        <f t="shared" si="69"/>
        <v>0</v>
      </c>
      <c r="CM23" s="134"/>
      <c r="CN23" s="14">
        <f t="shared" si="21"/>
        <v>17</v>
      </c>
      <c r="CO23" s="48">
        <f t="shared" si="70"/>
        <v>0</v>
      </c>
      <c r="CP23" s="68">
        <f t="shared" si="56"/>
        <v>0</v>
      </c>
      <c r="CQ23" s="51">
        <f t="shared" si="22"/>
        <v>120</v>
      </c>
      <c r="CR23" s="103">
        <f t="shared" si="128"/>
        <v>0</v>
      </c>
      <c r="CS23" s="59">
        <f t="shared" si="112"/>
        <v>120</v>
      </c>
      <c r="CT23" s="51">
        <f t="shared" si="23"/>
        <v>77</v>
      </c>
      <c r="CU23" s="112">
        <f t="shared" si="129"/>
        <v>0</v>
      </c>
      <c r="CV23" s="71">
        <f t="shared" si="41"/>
        <v>77</v>
      </c>
    </row>
    <row r="24" spans="1:100" ht="17.25" thickBot="1" x14ac:dyDescent="0.3">
      <c r="B24" s="120">
        <f t="shared" si="113"/>
        <v>24</v>
      </c>
      <c r="C24" s="7">
        <f t="shared" si="114"/>
        <v>2</v>
      </c>
      <c r="D24" s="133"/>
      <c r="E24" s="48">
        <f t="shared" si="106"/>
        <v>182344</v>
      </c>
      <c r="F24" s="196">
        <f t="shared" si="80"/>
        <v>182296</v>
      </c>
      <c r="G24" s="134"/>
      <c r="H24" s="135">
        <v>48</v>
      </c>
      <c r="I24" s="135"/>
      <c r="J24" s="14">
        <f t="shared" si="81"/>
        <v>48</v>
      </c>
      <c r="K24" s="14">
        <f t="shared" si="92"/>
        <v>9067</v>
      </c>
      <c r="L24" s="14">
        <f t="shared" si="1"/>
        <v>0.7</v>
      </c>
      <c r="M24" s="230">
        <f t="shared" si="26"/>
        <v>2.6323871364015268E-2</v>
      </c>
      <c r="N24" s="35">
        <f t="shared" si="27"/>
        <v>1.4</v>
      </c>
      <c r="O24" s="132">
        <f t="shared" si="28"/>
        <v>4.7381155186739337</v>
      </c>
      <c r="P24" s="134">
        <v>3420</v>
      </c>
      <c r="Q24" s="14">
        <f t="shared" si="2"/>
        <v>17</v>
      </c>
      <c r="R24" s="442">
        <f t="shared" si="29"/>
        <v>18.755758346860876</v>
      </c>
      <c r="S24" s="470">
        <f>S23+R24</f>
        <v>268.45316062817352</v>
      </c>
      <c r="T24" s="51">
        <f t="shared" si="3"/>
        <v>120</v>
      </c>
      <c r="U24" s="103">
        <f t="shared" si="115"/>
        <v>116</v>
      </c>
      <c r="V24" s="59">
        <f t="shared" si="94"/>
        <v>4</v>
      </c>
      <c r="W24" s="12">
        <f t="shared" si="4"/>
        <v>77</v>
      </c>
      <c r="X24" s="103">
        <f t="shared" si="116"/>
        <v>64</v>
      </c>
      <c r="Y24" s="71">
        <f t="shared" si="31"/>
        <v>13</v>
      </c>
      <c r="Z24" s="487"/>
      <c r="AA24" s="120">
        <f t="shared" si="117"/>
        <v>24</v>
      </c>
      <c r="AB24" s="7">
        <f t="shared" si="118"/>
        <v>2</v>
      </c>
      <c r="AC24" s="229"/>
      <c r="AD24" s="48">
        <f t="shared" si="107"/>
        <v>0</v>
      </c>
      <c r="AE24" s="196">
        <f t="shared" si="5"/>
        <v>0</v>
      </c>
      <c r="AF24" s="134"/>
      <c r="AG24" s="135"/>
      <c r="AH24" s="135"/>
      <c r="AI24" s="14">
        <f t="shared" si="84"/>
        <v>0</v>
      </c>
      <c r="AJ24" s="14">
        <f t="shared" si="130"/>
        <v>0</v>
      </c>
      <c r="AK24" s="14">
        <f t="shared" si="6"/>
        <v>0.7</v>
      </c>
      <c r="AL24" s="230">
        <f t="shared" si="33"/>
        <v>0</v>
      </c>
      <c r="AM24" s="35">
        <f t="shared" si="7"/>
        <v>1.4</v>
      </c>
      <c r="AN24" s="157">
        <f t="shared" si="131"/>
        <v>0</v>
      </c>
      <c r="AO24" s="134"/>
      <c r="AP24" s="14">
        <f t="shared" si="8"/>
        <v>17</v>
      </c>
      <c r="AQ24" s="442">
        <f t="shared" si="34"/>
        <v>0</v>
      </c>
      <c r="AR24" s="470">
        <f>AR23+AQ24</f>
        <v>0</v>
      </c>
      <c r="AS24" s="51">
        <f t="shared" si="9"/>
        <v>120</v>
      </c>
      <c r="AT24" s="103">
        <f t="shared" si="119"/>
        <v>0</v>
      </c>
      <c r="AU24" s="59">
        <f t="shared" si="110"/>
        <v>120</v>
      </c>
      <c r="AV24" s="12">
        <f t="shared" si="10"/>
        <v>77</v>
      </c>
      <c r="AW24" s="103">
        <f t="shared" si="120"/>
        <v>0</v>
      </c>
      <c r="AX24" s="71">
        <f t="shared" si="75"/>
        <v>77</v>
      </c>
      <c r="AZ24" s="120">
        <f t="shared" si="121"/>
        <v>24</v>
      </c>
      <c r="BA24" s="7">
        <f t="shared" si="122"/>
        <v>2</v>
      </c>
      <c r="BB24" s="133"/>
      <c r="BC24" s="48">
        <f t="shared" si="108"/>
        <v>0</v>
      </c>
      <c r="BD24" s="196">
        <f t="shared" si="11"/>
        <v>0</v>
      </c>
      <c r="BE24" s="134"/>
      <c r="BF24" s="135"/>
      <c r="BG24" s="135"/>
      <c r="BH24" s="14">
        <f t="shared" si="85"/>
        <v>0</v>
      </c>
      <c r="BI24" s="14">
        <f t="shared" si="123"/>
        <v>0</v>
      </c>
      <c r="BJ24" s="14">
        <f t="shared" si="12"/>
        <v>0.7</v>
      </c>
      <c r="BK24" s="47">
        <f t="shared" si="50"/>
        <v>0</v>
      </c>
      <c r="BL24" s="35">
        <f t="shared" si="13"/>
        <v>1.4</v>
      </c>
      <c r="BM24" s="157">
        <f t="shared" si="14"/>
        <v>0</v>
      </c>
      <c r="BN24" s="134"/>
      <c r="BO24" s="14">
        <f t="shared" si="15"/>
        <v>17</v>
      </c>
      <c r="BP24" s="442">
        <f t="shared" si="51"/>
        <v>0</v>
      </c>
      <c r="BQ24" s="68">
        <f t="shared" si="66"/>
        <v>0</v>
      </c>
      <c r="BR24" s="51">
        <f t="shared" si="16"/>
        <v>120</v>
      </c>
      <c r="BS24" s="103">
        <f t="shared" si="124"/>
        <v>0</v>
      </c>
      <c r="BT24" s="59">
        <f t="shared" si="111"/>
        <v>120</v>
      </c>
      <c r="BU24" s="12">
        <f t="shared" si="18"/>
        <v>77</v>
      </c>
      <c r="BV24" s="103">
        <f t="shared" si="125"/>
        <v>0</v>
      </c>
      <c r="BW24" s="71">
        <f t="shared" si="76"/>
        <v>77</v>
      </c>
      <c r="BY24" s="120">
        <f t="shared" si="126"/>
        <v>12</v>
      </c>
      <c r="BZ24" s="7">
        <f t="shared" si="127"/>
        <v>2</v>
      </c>
      <c r="CA24" s="133"/>
      <c r="CB24" s="14">
        <f t="shared" si="77"/>
        <v>0</v>
      </c>
      <c r="CC24" s="59">
        <f t="shared" si="86"/>
        <v>0</v>
      </c>
      <c r="CD24" s="405"/>
      <c r="CE24" s="406"/>
      <c r="CF24" s="406"/>
      <c r="CG24" s="14">
        <f t="shared" si="87"/>
        <v>0</v>
      </c>
      <c r="CH24" s="14">
        <f t="shared" si="78"/>
        <v>0</v>
      </c>
      <c r="CI24" s="14">
        <f t="shared" si="19"/>
        <v>0.7</v>
      </c>
      <c r="CJ24" s="47">
        <f t="shared" si="55"/>
        <v>0</v>
      </c>
      <c r="CK24" s="35">
        <f t="shared" si="20"/>
        <v>1.4</v>
      </c>
      <c r="CL24" s="157">
        <f t="shared" si="69"/>
        <v>0</v>
      </c>
      <c r="CM24" s="134"/>
      <c r="CN24" s="14">
        <f t="shared" si="21"/>
        <v>17</v>
      </c>
      <c r="CO24" s="48">
        <f t="shared" si="70"/>
        <v>0</v>
      </c>
      <c r="CP24" s="68">
        <f t="shared" si="56"/>
        <v>0</v>
      </c>
      <c r="CQ24" s="51">
        <f t="shared" si="22"/>
        <v>120</v>
      </c>
      <c r="CR24" s="103">
        <f t="shared" si="128"/>
        <v>0</v>
      </c>
      <c r="CS24" s="59">
        <f t="shared" si="112"/>
        <v>120</v>
      </c>
      <c r="CT24" s="12">
        <f t="shared" si="23"/>
        <v>77</v>
      </c>
      <c r="CU24" s="112">
        <f t="shared" si="129"/>
        <v>0</v>
      </c>
      <c r="CV24" s="71">
        <f t="shared" si="41"/>
        <v>77</v>
      </c>
    </row>
    <row r="25" spans="1:100" ht="17.25" thickBot="1" x14ac:dyDescent="0.3">
      <c r="B25" s="120">
        <f t="shared" si="113"/>
        <v>25</v>
      </c>
      <c r="C25" s="7">
        <f t="shared" si="114"/>
        <v>2</v>
      </c>
      <c r="D25" s="133"/>
      <c r="E25" s="48">
        <f t="shared" si="106"/>
        <v>182296</v>
      </c>
      <c r="F25" s="196">
        <f>IFERROR(E25-J25,0)</f>
        <v>182242</v>
      </c>
      <c r="G25" s="134"/>
      <c r="H25" s="135">
        <v>54</v>
      </c>
      <c r="I25" s="135"/>
      <c r="J25" s="14">
        <f t="shared" si="81"/>
        <v>54</v>
      </c>
      <c r="K25" s="14">
        <f t="shared" si="92"/>
        <v>9121</v>
      </c>
      <c r="L25" s="14">
        <f t="shared" si="1"/>
        <v>0.7</v>
      </c>
      <c r="M25" s="47">
        <f t="shared" si="26"/>
        <v>2.9622152981963402E-2</v>
      </c>
      <c r="N25" s="35">
        <f t="shared" si="27"/>
        <v>1.4</v>
      </c>
      <c r="O25" s="132">
        <f t="shared" si="28"/>
        <v>4.7663341398284933</v>
      </c>
      <c r="P25" s="134">
        <v>3420</v>
      </c>
      <c r="Q25" s="14">
        <f t="shared" si="2"/>
        <v>17</v>
      </c>
      <c r="R25" s="480">
        <f t="shared" si="29"/>
        <v>18.76069688857682</v>
      </c>
      <c r="S25" s="470">
        <f>S24+R25</f>
        <v>287.21385751675035</v>
      </c>
      <c r="T25" s="51">
        <f t="shared" si="3"/>
        <v>120</v>
      </c>
      <c r="U25" s="103">
        <f t="shared" si="115"/>
        <v>116</v>
      </c>
      <c r="V25" s="59">
        <f t="shared" si="94"/>
        <v>4</v>
      </c>
      <c r="W25" s="50">
        <f t="shared" si="4"/>
        <v>77</v>
      </c>
      <c r="X25" s="103">
        <f t="shared" si="116"/>
        <v>64</v>
      </c>
      <c r="Y25" s="71">
        <f t="shared" si="31"/>
        <v>13</v>
      </c>
      <c r="Z25" s="487"/>
      <c r="AA25" s="120">
        <f t="shared" si="117"/>
        <v>25</v>
      </c>
      <c r="AB25" s="7">
        <f t="shared" si="118"/>
        <v>2</v>
      </c>
      <c r="AC25" s="229"/>
      <c r="AD25" s="48">
        <f t="shared" si="107"/>
        <v>0</v>
      </c>
      <c r="AE25" s="196">
        <f>IFERROR(AD25-AI25,0)</f>
        <v>0</v>
      </c>
      <c r="AF25" s="134"/>
      <c r="AG25" s="135"/>
      <c r="AH25" s="135"/>
      <c r="AI25" s="14">
        <f t="shared" si="84"/>
        <v>0</v>
      </c>
      <c r="AJ25" s="14">
        <f t="shared" si="130"/>
        <v>0</v>
      </c>
      <c r="AK25" s="14">
        <f t="shared" si="6"/>
        <v>0.7</v>
      </c>
      <c r="AL25" s="47">
        <f t="shared" si="33"/>
        <v>0</v>
      </c>
      <c r="AM25" s="35">
        <f t="shared" si="7"/>
        <v>1.4</v>
      </c>
      <c r="AN25" s="157">
        <f t="shared" si="131"/>
        <v>0</v>
      </c>
      <c r="AO25" s="134"/>
      <c r="AP25" s="14">
        <f t="shared" si="8"/>
        <v>17</v>
      </c>
      <c r="AQ25" s="480">
        <f t="shared" si="34"/>
        <v>0</v>
      </c>
      <c r="AR25" s="470">
        <f>AR24+AQ25</f>
        <v>0</v>
      </c>
      <c r="AS25" s="51">
        <f t="shared" si="9"/>
        <v>120</v>
      </c>
      <c r="AT25" s="103">
        <f t="shared" si="119"/>
        <v>0</v>
      </c>
      <c r="AU25" s="59">
        <f t="shared" si="110"/>
        <v>120</v>
      </c>
      <c r="AV25" s="50">
        <f t="shared" si="10"/>
        <v>77</v>
      </c>
      <c r="AW25" s="103">
        <f t="shared" si="120"/>
        <v>0</v>
      </c>
      <c r="AX25" s="71">
        <f t="shared" si="75"/>
        <v>77</v>
      </c>
      <c r="AZ25" s="120">
        <f t="shared" si="121"/>
        <v>25</v>
      </c>
      <c r="BA25" s="7">
        <f t="shared" si="122"/>
        <v>2</v>
      </c>
      <c r="BB25" s="133"/>
      <c r="BC25" s="48">
        <f t="shared" si="108"/>
        <v>0</v>
      </c>
      <c r="BD25" s="196">
        <f>IFERROR(BC25-BH25,0)</f>
        <v>0</v>
      </c>
      <c r="BE25" s="134"/>
      <c r="BF25" s="135"/>
      <c r="BG25" s="135"/>
      <c r="BH25" s="14">
        <f t="shared" si="85"/>
        <v>0</v>
      </c>
      <c r="BI25" s="14">
        <f t="shared" si="123"/>
        <v>0</v>
      </c>
      <c r="BJ25" s="14">
        <f t="shared" si="12"/>
        <v>0.7</v>
      </c>
      <c r="BK25" s="47">
        <f t="shared" si="50"/>
        <v>0</v>
      </c>
      <c r="BL25" s="35">
        <f t="shared" si="13"/>
        <v>1.4</v>
      </c>
      <c r="BM25" s="157">
        <f t="shared" si="14"/>
        <v>0</v>
      </c>
      <c r="BN25" s="134"/>
      <c r="BO25" s="14">
        <f t="shared" si="15"/>
        <v>17</v>
      </c>
      <c r="BP25" s="442">
        <f t="shared" si="51"/>
        <v>0</v>
      </c>
      <c r="BQ25" s="68">
        <f t="shared" si="66"/>
        <v>0</v>
      </c>
      <c r="BR25" s="51">
        <f t="shared" si="16"/>
        <v>120</v>
      </c>
      <c r="BS25" s="103">
        <f t="shared" si="124"/>
        <v>0</v>
      </c>
      <c r="BT25" s="59">
        <f t="shared" si="111"/>
        <v>120</v>
      </c>
      <c r="BU25" s="50">
        <f t="shared" si="18"/>
        <v>77</v>
      </c>
      <c r="BV25" s="103">
        <f t="shared" si="125"/>
        <v>0</v>
      </c>
      <c r="BW25" s="71">
        <f t="shared" si="76"/>
        <v>77</v>
      </c>
      <c r="BY25" s="120">
        <f t="shared" si="126"/>
        <v>13</v>
      </c>
      <c r="BZ25" s="7">
        <f t="shared" si="127"/>
        <v>2</v>
      </c>
      <c r="CA25" s="133"/>
      <c r="CB25" s="14">
        <f t="shared" si="77"/>
        <v>0</v>
      </c>
      <c r="CC25" s="59">
        <f t="shared" si="86"/>
        <v>0</v>
      </c>
      <c r="CD25" s="405"/>
      <c r="CE25" s="406"/>
      <c r="CF25" s="406"/>
      <c r="CG25" s="14">
        <f t="shared" si="87"/>
        <v>0</v>
      </c>
      <c r="CH25" s="14">
        <f t="shared" si="78"/>
        <v>0</v>
      </c>
      <c r="CI25" s="14">
        <f t="shared" si="19"/>
        <v>0.7</v>
      </c>
      <c r="CJ25" s="235">
        <f t="shared" si="55"/>
        <v>0</v>
      </c>
      <c r="CK25" s="37">
        <f t="shared" si="20"/>
        <v>1.4</v>
      </c>
      <c r="CL25" s="157">
        <f t="shared" si="69"/>
        <v>0</v>
      </c>
      <c r="CM25" s="134"/>
      <c r="CN25" s="14">
        <f t="shared" si="21"/>
        <v>17</v>
      </c>
      <c r="CO25" s="48">
        <f t="shared" si="70"/>
        <v>0</v>
      </c>
      <c r="CP25" s="68">
        <f t="shared" si="56"/>
        <v>0</v>
      </c>
      <c r="CQ25" s="51">
        <f t="shared" si="22"/>
        <v>120</v>
      </c>
      <c r="CR25" s="103">
        <f t="shared" si="128"/>
        <v>0</v>
      </c>
      <c r="CS25" s="59">
        <f t="shared" si="112"/>
        <v>120</v>
      </c>
      <c r="CT25" s="50">
        <f t="shared" si="23"/>
        <v>77</v>
      </c>
      <c r="CU25" s="112">
        <f t="shared" si="129"/>
        <v>0</v>
      </c>
      <c r="CV25" s="71">
        <f t="shared" si="41"/>
        <v>77</v>
      </c>
    </row>
    <row r="26" spans="1:100" ht="17.25" thickBot="1" x14ac:dyDescent="0.3">
      <c r="B26" s="197">
        <f>B25+1</f>
        <v>26</v>
      </c>
      <c r="C26" s="8">
        <f t="shared" si="114"/>
        <v>2</v>
      </c>
      <c r="D26" s="136"/>
      <c r="E26" s="54">
        <f>IFERROR(F25+D26,0)</f>
        <v>182242</v>
      </c>
      <c r="F26" s="55">
        <f>IFERROR(E26-J26,0)</f>
        <v>182176</v>
      </c>
      <c r="G26" s="137"/>
      <c r="H26" s="138">
        <v>66</v>
      </c>
      <c r="I26" s="138"/>
      <c r="J26" s="34">
        <f t="shared" si="81"/>
        <v>66</v>
      </c>
      <c r="K26" s="34">
        <f t="shared" si="92"/>
        <v>9187</v>
      </c>
      <c r="L26" s="17">
        <f t="shared" si="1"/>
        <v>0.7</v>
      </c>
      <c r="M26" s="231">
        <f t="shared" si="26"/>
        <v>3.6215581479571123E-2</v>
      </c>
      <c r="N26" s="33">
        <f t="shared" si="27"/>
        <v>1.4</v>
      </c>
      <c r="O26" s="132">
        <f t="shared" si="28"/>
        <v>4.8008235656840661</v>
      </c>
      <c r="P26" s="137">
        <v>3780</v>
      </c>
      <c r="Q26" s="32">
        <f t="shared" si="2"/>
        <v>17</v>
      </c>
      <c r="R26" s="443">
        <f t="shared" si="29"/>
        <v>20.741651211027094</v>
      </c>
      <c r="S26" s="471">
        <f>S25+R26</f>
        <v>307.95550872777744</v>
      </c>
      <c r="T26" s="50">
        <f t="shared" si="3"/>
        <v>120</v>
      </c>
      <c r="U26" s="103">
        <f t="shared" si="115"/>
        <v>116</v>
      </c>
      <c r="V26" s="53">
        <f t="shared" si="94"/>
        <v>4</v>
      </c>
      <c r="W26" s="56">
        <f t="shared" si="4"/>
        <v>77</v>
      </c>
      <c r="X26" s="103">
        <f t="shared" si="116"/>
        <v>64</v>
      </c>
      <c r="Y26" s="63">
        <f t="shared" si="31"/>
        <v>13</v>
      </c>
      <c r="Z26" s="487"/>
      <c r="AA26" s="197">
        <f>AA25+1</f>
        <v>26</v>
      </c>
      <c r="AB26" s="8">
        <f t="shared" si="118"/>
        <v>2</v>
      </c>
      <c r="AC26" s="434"/>
      <c r="AD26" s="54">
        <f>IFERROR(AE25+AC26,0)</f>
        <v>0</v>
      </c>
      <c r="AE26" s="55">
        <f>IFERROR(AD26-AI26,0)</f>
        <v>0</v>
      </c>
      <c r="AF26" s="137"/>
      <c r="AG26" s="138"/>
      <c r="AH26" s="138"/>
      <c r="AI26" s="34">
        <f t="shared" si="84"/>
        <v>0</v>
      </c>
      <c r="AJ26" s="34">
        <f t="shared" si="130"/>
        <v>0</v>
      </c>
      <c r="AK26" s="17">
        <f t="shared" si="6"/>
        <v>0.7</v>
      </c>
      <c r="AL26" s="231">
        <f t="shared" si="33"/>
        <v>0</v>
      </c>
      <c r="AM26" s="33">
        <f t="shared" si="7"/>
        <v>1.4</v>
      </c>
      <c r="AN26" s="156">
        <f t="shared" si="131"/>
        <v>0</v>
      </c>
      <c r="AO26" s="137"/>
      <c r="AP26" s="32">
        <f t="shared" si="8"/>
        <v>17</v>
      </c>
      <c r="AQ26" s="443">
        <f t="shared" si="34"/>
        <v>0</v>
      </c>
      <c r="AR26" s="471">
        <f>AR25+AQ26</f>
        <v>0</v>
      </c>
      <c r="AS26" s="50">
        <f t="shared" si="9"/>
        <v>120</v>
      </c>
      <c r="AT26" s="103">
        <f t="shared" si="119"/>
        <v>0</v>
      </c>
      <c r="AU26" s="53">
        <f t="shared" si="110"/>
        <v>120</v>
      </c>
      <c r="AV26" s="56">
        <f t="shared" si="10"/>
        <v>77</v>
      </c>
      <c r="AW26" s="103">
        <f t="shared" si="120"/>
        <v>0</v>
      </c>
      <c r="AX26" s="63">
        <f t="shared" si="75"/>
        <v>77</v>
      </c>
      <c r="AZ26" s="197">
        <f>AZ25+1</f>
        <v>26</v>
      </c>
      <c r="BA26" s="8">
        <f t="shared" si="122"/>
        <v>2</v>
      </c>
      <c r="BB26" s="136"/>
      <c r="BC26" s="54">
        <f>IFERROR(BD25+BB26,0)</f>
        <v>0</v>
      </c>
      <c r="BD26" s="55">
        <f>IFERROR(BC26-BH26,0)</f>
        <v>0</v>
      </c>
      <c r="BE26" s="137"/>
      <c r="BF26" s="138"/>
      <c r="BG26" s="138"/>
      <c r="BH26" s="34">
        <f t="shared" si="85"/>
        <v>0</v>
      </c>
      <c r="BI26" s="34">
        <f t="shared" si="123"/>
        <v>0</v>
      </c>
      <c r="BJ26" s="17">
        <f t="shared" si="12"/>
        <v>0.7</v>
      </c>
      <c r="BK26" s="96">
        <f t="shared" si="50"/>
        <v>0</v>
      </c>
      <c r="BL26" s="33">
        <f t="shared" si="13"/>
        <v>1.4</v>
      </c>
      <c r="BM26" s="156">
        <f t="shared" si="14"/>
        <v>0</v>
      </c>
      <c r="BN26" s="137"/>
      <c r="BO26" s="32">
        <f t="shared" si="15"/>
        <v>17</v>
      </c>
      <c r="BP26" s="443">
        <f t="shared" si="51"/>
        <v>0</v>
      </c>
      <c r="BQ26" s="70">
        <f t="shared" si="66"/>
        <v>0</v>
      </c>
      <c r="BR26" s="50">
        <f t="shared" si="16"/>
        <v>120</v>
      </c>
      <c r="BS26" s="103">
        <f t="shared" si="124"/>
        <v>0</v>
      </c>
      <c r="BT26" s="53">
        <f t="shared" si="111"/>
        <v>120</v>
      </c>
      <c r="BU26" s="56">
        <f t="shared" si="18"/>
        <v>77</v>
      </c>
      <c r="BV26" s="103">
        <f t="shared" si="125"/>
        <v>0</v>
      </c>
      <c r="BW26" s="63">
        <f t="shared" si="76"/>
        <v>77</v>
      </c>
      <c r="BY26" s="197">
        <f>BY25+1</f>
        <v>14</v>
      </c>
      <c r="BZ26" s="8">
        <f t="shared" si="127"/>
        <v>2</v>
      </c>
      <c r="CA26" s="136"/>
      <c r="CB26" s="32">
        <f t="shared" si="77"/>
        <v>0</v>
      </c>
      <c r="CC26" s="53">
        <f t="shared" si="86"/>
        <v>0</v>
      </c>
      <c r="CD26" s="421"/>
      <c r="CE26" s="426"/>
      <c r="CF26" s="426"/>
      <c r="CG26" s="34">
        <f t="shared" si="87"/>
        <v>0</v>
      </c>
      <c r="CH26" s="32">
        <f t="shared" si="78"/>
        <v>0</v>
      </c>
      <c r="CI26" s="32">
        <f t="shared" si="19"/>
        <v>0.7</v>
      </c>
      <c r="CJ26" s="96">
        <f t="shared" si="55"/>
        <v>0</v>
      </c>
      <c r="CK26" s="36">
        <f t="shared" si="20"/>
        <v>1.4</v>
      </c>
      <c r="CL26" s="156">
        <f t="shared" si="69"/>
        <v>0</v>
      </c>
      <c r="CM26" s="137"/>
      <c r="CN26" s="32">
        <f t="shared" si="21"/>
        <v>17</v>
      </c>
      <c r="CO26" s="54">
        <f t="shared" si="70"/>
        <v>0</v>
      </c>
      <c r="CP26" s="70">
        <f t="shared" si="56"/>
        <v>0</v>
      </c>
      <c r="CQ26" s="56">
        <f t="shared" si="22"/>
        <v>120</v>
      </c>
      <c r="CR26" s="103">
        <f t="shared" si="128"/>
        <v>0</v>
      </c>
      <c r="CS26" s="53">
        <f t="shared" si="112"/>
        <v>120</v>
      </c>
      <c r="CT26" s="56">
        <f t="shared" si="23"/>
        <v>77</v>
      </c>
      <c r="CU26" s="112">
        <f t="shared" si="129"/>
        <v>0</v>
      </c>
      <c r="CV26" s="63">
        <f t="shared" si="41"/>
        <v>77</v>
      </c>
    </row>
    <row r="27" spans="1:100" ht="17.25" thickBot="1" x14ac:dyDescent="0.3">
      <c r="B27" s="118">
        <f>B26+1</f>
        <v>27</v>
      </c>
      <c r="C27" s="9">
        <v>3</v>
      </c>
      <c r="D27" s="43">
        <f>IFERROR(F26+D26,0)</f>
        <v>182176</v>
      </c>
      <c r="F27" s="44">
        <f>IFERROR(D27-J27,0)</f>
        <v>182079</v>
      </c>
      <c r="G27" s="130"/>
      <c r="H27" s="131">
        <v>97</v>
      </c>
      <c r="I27" s="131"/>
      <c r="J27" s="11">
        <f t="shared" si="81"/>
        <v>97</v>
      </c>
      <c r="K27" s="11">
        <f>K26+J27</f>
        <v>9284</v>
      </c>
      <c r="L27" s="16">
        <f t="shared" si="1"/>
        <v>0.5</v>
      </c>
      <c r="M27" s="42">
        <f>IFERROR((J27*100)/#REF!,0)</f>
        <v>0</v>
      </c>
      <c r="N27" s="154">
        <f>VLOOKUP($C27,LOHMANN,5,FALSE)</f>
        <v>1.9</v>
      </c>
      <c r="O27" s="132">
        <f t="shared" si="28"/>
        <v>4.8515125703505904</v>
      </c>
      <c r="P27" s="130">
        <v>3600</v>
      </c>
      <c r="Q27" s="17">
        <f t="shared" si="2"/>
        <v>23</v>
      </c>
      <c r="R27" s="481">
        <f>IFERROR((P27/D27)*1000,0)</f>
        <v>19.761110135253819</v>
      </c>
      <c r="S27" s="469">
        <f t="shared" si="82"/>
        <v>327.71661886303127</v>
      </c>
      <c r="T27" s="58">
        <f t="shared" si="3"/>
        <v>185</v>
      </c>
      <c r="U27" s="131">
        <v>184</v>
      </c>
      <c r="V27" s="41">
        <f t="shared" si="94"/>
        <v>1</v>
      </c>
      <c r="W27" s="18">
        <f t="shared" si="4"/>
        <v>77</v>
      </c>
      <c r="X27" s="131">
        <v>85</v>
      </c>
      <c r="Y27" s="41">
        <f t="shared" si="31"/>
        <v>-8</v>
      </c>
      <c r="Z27" s="487"/>
      <c r="AA27" s="118">
        <f>AA26+1</f>
        <v>27</v>
      </c>
      <c r="AB27" s="9">
        <v>3</v>
      </c>
      <c r="AC27" s="396"/>
      <c r="AD27" s="43">
        <f t="shared" ref="AD27:AD90" si="132">IFERROR(AE26+AC27,0)</f>
        <v>0</v>
      </c>
      <c r="AE27" s="44">
        <f>IFERROR(AD27-AI27,0)</f>
        <v>0</v>
      </c>
      <c r="AF27" s="130"/>
      <c r="AG27" s="131"/>
      <c r="AH27" s="131"/>
      <c r="AI27" s="11">
        <f t="shared" si="84"/>
        <v>0</v>
      </c>
      <c r="AJ27" s="11">
        <f t="shared" si="130"/>
        <v>0</v>
      </c>
      <c r="AK27" s="16">
        <f t="shared" si="6"/>
        <v>0.5</v>
      </c>
      <c r="AL27" s="42">
        <f t="shared" si="33"/>
        <v>0</v>
      </c>
      <c r="AM27" s="154">
        <f t="shared" si="7"/>
        <v>1.9</v>
      </c>
      <c r="AN27" s="155">
        <f>IFERROR((AJ27*100)/AD27,0)</f>
        <v>0</v>
      </c>
      <c r="AO27" s="130"/>
      <c r="AP27" s="17">
        <f t="shared" si="8"/>
        <v>23</v>
      </c>
      <c r="AQ27" s="481">
        <f t="shared" si="34"/>
        <v>0</v>
      </c>
      <c r="AR27" s="469">
        <f t="shared" ref="AR27:AR90" si="133">AR26+AQ27</f>
        <v>0</v>
      </c>
      <c r="AS27" s="58">
        <f t="shared" si="9"/>
        <v>185</v>
      </c>
      <c r="AT27" s="131">
        <v>184</v>
      </c>
      <c r="AU27" s="41">
        <f t="shared" si="110"/>
        <v>1</v>
      </c>
      <c r="AV27" s="18">
        <f t="shared" si="10"/>
        <v>77</v>
      </c>
      <c r="AW27" s="131">
        <v>85</v>
      </c>
      <c r="AX27" s="41">
        <f t="shared" si="75"/>
        <v>-8</v>
      </c>
      <c r="AZ27" s="118">
        <f>AZ26+1</f>
        <v>27</v>
      </c>
      <c r="BA27" s="9">
        <v>3</v>
      </c>
      <c r="BB27" s="129"/>
      <c r="BC27" s="43">
        <f t="shared" ref="BC27:BC49" si="134">IFERROR(BD26+BB27,0)</f>
        <v>0</v>
      </c>
      <c r="BD27" s="44">
        <f>IFERROR(BC27-BH27,0)</f>
        <v>0</v>
      </c>
      <c r="BE27" s="130"/>
      <c r="BF27" s="131"/>
      <c r="BG27" s="131"/>
      <c r="BH27" s="11">
        <f t="shared" si="85"/>
        <v>0</v>
      </c>
      <c r="BI27" s="11">
        <f t="shared" si="123"/>
        <v>0</v>
      </c>
      <c r="BJ27" s="16">
        <f t="shared" si="12"/>
        <v>0.5</v>
      </c>
      <c r="BK27" s="235">
        <f t="shared" si="50"/>
        <v>0</v>
      </c>
      <c r="BL27" s="154">
        <f t="shared" si="13"/>
        <v>1.9</v>
      </c>
      <c r="BM27" s="155">
        <f>IFERROR((BI27*100)/BC27,0)</f>
        <v>0</v>
      </c>
      <c r="BN27" s="130"/>
      <c r="BO27" s="17">
        <f t="shared" si="15"/>
        <v>23</v>
      </c>
      <c r="BP27" s="479">
        <f t="shared" si="51"/>
        <v>0</v>
      </c>
      <c r="BQ27" s="377">
        <f t="shared" si="66"/>
        <v>0</v>
      </c>
      <c r="BR27" s="58">
        <f t="shared" si="16"/>
        <v>185</v>
      </c>
      <c r="BS27" s="131">
        <v>188</v>
      </c>
      <c r="BT27" s="41">
        <f t="shared" si="111"/>
        <v>-3</v>
      </c>
      <c r="BU27" s="18">
        <f t="shared" si="18"/>
        <v>77</v>
      </c>
      <c r="BV27" s="131">
        <v>71</v>
      </c>
      <c r="BW27" s="41">
        <f t="shared" si="76"/>
        <v>6</v>
      </c>
      <c r="BY27" s="118">
        <v>15</v>
      </c>
      <c r="BZ27" s="9">
        <v>3</v>
      </c>
      <c r="CA27" s="129"/>
      <c r="CB27" s="11">
        <f t="shared" si="77"/>
        <v>0</v>
      </c>
      <c r="CC27" s="41">
        <f t="shared" si="86"/>
        <v>0</v>
      </c>
      <c r="CD27" s="398"/>
      <c r="CE27" s="399"/>
      <c r="CF27" s="399"/>
      <c r="CG27" s="11">
        <f t="shared" si="87"/>
        <v>0</v>
      </c>
      <c r="CH27" s="17">
        <f t="shared" si="78"/>
        <v>0</v>
      </c>
      <c r="CI27" s="17">
        <f t="shared" si="19"/>
        <v>0.5</v>
      </c>
      <c r="CJ27" s="235">
        <f t="shared" si="55"/>
        <v>0</v>
      </c>
      <c r="CK27" s="33">
        <f t="shared" si="20"/>
        <v>1.9</v>
      </c>
      <c r="CL27" s="155">
        <f t="shared" si="69"/>
        <v>0</v>
      </c>
      <c r="CM27" s="130"/>
      <c r="CN27" s="17">
        <f t="shared" si="21"/>
        <v>23</v>
      </c>
      <c r="CO27" s="60">
        <f t="shared" si="70"/>
        <v>0</v>
      </c>
      <c r="CP27" s="377">
        <f t="shared" si="56"/>
        <v>0</v>
      </c>
      <c r="CQ27" s="61">
        <f t="shared" si="22"/>
        <v>185</v>
      </c>
      <c r="CR27" s="131"/>
      <c r="CS27" s="41">
        <f t="shared" si="112"/>
        <v>185</v>
      </c>
      <c r="CT27" s="18">
        <f t="shared" si="23"/>
        <v>77</v>
      </c>
      <c r="CU27" s="131"/>
      <c r="CV27" s="41">
        <f t="shared" si="41"/>
        <v>77</v>
      </c>
    </row>
    <row r="28" spans="1:100" ht="17.25" thickBot="1" x14ac:dyDescent="0.3">
      <c r="B28" s="120">
        <f>B27+1</f>
        <v>28</v>
      </c>
      <c r="C28" s="7">
        <f>C27</f>
        <v>3</v>
      </c>
      <c r="D28" s="133"/>
      <c r="E28" s="48">
        <f>IFERROR(F27+D28,0)</f>
        <v>182079</v>
      </c>
      <c r="F28" s="447">
        <f t="shared" si="80"/>
        <v>182037</v>
      </c>
      <c r="G28" s="134"/>
      <c r="H28" s="135">
        <v>42</v>
      </c>
      <c r="I28" s="135"/>
      <c r="J28" s="14">
        <f t="shared" si="81"/>
        <v>42</v>
      </c>
      <c r="K28" s="14">
        <f t="shared" si="92"/>
        <v>9326</v>
      </c>
      <c r="L28" s="14">
        <f t="shared" si="1"/>
        <v>0.5</v>
      </c>
      <c r="M28" s="47">
        <f t="shared" si="26"/>
        <v>2.3066910516863558E-2</v>
      </c>
      <c r="N28" s="35">
        <f t="shared" si="27"/>
        <v>1.9</v>
      </c>
      <c r="O28" s="132">
        <f t="shared" si="28"/>
        <v>4.8734603868041368</v>
      </c>
      <c r="P28" s="134">
        <v>3420</v>
      </c>
      <c r="Q28" s="14">
        <f t="shared" si="2"/>
        <v>23</v>
      </c>
      <c r="R28" s="482">
        <f t="shared" si="29"/>
        <v>18.783055706588897</v>
      </c>
      <c r="S28" s="470">
        <f t="shared" si="82"/>
        <v>346.4996745696202</v>
      </c>
      <c r="T28" s="51">
        <f t="shared" si="3"/>
        <v>185</v>
      </c>
      <c r="U28" s="112">
        <f>U27</f>
        <v>184</v>
      </c>
      <c r="V28" s="71">
        <f t="shared" si="94"/>
        <v>1</v>
      </c>
      <c r="W28" s="50">
        <f t="shared" si="4"/>
        <v>77</v>
      </c>
      <c r="X28" s="112">
        <f>X27</f>
        <v>85</v>
      </c>
      <c r="Y28" s="71">
        <f t="shared" si="31"/>
        <v>-8</v>
      </c>
      <c r="Z28" s="487"/>
      <c r="AA28" s="120">
        <f>AA27+1</f>
        <v>28</v>
      </c>
      <c r="AB28" s="7">
        <f>AB27</f>
        <v>3</v>
      </c>
      <c r="AC28" s="229"/>
      <c r="AD28" s="48">
        <f t="shared" si="132"/>
        <v>0</v>
      </c>
      <c r="AE28" s="447">
        <f t="shared" ref="AE28:AE45" si="135">IFERROR(AD28-AI28,0)</f>
        <v>0</v>
      </c>
      <c r="AF28" s="134"/>
      <c r="AG28" s="135"/>
      <c r="AH28" s="135"/>
      <c r="AI28" s="14">
        <f t="shared" si="84"/>
        <v>0</v>
      </c>
      <c r="AJ28" s="14">
        <f t="shared" si="130"/>
        <v>0</v>
      </c>
      <c r="AK28" s="14">
        <f t="shared" si="6"/>
        <v>0.5</v>
      </c>
      <c r="AL28" s="47">
        <f t="shared" si="33"/>
        <v>0</v>
      </c>
      <c r="AM28" s="35">
        <f t="shared" si="7"/>
        <v>1.9</v>
      </c>
      <c r="AN28" s="157">
        <f t="shared" ref="AN28:AN46" si="136">IFERROR((AJ28*100)/AD28,0)</f>
        <v>0</v>
      </c>
      <c r="AO28" s="134"/>
      <c r="AP28" s="14">
        <f t="shared" si="8"/>
        <v>23</v>
      </c>
      <c r="AQ28" s="482">
        <f t="shared" si="34"/>
        <v>0</v>
      </c>
      <c r="AR28" s="470">
        <f t="shared" si="133"/>
        <v>0</v>
      </c>
      <c r="AS28" s="51">
        <f t="shared" si="9"/>
        <v>185</v>
      </c>
      <c r="AT28" s="112">
        <f>AT27</f>
        <v>184</v>
      </c>
      <c r="AU28" s="71">
        <f t="shared" si="110"/>
        <v>1</v>
      </c>
      <c r="AV28" s="50">
        <f t="shared" si="10"/>
        <v>77</v>
      </c>
      <c r="AW28" s="112">
        <f>AW27</f>
        <v>85</v>
      </c>
      <c r="AX28" s="71">
        <f t="shared" si="75"/>
        <v>-8</v>
      </c>
      <c r="AZ28" s="120">
        <f>AZ27+1</f>
        <v>28</v>
      </c>
      <c r="BA28" s="7">
        <f>BA27</f>
        <v>3</v>
      </c>
      <c r="BB28" s="133"/>
      <c r="BC28" s="48">
        <f t="shared" si="134"/>
        <v>0</v>
      </c>
      <c r="BD28" s="447">
        <f t="shared" ref="BD28:BD48" si="137">IFERROR(BC28-BH28,0)</f>
        <v>0</v>
      </c>
      <c r="BE28" s="134"/>
      <c r="BF28" s="135"/>
      <c r="BG28" s="135"/>
      <c r="BH28" s="14">
        <f t="shared" si="85"/>
        <v>0</v>
      </c>
      <c r="BI28" s="14">
        <f t="shared" si="123"/>
        <v>0</v>
      </c>
      <c r="BJ28" s="14">
        <f t="shared" si="12"/>
        <v>0.5</v>
      </c>
      <c r="BK28" s="47">
        <f t="shared" si="50"/>
        <v>0</v>
      </c>
      <c r="BL28" s="35">
        <f t="shared" si="13"/>
        <v>1.9</v>
      </c>
      <c r="BM28" s="157">
        <f t="shared" ref="BM28:BM32" si="138">IFERROR((BI28*100)/BC28,0)</f>
        <v>0</v>
      </c>
      <c r="BN28" s="134"/>
      <c r="BO28" s="14">
        <f t="shared" si="15"/>
        <v>23</v>
      </c>
      <c r="BP28" s="442">
        <f t="shared" si="51"/>
        <v>0</v>
      </c>
      <c r="BQ28" s="68">
        <f t="shared" si="66"/>
        <v>0</v>
      </c>
      <c r="BR28" s="51">
        <f t="shared" si="16"/>
        <v>185</v>
      </c>
      <c r="BS28" s="112">
        <f>BS27</f>
        <v>188</v>
      </c>
      <c r="BT28" s="71">
        <f t="shared" si="111"/>
        <v>-3</v>
      </c>
      <c r="BU28" s="50">
        <f t="shared" si="18"/>
        <v>77</v>
      </c>
      <c r="BV28" s="112">
        <f>BV27</f>
        <v>71</v>
      </c>
      <c r="BW28" s="71">
        <f t="shared" si="76"/>
        <v>6</v>
      </c>
      <c r="BY28" s="120">
        <f>BY27+1</f>
        <v>16</v>
      </c>
      <c r="BZ28" s="7">
        <f>BZ27</f>
        <v>3</v>
      </c>
      <c r="CA28" s="133"/>
      <c r="CB28" s="14">
        <f t="shared" si="77"/>
        <v>0</v>
      </c>
      <c r="CC28" s="62">
        <f t="shared" si="86"/>
        <v>0</v>
      </c>
      <c r="CD28" s="405"/>
      <c r="CE28" s="406"/>
      <c r="CF28" s="406"/>
      <c r="CG28" s="14">
        <f t="shared" si="87"/>
        <v>0</v>
      </c>
      <c r="CH28" s="14">
        <f t="shared" si="78"/>
        <v>0</v>
      </c>
      <c r="CI28" s="14">
        <f t="shared" si="19"/>
        <v>0.5</v>
      </c>
      <c r="CJ28" s="47">
        <f t="shared" si="55"/>
        <v>0</v>
      </c>
      <c r="CK28" s="35">
        <f t="shared" si="20"/>
        <v>1.9</v>
      </c>
      <c r="CL28" s="157">
        <f t="shared" si="69"/>
        <v>0</v>
      </c>
      <c r="CM28" s="134"/>
      <c r="CN28" s="14">
        <f t="shared" si="21"/>
        <v>23</v>
      </c>
      <c r="CO28" s="48">
        <f t="shared" si="70"/>
        <v>0</v>
      </c>
      <c r="CP28" s="68">
        <f t="shared" si="56"/>
        <v>0</v>
      </c>
      <c r="CQ28" s="51">
        <f t="shared" si="22"/>
        <v>185</v>
      </c>
      <c r="CR28" s="112">
        <f>CR27</f>
        <v>0</v>
      </c>
      <c r="CS28" s="71">
        <f t="shared" si="112"/>
        <v>185</v>
      </c>
      <c r="CT28" s="51">
        <f t="shared" si="23"/>
        <v>77</v>
      </c>
      <c r="CU28" s="112">
        <f>CU27</f>
        <v>0</v>
      </c>
      <c r="CV28" s="71">
        <f t="shared" si="41"/>
        <v>77</v>
      </c>
    </row>
    <row r="29" spans="1:100" ht="17.25" thickBot="1" x14ac:dyDescent="0.3">
      <c r="B29" s="120">
        <f t="shared" ref="B29:B31" si="139">B28+1</f>
        <v>29</v>
      </c>
      <c r="C29" s="7">
        <f t="shared" ref="C29:C33" si="140">C28</f>
        <v>3</v>
      </c>
      <c r="D29" s="133"/>
      <c r="E29" s="48">
        <f>IFERROR(F28+D29,0)</f>
        <v>182037</v>
      </c>
      <c r="F29" s="196">
        <f t="shared" si="80"/>
        <v>182005</v>
      </c>
      <c r="G29" s="134"/>
      <c r="H29" s="135">
        <v>32</v>
      </c>
      <c r="I29" s="135"/>
      <c r="J29" s="14">
        <f t="shared" si="81"/>
        <v>32</v>
      </c>
      <c r="K29" s="14">
        <f t="shared" si="92"/>
        <v>9358</v>
      </c>
      <c r="L29" s="14">
        <f t="shared" si="1"/>
        <v>0.5</v>
      </c>
      <c r="M29" s="47">
        <f t="shared" si="26"/>
        <v>1.7578843861412789E-2</v>
      </c>
      <c r="N29" s="35">
        <f t="shared" si="27"/>
        <v>1.9</v>
      </c>
      <c r="O29" s="132">
        <f t="shared" si="28"/>
        <v>4.8901825326735056</v>
      </c>
      <c r="P29" s="134">
        <v>3960</v>
      </c>
      <c r="Q29" s="14">
        <f t="shared" si="2"/>
        <v>23</v>
      </c>
      <c r="R29" s="482">
        <f t="shared" si="29"/>
        <v>21.753819278498327</v>
      </c>
      <c r="S29" s="470">
        <f t="shared" si="82"/>
        <v>368.25349384811852</v>
      </c>
      <c r="T29" s="51">
        <f t="shared" si="3"/>
        <v>185</v>
      </c>
      <c r="U29" s="112">
        <f t="shared" ref="U29:U33" si="141">U28</f>
        <v>184</v>
      </c>
      <c r="V29" s="46">
        <f t="shared" si="94"/>
        <v>1</v>
      </c>
      <c r="W29" s="50">
        <f t="shared" si="4"/>
        <v>77</v>
      </c>
      <c r="X29" s="112">
        <f t="shared" ref="X29:X33" si="142">X28</f>
        <v>85</v>
      </c>
      <c r="Y29" s="46">
        <f t="shared" si="31"/>
        <v>-8</v>
      </c>
      <c r="Z29" s="487"/>
      <c r="AA29" s="120">
        <f t="shared" ref="AA29:AA31" si="143">AA28+1</f>
        <v>29</v>
      </c>
      <c r="AB29" s="7">
        <f t="shared" ref="AB29:AB33" si="144">AB28</f>
        <v>3</v>
      </c>
      <c r="AC29" s="229"/>
      <c r="AD29" s="48">
        <v>182037</v>
      </c>
      <c r="AE29" s="196">
        <v>182005</v>
      </c>
      <c r="AF29" s="134"/>
      <c r="AG29" s="135"/>
      <c r="AH29" s="135"/>
      <c r="AI29" s="14">
        <f t="shared" si="84"/>
        <v>0</v>
      </c>
      <c r="AJ29" s="14">
        <f t="shared" si="130"/>
        <v>0</v>
      </c>
      <c r="AK29" s="14">
        <f t="shared" si="6"/>
        <v>0.5</v>
      </c>
      <c r="AL29" s="47">
        <f t="shared" si="33"/>
        <v>0</v>
      </c>
      <c r="AM29" s="35">
        <f t="shared" si="7"/>
        <v>1.9</v>
      </c>
      <c r="AN29" s="157">
        <f t="shared" si="136"/>
        <v>0</v>
      </c>
      <c r="AO29" s="134"/>
      <c r="AP29" s="14">
        <f t="shared" si="8"/>
        <v>23</v>
      </c>
      <c r="AQ29" s="482">
        <f t="shared" si="34"/>
        <v>0</v>
      </c>
      <c r="AR29" s="470">
        <f t="shared" si="133"/>
        <v>0</v>
      </c>
      <c r="AS29" s="51">
        <f t="shared" si="9"/>
        <v>185</v>
      </c>
      <c r="AT29" s="112">
        <f t="shared" ref="AT29:AT33" si="145">AT28</f>
        <v>184</v>
      </c>
      <c r="AU29" s="46">
        <f t="shared" si="110"/>
        <v>1</v>
      </c>
      <c r="AV29" s="50">
        <f t="shared" si="10"/>
        <v>77</v>
      </c>
      <c r="AW29" s="112">
        <f t="shared" ref="AW29:AW33" si="146">AW28</f>
        <v>85</v>
      </c>
      <c r="AX29" s="46">
        <f t="shared" si="75"/>
        <v>-8</v>
      </c>
      <c r="AZ29" s="120">
        <f t="shared" ref="AZ29:AZ31" si="147">AZ28+1</f>
        <v>29</v>
      </c>
      <c r="BA29" s="7">
        <f t="shared" ref="BA29:BA33" si="148">BA28</f>
        <v>3</v>
      </c>
      <c r="BB29" s="133"/>
      <c r="BC29" s="48">
        <f t="shared" si="134"/>
        <v>0</v>
      </c>
      <c r="BD29" s="196">
        <f t="shared" si="137"/>
        <v>0</v>
      </c>
      <c r="BE29" s="134"/>
      <c r="BF29" s="135"/>
      <c r="BG29" s="135"/>
      <c r="BH29" s="14">
        <f t="shared" si="85"/>
        <v>0</v>
      </c>
      <c r="BI29" s="14">
        <f t="shared" si="123"/>
        <v>0</v>
      </c>
      <c r="BJ29" s="14">
        <f t="shared" si="12"/>
        <v>0.5</v>
      </c>
      <c r="BK29" s="47">
        <f t="shared" si="50"/>
        <v>0</v>
      </c>
      <c r="BL29" s="35">
        <f t="shared" si="13"/>
        <v>1.9</v>
      </c>
      <c r="BM29" s="157">
        <f t="shared" si="138"/>
        <v>0</v>
      </c>
      <c r="BN29" s="134"/>
      <c r="BO29" s="14">
        <f t="shared" si="15"/>
        <v>23</v>
      </c>
      <c r="BP29" s="442">
        <f t="shared" si="51"/>
        <v>0</v>
      </c>
      <c r="BQ29" s="68">
        <f t="shared" si="66"/>
        <v>0</v>
      </c>
      <c r="BR29" s="51">
        <f t="shared" si="16"/>
        <v>185</v>
      </c>
      <c r="BS29" s="112">
        <f t="shared" ref="BS29:BS33" si="149">BS28</f>
        <v>188</v>
      </c>
      <c r="BT29" s="46">
        <f t="shared" si="111"/>
        <v>-3</v>
      </c>
      <c r="BU29" s="50">
        <f t="shared" si="18"/>
        <v>77</v>
      </c>
      <c r="BV29" s="112">
        <f t="shared" ref="BV29:BV33" si="150">BV28</f>
        <v>71</v>
      </c>
      <c r="BW29" s="46">
        <f t="shared" si="76"/>
        <v>6</v>
      </c>
      <c r="BY29" s="120">
        <f t="shared" ref="BY29:BY31" si="151">BY28+1</f>
        <v>17</v>
      </c>
      <c r="BZ29" s="7">
        <f t="shared" ref="BZ29:BZ33" si="152">BZ28</f>
        <v>3</v>
      </c>
      <c r="CA29" s="133"/>
      <c r="CB29" s="14">
        <f t="shared" si="77"/>
        <v>0</v>
      </c>
      <c r="CC29" s="59">
        <f t="shared" si="86"/>
        <v>0</v>
      </c>
      <c r="CD29" s="405"/>
      <c r="CE29" s="406"/>
      <c r="CF29" s="406"/>
      <c r="CG29" s="14">
        <f t="shared" si="87"/>
        <v>0</v>
      </c>
      <c r="CH29" s="14">
        <f t="shared" si="78"/>
        <v>0</v>
      </c>
      <c r="CI29" s="14">
        <f t="shared" si="19"/>
        <v>0.5</v>
      </c>
      <c r="CJ29" s="47">
        <f t="shared" si="55"/>
        <v>0</v>
      </c>
      <c r="CK29" s="35">
        <f t="shared" si="20"/>
        <v>1.9</v>
      </c>
      <c r="CL29" s="157">
        <f t="shared" si="69"/>
        <v>0</v>
      </c>
      <c r="CM29" s="134"/>
      <c r="CN29" s="14">
        <f t="shared" si="21"/>
        <v>23</v>
      </c>
      <c r="CO29" s="48">
        <f t="shared" si="70"/>
        <v>0</v>
      </c>
      <c r="CP29" s="68">
        <f t="shared" si="56"/>
        <v>0</v>
      </c>
      <c r="CQ29" s="51">
        <f t="shared" si="22"/>
        <v>185</v>
      </c>
      <c r="CR29" s="112">
        <f t="shared" ref="CR29:CR33" si="153">CR28</f>
        <v>0</v>
      </c>
      <c r="CS29" s="46">
        <f t="shared" si="112"/>
        <v>185</v>
      </c>
      <c r="CT29" s="12">
        <f t="shared" si="23"/>
        <v>77</v>
      </c>
      <c r="CU29" s="112">
        <f t="shared" ref="CU29:CU33" si="154">CU28</f>
        <v>0</v>
      </c>
      <c r="CV29" s="46">
        <f t="shared" si="41"/>
        <v>77</v>
      </c>
    </row>
    <row r="30" spans="1:100" x14ac:dyDescent="0.25">
      <c r="B30" s="324">
        <f t="shared" si="139"/>
        <v>30</v>
      </c>
      <c r="C30" s="477">
        <f t="shared" si="140"/>
        <v>3</v>
      </c>
      <c r="D30" s="484"/>
      <c r="E30" s="335">
        <f>IFERROR(F29-D30,0)</f>
        <v>182005</v>
      </c>
      <c r="F30" s="679">
        <f t="shared" si="80"/>
        <v>182005</v>
      </c>
      <c r="G30" s="327"/>
      <c r="H30" s="328"/>
      <c r="I30" s="328"/>
      <c r="J30" s="14">
        <f t="shared" si="81"/>
        <v>0</v>
      </c>
      <c r="K30" s="14">
        <f t="shared" si="92"/>
        <v>9358</v>
      </c>
      <c r="L30" s="329">
        <f t="shared" si="1"/>
        <v>0.5</v>
      </c>
      <c r="M30" s="330">
        <f t="shared" si="26"/>
        <v>0</v>
      </c>
      <c r="N30" s="331">
        <f t="shared" si="27"/>
        <v>1.9</v>
      </c>
      <c r="O30" s="132">
        <f t="shared" si="28"/>
        <v>4.8901825326735056</v>
      </c>
      <c r="P30" s="327"/>
      <c r="Q30" s="329">
        <f t="shared" si="2"/>
        <v>23</v>
      </c>
      <c r="R30" s="680">
        <f t="shared" si="29"/>
        <v>0</v>
      </c>
      <c r="S30" s="681">
        <f>R30</f>
        <v>0</v>
      </c>
      <c r="T30" s="339">
        <f t="shared" si="3"/>
        <v>185</v>
      </c>
      <c r="U30" s="682">
        <f t="shared" si="141"/>
        <v>184</v>
      </c>
      <c r="V30" s="338">
        <f t="shared" si="94"/>
        <v>1</v>
      </c>
      <c r="W30" s="683">
        <f t="shared" si="4"/>
        <v>77</v>
      </c>
      <c r="X30" s="682">
        <f t="shared" si="142"/>
        <v>85</v>
      </c>
      <c r="Y30" s="338">
        <f t="shared" si="31"/>
        <v>-8</v>
      </c>
      <c r="Z30" s="487"/>
      <c r="AA30" s="120">
        <f t="shared" si="143"/>
        <v>30</v>
      </c>
      <c r="AB30" s="7">
        <f t="shared" si="144"/>
        <v>3</v>
      </c>
      <c r="AC30" s="484">
        <v>19418</v>
      </c>
      <c r="AD30" s="48">
        <f>AE29-AC30</f>
        <v>162587</v>
      </c>
      <c r="AE30" s="196">
        <f>IFERROR(AD30-AI30,0)</f>
        <v>162569</v>
      </c>
      <c r="AF30" s="134"/>
      <c r="AG30" s="328">
        <v>18</v>
      </c>
      <c r="AH30" s="135"/>
      <c r="AI30" s="14">
        <f t="shared" si="84"/>
        <v>18</v>
      </c>
      <c r="AJ30" s="14">
        <f t="shared" ref="AJ30:AJ37" si="155">AJ29+AI30</f>
        <v>18</v>
      </c>
      <c r="AK30" s="14">
        <f t="shared" si="6"/>
        <v>0.5</v>
      </c>
      <c r="AL30" s="47">
        <f t="shared" si="33"/>
        <v>1.1070995836075456E-2</v>
      </c>
      <c r="AM30" s="35">
        <f t="shared" si="7"/>
        <v>1.9</v>
      </c>
      <c r="AN30" s="157">
        <f t="shared" si="136"/>
        <v>1.1070995836075456E-2</v>
      </c>
      <c r="AO30" s="327">
        <v>3600</v>
      </c>
      <c r="AP30" s="14">
        <f t="shared" si="8"/>
        <v>23</v>
      </c>
      <c r="AQ30" s="482">
        <f t="shared" si="34"/>
        <v>22.141991672150912</v>
      </c>
      <c r="AR30" s="470">
        <f t="shared" si="133"/>
        <v>22.141991672150912</v>
      </c>
      <c r="AS30" s="51">
        <f t="shared" si="9"/>
        <v>185</v>
      </c>
      <c r="AT30" s="112">
        <f t="shared" si="145"/>
        <v>184</v>
      </c>
      <c r="AU30" s="46">
        <f t="shared" si="110"/>
        <v>1</v>
      </c>
      <c r="AV30" s="50">
        <f t="shared" si="10"/>
        <v>77</v>
      </c>
      <c r="AW30" s="112">
        <f t="shared" si="146"/>
        <v>85</v>
      </c>
      <c r="AX30" s="46">
        <f t="shared" si="75"/>
        <v>-8</v>
      </c>
      <c r="AZ30" s="120">
        <f t="shared" si="147"/>
        <v>30</v>
      </c>
      <c r="BA30" s="7">
        <f t="shared" si="148"/>
        <v>3</v>
      </c>
      <c r="BB30" s="484">
        <v>19418</v>
      </c>
      <c r="BC30" s="48">
        <f>IFERROR(BD29+BB30,0)</f>
        <v>19418</v>
      </c>
      <c r="BD30" s="196">
        <f t="shared" si="137"/>
        <v>19392</v>
      </c>
      <c r="BE30" s="134"/>
      <c r="BF30" s="135">
        <v>26</v>
      </c>
      <c r="BG30" s="135"/>
      <c r="BH30" s="14">
        <f t="shared" si="85"/>
        <v>26</v>
      </c>
      <c r="BI30" s="14">
        <f>BI29+BH30</f>
        <v>26</v>
      </c>
      <c r="BJ30" s="14">
        <f t="shared" si="12"/>
        <v>0.5</v>
      </c>
      <c r="BK30" s="47">
        <f t="shared" si="50"/>
        <v>0.13389638479761046</v>
      </c>
      <c r="BL30" s="35">
        <f t="shared" si="13"/>
        <v>1.9</v>
      </c>
      <c r="BM30" s="157">
        <f t="shared" si="138"/>
        <v>0.13389638479761046</v>
      </c>
      <c r="BN30" s="134">
        <v>3150</v>
      </c>
      <c r="BO30" s="14">
        <f t="shared" si="15"/>
        <v>23</v>
      </c>
      <c r="BP30" s="442">
        <f t="shared" si="51"/>
        <v>162.22062004325883</v>
      </c>
      <c r="BQ30" s="68">
        <f t="shared" si="66"/>
        <v>162.22062004325883</v>
      </c>
      <c r="BR30" s="51">
        <f t="shared" si="16"/>
        <v>185</v>
      </c>
      <c r="BS30" s="112">
        <f t="shared" si="149"/>
        <v>188</v>
      </c>
      <c r="BT30" s="46">
        <f t="shared" si="111"/>
        <v>-3</v>
      </c>
      <c r="BU30" s="50">
        <f t="shared" si="18"/>
        <v>77</v>
      </c>
      <c r="BV30" s="112">
        <f t="shared" si="150"/>
        <v>71</v>
      </c>
      <c r="BW30" s="46">
        <f t="shared" si="76"/>
        <v>6</v>
      </c>
      <c r="BY30" s="120">
        <f t="shared" si="151"/>
        <v>18</v>
      </c>
      <c r="BZ30" s="7">
        <f t="shared" si="152"/>
        <v>3</v>
      </c>
      <c r="CA30" s="133"/>
      <c r="CB30" s="14">
        <f t="shared" si="77"/>
        <v>0</v>
      </c>
      <c r="CC30" s="59">
        <f t="shared" si="86"/>
        <v>0</v>
      </c>
      <c r="CD30" s="405"/>
      <c r="CE30" s="406"/>
      <c r="CF30" s="406"/>
      <c r="CG30" s="14">
        <f t="shared" si="87"/>
        <v>0</v>
      </c>
      <c r="CH30" s="14">
        <f t="shared" si="78"/>
        <v>0</v>
      </c>
      <c r="CI30" s="14">
        <f t="shared" si="19"/>
        <v>0.5</v>
      </c>
      <c r="CJ30" s="47">
        <f t="shared" si="55"/>
        <v>0</v>
      </c>
      <c r="CK30" s="35">
        <f t="shared" si="20"/>
        <v>1.9</v>
      </c>
      <c r="CL30" s="157">
        <f t="shared" si="69"/>
        <v>0</v>
      </c>
      <c r="CM30" s="134"/>
      <c r="CN30" s="14">
        <f t="shared" si="21"/>
        <v>23</v>
      </c>
      <c r="CO30" s="48">
        <f t="shared" si="70"/>
        <v>0</v>
      </c>
      <c r="CP30" s="68">
        <f t="shared" si="56"/>
        <v>0</v>
      </c>
      <c r="CQ30" s="51">
        <f t="shared" si="22"/>
        <v>185</v>
      </c>
      <c r="CR30" s="112">
        <f t="shared" si="153"/>
        <v>0</v>
      </c>
      <c r="CS30" s="46">
        <f t="shared" si="112"/>
        <v>185</v>
      </c>
      <c r="CT30" s="51">
        <f t="shared" si="23"/>
        <v>77</v>
      </c>
      <c r="CU30" s="112">
        <f t="shared" si="154"/>
        <v>0</v>
      </c>
      <c r="CV30" s="46">
        <f t="shared" si="41"/>
        <v>77</v>
      </c>
    </row>
    <row r="31" spans="1:100" x14ac:dyDescent="0.25">
      <c r="B31" s="120">
        <f t="shared" si="139"/>
        <v>31</v>
      </c>
      <c r="C31" s="7">
        <f t="shared" si="140"/>
        <v>3</v>
      </c>
      <c r="D31" s="496"/>
      <c r="E31" s="335"/>
      <c r="F31" s="679">
        <f t="shared" ref="F31:F33" si="156">IFERROR(E31-J31,0)</f>
        <v>0</v>
      </c>
      <c r="G31" s="134"/>
      <c r="H31" s="135"/>
      <c r="I31" s="135"/>
      <c r="J31" s="14">
        <f t="shared" si="81"/>
        <v>0</v>
      </c>
      <c r="K31" s="14">
        <f t="shared" si="92"/>
        <v>9358</v>
      </c>
      <c r="L31" s="14">
        <f t="shared" si="1"/>
        <v>0.5</v>
      </c>
      <c r="M31" s="47">
        <f t="shared" si="26"/>
        <v>0</v>
      </c>
      <c r="N31" s="35">
        <f t="shared" si="27"/>
        <v>1.9</v>
      </c>
      <c r="O31" s="157">
        <f t="shared" ref="O31:O71" si="157">IFERROR((K31*100)/E31,0)</f>
        <v>0</v>
      </c>
      <c r="P31" s="134"/>
      <c r="Q31" s="14">
        <f t="shared" si="2"/>
        <v>23</v>
      </c>
      <c r="R31" s="442">
        <f t="shared" si="29"/>
        <v>0</v>
      </c>
      <c r="S31" s="470">
        <f t="shared" si="82"/>
        <v>0</v>
      </c>
      <c r="T31" s="51">
        <f t="shared" si="3"/>
        <v>185</v>
      </c>
      <c r="U31" s="112">
        <f t="shared" si="141"/>
        <v>184</v>
      </c>
      <c r="V31" s="46">
        <f t="shared" si="94"/>
        <v>1</v>
      </c>
      <c r="W31" s="50">
        <f t="shared" si="4"/>
        <v>77</v>
      </c>
      <c r="X31" s="112">
        <f t="shared" si="142"/>
        <v>85</v>
      </c>
      <c r="Y31" s="46">
        <f t="shared" si="31"/>
        <v>-8</v>
      </c>
      <c r="Z31" s="487"/>
      <c r="AA31" s="120">
        <f t="shared" si="143"/>
        <v>31</v>
      </c>
      <c r="AB31" s="7">
        <f t="shared" si="144"/>
        <v>3</v>
      </c>
      <c r="AC31" s="484">
        <v>24850</v>
      </c>
      <c r="AD31" s="48">
        <f>IFERROR(AE30-AC31,0)</f>
        <v>137719</v>
      </c>
      <c r="AE31" s="196">
        <f t="shared" si="135"/>
        <v>137696</v>
      </c>
      <c r="AF31" s="134"/>
      <c r="AG31" s="135">
        <v>23</v>
      </c>
      <c r="AH31" s="135"/>
      <c r="AI31" s="14">
        <f>SUM(AF31:AH31)</f>
        <v>23</v>
      </c>
      <c r="AJ31" s="14">
        <f t="shared" si="155"/>
        <v>41</v>
      </c>
      <c r="AK31" s="14">
        <f t="shared" si="6"/>
        <v>0.5</v>
      </c>
      <c r="AL31" s="47">
        <f t="shared" si="33"/>
        <v>1.6700673109737944E-2</v>
      </c>
      <c r="AM31" s="35">
        <f t="shared" si="7"/>
        <v>1.9</v>
      </c>
      <c r="AN31" s="157">
        <f t="shared" si="136"/>
        <v>2.9770765108663291E-2</v>
      </c>
      <c r="AO31" s="134">
        <v>2880</v>
      </c>
      <c r="AP31" s="14">
        <f t="shared" si="8"/>
        <v>23</v>
      </c>
      <c r="AQ31" s="442">
        <f t="shared" si="34"/>
        <v>20.912147198280557</v>
      </c>
      <c r="AR31" s="470">
        <f t="shared" si="133"/>
        <v>43.054138870431473</v>
      </c>
      <c r="AS31" s="51">
        <f t="shared" si="9"/>
        <v>185</v>
      </c>
      <c r="AT31" s="112">
        <f t="shared" si="145"/>
        <v>184</v>
      </c>
      <c r="AU31" s="46">
        <f t="shared" si="110"/>
        <v>1</v>
      </c>
      <c r="AV31" s="50">
        <f t="shared" si="10"/>
        <v>77</v>
      </c>
      <c r="AW31" s="112">
        <f t="shared" si="146"/>
        <v>85</v>
      </c>
      <c r="AX31" s="46">
        <f t="shared" si="75"/>
        <v>-8</v>
      </c>
      <c r="AZ31" s="120">
        <f t="shared" si="147"/>
        <v>31</v>
      </c>
      <c r="BA31" s="7">
        <f t="shared" si="148"/>
        <v>3</v>
      </c>
      <c r="BB31" s="484">
        <v>24850</v>
      </c>
      <c r="BC31" s="48">
        <f>IFERROR(BD30+BB31,0)</f>
        <v>44242</v>
      </c>
      <c r="BD31" s="196">
        <f t="shared" si="137"/>
        <v>44234</v>
      </c>
      <c r="BE31" s="134"/>
      <c r="BF31" s="135">
        <v>8</v>
      </c>
      <c r="BG31" s="135"/>
      <c r="BH31" s="14">
        <f t="shared" si="85"/>
        <v>8</v>
      </c>
      <c r="BI31" s="14">
        <f t="shared" si="123"/>
        <v>34</v>
      </c>
      <c r="BJ31" s="14">
        <f t="shared" si="12"/>
        <v>0.5</v>
      </c>
      <c r="BK31" s="47">
        <f t="shared" si="50"/>
        <v>1.8082365173364676E-2</v>
      </c>
      <c r="BL31" s="35">
        <f t="shared" si="13"/>
        <v>1.9</v>
      </c>
      <c r="BM31" s="157">
        <f t="shared" si="138"/>
        <v>7.6850051986799867E-2</v>
      </c>
      <c r="BN31" s="134">
        <v>2268</v>
      </c>
      <c r="BO31" s="14">
        <f t="shared" si="15"/>
        <v>23</v>
      </c>
      <c r="BP31" s="442">
        <f t="shared" si="51"/>
        <v>51.263505266488856</v>
      </c>
      <c r="BQ31" s="68">
        <f t="shared" si="66"/>
        <v>213.4841253097477</v>
      </c>
      <c r="BR31" s="51">
        <f t="shared" si="16"/>
        <v>185</v>
      </c>
      <c r="BS31" s="112">
        <f t="shared" si="149"/>
        <v>188</v>
      </c>
      <c r="BT31" s="46">
        <f t="shared" si="111"/>
        <v>-3</v>
      </c>
      <c r="BU31" s="50">
        <f t="shared" si="18"/>
        <v>77</v>
      </c>
      <c r="BV31" s="112">
        <f t="shared" si="150"/>
        <v>71</v>
      </c>
      <c r="BW31" s="46">
        <f t="shared" si="76"/>
        <v>6</v>
      </c>
      <c r="BY31" s="120">
        <f t="shared" si="151"/>
        <v>19</v>
      </c>
      <c r="BZ31" s="7">
        <f t="shared" si="152"/>
        <v>3</v>
      </c>
      <c r="CA31" s="133"/>
      <c r="CB31" s="14">
        <f t="shared" si="77"/>
        <v>0</v>
      </c>
      <c r="CC31" s="59">
        <f t="shared" si="86"/>
        <v>0</v>
      </c>
      <c r="CD31" s="405"/>
      <c r="CE31" s="406"/>
      <c r="CF31" s="406"/>
      <c r="CG31" s="14">
        <f t="shared" si="87"/>
        <v>0</v>
      </c>
      <c r="CH31" s="14">
        <f t="shared" si="78"/>
        <v>0</v>
      </c>
      <c r="CI31" s="14">
        <f t="shared" si="19"/>
        <v>0.5</v>
      </c>
      <c r="CJ31" s="47">
        <f t="shared" si="55"/>
        <v>0</v>
      </c>
      <c r="CK31" s="35">
        <f t="shared" si="20"/>
        <v>1.9</v>
      </c>
      <c r="CL31" s="157">
        <f t="shared" si="69"/>
        <v>0</v>
      </c>
      <c r="CM31" s="134"/>
      <c r="CN31" s="14">
        <f t="shared" si="21"/>
        <v>23</v>
      </c>
      <c r="CO31" s="48">
        <f t="shared" si="70"/>
        <v>0</v>
      </c>
      <c r="CP31" s="68">
        <f t="shared" si="56"/>
        <v>0</v>
      </c>
      <c r="CQ31" s="51">
        <f t="shared" si="22"/>
        <v>185</v>
      </c>
      <c r="CR31" s="112">
        <f t="shared" si="153"/>
        <v>0</v>
      </c>
      <c r="CS31" s="46">
        <f t="shared" si="112"/>
        <v>185</v>
      </c>
      <c r="CT31" s="51">
        <f t="shared" si="23"/>
        <v>77</v>
      </c>
      <c r="CU31" s="112">
        <f t="shared" si="154"/>
        <v>0</v>
      </c>
      <c r="CV31" s="46">
        <f t="shared" si="41"/>
        <v>77</v>
      </c>
    </row>
    <row r="32" spans="1:100" x14ac:dyDescent="0.25">
      <c r="A32" s="645" t="s">
        <v>136</v>
      </c>
      <c r="B32" s="646">
        <v>1</v>
      </c>
      <c r="C32" s="647">
        <f t="shared" si="140"/>
        <v>3</v>
      </c>
      <c r="D32" s="496"/>
      <c r="E32" s="335">
        <f t="shared" ref="E32:E33" si="158">IFERROR(F31-D32,0)</f>
        <v>0</v>
      </c>
      <c r="F32" s="679">
        <f t="shared" si="156"/>
        <v>0</v>
      </c>
      <c r="G32" s="650"/>
      <c r="H32" s="651"/>
      <c r="I32" s="651"/>
      <c r="J32" s="14">
        <f t="shared" si="81"/>
        <v>0</v>
      </c>
      <c r="K32" s="14">
        <f t="shared" si="92"/>
        <v>9358</v>
      </c>
      <c r="L32" s="652">
        <f t="shared" si="1"/>
        <v>0.5</v>
      </c>
      <c r="M32" s="653">
        <f t="shared" si="26"/>
        <v>0</v>
      </c>
      <c r="N32" s="654">
        <f t="shared" si="27"/>
        <v>1.9</v>
      </c>
      <c r="O32" s="655">
        <f t="shared" si="157"/>
        <v>0</v>
      </c>
      <c r="P32" s="650"/>
      <c r="Q32" s="652">
        <f t="shared" si="2"/>
        <v>23</v>
      </c>
      <c r="R32" s="656">
        <f t="shared" si="29"/>
        <v>0</v>
      </c>
      <c r="S32" s="657">
        <f t="shared" si="82"/>
        <v>0</v>
      </c>
      <c r="T32" s="658">
        <f t="shared" si="3"/>
        <v>185</v>
      </c>
      <c r="U32" s="659">
        <f t="shared" si="141"/>
        <v>184</v>
      </c>
      <c r="V32" s="660">
        <f t="shared" si="94"/>
        <v>1</v>
      </c>
      <c r="W32" s="661">
        <f t="shared" si="4"/>
        <v>77</v>
      </c>
      <c r="X32" s="659">
        <f t="shared" si="142"/>
        <v>85</v>
      </c>
      <c r="Y32" s="660">
        <f t="shared" si="31"/>
        <v>-8</v>
      </c>
      <c r="Z32" s="487"/>
      <c r="AA32" s="646">
        <v>1</v>
      </c>
      <c r="AB32" s="647">
        <f t="shared" si="144"/>
        <v>3</v>
      </c>
      <c r="AC32" s="484">
        <v>24850</v>
      </c>
      <c r="AD32" s="648">
        <f>IFERROR(AE31-AC32,0)</f>
        <v>112846</v>
      </c>
      <c r="AE32" s="649">
        <f t="shared" si="135"/>
        <v>112823</v>
      </c>
      <c r="AF32" s="650"/>
      <c r="AG32" s="651">
        <v>23</v>
      </c>
      <c r="AH32" s="651"/>
      <c r="AI32" s="652">
        <f t="shared" si="84"/>
        <v>23</v>
      </c>
      <c r="AJ32" s="652">
        <f t="shared" si="155"/>
        <v>64</v>
      </c>
      <c r="AK32" s="652">
        <f t="shared" si="6"/>
        <v>0.5</v>
      </c>
      <c r="AL32" s="653">
        <f t="shared" si="33"/>
        <v>2.0381759211669001E-2</v>
      </c>
      <c r="AM32" s="654">
        <f t="shared" si="7"/>
        <v>1.9</v>
      </c>
      <c r="AN32" s="655">
        <f t="shared" si="136"/>
        <v>5.6714460415078959E-2</v>
      </c>
      <c r="AO32" s="650">
        <v>2520</v>
      </c>
      <c r="AP32" s="652">
        <f t="shared" si="8"/>
        <v>23</v>
      </c>
      <c r="AQ32" s="656">
        <f t="shared" si="34"/>
        <v>22.33131878843734</v>
      </c>
      <c r="AR32" s="657">
        <f t="shared" si="133"/>
        <v>65.385457658868816</v>
      </c>
      <c r="AS32" s="658">
        <f t="shared" si="9"/>
        <v>185</v>
      </c>
      <c r="AT32" s="659">
        <f t="shared" si="145"/>
        <v>184</v>
      </c>
      <c r="AU32" s="660">
        <f t="shared" si="110"/>
        <v>1</v>
      </c>
      <c r="AV32" s="661">
        <f t="shared" si="10"/>
        <v>77</v>
      </c>
      <c r="AW32" s="659">
        <f t="shared" si="146"/>
        <v>85</v>
      </c>
      <c r="AX32" s="660">
        <f t="shared" si="75"/>
        <v>-8</v>
      </c>
      <c r="AZ32" s="646">
        <v>1</v>
      </c>
      <c r="BA32" s="647">
        <f t="shared" si="148"/>
        <v>3</v>
      </c>
      <c r="BB32" s="484">
        <v>24850</v>
      </c>
      <c r="BC32" s="648">
        <f>IFERROR(BD31+BB32,0)</f>
        <v>69084</v>
      </c>
      <c r="BD32" s="649">
        <f t="shared" si="137"/>
        <v>69066</v>
      </c>
      <c r="BE32" s="650"/>
      <c r="BF32" s="651">
        <v>18</v>
      </c>
      <c r="BG32" s="651"/>
      <c r="BH32" s="652">
        <f t="shared" si="85"/>
        <v>18</v>
      </c>
      <c r="BI32" s="652">
        <f t="shared" si="123"/>
        <v>52</v>
      </c>
      <c r="BJ32" s="652">
        <f t="shared" si="12"/>
        <v>0.5</v>
      </c>
      <c r="BK32" s="653">
        <f t="shared" si="50"/>
        <v>2.6055237102657634E-2</v>
      </c>
      <c r="BL32" s="654">
        <f t="shared" si="13"/>
        <v>1.9</v>
      </c>
      <c r="BM32" s="655">
        <f t="shared" si="138"/>
        <v>7.5270684963233164E-2</v>
      </c>
      <c r="BN32" s="650">
        <v>2727</v>
      </c>
      <c r="BO32" s="652">
        <f t="shared" si="15"/>
        <v>23</v>
      </c>
      <c r="BP32" s="669">
        <f t="shared" si="51"/>
        <v>39.473684210526315</v>
      </c>
      <c r="BQ32" s="671">
        <f t="shared" si="66"/>
        <v>252.957809520274</v>
      </c>
      <c r="BR32" s="658">
        <f t="shared" si="16"/>
        <v>185</v>
      </c>
      <c r="BS32" s="659">
        <f t="shared" si="149"/>
        <v>188</v>
      </c>
      <c r="BT32" s="660">
        <f t="shared" si="111"/>
        <v>-3</v>
      </c>
      <c r="BU32" s="661">
        <f t="shared" si="18"/>
        <v>77</v>
      </c>
      <c r="BV32" s="659">
        <f t="shared" si="150"/>
        <v>71</v>
      </c>
      <c r="BW32" s="660">
        <f t="shared" si="76"/>
        <v>6</v>
      </c>
      <c r="BX32" s="672" t="s">
        <v>147</v>
      </c>
      <c r="BY32" s="646">
        <v>1</v>
      </c>
      <c r="BZ32" s="647">
        <f t="shared" si="152"/>
        <v>3</v>
      </c>
      <c r="CA32" s="662"/>
      <c r="CB32" s="652">
        <f t="shared" si="77"/>
        <v>0</v>
      </c>
      <c r="CC32" s="673">
        <f t="shared" si="86"/>
        <v>0</v>
      </c>
      <c r="CD32" s="650"/>
      <c r="CE32" s="651"/>
      <c r="CF32" s="651"/>
      <c r="CG32" s="652">
        <f t="shared" si="87"/>
        <v>0</v>
      </c>
      <c r="CH32" s="652">
        <f t="shared" si="78"/>
        <v>0</v>
      </c>
      <c r="CI32" s="652">
        <f t="shared" si="19"/>
        <v>0.5</v>
      </c>
      <c r="CJ32" s="653">
        <f t="shared" si="55"/>
        <v>0</v>
      </c>
      <c r="CK32" s="654">
        <f t="shared" si="20"/>
        <v>1.9</v>
      </c>
      <c r="CL32" s="655">
        <f t="shared" si="69"/>
        <v>0</v>
      </c>
      <c r="CM32" s="650"/>
      <c r="CN32" s="652">
        <f t="shared" si="21"/>
        <v>23</v>
      </c>
      <c r="CO32" s="648">
        <f t="shared" si="70"/>
        <v>0</v>
      </c>
      <c r="CP32" s="671">
        <f t="shared" si="56"/>
        <v>0</v>
      </c>
      <c r="CQ32" s="658">
        <f t="shared" si="22"/>
        <v>185</v>
      </c>
      <c r="CR32" s="659">
        <f t="shared" si="153"/>
        <v>0</v>
      </c>
      <c r="CS32" s="660">
        <f t="shared" si="112"/>
        <v>185</v>
      </c>
      <c r="CT32" s="658">
        <f t="shared" si="23"/>
        <v>77</v>
      </c>
      <c r="CU32" s="659">
        <f t="shared" si="154"/>
        <v>0</v>
      </c>
      <c r="CV32" s="660">
        <f t="shared" si="41"/>
        <v>77</v>
      </c>
    </row>
    <row r="33" spans="1:100" ht="17.25" thickBot="1" x14ac:dyDescent="0.3">
      <c r="A33" s="362"/>
      <c r="B33" s="432">
        <v>2</v>
      </c>
      <c r="C33" s="433">
        <f t="shared" si="140"/>
        <v>3</v>
      </c>
      <c r="D33" s="434"/>
      <c r="E33" s="335">
        <f t="shared" si="158"/>
        <v>0</v>
      </c>
      <c r="F33" s="679">
        <f t="shared" si="156"/>
        <v>0</v>
      </c>
      <c r="G33" s="421"/>
      <c r="H33" s="426"/>
      <c r="I33" s="426"/>
      <c r="J33" s="14">
        <f t="shared" si="81"/>
        <v>0</v>
      </c>
      <c r="K33" s="14">
        <f t="shared" si="92"/>
        <v>9358</v>
      </c>
      <c r="L33" s="383">
        <f t="shared" si="1"/>
        <v>0.5</v>
      </c>
      <c r="M33" s="231">
        <f t="shared" si="26"/>
        <v>0</v>
      </c>
      <c r="N33" s="419">
        <f t="shared" si="27"/>
        <v>1.9</v>
      </c>
      <c r="O33" s="435">
        <f t="shared" si="157"/>
        <v>0</v>
      </c>
      <c r="P33" s="421"/>
      <c r="Q33" s="387">
        <f t="shared" si="2"/>
        <v>23</v>
      </c>
      <c r="R33" s="443">
        <f t="shared" si="29"/>
        <v>0</v>
      </c>
      <c r="S33" s="473">
        <f t="shared" si="82"/>
        <v>0</v>
      </c>
      <c r="T33" s="382">
        <f t="shared" si="3"/>
        <v>185</v>
      </c>
      <c r="U33" s="431">
        <f t="shared" si="141"/>
        <v>184</v>
      </c>
      <c r="V33" s="453">
        <f t="shared" si="94"/>
        <v>1</v>
      </c>
      <c r="W33" s="382">
        <f t="shared" si="4"/>
        <v>77</v>
      </c>
      <c r="X33" s="431">
        <f t="shared" si="142"/>
        <v>85</v>
      </c>
      <c r="Y33" s="453">
        <f t="shared" si="31"/>
        <v>-8</v>
      </c>
      <c r="Z33" s="487"/>
      <c r="AA33" s="432">
        <v>2</v>
      </c>
      <c r="AB33" s="433">
        <f t="shared" si="144"/>
        <v>3</v>
      </c>
      <c r="AC33" s="434"/>
      <c r="AD33" s="67">
        <f>IFERROR(AE32+AC33,0)</f>
        <v>112823</v>
      </c>
      <c r="AE33" s="451">
        <f t="shared" si="135"/>
        <v>112778</v>
      </c>
      <c r="AF33" s="421"/>
      <c r="AG33" s="426">
        <v>45</v>
      </c>
      <c r="AH33" s="426"/>
      <c r="AI33" s="452">
        <f t="shared" si="84"/>
        <v>45</v>
      </c>
      <c r="AJ33" s="452">
        <f t="shared" si="155"/>
        <v>109</v>
      </c>
      <c r="AK33" s="383">
        <f t="shared" si="6"/>
        <v>0.5</v>
      </c>
      <c r="AL33" s="231">
        <f t="shared" si="33"/>
        <v>3.9885484342731536E-2</v>
      </c>
      <c r="AM33" s="419">
        <f t="shared" si="7"/>
        <v>1.9</v>
      </c>
      <c r="AN33" s="435">
        <f t="shared" ref="AN33:AN38" si="159">IFERROR((AJ33*100)/AD33,0)</f>
        <v>9.6611506519060836E-2</v>
      </c>
      <c r="AO33" s="421">
        <v>2340</v>
      </c>
      <c r="AP33" s="387">
        <f t="shared" si="8"/>
        <v>23</v>
      </c>
      <c r="AQ33" s="443">
        <f t="shared" si="34"/>
        <v>20.740451858220396</v>
      </c>
      <c r="AR33" s="473">
        <f t="shared" si="133"/>
        <v>86.125909517089212</v>
      </c>
      <c r="AS33" s="382">
        <f t="shared" si="9"/>
        <v>185</v>
      </c>
      <c r="AT33" s="431">
        <f t="shared" si="145"/>
        <v>184</v>
      </c>
      <c r="AU33" s="453">
        <f t="shared" si="110"/>
        <v>1</v>
      </c>
      <c r="AV33" s="382">
        <f t="shared" si="10"/>
        <v>77</v>
      </c>
      <c r="AW33" s="431">
        <f t="shared" si="146"/>
        <v>85</v>
      </c>
      <c r="AX33" s="453">
        <f t="shared" si="75"/>
        <v>-8</v>
      </c>
      <c r="AZ33" s="432">
        <v>2</v>
      </c>
      <c r="BA33" s="433">
        <f t="shared" si="148"/>
        <v>3</v>
      </c>
      <c r="BB33" s="434"/>
      <c r="BC33" s="436">
        <f>IFERROR(BD32+BB33,0)</f>
        <v>69066</v>
      </c>
      <c r="BD33" s="451">
        <f t="shared" si="137"/>
        <v>69051</v>
      </c>
      <c r="BE33" s="421"/>
      <c r="BF33" s="426">
        <v>15</v>
      </c>
      <c r="BG33" s="426"/>
      <c r="BH33" s="452">
        <f t="shared" si="85"/>
        <v>15</v>
      </c>
      <c r="BI33" s="452">
        <f t="shared" si="123"/>
        <v>67</v>
      </c>
      <c r="BJ33" s="383">
        <f t="shared" si="12"/>
        <v>0.5</v>
      </c>
      <c r="BK33" s="96">
        <f t="shared" si="50"/>
        <v>2.1718356354791069E-2</v>
      </c>
      <c r="BL33" s="419">
        <f t="shared" si="13"/>
        <v>1.9</v>
      </c>
      <c r="BM33" s="435">
        <f>IFERROR((BI33*100)/$BC$33,0)</f>
        <v>9.7008658384733437E-2</v>
      </c>
      <c r="BN33" s="421">
        <v>3582</v>
      </c>
      <c r="BO33" s="387">
        <f t="shared" si="15"/>
        <v>23</v>
      </c>
      <c r="BP33" s="482">
        <f t="shared" si="51"/>
        <v>51.863434975241077</v>
      </c>
      <c r="BQ33" s="437">
        <f t="shared" si="66"/>
        <v>304.82124449551509</v>
      </c>
      <c r="BR33" s="382">
        <f t="shared" si="16"/>
        <v>185</v>
      </c>
      <c r="BS33" s="431">
        <f t="shared" si="149"/>
        <v>188</v>
      </c>
      <c r="BT33" s="453">
        <f t="shared" si="111"/>
        <v>-3</v>
      </c>
      <c r="BU33" s="382">
        <f t="shared" si="18"/>
        <v>77</v>
      </c>
      <c r="BV33" s="431">
        <f t="shared" si="150"/>
        <v>71</v>
      </c>
      <c r="BW33" s="453">
        <f t="shared" si="76"/>
        <v>6</v>
      </c>
      <c r="BY33" s="197">
        <v>2</v>
      </c>
      <c r="BZ33" s="8">
        <f t="shared" si="152"/>
        <v>3</v>
      </c>
      <c r="CA33" s="136"/>
      <c r="CB33" s="32">
        <f t="shared" si="77"/>
        <v>0</v>
      </c>
      <c r="CC33" s="53">
        <f t="shared" si="86"/>
        <v>0</v>
      </c>
      <c r="CD33" s="421"/>
      <c r="CE33" s="426"/>
      <c r="CF33" s="426"/>
      <c r="CG33" s="34">
        <f t="shared" si="87"/>
        <v>0</v>
      </c>
      <c r="CH33" s="34">
        <f t="shared" si="78"/>
        <v>0</v>
      </c>
      <c r="CI33" s="32">
        <f t="shared" si="19"/>
        <v>0.5</v>
      </c>
      <c r="CJ33" s="96">
        <f t="shared" si="55"/>
        <v>0</v>
      </c>
      <c r="CK33" s="36">
        <f t="shared" si="20"/>
        <v>1.9</v>
      </c>
      <c r="CL33" s="156">
        <f t="shared" si="69"/>
        <v>0</v>
      </c>
      <c r="CM33" s="137"/>
      <c r="CN33" s="32">
        <f t="shared" si="21"/>
        <v>23</v>
      </c>
      <c r="CO33" s="54">
        <f t="shared" si="70"/>
        <v>0</v>
      </c>
      <c r="CP33" s="70">
        <f t="shared" si="56"/>
        <v>0</v>
      </c>
      <c r="CQ33" s="56">
        <f t="shared" si="22"/>
        <v>185</v>
      </c>
      <c r="CR33" s="112">
        <f t="shared" si="153"/>
        <v>0</v>
      </c>
      <c r="CS33" s="63">
        <f t="shared" si="112"/>
        <v>185</v>
      </c>
      <c r="CT33" s="12">
        <f t="shared" si="23"/>
        <v>77</v>
      </c>
      <c r="CU33" s="112">
        <f t="shared" si="154"/>
        <v>0</v>
      </c>
      <c r="CV33" s="63">
        <f t="shared" si="41"/>
        <v>77</v>
      </c>
    </row>
    <row r="34" spans="1:100" ht="17.25" thickBot="1" x14ac:dyDescent="0.3">
      <c r="B34" s="118">
        <v>3</v>
      </c>
      <c r="C34" s="9">
        <v>4</v>
      </c>
      <c r="D34" s="396"/>
      <c r="E34" s="43"/>
      <c r="F34" s="449"/>
      <c r="G34" s="130"/>
      <c r="H34" s="131"/>
      <c r="I34" s="131"/>
      <c r="J34" s="11">
        <f t="shared" si="81"/>
        <v>0</v>
      </c>
      <c r="K34" s="11">
        <v>9358</v>
      </c>
      <c r="L34" s="16">
        <f t="shared" si="1"/>
        <v>0.3</v>
      </c>
      <c r="M34" s="153">
        <f t="shared" si="26"/>
        <v>0</v>
      </c>
      <c r="N34" s="154">
        <f t="shared" si="27"/>
        <v>2.1999999999999997</v>
      </c>
      <c r="O34" s="132">
        <f t="shared" si="157"/>
        <v>0</v>
      </c>
      <c r="P34" s="130"/>
      <c r="Q34" s="11">
        <f t="shared" si="2"/>
        <v>29</v>
      </c>
      <c r="R34" s="481">
        <f t="shared" si="29"/>
        <v>0</v>
      </c>
      <c r="S34" s="469">
        <f t="shared" si="82"/>
        <v>0</v>
      </c>
      <c r="T34" s="58">
        <f t="shared" si="3"/>
        <v>255</v>
      </c>
      <c r="U34" s="131"/>
      <c r="V34" s="41">
        <f t="shared" si="94"/>
        <v>255</v>
      </c>
      <c r="W34" s="18">
        <f t="shared" si="4"/>
        <v>79</v>
      </c>
      <c r="X34" s="131"/>
      <c r="Y34" s="41">
        <f t="shared" si="31"/>
        <v>79</v>
      </c>
      <c r="Z34" s="487"/>
      <c r="AA34" s="118">
        <v>3</v>
      </c>
      <c r="AB34" s="9">
        <v>4</v>
      </c>
      <c r="AC34" s="129"/>
      <c r="AD34" s="43">
        <f t="shared" si="132"/>
        <v>112778</v>
      </c>
      <c r="AE34" s="449">
        <f t="shared" si="135"/>
        <v>112753</v>
      </c>
      <c r="AF34" s="130"/>
      <c r="AG34" s="131">
        <v>25</v>
      </c>
      <c r="AH34" s="131"/>
      <c r="AI34" s="11">
        <f t="shared" si="84"/>
        <v>25</v>
      </c>
      <c r="AJ34" s="11">
        <f t="shared" si="155"/>
        <v>134</v>
      </c>
      <c r="AK34" s="16">
        <f t="shared" si="6"/>
        <v>0.3</v>
      </c>
      <c r="AL34" s="153">
        <f t="shared" si="33"/>
        <v>2.2167444005036445E-2</v>
      </c>
      <c r="AM34" s="154">
        <f t="shared" si="7"/>
        <v>2.1999999999999997</v>
      </c>
      <c r="AN34" s="155">
        <f t="shared" si="159"/>
        <v>0.11881749986699533</v>
      </c>
      <c r="AO34" s="130">
        <v>3600</v>
      </c>
      <c r="AP34" s="11">
        <f t="shared" si="8"/>
        <v>29</v>
      </c>
      <c r="AQ34" s="481">
        <f t="shared" si="34"/>
        <v>31.921119367252476</v>
      </c>
      <c r="AR34" s="469">
        <f t="shared" si="133"/>
        <v>118.04702888434169</v>
      </c>
      <c r="AS34" s="61">
        <f t="shared" si="9"/>
        <v>255</v>
      </c>
      <c r="AT34" s="131">
        <v>234</v>
      </c>
      <c r="AU34" s="41">
        <f t="shared" si="110"/>
        <v>21</v>
      </c>
      <c r="AV34" s="18">
        <f t="shared" si="10"/>
        <v>79</v>
      </c>
      <c r="AW34" s="131">
        <v>66</v>
      </c>
      <c r="AX34" s="41">
        <f t="shared" si="75"/>
        <v>13</v>
      </c>
      <c r="AZ34" s="118">
        <v>3</v>
      </c>
      <c r="BA34" s="9">
        <v>4</v>
      </c>
      <c r="BB34" s="129"/>
      <c r="BC34" s="43">
        <f t="shared" si="134"/>
        <v>69051</v>
      </c>
      <c r="BD34" s="449">
        <f t="shared" si="137"/>
        <v>69031</v>
      </c>
      <c r="BE34" s="130"/>
      <c r="BF34" s="131">
        <v>20</v>
      </c>
      <c r="BG34" s="131"/>
      <c r="BH34" s="11">
        <f t="shared" si="85"/>
        <v>20</v>
      </c>
      <c r="BI34" s="11">
        <f>BI33+BH34</f>
        <v>87</v>
      </c>
      <c r="BJ34" s="16">
        <f t="shared" si="12"/>
        <v>0.3</v>
      </c>
      <c r="BK34" s="235">
        <f t="shared" si="50"/>
        <v>2.896409899929038E-2</v>
      </c>
      <c r="BL34" s="154">
        <f t="shared" si="13"/>
        <v>2.1999999999999997</v>
      </c>
      <c r="BM34" s="435">
        <f t="shared" ref="BM34:BM97" si="160">IFERROR((BI34*100)/$BC$33,0)</f>
        <v>0.1259664668577882</v>
      </c>
      <c r="BN34" s="130">
        <v>2889</v>
      </c>
      <c r="BO34" s="11">
        <f t="shared" si="15"/>
        <v>29</v>
      </c>
      <c r="BP34" s="441">
        <f t="shared" si="51"/>
        <v>41.838641004474951</v>
      </c>
      <c r="BQ34" s="377">
        <f t="shared" si="66"/>
        <v>346.65988549999003</v>
      </c>
      <c r="BR34" s="61">
        <f t="shared" si="16"/>
        <v>255</v>
      </c>
      <c r="BS34" s="131">
        <v>209</v>
      </c>
      <c r="BT34" s="41">
        <f t="shared" si="111"/>
        <v>46</v>
      </c>
      <c r="BU34" s="18">
        <f t="shared" si="18"/>
        <v>79</v>
      </c>
      <c r="BV34" s="131">
        <v>59</v>
      </c>
      <c r="BW34" s="41">
        <f t="shared" si="76"/>
        <v>20</v>
      </c>
      <c r="BY34" s="118">
        <v>3</v>
      </c>
      <c r="BZ34" s="9">
        <v>4</v>
      </c>
      <c r="CA34" s="129"/>
      <c r="CB34" s="11">
        <f t="shared" si="77"/>
        <v>0</v>
      </c>
      <c r="CC34" s="57">
        <f t="shared" si="86"/>
        <v>0</v>
      </c>
      <c r="CD34" s="398"/>
      <c r="CE34" s="399"/>
      <c r="CF34" s="399"/>
      <c r="CG34" s="11">
        <f t="shared" si="87"/>
        <v>0</v>
      </c>
      <c r="CH34" s="11">
        <f t="shared" si="78"/>
        <v>0</v>
      </c>
      <c r="CI34" s="17">
        <f t="shared" si="19"/>
        <v>0.3</v>
      </c>
      <c r="CJ34" s="235">
        <f t="shared" si="55"/>
        <v>0</v>
      </c>
      <c r="CK34" s="33">
        <f t="shared" si="20"/>
        <v>2.1999999999999997</v>
      </c>
      <c r="CL34" s="155">
        <f t="shared" si="69"/>
        <v>0</v>
      </c>
      <c r="CM34" s="130"/>
      <c r="CN34" s="17">
        <f t="shared" si="21"/>
        <v>29</v>
      </c>
      <c r="CO34" s="60">
        <f t="shared" si="70"/>
        <v>0</v>
      </c>
      <c r="CP34" s="377">
        <f t="shared" si="56"/>
        <v>0</v>
      </c>
      <c r="CQ34" s="61">
        <f t="shared" si="22"/>
        <v>255</v>
      </c>
      <c r="CR34" s="131">
        <v>237</v>
      </c>
      <c r="CS34" s="41">
        <f t="shared" si="112"/>
        <v>18</v>
      </c>
      <c r="CT34" s="18">
        <f t="shared" si="23"/>
        <v>79</v>
      </c>
      <c r="CU34" s="131">
        <v>68</v>
      </c>
      <c r="CV34" s="41">
        <f t="shared" si="41"/>
        <v>11</v>
      </c>
    </row>
    <row r="35" spans="1:100" ht="17.25" thickBot="1" x14ac:dyDescent="0.3">
      <c r="B35" s="120">
        <f>B34+1</f>
        <v>4</v>
      </c>
      <c r="C35" s="7">
        <f>C34</f>
        <v>4</v>
      </c>
      <c r="D35" s="229"/>
      <c r="E35" s="48">
        <f t="shared" si="106"/>
        <v>0</v>
      </c>
      <c r="F35" s="49">
        <f t="shared" si="80"/>
        <v>0</v>
      </c>
      <c r="G35" s="134"/>
      <c r="H35" s="135"/>
      <c r="I35" s="135"/>
      <c r="J35" s="14">
        <f t="shared" si="81"/>
        <v>0</v>
      </c>
      <c r="K35" s="14">
        <f t="shared" si="92"/>
        <v>9358</v>
      </c>
      <c r="L35" s="14">
        <f t="shared" si="1"/>
        <v>0.3</v>
      </c>
      <c r="M35" s="47">
        <f t="shared" si="26"/>
        <v>0</v>
      </c>
      <c r="N35" s="35">
        <f t="shared" si="27"/>
        <v>2.1999999999999997</v>
      </c>
      <c r="O35" s="157">
        <f t="shared" si="157"/>
        <v>0</v>
      </c>
      <c r="P35" s="134"/>
      <c r="Q35" s="14">
        <f t="shared" si="2"/>
        <v>29</v>
      </c>
      <c r="R35" s="482">
        <f t="shared" si="29"/>
        <v>0</v>
      </c>
      <c r="S35" s="470">
        <f t="shared" si="82"/>
        <v>0</v>
      </c>
      <c r="T35" s="51">
        <f t="shared" si="3"/>
        <v>255</v>
      </c>
      <c r="U35" s="103">
        <f>U34</f>
        <v>0</v>
      </c>
      <c r="V35" s="46">
        <f t="shared" si="94"/>
        <v>255</v>
      </c>
      <c r="W35" s="50">
        <f t="shared" si="4"/>
        <v>79</v>
      </c>
      <c r="X35" s="103">
        <f>X34</f>
        <v>0</v>
      </c>
      <c r="Y35" s="46">
        <f t="shared" si="31"/>
        <v>79</v>
      </c>
      <c r="Z35" s="487"/>
      <c r="AA35" s="120">
        <f>AA34+1</f>
        <v>4</v>
      </c>
      <c r="AB35" s="7">
        <f>AB34</f>
        <v>4</v>
      </c>
      <c r="AC35" s="133"/>
      <c r="AD35" s="48">
        <f t="shared" si="132"/>
        <v>112753</v>
      </c>
      <c r="AE35" s="49">
        <f t="shared" si="135"/>
        <v>112719</v>
      </c>
      <c r="AF35" s="134"/>
      <c r="AG35" s="135">
        <v>34</v>
      </c>
      <c r="AH35" s="135"/>
      <c r="AI35" s="14">
        <f t="shared" si="84"/>
        <v>34</v>
      </c>
      <c r="AJ35" s="14">
        <f t="shared" si="155"/>
        <v>168</v>
      </c>
      <c r="AK35" s="14">
        <f t="shared" si="6"/>
        <v>0.3</v>
      </c>
      <c r="AL35" s="47">
        <f t="shared" si="33"/>
        <v>3.0154408308426382E-2</v>
      </c>
      <c r="AM35" s="35">
        <f t="shared" si="7"/>
        <v>2.1999999999999997</v>
      </c>
      <c r="AN35" s="157">
        <f t="shared" si="159"/>
        <v>0.14899825281810683</v>
      </c>
      <c r="AO35" s="134">
        <v>2700</v>
      </c>
      <c r="AP35" s="14">
        <f t="shared" si="8"/>
        <v>29</v>
      </c>
      <c r="AQ35" s="482">
        <f t="shared" si="34"/>
        <v>23.946147774338598</v>
      </c>
      <c r="AR35" s="470">
        <f t="shared" si="133"/>
        <v>141.99317665868028</v>
      </c>
      <c r="AS35" s="51">
        <f t="shared" si="9"/>
        <v>255</v>
      </c>
      <c r="AT35" s="103">
        <f>AT34</f>
        <v>234</v>
      </c>
      <c r="AU35" s="46">
        <f t="shared" si="110"/>
        <v>21</v>
      </c>
      <c r="AV35" s="50">
        <f t="shared" si="10"/>
        <v>79</v>
      </c>
      <c r="AW35" s="103">
        <f>AW34</f>
        <v>66</v>
      </c>
      <c r="AX35" s="46">
        <f t="shared" si="75"/>
        <v>13</v>
      </c>
      <c r="AZ35" s="120">
        <f>AZ34+1</f>
        <v>4</v>
      </c>
      <c r="BA35" s="7">
        <f>BA34</f>
        <v>4</v>
      </c>
      <c r="BB35" s="133"/>
      <c r="BC35" s="48">
        <f t="shared" si="134"/>
        <v>69031</v>
      </c>
      <c r="BD35" s="49">
        <f t="shared" si="137"/>
        <v>69008</v>
      </c>
      <c r="BE35" s="134"/>
      <c r="BF35" s="135">
        <v>23</v>
      </c>
      <c r="BG35" s="135"/>
      <c r="BH35" s="14">
        <f t="shared" si="85"/>
        <v>23</v>
      </c>
      <c r="BI35" s="14">
        <f t="shared" si="123"/>
        <v>110</v>
      </c>
      <c r="BJ35" s="14">
        <f t="shared" si="12"/>
        <v>0.3</v>
      </c>
      <c r="BK35" s="47">
        <f t="shared" si="50"/>
        <v>3.3318364213179588E-2</v>
      </c>
      <c r="BL35" s="35">
        <f t="shared" si="13"/>
        <v>2.1999999999999997</v>
      </c>
      <c r="BM35" s="435">
        <f t="shared" si="160"/>
        <v>0.15926794660180119</v>
      </c>
      <c r="BN35" s="134">
        <v>774</v>
      </c>
      <c r="BO35" s="14">
        <f t="shared" si="15"/>
        <v>29</v>
      </c>
      <c r="BP35" s="442">
        <f t="shared" si="51"/>
        <v>11.212353870000435</v>
      </c>
      <c r="BQ35" s="68">
        <f t="shared" si="66"/>
        <v>357.87223936999044</v>
      </c>
      <c r="BR35" s="51">
        <f t="shared" si="16"/>
        <v>255</v>
      </c>
      <c r="BS35" s="103">
        <f>BS34</f>
        <v>209</v>
      </c>
      <c r="BT35" s="46">
        <f t="shared" si="111"/>
        <v>46</v>
      </c>
      <c r="BU35" s="50">
        <f t="shared" si="18"/>
        <v>79</v>
      </c>
      <c r="BV35" s="103">
        <f>BV34</f>
        <v>59</v>
      </c>
      <c r="BW35" s="46">
        <f t="shared" si="76"/>
        <v>20</v>
      </c>
      <c r="BY35" s="120">
        <v>4</v>
      </c>
      <c r="BZ35" s="7">
        <f>BZ34</f>
        <v>4</v>
      </c>
      <c r="CA35" s="133"/>
      <c r="CB35" s="14">
        <f t="shared" si="77"/>
        <v>0</v>
      </c>
      <c r="CC35" s="46">
        <f t="shared" si="86"/>
        <v>0</v>
      </c>
      <c r="CD35" s="405"/>
      <c r="CE35" s="406"/>
      <c r="CF35" s="406"/>
      <c r="CG35" s="14">
        <f t="shared" si="87"/>
        <v>0</v>
      </c>
      <c r="CH35" s="14">
        <f t="shared" si="78"/>
        <v>0</v>
      </c>
      <c r="CI35" s="14">
        <f t="shared" si="19"/>
        <v>0.3</v>
      </c>
      <c r="CJ35" s="47">
        <f t="shared" si="55"/>
        <v>0</v>
      </c>
      <c r="CK35" s="35">
        <f t="shared" si="20"/>
        <v>2.1999999999999997</v>
      </c>
      <c r="CL35" s="157">
        <f t="shared" si="69"/>
        <v>0</v>
      </c>
      <c r="CM35" s="134"/>
      <c r="CN35" s="14">
        <f t="shared" si="21"/>
        <v>29</v>
      </c>
      <c r="CO35" s="48">
        <f t="shared" si="70"/>
        <v>0</v>
      </c>
      <c r="CP35" s="68">
        <f t="shared" si="56"/>
        <v>0</v>
      </c>
      <c r="CQ35" s="51">
        <f t="shared" si="22"/>
        <v>255</v>
      </c>
      <c r="CR35" s="103">
        <f>CR34</f>
        <v>237</v>
      </c>
      <c r="CS35" s="46">
        <f t="shared" si="112"/>
        <v>18</v>
      </c>
      <c r="CT35" s="50">
        <f t="shared" si="23"/>
        <v>79</v>
      </c>
      <c r="CU35" s="103">
        <f>CU34</f>
        <v>68</v>
      </c>
      <c r="CV35" s="46">
        <f t="shared" si="41"/>
        <v>11</v>
      </c>
    </row>
    <row r="36" spans="1:100" ht="17.25" thickBot="1" x14ac:dyDescent="0.3">
      <c r="B36" s="120">
        <f t="shared" ref="B36:B39" si="161">B35+1</f>
        <v>5</v>
      </c>
      <c r="C36" s="7">
        <f t="shared" ref="C36:C40" si="162">C35</f>
        <v>4</v>
      </c>
      <c r="D36" s="229"/>
      <c r="E36" s="48">
        <f t="shared" si="106"/>
        <v>0</v>
      </c>
      <c r="F36" s="447">
        <f t="shared" si="80"/>
        <v>0</v>
      </c>
      <c r="G36" s="134"/>
      <c r="H36" s="135"/>
      <c r="I36" s="135"/>
      <c r="J36" s="14">
        <f t="shared" si="81"/>
        <v>0</v>
      </c>
      <c r="K36" s="14">
        <f t="shared" si="92"/>
        <v>9358</v>
      </c>
      <c r="L36" s="14">
        <f t="shared" si="1"/>
        <v>0.3</v>
      </c>
      <c r="M36" s="231">
        <f t="shared" si="26"/>
        <v>0</v>
      </c>
      <c r="N36" s="35">
        <f t="shared" si="27"/>
        <v>2.1999999999999997</v>
      </c>
      <c r="O36" s="157">
        <f t="shared" si="157"/>
        <v>0</v>
      </c>
      <c r="P36" s="134"/>
      <c r="Q36" s="14">
        <f t="shared" si="2"/>
        <v>29</v>
      </c>
      <c r="R36" s="442">
        <f t="shared" si="29"/>
        <v>0</v>
      </c>
      <c r="S36" s="470">
        <f t="shared" si="82"/>
        <v>0</v>
      </c>
      <c r="T36" s="51">
        <f t="shared" si="3"/>
        <v>255</v>
      </c>
      <c r="U36" s="103">
        <f t="shared" ref="U36:U40" si="163">U35</f>
        <v>0</v>
      </c>
      <c r="V36" s="46">
        <f t="shared" si="94"/>
        <v>255</v>
      </c>
      <c r="W36" s="50">
        <f t="shared" si="4"/>
        <v>79</v>
      </c>
      <c r="X36" s="103">
        <f t="shared" ref="X36:X40" si="164">X35</f>
        <v>0</v>
      </c>
      <c r="Y36" s="46">
        <f t="shared" si="31"/>
        <v>79</v>
      </c>
      <c r="Z36" s="487"/>
      <c r="AA36" s="120">
        <f t="shared" ref="AA36:AA39" si="165">AA35+1</f>
        <v>5</v>
      </c>
      <c r="AB36" s="7">
        <f t="shared" ref="AB36:AB40" si="166">AB35</f>
        <v>4</v>
      </c>
      <c r="AC36" s="133"/>
      <c r="AD36" s="48">
        <f t="shared" si="132"/>
        <v>112719</v>
      </c>
      <c r="AE36" s="447">
        <f t="shared" si="135"/>
        <v>112716</v>
      </c>
      <c r="AF36" s="134"/>
      <c r="AG36" s="135">
        <v>3</v>
      </c>
      <c r="AH36" s="135"/>
      <c r="AI36" s="14">
        <f t="shared" si="84"/>
        <v>3</v>
      </c>
      <c r="AJ36" s="14">
        <f t="shared" si="155"/>
        <v>171</v>
      </c>
      <c r="AK36" s="14">
        <f t="shared" si="6"/>
        <v>0.3</v>
      </c>
      <c r="AL36" s="231">
        <f t="shared" si="33"/>
        <v>2.6614856412849651E-3</v>
      </c>
      <c r="AM36" s="35">
        <f t="shared" si="7"/>
        <v>2.1999999999999997</v>
      </c>
      <c r="AN36" s="157">
        <f t="shared" si="159"/>
        <v>0.15170468155324301</v>
      </c>
      <c r="AO36" s="134">
        <v>1620</v>
      </c>
      <c r="AP36" s="14">
        <f t="shared" si="8"/>
        <v>29</v>
      </c>
      <c r="AQ36" s="442">
        <f t="shared" si="34"/>
        <v>14.372022462938812</v>
      </c>
      <c r="AR36" s="470">
        <f t="shared" si="133"/>
        <v>156.3651991216191</v>
      </c>
      <c r="AS36" s="51">
        <f t="shared" si="9"/>
        <v>255</v>
      </c>
      <c r="AT36" s="103">
        <f t="shared" ref="AT36:AT40" si="167">AT35</f>
        <v>234</v>
      </c>
      <c r="AU36" s="46">
        <f t="shared" si="110"/>
        <v>21</v>
      </c>
      <c r="AV36" s="50">
        <f t="shared" si="10"/>
        <v>79</v>
      </c>
      <c r="AW36" s="103">
        <f t="shared" ref="AW36:AW40" si="168">AW35</f>
        <v>66</v>
      </c>
      <c r="AX36" s="46">
        <f t="shared" si="75"/>
        <v>13</v>
      </c>
      <c r="AZ36" s="120">
        <f t="shared" ref="AZ36:AZ39" si="169">AZ35+1</f>
        <v>5</v>
      </c>
      <c r="BA36" s="7">
        <f t="shared" ref="BA36:BA40" si="170">BA35</f>
        <v>4</v>
      </c>
      <c r="BB36" s="133"/>
      <c r="BC36" s="48">
        <f t="shared" si="134"/>
        <v>69008</v>
      </c>
      <c r="BD36" s="447">
        <f t="shared" si="137"/>
        <v>68959</v>
      </c>
      <c r="BE36" s="134"/>
      <c r="BF36" s="135">
        <v>49</v>
      </c>
      <c r="BG36" s="135"/>
      <c r="BH36" s="14">
        <f t="shared" si="85"/>
        <v>49</v>
      </c>
      <c r="BI36" s="14">
        <f t="shared" si="123"/>
        <v>159</v>
      </c>
      <c r="BJ36" s="14">
        <f t="shared" si="12"/>
        <v>0.3</v>
      </c>
      <c r="BK36" s="47">
        <f t="shared" si="50"/>
        <v>7.1006260143751443E-2</v>
      </c>
      <c r="BL36" s="35">
        <f t="shared" si="13"/>
        <v>2.1999999999999997</v>
      </c>
      <c r="BM36" s="435">
        <f t="shared" si="160"/>
        <v>0.23021457736078535</v>
      </c>
      <c r="BN36" s="134">
        <v>1728</v>
      </c>
      <c r="BO36" s="14">
        <f t="shared" si="15"/>
        <v>29</v>
      </c>
      <c r="BP36" s="442">
        <f t="shared" si="51"/>
        <v>25.040575005796427</v>
      </c>
      <c r="BQ36" s="68">
        <f t="shared" si="66"/>
        <v>382.91281437578687</v>
      </c>
      <c r="BR36" s="51">
        <f t="shared" si="16"/>
        <v>255</v>
      </c>
      <c r="BS36" s="103">
        <f t="shared" ref="BS36:BS40" si="171">BS35</f>
        <v>209</v>
      </c>
      <c r="BT36" s="46">
        <f t="shared" si="111"/>
        <v>46</v>
      </c>
      <c r="BU36" s="50">
        <f t="shared" si="18"/>
        <v>79</v>
      </c>
      <c r="BV36" s="103">
        <f t="shared" ref="BV36:BV40" si="172">BV35</f>
        <v>59</v>
      </c>
      <c r="BW36" s="46">
        <f t="shared" si="76"/>
        <v>20</v>
      </c>
      <c r="BY36" s="120">
        <v>5</v>
      </c>
      <c r="BZ36" s="7">
        <f t="shared" ref="BZ36:BZ40" si="173">BZ35</f>
        <v>4</v>
      </c>
      <c r="CA36" s="133"/>
      <c r="CB36" s="14">
        <f t="shared" si="77"/>
        <v>0</v>
      </c>
      <c r="CC36" s="62">
        <f t="shared" si="86"/>
        <v>0</v>
      </c>
      <c r="CD36" s="405"/>
      <c r="CE36" s="406"/>
      <c r="CF36" s="406"/>
      <c r="CG36" s="14">
        <f t="shared" si="87"/>
        <v>0</v>
      </c>
      <c r="CH36" s="14">
        <f t="shared" si="78"/>
        <v>0</v>
      </c>
      <c r="CI36" s="14">
        <f t="shared" si="19"/>
        <v>0.3</v>
      </c>
      <c r="CJ36" s="47">
        <f t="shared" si="55"/>
        <v>0</v>
      </c>
      <c r="CK36" s="35">
        <f t="shared" si="20"/>
        <v>2.1999999999999997</v>
      </c>
      <c r="CL36" s="157">
        <f t="shared" si="69"/>
        <v>0</v>
      </c>
      <c r="CM36" s="134"/>
      <c r="CN36" s="14">
        <f t="shared" si="21"/>
        <v>29</v>
      </c>
      <c r="CO36" s="48">
        <f t="shared" si="70"/>
        <v>0</v>
      </c>
      <c r="CP36" s="68">
        <f t="shared" si="56"/>
        <v>0</v>
      </c>
      <c r="CQ36" s="51">
        <f t="shared" si="22"/>
        <v>255</v>
      </c>
      <c r="CR36" s="103">
        <f t="shared" ref="CR36:CR40" si="174">CR35</f>
        <v>237</v>
      </c>
      <c r="CS36" s="46">
        <f t="shared" si="112"/>
        <v>18</v>
      </c>
      <c r="CT36" s="50">
        <f t="shared" si="23"/>
        <v>79</v>
      </c>
      <c r="CU36" s="103">
        <f t="shared" ref="CU36:CU40" si="175">CU35</f>
        <v>68</v>
      </c>
      <c r="CV36" s="46">
        <f t="shared" si="41"/>
        <v>11</v>
      </c>
    </row>
    <row r="37" spans="1:100" ht="17.25" thickBot="1" x14ac:dyDescent="0.3">
      <c r="B37" s="120">
        <f t="shared" si="161"/>
        <v>6</v>
      </c>
      <c r="C37" s="7">
        <f t="shared" si="162"/>
        <v>4</v>
      </c>
      <c r="D37" s="496"/>
      <c r="E37" s="48">
        <f>IFERROR(F36-D37,0)</f>
        <v>0</v>
      </c>
      <c r="F37" s="49">
        <f t="shared" si="80"/>
        <v>0</v>
      </c>
      <c r="G37" s="134"/>
      <c r="H37" s="135"/>
      <c r="I37" s="135"/>
      <c r="J37" s="14">
        <f t="shared" si="81"/>
        <v>0</v>
      </c>
      <c r="K37" s="14">
        <f>K36+J37</f>
        <v>9358</v>
      </c>
      <c r="L37" s="14">
        <f t="shared" si="1"/>
        <v>0.3</v>
      </c>
      <c r="M37" s="230">
        <f t="shared" si="26"/>
        <v>0</v>
      </c>
      <c r="N37" s="35">
        <f t="shared" si="27"/>
        <v>2.1999999999999997</v>
      </c>
      <c r="O37" s="157">
        <f t="shared" si="157"/>
        <v>0</v>
      </c>
      <c r="P37" s="134"/>
      <c r="Q37" s="14">
        <f t="shared" si="2"/>
        <v>29</v>
      </c>
      <c r="R37" s="482">
        <f t="shared" si="29"/>
        <v>0</v>
      </c>
      <c r="S37" s="470">
        <f t="shared" si="82"/>
        <v>0</v>
      </c>
      <c r="T37" s="51">
        <f t="shared" si="3"/>
        <v>255</v>
      </c>
      <c r="U37" s="103">
        <f t="shared" si="163"/>
        <v>0</v>
      </c>
      <c r="V37" s="46">
        <f t="shared" si="94"/>
        <v>255</v>
      </c>
      <c r="W37" s="51">
        <f t="shared" si="4"/>
        <v>79</v>
      </c>
      <c r="X37" s="103">
        <f t="shared" si="164"/>
        <v>0</v>
      </c>
      <c r="Y37" s="46">
        <f t="shared" si="31"/>
        <v>79</v>
      </c>
      <c r="Z37" s="487"/>
      <c r="AA37" s="120">
        <f t="shared" si="165"/>
        <v>6</v>
      </c>
      <c r="AB37" s="7">
        <f t="shared" si="166"/>
        <v>4</v>
      </c>
      <c r="AC37" s="484">
        <v>6104</v>
      </c>
      <c r="AD37" s="48">
        <f>IFERROR(AE36-AC37,0)</f>
        <v>106612</v>
      </c>
      <c r="AE37" s="49">
        <f t="shared" si="135"/>
        <v>106599</v>
      </c>
      <c r="AF37" s="134"/>
      <c r="AG37" s="135">
        <v>13</v>
      </c>
      <c r="AH37" s="135"/>
      <c r="AI37" s="14">
        <f t="shared" si="84"/>
        <v>13</v>
      </c>
      <c r="AJ37" s="14">
        <f t="shared" si="155"/>
        <v>184</v>
      </c>
      <c r="AK37" s="14">
        <f t="shared" si="6"/>
        <v>0.3</v>
      </c>
      <c r="AL37" s="230">
        <f t="shared" si="33"/>
        <v>1.2193749296514464E-2</v>
      </c>
      <c r="AM37" s="35">
        <f t="shared" si="7"/>
        <v>2.1999999999999997</v>
      </c>
      <c r="AN37" s="157">
        <f t="shared" si="159"/>
        <v>0.17258845158143549</v>
      </c>
      <c r="AO37" s="134">
        <v>1908</v>
      </c>
      <c r="AP37" s="14">
        <f t="shared" si="8"/>
        <v>29</v>
      </c>
      <c r="AQ37" s="482">
        <f t="shared" si="34"/>
        <v>17.896672044422765</v>
      </c>
      <c r="AR37" s="470">
        <f t="shared" si="133"/>
        <v>174.26187116604186</v>
      </c>
      <c r="AS37" s="51">
        <f t="shared" si="9"/>
        <v>255</v>
      </c>
      <c r="AT37" s="103">
        <f t="shared" si="167"/>
        <v>234</v>
      </c>
      <c r="AU37" s="46">
        <f t="shared" si="110"/>
        <v>21</v>
      </c>
      <c r="AV37" s="51">
        <f t="shared" si="10"/>
        <v>79</v>
      </c>
      <c r="AW37" s="103">
        <f t="shared" si="168"/>
        <v>66</v>
      </c>
      <c r="AX37" s="46">
        <f t="shared" si="75"/>
        <v>13</v>
      </c>
      <c r="AZ37" s="120">
        <f t="shared" si="169"/>
        <v>6</v>
      </c>
      <c r="BA37" s="7">
        <f t="shared" si="170"/>
        <v>4</v>
      </c>
      <c r="BB37" s="133"/>
      <c r="BC37" s="48">
        <f t="shared" si="134"/>
        <v>68959</v>
      </c>
      <c r="BD37" s="49">
        <f t="shared" si="137"/>
        <v>68894</v>
      </c>
      <c r="BE37" s="134"/>
      <c r="BF37" s="135">
        <v>65</v>
      </c>
      <c r="BG37" s="135"/>
      <c r="BH37" s="14">
        <f t="shared" si="85"/>
        <v>65</v>
      </c>
      <c r="BI37" s="14">
        <f t="shared" si="123"/>
        <v>224</v>
      </c>
      <c r="BJ37" s="14">
        <f t="shared" si="12"/>
        <v>0.3</v>
      </c>
      <c r="BK37" s="47">
        <f t="shared" si="50"/>
        <v>9.4258907466755609E-2</v>
      </c>
      <c r="BL37" s="35">
        <f t="shared" si="13"/>
        <v>2.1999999999999997</v>
      </c>
      <c r="BM37" s="435">
        <f t="shared" si="160"/>
        <v>0.3243274548982133</v>
      </c>
      <c r="BN37" s="134">
        <v>1728</v>
      </c>
      <c r="BO37" s="14">
        <f t="shared" si="15"/>
        <v>29</v>
      </c>
      <c r="BP37" s="442">
        <f t="shared" si="51"/>
        <v>25.058368015777493</v>
      </c>
      <c r="BQ37" s="68">
        <f t="shared" si="66"/>
        <v>407.97118239156435</v>
      </c>
      <c r="BR37" s="51">
        <f t="shared" si="16"/>
        <v>255</v>
      </c>
      <c r="BS37" s="103">
        <f t="shared" si="171"/>
        <v>209</v>
      </c>
      <c r="BT37" s="46">
        <f t="shared" si="111"/>
        <v>46</v>
      </c>
      <c r="BU37" s="51">
        <f t="shared" si="18"/>
        <v>79</v>
      </c>
      <c r="BV37" s="103">
        <f t="shared" si="172"/>
        <v>59</v>
      </c>
      <c r="BW37" s="46">
        <f t="shared" si="76"/>
        <v>20</v>
      </c>
      <c r="BY37" s="120">
        <v>6</v>
      </c>
      <c r="BZ37" s="7">
        <f t="shared" si="173"/>
        <v>4</v>
      </c>
      <c r="CA37" s="484">
        <v>6104</v>
      </c>
      <c r="CB37" s="14">
        <f t="shared" si="77"/>
        <v>6104</v>
      </c>
      <c r="CC37" s="46">
        <f t="shared" si="86"/>
        <v>6099</v>
      </c>
      <c r="CD37" s="405"/>
      <c r="CE37" s="406">
        <v>5</v>
      </c>
      <c r="CF37" s="406"/>
      <c r="CG37" s="14">
        <f t="shared" si="87"/>
        <v>5</v>
      </c>
      <c r="CH37" s="14">
        <f t="shared" si="78"/>
        <v>5</v>
      </c>
      <c r="CI37" s="14">
        <f t="shared" si="19"/>
        <v>0.3</v>
      </c>
      <c r="CJ37" s="47">
        <f t="shared" si="55"/>
        <v>0.81913499344692009</v>
      </c>
      <c r="CK37" s="35">
        <f t="shared" si="20"/>
        <v>2.1999999999999997</v>
      </c>
      <c r="CL37" s="157">
        <f t="shared" si="69"/>
        <v>8.1913499344692012E-2</v>
      </c>
      <c r="CM37" s="327">
        <v>4080</v>
      </c>
      <c r="CN37" s="14">
        <f t="shared" si="21"/>
        <v>29</v>
      </c>
      <c r="CO37" s="688">
        <f>IFERROR((CM37/CB37)*1000,0)</f>
        <v>668.41415465268676</v>
      </c>
      <c r="CP37" s="68">
        <f>CP36+CO37</f>
        <v>668.41415465268676</v>
      </c>
      <c r="CQ37" s="51">
        <f t="shared" si="22"/>
        <v>255</v>
      </c>
      <c r="CR37" s="103">
        <f t="shared" si="174"/>
        <v>237</v>
      </c>
      <c r="CS37" s="46">
        <f t="shared" si="112"/>
        <v>18</v>
      </c>
      <c r="CT37" s="50">
        <f t="shared" si="23"/>
        <v>79</v>
      </c>
      <c r="CU37" s="103">
        <f t="shared" si="175"/>
        <v>68</v>
      </c>
      <c r="CV37" s="46">
        <f t="shared" si="41"/>
        <v>11</v>
      </c>
    </row>
    <row r="38" spans="1:100" ht="17.25" thickBot="1" x14ac:dyDescent="0.3">
      <c r="B38" s="120">
        <f t="shared" si="161"/>
        <v>7</v>
      </c>
      <c r="C38" s="7">
        <f t="shared" si="162"/>
        <v>4</v>
      </c>
      <c r="D38" s="496"/>
      <c r="E38" s="48">
        <f>IFERROR(F37-D38,0)</f>
        <v>0</v>
      </c>
      <c r="F38" s="49">
        <f t="shared" si="80"/>
        <v>0</v>
      </c>
      <c r="G38" s="134"/>
      <c r="H38" s="135"/>
      <c r="I38" s="135"/>
      <c r="J38" s="14">
        <f t="shared" si="81"/>
        <v>0</v>
      </c>
      <c r="K38" s="14">
        <f t="shared" si="92"/>
        <v>9358</v>
      </c>
      <c r="L38" s="14">
        <f t="shared" ref="L38:L69" si="176">VLOOKUP($C38,LOHMANN,4,FALSE)</f>
        <v>0.3</v>
      </c>
      <c r="M38" s="47">
        <f t="shared" si="26"/>
        <v>0</v>
      </c>
      <c r="N38" s="35">
        <f t="shared" ref="N38:N69" si="177">VLOOKUP($C38,LOHMANN,5,FALSE)</f>
        <v>2.1999999999999997</v>
      </c>
      <c r="O38" s="157">
        <f t="shared" si="157"/>
        <v>0</v>
      </c>
      <c r="P38" s="134"/>
      <c r="Q38" s="14">
        <f t="shared" ref="Q38:Q69" si="178">VLOOKUP($C38,LOHMANN,6,FALSE)</f>
        <v>29</v>
      </c>
      <c r="R38" s="482">
        <f t="shared" si="29"/>
        <v>0</v>
      </c>
      <c r="S38" s="470">
        <f t="shared" si="82"/>
        <v>0</v>
      </c>
      <c r="T38" s="51">
        <f t="shared" ref="T38:T69" si="179">VLOOKUP($C38,LOHMANN,2,FALSE)</f>
        <v>255</v>
      </c>
      <c r="U38" s="103">
        <f t="shared" si="163"/>
        <v>0</v>
      </c>
      <c r="V38" s="46">
        <f t="shared" si="94"/>
        <v>255</v>
      </c>
      <c r="W38" s="12">
        <f t="shared" ref="W38:W69" si="180">VLOOKUP(C38,LOHMANN,3,FALSE)</f>
        <v>79</v>
      </c>
      <c r="X38" s="103">
        <f t="shared" si="164"/>
        <v>0</v>
      </c>
      <c r="Y38" s="46">
        <f t="shared" si="31"/>
        <v>79</v>
      </c>
      <c r="Z38" s="487"/>
      <c r="AA38" s="120">
        <f t="shared" si="165"/>
        <v>7</v>
      </c>
      <c r="AB38" s="7">
        <f t="shared" si="166"/>
        <v>4</v>
      </c>
      <c r="AC38" s="484">
        <v>8750</v>
      </c>
      <c r="AD38" s="48">
        <f>IFERROR(AE37-AC38,0)</f>
        <v>97849</v>
      </c>
      <c r="AE38" s="49">
        <f t="shared" si="135"/>
        <v>97808</v>
      </c>
      <c r="AF38" s="134"/>
      <c r="AG38" s="135">
        <v>41</v>
      </c>
      <c r="AH38" s="135"/>
      <c r="AI38" s="14">
        <f t="shared" si="84"/>
        <v>41</v>
      </c>
      <c r="AJ38" s="14">
        <f t="shared" si="130"/>
        <v>225</v>
      </c>
      <c r="AK38" s="14">
        <f t="shared" si="6"/>
        <v>0.3</v>
      </c>
      <c r="AL38" s="47">
        <f t="shared" si="33"/>
        <v>4.1901296896238081E-2</v>
      </c>
      <c r="AM38" s="35">
        <f t="shared" si="7"/>
        <v>2.1999999999999997</v>
      </c>
      <c r="AN38" s="157">
        <f t="shared" si="159"/>
        <v>0.22994614150374557</v>
      </c>
      <c r="AO38" s="134">
        <v>1908</v>
      </c>
      <c r="AP38" s="14">
        <f t="shared" si="8"/>
        <v>29</v>
      </c>
      <c r="AQ38" s="482">
        <f t="shared" si="34"/>
        <v>19.499432799517624</v>
      </c>
      <c r="AR38" s="470">
        <f t="shared" si="133"/>
        <v>193.76130396555948</v>
      </c>
      <c r="AS38" s="51">
        <f t="shared" si="9"/>
        <v>255</v>
      </c>
      <c r="AT38" s="103">
        <f t="shared" si="167"/>
        <v>234</v>
      </c>
      <c r="AU38" s="46">
        <f t="shared" si="110"/>
        <v>21</v>
      </c>
      <c r="AV38" s="12">
        <f t="shared" si="10"/>
        <v>79</v>
      </c>
      <c r="AW38" s="103">
        <f t="shared" si="168"/>
        <v>66</v>
      </c>
      <c r="AX38" s="46">
        <f t="shared" si="75"/>
        <v>13</v>
      </c>
      <c r="AZ38" s="120">
        <f t="shared" si="169"/>
        <v>7</v>
      </c>
      <c r="BA38" s="7">
        <f t="shared" si="170"/>
        <v>4</v>
      </c>
      <c r="BB38" s="133"/>
      <c r="BC38" s="48">
        <f t="shared" si="134"/>
        <v>68894</v>
      </c>
      <c r="BD38" s="49">
        <f t="shared" si="137"/>
        <v>68774</v>
      </c>
      <c r="BE38" s="134"/>
      <c r="BF38" s="135">
        <v>120</v>
      </c>
      <c r="BG38" s="135"/>
      <c r="BH38" s="14">
        <f t="shared" si="85"/>
        <v>120</v>
      </c>
      <c r="BI38" s="14">
        <f t="shared" si="123"/>
        <v>344</v>
      </c>
      <c r="BJ38" s="14">
        <f t="shared" si="12"/>
        <v>0.3</v>
      </c>
      <c r="BK38" s="47">
        <f t="shared" si="50"/>
        <v>0.17418062530844486</v>
      </c>
      <c r="BL38" s="35">
        <f t="shared" si="13"/>
        <v>2.1999999999999997</v>
      </c>
      <c r="BM38" s="435">
        <f t="shared" si="160"/>
        <v>0.49807430573654188</v>
      </c>
      <c r="BN38" s="134">
        <v>2502</v>
      </c>
      <c r="BO38" s="14">
        <f t="shared" si="15"/>
        <v>29</v>
      </c>
      <c r="BP38" s="442">
        <f t="shared" si="51"/>
        <v>36.316660376810752</v>
      </c>
      <c r="BQ38" s="68">
        <f t="shared" si="66"/>
        <v>444.28784276837513</v>
      </c>
      <c r="BR38" s="51">
        <f t="shared" si="16"/>
        <v>255</v>
      </c>
      <c r="BS38" s="103">
        <f t="shared" si="171"/>
        <v>209</v>
      </c>
      <c r="BT38" s="46">
        <f t="shared" si="111"/>
        <v>46</v>
      </c>
      <c r="BU38" s="12">
        <f t="shared" si="18"/>
        <v>79</v>
      </c>
      <c r="BV38" s="103">
        <f t="shared" si="172"/>
        <v>59</v>
      </c>
      <c r="BW38" s="46">
        <f t="shared" si="76"/>
        <v>20</v>
      </c>
      <c r="BY38" s="120">
        <f t="shared" ref="BY38:BY39" si="181">BY37+1</f>
        <v>7</v>
      </c>
      <c r="BZ38" s="7">
        <f t="shared" si="173"/>
        <v>4</v>
      </c>
      <c r="CA38" s="484">
        <v>8750</v>
      </c>
      <c r="CB38" s="14">
        <f t="shared" si="77"/>
        <v>14849</v>
      </c>
      <c r="CC38" s="46">
        <f t="shared" si="86"/>
        <v>14847</v>
      </c>
      <c r="CD38" s="405"/>
      <c r="CE38" s="406">
        <v>2</v>
      </c>
      <c r="CF38" s="406"/>
      <c r="CG38" s="14">
        <f t="shared" si="87"/>
        <v>2</v>
      </c>
      <c r="CH38" s="14">
        <f t="shared" si="78"/>
        <v>7</v>
      </c>
      <c r="CI38" s="14">
        <f t="shared" ref="CI38:CI69" si="182">VLOOKUP($C38,LOHMANN,4,FALSE)</f>
        <v>0.3</v>
      </c>
      <c r="CJ38" s="47">
        <f t="shared" si="55"/>
        <v>0.13468920466024648</v>
      </c>
      <c r="CK38" s="35">
        <f t="shared" ref="CK38:CK69" si="183">VLOOKUP($C38,LOHMANN,5,FALSE)</f>
        <v>2.1999999999999997</v>
      </c>
      <c r="CL38" s="157">
        <f t="shared" si="69"/>
        <v>4.7141221631086271E-2</v>
      </c>
      <c r="CM38" s="134">
        <v>1440</v>
      </c>
      <c r="CN38" s="14">
        <f t="shared" ref="CN38:CN69" si="184">VLOOKUP($C38,LOHMANN,6,FALSE)</f>
        <v>29</v>
      </c>
      <c r="CO38" s="442">
        <f>IFERROR((CM38/CB38)*1000,0)</f>
        <v>96.976227355377461</v>
      </c>
      <c r="CP38" s="68">
        <f>CP37+CO38</f>
        <v>765.39038200806419</v>
      </c>
      <c r="CQ38" s="51">
        <f t="shared" ref="CQ38:CQ69" si="185">VLOOKUP($C38,LOHMANN,2,FALSE)</f>
        <v>255</v>
      </c>
      <c r="CR38" s="103">
        <f t="shared" si="174"/>
        <v>237</v>
      </c>
      <c r="CS38" s="46">
        <f t="shared" si="112"/>
        <v>18</v>
      </c>
      <c r="CT38" s="50">
        <f t="shared" ref="CT38:CT69" si="186">VLOOKUP(BZ38,LOHMANN,3,FALSE)</f>
        <v>79</v>
      </c>
      <c r="CU38" s="103">
        <f t="shared" si="175"/>
        <v>68</v>
      </c>
      <c r="CV38" s="46">
        <f t="shared" si="41"/>
        <v>11</v>
      </c>
    </row>
    <row r="39" spans="1:100" ht="17.25" thickBot="1" x14ac:dyDescent="0.3">
      <c r="B39" s="120">
        <f t="shared" si="161"/>
        <v>8</v>
      </c>
      <c r="C39" s="7">
        <f t="shared" si="162"/>
        <v>4</v>
      </c>
      <c r="D39" s="496"/>
      <c r="E39" s="48">
        <f>IFERROR(F38-D39,0)</f>
        <v>0</v>
      </c>
      <c r="F39" s="447">
        <f t="shared" si="80"/>
        <v>0</v>
      </c>
      <c r="G39" s="134"/>
      <c r="H39" s="135"/>
      <c r="I39" s="135"/>
      <c r="J39" s="14">
        <f t="shared" si="81"/>
        <v>0</v>
      </c>
      <c r="K39" s="14">
        <f t="shared" si="92"/>
        <v>9358</v>
      </c>
      <c r="L39" s="14">
        <f t="shared" si="176"/>
        <v>0.3</v>
      </c>
      <c r="M39" s="47">
        <f t="shared" si="26"/>
        <v>0</v>
      </c>
      <c r="N39" s="35">
        <f t="shared" si="177"/>
        <v>2.1999999999999997</v>
      </c>
      <c r="O39" s="157">
        <f t="shared" si="157"/>
        <v>0</v>
      </c>
      <c r="P39" s="134"/>
      <c r="Q39" s="14">
        <f t="shared" si="178"/>
        <v>29</v>
      </c>
      <c r="R39" s="482">
        <f t="shared" si="29"/>
        <v>0</v>
      </c>
      <c r="S39" s="470">
        <f t="shared" si="82"/>
        <v>0</v>
      </c>
      <c r="T39" s="51">
        <f t="shared" si="179"/>
        <v>255</v>
      </c>
      <c r="U39" s="103">
        <f t="shared" si="163"/>
        <v>0</v>
      </c>
      <c r="V39" s="46">
        <f t="shared" si="94"/>
        <v>255</v>
      </c>
      <c r="W39" s="50">
        <f t="shared" si="180"/>
        <v>79</v>
      </c>
      <c r="X39" s="103">
        <f t="shared" si="164"/>
        <v>0</v>
      </c>
      <c r="Y39" s="46">
        <f t="shared" si="31"/>
        <v>79</v>
      </c>
      <c r="Z39" s="487"/>
      <c r="AA39" s="120">
        <f t="shared" si="165"/>
        <v>8</v>
      </c>
      <c r="AB39" s="7">
        <f t="shared" si="166"/>
        <v>4</v>
      </c>
      <c r="AC39" s="484">
        <v>8936</v>
      </c>
      <c r="AD39" s="48">
        <f>IFERROR(AE38-AC39,0)</f>
        <v>88872</v>
      </c>
      <c r="AE39" s="447">
        <f t="shared" si="135"/>
        <v>88847</v>
      </c>
      <c r="AF39" s="134"/>
      <c r="AG39" s="135">
        <v>25</v>
      </c>
      <c r="AH39" s="135"/>
      <c r="AI39" s="14">
        <f t="shared" si="84"/>
        <v>25</v>
      </c>
      <c r="AJ39" s="14">
        <f t="shared" si="130"/>
        <v>250</v>
      </c>
      <c r="AK39" s="14">
        <f t="shared" si="6"/>
        <v>0.3</v>
      </c>
      <c r="AL39" s="47">
        <f t="shared" si="33"/>
        <v>2.8130344765505445E-2</v>
      </c>
      <c r="AM39" s="35">
        <f t="shared" si="7"/>
        <v>2.1999999999999997</v>
      </c>
      <c r="AN39" s="157">
        <f t="shared" si="136"/>
        <v>0.28130344765505444</v>
      </c>
      <c r="AO39" s="134">
        <v>1548</v>
      </c>
      <c r="AP39" s="14">
        <f t="shared" si="8"/>
        <v>29</v>
      </c>
      <c r="AQ39" s="482">
        <f t="shared" si="34"/>
        <v>17.418309478800971</v>
      </c>
      <c r="AR39" s="470">
        <f t="shared" si="133"/>
        <v>211.17961344436046</v>
      </c>
      <c r="AS39" s="51">
        <f t="shared" si="9"/>
        <v>255</v>
      </c>
      <c r="AT39" s="103">
        <f t="shared" si="167"/>
        <v>234</v>
      </c>
      <c r="AU39" s="46">
        <f t="shared" si="110"/>
        <v>21</v>
      </c>
      <c r="AV39" s="50">
        <f t="shared" si="10"/>
        <v>79</v>
      </c>
      <c r="AW39" s="103">
        <f t="shared" si="168"/>
        <v>66</v>
      </c>
      <c r="AX39" s="46">
        <f t="shared" si="75"/>
        <v>13</v>
      </c>
      <c r="AZ39" s="120">
        <f t="shared" si="169"/>
        <v>8</v>
      </c>
      <c r="BA39" s="7">
        <f t="shared" si="170"/>
        <v>4</v>
      </c>
      <c r="BB39" s="133"/>
      <c r="BC39" s="48">
        <f t="shared" si="134"/>
        <v>68774</v>
      </c>
      <c r="BD39" s="447">
        <f t="shared" si="137"/>
        <v>68736</v>
      </c>
      <c r="BE39" s="134"/>
      <c r="BF39" s="135">
        <v>38</v>
      </c>
      <c r="BG39" s="135"/>
      <c r="BH39" s="14">
        <f t="shared" si="85"/>
        <v>38</v>
      </c>
      <c r="BI39" s="14">
        <f t="shared" si="123"/>
        <v>382</v>
      </c>
      <c r="BJ39" s="14">
        <f t="shared" si="12"/>
        <v>0.3</v>
      </c>
      <c r="BK39" s="47">
        <f t="shared" si="50"/>
        <v>5.5253438799546341E-2</v>
      </c>
      <c r="BL39" s="35">
        <f t="shared" si="13"/>
        <v>2.1999999999999997</v>
      </c>
      <c r="BM39" s="435">
        <f t="shared" si="160"/>
        <v>0.55309414183534589</v>
      </c>
      <c r="BN39" s="134">
        <v>1935</v>
      </c>
      <c r="BO39" s="14">
        <f t="shared" si="15"/>
        <v>29</v>
      </c>
      <c r="BP39" s="442">
        <f t="shared" si="51"/>
        <v>28.135632651874253</v>
      </c>
      <c r="BQ39" s="68">
        <f t="shared" si="66"/>
        <v>472.42347542024936</v>
      </c>
      <c r="BR39" s="51">
        <f t="shared" si="16"/>
        <v>255</v>
      </c>
      <c r="BS39" s="103">
        <f t="shared" si="171"/>
        <v>209</v>
      </c>
      <c r="BT39" s="46">
        <f t="shared" si="111"/>
        <v>46</v>
      </c>
      <c r="BU39" s="50">
        <f t="shared" si="18"/>
        <v>79</v>
      </c>
      <c r="BV39" s="103">
        <f t="shared" si="172"/>
        <v>59</v>
      </c>
      <c r="BW39" s="46">
        <f t="shared" si="76"/>
        <v>20</v>
      </c>
      <c r="BY39" s="120">
        <f t="shared" si="181"/>
        <v>8</v>
      </c>
      <c r="BZ39" s="7">
        <f t="shared" si="173"/>
        <v>4</v>
      </c>
      <c r="CA39" s="484">
        <v>8936</v>
      </c>
      <c r="CB39" s="14">
        <f t="shared" si="77"/>
        <v>23783</v>
      </c>
      <c r="CC39" s="62">
        <f t="shared" si="86"/>
        <v>23778</v>
      </c>
      <c r="CD39" s="405"/>
      <c r="CE39" s="406">
        <v>5</v>
      </c>
      <c r="CF39" s="406"/>
      <c r="CG39" s="14">
        <f t="shared" si="87"/>
        <v>5</v>
      </c>
      <c r="CH39" s="14">
        <f t="shared" si="78"/>
        <v>12</v>
      </c>
      <c r="CI39" s="14">
        <f t="shared" si="182"/>
        <v>0.3</v>
      </c>
      <c r="CJ39" s="47">
        <f t="shared" si="55"/>
        <v>0.21023420089980238</v>
      </c>
      <c r="CK39" s="35">
        <f t="shared" si="183"/>
        <v>2.1999999999999997</v>
      </c>
      <c r="CL39" s="157">
        <f t="shared" si="69"/>
        <v>5.0456208215952571E-2</v>
      </c>
      <c r="CM39" s="134">
        <v>1080</v>
      </c>
      <c r="CN39" s="14">
        <f t="shared" si="184"/>
        <v>29</v>
      </c>
      <c r="CO39" s="442">
        <f t="shared" ref="CO39:CO101" si="187">IFERROR((CM39/CB39)*1000,0)</f>
        <v>45.410587394357314</v>
      </c>
      <c r="CP39" s="68">
        <f t="shared" si="56"/>
        <v>810.80096940242152</v>
      </c>
      <c r="CQ39" s="51">
        <f t="shared" si="185"/>
        <v>255</v>
      </c>
      <c r="CR39" s="103">
        <f t="shared" si="174"/>
        <v>237</v>
      </c>
      <c r="CS39" s="46">
        <f t="shared" si="112"/>
        <v>18</v>
      </c>
      <c r="CT39" s="51">
        <f t="shared" si="186"/>
        <v>79</v>
      </c>
      <c r="CU39" s="103">
        <f t="shared" si="175"/>
        <v>68</v>
      </c>
      <c r="CV39" s="46">
        <f t="shared" si="41"/>
        <v>11</v>
      </c>
    </row>
    <row r="40" spans="1:100" ht="17.25" thickBot="1" x14ac:dyDescent="0.3">
      <c r="B40" s="197">
        <f>B39+1</f>
        <v>9</v>
      </c>
      <c r="C40" s="8">
        <f t="shared" si="162"/>
        <v>4</v>
      </c>
      <c r="D40" s="497"/>
      <c r="E40" s="54">
        <f>IFERROR(F39-D40,0)</f>
        <v>0</v>
      </c>
      <c r="F40" s="55">
        <f t="shared" si="80"/>
        <v>0</v>
      </c>
      <c r="G40" s="137"/>
      <c r="H40" s="138"/>
      <c r="I40" s="138"/>
      <c r="J40" s="34">
        <f t="shared" si="81"/>
        <v>0</v>
      </c>
      <c r="K40" s="34">
        <f t="shared" si="92"/>
        <v>9358</v>
      </c>
      <c r="L40" s="34">
        <f t="shared" si="176"/>
        <v>0.3</v>
      </c>
      <c r="M40" s="166">
        <f t="shared" si="26"/>
        <v>0</v>
      </c>
      <c r="N40" s="40">
        <f t="shared" si="177"/>
        <v>2.1999999999999997</v>
      </c>
      <c r="O40" s="156">
        <f t="shared" si="157"/>
        <v>0</v>
      </c>
      <c r="P40" s="137"/>
      <c r="Q40" s="32">
        <f t="shared" si="178"/>
        <v>29</v>
      </c>
      <c r="R40" s="443">
        <f t="shared" si="29"/>
        <v>0</v>
      </c>
      <c r="S40" s="471">
        <f t="shared" si="82"/>
        <v>0</v>
      </c>
      <c r="T40" s="56">
        <f t="shared" si="179"/>
        <v>255</v>
      </c>
      <c r="U40" s="109">
        <f t="shared" si="163"/>
        <v>0</v>
      </c>
      <c r="V40" s="63">
        <f t="shared" si="94"/>
        <v>255</v>
      </c>
      <c r="W40" s="56">
        <f t="shared" si="180"/>
        <v>79</v>
      </c>
      <c r="X40" s="109">
        <f t="shared" si="164"/>
        <v>0</v>
      </c>
      <c r="Y40" s="63">
        <f t="shared" si="31"/>
        <v>79</v>
      </c>
      <c r="Z40" s="487"/>
      <c r="AA40" s="197">
        <f>AA39+1</f>
        <v>9</v>
      </c>
      <c r="AB40" s="8">
        <f t="shared" si="166"/>
        <v>4</v>
      </c>
      <c r="AC40" s="485">
        <v>5236</v>
      </c>
      <c r="AD40" s="67">
        <f>IFERROR(AE39-AC40,0)</f>
        <v>83611</v>
      </c>
      <c r="AE40" s="55">
        <f t="shared" si="135"/>
        <v>83597</v>
      </c>
      <c r="AF40" s="137"/>
      <c r="AG40" s="138">
        <v>14</v>
      </c>
      <c r="AH40" s="138"/>
      <c r="AI40" s="34">
        <f t="shared" si="84"/>
        <v>14</v>
      </c>
      <c r="AJ40" s="34">
        <f t="shared" si="130"/>
        <v>264</v>
      </c>
      <c r="AK40" s="17">
        <f t="shared" si="6"/>
        <v>0.3</v>
      </c>
      <c r="AL40" s="231">
        <f t="shared" si="33"/>
        <v>1.6744208297951226E-2</v>
      </c>
      <c r="AM40" s="33">
        <f t="shared" si="7"/>
        <v>2.1999999999999997</v>
      </c>
      <c r="AN40" s="156">
        <f t="shared" si="136"/>
        <v>0.31574792790422312</v>
      </c>
      <c r="AO40" s="137">
        <v>2322</v>
      </c>
      <c r="AP40" s="32">
        <f t="shared" si="8"/>
        <v>29</v>
      </c>
      <c r="AQ40" s="443">
        <f t="shared" si="34"/>
        <v>27.771465477030535</v>
      </c>
      <c r="AR40" s="471">
        <f t="shared" si="133"/>
        <v>238.951078921391</v>
      </c>
      <c r="AS40" s="50">
        <f t="shared" si="9"/>
        <v>255</v>
      </c>
      <c r="AT40" s="103">
        <f t="shared" si="167"/>
        <v>234</v>
      </c>
      <c r="AU40" s="63">
        <f t="shared" si="110"/>
        <v>21</v>
      </c>
      <c r="AV40" s="56">
        <f t="shared" si="10"/>
        <v>79</v>
      </c>
      <c r="AW40" s="103">
        <f t="shared" si="168"/>
        <v>66</v>
      </c>
      <c r="AX40" s="63">
        <f t="shared" si="75"/>
        <v>13</v>
      </c>
      <c r="AZ40" s="197">
        <f>AZ39+1</f>
        <v>9</v>
      </c>
      <c r="BA40" s="8">
        <f t="shared" si="170"/>
        <v>4</v>
      </c>
      <c r="BB40" s="136"/>
      <c r="BC40" s="54">
        <f t="shared" si="134"/>
        <v>68736</v>
      </c>
      <c r="BD40" s="55">
        <f t="shared" si="137"/>
        <v>68615</v>
      </c>
      <c r="BE40" s="137"/>
      <c r="BF40" s="138">
        <v>121</v>
      </c>
      <c r="BG40" s="138"/>
      <c r="BH40" s="34">
        <f t="shared" si="85"/>
        <v>121</v>
      </c>
      <c r="BI40" s="34">
        <f t="shared" si="123"/>
        <v>503</v>
      </c>
      <c r="BJ40" s="17">
        <f t="shared" si="12"/>
        <v>0.3</v>
      </c>
      <c r="BK40" s="96">
        <f t="shared" si="50"/>
        <v>0.17603584729981378</v>
      </c>
      <c r="BL40" s="33">
        <f t="shared" si="13"/>
        <v>2.1999999999999997</v>
      </c>
      <c r="BM40" s="435">
        <f t="shared" si="160"/>
        <v>0.7282888830973272</v>
      </c>
      <c r="BN40" s="137">
        <v>0</v>
      </c>
      <c r="BO40" s="32">
        <f t="shared" si="15"/>
        <v>29</v>
      </c>
      <c r="BP40" s="482">
        <f t="shared" si="51"/>
        <v>0</v>
      </c>
      <c r="BQ40" s="70">
        <f t="shared" si="66"/>
        <v>472.42347542024936</v>
      </c>
      <c r="BR40" s="50">
        <f t="shared" si="16"/>
        <v>255</v>
      </c>
      <c r="BS40" s="103">
        <f t="shared" si="171"/>
        <v>209</v>
      </c>
      <c r="BT40" s="63">
        <f t="shared" si="111"/>
        <v>46</v>
      </c>
      <c r="BU40" s="56">
        <f t="shared" si="18"/>
        <v>79</v>
      </c>
      <c r="BV40" s="103">
        <f t="shared" si="172"/>
        <v>59</v>
      </c>
      <c r="BW40" s="63">
        <f t="shared" si="76"/>
        <v>20</v>
      </c>
      <c r="BY40" s="197">
        <f>BY39+1</f>
        <v>9</v>
      </c>
      <c r="BZ40" s="8">
        <f t="shared" si="173"/>
        <v>4</v>
      </c>
      <c r="CA40" s="485">
        <v>5236</v>
      </c>
      <c r="CB40" s="32">
        <f t="shared" si="77"/>
        <v>29014</v>
      </c>
      <c r="CC40" s="53">
        <f t="shared" si="86"/>
        <v>29010</v>
      </c>
      <c r="CD40" s="421"/>
      <c r="CE40" s="426">
        <v>4</v>
      </c>
      <c r="CF40" s="426"/>
      <c r="CG40" s="34">
        <f t="shared" si="87"/>
        <v>4</v>
      </c>
      <c r="CH40" s="34">
        <f t="shared" si="78"/>
        <v>16</v>
      </c>
      <c r="CI40" s="32">
        <f t="shared" si="182"/>
        <v>0.3</v>
      </c>
      <c r="CJ40" s="96">
        <f t="shared" si="55"/>
        <v>0.13786447921692976</v>
      </c>
      <c r="CK40" s="36">
        <f t="shared" si="183"/>
        <v>2.1999999999999997</v>
      </c>
      <c r="CL40" s="156">
        <f t="shared" si="69"/>
        <v>5.5145791686771903E-2</v>
      </c>
      <c r="CM40" s="137">
        <v>900</v>
      </c>
      <c r="CN40" s="13">
        <f t="shared" si="184"/>
        <v>29</v>
      </c>
      <c r="CO40" s="482">
        <f>IFERROR((CM40/CB40)*1000,0)</f>
        <v>31.019507823809196</v>
      </c>
      <c r="CP40" s="70">
        <f t="shared" si="56"/>
        <v>841.82047722623076</v>
      </c>
      <c r="CQ40" s="56">
        <f t="shared" si="185"/>
        <v>255</v>
      </c>
      <c r="CR40" s="103">
        <f t="shared" si="174"/>
        <v>237</v>
      </c>
      <c r="CS40" s="63">
        <f t="shared" si="112"/>
        <v>18</v>
      </c>
      <c r="CT40" s="12">
        <f t="shared" si="186"/>
        <v>79</v>
      </c>
      <c r="CU40" s="103">
        <f t="shared" si="175"/>
        <v>68</v>
      </c>
      <c r="CV40" s="63">
        <f t="shared" si="41"/>
        <v>11</v>
      </c>
    </row>
    <row r="41" spans="1:100" ht="17.25" thickBot="1" x14ac:dyDescent="0.3">
      <c r="B41" s="118">
        <v>10</v>
      </c>
      <c r="C41" s="9">
        <v>5</v>
      </c>
      <c r="D41" s="498"/>
      <c r="E41" s="43">
        <f>IFERROR(F40-D41,0)</f>
        <v>0</v>
      </c>
      <c r="F41" s="44">
        <f t="shared" si="80"/>
        <v>0</v>
      </c>
      <c r="G41" s="130"/>
      <c r="H41" s="131"/>
      <c r="I41" s="131"/>
      <c r="J41" s="11">
        <f t="shared" si="81"/>
        <v>0</v>
      </c>
      <c r="K41" s="11">
        <f t="shared" si="92"/>
        <v>9358</v>
      </c>
      <c r="L41" s="16">
        <f t="shared" si="176"/>
        <v>0.18</v>
      </c>
      <c r="M41" s="153">
        <f t="shared" si="26"/>
        <v>0</v>
      </c>
      <c r="N41" s="154">
        <f t="shared" si="177"/>
        <v>2.38</v>
      </c>
      <c r="O41" s="132">
        <f t="shared" si="157"/>
        <v>0</v>
      </c>
      <c r="P41" s="130"/>
      <c r="Q41" s="11">
        <f t="shared" si="178"/>
        <v>34</v>
      </c>
      <c r="R41" s="481">
        <f t="shared" si="29"/>
        <v>0</v>
      </c>
      <c r="S41" s="469">
        <f t="shared" si="82"/>
        <v>0</v>
      </c>
      <c r="T41" s="58">
        <f t="shared" si="179"/>
        <v>334</v>
      </c>
      <c r="U41" s="131"/>
      <c r="V41" s="41">
        <f t="shared" si="94"/>
        <v>334</v>
      </c>
      <c r="W41" s="18">
        <f t="shared" si="180"/>
        <v>79</v>
      </c>
      <c r="X41" s="131"/>
      <c r="Y41" s="41">
        <f t="shared" si="31"/>
        <v>79</v>
      </c>
      <c r="Z41" s="487"/>
      <c r="AA41" s="118">
        <v>10</v>
      </c>
      <c r="AB41" s="9">
        <v>5</v>
      </c>
      <c r="AC41" s="486">
        <v>6048</v>
      </c>
      <c r="AD41" s="43">
        <f>IFERROR(AE40-AC41,0)</f>
        <v>77549</v>
      </c>
      <c r="AE41" s="44">
        <f t="shared" si="135"/>
        <v>77533</v>
      </c>
      <c r="AF41" s="130"/>
      <c r="AG41" s="131">
        <v>16</v>
      </c>
      <c r="AH41" s="131"/>
      <c r="AI41" s="11">
        <f t="shared" si="84"/>
        <v>16</v>
      </c>
      <c r="AJ41" s="11">
        <f t="shared" si="130"/>
        <v>280</v>
      </c>
      <c r="AK41" s="16">
        <f t="shared" si="6"/>
        <v>0.18</v>
      </c>
      <c r="AL41" s="153">
        <f t="shared" si="33"/>
        <v>2.0632116468297462E-2</v>
      </c>
      <c r="AM41" s="154">
        <f t="shared" si="7"/>
        <v>2.38</v>
      </c>
      <c r="AN41" s="155">
        <f t="shared" si="136"/>
        <v>0.3610620381952056</v>
      </c>
      <c r="AO41" s="130">
        <v>3483</v>
      </c>
      <c r="AP41" s="17">
        <f t="shared" si="8"/>
        <v>34</v>
      </c>
      <c r="AQ41" s="481">
        <f t="shared" si="34"/>
        <v>44.913538536925039</v>
      </c>
      <c r="AR41" s="469">
        <f t="shared" si="133"/>
        <v>283.86461745831605</v>
      </c>
      <c r="AS41" s="58">
        <f t="shared" si="9"/>
        <v>334</v>
      </c>
      <c r="AT41" s="131">
        <v>312</v>
      </c>
      <c r="AU41" s="41">
        <f t="shared" si="110"/>
        <v>22</v>
      </c>
      <c r="AV41" s="18">
        <f t="shared" si="10"/>
        <v>79</v>
      </c>
      <c r="AW41" s="131">
        <v>64</v>
      </c>
      <c r="AX41" s="41">
        <f t="shared" si="75"/>
        <v>15</v>
      </c>
      <c r="AZ41" s="118">
        <v>10</v>
      </c>
      <c r="BA41" s="9">
        <v>5</v>
      </c>
      <c r="BB41" s="129"/>
      <c r="BC41" s="43">
        <f t="shared" si="134"/>
        <v>68615</v>
      </c>
      <c r="BD41" s="44">
        <f t="shared" si="137"/>
        <v>68563</v>
      </c>
      <c r="BE41" s="130"/>
      <c r="BF41" s="131">
        <v>52</v>
      </c>
      <c r="BG41" s="131"/>
      <c r="BH41" s="11">
        <f t="shared" si="85"/>
        <v>52</v>
      </c>
      <c r="BI41" s="11">
        <f t="shared" si="123"/>
        <v>555</v>
      </c>
      <c r="BJ41" s="16">
        <f t="shared" si="12"/>
        <v>0.18</v>
      </c>
      <c r="BK41" s="235">
        <f t="shared" si="50"/>
        <v>7.5785178168039063E-2</v>
      </c>
      <c r="BL41" s="154">
        <f t="shared" si="13"/>
        <v>2.38</v>
      </c>
      <c r="BM41" s="435">
        <f t="shared" si="160"/>
        <v>0.80357918512726956</v>
      </c>
      <c r="BN41" s="130">
        <v>4851</v>
      </c>
      <c r="BO41" s="17">
        <f t="shared" si="15"/>
        <v>34</v>
      </c>
      <c r="BP41" s="441">
        <f t="shared" si="51"/>
        <v>70.698826787145677</v>
      </c>
      <c r="BQ41" s="377">
        <f t="shared" si="66"/>
        <v>543.12230220739502</v>
      </c>
      <c r="BR41" s="58">
        <f t="shared" si="16"/>
        <v>334</v>
      </c>
      <c r="BS41" s="131">
        <v>286</v>
      </c>
      <c r="BT41" s="41">
        <f t="shared" si="111"/>
        <v>48</v>
      </c>
      <c r="BU41" s="18">
        <f t="shared" si="18"/>
        <v>79</v>
      </c>
      <c r="BV41" s="131">
        <v>84</v>
      </c>
      <c r="BW41" s="41">
        <f t="shared" si="76"/>
        <v>-5</v>
      </c>
      <c r="BY41" s="118">
        <v>10</v>
      </c>
      <c r="BZ41" s="9">
        <v>5</v>
      </c>
      <c r="CA41" s="486">
        <v>6048</v>
      </c>
      <c r="CB41" s="11">
        <f t="shared" si="77"/>
        <v>35058</v>
      </c>
      <c r="CC41" s="41">
        <f t="shared" si="86"/>
        <v>35058</v>
      </c>
      <c r="CD41" s="398"/>
      <c r="CE41" s="399">
        <v>0</v>
      </c>
      <c r="CF41" s="399"/>
      <c r="CG41" s="11">
        <f t="shared" si="87"/>
        <v>0</v>
      </c>
      <c r="CH41" s="11">
        <f t="shared" si="78"/>
        <v>16</v>
      </c>
      <c r="CI41" s="17">
        <f t="shared" si="182"/>
        <v>0.18</v>
      </c>
      <c r="CJ41" s="235">
        <f t="shared" si="55"/>
        <v>0</v>
      </c>
      <c r="CK41" s="33">
        <f t="shared" si="183"/>
        <v>2.38</v>
      </c>
      <c r="CL41" s="155">
        <f t="shared" si="69"/>
        <v>4.563865594158252E-2</v>
      </c>
      <c r="CM41" s="130">
        <v>1800</v>
      </c>
      <c r="CN41" s="11">
        <f t="shared" si="184"/>
        <v>34</v>
      </c>
      <c r="CO41" s="441">
        <f t="shared" si="187"/>
        <v>51.343487934280333</v>
      </c>
      <c r="CP41" s="377">
        <f t="shared" si="56"/>
        <v>893.16396516051111</v>
      </c>
      <c r="CQ41" s="61">
        <f t="shared" si="185"/>
        <v>334</v>
      </c>
      <c r="CR41" s="131">
        <v>352</v>
      </c>
      <c r="CS41" s="41">
        <f t="shared" si="112"/>
        <v>-18</v>
      </c>
      <c r="CT41" s="18">
        <f t="shared" si="186"/>
        <v>79</v>
      </c>
      <c r="CU41" s="131">
        <v>48</v>
      </c>
      <c r="CV41" s="41">
        <f t="shared" si="41"/>
        <v>31</v>
      </c>
    </row>
    <row r="42" spans="1:100" ht="17.25" thickBot="1" x14ac:dyDescent="0.3">
      <c r="B42" s="120">
        <f>B41+1</f>
        <v>11</v>
      </c>
      <c r="C42" s="7">
        <f>C41</f>
        <v>5</v>
      </c>
      <c r="D42" s="229"/>
      <c r="E42" s="48">
        <f t="shared" si="106"/>
        <v>0</v>
      </c>
      <c r="F42" s="447">
        <f t="shared" si="80"/>
        <v>0</v>
      </c>
      <c r="G42" s="134"/>
      <c r="H42" s="135"/>
      <c r="I42" s="135"/>
      <c r="J42" s="14">
        <f t="shared" si="81"/>
        <v>0</v>
      </c>
      <c r="K42" s="14">
        <f t="shared" si="92"/>
        <v>9358</v>
      </c>
      <c r="L42" s="14">
        <f t="shared" si="176"/>
        <v>0.18</v>
      </c>
      <c r="M42" s="47">
        <f t="shared" si="26"/>
        <v>0</v>
      </c>
      <c r="N42" s="35">
        <f t="shared" si="177"/>
        <v>2.38</v>
      </c>
      <c r="O42" s="157">
        <f t="shared" si="157"/>
        <v>0</v>
      </c>
      <c r="P42" s="134"/>
      <c r="Q42" s="14">
        <f t="shared" si="178"/>
        <v>34</v>
      </c>
      <c r="R42" s="482">
        <f t="shared" si="29"/>
        <v>0</v>
      </c>
      <c r="S42" s="470">
        <f t="shared" si="82"/>
        <v>0</v>
      </c>
      <c r="T42" s="51">
        <f t="shared" si="179"/>
        <v>334</v>
      </c>
      <c r="U42" s="103">
        <f>U41</f>
        <v>0</v>
      </c>
      <c r="V42" s="46">
        <f t="shared" si="94"/>
        <v>334</v>
      </c>
      <c r="W42" s="50">
        <f t="shared" si="180"/>
        <v>79</v>
      </c>
      <c r="X42" s="103">
        <f>X41</f>
        <v>0</v>
      </c>
      <c r="Y42" s="46">
        <f t="shared" si="31"/>
        <v>79</v>
      </c>
      <c r="Z42" s="487"/>
      <c r="AA42" s="120">
        <f>AA41+1</f>
        <v>11</v>
      </c>
      <c r="AB42" s="7">
        <f>AB41</f>
        <v>5</v>
      </c>
      <c r="AC42" s="133"/>
      <c r="AD42" s="48">
        <f t="shared" si="132"/>
        <v>77533</v>
      </c>
      <c r="AE42" s="447">
        <f t="shared" si="135"/>
        <v>77512</v>
      </c>
      <c r="AF42" s="134"/>
      <c r="AG42" s="135">
        <v>21</v>
      </c>
      <c r="AH42" s="135"/>
      <c r="AI42" s="14">
        <f t="shared" si="84"/>
        <v>21</v>
      </c>
      <c r="AJ42" s="14">
        <f t="shared" si="130"/>
        <v>301</v>
      </c>
      <c r="AK42" s="14">
        <f t="shared" si="6"/>
        <v>0.18</v>
      </c>
      <c r="AL42" s="47">
        <f t="shared" si="33"/>
        <v>2.7085241123134665E-2</v>
      </c>
      <c r="AM42" s="35">
        <f t="shared" si="7"/>
        <v>2.38</v>
      </c>
      <c r="AN42" s="157">
        <f t="shared" si="136"/>
        <v>0.38822178943159685</v>
      </c>
      <c r="AO42" s="134">
        <v>5211</v>
      </c>
      <c r="AP42" s="14">
        <f t="shared" si="8"/>
        <v>34</v>
      </c>
      <c r="AQ42" s="482">
        <f t="shared" si="34"/>
        <v>67.210091186978445</v>
      </c>
      <c r="AR42" s="470">
        <f t="shared" si="133"/>
        <v>351.07470864529449</v>
      </c>
      <c r="AS42" s="51">
        <f t="shared" si="9"/>
        <v>334</v>
      </c>
      <c r="AT42" s="103">
        <f>AT41</f>
        <v>312</v>
      </c>
      <c r="AU42" s="46">
        <f t="shared" si="110"/>
        <v>22</v>
      </c>
      <c r="AV42" s="50">
        <f t="shared" si="10"/>
        <v>79</v>
      </c>
      <c r="AW42" s="103">
        <f>AW41</f>
        <v>64</v>
      </c>
      <c r="AX42" s="46">
        <f t="shared" si="75"/>
        <v>15</v>
      </c>
      <c r="AZ42" s="120">
        <f>AZ41+1</f>
        <v>11</v>
      </c>
      <c r="BA42" s="7">
        <f>BA41</f>
        <v>5</v>
      </c>
      <c r="BB42" s="133"/>
      <c r="BC42" s="48">
        <f t="shared" si="134"/>
        <v>68563</v>
      </c>
      <c r="BD42" s="447">
        <f t="shared" si="137"/>
        <v>68540</v>
      </c>
      <c r="BE42" s="134"/>
      <c r="BF42" s="135">
        <v>23</v>
      </c>
      <c r="BG42" s="135"/>
      <c r="BH42" s="14">
        <f t="shared" si="85"/>
        <v>23</v>
      </c>
      <c r="BI42" s="14">
        <f t="shared" si="123"/>
        <v>578</v>
      </c>
      <c r="BJ42" s="14">
        <f t="shared" si="12"/>
        <v>0.18</v>
      </c>
      <c r="BK42" s="47">
        <f t="shared" si="50"/>
        <v>3.3545790003354579E-2</v>
      </c>
      <c r="BL42" s="35">
        <f t="shared" si="13"/>
        <v>2.38</v>
      </c>
      <c r="BM42" s="435">
        <f t="shared" si="160"/>
        <v>0.83688066487128254</v>
      </c>
      <c r="BN42" s="134">
        <v>1620</v>
      </c>
      <c r="BO42" s="14">
        <f t="shared" si="15"/>
        <v>34</v>
      </c>
      <c r="BP42" s="442">
        <f t="shared" si="51"/>
        <v>23.627904263232356</v>
      </c>
      <c r="BQ42" s="68">
        <f t="shared" si="66"/>
        <v>566.7502064706274</v>
      </c>
      <c r="BR42" s="51">
        <f t="shared" si="16"/>
        <v>334</v>
      </c>
      <c r="BS42" s="103">
        <f>BS41</f>
        <v>286</v>
      </c>
      <c r="BT42" s="46">
        <f t="shared" si="111"/>
        <v>48</v>
      </c>
      <c r="BU42" s="50">
        <f t="shared" si="18"/>
        <v>79</v>
      </c>
      <c r="BV42" s="103">
        <f>BV41</f>
        <v>84</v>
      </c>
      <c r="BW42" s="46">
        <f t="shared" si="76"/>
        <v>-5</v>
      </c>
      <c r="BY42" s="120">
        <f>BY41+1</f>
        <v>11</v>
      </c>
      <c r="BZ42" s="7">
        <f>BZ41</f>
        <v>5</v>
      </c>
      <c r="CA42" s="133"/>
      <c r="CB42" s="14">
        <f t="shared" si="77"/>
        <v>35058</v>
      </c>
      <c r="CC42" s="62">
        <f t="shared" si="86"/>
        <v>35052</v>
      </c>
      <c r="CD42" s="405"/>
      <c r="CE42" s="406">
        <v>6</v>
      </c>
      <c r="CF42" s="406"/>
      <c r="CG42" s="14">
        <f t="shared" si="87"/>
        <v>6</v>
      </c>
      <c r="CH42" s="14">
        <f t="shared" si="78"/>
        <v>22</v>
      </c>
      <c r="CI42" s="14">
        <f t="shared" si="182"/>
        <v>0.18</v>
      </c>
      <c r="CJ42" s="47">
        <f t="shared" si="55"/>
        <v>0.17114495978093444</v>
      </c>
      <c r="CK42" s="35">
        <f t="shared" si="183"/>
        <v>2.38</v>
      </c>
      <c r="CL42" s="157">
        <f t="shared" si="69"/>
        <v>6.2753151919675967E-2</v>
      </c>
      <c r="CM42" s="134">
        <v>1080</v>
      </c>
      <c r="CN42" s="14">
        <f t="shared" si="184"/>
        <v>34</v>
      </c>
      <c r="CO42" s="442">
        <f t="shared" si="187"/>
        <v>30.806092760568202</v>
      </c>
      <c r="CP42" s="68">
        <f t="shared" si="56"/>
        <v>923.97005792107927</v>
      </c>
      <c r="CQ42" s="51">
        <f t="shared" si="185"/>
        <v>334</v>
      </c>
      <c r="CR42" s="103">
        <f>CR41</f>
        <v>352</v>
      </c>
      <c r="CS42" s="46">
        <f t="shared" si="112"/>
        <v>-18</v>
      </c>
      <c r="CT42" s="51">
        <f t="shared" si="186"/>
        <v>79</v>
      </c>
      <c r="CU42" s="103">
        <f>CU41</f>
        <v>48</v>
      </c>
      <c r="CV42" s="46">
        <f t="shared" si="41"/>
        <v>31</v>
      </c>
    </row>
    <row r="43" spans="1:100" ht="17.25" thickBot="1" x14ac:dyDescent="0.3">
      <c r="B43" s="120">
        <f t="shared" ref="B43:B47" si="188">B42+1</f>
        <v>12</v>
      </c>
      <c r="C43" s="7">
        <f t="shared" ref="C43:C47" si="189">C42</f>
        <v>5</v>
      </c>
      <c r="D43" s="496"/>
      <c r="E43" s="48">
        <f>IFERROR(F42-D43,0)</f>
        <v>0</v>
      </c>
      <c r="F43" s="196">
        <f t="shared" si="80"/>
        <v>0</v>
      </c>
      <c r="G43" s="134"/>
      <c r="H43" s="135"/>
      <c r="I43" s="135"/>
      <c r="J43" s="14">
        <f t="shared" si="81"/>
        <v>0</v>
      </c>
      <c r="K43" s="14">
        <f t="shared" si="92"/>
        <v>9358</v>
      </c>
      <c r="L43" s="14">
        <f t="shared" si="176"/>
        <v>0.18</v>
      </c>
      <c r="M43" s="231">
        <f t="shared" si="26"/>
        <v>0</v>
      </c>
      <c r="N43" s="35">
        <f t="shared" si="177"/>
        <v>2.38</v>
      </c>
      <c r="O43" s="157">
        <f t="shared" si="157"/>
        <v>0</v>
      </c>
      <c r="P43" s="134"/>
      <c r="Q43" s="14">
        <f t="shared" si="178"/>
        <v>34</v>
      </c>
      <c r="R43" s="482">
        <f t="shared" si="29"/>
        <v>0</v>
      </c>
      <c r="S43" s="470">
        <f t="shared" si="82"/>
        <v>0</v>
      </c>
      <c r="T43" s="51">
        <f t="shared" si="179"/>
        <v>334</v>
      </c>
      <c r="U43" s="103">
        <f t="shared" ref="U43:U47" si="190">U42</f>
        <v>0</v>
      </c>
      <c r="V43" s="46">
        <f t="shared" si="94"/>
        <v>334</v>
      </c>
      <c r="W43" s="50">
        <f t="shared" si="180"/>
        <v>79</v>
      </c>
      <c r="X43" s="103">
        <f t="shared" ref="X43:X47" si="191">X42</f>
        <v>0</v>
      </c>
      <c r="Y43" s="46">
        <f t="shared" si="31"/>
        <v>79</v>
      </c>
      <c r="Z43" s="487"/>
      <c r="AA43" s="120">
        <f t="shared" ref="AA43:AA47" si="192">AA42+1</f>
        <v>12</v>
      </c>
      <c r="AB43" s="7">
        <f t="shared" ref="AB43:AB47" si="193">AB42</f>
        <v>5</v>
      </c>
      <c r="AC43" s="484">
        <v>2352</v>
      </c>
      <c r="AD43" s="48">
        <f>IFERROR(AE42-AC43,0)</f>
        <v>75160</v>
      </c>
      <c r="AE43" s="196">
        <f t="shared" si="135"/>
        <v>75149</v>
      </c>
      <c r="AF43" s="134"/>
      <c r="AG43" s="135">
        <v>11</v>
      </c>
      <c r="AH43" s="135"/>
      <c r="AI43" s="14">
        <f t="shared" si="84"/>
        <v>11</v>
      </c>
      <c r="AJ43" s="14">
        <f t="shared" si="130"/>
        <v>312</v>
      </c>
      <c r="AK43" s="14">
        <f t="shared" si="6"/>
        <v>0.18</v>
      </c>
      <c r="AL43" s="231">
        <f t="shared" si="33"/>
        <v>1.4635444385311336E-2</v>
      </c>
      <c r="AM43" s="35">
        <f t="shared" si="7"/>
        <v>2.38</v>
      </c>
      <c r="AN43" s="157">
        <f t="shared" si="136"/>
        <v>0.41511442256519426</v>
      </c>
      <c r="AO43" s="134">
        <v>2709</v>
      </c>
      <c r="AP43" s="14">
        <f t="shared" si="8"/>
        <v>34</v>
      </c>
      <c r="AQ43" s="482">
        <f>IFERROR((AO43/AD43)*1000,0)</f>
        <v>36.043108036189466</v>
      </c>
      <c r="AR43" s="470">
        <f t="shared" si="133"/>
        <v>387.11781668148399</v>
      </c>
      <c r="AS43" s="51">
        <f t="shared" si="9"/>
        <v>334</v>
      </c>
      <c r="AT43" s="103">
        <f t="shared" ref="AT43:AT47" si="194">AT42</f>
        <v>312</v>
      </c>
      <c r="AU43" s="46">
        <f t="shared" si="110"/>
        <v>22</v>
      </c>
      <c r="AV43" s="50">
        <f t="shared" si="10"/>
        <v>79</v>
      </c>
      <c r="AW43" s="103">
        <f t="shared" ref="AW43:AW47" si="195">AW42</f>
        <v>64</v>
      </c>
      <c r="AX43" s="46">
        <f t="shared" si="75"/>
        <v>15</v>
      </c>
      <c r="AZ43" s="120">
        <f t="shared" ref="AZ43:AZ47" si="196">AZ42+1</f>
        <v>12</v>
      </c>
      <c r="BA43" s="7">
        <f t="shared" ref="BA43:BA47" si="197">BA42</f>
        <v>5</v>
      </c>
      <c r="BB43" s="133"/>
      <c r="BC43" s="48">
        <f t="shared" si="134"/>
        <v>68540</v>
      </c>
      <c r="BD43" s="196">
        <f t="shared" si="137"/>
        <v>68426</v>
      </c>
      <c r="BE43" s="134"/>
      <c r="BF43" s="135">
        <v>114</v>
      </c>
      <c r="BG43" s="135"/>
      <c r="BH43" s="14">
        <f t="shared" si="85"/>
        <v>114</v>
      </c>
      <c r="BI43" s="14">
        <f t="shared" si="123"/>
        <v>692</v>
      </c>
      <c r="BJ43" s="14">
        <f t="shared" si="12"/>
        <v>0.18</v>
      </c>
      <c r="BK43" s="47">
        <f t="shared" si="50"/>
        <v>0.16632623285672599</v>
      </c>
      <c r="BL43" s="35">
        <f t="shared" si="13"/>
        <v>2.38</v>
      </c>
      <c r="BM43" s="435">
        <f t="shared" si="160"/>
        <v>1.0019401731676947</v>
      </c>
      <c r="BN43" s="134">
        <v>2700</v>
      </c>
      <c r="BO43" s="14">
        <f t="shared" si="15"/>
        <v>34</v>
      </c>
      <c r="BP43" s="442">
        <f t="shared" si="51"/>
        <v>39.393055150277213</v>
      </c>
      <c r="BQ43" s="68">
        <f t="shared" si="66"/>
        <v>606.14326162090458</v>
      </c>
      <c r="BR43" s="51">
        <f t="shared" si="16"/>
        <v>334</v>
      </c>
      <c r="BS43" s="103">
        <f t="shared" ref="BS43:BS47" si="198">BS42</f>
        <v>286</v>
      </c>
      <c r="BT43" s="46">
        <f t="shared" si="111"/>
        <v>48</v>
      </c>
      <c r="BU43" s="50">
        <f t="shared" si="18"/>
        <v>79</v>
      </c>
      <c r="BV43" s="103">
        <f t="shared" ref="BV43:BV47" si="199">BV42</f>
        <v>84</v>
      </c>
      <c r="BW43" s="46">
        <f t="shared" si="76"/>
        <v>-5</v>
      </c>
      <c r="BY43" s="120">
        <f>BY42+1</f>
        <v>12</v>
      </c>
      <c r="BZ43" s="7">
        <f t="shared" ref="BZ43:BZ47" si="200">BZ42</f>
        <v>5</v>
      </c>
      <c r="CA43" s="484">
        <v>2352</v>
      </c>
      <c r="CB43" s="14">
        <f t="shared" si="77"/>
        <v>37404</v>
      </c>
      <c r="CC43" s="59">
        <f t="shared" si="86"/>
        <v>37393</v>
      </c>
      <c r="CD43" s="405"/>
      <c r="CE43" s="406">
        <v>11</v>
      </c>
      <c r="CF43" s="406"/>
      <c r="CG43" s="14">
        <f t="shared" si="87"/>
        <v>11</v>
      </c>
      <c r="CH43" s="14">
        <f t="shared" si="78"/>
        <v>33</v>
      </c>
      <c r="CI43" s="14">
        <f t="shared" si="182"/>
        <v>0.18</v>
      </c>
      <c r="CJ43" s="47">
        <f t="shared" si="55"/>
        <v>0.29408619398994762</v>
      </c>
      <c r="CK43" s="35">
        <f t="shared" si="183"/>
        <v>2.38</v>
      </c>
      <c r="CL43" s="157">
        <f t="shared" si="69"/>
        <v>8.822585819698428E-2</v>
      </c>
      <c r="CM43" s="134">
        <v>0</v>
      </c>
      <c r="CN43" s="14">
        <f t="shared" si="184"/>
        <v>34</v>
      </c>
      <c r="CO43" s="442">
        <f t="shared" si="187"/>
        <v>0</v>
      </c>
      <c r="CP43" s="68">
        <f t="shared" si="56"/>
        <v>923.97005792107927</v>
      </c>
      <c r="CQ43" s="51">
        <f t="shared" si="185"/>
        <v>334</v>
      </c>
      <c r="CR43" s="103">
        <f t="shared" ref="CR43:CR47" si="201">CR42</f>
        <v>352</v>
      </c>
      <c r="CS43" s="46">
        <f t="shared" si="112"/>
        <v>-18</v>
      </c>
      <c r="CT43" s="12">
        <f t="shared" si="186"/>
        <v>79</v>
      </c>
      <c r="CU43" s="103">
        <f t="shared" ref="CU43:CU47" si="202">CU42</f>
        <v>48</v>
      </c>
      <c r="CV43" s="46">
        <f t="shared" si="41"/>
        <v>31</v>
      </c>
    </row>
    <row r="44" spans="1:100" ht="17.25" thickBot="1" x14ac:dyDescent="0.3">
      <c r="A44" s="423"/>
      <c r="B44" s="120">
        <f t="shared" si="188"/>
        <v>13</v>
      </c>
      <c r="C44" s="404">
        <f t="shared" si="189"/>
        <v>5</v>
      </c>
      <c r="D44" s="496"/>
      <c r="E44" s="48">
        <f>IFERROR(F43-D44,0)</f>
        <v>0</v>
      </c>
      <c r="F44" s="450">
        <f t="shared" si="80"/>
        <v>0</v>
      </c>
      <c r="G44" s="405"/>
      <c r="H44" s="406"/>
      <c r="I44" s="406"/>
      <c r="J44" s="380">
        <f t="shared" si="81"/>
        <v>0</v>
      </c>
      <c r="K44" s="380">
        <f t="shared" si="92"/>
        <v>9358</v>
      </c>
      <c r="L44" s="380">
        <f t="shared" si="176"/>
        <v>0.18</v>
      </c>
      <c r="M44" s="47">
        <f t="shared" si="26"/>
        <v>0</v>
      </c>
      <c r="N44" s="407">
        <f t="shared" si="177"/>
        <v>2.38</v>
      </c>
      <c r="O44" s="424">
        <f t="shared" si="157"/>
        <v>0</v>
      </c>
      <c r="P44" s="405"/>
      <c r="Q44" s="380">
        <f t="shared" si="178"/>
        <v>34</v>
      </c>
      <c r="R44" s="482">
        <f t="shared" si="29"/>
        <v>0</v>
      </c>
      <c r="S44" s="474">
        <f t="shared" si="82"/>
        <v>0</v>
      </c>
      <c r="T44" s="182">
        <f t="shared" si="179"/>
        <v>334</v>
      </c>
      <c r="U44" s="181">
        <f t="shared" si="190"/>
        <v>0</v>
      </c>
      <c r="V44" s="206">
        <f t="shared" si="94"/>
        <v>334</v>
      </c>
      <c r="W44" s="182">
        <f t="shared" si="180"/>
        <v>79</v>
      </c>
      <c r="X44" s="181">
        <f t="shared" si="191"/>
        <v>0</v>
      </c>
      <c r="Y44" s="206">
        <f t="shared" si="31"/>
        <v>79</v>
      </c>
      <c r="Z44" s="487"/>
      <c r="AA44" s="120">
        <f t="shared" si="192"/>
        <v>13</v>
      </c>
      <c r="AB44" s="404">
        <f t="shared" si="193"/>
        <v>5</v>
      </c>
      <c r="AC44" s="484">
        <v>4480</v>
      </c>
      <c r="AD44" s="48">
        <f>IFERROR(AE43-AC44,0)</f>
        <v>70669</v>
      </c>
      <c r="AE44" s="450">
        <f t="shared" si="135"/>
        <v>70651</v>
      </c>
      <c r="AF44" s="405"/>
      <c r="AG44" s="406">
        <v>18</v>
      </c>
      <c r="AH44" s="406"/>
      <c r="AI44" s="380">
        <f t="shared" si="84"/>
        <v>18</v>
      </c>
      <c r="AJ44" s="380">
        <f t="shared" si="130"/>
        <v>330</v>
      </c>
      <c r="AK44" s="380">
        <f t="shared" si="6"/>
        <v>0.18</v>
      </c>
      <c r="AL44" s="47">
        <f t="shared" si="33"/>
        <v>2.5470857094341225E-2</v>
      </c>
      <c r="AM44" s="407">
        <f t="shared" si="7"/>
        <v>2.38</v>
      </c>
      <c r="AN44" s="424">
        <f t="shared" si="136"/>
        <v>0.46696571339625581</v>
      </c>
      <c r="AO44" s="405">
        <v>828</v>
      </c>
      <c r="AP44" s="380">
        <f t="shared" si="8"/>
        <v>34</v>
      </c>
      <c r="AQ44" s="482">
        <f t="shared" si="34"/>
        <v>11.716594263396962</v>
      </c>
      <c r="AR44" s="474">
        <f t="shared" si="133"/>
        <v>398.83441094488097</v>
      </c>
      <c r="AS44" s="182">
        <f t="shared" si="9"/>
        <v>334</v>
      </c>
      <c r="AT44" s="181">
        <f t="shared" si="194"/>
        <v>312</v>
      </c>
      <c r="AU44" s="206">
        <f t="shared" si="110"/>
        <v>22</v>
      </c>
      <c r="AV44" s="182">
        <f t="shared" si="10"/>
        <v>79</v>
      </c>
      <c r="AW44" s="181">
        <f t="shared" si="195"/>
        <v>64</v>
      </c>
      <c r="AX44" s="206">
        <f t="shared" si="75"/>
        <v>15</v>
      </c>
      <c r="AY44" s="412"/>
      <c r="AZ44" s="120">
        <f t="shared" si="196"/>
        <v>13</v>
      </c>
      <c r="BA44" s="404">
        <f t="shared" si="197"/>
        <v>5</v>
      </c>
      <c r="BB44" s="229"/>
      <c r="BC44" s="408">
        <f t="shared" si="134"/>
        <v>68426</v>
      </c>
      <c r="BD44" s="450">
        <f t="shared" si="137"/>
        <v>68392</v>
      </c>
      <c r="BE44" s="405"/>
      <c r="BF44" s="406">
        <v>34</v>
      </c>
      <c r="BG44" s="406"/>
      <c r="BH44" s="380">
        <f t="shared" si="85"/>
        <v>34</v>
      </c>
      <c r="BI44" s="380">
        <f t="shared" si="123"/>
        <v>726</v>
      </c>
      <c r="BJ44" s="380">
        <f t="shared" si="12"/>
        <v>0.18</v>
      </c>
      <c r="BK44" s="47">
        <f t="shared" si="50"/>
        <v>4.9688714816005612E-2</v>
      </c>
      <c r="BL44" s="407">
        <f t="shared" si="13"/>
        <v>2.38</v>
      </c>
      <c r="BM44" s="435">
        <f t="shared" si="160"/>
        <v>1.0511684475718877</v>
      </c>
      <c r="BN44" s="405">
        <v>3060</v>
      </c>
      <c r="BO44" s="380">
        <f t="shared" si="15"/>
        <v>34</v>
      </c>
      <c r="BP44" s="442">
        <f t="shared" si="51"/>
        <v>44.719843334405049</v>
      </c>
      <c r="BQ44" s="409">
        <f t="shared" si="66"/>
        <v>650.86310495530961</v>
      </c>
      <c r="BR44" s="182">
        <f t="shared" si="16"/>
        <v>334</v>
      </c>
      <c r="BS44" s="181">
        <f t="shared" si="198"/>
        <v>286</v>
      </c>
      <c r="BT44" s="206">
        <f t="shared" si="111"/>
        <v>48</v>
      </c>
      <c r="BU44" s="182">
        <f t="shared" si="18"/>
        <v>79</v>
      </c>
      <c r="BV44" s="181">
        <f t="shared" si="199"/>
        <v>84</v>
      </c>
      <c r="BW44" s="206">
        <f t="shared" si="76"/>
        <v>-5</v>
      </c>
      <c r="BX44" s="412"/>
      <c r="BY44" s="403">
        <f>BY43+1</f>
        <v>13</v>
      </c>
      <c r="BZ44" s="404">
        <f t="shared" si="200"/>
        <v>5</v>
      </c>
      <c r="CA44" s="484">
        <v>4480</v>
      </c>
      <c r="CB44" s="380">
        <f>IFERROR(CC43+CA44,0)</f>
        <v>41873</v>
      </c>
      <c r="CC44" s="267">
        <f t="shared" si="86"/>
        <v>41873</v>
      </c>
      <c r="CD44" s="405"/>
      <c r="CE44" s="406">
        <v>0</v>
      </c>
      <c r="CF44" s="406"/>
      <c r="CG44" s="380">
        <f t="shared" si="87"/>
        <v>0</v>
      </c>
      <c r="CH44" s="380">
        <f t="shared" si="78"/>
        <v>33</v>
      </c>
      <c r="CI44" s="380">
        <f t="shared" si="182"/>
        <v>0.18</v>
      </c>
      <c r="CJ44" s="410">
        <f t="shared" si="55"/>
        <v>0</v>
      </c>
      <c r="CK44" s="407">
        <f t="shared" si="183"/>
        <v>2.38</v>
      </c>
      <c r="CL44" s="424">
        <f t="shared" si="69"/>
        <v>7.8809734196260126E-2</v>
      </c>
      <c r="CM44" s="405">
        <v>1980</v>
      </c>
      <c r="CN44" s="380">
        <f t="shared" si="184"/>
        <v>34</v>
      </c>
      <c r="CO44" s="442">
        <f t="shared" si="187"/>
        <v>47.285840517756071</v>
      </c>
      <c r="CP44" s="409">
        <f t="shared" si="56"/>
        <v>971.2558984388354</v>
      </c>
      <c r="CQ44" s="182">
        <f t="shared" si="185"/>
        <v>334</v>
      </c>
      <c r="CR44" s="181">
        <f t="shared" si="201"/>
        <v>352</v>
      </c>
      <c r="CS44" s="206">
        <f t="shared" si="112"/>
        <v>-18</v>
      </c>
      <c r="CT44" s="385">
        <f t="shared" si="186"/>
        <v>79</v>
      </c>
      <c r="CU44" s="181">
        <f t="shared" si="202"/>
        <v>48</v>
      </c>
      <c r="CV44" s="206">
        <f t="shared" si="41"/>
        <v>31</v>
      </c>
    </row>
    <row r="45" spans="1:100" ht="17.25" thickBot="1" x14ac:dyDescent="0.3">
      <c r="B45" s="120">
        <f t="shared" si="188"/>
        <v>14</v>
      </c>
      <c r="C45" s="7">
        <f t="shared" si="189"/>
        <v>5</v>
      </c>
      <c r="D45" s="496"/>
      <c r="E45" s="48">
        <f>IFERROR(F44-D45,0)</f>
        <v>0</v>
      </c>
      <c r="F45" s="196">
        <f t="shared" si="80"/>
        <v>0</v>
      </c>
      <c r="G45" s="134"/>
      <c r="H45" s="135"/>
      <c r="I45" s="135"/>
      <c r="J45" s="14">
        <f t="shared" si="81"/>
        <v>0</v>
      </c>
      <c r="K45" s="14">
        <f t="shared" si="92"/>
        <v>9358</v>
      </c>
      <c r="L45" s="14">
        <f t="shared" si="176"/>
        <v>0.18</v>
      </c>
      <c r="M45" s="47">
        <f t="shared" si="26"/>
        <v>0</v>
      </c>
      <c r="N45" s="35">
        <f t="shared" si="177"/>
        <v>2.38</v>
      </c>
      <c r="O45" s="157">
        <f t="shared" si="157"/>
        <v>0</v>
      </c>
      <c r="P45" s="134"/>
      <c r="Q45" s="14">
        <f t="shared" si="178"/>
        <v>34</v>
      </c>
      <c r="R45" s="482">
        <f t="shared" si="29"/>
        <v>0</v>
      </c>
      <c r="S45" s="470">
        <f t="shared" si="82"/>
        <v>0</v>
      </c>
      <c r="T45" s="51">
        <f t="shared" si="179"/>
        <v>334</v>
      </c>
      <c r="U45" s="103">
        <f t="shared" si="190"/>
        <v>0</v>
      </c>
      <c r="V45" s="46">
        <f t="shared" si="94"/>
        <v>334</v>
      </c>
      <c r="W45" s="51">
        <f t="shared" si="180"/>
        <v>79</v>
      </c>
      <c r="X45" s="103">
        <f t="shared" si="191"/>
        <v>0</v>
      </c>
      <c r="Y45" s="46">
        <f t="shared" si="31"/>
        <v>79</v>
      </c>
      <c r="Z45" s="487"/>
      <c r="AA45" s="120">
        <f t="shared" si="192"/>
        <v>14</v>
      </c>
      <c r="AB45" s="7">
        <f t="shared" si="193"/>
        <v>5</v>
      </c>
      <c r="AC45" s="484">
        <v>7336</v>
      </c>
      <c r="AD45" s="48">
        <f>IFERROR(AE44-AC45,0)</f>
        <v>63315</v>
      </c>
      <c r="AE45" s="196">
        <f t="shared" si="135"/>
        <v>63289</v>
      </c>
      <c r="AF45" s="134"/>
      <c r="AG45" s="135">
        <v>26</v>
      </c>
      <c r="AH45" s="135"/>
      <c r="AI45" s="14">
        <f t="shared" si="84"/>
        <v>26</v>
      </c>
      <c r="AJ45" s="14">
        <f t="shared" si="130"/>
        <v>356</v>
      </c>
      <c r="AK45" s="14">
        <f t="shared" si="6"/>
        <v>0.18</v>
      </c>
      <c r="AL45" s="47">
        <f t="shared" si="33"/>
        <v>4.1064518676458973E-2</v>
      </c>
      <c r="AM45" s="35">
        <f t="shared" si="7"/>
        <v>2.38</v>
      </c>
      <c r="AN45" s="157">
        <f t="shared" si="136"/>
        <v>0.56226802495459216</v>
      </c>
      <c r="AO45" s="134">
        <v>3123</v>
      </c>
      <c r="AP45" s="14">
        <f t="shared" si="8"/>
        <v>34</v>
      </c>
      <c r="AQ45" s="482">
        <f t="shared" si="34"/>
        <v>49.324804548685144</v>
      </c>
      <c r="AR45" s="470">
        <f t="shared" si="133"/>
        <v>448.15921549356614</v>
      </c>
      <c r="AS45" s="51">
        <f t="shared" si="9"/>
        <v>334</v>
      </c>
      <c r="AT45" s="103">
        <f t="shared" si="194"/>
        <v>312</v>
      </c>
      <c r="AU45" s="46">
        <f t="shared" si="110"/>
        <v>22</v>
      </c>
      <c r="AV45" s="51">
        <f t="shared" si="10"/>
        <v>79</v>
      </c>
      <c r="AW45" s="103">
        <f t="shared" si="195"/>
        <v>64</v>
      </c>
      <c r="AX45" s="46">
        <f t="shared" si="75"/>
        <v>15</v>
      </c>
      <c r="AZ45" s="120">
        <f t="shared" si="196"/>
        <v>14</v>
      </c>
      <c r="BA45" s="7">
        <f t="shared" si="197"/>
        <v>5</v>
      </c>
      <c r="BB45" s="133"/>
      <c r="BC45" s="48">
        <f t="shared" si="134"/>
        <v>68392</v>
      </c>
      <c r="BD45" s="196">
        <f t="shared" si="137"/>
        <v>68347</v>
      </c>
      <c r="BE45" s="134"/>
      <c r="BF45" s="135">
        <v>45</v>
      </c>
      <c r="BG45" s="135"/>
      <c r="BH45" s="14">
        <f t="shared" si="85"/>
        <v>45</v>
      </c>
      <c r="BI45" s="14">
        <f t="shared" si="123"/>
        <v>771</v>
      </c>
      <c r="BJ45" s="14">
        <f t="shared" si="12"/>
        <v>0.18</v>
      </c>
      <c r="BK45" s="47">
        <f t="shared" si="50"/>
        <v>6.5797169259562527E-2</v>
      </c>
      <c r="BL45" s="35">
        <f t="shared" si="13"/>
        <v>2.38</v>
      </c>
      <c r="BM45" s="435">
        <f t="shared" si="160"/>
        <v>1.1163235166362611</v>
      </c>
      <c r="BN45" s="134">
        <v>3483</v>
      </c>
      <c r="BO45" s="14">
        <f t="shared" si="15"/>
        <v>34</v>
      </c>
      <c r="BP45" s="442">
        <f t="shared" si="51"/>
        <v>50.927009006901393</v>
      </c>
      <c r="BQ45" s="68">
        <f t="shared" si="66"/>
        <v>701.79011396221097</v>
      </c>
      <c r="BR45" s="51">
        <f t="shared" si="16"/>
        <v>334</v>
      </c>
      <c r="BS45" s="103">
        <f t="shared" si="198"/>
        <v>286</v>
      </c>
      <c r="BT45" s="46">
        <f t="shared" si="111"/>
        <v>48</v>
      </c>
      <c r="BU45" s="51">
        <f t="shared" si="18"/>
        <v>79</v>
      </c>
      <c r="BV45" s="103">
        <f t="shared" si="199"/>
        <v>84</v>
      </c>
      <c r="BW45" s="46">
        <f t="shared" si="76"/>
        <v>-5</v>
      </c>
      <c r="BY45" s="120">
        <f>BY44+1</f>
        <v>14</v>
      </c>
      <c r="BZ45" s="7">
        <f t="shared" si="200"/>
        <v>5</v>
      </c>
      <c r="CA45" s="484">
        <v>7336</v>
      </c>
      <c r="CB45" s="14">
        <f t="shared" si="77"/>
        <v>49209</v>
      </c>
      <c r="CC45" s="59">
        <f t="shared" si="86"/>
        <v>49171</v>
      </c>
      <c r="CD45" s="405"/>
      <c r="CE45" s="406">
        <v>38</v>
      </c>
      <c r="CF45" s="406"/>
      <c r="CG45" s="14">
        <f t="shared" si="87"/>
        <v>38</v>
      </c>
      <c r="CH45" s="14">
        <f t="shared" si="78"/>
        <v>71</v>
      </c>
      <c r="CI45" s="14">
        <f t="shared" si="182"/>
        <v>0.18</v>
      </c>
      <c r="CJ45" s="47">
        <f t="shared" si="55"/>
        <v>0.77221646446788195</v>
      </c>
      <c r="CK45" s="35">
        <f t="shared" si="183"/>
        <v>2.38</v>
      </c>
      <c r="CL45" s="157">
        <f t="shared" si="69"/>
        <v>0.14428254994005163</v>
      </c>
      <c r="CM45" s="134">
        <v>540</v>
      </c>
      <c r="CN45" s="14">
        <f t="shared" si="184"/>
        <v>34</v>
      </c>
      <c r="CO45" s="442">
        <f t="shared" si="187"/>
        <v>10.973602389806743</v>
      </c>
      <c r="CP45" s="68">
        <f t="shared" si="56"/>
        <v>982.22950082864213</v>
      </c>
      <c r="CQ45" s="51">
        <f t="shared" si="185"/>
        <v>334</v>
      </c>
      <c r="CR45" s="103">
        <f t="shared" si="201"/>
        <v>352</v>
      </c>
      <c r="CS45" s="46">
        <f t="shared" si="112"/>
        <v>-18</v>
      </c>
      <c r="CT45" s="51">
        <f t="shared" si="186"/>
        <v>79</v>
      </c>
      <c r="CU45" s="103">
        <f t="shared" si="202"/>
        <v>48</v>
      </c>
      <c r="CV45" s="46">
        <f t="shared" si="41"/>
        <v>31</v>
      </c>
    </row>
    <row r="46" spans="1:100" ht="18" customHeight="1" thickBot="1" x14ac:dyDescent="0.3">
      <c r="B46" s="120">
        <f t="shared" si="188"/>
        <v>15</v>
      </c>
      <c r="C46" s="7">
        <f t="shared" si="189"/>
        <v>5</v>
      </c>
      <c r="D46" s="496"/>
      <c r="E46" s="48">
        <f>IFERROR(F45-D46,0)</f>
        <v>0</v>
      </c>
      <c r="F46" s="196">
        <f>IFERROR(E46-J46,0)</f>
        <v>0</v>
      </c>
      <c r="G46" s="134"/>
      <c r="H46" s="135"/>
      <c r="I46" s="135"/>
      <c r="J46" s="14">
        <f t="shared" si="81"/>
        <v>0</v>
      </c>
      <c r="K46" s="14">
        <f>K45+J46</f>
        <v>9358</v>
      </c>
      <c r="L46" s="14">
        <f t="shared" si="176"/>
        <v>0.18</v>
      </c>
      <c r="M46" s="47">
        <f t="shared" si="26"/>
        <v>0</v>
      </c>
      <c r="N46" s="35">
        <f t="shared" si="177"/>
        <v>2.38</v>
      </c>
      <c r="O46" s="157">
        <f t="shared" si="157"/>
        <v>0</v>
      </c>
      <c r="P46" s="134"/>
      <c r="Q46" s="14">
        <f t="shared" si="178"/>
        <v>34</v>
      </c>
      <c r="R46" s="482">
        <f t="shared" si="29"/>
        <v>0</v>
      </c>
      <c r="S46" s="470">
        <f t="shared" si="82"/>
        <v>0</v>
      </c>
      <c r="T46" s="51">
        <f t="shared" si="179"/>
        <v>334</v>
      </c>
      <c r="U46" s="103">
        <f t="shared" si="190"/>
        <v>0</v>
      </c>
      <c r="V46" s="46">
        <f t="shared" si="94"/>
        <v>334</v>
      </c>
      <c r="W46" s="12">
        <f t="shared" si="180"/>
        <v>79</v>
      </c>
      <c r="X46" s="103">
        <f t="shared" si="191"/>
        <v>0</v>
      </c>
      <c r="Y46" s="46">
        <f t="shared" si="31"/>
        <v>79</v>
      </c>
      <c r="Z46" s="487"/>
      <c r="AA46" s="120">
        <f t="shared" si="192"/>
        <v>15</v>
      </c>
      <c r="AB46" s="7">
        <f t="shared" si="193"/>
        <v>5</v>
      </c>
      <c r="AC46" s="484">
        <v>2838</v>
      </c>
      <c r="AD46" s="48">
        <f>IFERROR(AE45-AC46,0)</f>
        <v>60451</v>
      </c>
      <c r="AE46" s="196">
        <f>IFERROR(AD46-AI46,0)</f>
        <v>60414</v>
      </c>
      <c r="AF46" s="134"/>
      <c r="AG46" s="135">
        <v>37</v>
      </c>
      <c r="AH46" s="135"/>
      <c r="AI46" s="14">
        <f t="shared" si="84"/>
        <v>37</v>
      </c>
      <c r="AJ46" s="14">
        <f t="shared" si="130"/>
        <v>393</v>
      </c>
      <c r="AK46" s="14">
        <f t="shared" si="6"/>
        <v>0.18</v>
      </c>
      <c r="AL46" s="47">
        <f t="shared" si="33"/>
        <v>6.1206597078625663E-2</v>
      </c>
      <c r="AM46" s="35">
        <f t="shared" si="7"/>
        <v>2.38</v>
      </c>
      <c r="AN46" s="157">
        <f t="shared" si="136"/>
        <v>0.65011331491621316</v>
      </c>
      <c r="AO46" s="134">
        <v>0</v>
      </c>
      <c r="AP46" s="14">
        <f t="shared" si="8"/>
        <v>34</v>
      </c>
      <c r="AQ46" s="482">
        <f t="shared" si="34"/>
        <v>0</v>
      </c>
      <c r="AR46" s="470">
        <f t="shared" si="133"/>
        <v>448.15921549356614</v>
      </c>
      <c r="AS46" s="51">
        <f t="shared" si="9"/>
        <v>334</v>
      </c>
      <c r="AT46" s="103">
        <f t="shared" si="194"/>
        <v>312</v>
      </c>
      <c r="AU46" s="46">
        <f t="shared" si="110"/>
        <v>22</v>
      </c>
      <c r="AV46" s="12">
        <f t="shared" si="10"/>
        <v>79</v>
      </c>
      <c r="AW46" s="103">
        <f t="shared" si="195"/>
        <v>64</v>
      </c>
      <c r="AX46" s="46">
        <f t="shared" si="75"/>
        <v>15</v>
      </c>
      <c r="AZ46" s="120">
        <f t="shared" si="196"/>
        <v>15</v>
      </c>
      <c r="BA46" s="7">
        <f t="shared" si="197"/>
        <v>5</v>
      </c>
      <c r="BB46" s="133"/>
      <c r="BC46" s="48">
        <f t="shared" si="134"/>
        <v>68347</v>
      </c>
      <c r="BD46" s="196">
        <f t="shared" si="137"/>
        <v>68308</v>
      </c>
      <c r="BE46" s="134"/>
      <c r="BF46" s="135">
        <v>39</v>
      </c>
      <c r="BG46" s="135"/>
      <c r="BH46" s="14">
        <f t="shared" si="85"/>
        <v>39</v>
      </c>
      <c r="BI46" s="14">
        <f t="shared" si="123"/>
        <v>810</v>
      </c>
      <c r="BJ46" s="14">
        <f t="shared" si="12"/>
        <v>0.18</v>
      </c>
      <c r="BK46" s="47">
        <f t="shared" si="50"/>
        <v>5.7061758380031309E-2</v>
      </c>
      <c r="BL46" s="35">
        <f t="shared" si="13"/>
        <v>2.38</v>
      </c>
      <c r="BM46" s="435">
        <f>IFERROR((BI46*100)/$BC$33,0)</f>
        <v>1.1727912431587177</v>
      </c>
      <c r="BN46" s="613">
        <v>414</v>
      </c>
      <c r="BO46" s="14">
        <f t="shared" si="15"/>
        <v>34</v>
      </c>
      <c r="BP46" s="442">
        <f t="shared" si="51"/>
        <v>6.0573251203417859</v>
      </c>
      <c r="BQ46" s="68">
        <f t="shared" si="66"/>
        <v>707.8474390825528</v>
      </c>
      <c r="BR46" s="51">
        <f t="shared" si="16"/>
        <v>334</v>
      </c>
      <c r="BS46" s="103">
        <f t="shared" si="198"/>
        <v>286</v>
      </c>
      <c r="BT46" s="46">
        <f t="shared" si="111"/>
        <v>48</v>
      </c>
      <c r="BU46" s="12">
        <f t="shared" si="18"/>
        <v>79</v>
      </c>
      <c r="BV46" s="103">
        <f t="shared" si="199"/>
        <v>84</v>
      </c>
      <c r="BW46" s="46">
        <f t="shared" si="76"/>
        <v>-5</v>
      </c>
      <c r="BY46" s="120">
        <f t="shared" ref="BY46:BY47" si="203">BY45+1</f>
        <v>15</v>
      </c>
      <c r="BZ46" s="7">
        <f t="shared" si="200"/>
        <v>5</v>
      </c>
      <c r="CA46" s="484">
        <v>2838</v>
      </c>
      <c r="CB46" s="14">
        <f t="shared" si="77"/>
        <v>52009</v>
      </c>
      <c r="CC46" s="59">
        <f t="shared" si="86"/>
        <v>51959</v>
      </c>
      <c r="CD46" s="405"/>
      <c r="CE46" s="406">
        <v>50</v>
      </c>
      <c r="CF46" s="406"/>
      <c r="CG46" s="14">
        <f t="shared" si="87"/>
        <v>50</v>
      </c>
      <c r="CH46" s="14">
        <f t="shared" si="78"/>
        <v>121</v>
      </c>
      <c r="CI46" s="14">
        <f t="shared" si="182"/>
        <v>0.18</v>
      </c>
      <c r="CJ46" s="47">
        <f t="shared" si="55"/>
        <v>0.96137207021861604</v>
      </c>
      <c r="CK46" s="35">
        <f t="shared" si="183"/>
        <v>2.38</v>
      </c>
      <c r="CL46" s="157">
        <f t="shared" si="69"/>
        <v>0.23265204099290507</v>
      </c>
      <c r="CM46" s="134">
        <v>0</v>
      </c>
      <c r="CN46" s="14">
        <f t="shared" si="184"/>
        <v>34</v>
      </c>
      <c r="CO46" s="442">
        <f t="shared" si="187"/>
        <v>0</v>
      </c>
      <c r="CP46" s="68">
        <f t="shared" si="56"/>
        <v>982.22950082864213</v>
      </c>
      <c r="CQ46" s="51">
        <f t="shared" si="185"/>
        <v>334</v>
      </c>
      <c r="CR46" s="103">
        <f t="shared" si="201"/>
        <v>352</v>
      </c>
      <c r="CS46" s="46">
        <f t="shared" si="112"/>
        <v>-18</v>
      </c>
      <c r="CT46" s="12">
        <f t="shared" si="186"/>
        <v>79</v>
      </c>
      <c r="CU46" s="103">
        <f t="shared" si="202"/>
        <v>48</v>
      </c>
      <c r="CV46" s="46">
        <f t="shared" si="41"/>
        <v>31</v>
      </c>
    </row>
    <row r="47" spans="1:100" ht="17.25" thickBot="1" x14ac:dyDescent="0.3">
      <c r="B47" s="197">
        <f t="shared" si="188"/>
        <v>16</v>
      </c>
      <c r="C47" s="8">
        <f t="shared" si="189"/>
        <v>5</v>
      </c>
      <c r="D47" s="136"/>
      <c r="E47" s="54">
        <f>IFERROR(F46+D47,0)</f>
        <v>0</v>
      </c>
      <c r="F47" s="55">
        <f>IFERROR(E47-J47,0)</f>
        <v>0</v>
      </c>
      <c r="G47" s="137"/>
      <c r="H47" s="138"/>
      <c r="I47" s="138"/>
      <c r="J47" s="34">
        <f t="shared" si="81"/>
        <v>0</v>
      </c>
      <c r="K47" s="34">
        <f>K46+J47</f>
        <v>9358</v>
      </c>
      <c r="L47" s="34">
        <f t="shared" si="176"/>
        <v>0.18</v>
      </c>
      <c r="M47" s="166">
        <f t="shared" si="26"/>
        <v>0</v>
      </c>
      <c r="N47" s="40">
        <f t="shared" si="177"/>
        <v>2.38</v>
      </c>
      <c r="O47" s="156">
        <f t="shared" si="157"/>
        <v>0</v>
      </c>
      <c r="P47" s="137"/>
      <c r="Q47" s="32">
        <f t="shared" si="178"/>
        <v>34</v>
      </c>
      <c r="R47" s="443">
        <f t="shared" si="29"/>
        <v>0</v>
      </c>
      <c r="S47" s="471">
        <f t="shared" si="82"/>
        <v>0</v>
      </c>
      <c r="T47" s="56">
        <f t="shared" si="179"/>
        <v>334</v>
      </c>
      <c r="U47" s="109">
        <f t="shared" si="190"/>
        <v>0</v>
      </c>
      <c r="V47" s="63">
        <f t="shared" si="94"/>
        <v>334</v>
      </c>
      <c r="W47" s="56">
        <f t="shared" si="180"/>
        <v>79</v>
      </c>
      <c r="X47" s="109">
        <f t="shared" si="191"/>
        <v>0</v>
      </c>
      <c r="Y47" s="63">
        <f t="shared" si="31"/>
        <v>79</v>
      </c>
      <c r="Z47" s="487"/>
      <c r="AA47" s="120">
        <f t="shared" si="192"/>
        <v>16</v>
      </c>
      <c r="AB47" s="8">
        <f t="shared" si="193"/>
        <v>5</v>
      </c>
      <c r="AC47" s="136"/>
      <c r="AD47" s="54">
        <f t="shared" si="132"/>
        <v>60414</v>
      </c>
      <c r="AE47" s="55">
        <f>IFERROR(AD47-AI47,0)</f>
        <v>60383</v>
      </c>
      <c r="AF47" s="137"/>
      <c r="AG47" s="138">
        <v>31</v>
      </c>
      <c r="AH47" s="138"/>
      <c r="AI47" s="34">
        <f t="shared" si="84"/>
        <v>31</v>
      </c>
      <c r="AJ47" s="34">
        <f t="shared" si="130"/>
        <v>424</v>
      </c>
      <c r="AK47" s="17">
        <f t="shared" si="6"/>
        <v>0.18</v>
      </c>
      <c r="AL47" s="231">
        <f t="shared" si="33"/>
        <v>5.1312609660012581E-2</v>
      </c>
      <c r="AM47" s="33">
        <f t="shared" si="7"/>
        <v>2.38</v>
      </c>
      <c r="AN47" s="156">
        <f>IFERROR((AJ47*100)/$AD$47,0)</f>
        <v>0.70182408051113976</v>
      </c>
      <c r="AO47" s="137">
        <v>2889</v>
      </c>
      <c r="AP47" s="32">
        <f t="shared" si="8"/>
        <v>34</v>
      </c>
      <c r="AQ47" s="443">
        <f t="shared" si="34"/>
        <v>47.820041712185912</v>
      </c>
      <c r="AR47" s="471">
        <f t="shared" si="133"/>
        <v>495.97925720575205</v>
      </c>
      <c r="AS47" s="50">
        <f t="shared" si="9"/>
        <v>334</v>
      </c>
      <c r="AT47" s="103">
        <f t="shared" si="194"/>
        <v>312</v>
      </c>
      <c r="AU47" s="63">
        <f t="shared" si="110"/>
        <v>22</v>
      </c>
      <c r="AV47" s="56">
        <f t="shared" si="10"/>
        <v>79</v>
      </c>
      <c r="AW47" s="103">
        <f t="shared" si="195"/>
        <v>64</v>
      </c>
      <c r="AX47" s="63">
        <f t="shared" si="75"/>
        <v>15</v>
      </c>
      <c r="AZ47" s="120">
        <f t="shared" si="196"/>
        <v>16</v>
      </c>
      <c r="BA47" s="8">
        <f t="shared" si="197"/>
        <v>5</v>
      </c>
      <c r="BB47" s="136"/>
      <c r="BC47" s="54">
        <f t="shared" si="134"/>
        <v>68308</v>
      </c>
      <c r="BD47" s="55">
        <f t="shared" si="137"/>
        <v>68275</v>
      </c>
      <c r="BE47" s="137"/>
      <c r="BF47" s="138">
        <v>33</v>
      </c>
      <c r="BG47" s="138"/>
      <c r="BH47" s="34">
        <f t="shared" si="85"/>
        <v>33</v>
      </c>
      <c r="BI47" s="34">
        <f t="shared" si="123"/>
        <v>843</v>
      </c>
      <c r="BJ47" s="17">
        <f t="shared" si="12"/>
        <v>0.18</v>
      </c>
      <c r="BK47" s="96">
        <f t="shared" si="50"/>
        <v>4.831059319552615E-2</v>
      </c>
      <c r="BL47" s="33">
        <f t="shared" si="13"/>
        <v>2.38</v>
      </c>
      <c r="BM47" s="435">
        <f>IFERROR((BI47*100)/$BC$33,0)</f>
        <v>1.2205716271392582</v>
      </c>
      <c r="BN47" s="137">
        <v>2691</v>
      </c>
      <c r="BO47" s="32">
        <f t="shared" si="15"/>
        <v>34</v>
      </c>
      <c r="BP47" s="482">
        <f t="shared" si="51"/>
        <v>39.395092814897232</v>
      </c>
      <c r="BQ47" s="70">
        <f t="shared" si="66"/>
        <v>747.24253189745002</v>
      </c>
      <c r="BR47" s="50">
        <f t="shared" si="16"/>
        <v>334</v>
      </c>
      <c r="BS47" s="103">
        <f t="shared" si="198"/>
        <v>286</v>
      </c>
      <c r="BT47" s="63">
        <f t="shared" si="111"/>
        <v>48</v>
      </c>
      <c r="BU47" s="56">
        <f t="shared" si="18"/>
        <v>79</v>
      </c>
      <c r="BV47" s="103">
        <f t="shared" si="199"/>
        <v>84</v>
      </c>
      <c r="BW47" s="63">
        <f t="shared" si="76"/>
        <v>-5</v>
      </c>
      <c r="BY47" s="120">
        <f t="shared" si="203"/>
        <v>16</v>
      </c>
      <c r="BZ47" s="8">
        <f t="shared" si="200"/>
        <v>5</v>
      </c>
      <c r="CA47" s="136"/>
      <c r="CB47" s="32">
        <f t="shared" si="77"/>
        <v>51959</v>
      </c>
      <c r="CC47" s="53">
        <f t="shared" si="86"/>
        <v>51915</v>
      </c>
      <c r="CD47" s="421"/>
      <c r="CE47" s="426">
        <v>44</v>
      </c>
      <c r="CF47" s="426"/>
      <c r="CG47" s="34">
        <f t="shared" si="87"/>
        <v>44</v>
      </c>
      <c r="CH47" s="34">
        <f t="shared" si="78"/>
        <v>165</v>
      </c>
      <c r="CI47" s="17">
        <f t="shared" si="182"/>
        <v>0.18</v>
      </c>
      <c r="CJ47" s="166">
        <f t="shared" si="55"/>
        <v>0.84682153236205471</v>
      </c>
      <c r="CK47" s="33">
        <f t="shared" si="183"/>
        <v>2.38</v>
      </c>
      <c r="CL47" s="156">
        <f>IFERROR((CH47*100)/$CB$47,0)</f>
        <v>0.31755807463577052</v>
      </c>
      <c r="CM47" s="137">
        <v>1440</v>
      </c>
      <c r="CN47" s="13">
        <f t="shared" si="184"/>
        <v>34</v>
      </c>
      <c r="CO47" s="482">
        <f t="shared" si="187"/>
        <v>27.714159240939971</v>
      </c>
      <c r="CP47" s="70">
        <f t="shared" si="56"/>
        <v>1009.9436600695821</v>
      </c>
      <c r="CQ47" s="50">
        <f t="shared" si="185"/>
        <v>334</v>
      </c>
      <c r="CR47" s="103">
        <f t="shared" si="201"/>
        <v>352</v>
      </c>
      <c r="CS47" s="63">
        <f t="shared" si="112"/>
        <v>-18</v>
      </c>
      <c r="CT47" s="56">
        <f t="shared" si="186"/>
        <v>79</v>
      </c>
      <c r="CU47" s="103">
        <f t="shared" si="202"/>
        <v>48</v>
      </c>
      <c r="CV47" s="63">
        <f t="shared" si="41"/>
        <v>31</v>
      </c>
    </row>
    <row r="48" spans="1:100" ht="17.25" thickBot="1" x14ac:dyDescent="0.3">
      <c r="B48" s="198">
        <v>17</v>
      </c>
      <c r="C48" s="38">
        <v>6</v>
      </c>
      <c r="D48" s="143"/>
      <c r="E48" s="60">
        <f t="shared" ref="E48:E111" si="204">IFERROR(F47+D48,0)</f>
        <v>0</v>
      </c>
      <c r="F48" s="44">
        <f t="shared" ref="F48:F111" si="205">IFERROR(E48-J48,0)</f>
        <v>0</v>
      </c>
      <c r="G48" s="145"/>
      <c r="H48" s="141"/>
      <c r="I48" s="141"/>
      <c r="J48" s="17">
        <f t="shared" si="81"/>
        <v>0</v>
      </c>
      <c r="K48" s="34">
        <f>K47+J48</f>
        <v>9358</v>
      </c>
      <c r="L48" s="31">
        <f t="shared" si="176"/>
        <v>0.18</v>
      </c>
      <c r="M48" s="231">
        <f t="shared" si="26"/>
        <v>0</v>
      </c>
      <c r="N48" s="37">
        <f t="shared" si="177"/>
        <v>2.56</v>
      </c>
      <c r="O48" s="155">
        <f t="shared" si="157"/>
        <v>0</v>
      </c>
      <c r="P48" s="144"/>
      <c r="Q48" s="17">
        <f t="shared" si="178"/>
        <v>38</v>
      </c>
      <c r="R48" s="479">
        <f t="shared" si="29"/>
        <v>0</v>
      </c>
      <c r="S48" s="475">
        <f t="shared" si="82"/>
        <v>0</v>
      </c>
      <c r="T48" s="61">
        <f t="shared" si="179"/>
        <v>425</v>
      </c>
      <c r="U48" s="141"/>
      <c r="V48" s="71">
        <f t="shared" si="94"/>
        <v>425</v>
      </c>
      <c r="W48" s="12">
        <f t="shared" si="180"/>
        <v>79</v>
      </c>
      <c r="X48" s="141"/>
      <c r="Y48" s="71">
        <f t="shared" si="31"/>
        <v>79</v>
      </c>
      <c r="Z48" s="487"/>
      <c r="AA48" s="118">
        <v>17</v>
      </c>
      <c r="AB48" s="9">
        <v>6</v>
      </c>
      <c r="AC48" s="129"/>
      <c r="AD48" s="60">
        <f t="shared" si="132"/>
        <v>60383</v>
      </c>
      <c r="AE48" s="44">
        <f>IFERROR(AD48-AI48,0)</f>
        <v>60358</v>
      </c>
      <c r="AF48" s="130"/>
      <c r="AG48" s="141">
        <v>25</v>
      </c>
      <c r="AH48" s="131"/>
      <c r="AI48" s="11">
        <f t="shared" si="84"/>
        <v>25</v>
      </c>
      <c r="AJ48" s="11">
        <f t="shared" si="130"/>
        <v>449</v>
      </c>
      <c r="AK48" s="16">
        <f t="shared" si="6"/>
        <v>0.18</v>
      </c>
      <c r="AL48" s="153">
        <f t="shared" si="33"/>
        <v>4.1402381464981867E-2</v>
      </c>
      <c r="AM48" s="154">
        <f t="shared" si="7"/>
        <v>2.56</v>
      </c>
      <c r="AN48" s="156">
        <f>IFERROR((AJ48*100)/$AD$47,0)</f>
        <v>0.74320521733373057</v>
      </c>
      <c r="AO48" s="144">
        <v>3096</v>
      </c>
      <c r="AP48" s="17">
        <f t="shared" si="8"/>
        <v>38</v>
      </c>
      <c r="AQ48" s="441">
        <f t="shared" si="34"/>
        <v>51.272709206233543</v>
      </c>
      <c r="AR48" s="469">
        <f t="shared" si="133"/>
        <v>547.25196641198556</v>
      </c>
      <c r="AS48" s="58">
        <f t="shared" si="9"/>
        <v>425</v>
      </c>
      <c r="AT48" s="131">
        <v>392</v>
      </c>
      <c r="AU48" s="41">
        <f t="shared" si="110"/>
        <v>33</v>
      </c>
      <c r="AV48" s="18">
        <f t="shared" si="10"/>
        <v>79</v>
      </c>
      <c r="AW48" s="131">
        <v>64</v>
      </c>
      <c r="AX48" s="41">
        <f t="shared" si="75"/>
        <v>15</v>
      </c>
      <c r="AZ48" s="118">
        <v>17</v>
      </c>
      <c r="BA48" s="9">
        <v>6</v>
      </c>
      <c r="BB48" s="129"/>
      <c r="BC48" s="43">
        <f t="shared" si="134"/>
        <v>68275</v>
      </c>
      <c r="BD48" s="44">
        <f t="shared" si="137"/>
        <v>68197</v>
      </c>
      <c r="BE48" s="130"/>
      <c r="BF48" s="131">
        <v>78</v>
      </c>
      <c r="BG48" s="131"/>
      <c r="BH48" s="11">
        <f t="shared" si="85"/>
        <v>78</v>
      </c>
      <c r="BI48" s="11">
        <f t="shared" si="123"/>
        <v>921</v>
      </c>
      <c r="BJ48" s="16">
        <f t="shared" si="12"/>
        <v>0.18</v>
      </c>
      <c r="BK48" s="235">
        <f t="shared" si="50"/>
        <v>0.11424386671548883</v>
      </c>
      <c r="BL48" s="154">
        <f t="shared" si="13"/>
        <v>2.56</v>
      </c>
      <c r="BM48" s="435">
        <f>IFERROR((BI48*100)/$BC$33,0)</f>
        <v>1.3335070801841717</v>
      </c>
      <c r="BN48" s="130">
        <v>4140</v>
      </c>
      <c r="BO48" s="17">
        <f t="shared" si="15"/>
        <v>38</v>
      </c>
      <c r="BP48" s="441">
        <f t="shared" si="51"/>
        <v>60.637129256682535</v>
      </c>
      <c r="BQ48" s="377">
        <f t="shared" si="66"/>
        <v>807.87966115413258</v>
      </c>
      <c r="BR48" s="58">
        <f t="shared" si="16"/>
        <v>425</v>
      </c>
      <c r="BS48" s="131">
        <v>395</v>
      </c>
      <c r="BT48" s="41">
        <f t="shared" si="111"/>
        <v>30</v>
      </c>
      <c r="BU48" s="18">
        <f t="shared" si="18"/>
        <v>79</v>
      </c>
      <c r="BV48" s="131">
        <v>52</v>
      </c>
      <c r="BW48" s="41">
        <f t="shared" si="76"/>
        <v>27</v>
      </c>
      <c r="BY48" s="118">
        <v>17</v>
      </c>
      <c r="BZ48" s="9">
        <v>6</v>
      </c>
      <c r="CA48" s="129"/>
      <c r="CB48" s="11">
        <f t="shared" si="77"/>
        <v>51915</v>
      </c>
      <c r="CC48" s="41">
        <f t="shared" si="86"/>
        <v>51788</v>
      </c>
      <c r="CD48" s="398"/>
      <c r="CE48" s="399">
        <v>127</v>
      </c>
      <c r="CF48" s="399"/>
      <c r="CG48" s="11">
        <f t="shared" si="87"/>
        <v>127</v>
      </c>
      <c r="CH48" s="11">
        <f t="shared" si="78"/>
        <v>292</v>
      </c>
      <c r="CI48" s="16">
        <f t="shared" si="182"/>
        <v>0.18</v>
      </c>
      <c r="CJ48" s="231">
        <f t="shared" si="55"/>
        <v>2.4463064624867572</v>
      </c>
      <c r="CK48" s="154">
        <f t="shared" si="183"/>
        <v>2.56</v>
      </c>
      <c r="CL48" s="156">
        <f t="shared" ref="CL48:CL111" si="206">IFERROR((CH48*100)/$CB$47,0)</f>
        <v>0.56198156238572716</v>
      </c>
      <c r="CM48" s="130">
        <v>2700</v>
      </c>
      <c r="CN48" s="11">
        <f t="shared" si="184"/>
        <v>38</v>
      </c>
      <c r="CO48" s="441">
        <f t="shared" si="187"/>
        <v>52.008090147356249</v>
      </c>
      <c r="CP48" s="377">
        <f t="shared" si="56"/>
        <v>1061.9517502169383</v>
      </c>
      <c r="CQ48" s="58">
        <f t="shared" si="185"/>
        <v>425</v>
      </c>
      <c r="CR48" s="131">
        <v>415</v>
      </c>
      <c r="CS48" s="41">
        <f t="shared" si="112"/>
        <v>10</v>
      </c>
      <c r="CT48" s="18">
        <f t="shared" si="186"/>
        <v>79</v>
      </c>
      <c r="CU48" s="131">
        <v>56</v>
      </c>
      <c r="CV48" s="41">
        <f t="shared" si="41"/>
        <v>23</v>
      </c>
    </row>
    <row r="49" spans="1:100" ht="17.25" thickBot="1" x14ac:dyDescent="0.3">
      <c r="B49" s="120">
        <f>B48+1</f>
        <v>18</v>
      </c>
      <c r="C49" s="7">
        <f>C48</f>
        <v>6</v>
      </c>
      <c r="D49" s="133"/>
      <c r="E49" s="48">
        <f t="shared" si="204"/>
        <v>0</v>
      </c>
      <c r="F49" s="49">
        <f t="shared" si="205"/>
        <v>0</v>
      </c>
      <c r="G49" s="142"/>
      <c r="H49" s="135"/>
      <c r="I49" s="135"/>
      <c r="J49" s="14">
        <f t="shared" si="81"/>
        <v>0</v>
      </c>
      <c r="K49" s="14">
        <f t="shared" si="92"/>
        <v>9358</v>
      </c>
      <c r="L49" s="14">
        <f t="shared" si="176"/>
        <v>0.18</v>
      </c>
      <c r="M49" s="230">
        <f t="shared" si="26"/>
        <v>0</v>
      </c>
      <c r="N49" s="35">
        <f t="shared" si="177"/>
        <v>2.56</v>
      </c>
      <c r="O49" s="157">
        <f t="shared" si="157"/>
        <v>0</v>
      </c>
      <c r="P49" s="142"/>
      <c r="Q49" s="14">
        <f t="shared" si="178"/>
        <v>38</v>
      </c>
      <c r="R49" s="480">
        <f t="shared" si="29"/>
        <v>0</v>
      </c>
      <c r="S49" s="470">
        <f t="shared" si="82"/>
        <v>0</v>
      </c>
      <c r="T49" s="51">
        <f t="shared" si="179"/>
        <v>425</v>
      </c>
      <c r="U49" s="103">
        <f>U48</f>
        <v>0</v>
      </c>
      <c r="V49" s="46">
        <f t="shared" si="94"/>
        <v>425</v>
      </c>
      <c r="W49" s="50">
        <f t="shared" si="180"/>
        <v>79</v>
      </c>
      <c r="X49" s="103">
        <f>X48</f>
        <v>0</v>
      </c>
      <c r="Y49" s="46">
        <f t="shared" si="31"/>
        <v>79</v>
      </c>
      <c r="Z49" s="487"/>
      <c r="AA49" s="120">
        <f>AA48+1</f>
        <v>18</v>
      </c>
      <c r="AB49" s="7">
        <f>AB48</f>
        <v>6</v>
      </c>
      <c r="AC49" s="133"/>
      <c r="AD49" s="48">
        <f t="shared" si="132"/>
        <v>60358</v>
      </c>
      <c r="AE49" s="49">
        <f>IFERROR(AD49-AI49,0)</f>
        <v>60330</v>
      </c>
      <c r="AF49" s="134"/>
      <c r="AG49" s="135">
        <v>28</v>
      </c>
      <c r="AH49" s="135"/>
      <c r="AI49" s="14">
        <f t="shared" si="84"/>
        <v>28</v>
      </c>
      <c r="AJ49" s="14">
        <f t="shared" si="130"/>
        <v>477</v>
      </c>
      <c r="AK49" s="14">
        <f t="shared" si="6"/>
        <v>0.18</v>
      </c>
      <c r="AL49" s="230">
        <f t="shared" si="33"/>
        <v>4.6389873753272144E-2</v>
      </c>
      <c r="AM49" s="35">
        <f t="shared" si="7"/>
        <v>2.56</v>
      </c>
      <c r="AN49" s="156">
        <f t="shared" ref="AN49:AN111" si="207">IFERROR((AJ49*100)/$AD$47,0)</f>
        <v>0.78955209057503228</v>
      </c>
      <c r="AO49" s="142">
        <v>2142</v>
      </c>
      <c r="AP49" s="14">
        <f t="shared" si="8"/>
        <v>38</v>
      </c>
      <c r="AQ49" s="480">
        <f t="shared" si="34"/>
        <v>35.488253421253191</v>
      </c>
      <c r="AR49" s="470">
        <f t="shared" si="133"/>
        <v>582.74021983323871</v>
      </c>
      <c r="AS49" s="51">
        <f t="shared" si="9"/>
        <v>425</v>
      </c>
      <c r="AT49" s="103">
        <f>AT48</f>
        <v>392</v>
      </c>
      <c r="AU49" s="46">
        <f t="shared" si="110"/>
        <v>33</v>
      </c>
      <c r="AV49" s="50">
        <f t="shared" si="10"/>
        <v>79</v>
      </c>
      <c r="AW49" s="103">
        <f>AW48</f>
        <v>64</v>
      </c>
      <c r="AX49" s="46">
        <f t="shared" si="75"/>
        <v>15</v>
      </c>
      <c r="AZ49" s="120">
        <f>AZ48+1</f>
        <v>18</v>
      </c>
      <c r="BA49" s="7">
        <f>BA48</f>
        <v>6</v>
      </c>
      <c r="BB49" s="133"/>
      <c r="BC49" s="48">
        <f t="shared" si="134"/>
        <v>68197</v>
      </c>
      <c r="BD49" s="49">
        <f>IFERROR(BC49-BH49,0)</f>
        <v>68157</v>
      </c>
      <c r="BE49" s="134"/>
      <c r="BF49" s="135">
        <v>40</v>
      </c>
      <c r="BG49" s="135"/>
      <c r="BH49" s="14">
        <f t="shared" si="85"/>
        <v>40</v>
      </c>
      <c r="BI49" s="14">
        <f t="shared" si="123"/>
        <v>961</v>
      </c>
      <c r="BJ49" s="14">
        <f t="shared" si="12"/>
        <v>0.18</v>
      </c>
      <c r="BK49" s="47">
        <f t="shared" si="50"/>
        <v>5.8653606463627432E-2</v>
      </c>
      <c r="BL49" s="35">
        <f t="shared" si="13"/>
        <v>2.56</v>
      </c>
      <c r="BM49" s="435">
        <f>IFERROR((BI49*100)/$BC$33,0)</f>
        <v>1.3914226971302812</v>
      </c>
      <c r="BN49" s="142">
        <v>6912</v>
      </c>
      <c r="BO49" s="14">
        <f t="shared" si="15"/>
        <v>38</v>
      </c>
      <c r="BP49" s="442">
        <f t="shared" si="51"/>
        <v>101.3534319691482</v>
      </c>
      <c r="BQ49" s="68">
        <f t="shared" si="66"/>
        <v>909.23309312328081</v>
      </c>
      <c r="BR49" s="51">
        <f t="shared" si="16"/>
        <v>425</v>
      </c>
      <c r="BS49" s="103">
        <f>BS48</f>
        <v>395</v>
      </c>
      <c r="BT49" s="46">
        <f t="shared" si="111"/>
        <v>30</v>
      </c>
      <c r="BU49" s="50">
        <f t="shared" si="18"/>
        <v>79</v>
      </c>
      <c r="BV49" s="103">
        <f>BV48</f>
        <v>52</v>
      </c>
      <c r="BW49" s="46">
        <f t="shared" si="76"/>
        <v>27</v>
      </c>
      <c r="BY49" s="120">
        <f>BY48+1</f>
        <v>18</v>
      </c>
      <c r="BZ49" s="7">
        <f>BZ48</f>
        <v>6</v>
      </c>
      <c r="CA49" s="133"/>
      <c r="CB49" s="14">
        <f t="shared" si="77"/>
        <v>51788</v>
      </c>
      <c r="CC49" s="46">
        <f t="shared" si="86"/>
        <v>51715</v>
      </c>
      <c r="CD49" s="405"/>
      <c r="CE49" s="406">
        <v>73</v>
      </c>
      <c r="CF49" s="406"/>
      <c r="CG49" s="14">
        <f t="shared" si="87"/>
        <v>73</v>
      </c>
      <c r="CH49" s="14">
        <f t="shared" si="78"/>
        <v>365</v>
      </c>
      <c r="CI49" s="14">
        <f t="shared" si="182"/>
        <v>0.18</v>
      </c>
      <c r="CJ49" s="47">
        <f t="shared" si="55"/>
        <v>1.409592955897119</v>
      </c>
      <c r="CK49" s="35">
        <f t="shared" si="183"/>
        <v>2.56</v>
      </c>
      <c r="CL49" s="156">
        <f t="shared" si="206"/>
        <v>0.70247695298215906</v>
      </c>
      <c r="CM49" s="142">
        <v>3960</v>
      </c>
      <c r="CN49" s="14">
        <f t="shared" si="184"/>
        <v>38</v>
      </c>
      <c r="CO49" s="442">
        <f t="shared" si="187"/>
        <v>76.465590484282075</v>
      </c>
      <c r="CP49" s="68">
        <f t="shared" si="56"/>
        <v>1138.4173407012204</v>
      </c>
      <c r="CQ49" s="51">
        <f t="shared" si="185"/>
        <v>425</v>
      </c>
      <c r="CR49" s="103">
        <f>CR48</f>
        <v>415</v>
      </c>
      <c r="CS49" s="46">
        <f t="shared" si="112"/>
        <v>10</v>
      </c>
      <c r="CT49" s="50">
        <f t="shared" si="186"/>
        <v>79</v>
      </c>
      <c r="CU49" s="103">
        <f>CU48</f>
        <v>56</v>
      </c>
      <c r="CV49" s="46">
        <f t="shared" si="41"/>
        <v>23</v>
      </c>
    </row>
    <row r="50" spans="1:100" ht="17.25" thickBot="1" x14ac:dyDescent="0.3">
      <c r="B50" s="120">
        <f t="shared" ref="B50:B54" si="208">B49+1</f>
        <v>19</v>
      </c>
      <c r="C50" s="7">
        <f t="shared" ref="C50:C61" si="209">C49</f>
        <v>6</v>
      </c>
      <c r="D50" s="133"/>
      <c r="E50" s="48">
        <f t="shared" si="204"/>
        <v>0</v>
      </c>
      <c r="F50" s="49">
        <f t="shared" si="205"/>
        <v>0</v>
      </c>
      <c r="G50" s="142"/>
      <c r="H50" s="135"/>
      <c r="I50" s="135"/>
      <c r="J50" s="14">
        <f t="shared" si="81"/>
        <v>0</v>
      </c>
      <c r="K50" s="14">
        <f t="shared" si="92"/>
        <v>9358</v>
      </c>
      <c r="L50" s="14">
        <f t="shared" si="176"/>
        <v>0.18</v>
      </c>
      <c r="M50" s="230">
        <f t="shared" si="26"/>
        <v>0</v>
      </c>
      <c r="N50" s="35">
        <f t="shared" si="177"/>
        <v>2.56</v>
      </c>
      <c r="O50" s="157">
        <f t="shared" si="157"/>
        <v>0</v>
      </c>
      <c r="P50" s="134"/>
      <c r="Q50" s="14">
        <f t="shared" si="178"/>
        <v>38</v>
      </c>
      <c r="R50" s="482">
        <f t="shared" si="29"/>
        <v>0</v>
      </c>
      <c r="S50" s="470">
        <f t="shared" si="82"/>
        <v>0</v>
      </c>
      <c r="T50" s="51">
        <f t="shared" si="179"/>
        <v>425</v>
      </c>
      <c r="U50" s="103">
        <f t="shared" ref="U50:U54" si="210">U49</f>
        <v>0</v>
      </c>
      <c r="V50" s="46">
        <f t="shared" si="94"/>
        <v>425</v>
      </c>
      <c r="W50" s="50">
        <f t="shared" si="180"/>
        <v>79</v>
      </c>
      <c r="X50" s="103">
        <f t="shared" ref="X50:X54" si="211">X49</f>
        <v>0</v>
      </c>
      <c r="Y50" s="46">
        <f t="shared" si="31"/>
        <v>79</v>
      </c>
      <c r="Z50" s="487"/>
      <c r="AA50" s="120">
        <f t="shared" ref="AA50:AA54" si="212">AA49+1</f>
        <v>19</v>
      </c>
      <c r="AB50" s="7">
        <f t="shared" ref="AB50:AB61" si="213">AB49</f>
        <v>6</v>
      </c>
      <c r="AC50" s="133"/>
      <c r="AD50" s="48">
        <f t="shared" si="132"/>
        <v>60330</v>
      </c>
      <c r="AE50" s="447">
        <f>IFERROR(AD50-AI50,0)</f>
        <v>60319</v>
      </c>
      <c r="AF50" s="134"/>
      <c r="AG50" s="135">
        <v>11</v>
      </c>
      <c r="AH50" s="135"/>
      <c r="AI50" s="14">
        <f t="shared" si="84"/>
        <v>11</v>
      </c>
      <c r="AJ50" s="14">
        <f t="shared" si="130"/>
        <v>488</v>
      </c>
      <c r="AK50" s="14">
        <f t="shared" si="6"/>
        <v>0.18</v>
      </c>
      <c r="AL50" s="230">
        <f t="shared" si="33"/>
        <v>1.8233051549809382E-2</v>
      </c>
      <c r="AM50" s="35">
        <f t="shared" si="7"/>
        <v>2.56</v>
      </c>
      <c r="AN50" s="156">
        <f>IFERROR((AJ50*100)/$AD$47,0)</f>
        <v>0.80775979077697224</v>
      </c>
      <c r="AO50" s="134">
        <v>0</v>
      </c>
      <c r="AP50" s="14">
        <f t="shared" si="8"/>
        <v>38</v>
      </c>
      <c r="AQ50" s="482">
        <f t="shared" si="34"/>
        <v>0</v>
      </c>
      <c r="AR50" s="470">
        <f t="shared" si="133"/>
        <v>582.74021983323871</v>
      </c>
      <c r="AS50" s="51">
        <f t="shared" si="9"/>
        <v>425</v>
      </c>
      <c r="AT50" s="103">
        <f t="shared" ref="AT50:AT54" si="214">AT49</f>
        <v>392</v>
      </c>
      <c r="AU50" s="46">
        <f t="shared" si="110"/>
        <v>33</v>
      </c>
      <c r="AV50" s="50">
        <f t="shared" si="10"/>
        <v>79</v>
      </c>
      <c r="AW50" s="103">
        <f t="shared" ref="AW50:AW54" si="215">AW49</f>
        <v>64</v>
      </c>
      <c r="AX50" s="46">
        <f t="shared" si="75"/>
        <v>15</v>
      </c>
      <c r="AZ50" s="120">
        <f t="shared" ref="AZ50:AZ54" si="216">AZ49+1</f>
        <v>19</v>
      </c>
      <c r="BA50" s="7">
        <f t="shared" ref="BA50:BA61" si="217">BA49</f>
        <v>6</v>
      </c>
      <c r="BB50" s="133"/>
      <c r="BC50" s="48">
        <f>IFERROR(BD49+BB50,0)</f>
        <v>68157</v>
      </c>
      <c r="BD50" s="447">
        <f>IFERROR(BC50-BH50,0)</f>
        <v>68147</v>
      </c>
      <c r="BE50" s="134"/>
      <c r="BF50" s="135">
        <v>10</v>
      </c>
      <c r="BG50" s="135"/>
      <c r="BH50" s="14">
        <f t="shared" si="85"/>
        <v>10</v>
      </c>
      <c r="BI50" s="14">
        <f t="shared" si="123"/>
        <v>971</v>
      </c>
      <c r="BJ50" s="14">
        <f t="shared" si="12"/>
        <v>0.18</v>
      </c>
      <c r="BK50" s="47">
        <f t="shared" si="50"/>
        <v>1.4672007277315609E-2</v>
      </c>
      <c r="BL50" s="35">
        <f t="shared" si="13"/>
        <v>2.56</v>
      </c>
      <c r="BM50" s="435">
        <f t="shared" si="160"/>
        <v>1.4059016013668086</v>
      </c>
      <c r="BN50" s="134">
        <v>954</v>
      </c>
      <c r="BO50" s="14">
        <f t="shared" si="15"/>
        <v>38</v>
      </c>
      <c r="BP50" s="442">
        <f t="shared" si="51"/>
        <v>13.997094942559091</v>
      </c>
      <c r="BQ50" s="68">
        <f t="shared" si="66"/>
        <v>923.23018806583991</v>
      </c>
      <c r="BR50" s="51">
        <f t="shared" si="16"/>
        <v>425</v>
      </c>
      <c r="BS50" s="103">
        <f t="shared" ref="BS50:BS54" si="218">BS49</f>
        <v>395</v>
      </c>
      <c r="BT50" s="46">
        <f t="shared" si="111"/>
        <v>30</v>
      </c>
      <c r="BU50" s="50">
        <f t="shared" si="18"/>
        <v>79</v>
      </c>
      <c r="BV50" s="103">
        <f t="shared" ref="BV50:BV54" si="219">BV49</f>
        <v>52</v>
      </c>
      <c r="BW50" s="46">
        <f t="shared" si="76"/>
        <v>27</v>
      </c>
      <c r="BY50" s="120">
        <f t="shared" ref="BY50:BY54" si="220">BY49+1</f>
        <v>19</v>
      </c>
      <c r="BZ50" s="7">
        <f t="shared" ref="BZ50:BZ61" si="221">BZ49</f>
        <v>6</v>
      </c>
      <c r="CA50" s="133"/>
      <c r="CB50" s="14">
        <f t="shared" si="77"/>
        <v>51715</v>
      </c>
      <c r="CC50" s="62">
        <f t="shared" si="86"/>
        <v>51656</v>
      </c>
      <c r="CD50" s="405"/>
      <c r="CE50" s="406">
        <v>59</v>
      </c>
      <c r="CF50" s="406"/>
      <c r="CG50" s="14">
        <f t="shared" si="87"/>
        <v>59</v>
      </c>
      <c r="CH50" s="14">
        <f t="shared" si="78"/>
        <v>424</v>
      </c>
      <c r="CI50" s="14">
        <f t="shared" si="182"/>
        <v>0.18</v>
      </c>
      <c r="CJ50" s="47">
        <f t="shared" si="55"/>
        <v>1.1408682200522091</v>
      </c>
      <c r="CK50" s="35">
        <f t="shared" si="183"/>
        <v>2.56</v>
      </c>
      <c r="CL50" s="156">
        <f t="shared" si="206"/>
        <v>0.81602802209434366</v>
      </c>
      <c r="CM50" s="134">
        <v>0</v>
      </c>
      <c r="CN50" s="14">
        <f t="shared" si="184"/>
        <v>38</v>
      </c>
      <c r="CO50" s="442">
        <f t="shared" si="187"/>
        <v>0</v>
      </c>
      <c r="CP50" s="68">
        <f t="shared" si="56"/>
        <v>1138.4173407012204</v>
      </c>
      <c r="CQ50" s="51">
        <f t="shared" si="185"/>
        <v>425</v>
      </c>
      <c r="CR50" s="103">
        <f t="shared" ref="CR50:CR54" si="222">CR49</f>
        <v>415</v>
      </c>
      <c r="CS50" s="46">
        <f t="shared" si="112"/>
        <v>10</v>
      </c>
      <c r="CT50" s="50">
        <f t="shared" si="186"/>
        <v>79</v>
      </c>
      <c r="CU50" s="103">
        <f t="shared" ref="CU50:CU54" si="223">CU49</f>
        <v>56</v>
      </c>
      <c r="CV50" s="46">
        <f t="shared" si="41"/>
        <v>23</v>
      </c>
    </row>
    <row r="51" spans="1:100" ht="17.25" thickBot="1" x14ac:dyDescent="0.3">
      <c r="B51" s="120">
        <f t="shared" si="208"/>
        <v>20</v>
      </c>
      <c r="C51" s="7">
        <f t="shared" si="209"/>
        <v>6</v>
      </c>
      <c r="D51" s="133"/>
      <c r="E51" s="48">
        <f t="shared" si="204"/>
        <v>0</v>
      </c>
      <c r="F51" s="49">
        <f t="shared" si="205"/>
        <v>0</v>
      </c>
      <c r="G51" s="142"/>
      <c r="H51" s="135"/>
      <c r="I51" s="135"/>
      <c r="J51" s="14">
        <f t="shared" si="81"/>
        <v>0</v>
      </c>
      <c r="K51" s="14">
        <f t="shared" si="92"/>
        <v>9358</v>
      </c>
      <c r="L51" s="14">
        <f t="shared" si="176"/>
        <v>0.18</v>
      </c>
      <c r="M51" s="47">
        <f t="shared" si="26"/>
        <v>0</v>
      </c>
      <c r="N51" s="35">
        <f t="shared" si="177"/>
        <v>2.56</v>
      </c>
      <c r="O51" s="157">
        <f t="shared" si="157"/>
        <v>0</v>
      </c>
      <c r="P51" s="134"/>
      <c r="Q51" s="14">
        <f t="shared" si="178"/>
        <v>38</v>
      </c>
      <c r="R51" s="482">
        <f t="shared" si="29"/>
        <v>0</v>
      </c>
      <c r="S51" s="470">
        <f t="shared" si="82"/>
        <v>0</v>
      </c>
      <c r="T51" s="51">
        <f t="shared" si="179"/>
        <v>425</v>
      </c>
      <c r="U51" s="103">
        <f t="shared" si="210"/>
        <v>0</v>
      </c>
      <c r="V51" s="46">
        <f t="shared" si="94"/>
        <v>425</v>
      </c>
      <c r="W51" s="50">
        <f t="shared" si="180"/>
        <v>79</v>
      </c>
      <c r="X51" s="103">
        <f t="shared" si="211"/>
        <v>0</v>
      </c>
      <c r="Y51" s="46">
        <f t="shared" si="31"/>
        <v>79</v>
      </c>
      <c r="Z51" s="487"/>
      <c r="AA51" s="120">
        <f t="shared" si="212"/>
        <v>20</v>
      </c>
      <c r="AB51" s="7">
        <f t="shared" si="213"/>
        <v>6</v>
      </c>
      <c r="AC51" s="133"/>
      <c r="AD51" s="48">
        <f t="shared" si="132"/>
        <v>60319</v>
      </c>
      <c r="AE51" s="196">
        <f t="shared" ref="AE51:AE114" si="224">IFERROR(AD51-AI51,0)</f>
        <v>60310</v>
      </c>
      <c r="AF51" s="134"/>
      <c r="AG51" s="135">
        <v>9</v>
      </c>
      <c r="AH51" s="135"/>
      <c r="AI51" s="14">
        <f t="shared" si="84"/>
        <v>9</v>
      </c>
      <c r="AJ51" s="14">
        <f t="shared" si="130"/>
        <v>497</v>
      </c>
      <c r="AK51" s="14">
        <f t="shared" si="6"/>
        <v>0.18</v>
      </c>
      <c r="AL51" s="47">
        <f t="shared" si="33"/>
        <v>1.4920671761799764E-2</v>
      </c>
      <c r="AM51" s="35">
        <f t="shared" si="7"/>
        <v>2.56</v>
      </c>
      <c r="AN51" s="156">
        <f t="shared" si="207"/>
        <v>0.82265700003310493</v>
      </c>
      <c r="AO51" s="134">
        <v>2520</v>
      </c>
      <c r="AP51" s="14">
        <f t="shared" si="8"/>
        <v>38</v>
      </c>
      <c r="AQ51" s="482">
        <f t="shared" si="34"/>
        <v>41.777880933039341</v>
      </c>
      <c r="AR51" s="470">
        <f t="shared" si="133"/>
        <v>624.51810076627805</v>
      </c>
      <c r="AS51" s="51">
        <f t="shared" si="9"/>
        <v>425</v>
      </c>
      <c r="AT51" s="103">
        <f t="shared" si="214"/>
        <v>392</v>
      </c>
      <c r="AU51" s="46">
        <f t="shared" si="110"/>
        <v>33</v>
      </c>
      <c r="AV51" s="50">
        <f t="shared" si="10"/>
        <v>79</v>
      </c>
      <c r="AW51" s="103">
        <f t="shared" si="215"/>
        <v>64</v>
      </c>
      <c r="AX51" s="46">
        <f t="shared" si="75"/>
        <v>15</v>
      </c>
      <c r="AZ51" s="120">
        <f t="shared" si="216"/>
        <v>20</v>
      </c>
      <c r="BA51" s="7">
        <f t="shared" si="217"/>
        <v>6</v>
      </c>
      <c r="BB51" s="133"/>
      <c r="BC51" s="48">
        <f t="shared" ref="BC51:BC102" si="225">IFERROR(BD50+BB51,0)</f>
        <v>68147</v>
      </c>
      <c r="BD51" s="196">
        <f t="shared" ref="BD51:BD114" si="226">IFERROR(BC51-BH51,0)</f>
        <v>68090</v>
      </c>
      <c r="BE51" s="134"/>
      <c r="BF51" s="135">
        <v>57</v>
      </c>
      <c r="BG51" s="135"/>
      <c r="BH51" s="14">
        <f t="shared" si="85"/>
        <v>57</v>
      </c>
      <c r="BI51" s="14">
        <f t="shared" si="123"/>
        <v>1028</v>
      </c>
      <c r="BJ51" s="14">
        <f t="shared" si="12"/>
        <v>0.18</v>
      </c>
      <c r="BK51" s="47">
        <f t="shared" si="50"/>
        <v>8.364271354571734E-2</v>
      </c>
      <c r="BL51" s="35">
        <f t="shared" si="13"/>
        <v>2.56</v>
      </c>
      <c r="BM51" s="435">
        <f t="shared" si="160"/>
        <v>1.4884313555150146</v>
      </c>
      <c r="BN51" s="134">
        <v>4104</v>
      </c>
      <c r="BO51" s="14">
        <f t="shared" si="15"/>
        <v>38</v>
      </c>
      <c r="BP51" s="442">
        <f t="shared" si="51"/>
        <v>60.222753752916489</v>
      </c>
      <c r="BQ51" s="68">
        <f t="shared" si="66"/>
        <v>983.45294181875636</v>
      </c>
      <c r="BR51" s="51">
        <f t="shared" si="16"/>
        <v>425</v>
      </c>
      <c r="BS51" s="103">
        <f t="shared" si="218"/>
        <v>395</v>
      </c>
      <c r="BT51" s="46">
        <f t="shared" si="111"/>
        <v>30</v>
      </c>
      <c r="BU51" s="50">
        <f t="shared" si="18"/>
        <v>79</v>
      </c>
      <c r="BV51" s="103">
        <f t="shared" si="219"/>
        <v>52</v>
      </c>
      <c r="BW51" s="46">
        <f t="shared" si="76"/>
        <v>27</v>
      </c>
      <c r="BY51" s="120">
        <f t="shared" si="220"/>
        <v>20</v>
      </c>
      <c r="BZ51" s="7">
        <f t="shared" si="221"/>
        <v>6</v>
      </c>
      <c r="CA51" s="133"/>
      <c r="CB51" s="14">
        <f t="shared" si="77"/>
        <v>51656</v>
      </c>
      <c r="CC51" s="59">
        <f t="shared" si="86"/>
        <v>51634</v>
      </c>
      <c r="CD51" s="405"/>
      <c r="CE51" s="406">
        <v>22</v>
      </c>
      <c r="CF51" s="406"/>
      <c r="CG51" s="14">
        <f t="shared" si="87"/>
        <v>22</v>
      </c>
      <c r="CH51" s="14">
        <f t="shared" si="78"/>
        <v>446</v>
      </c>
      <c r="CI51" s="14">
        <f t="shared" si="182"/>
        <v>0.18</v>
      </c>
      <c r="CJ51" s="47">
        <f t="shared" si="55"/>
        <v>0.42589437819420783</v>
      </c>
      <c r="CK51" s="35">
        <f t="shared" si="183"/>
        <v>2.56</v>
      </c>
      <c r="CL51" s="156">
        <f t="shared" si="206"/>
        <v>0.85836909871244638</v>
      </c>
      <c r="CM51" s="134">
        <v>1440</v>
      </c>
      <c r="CN51" s="14">
        <f t="shared" si="184"/>
        <v>38</v>
      </c>
      <c r="CO51" s="442">
        <f t="shared" si="187"/>
        <v>27.876722936348148</v>
      </c>
      <c r="CP51" s="68">
        <f t="shared" si="56"/>
        <v>1166.2940636375686</v>
      </c>
      <c r="CQ51" s="51">
        <f t="shared" si="185"/>
        <v>425</v>
      </c>
      <c r="CR51" s="103">
        <f t="shared" si="222"/>
        <v>415</v>
      </c>
      <c r="CS51" s="46">
        <f t="shared" si="112"/>
        <v>10</v>
      </c>
      <c r="CT51" s="50">
        <f t="shared" si="186"/>
        <v>79</v>
      </c>
      <c r="CU51" s="103">
        <f t="shared" si="223"/>
        <v>56</v>
      </c>
      <c r="CV51" s="46">
        <f t="shared" si="41"/>
        <v>23</v>
      </c>
    </row>
    <row r="52" spans="1:100" ht="17.25" thickBot="1" x14ac:dyDescent="0.3">
      <c r="B52" s="120">
        <f t="shared" si="208"/>
        <v>21</v>
      </c>
      <c r="C52" s="7">
        <f t="shared" si="209"/>
        <v>6</v>
      </c>
      <c r="D52" s="133"/>
      <c r="E52" s="48">
        <f t="shared" si="204"/>
        <v>0</v>
      </c>
      <c r="F52" s="49">
        <f t="shared" si="205"/>
        <v>0</v>
      </c>
      <c r="G52" s="142"/>
      <c r="H52" s="135"/>
      <c r="I52" s="135"/>
      <c r="J52" s="14">
        <f t="shared" si="81"/>
        <v>0</v>
      </c>
      <c r="K52" s="14">
        <f t="shared" si="92"/>
        <v>9358</v>
      </c>
      <c r="L52" s="14">
        <f t="shared" si="176"/>
        <v>0.18</v>
      </c>
      <c r="M52" s="47">
        <f t="shared" si="26"/>
        <v>0</v>
      </c>
      <c r="N52" s="35">
        <f t="shared" si="177"/>
        <v>2.56</v>
      </c>
      <c r="O52" s="157">
        <f t="shared" si="157"/>
        <v>0</v>
      </c>
      <c r="P52" s="134"/>
      <c r="Q52" s="14">
        <f t="shared" si="178"/>
        <v>38</v>
      </c>
      <c r="R52" s="482">
        <f t="shared" si="29"/>
        <v>0</v>
      </c>
      <c r="S52" s="470">
        <f t="shared" si="82"/>
        <v>0</v>
      </c>
      <c r="T52" s="51">
        <f t="shared" si="179"/>
        <v>425</v>
      </c>
      <c r="U52" s="103">
        <f t="shared" si="210"/>
        <v>0</v>
      </c>
      <c r="V52" s="46">
        <f t="shared" si="94"/>
        <v>425</v>
      </c>
      <c r="W52" s="51">
        <f t="shared" si="180"/>
        <v>79</v>
      </c>
      <c r="X52" s="103">
        <f t="shared" si="211"/>
        <v>0</v>
      </c>
      <c r="Y52" s="46">
        <f t="shared" si="31"/>
        <v>79</v>
      </c>
      <c r="Z52" s="487"/>
      <c r="AA52" s="120">
        <f t="shared" si="212"/>
        <v>21</v>
      </c>
      <c r="AB52" s="7">
        <f t="shared" si="213"/>
        <v>6</v>
      </c>
      <c r="AC52" s="133"/>
      <c r="AD52" s="48">
        <f t="shared" si="132"/>
        <v>60310</v>
      </c>
      <c r="AE52" s="196">
        <f t="shared" si="224"/>
        <v>60299</v>
      </c>
      <c r="AF52" s="134"/>
      <c r="AG52" s="135">
        <v>11</v>
      </c>
      <c r="AH52" s="135"/>
      <c r="AI52" s="14">
        <f t="shared" si="84"/>
        <v>11</v>
      </c>
      <c r="AJ52" s="14">
        <f t="shared" si="130"/>
        <v>508</v>
      </c>
      <c r="AK52" s="14">
        <f t="shared" si="6"/>
        <v>0.18</v>
      </c>
      <c r="AL52" s="47">
        <f t="shared" si="33"/>
        <v>1.8239097993699219E-2</v>
      </c>
      <c r="AM52" s="35">
        <f t="shared" si="7"/>
        <v>2.56</v>
      </c>
      <c r="AN52" s="156">
        <f t="shared" si="207"/>
        <v>0.84086470023504489</v>
      </c>
      <c r="AO52" s="134">
        <v>2709</v>
      </c>
      <c r="AP52" s="14">
        <f t="shared" si="8"/>
        <v>38</v>
      </c>
      <c r="AQ52" s="482">
        <f t="shared" si="34"/>
        <v>44.917924059028358</v>
      </c>
      <c r="AR52" s="470">
        <f t="shared" si="133"/>
        <v>669.43602482530639</v>
      </c>
      <c r="AS52" s="51">
        <f t="shared" si="9"/>
        <v>425</v>
      </c>
      <c r="AT52" s="103">
        <f t="shared" si="214"/>
        <v>392</v>
      </c>
      <c r="AU52" s="46">
        <f t="shared" si="110"/>
        <v>33</v>
      </c>
      <c r="AV52" s="51">
        <f t="shared" si="10"/>
        <v>79</v>
      </c>
      <c r="AW52" s="103">
        <f t="shared" si="215"/>
        <v>64</v>
      </c>
      <c r="AX52" s="46">
        <f t="shared" si="75"/>
        <v>15</v>
      </c>
      <c r="AZ52" s="120">
        <f t="shared" si="216"/>
        <v>21</v>
      </c>
      <c r="BA52" s="7">
        <f t="shared" si="217"/>
        <v>6</v>
      </c>
      <c r="BB52" s="133"/>
      <c r="BC52" s="48">
        <f t="shared" si="225"/>
        <v>68090</v>
      </c>
      <c r="BD52" s="196">
        <f t="shared" si="226"/>
        <v>68036</v>
      </c>
      <c r="BE52" s="134"/>
      <c r="BF52" s="135">
        <v>54</v>
      </c>
      <c r="BG52" s="135"/>
      <c r="BH52" s="14">
        <f t="shared" si="85"/>
        <v>54</v>
      </c>
      <c r="BI52" s="14">
        <f t="shared" si="123"/>
        <v>1082</v>
      </c>
      <c r="BJ52" s="14">
        <f t="shared" si="12"/>
        <v>0.18</v>
      </c>
      <c r="BK52" s="47">
        <f t="shared" si="50"/>
        <v>7.9306799823762666E-2</v>
      </c>
      <c r="BL52" s="35">
        <f t="shared" si="13"/>
        <v>2.56</v>
      </c>
      <c r="BM52" s="435">
        <f t="shared" si="160"/>
        <v>1.5666174383922624</v>
      </c>
      <c r="BN52" s="134">
        <v>4464</v>
      </c>
      <c r="BO52" s="14">
        <f t="shared" si="15"/>
        <v>38</v>
      </c>
      <c r="BP52" s="442">
        <f t="shared" si="51"/>
        <v>65.560287854310474</v>
      </c>
      <c r="BQ52" s="68">
        <f t="shared" si="66"/>
        <v>1049.0132296730669</v>
      </c>
      <c r="BR52" s="51">
        <f t="shared" si="16"/>
        <v>425</v>
      </c>
      <c r="BS52" s="103">
        <f t="shared" si="218"/>
        <v>395</v>
      </c>
      <c r="BT52" s="46">
        <f t="shared" si="111"/>
        <v>30</v>
      </c>
      <c r="BU52" s="51">
        <f t="shared" si="18"/>
        <v>79</v>
      </c>
      <c r="BV52" s="103">
        <f t="shared" si="219"/>
        <v>52</v>
      </c>
      <c r="BW52" s="46">
        <f t="shared" si="76"/>
        <v>27</v>
      </c>
      <c r="BY52" s="120">
        <f t="shared" si="220"/>
        <v>21</v>
      </c>
      <c r="BZ52" s="7">
        <f t="shared" si="221"/>
        <v>6</v>
      </c>
      <c r="CA52" s="133"/>
      <c r="CB52" s="14">
        <f t="shared" si="77"/>
        <v>51634</v>
      </c>
      <c r="CC52" s="59">
        <f t="shared" si="86"/>
        <v>51626</v>
      </c>
      <c r="CD52" s="405"/>
      <c r="CE52" s="406">
        <v>8</v>
      </c>
      <c r="CF52" s="406"/>
      <c r="CG52" s="14">
        <f t="shared" si="87"/>
        <v>8</v>
      </c>
      <c r="CH52" s="14">
        <f t="shared" si="78"/>
        <v>454</v>
      </c>
      <c r="CI52" s="14">
        <f t="shared" si="182"/>
        <v>0.18</v>
      </c>
      <c r="CJ52" s="47">
        <f t="shared" si="55"/>
        <v>0.15493666963628616</v>
      </c>
      <c r="CK52" s="35">
        <f t="shared" si="183"/>
        <v>2.56</v>
      </c>
      <c r="CL52" s="156">
        <f t="shared" si="206"/>
        <v>0.8737658538463019</v>
      </c>
      <c r="CM52" s="134">
        <v>1260</v>
      </c>
      <c r="CN52" s="14">
        <f t="shared" si="184"/>
        <v>38</v>
      </c>
      <c r="CO52" s="442">
        <f t="shared" si="187"/>
        <v>24.402525467715073</v>
      </c>
      <c r="CP52" s="68">
        <f t="shared" si="56"/>
        <v>1190.6965891052837</v>
      </c>
      <c r="CQ52" s="51">
        <f t="shared" si="185"/>
        <v>425</v>
      </c>
      <c r="CR52" s="103">
        <f t="shared" si="222"/>
        <v>415</v>
      </c>
      <c r="CS52" s="46">
        <f t="shared" si="112"/>
        <v>10</v>
      </c>
      <c r="CT52" s="50">
        <f t="shared" si="186"/>
        <v>79</v>
      </c>
      <c r="CU52" s="103">
        <f t="shared" si="223"/>
        <v>56</v>
      </c>
      <c r="CV52" s="46">
        <f t="shared" si="41"/>
        <v>23</v>
      </c>
    </row>
    <row r="53" spans="1:100" ht="17.25" thickBot="1" x14ac:dyDescent="0.3">
      <c r="B53" s="120">
        <f t="shared" si="208"/>
        <v>22</v>
      </c>
      <c r="C53" s="7">
        <f t="shared" si="209"/>
        <v>6</v>
      </c>
      <c r="D53" s="133"/>
      <c r="E53" s="48">
        <f t="shared" si="204"/>
        <v>0</v>
      </c>
      <c r="F53" s="49">
        <f t="shared" si="205"/>
        <v>0</v>
      </c>
      <c r="G53" s="142"/>
      <c r="H53" s="135"/>
      <c r="I53" s="135"/>
      <c r="J53" s="14">
        <f t="shared" si="81"/>
        <v>0</v>
      </c>
      <c r="K53" s="14">
        <f t="shared" si="92"/>
        <v>9358</v>
      </c>
      <c r="L53" s="14">
        <f t="shared" si="176"/>
        <v>0.18</v>
      </c>
      <c r="M53" s="47">
        <f t="shared" si="26"/>
        <v>0</v>
      </c>
      <c r="N53" s="35">
        <f t="shared" si="177"/>
        <v>2.56</v>
      </c>
      <c r="O53" s="157">
        <f t="shared" si="157"/>
        <v>0</v>
      </c>
      <c r="P53" s="134"/>
      <c r="Q53" s="14">
        <f t="shared" si="178"/>
        <v>38</v>
      </c>
      <c r="R53" s="482">
        <f t="shared" si="29"/>
        <v>0</v>
      </c>
      <c r="S53" s="470">
        <f t="shared" si="82"/>
        <v>0</v>
      </c>
      <c r="T53" s="51">
        <f t="shared" si="179"/>
        <v>425</v>
      </c>
      <c r="U53" s="103">
        <f t="shared" si="210"/>
        <v>0</v>
      </c>
      <c r="V53" s="46">
        <f t="shared" si="94"/>
        <v>425</v>
      </c>
      <c r="W53" s="12">
        <f t="shared" si="180"/>
        <v>79</v>
      </c>
      <c r="X53" s="103">
        <f t="shared" si="211"/>
        <v>0</v>
      </c>
      <c r="Y53" s="46">
        <f t="shared" si="31"/>
        <v>79</v>
      </c>
      <c r="Z53" s="487"/>
      <c r="AA53" s="120">
        <f t="shared" si="212"/>
        <v>22</v>
      </c>
      <c r="AB53" s="7">
        <f t="shared" si="213"/>
        <v>6</v>
      </c>
      <c r="AC53" s="133"/>
      <c r="AD53" s="48">
        <f t="shared" si="132"/>
        <v>60299</v>
      </c>
      <c r="AE53" s="49">
        <f t="shared" si="224"/>
        <v>60297</v>
      </c>
      <c r="AF53" s="134"/>
      <c r="AG53" s="135">
        <v>2</v>
      </c>
      <c r="AH53" s="135"/>
      <c r="AI53" s="14">
        <f t="shared" si="84"/>
        <v>2</v>
      </c>
      <c r="AJ53" s="14">
        <f t="shared" si="130"/>
        <v>510</v>
      </c>
      <c r="AK53" s="14">
        <f t="shared" si="6"/>
        <v>0.18</v>
      </c>
      <c r="AL53" s="47">
        <f t="shared" si="33"/>
        <v>3.3168045904575531E-3</v>
      </c>
      <c r="AM53" s="35">
        <f t="shared" si="7"/>
        <v>2.56</v>
      </c>
      <c r="AN53" s="156">
        <f t="shared" si="207"/>
        <v>0.84417519118085216</v>
      </c>
      <c r="AO53" s="134">
        <v>3096</v>
      </c>
      <c r="AP53" s="14">
        <f t="shared" si="8"/>
        <v>38</v>
      </c>
      <c r="AQ53" s="482">
        <f t="shared" si="34"/>
        <v>51.344135060282923</v>
      </c>
      <c r="AR53" s="470">
        <f t="shared" si="133"/>
        <v>720.78015988558934</v>
      </c>
      <c r="AS53" s="51">
        <f t="shared" si="9"/>
        <v>425</v>
      </c>
      <c r="AT53" s="103">
        <f t="shared" si="214"/>
        <v>392</v>
      </c>
      <c r="AU53" s="46">
        <f t="shared" si="110"/>
        <v>33</v>
      </c>
      <c r="AV53" s="12">
        <f t="shared" si="10"/>
        <v>79</v>
      </c>
      <c r="AW53" s="103">
        <f t="shared" si="215"/>
        <v>64</v>
      </c>
      <c r="AX53" s="46">
        <f t="shared" si="75"/>
        <v>15</v>
      </c>
      <c r="AZ53" s="120">
        <f t="shared" si="216"/>
        <v>22</v>
      </c>
      <c r="BA53" s="7">
        <f t="shared" si="217"/>
        <v>6</v>
      </c>
      <c r="BB53" s="133"/>
      <c r="BC53" s="48">
        <f t="shared" si="225"/>
        <v>68036</v>
      </c>
      <c r="BD53" s="49">
        <f t="shared" si="226"/>
        <v>68018</v>
      </c>
      <c r="BE53" s="134"/>
      <c r="BF53" s="135">
        <v>18</v>
      </c>
      <c r="BG53" s="135"/>
      <c r="BH53" s="14">
        <f t="shared" si="85"/>
        <v>18</v>
      </c>
      <c r="BI53" s="14">
        <f t="shared" si="123"/>
        <v>1100</v>
      </c>
      <c r="BJ53" s="14">
        <f t="shared" si="12"/>
        <v>0.18</v>
      </c>
      <c r="BK53" s="47">
        <f t="shared" si="50"/>
        <v>2.6456581809630196E-2</v>
      </c>
      <c r="BL53" s="35">
        <f t="shared" si="13"/>
        <v>2.56</v>
      </c>
      <c r="BM53" s="435">
        <f t="shared" si="160"/>
        <v>1.5926794660180117</v>
      </c>
      <c r="BN53" s="134">
        <v>2214</v>
      </c>
      <c r="BO53" s="14">
        <f t="shared" si="15"/>
        <v>38</v>
      </c>
      <c r="BP53" s="442">
        <f t="shared" si="51"/>
        <v>32.54159562584514</v>
      </c>
      <c r="BQ53" s="68">
        <f t="shared" si="66"/>
        <v>1081.554825298912</v>
      </c>
      <c r="BR53" s="51">
        <f t="shared" si="16"/>
        <v>425</v>
      </c>
      <c r="BS53" s="103">
        <f t="shared" si="218"/>
        <v>395</v>
      </c>
      <c r="BT53" s="46">
        <f t="shared" si="111"/>
        <v>30</v>
      </c>
      <c r="BU53" s="12">
        <f t="shared" si="18"/>
        <v>79</v>
      </c>
      <c r="BV53" s="103">
        <f t="shared" si="219"/>
        <v>52</v>
      </c>
      <c r="BW53" s="46">
        <f t="shared" si="76"/>
        <v>27</v>
      </c>
      <c r="BY53" s="120">
        <f t="shared" si="220"/>
        <v>22</v>
      </c>
      <c r="BZ53" s="7">
        <f t="shared" si="221"/>
        <v>6</v>
      </c>
      <c r="CA53" s="133"/>
      <c r="CB53" s="14">
        <f t="shared" si="77"/>
        <v>51626</v>
      </c>
      <c r="CC53" s="46">
        <f>IFERROR(CB53-CG53,0)</f>
        <v>51608</v>
      </c>
      <c r="CD53" s="405"/>
      <c r="CE53" s="406">
        <v>18</v>
      </c>
      <c r="CF53" s="406"/>
      <c r="CG53" s="14">
        <f t="shared" si="87"/>
        <v>18</v>
      </c>
      <c r="CH53" s="14">
        <f t="shared" si="78"/>
        <v>472</v>
      </c>
      <c r="CI53" s="14">
        <f t="shared" si="182"/>
        <v>0.18</v>
      </c>
      <c r="CJ53" s="47">
        <f t="shared" si="55"/>
        <v>0.34866152713748888</v>
      </c>
      <c r="CK53" s="35">
        <f t="shared" si="183"/>
        <v>2.56</v>
      </c>
      <c r="CL53" s="156">
        <f>IFERROR((CH53*100)/$CB$47,0)</f>
        <v>0.90840855289747691</v>
      </c>
      <c r="CM53" s="134">
        <v>1620</v>
      </c>
      <c r="CN53" s="14">
        <f t="shared" si="184"/>
        <v>38</v>
      </c>
      <c r="CO53" s="442">
        <f t="shared" si="187"/>
        <v>31.379537442373998</v>
      </c>
      <c r="CP53" s="68">
        <f t="shared" si="56"/>
        <v>1222.0761265476576</v>
      </c>
      <c r="CQ53" s="51">
        <f t="shared" si="185"/>
        <v>425</v>
      </c>
      <c r="CR53" s="103">
        <f t="shared" si="222"/>
        <v>415</v>
      </c>
      <c r="CS53" s="46">
        <f t="shared" si="112"/>
        <v>10</v>
      </c>
      <c r="CT53" s="50">
        <f t="shared" si="186"/>
        <v>79</v>
      </c>
      <c r="CU53" s="103">
        <f t="shared" si="223"/>
        <v>56</v>
      </c>
      <c r="CV53" s="46">
        <f t="shared" si="41"/>
        <v>23</v>
      </c>
    </row>
    <row r="54" spans="1:100" ht="17.25" thickBot="1" x14ac:dyDescent="0.3">
      <c r="B54" s="119">
        <f t="shared" si="208"/>
        <v>23</v>
      </c>
      <c r="C54" s="95">
        <f t="shared" si="209"/>
        <v>6</v>
      </c>
      <c r="D54" s="203"/>
      <c r="E54" s="67">
        <f t="shared" si="204"/>
        <v>0</v>
      </c>
      <c r="F54" s="196">
        <f t="shared" si="205"/>
        <v>0</v>
      </c>
      <c r="G54" s="237"/>
      <c r="H54" s="205"/>
      <c r="I54" s="205"/>
      <c r="J54" s="31">
        <f t="shared" si="81"/>
        <v>0</v>
      </c>
      <c r="K54" s="31">
        <f t="shared" si="92"/>
        <v>9358</v>
      </c>
      <c r="L54" s="13">
        <f t="shared" si="176"/>
        <v>0.18</v>
      </c>
      <c r="M54" s="231">
        <f t="shared" si="26"/>
        <v>0</v>
      </c>
      <c r="N54" s="161">
        <f t="shared" si="177"/>
        <v>2.56</v>
      </c>
      <c r="O54" s="157">
        <f t="shared" si="157"/>
        <v>0</v>
      </c>
      <c r="P54" s="204"/>
      <c r="Q54" s="13">
        <f t="shared" si="178"/>
        <v>38</v>
      </c>
      <c r="R54" s="482">
        <f t="shared" si="29"/>
        <v>0</v>
      </c>
      <c r="S54" s="641">
        <f t="shared" si="82"/>
        <v>0</v>
      </c>
      <c r="T54" s="50">
        <f t="shared" si="179"/>
        <v>425</v>
      </c>
      <c r="U54" s="202">
        <f t="shared" si="210"/>
        <v>0</v>
      </c>
      <c r="V54" s="62">
        <f t="shared" si="94"/>
        <v>425</v>
      </c>
      <c r="W54" s="50">
        <f t="shared" si="180"/>
        <v>79</v>
      </c>
      <c r="X54" s="202">
        <f t="shared" si="211"/>
        <v>0</v>
      </c>
      <c r="Y54" s="62">
        <f t="shared" si="31"/>
        <v>79</v>
      </c>
      <c r="Z54" s="487"/>
      <c r="AA54" s="120">
        <f t="shared" si="212"/>
        <v>23</v>
      </c>
      <c r="AB54" s="8">
        <f t="shared" si="213"/>
        <v>6</v>
      </c>
      <c r="AC54" s="136"/>
      <c r="AD54" s="54">
        <f t="shared" si="132"/>
        <v>60297</v>
      </c>
      <c r="AE54" s="448">
        <f t="shared" si="224"/>
        <v>60297</v>
      </c>
      <c r="AF54" s="137"/>
      <c r="AG54" s="205">
        <v>0</v>
      </c>
      <c r="AH54" s="138"/>
      <c r="AI54" s="34">
        <f t="shared" si="84"/>
        <v>0</v>
      </c>
      <c r="AJ54" s="34">
        <f t="shared" si="130"/>
        <v>510</v>
      </c>
      <c r="AK54" s="32">
        <f t="shared" si="6"/>
        <v>0.18</v>
      </c>
      <c r="AL54" s="231">
        <f t="shared" si="33"/>
        <v>0</v>
      </c>
      <c r="AM54" s="36">
        <f t="shared" si="7"/>
        <v>2.56</v>
      </c>
      <c r="AN54" s="156">
        <f t="shared" si="207"/>
        <v>0.84417519118085216</v>
      </c>
      <c r="AO54" s="204">
        <v>0</v>
      </c>
      <c r="AP54" s="13">
        <f t="shared" si="8"/>
        <v>38</v>
      </c>
      <c r="AQ54" s="443">
        <f t="shared" si="34"/>
        <v>0</v>
      </c>
      <c r="AR54" s="471">
        <f t="shared" si="133"/>
        <v>720.78015988558934</v>
      </c>
      <c r="AS54" s="50">
        <f t="shared" si="9"/>
        <v>425</v>
      </c>
      <c r="AT54" s="103">
        <f t="shared" si="214"/>
        <v>392</v>
      </c>
      <c r="AU54" s="63">
        <f t="shared" si="110"/>
        <v>33</v>
      </c>
      <c r="AV54" s="56">
        <f t="shared" si="10"/>
        <v>79</v>
      </c>
      <c r="AW54" s="103">
        <f t="shared" si="215"/>
        <v>64</v>
      </c>
      <c r="AX54" s="63">
        <f t="shared" si="75"/>
        <v>15</v>
      </c>
      <c r="AZ54" s="120">
        <f t="shared" si="216"/>
        <v>23</v>
      </c>
      <c r="BA54" s="8">
        <f t="shared" si="217"/>
        <v>6</v>
      </c>
      <c r="BB54" s="136"/>
      <c r="BC54" s="54">
        <f t="shared" si="225"/>
        <v>68018</v>
      </c>
      <c r="BD54" s="448">
        <f t="shared" si="226"/>
        <v>68006</v>
      </c>
      <c r="BE54" s="137"/>
      <c r="BF54" s="138">
        <v>12</v>
      </c>
      <c r="BG54" s="138"/>
      <c r="BH54" s="34">
        <f t="shared" si="85"/>
        <v>12</v>
      </c>
      <c r="BI54" s="34">
        <f t="shared" si="123"/>
        <v>1112</v>
      </c>
      <c r="BJ54" s="32">
        <f t="shared" si="12"/>
        <v>0.18</v>
      </c>
      <c r="BK54" s="96">
        <f t="shared" si="50"/>
        <v>1.7642388779440736E-2</v>
      </c>
      <c r="BL54" s="36">
        <f t="shared" si="13"/>
        <v>2.56</v>
      </c>
      <c r="BM54" s="435">
        <f t="shared" si="160"/>
        <v>1.6100541511018447</v>
      </c>
      <c r="BN54" s="137">
        <v>2808</v>
      </c>
      <c r="BO54" s="13">
        <f t="shared" si="15"/>
        <v>38</v>
      </c>
      <c r="BP54" s="443">
        <f t="shared" si="51"/>
        <v>41.28318974389132</v>
      </c>
      <c r="BQ54" s="70">
        <f t="shared" si="66"/>
        <v>1122.8380150428034</v>
      </c>
      <c r="BR54" s="50">
        <f t="shared" si="16"/>
        <v>425</v>
      </c>
      <c r="BS54" s="103">
        <f t="shared" si="218"/>
        <v>395</v>
      </c>
      <c r="BT54" s="63">
        <f t="shared" si="111"/>
        <v>30</v>
      </c>
      <c r="BU54" s="56">
        <f t="shared" si="18"/>
        <v>79</v>
      </c>
      <c r="BV54" s="103">
        <f t="shared" si="219"/>
        <v>52</v>
      </c>
      <c r="BW54" s="63">
        <f t="shared" si="76"/>
        <v>27</v>
      </c>
      <c r="BY54" s="120">
        <f t="shared" si="220"/>
        <v>23</v>
      </c>
      <c r="BZ54" s="8">
        <f t="shared" si="221"/>
        <v>6</v>
      </c>
      <c r="CA54" s="136"/>
      <c r="CB54" s="32">
        <f t="shared" si="77"/>
        <v>51608</v>
      </c>
      <c r="CC54" s="63">
        <f t="shared" si="86"/>
        <v>51607</v>
      </c>
      <c r="CD54" s="421"/>
      <c r="CE54" s="426">
        <v>1</v>
      </c>
      <c r="CF54" s="426"/>
      <c r="CG54" s="34">
        <f t="shared" si="87"/>
        <v>1</v>
      </c>
      <c r="CH54" s="34">
        <f t="shared" si="78"/>
        <v>473</v>
      </c>
      <c r="CI54" s="32">
        <f t="shared" si="182"/>
        <v>0.18</v>
      </c>
      <c r="CJ54" s="96">
        <f t="shared" si="55"/>
        <v>1.9376840799875988E-2</v>
      </c>
      <c r="CK54" s="36">
        <f t="shared" si="183"/>
        <v>2.56</v>
      </c>
      <c r="CL54" s="156">
        <f t="shared" si="206"/>
        <v>0.91033314728920878</v>
      </c>
      <c r="CM54" s="137">
        <v>2160</v>
      </c>
      <c r="CN54" s="13">
        <f t="shared" si="184"/>
        <v>38</v>
      </c>
      <c r="CO54" s="443">
        <f t="shared" si="187"/>
        <v>41.853976127732132</v>
      </c>
      <c r="CP54" s="70">
        <f t="shared" si="56"/>
        <v>1263.9301026753897</v>
      </c>
      <c r="CQ54" s="50">
        <f t="shared" si="185"/>
        <v>425</v>
      </c>
      <c r="CR54" s="103">
        <f t="shared" si="222"/>
        <v>415</v>
      </c>
      <c r="CS54" s="63">
        <f t="shared" si="112"/>
        <v>10</v>
      </c>
      <c r="CT54" s="56">
        <f t="shared" si="186"/>
        <v>79</v>
      </c>
      <c r="CU54" s="103">
        <f t="shared" si="223"/>
        <v>56</v>
      </c>
      <c r="CV54" s="63">
        <f t="shared" si="41"/>
        <v>23</v>
      </c>
    </row>
    <row r="55" spans="1:100" ht="17.25" thickBot="1" x14ac:dyDescent="0.3">
      <c r="B55" s="118">
        <v>24</v>
      </c>
      <c r="C55" s="9">
        <v>7</v>
      </c>
      <c r="D55" s="129"/>
      <c r="E55" s="43">
        <f t="shared" si="204"/>
        <v>0</v>
      </c>
      <c r="F55" s="44">
        <f t="shared" si="205"/>
        <v>0</v>
      </c>
      <c r="G55" s="158"/>
      <c r="H55" s="131"/>
      <c r="I55" s="131"/>
      <c r="J55" s="11">
        <f t="shared" si="81"/>
        <v>0</v>
      </c>
      <c r="K55" s="11">
        <f t="shared" si="92"/>
        <v>9358</v>
      </c>
      <c r="L55" s="16">
        <f t="shared" si="176"/>
        <v>0.16</v>
      </c>
      <c r="M55" s="153">
        <f t="shared" si="26"/>
        <v>0</v>
      </c>
      <c r="N55" s="154">
        <f t="shared" si="177"/>
        <v>2.72</v>
      </c>
      <c r="O55" s="132">
        <f t="shared" si="157"/>
        <v>0</v>
      </c>
      <c r="P55" s="130"/>
      <c r="Q55" s="11">
        <f t="shared" si="178"/>
        <v>42</v>
      </c>
      <c r="R55" s="481">
        <f t="shared" si="29"/>
        <v>0</v>
      </c>
      <c r="S55" s="469">
        <f t="shared" si="82"/>
        <v>0</v>
      </c>
      <c r="T55" s="58">
        <f t="shared" si="179"/>
        <v>524</v>
      </c>
      <c r="U55" s="131"/>
      <c r="V55" s="41">
        <f t="shared" si="94"/>
        <v>524</v>
      </c>
      <c r="W55" s="18">
        <f t="shared" si="180"/>
        <v>79</v>
      </c>
      <c r="X55" s="131"/>
      <c r="Y55" s="41">
        <f t="shared" si="31"/>
        <v>79</v>
      </c>
      <c r="Z55" s="487"/>
      <c r="AA55" s="118">
        <v>24</v>
      </c>
      <c r="AB55" s="9">
        <v>7</v>
      </c>
      <c r="AC55" s="129"/>
      <c r="AD55" s="60">
        <f t="shared" si="132"/>
        <v>60297</v>
      </c>
      <c r="AE55" s="44">
        <f t="shared" si="224"/>
        <v>60289</v>
      </c>
      <c r="AF55" s="130"/>
      <c r="AG55" s="131">
        <v>8</v>
      </c>
      <c r="AH55" s="131"/>
      <c r="AI55" s="11">
        <f t="shared" si="84"/>
        <v>8</v>
      </c>
      <c r="AJ55" s="11">
        <f t="shared" si="130"/>
        <v>518</v>
      </c>
      <c r="AK55" s="31">
        <f t="shared" si="6"/>
        <v>0.16</v>
      </c>
      <c r="AL55" s="153">
        <f t="shared" si="33"/>
        <v>1.326765842413387E-2</v>
      </c>
      <c r="AM55" s="37">
        <f t="shared" si="7"/>
        <v>2.72</v>
      </c>
      <c r="AN55" s="156">
        <f t="shared" si="207"/>
        <v>0.85741715496408122</v>
      </c>
      <c r="AO55" s="130">
        <v>1620</v>
      </c>
      <c r="AP55" s="11">
        <f t="shared" si="8"/>
        <v>42</v>
      </c>
      <c r="AQ55" s="481">
        <f t="shared" si="34"/>
        <v>26.867008308871089</v>
      </c>
      <c r="AR55" s="469">
        <f t="shared" si="133"/>
        <v>747.64716819446039</v>
      </c>
      <c r="AS55" s="58">
        <f t="shared" si="9"/>
        <v>524</v>
      </c>
      <c r="AT55" s="131">
        <v>497</v>
      </c>
      <c r="AU55" s="41">
        <f t="shared" si="110"/>
        <v>27</v>
      </c>
      <c r="AV55" s="18">
        <f t="shared" si="10"/>
        <v>79</v>
      </c>
      <c r="AW55" s="131">
        <v>76</v>
      </c>
      <c r="AX55" s="41">
        <f t="shared" si="75"/>
        <v>3</v>
      </c>
      <c r="AZ55" s="118">
        <v>24</v>
      </c>
      <c r="BA55" s="9">
        <v>7</v>
      </c>
      <c r="BB55" s="129"/>
      <c r="BC55" s="43">
        <f t="shared" si="225"/>
        <v>68006</v>
      </c>
      <c r="BD55" s="44">
        <f t="shared" si="226"/>
        <v>68001</v>
      </c>
      <c r="BE55" s="130"/>
      <c r="BF55" s="131">
        <v>5</v>
      </c>
      <c r="BG55" s="131"/>
      <c r="BH55" s="11">
        <f t="shared" si="85"/>
        <v>5</v>
      </c>
      <c r="BI55" s="11">
        <f t="shared" si="123"/>
        <v>1117</v>
      </c>
      <c r="BJ55" s="31">
        <f t="shared" si="12"/>
        <v>0.16</v>
      </c>
      <c r="BK55" s="235">
        <f t="shared" si="50"/>
        <v>7.3522924447842839E-3</v>
      </c>
      <c r="BL55" s="37">
        <f t="shared" si="13"/>
        <v>2.72</v>
      </c>
      <c r="BM55" s="435">
        <f t="shared" si="160"/>
        <v>1.6172936032201084</v>
      </c>
      <c r="BN55" s="130">
        <v>4122</v>
      </c>
      <c r="BO55" s="11">
        <f t="shared" si="15"/>
        <v>42</v>
      </c>
      <c r="BP55" s="479">
        <f t="shared" si="51"/>
        <v>60.612298914801634</v>
      </c>
      <c r="BQ55" s="377">
        <f t="shared" si="66"/>
        <v>1183.450313957605</v>
      </c>
      <c r="BR55" s="58">
        <f t="shared" si="16"/>
        <v>524</v>
      </c>
      <c r="BS55" s="131">
        <v>488</v>
      </c>
      <c r="BT55" s="41">
        <f t="shared" si="111"/>
        <v>36</v>
      </c>
      <c r="BU55" s="18">
        <f t="shared" si="18"/>
        <v>79</v>
      </c>
      <c r="BV55" s="131">
        <v>66</v>
      </c>
      <c r="BW55" s="41">
        <f t="shared" si="76"/>
        <v>13</v>
      </c>
      <c r="BY55" s="118">
        <v>24</v>
      </c>
      <c r="BZ55" s="9">
        <v>7</v>
      </c>
      <c r="CA55" s="129"/>
      <c r="CB55" s="11">
        <f t="shared" si="77"/>
        <v>51607</v>
      </c>
      <c r="CC55" s="41">
        <f t="shared" si="86"/>
        <v>51597</v>
      </c>
      <c r="CD55" s="398"/>
      <c r="CE55" s="399">
        <v>10</v>
      </c>
      <c r="CF55" s="399"/>
      <c r="CG55" s="11">
        <f t="shared" si="87"/>
        <v>10</v>
      </c>
      <c r="CH55" s="11">
        <f t="shared" si="78"/>
        <v>483</v>
      </c>
      <c r="CI55" s="17">
        <f t="shared" si="182"/>
        <v>0.16</v>
      </c>
      <c r="CJ55" s="235">
        <f t="shared" si="55"/>
        <v>0.19377216269110781</v>
      </c>
      <c r="CK55" s="33">
        <f t="shared" si="183"/>
        <v>2.72</v>
      </c>
      <c r="CL55" s="156">
        <f t="shared" si="206"/>
        <v>0.92957909120652826</v>
      </c>
      <c r="CM55" s="130">
        <v>1620</v>
      </c>
      <c r="CN55" s="11">
        <f t="shared" si="184"/>
        <v>42</v>
      </c>
      <c r="CO55" s="479">
        <f t="shared" si="187"/>
        <v>31.391090355959459</v>
      </c>
      <c r="CP55" s="377">
        <f t="shared" si="56"/>
        <v>1295.3211930313491</v>
      </c>
      <c r="CQ55" s="58">
        <f t="shared" si="185"/>
        <v>524</v>
      </c>
      <c r="CR55" s="131">
        <v>540.4</v>
      </c>
      <c r="CS55" s="41">
        <f t="shared" si="112"/>
        <v>-16.399999999999977</v>
      </c>
      <c r="CT55" s="18">
        <f t="shared" si="186"/>
        <v>79</v>
      </c>
      <c r="CU55" s="131">
        <v>70</v>
      </c>
      <c r="CV55" s="41">
        <f t="shared" si="41"/>
        <v>9</v>
      </c>
    </row>
    <row r="56" spans="1:100" ht="17.25" thickBot="1" x14ac:dyDescent="0.3">
      <c r="B56" s="120">
        <f>B55+1</f>
        <v>25</v>
      </c>
      <c r="C56" s="7">
        <f t="shared" si="209"/>
        <v>7</v>
      </c>
      <c r="D56" s="133"/>
      <c r="E56" s="48">
        <f t="shared" si="204"/>
        <v>0</v>
      </c>
      <c r="F56" s="49">
        <f t="shared" si="205"/>
        <v>0</v>
      </c>
      <c r="G56" s="142"/>
      <c r="H56" s="135"/>
      <c r="I56" s="135"/>
      <c r="J56" s="14">
        <f t="shared" si="81"/>
        <v>0</v>
      </c>
      <c r="K56" s="14">
        <f t="shared" si="92"/>
        <v>9358</v>
      </c>
      <c r="L56" s="14">
        <f t="shared" si="176"/>
        <v>0.16</v>
      </c>
      <c r="M56" s="47">
        <f t="shared" si="26"/>
        <v>0</v>
      </c>
      <c r="N56" s="35">
        <f t="shared" si="177"/>
        <v>2.72</v>
      </c>
      <c r="O56" s="157">
        <f t="shared" si="157"/>
        <v>0</v>
      </c>
      <c r="P56" s="134"/>
      <c r="Q56" s="14">
        <f t="shared" si="178"/>
        <v>42</v>
      </c>
      <c r="R56" s="442">
        <f t="shared" si="29"/>
        <v>0</v>
      </c>
      <c r="S56" s="470">
        <f t="shared" si="82"/>
        <v>0</v>
      </c>
      <c r="T56" s="51">
        <f t="shared" si="179"/>
        <v>524</v>
      </c>
      <c r="U56" s="103">
        <f>U55</f>
        <v>0</v>
      </c>
      <c r="V56" s="46">
        <f t="shared" si="94"/>
        <v>524</v>
      </c>
      <c r="W56" s="51">
        <f t="shared" si="180"/>
        <v>79</v>
      </c>
      <c r="X56" s="103">
        <f>X55</f>
        <v>0</v>
      </c>
      <c r="Y56" s="46">
        <f t="shared" si="31"/>
        <v>79</v>
      </c>
      <c r="Z56" s="487"/>
      <c r="AA56" s="120">
        <f>AA55+1</f>
        <v>25</v>
      </c>
      <c r="AB56" s="7">
        <f t="shared" si="213"/>
        <v>7</v>
      </c>
      <c r="AC56" s="133"/>
      <c r="AD56" s="48">
        <f t="shared" si="132"/>
        <v>60289</v>
      </c>
      <c r="AE56" s="447">
        <f t="shared" si="224"/>
        <v>60288</v>
      </c>
      <c r="AF56" s="134"/>
      <c r="AG56" s="135">
        <v>1</v>
      </c>
      <c r="AH56" s="135"/>
      <c r="AI56" s="14">
        <f t="shared" si="84"/>
        <v>1</v>
      </c>
      <c r="AJ56" s="14">
        <f t="shared" si="130"/>
        <v>519</v>
      </c>
      <c r="AK56" s="14">
        <f t="shared" si="6"/>
        <v>0.16</v>
      </c>
      <c r="AL56" s="47">
        <f t="shared" si="33"/>
        <v>1.6586773706646321E-3</v>
      </c>
      <c r="AM56" s="35">
        <f t="shared" si="7"/>
        <v>2.72</v>
      </c>
      <c r="AN56" s="156">
        <f>IFERROR((AJ56*100)/$AD$47,0)</f>
        <v>0.85907240043698485</v>
      </c>
      <c r="AO56" s="134">
        <v>1656</v>
      </c>
      <c r="AP56" s="14">
        <f t="shared" si="8"/>
        <v>42</v>
      </c>
      <c r="AQ56" s="442">
        <f t="shared" si="34"/>
        <v>27.467697258206307</v>
      </c>
      <c r="AR56" s="470">
        <f t="shared" si="133"/>
        <v>775.11486545266666</v>
      </c>
      <c r="AS56" s="51">
        <f t="shared" si="9"/>
        <v>524</v>
      </c>
      <c r="AT56" s="103">
        <f>AT55</f>
        <v>497</v>
      </c>
      <c r="AU56" s="46">
        <f t="shared" si="110"/>
        <v>27</v>
      </c>
      <c r="AV56" s="51">
        <f t="shared" si="10"/>
        <v>79</v>
      </c>
      <c r="AW56" s="103">
        <f>AW55</f>
        <v>76</v>
      </c>
      <c r="AX56" s="46">
        <f t="shared" si="75"/>
        <v>3</v>
      </c>
      <c r="AZ56" s="120">
        <f>AZ55+1</f>
        <v>25</v>
      </c>
      <c r="BA56" s="7">
        <f t="shared" si="217"/>
        <v>7</v>
      </c>
      <c r="BB56" s="133"/>
      <c r="BC56" s="48">
        <f t="shared" si="225"/>
        <v>68001</v>
      </c>
      <c r="BD56" s="447">
        <f t="shared" si="226"/>
        <v>67998</v>
      </c>
      <c r="BE56" s="134"/>
      <c r="BF56" s="135">
        <v>3</v>
      </c>
      <c r="BG56" s="135"/>
      <c r="BH56" s="14">
        <f t="shared" si="85"/>
        <v>3</v>
      </c>
      <c r="BI56" s="14">
        <f t="shared" si="123"/>
        <v>1120</v>
      </c>
      <c r="BJ56" s="14">
        <f t="shared" si="12"/>
        <v>0.16</v>
      </c>
      <c r="BK56" s="47">
        <f t="shared" si="50"/>
        <v>4.4116998279437065E-3</v>
      </c>
      <c r="BL56" s="35">
        <f t="shared" si="13"/>
        <v>2.72</v>
      </c>
      <c r="BM56" s="435">
        <f t="shared" si="160"/>
        <v>1.6216372744910665</v>
      </c>
      <c r="BN56" s="134">
        <v>2880</v>
      </c>
      <c r="BO56" s="14">
        <f t="shared" si="15"/>
        <v>42</v>
      </c>
      <c r="BP56" s="442">
        <f t="shared" si="51"/>
        <v>42.352318348259587</v>
      </c>
      <c r="BQ56" s="68">
        <f t="shared" si="66"/>
        <v>1225.8026323058646</v>
      </c>
      <c r="BR56" s="51">
        <f t="shared" si="16"/>
        <v>524</v>
      </c>
      <c r="BS56" s="103">
        <f>BS55</f>
        <v>488</v>
      </c>
      <c r="BT56" s="46">
        <f t="shared" si="111"/>
        <v>36</v>
      </c>
      <c r="BU56" s="51">
        <f t="shared" si="18"/>
        <v>79</v>
      </c>
      <c r="BV56" s="103">
        <f>BV55</f>
        <v>66</v>
      </c>
      <c r="BW56" s="46">
        <f t="shared" si="76"/>
        <v>13</v>
      </c>
      <c r="BY56" s="120">
        <f>BY55+1</f>
        <v>25</v>
      </c>
      <c r="BZ56" s="7">
        <f t="shared" si="221"/>
        <v>7</v>
      </c>
      <c r="CA56" s="133"/>
      <c r="CB56" s="14">
        <f t="shared" si="77"/>
        <v>51597</v>
      </c>
      <c r="CC56" s="62">
        <f t="shared" si="86"/>
        <v>51595</v>
      </c>
      <c r="CD56" s="405"/>
      <c r="CE56" s="406">
        <v>2</v>
      </c>
      <c r="CF56" s="406"/>
      <c r="CG56" s="14">
        <f t="shared" si="87"/>
        <v>2</v>
      </c>
      <c r="CH56" s="14">
        <f t="shared" si="78"/>
        <v>485</v>
      </c>
      <c r="CI56" s="14">
        <f t="shared" si="182"/>
        <v>0.16</v>
      </c>
      <c r="CJ56" s="47">
        <f t="shared" si="55"/>
        <v>3.8761943523848284E-2</v>
      </c>
      <c r="CK56" s="35">
        <f t="shared" si="183"/>
        <v>2.72</v>
      </c>
      <c r="CL56" s="156">
        <f t="shared" si="206"/>
        <v>0.93342827998999212</v>
      </c>
      <c r="CM56" s="134">
        <v>0</v>
      </c>
      <c r="CN56" s="14">
        <f t="shared" si="184"/>
        <v>42</v>
      </c>
      <c r="CO56" s="442">
        <f t="shared" si="187"/>
        <v>0</v>
      </c>
      <c r="CP56" s="68">
        <f t="shared" si="56"/>
        <v>1295.3211930313491</v>
      </c>
      <c r="CQ56" s="51">
        <f t="shared" si="185"/>
        <v>524</v>
      </c>
      <c r="CR56" s="103">
        <f>CR55</f>
        <v>540.4</v>
      </c>
      <c r="CS56" s="46">
        <f t="shared" si="112"/>
        <v>-16.399999999999977</v>
      </c>
      <c r="CT56" s="51">
        <f t="shared" si="186"/>
        <v>79</v>
      </c>
      <c r="CU56" s="103">
        <f>CU55</f>
        <v>70</v>
      </c>
      <c r="CV56" s="46">
        <f t="shared" si="41"/>
        <v>9</v>
      </c>
    </row>
    <row r="57" spans="1:100" ht="17.25" thickBot="1" x14ac:dyDescent="0.3">
      <c r="B57" s="120">
        <f t="shared" ref="B57:B59" si="227">B56+1</f>
        <v>26</v>
      </c>
      <c r="C57" s="7">
        <f t="shared" si="209"/>
        <v>7</v>
      </c>
      <c r="D57" s="133"/>
      <c r="E57" s="48">
        <f t="shared" si="204"/>
        <v>0</v>
      </c>
      <c r="F57" s="49">
        <f t="shared" si="205"/>
        <v>0</v>
      </c>
      <c r="G57" s="142"/>
      <c r="H57" s="135"/>
      <c r="I57" s="135"/>
      <c r="J57" s="14">
        <f t="shared" si="81"/>
        <v>0</v>
      </c>
      <c r="K57" s="14">
        <f t="shared" si="92"/>
        <v>9358</v>
      </c>
      <c r="L57" s="14">
        <f t="shared" si="176"/>
        <v>0.16</v>
      </c>
      <c r="M57" s="231">
        <f t="shared" si="26"/>
        <v>0</v>
      </c>
      <c r="N57" s="35">
        <f t="shared" si="177"/>
        <v>2.72</v>
      </c>
      <c r="O57" s="157">
        <f t="shared" si="157"/>
        <v>0</v>
      </c>
      <c r="P57" s="134"/>
      <c r="Q57" s="14">
        <f t="shared" si="178"/>
        <v>42</v>
      </c>
      <c r="R57" s="480">
        <f t="shared" si="29"/>
        <v>0</v>
      </c>
      <c r="S57" s="470">
        <f t="shared" si="82"/>
        <v>0</v>
      </c>
      <c r="T57" s="51">
        <f t="shared" si="179"/>
        <v>524</v>
      </c>
      <c r="U57" s="103">
        <f t="shared" ref="U57:U61" si="228">U56</f>
        <v>0</v>
      </c>
      <c r="V57" s="46">
        <f t="shared" si="94"/>
        <v>524</v>
      </c>
      <c r="W57" s="50">
        <f t="shared" si="180"/>
        <v>79</v>
      </c>
      <c r="X57" s="103">
        <f t="shared" ref="X57:X61" si="229">X56</f>
        <v>0</v>
      </c>
      <c r="Y57" s="46">
        <f t="shared" si="31"/>
        <v>79</v>
      </c>
      <c r="Z57" s="487"/>
      <c r="AA57" s="120">
        <f t="shared" ref="AA57:AA59" si="230">AA56+1</f>
        <v>26</v>
      </c>
      <c r="AB57" s="7">
        <f t="shared" si="213"/>
        <v>7</v>
      </c>
      <c r="AC57" s="133"/>
      <c r="AD57" s="48">
        <f t="shared" si="132"/>
        <v>60288</v>
      </c>
      <c r="AE57" s="196">
        <f t="shared" si="224"/>
        <v>60278</v>
      </c>
      <c r="AF57" s="134"/>
      <c r="AG57" s="135">
        <v>10</v>
      </c>
      <c r="AH57" s="135"/>
      <c r="AI57" s="14">
        <f t="shared" si="84"/>
        <v>10</v>
      </c>
      <c r="AJ57" s="14">
        <f t="shared" si="130"/>
        <v>529</v>
      </c>
      <c r="AK57" s="14">
        <f t="shared" si="6"/>
        <v>0.16</v>
      </c>
      <c r="AL57" s="231">
        <f t="shared" si="33"/>
        <v>1.6587048832271762E-2</v>
      </c>
      <c r="AM57" s="35">
        <f t="shared" si="7"/>
        <v>2.72</v>
      </c>
      <c r="AN57" s="156">
        <f t="shared" si="207"/>
        <v>0.87562485516602107</v>
      </c>
      <c r="AO57" s="134">
        <v>621</v>
      </c>
      <c r="AP57" s="14">
        <f t="shared" si="8"/>
        <v>42</v>
      </c>
      <c r="AQ57" s="480">
        <f t="shared" si="34"/>
        <v>10.300557324840764</v>
      </c>
      <c r="AR57" s="470">
        <f t="shared" si="133"/>
        <v>785.41542277750739</v>
      </c>
      <c r="AS57" s="51">
        <f t="shared" si="9"/>
        <v>524</v>
      </c>
      <c r="AT57" s="103">
        <f t="shared" ref="AT57:AT61" si="231">AT56</f>
        <v>497</v>
      </c>
      <c r="AU57" s="46">
        <f t="shared" si="110"/>
        <v>27</v>
      </c>
      <c r="AV57" s="50">
        <f t="shared" si="10"/>
        <v>79</v>
      </c>
      <c r="AW57" s="103">
        <f t="shared" ref="AW57:AW61" si="232">AW56</f>
        <v>76</v>
      </c>
      <c r="AX57" s="46">
        <f t="shared" si="75"/>
        <v>3</v>
      </c>
      <c r="AZ57" s="120">
        <f t="shared" ref="AZ57:AZ59" si="233">AZ56+1</f>
        <v>26</v>
      </c>
      <c r="BA57" s="7">
        <f t="shared" si="217"/>
        <v>7</v>
      </c>
      <c r="BB57" s="133"/>
      <c r="BC57" s="48">
        <f t="shared" si="225"/>
        <v>67998</v>
      </c>
      <c r="BD57" s="196">
        <f t="shared" si="226"/>
        <v>67990</v>
      </c>
      <c r="BE57" s="134"/>
      <c r="BF57" s="135">
        <v>8</v>
      </c>
      <c r="BG57" s="135"/>
      <c r="BH57" s="14">
        <f t="shared" si="85"/>
        <v>8</v>
      </c>
      <c r="BI57" s="14">
        <f t="shared" si="123"/>
        <v>1128</v>
      </c>
      <c r="BJ57" s="14">
        <f t="shared" si="12"/>
        <v>0.16</v>
      </c>
      <c r="BK57" s="47">
        <f t="shared" si="50"/>
        <v>1.1765051913291568E-2</v>
      </c>
      <c r="BL57" s="35">
        <f t="shared" si="13"/>
        <v>2.72</v>
      </c>
      <c r="BM57" s="435">
        <f t="shared" si="160"/>
        <v>1.6332203978802884</v>
      </c>
      <c r="BN57" s="134">
        <v>2070</v>
      </c>
      <c r="BO57" s="14">
        <f t="shared" si="15"/>
        <v>42</v>
      </c>
      <c r="BP57" s="442">
        <f t="shared" si="51"/>
        <v>30.442071825641932</v>
      </c>
      <c r="BQ57" s="68">
        <f t="shared" si="66"/>
        <v>1256.2447041315065</v>
      </c>
      <c r="BR57" s="51">
        <f t="shared" si="16"/>
        <v>524</v>
      </c>
      <c r="BS57" s="103">
        <f t="shared" ref="BS57:BS61" si="234">BS56</f>
        <v>488</v>
      </c>
      <c r="BT57" s="46">
        <f t="shared" si="111"/>
        <v>36</v>
      </c>
      <c r="BU57" s="50">
        <f t="shared" si="18"/>
        <v>79</v>
      </c>
      <c r="BV57" s="103">
        <f t="shared" ref="BV57:BV61" si="235">BV56</f>
        <v>66</v>
      </c>
      <c r="BW57" s="46">
        <f t="shared" si="76"/>
        <v>13</v>
      </c>
      <c r="BY57" s="120">
        <f t="shared" ref="BY57:BY61" si="236">BY56+1</f>
        <v>26</v>
      </c>
      <c r="BZ57" s="7">
        <f t="shared" si="221"/>
        <v>7</v>
      </c>
      <c r="CA57" s="133"/>
      <c r="CB57" s="14">
        <f t="shared" si="77"/>
        <v>51595</v>
      </c>
      <c r="CC57" s="59">
        <f t="shared" si="86"/>
        <v>51584</v>
      </c>
      <c r="CD57" s="405"/>
      <c r="CE57" s="406">
        <v>11</v>
      </c>
      <c r="CF57" s="406"/>
      <c r="CG57" s="14">
        <f t="shared" si="87"/>
        <v>11</v>
      </c>
      <c r="CH57" s="14">
        <f t="shared" si="78"/>
        <v>496</v>
      </c>
      <c r="CI57" s="14">
        <f t="shared" si="182"/>
        <v>0.16</v>
      </c>
      <c r="CJ57" s="47">
        <f t="shared" si="55"/>
        <v>0.2131989533869561</v>
      </c>
      <c r="CK57" s="35">
        <f t="shared" si="183"/>
        <v>2.72</v>
      </c>
      <c r="CL57" s="156">
        <f t="shared" si="206"/>
        <v>0.95459881829904347</v>
      </c>
      <c r="CM57" s="134">
        <v>3087</v>
      </c>
      <c r="CN57" s="14">
        <f t="shared" si="184"/>
        <v>42</v>
      </c>
      <c r="CO57" s="442">
        <f t="shared" si="187"/>
        <v>59.831379009593952</v>
      </c>
      <c r="CP57" s="68">
        <f t="shared" si="56"/>
        <v>1355.1525720409431</v>
      </c>
      <c r="CQ57" s="51">
        <f t="shared" si="185"/>
        <v>524</v>
      </c>
      <c r="CR57" s="103">
        <f t="shared" ref="CR57:CR61" si="237">CR56</f>
        <v>540.4</v>
      </c>
      <c r="CS57" s="46">
        <f t="shared" si="112"/>
        <v>-16.399999999999977</v>
      </c>
      <c r="CT57" s="51">
        <f t="shared" si="186"/>
        <v>79</v>
      </c>
      <c r="CU57" s="103">
        <f t="shared" ref="CU57:CU61" si="238">CU56</f>
        <v>70</v>
      </c>
      <c r="CV57" s="46">
        <f t="shared" si="41"/>
        <v>9</v>
      </c>
    </row>
    <row r="58" spans="1:100" ht="17.25" thickBot="1" x14ac:dyDescent="0.3">
      <c r="B58" s="120">
        <f t="shared" si="227"/>
        <v>27</v>
      </c>
      <c r="C58" s="7">
        <f t="shared" si="209"/>
        <v>7</v>
      </c>
      <c r="D58" s="133"/>
      <c r="E58" s="48">
        <f t="shared" si="204"/>
        <v>0</v>
      </c>
      <c r="F58" s="49">
        <f t="shared" si="205"/>
        <v>0</v>
      </c>
      <c r="G58" s="142"/>
      <c r="H58" s="135"/>
      <c r="I58" s="135"/>
      <c r="J58" s="14">
        <f t="shared" si="81"/>
        <v>0</v>
      </c>
      <c r="K58" s="14">
        <f t="shared" si="92"/>
        <v>9358</v>
      </c>
      <c r="L58" s="14">
        <f t="shared" si="176"/>
        <v>0.16</v>
      </c>
      <c r="M58" s="230">
        <f t="shared" si="26"/>
        <v>0</v>
      </c>
      <c r="N58" s="35">
        <f t="shared" si="177"/>
        <v>2.72</v>
      </c>
      <c r="O58" s="157">
        <f t="shared" si="157"/>
        <v>0</v>
      </c>
      <c r="P58" s="134"/>
      <c r="Q58" s="14">
        <f t="shared" si="178"/>
        <v>42</v>
      </c>
      <c r="R58" s="442">
        <f t="shared" si="29"/>
        <v>0</v>
      </c>
      <c r="S58" s="470">
        <f t="shared" si="82"/>
        <v>0</v>
      </c>
      <c r="T58" s="51">
        <f t="shared" si="179"/>
        <v>524</v>
      </c>
      <c r="U58" s="103">
        <f t="shared" si="228"/>
        <v>0</v>
      </c>
      <c r="V58" s="46">
        <f t="shared" si="94"/>
        <v>524</v>
      </c>
      <c r="W58" s="51">
        <f t="shared" si="180"/>
        <v>79</v>
      </c>
      <c r="X58" s="103">
        <f t="shared" si="229"/>
        <v>0</v>
      </c>
      <c r="Y58" s="46">
        <f t="shared" si="31"/>
        <v>79</v>
      </c>
      <c r="Z58" s="487"/>
      <c r="AA58" s="120">
        <f t="shared" si="230"/>
        <v>27</v>
      </c>
      <c r="AB58" s="7">
        <f t="shared" si="213"/>
        <v>7</v>
      </c>
      <c r="AC58" s="133"/>
      <c r="AD58" s="48">
        <f t="shared" si="132"/>
        <v>60278</v>
      </c>
      <c r="AE58" s="49">
        <f t="shared" si="224"/>
        <v>60255</v>
      </c>
      <c r="AF58" s="134"/>
      <c r="AG58" s="135">
        <v>23</v>
      </c>
      <c r="AH58" s="135"/>
      <c r="AI58" s="14">
        <f t="shared" si="84"/>
        <v>23</v>
      </c>
      <c r="AJ58" s="14">
        <f t="shared" si="130"/>
        <v>552</v>
      </c>
      <c r="AK58" s="14">
        <f t="shared" si="6"/>
        <v>0.16</v>
      </c>
      <c r="AL58" s="230">
        <f t="shared" si="33"/>
        <v>3.8156541358372875E-2</v>
      </c>
      <c r="AM58" s="35">
        <f t="shared" si="7"/>
        <v>2.72</v>
      </c>
      <c r="AN58" s="156">
        <f t="shared" si="207"/>
        <v>0.91369550104280461</v>
      </c>
      <c r="AO58" s="134">
        <v>2898</v>
      </c>
      <c r="AP58" s="14">
        <f t="shared" si="8"/>
        <v>42</v>
      </c>
      <c r="AQ58" s="442">
        <f t="shared" si="34"/>
        <v>48.077242111549815</v>
      </c>
      <c r="AR58" s="470">
        <f t="shared" si="133"/>
        <v>833.49266488905721</v>
      </c>
      <c r="AS58" s="51">
        <f t="shared" si="9"/>
        <v>524</v>
      </c>
      <c r="AT58" s="103">
        <f t="shared" si="231"/>
        <v>497</v>
      </c>
      <c r="AU58" s="46">
        <f t="shared" si="110"/>
        <v>27</v>
      </c>
      <c r="AV58" s="51">
        <f t="shared" si="10"/>
        <v>79</v>
      </c>
      <c r="AW58" s="103">
        <f t="shared" si="232"/>
        <v>76</v>
      </c>
      <c r="AX58" s="46">
        <f t="shared" si="75"/>
        <v>3</v>
      </c>
      <c r="AZ58" s="120">
        <f t="shared" si="233"/>
        <v>27</v>
      </c>
      <c r="BA58" s="7">
        <f t="shared" si="217"/>
        <v>7</v>
      </c>
      <c r="BB58" s="133"/>
      <c r="BC58" s="48">
        <f t="shared" si="225"/>
        <v>67990</v>
      </c>
      <c r="BD58" s="49">
        <f t="shared" si="226"/>
        <v>67962</v>
      </c>
      <c r="BE58" s="134"/>
      <c r="BF58" s="135">
        <v>28</v>
      </c>
      <c r="BG58" s="135"/>
      <c r="BH58" s="14">
        <f t="shared" si="85"/>
        <v>28</v>
      </c>
      <c r="BI58" s="14">
        <f t="shared" si="123"/>
        <v>1156</v>
      </c>
      <c r="BJ58" s="14">
        <f t="shared" si="12"/>
        <v>0.16</v>
      </c>
      <c r="BK58" s="47">
        <f t="shared" si="50"/>
        <v>4.1182526842182675E-2</v>
      </c>
      <c r="BL58" s="35">
        <f t="shared" si="13"/>
        <v>2.72</v>
      </c>
      <c r="BM58" s="435">
        <f t="shared" si="160"/>
        <v>1.6737613297425651</v>
      </c>
      <c r="BN58" s="134">
        <v>4149</v>
      </c>
      <c r="BO58" s="14">
        <f t="shared" si="15"/>
        <v>42</v>
      </c>
      <c r="BP58" s="442">
        <f t="shared" si="51"/>
        <v>61.023679952934259</v>
      </c>
      <c r="BQ58" s="68">
        <f t="shared" si="66"/>
        <v>1317.2683840844409</v>
      </c>
      <c r="BR58" s="51">
        <f t="shared" si="16"/>
        <v>524</v>
      </c>
      <c r="BS58" s="103">
        <f t="shared" si="234"/>
        <v>488</v>
      </c>
      <c r="BT58" s="46">
        <f t="shared" si="111"/>
        <v>36</v>
      </c>
      <c r="BU58" s="51">
        <f t="shared" si="18"/>
        <v>79</v>
      </c>
      <c r="BV58" s="103">
        <f t="shared" si="235"/>
        <v>66</v>
      </c>
      <c r="BW58" s="46">
        <f t="shared" si="76"/>
        <v>13</v>
      </c>
      <c r="BY58" s="120">
        <f t="shared" si="236"/>
        <v>27</v>
      </c>
      <c r="BZ58" s="7">
        <f t="shared" si="221"/>
        <v>7</v>
      </c>
      <c r="CA58" s="133"/>
      <c r="CB58" s="14">
        <f t="shared" si="77"/>
        <v>51584</v>
      </c>
      <c r="CC58" s="46">
        <f t="shared" si="86"/>
        <v>51553</v>
      </c>
      <c r="CD58" s="405"/>
      <c r="CE58" s="406">
        <v>31</v>
      </c>
      <c r="CF58" s="406"/>
      <c r="CG58" s="14">
        <f t="shared" si="87"/>
        <v>31</v>
      </c>
      <c r="CH58" s="14">
        <f t="shared" si="78"/>
        <v>527</v>
      </c>
      <c r="CI58" s="14">
        <f t="shared" si="182"/>
        <v>0.16</v>
      </c>
      <c r="CJ58" s="47">
        <f t="shared" si="55"/>
        <v>0.60096153846153844</v>
      </c>
      <c r="CK58" s="35">
        <f t="shared" si="183"/>
        <v>2.72</v>
      </c>
      <c r="CL58" s="156">
        <f>IFERROR((CH58*100)/$CB$47,0)</f>
        <v>1.0142612444427337</v>
      </c>
      <c r="CM58" s="134">
        <v>2700</v>
      </c>
      <c r="CN58" s="14">
        <f t="shared" si="184"/>
        <v>42</v>
      </c>
      <c r="CO58" s="442">
        <f t="shared" si="187"/>
        <v>52.341811414392055</v>
      </c>
      <c r="CP58" s="68">
        <f t="shared" si="56"/>
        <v>1407.4943834553351</v>
      </c>
      <c r="CQ58" s="51">
        <f t="shared" si="185"/>
        <v>524</v>
      </c>
      <c r="CR58" s="103">
        <f t="shared" si="237"/>
        <v>540.4</v>
      </c>
      <c r="CS58" s="46">
        <f t="shared" si="112"/>
        <v>-16.399999999999977</v>
      </c>
      <c r="CT58" s="12">
        <f t="shared" si="186"/>
        <v>79</v>
      </c>
      <c r="CU58" s="103">
        <f t="shared" si="238"/>
        <v>70</v>
      </c>
      <c r="CV58" s="46">
        <f t="shared" si="41"/>
        <v>9</v>
      </c>
    </row>
    <row r="59" spans="1:100" ht="17.25" thickBot="1" x14ac:dyDescent="0.3">
      <c r="B59" s="120">
        <f t="shared" si="227"/>
        <v>28</v>
      </c>
      <c r="C59" s="7">
        <f t="shared" si="209"/>
        <v>7</v>
      </c>
      <c r="D59" s="133"/>
      <c r="E59" s="639">
        <f t="shared" si="204"/>
        <v>0</v>
      </c>
      <c r="F59" s="447">
        <f t="shared" si="205"/>
        <v>0</v>
      </c>
      <c r="G59" s="142"/>
      <c r="H59" s="135"/>
      <c r="I59" s="135"/>
      <c r="J59" s="14">
        <f t="shared" si="81"/>
        <v>0</v>
      </c>
      <c r="K59" s="14">
        <f t="shared" si="92"/>
        <v>9358</v>
      </c>
      <c r="L59" s="14">
        <f t="shared" si="176"/>
        <v>0.16</v>
      </c>
      <c r="M59" s="230">
        <f t="shared" si="26"/>
        <v>0</v>
      </c>
      <c r="N59" s="35">
        <f t="shared" si="177"/>
        <v>2.72</v>
      </c>
      <c r="O59" s="157">
        <f t="shared" si="157"/>
        <v>0</v>
      </c>
      <c r="P59" s="134"/>
      <c r="Q59" s="14">
        <f t="shared" si="178"/>
        <v>42</v>
      </c>
      <c r="R59" s="442">
        <f t="shared" si="29"/>
        <v>0</v>
      </c>
      <c r="S59" s="470">
        <f t="shared" si="82"/>
        <v>0</v>
      </c>
      <c r="T59" s="51">
        <f t="shared" si="179"/>
        <v>524</v>
      </c>
      <c r="U59" s="103">
        <f t="shared" si="228"/>
        <v>0</v>
      </c>
      <c r="V59" s="71">
        <f t="shared" si="94"/>
        <v>524</v>
      </c>
      <c r="W59" s="12">
        <f t="shared" si="180"/>
        <v>79</v>
      </c>
      <c r="X59" s="103">
        <f t="shared" si="229"/>
        <v>0</v>
      </c>
      <c r="Y59" s="71">
        <f t="shared" si="31"/>
        <v>79</v>
      </c>
      <c r="Z59" s="487"/>
      <c r="AA59" s="120">
        <f t="shared" si="230"/>
        <v>28</v>
      </c>
      <c r="AB59" s="7">
        <f t="shared" si="213"/>
        <v>7</v>
      </c>
      <c r="AC59" s="133"/>
      <c r="AD59" s="48">
        <f t="shared" si="132"/>
        <v>60255</v>
      </c>
      <c r="AE59" s="447">
        <f t="shared" si="224"/>
        <v>60236</v>
      </c>
      <c r="AF59" s="134"/>
      <c r="AG59" s="135">
        <v>19</v>
      </c>
      <c r="AH59" s="135"/>
      <c r="AI59" s="14">
        <f t="shared" si="84"/>
        <v>19</v>
      </c>
      <c r="AJ59" s="14">
        <f t="shared" si="130"/>
        <v>571</v>
      </c>
      <c r="AK59" s="14">
        <f t="shared" si="6"/>
        <v>0.16</v>
      </c>
      <c r="AL59" s="230">
        <f t="shared" si="33"/>
        <v>3.1532652891876192E-2</v>
      </c>
      <c r="AM59" s="35">
        <f t="shared" si="7"/>
        <v>2.72</v>
      </c>
      <c r="AN59" s="156">
        <f t="shared" si="207"/>
        <v>0.94514516502797363</v>
      </c>
      <c r="AO59" s="134">
        <v>1656</v>
      </c>
      <c r="AP59" s="14">
        <f t="shared" si="8"/>
        <v>42</v>
      </c>
      <c r="AQ59" s="442">
        <f t="shared" si="34"/>
        <v>27.483196415235252</v>
      </c>
      <c r="AR59" s="470">
        <f t="shared" si="133"/>
        <v>860.97586130429249</v>
      </c>
      <c r="AS59" s="51">
        <f t="shared" si="9"/>
        <v>524</v>
      </c>
      <c r="AT59" s="103">
        <f t="shared" si="231"/>
        <v>497</v>
      </c>
      <c r="AU59" s="71">
        <f t="shared" si="110"/>
        <v>27</v>
      </c>
      <c r="AV59" s="12">
        <f t="shared" si="10"/>
        <v>79</v>
      </c>
      <c r="AW59" s="103">
        <f t="shared" si="232"/>
        <v>76</v>
      </c>
      <c r="AX59" s="71">
        <f t="shared" si="75"/>
        <v>3</v>
      </c>
      <c r="AZ59" s="120">
        <f t="shared" si="233"/>
        <v>28</v>
      </c>
      <c r="BA59" s="7">
        <f t="shared" si="217"/>
        <v>7</v>
      </c>
      <c r="BB59" s="133"/>
      <c r="BC59" s="48">
        <f t="shared" si="225"/>
        <v>67962</v>
      </c>
      <c r="BD59" s="447">
        <f t="shared" si="226"/>
        <v>67937</v>
      </c>
      <c r="BE59" s="134"/>
      <c r="BF59" s="135">
        <v>25</v>
      </c>
      <c r="BG59" s="135"/>
      <c r="BH59" s="14">
        <f t="shared" si="85"/>
        <v>25</v>
      </c>
      <c r="BI59" s="14">
        <f t="shared" si="123"/>
        <v>1181</v>
      </c>
      <c r="BJ59" s="14">
        <f t="shared" si="12"/>
        <v>0.16</v>
      </c>
      <c r="BK59" s="47">
        <f t="shared" si="50"/>
        <v>3.6785262352491098E-2</v>
      </c>
      <c r="BL59" s="35">
        <f t="shared" si="13"/>
        <v>2.72</v>
      </c>
      <c r="BM59" s="435">
        <f t="shared" si="160"/>
        <v>1.7099585903338834</v>
      </c>
      <c r="BN59" s="134">
        <v>3042</v>
      </c>
      <c r="BO59" s="14">
        <f t="shared" si="15"/>
        <v>42</v>
      </c>
      <c r="BP59" s="442">
        <f t="shared" si="51"/>
        <v>44.760307230511167</v>
      </c>
      <c r="BQ59" s="68">
        <f t="shared" si="66"/>
        <v>1362.0286913149521</v>
      </c>
      <c r="BR59" s="51">
        <f t="shared" si="16"/>
        <v>524</v>
      </c>
      <c r="BS59" s="103">
        <f t="shared" si="234"/>
        <v>488</v>
      </c>
      <c r="BT59" s="71">
        <f t="shared" si="111"/>
        <v>36</v>
      </c>
      <c r="BU59" s="12">
        <f t="shared" si="18"/>
        <v>79</v>
      </c>
      <c r="BV59" s="103">
        <f t="shared" si="235"/>
        <v>66</v>
      </c>
      <c r="BW59" s="71">
        <f t="shared" si="76"/>
        <v>13</v>
      </c>
      <c r="BY59" s="120">
        <f t="shared" si="236"/>
        <v>28</v>
      </c>
      <c r="BZ59" s="7">
        <f t="shared" si="221"/>
        <v>7</v>
      </c>
      <c r="CA59" s="133"/>
      <c r="CB59" s="14">
        <f t="shared" si="77"/>
        <v>51553</v>
      </c>
      <c r="CC59" s="62">
        <f t="shared" si="86"/>
        <v>51522</v>
      </c>
      <c r="CD59" s="405"/>
      <c r="CE59" s="406">
        <v>31</v>
      </c>
      <c r="CF59" s="406"/>
      <c r="CG59" s="14">
        <f t="shared" si="87"/>
        <v>31</v>
      </c>
      <c r="CH59" s="14">
        <f t="shared" si="78"/>
        <v>558</v>
      </c>
      <c r="CI59" s="14">
        <f t="shared" si="182"/>
        <v>0.16</v>
      </c>
      <c r="CJ59" s="47">
        <f t="shared" si="55"/>
        <v>0.60132291040288632</v>
      </c>
      <c r="CK59" s="35">
        <f t="shared" si="183"/>
        <v>2.72</v>
      </c>
      <c r="CL59" s="156">
        <f t="shared" si="206"/>
        <v>1.0739236705864239</v>
      </c>
      <c r="CM59" s="134">
        <v>5220</v>
      </c>
      <c r="CN59" s="14">
        <f t="shared" si="184"/>
        <v>42</v>
      </c>
      <c r="CO59" s="442">
        <f t="shared" si="187"/>
        <v>101.25501910655053</v>
      </c>
      <c r="CP59" s="68">
        <f t="shared" si="56"/>
        <v>1508.7494025618855</v>
      </c>
      <c r="CQ59" s="51">
        <f t="shared" si="185"/>
        <v>524</v>
      </c>
      <c r="CR59" s="103">
        <f t="shared" si="237"/>
        <v>540.4</v>
      </c>
      <c r="CS59" s="71">
        <f t="shared" si="112"/>
        <v>-16.399999999999977</v>
      </c>
      <c r="CT59" s="50">
        <f t="shared" si="186"/>
        <v>79</v>
      </c>
      <c r="CU59" s="103">
        <f t="shared" si="238"/>
        <v>70</v>
      </c>
      <c r="CV59" s="71">
        <f t="shared" si="41"/>
        <v>9</v>
      </c>
    </row>
    <row r="60" spans="1:100" ht="17.25" thickBot="1" x14ac:dyDescent="0.3">
      <c r="A60" s="668" t="s">
        <v>137</v>
      </c>
      <c r="B60" s="646">
        <v>1</v>
      </c>
      <c r="C60" s="647">
        <f t="shared" si="209"/>
        <v>7</v>
      </c>
      <c r="D60" s="662"/>
      <c r="E60" s="648">
        <f t="shared" si="204"/>
        <v>0</v>
      </c>
      <c r="F60" s="663">
        <f t="shared" si="205"/>
        <v>0</v>
      </c>
      <c r="G60" s="664"/>
      <c r="H60" s="651"/>
      <c r="I60" s="651"/>
      <c r="J60" s="652">
        <f t="shared" si="81"/>
        <v>0</v>
      </c>
      <c r="K60" s="652">
        <f t="shared" si="92"/>
        <v>9358</v>
      </c>
      <c r="L60" s="652">
        <f t="shared" si="176"/>
        <v>0.16</v>
      </c>
      <c r="M60" s="665">
        <f t="shared" si="26"/>
        <v>0</v>
      </c>
      <c r="N60" s="654">
        <f t="shared" si="177"/>
        <v>2.72</v>
      </c>
      <c r="O60" s="655">
        <f t="shared" si="157"/>
        <v>0</v>
      </c>
      <c r="P60" s="650"/>
      <c r="Q60" s="652">
        <f t="shared" si="178"/>
        <v>42</v>
      </c>
      <c r="R60" s="656">
        <f t="shared" si="29"/>
        <v>0</v>
      </c>
      <c r="S60" s="657">
        <f t="shared" si="82"/>
        <v>0</v>
      </c>
      <c r="T60" s="658">
        <f t="shared" si="179"/>
        <v>524</v>
      </c>
      <c r="U60" s="666">
        <f t="shared" si="228"/>
        <v>0</v>
      </c>
      <c r="V60" s="667">
        <f t="shared" si="94"/>
        <v>524</v>
      </c>
      <c r="W60" s="661">
        <f t="shared" si="180"/>
        <v>79</v>
      </c>
      <c r="X60" s="666">
        <f t="shared" si="229"/>
        <v>0</v>
      </c>
      <c r="Y60" s="667">
        <f t="shared" si="31"/>
        <v>79</v>
      </c>
      <c r="Z60" s="487"/>
      <c r="AA60" s="646">
        <v>1</v>
      </c>
      <c r="AB60" s="647">
        <f t="shared" si="213"/>
        <v>7</v>
      </c>
      <c r="AC60" s="662"/>
      <c r="AD60" s="648">
        <f t="shared" si="132"/>
        <v>60236</v>
      </c>
      <c r="AE60" s="649">
        <f t="shared" si="224"/>
        <v>60204</v>
      </c>
      <c r="AF60" s="650"/>
      <c r="AG60" s="651">
        <v>32</v>
      </c>
      <c r="AH60" s="651"/>
      <c r="AI60" s="652">
        <f t="shared" si="84"/>
        <v>32</v>
      </c>
      <c r="AJ60" s="652">
        <f t="shared" si="130"/>
        <v>603</v>
      </c>
      <c r="AK60" s="652">
        <f t="shared" si="6"/>
        <v>0.16</v>
      </c>
      <c r="AL60" s="665">
        <f t="shared" si="33"/>
        <v>5.3124377448701771E-2</v>
      </c>
      <c r="AM60" s="654">
        <f t="shared" si="7"/>
        <v>2.72</v>
      </c>
      <c r="AN60" s="156">
        <f t="shared" si="207"/>
        <v>0.99811302016088987</v>
      </c>
      <c r="AO60" s="650">
        <v>3402</v>
      </c>
      <c r="AP60" s="652">
        <f t="shared" si="8"/>
        <v>42</v>
      </c>
      <c r="AQ60" s="656">
        <f>IFERROR((AO60/AD60)*1000,0)</f>
        <v>56.477853775151068</v>
      </c>
      <c r="AR60" s="657">
        <f>AR59+AQ60</f>
        <v>917.45371507944355</v>
      </c>
      <c r="AS60" s="658">
        <f t="shared" si="9"/>
        <v>524</v>
      </c>
      <c r="AT60" s="666">
        <f t="shared" si="231"/>
        <v>497</v>
      </c>
      <c r="AU60" s="667">
        <f t="shared" si="110"/>
        <v>27</v>
      </c>
      <c r="AV60" s="661">
        <f t="shared" si="10"/>
        <v>79</v>
      </c>
      <c r="AW60" s="666">
        <f t="shared" si="232"/>
        <v>76</v>
      </c>
      <c r="AX60" s="667">
        <f t="shared" si="75"/>
        <v>3</v>
      </c>
      <c r="AZ60" s="646">
        <v>1</v>
      </c>
      <c r="BA60" s="647">
        <f t="shared" si="217"/>
        <v>7</v>
      </c>
      <c r="BB60" s="662"/>
      <c r="BC60" s="648">
        <f t="shared" si="225"/>
        <v>67937</v>
      </c>
      <c r="BD60" s="649">
        <f t="shared" si="226"/>
        <v>67914</v>
      </c>
      <c r="BE60" s="650"/>
      <c r="BF60" s="651">
        <v>23</v>
      </c>
      <c r="BG60" s="651"/>
      <c r="BH60" s="652">
        <f t="shared" si="85"/>
        <v>23</v>
      </c>
      <c r="BI60" s="652">
        <f>BI59+BH60</f>
        <v>1204</v>
      </c>
      <c r="BJ60" s="652">
        <f t="shared" si="12"/>
        <v>0.16</v>
      </c>
      <c r="BK60" s="653">
        <f t="shared" si="50"/>
        <v>3.3854894976227977E-2</v>
      </c>
      <c r="BL60" s="654">
        <f t="shared" si="13"/>
        <v>2.72</v>
      </c>
      <c r="BM60" s="435">
        <f t="shared" si="160"/>
        <v>1.7432600700778964</v>
      </c>
      <c r="BN60" s="650">
        <v>2520</v>
      </c>
      <c r="BO60" s="652">
        <f t="shared" si="15"/>
        <v>42</v>
      </c>
      <c r="BP60" s="669">
        <f t="shared" si="51"/>
        <v>37.093189278301956</v>
      </c>
      <c r="BQ60" s="671">
        <f t="shared" si="66"/>
        <v>1399.121880593254</v>
      </c>
      <c r="BR60" s="658">
        <f t="shared" si="16"/>
        <v>524</v>
      </c>
      <c r="BS60" s="666">
        <f t="shared" si="234"/>
        <v>488</v>
      </c>
      <c r="BT60" s="667">
        <f t="shared" si="111"/>
        <v>36</v>
      </c>
      <c r="BU60" s="661">
        <f t="shared" si="18"/>
        <v>79</v>
      </c>
      <c r="BV60" s="666">
        <f t="shared" si="235"/>
        <v>66</v>
      </c>
      <c r="BW60" s="667">
        <f t="shared" si="76"/>
        <v>13</v>
      </c>
      <c r="BX60" s="668" t="s">
        <v>137</v>
      </c>
      <c r="BY60" s="646">
        <v>1</v>
      </c>
      <c r="BZ60" s="647">
        <f t="shared" si="221"/>
        <v>7</v>
      </c>
      <c r="CA60" s="662"/>
      <c r="CB60" s="652">
        <f t="shared" si="77"/>
        <v>51522</v>
      </c>
      <c r="CC60" s="673">
        <f t="shared" si="86"/>
        <v>51459</v>
      </c>
      <c r="CD60" s="650"/>
      <c r="CE60" s="651">
        <v>63</v>
      </c>
      <c r="CF60" s="651"/>
      <c r="CG60" s="652">
        <f t="shared" si="87"/>
        <v>63</v>
      </c>
      <c r="CH60" s="652">
        <f t="shared" si="78"/>
        <v>621</v>
      </c>
      <c r="CI60" s="652">
        <f t="shared" si="182"/>
        <v>0.16</v>
      </c>
      <c r="CJ60" s="653">
        <f t="shared" si="55"/>
        <v>1.2227786188424363</v>
      </c>
      <c r="CK60" s="654">
        <f t="shared" si="183"/>
        <v>2.72</v>
      </c>
      <c r="CL60" s="156">
        <f t="shared" si="206"/>
        <v>1.1951731172655362</v>
      </c>
      <c r="CM60" s="650">
        <v>5427</v>
      </c>
      <c r="CN60" s="652">
        <f t="shared" si="184"/>
        <v>42</v>
      </c>
      <c r="CO60" s="669">
        <f t="shared" si="187"/>
        <v>105.33364388028416</v>
      </c>
      <c r="CP60" s="671">
        <f t="shared" si="56"/>
        <v>1614.0830464421697</v>
      </c>
      <c r="CQ60" s="658">
        <f t="shared" si="185"/>
        <v>524</v>
      </c>
      <c r="CR60" s="666">
        <f t="shared" si="237"/>
        <v>540.4</v>
      </c>
      <c r="CS60" s="667">
        <f t="shared" si="112"/>
        <v>-16.399999999999977</v>
      </c>
      <c r="CT60" s="658">
        <f t="shared" si="186"/>
        <v>79</v>
      </c>
      <c r="CU60" s="666">
        <f t="shared" si="238"/>
        <v>70</v>
      </c>
      <c r="CV60" s="667">
        <f t="shared" si="41"/>
        <v>9</v>
      </c>
    </row>
    <row r="61" spans="1:100" ht="17.25" thickBot="1" x14ac:dyDescent="0.3">
      <c r="A61" s="454"/>
      <c r="B61" s="432">
        <v>2</v>
      </c>
      <c r="C61" s="433">
        <f t="shared" si="209"/>
        <v>7</v>
      </c>
      <c r="D61" s="434"/>
      <c r="E61" s="54">
        <f t="shared" si="204"/>
        <v>0</v>
      </c>
      <c r="F61" s="55">
        <f t="shared" si="205"/>
        <v>0</v>
      </c>
      <c r="G61" s="567"/>
      <c r="H61" s="426"/>
      <c r="I61" s="426"/>
      <c r="J61" s="452">
        <f t="shared" si="81"/>
        <v>0</v>
      </c>
      <c r="K61" s="452">
        <f t="shared" si="92"/>
        <v>9358</v>
      </c>
      <c r="L61" s="384">
        <f t="shared" si="176"/>
        <v>0.16</v>
      </c>
      <c r="M61" s="96">
        <f t="shared" si="26"/>
        <v>0</v>
      </c>
      <c r="N61" s="420">
        <f t="shared" si="177"/>
        <v>2.72</v>
      </c>
      <c r="O61" s="435">
        <f>IFERROR((K61*100)/E61,0)</f>
        <v>0</v>
      </c>
      <c r="P61" s="421"/>
      <c r="Q61" s="384">
        <f t="shared" si="178"/>
        <v>42</v>
      </c>
      <c r="R61" s="443">
        <f t="shared" si="29"/>
        <v>0</v>
      </c>
      <c r="S61" s="473">
        <f t="shared" si="82"/>
        <v>0</v>
      </c>
      <c r="T61" s="382">
        <f t="shared" si="179"/>
        <v>524</v>
      </c>
      <c r="U61" s="591">
        <f t="shared" si="228"/>
        <v>0</v>
      </c>
      <c r="V61" s="381">
        <f t="shared" si="94"/>
        <v>524</v>
      </c>
      <c r="W61" s="382">
        <f t="shared" si="180"/>
        <v>79</v>
      </c>
      <c r="X61" s="591">
        <f t="shared" si="229"/>
        <v>0</v>
      </c>
      <c r="Y61" s="381">
        <f t="shared" si="31"/>
        <v>79</v>
      </c>
      <c r="Z61" s="487"/>
      <c r="AA61" s="403">
        <v>2</v>
      </c>
      <c r="AB61" s="433">
        <f t="shared" si="213"/>
        <v>7</v>
      </c>
      <c r="AC61" s="434"/>
      <c r="AD61" s="67">
        <f t="shared" si="132"/>
        <v>60204</v>
      </c>
      <c r="AE61" s="437">
        <f t="shared" si="224"/>
        <v>60203</v>
      </c>
      <c r="AF61" s="421"/>
      <c r="AG61" s="426">
        <v>1</v>
      </c>
      <c r="AH61" s="426"/>
      <c r="AI61" s="452">
        <f t="shared" si="84"/>
        <v>1</v>
      </c>
      <c r="AJ61" s="452">
        <f t="shared" si="130"/>
        <v>604</v>
      </c>
      <c r="AK61" s="384">
        <f t="shared" si="6"/>
        <v>0.16</v>
      </c>
      <c r="AL61" s="96">
        <f t="shared" si="33"/>
        <v>1.6610192013819681E-3</v>
      </c>
      <c r="AM61" s="420">
        <f t="shared" si="7"/>
        <v>2.72</v>
      </c>
      <c r="AN61" s="156">
        <f t="shared" si="207"/>
        <v>0.99976826563379351</v>
      </c>
      <c r="AO61" s="421">
        <v>1449</v>
      </c>
      <c r="AP61" s="387">
        <f t="shared" si="8"/>
        <v>42</v>
      </c>
      <c r="AQ61" s="443">
        <f t="shared" si="34"/>
        <v>24.068168228024714</v>
      </c>
      <c r="AR61" s="473">
        <f t="shared" si="133"/>
        <v>941.52188330746822</v>
      </c>
      <c r="AS61" s="382">
        <f t="shared" si="9"/>
        <v>524</v>
      </c>
      <c r="AT61" s="181">
        <f t="shared" si="231"/>
        <v>497</v>
      </c>
      <c r="AU61" s="381">
        <f t="shared" si="110"/>
        <v>27</v>
      </c>
      <c r="AV61" s="382">
        <f t="shared" si="10"/>
        <v>79</v>
      </c>
      <c r="AW61" s="181">
        <f t="shared" si="232"/>
        <v>76</v>
      </c>
      <c r="AX61" s="381">
        <f t="shared" si="75"/>
        <v>3</v>
      </c>
      <c r="AZ61" s="403">
        <v>2</v>
      </c>
      <c r="BA61" s="433">
        <f t="shared" si="217"/>
        <v>7</v>
      </c>
      <c r="BB61" s="434"/>
      <c r="BC61" s="436">
        <f t="shared" si="225"/>
        <v>67914</v>
      </c>
      <c r="BD61" s="437">
        <f t="shared" si="226"/>
        <v>67912</v>
      </c>
      <c r="BE61" s="421"/>
      <c r="BF61" s="426">
        <v>2</v>
      </c>
      <c r="BG61" s="426"/>
      <c r="BH61" s="452">
        <f t="shared" si="85"/>
        <v>2</v>
      </c>
      <c r="BI61" s="452">
        <f>BI60+BH61</f>
        <v>1206</v>
      </c>
      <c r="BJ61" s="384">
        <f t="shared" si="12"/>
        <v>0.16</v>
      </c>
      <c r="BK61" s="96">
        <f t="shared" si="50"/>
        <v>2.9449009040845775E-3</v>
      </c>
      <c r="BL61" s="420">
        <f t="shared" si="13"/>
        <v>2.72</v>
      </c>
      <c r="BM61" s="435">
        <f t="shared" si="160"/>
        <v>1.746155850925202</v>
      </c>
      <c r="BN61" s="421">
        <v>2988</v>
      </c>
      <c r="BO61" s="387">
        <f t="shared" si="15"/>
        <v>42</v>
      </c>
      <c r="BP61" s="482">
        <f t="shared" si="51"/>
        <v>43.996819507023588</v>
      </c>
      <c r="BQ61" s="437">
        <f t="shared" si="66"/>
        <v>1443.1187001002777</v>
      </c>
      <c r="BR61" s="382">
        <f t="shared" si="16"/>
        <v>524</v>
      </c>
      <c r="BS61" s="181">
        <f t="shared" si="234"/>
        <v>488</v>
      </c>
      <c r="BT61" s="381">
        <f t="shared" si="111"/>
        <v>36</v>
      </c>
      <c r="BU61" s="382">
        <f t="shared" si="18"/>
        <v>79</v>
      </c>
      <c r="BV61" s="181">
        <f t="shared" si="235"/>
        <v>66</v>
      </c>
      <c r="BW61" s="381">
        <f t="shared" si="76"/>
        <v>13</v>
      </c>
      <c r="BY61" s="120">
        <f t="shared" si="236"/>
        <v>2</v>
      </c>
      <c r="BZ61" s="8">
        <f t="shared" si="221"/>
        <v>7</v>
      </c>
      <c r="CA61" s="136"/>
      <c r="CB61" s="32">
        <f t="shared" si="77"/>
        <v>51459</v>
      </c>
      <c r="CC61" s="69">
        <f t="shared" si="86"/>
        <v>51424</v>
      </c>
      <c r="CD61" s="421"/>
      <c r="CE61" s="426">
        <v>35</v>
      </c>
      <c r="CF61" s="426"/>
      <c r="CG61" s="34">
        <f t="shared" si="87"/>
        <v>35</v>
      </c>
      <c r="CH61" s="689">
        <f t="shared" si="78"/>
        <v>656</v>
      </c>
      <c r="CI61" s="17">
        <f t="shared" si="182"/>
        <v>0.16</v>
      </c>
      <c r="CJ61" s="166">
        <f t="shared" si="55"/>
        <v>0.68015313161934743</v>
      </c>
      <c r="CK61" s="33">
        <f t="shared" si="183"/>
        <v>2.72</v>
      </c>
      <c r="CL61" s="156">
        <f t="shared" si="206"/>
        <v>1.2625339209761544</v>
      </c>
      <c r="CM61" s="137">
        <v>2700</v>
      </c>
      <c r="CN61" s="32">
        <f t="shared" si="184"/>
        <v>42</v>
      </c>
      <c r="CO61" s="482">
        <f t="shared" si="187"/>
        <v>52.468955867778227</v>
      </c>
      <c r="CP61" s="70">
        <f t="shared" si="56"/>
        <v>1666.552002309948</v>
      </c>
      <c r="CQ61" s="50">
        <f t="shared" si="185"/>
        <v>524</v>
      </c>
      <c r="CR61" s="103">
        <f t="shared" si="237"/>
        <v>540.4</v>
      </c>
      <c r="CS61" s="53">
        <f t="shared" si="112"/>
        <v>-16.399999999999977</v>
      </c>
      <c r="CT61" s="12">
        <f t="shared" si="186"/>
        <v>79</v>
      </c>
      <c r="CU61" s="103">
        <f t="shared" si="238"/>
        <v>70</v>
      </c>
      <c r="CV61" s="53">
        <f t="shared" si="41"/>
        <v>9</v>
      </c>
    </row>
    <row r="62" spans="1:100" ht="17.25" thickBot="1" x14ac:dyDescent="0.3">
      <c r="B62" s="198">
        <v>3</v>
      </c>
      <c r="C62" s="38">
        <v>8</v>
      </c>
      <c r="D62" s="143"/>
      <c r="E62" s="60">
        <f t="shared" si="204"/>
        <v>0</v>
      </c>
      <c r="F62" s="72">
        <f t="shared" si="205"/>
        <v>0</v>
      </c>
      <c r="G62" s="145"/>
      <c r="H62" s="141"/>
      <c r="I62" s="141"/>
      <c r="J62" s="17">
        <f t="shared" si="81"/>
        <v>0</v>
      </c>
      <c r="K62" s="17">
        <f t="shared" si="92"/>
        <v>9358</v>
      </c>
      <c r="L62" s="17">
        <f t="shared" si="176"/>
        <v>0.16</v>
      </c>
      <c r="M62" s="231">
        <f t="shared" si="26"/>
        <v>0</v>
      </c>
      <c r="N62" s="33">
        <f t="shared" si="177"/>
        <v>2.8800000000000003</v>
      </c>
      <c r="O62" s="155">
        <f t="shared" si="157"/>
        <v>0</v>
      </c>
      <c r="P62" s="144"/>
      <c r="Q62" s="17">
        <f t="shared" si="178"/>
        <v>46</v>
      </c>
      <c r="R62" s="479">
        <f t="shared" si="29"/>
        <v>0</v>
      </c>
      <c r="S62" s="475">
        <f t="shared" si="82"/>
        <v>0</v>
      </c>
      <c r="T62" s="61">
        <f t="shared" si="179"/>
        <v>618</v>
      </c>
      <c r="U62" s="141"/>
      <c r="V62" s="71">
        <f t="shared" si="94"/>
        <v>618</v>
      </c>
      <c r="W62" s="12">
        <f t="shared" si="180"/>
        <v>79</v>
      </c>
      <c r="X62" s="141"/>
      <c r="Y62" s="71">
        <f t="shared" si="31"/>
        <v>79</v>
      </c>
      <c r="Z62" s="487"/>
      <c r="AA62" s="118">
        <v>3</v>
      </c>
      <c r="AB62" s="9">
        <v>8</v>
      </c>
      <c r="AC62" s="129"/>
      <c r="AD62" s="43">
        <f t="shared" si="132"/>
        <v>60203</v>
      </c>
      <c r="AE62" s="449">
        <f t="shared" si="224"/>
        <v>60202</v>
      </c>
      <c r="AF62" s="130"/>
      <c r="AG62" s="141">
        <v>1</v>
      </c>
      <c r="AH62" s="131"/>
      <c r="AI62" s="11">
        <f t="shared" si="84"/>
        <v>1</v>
      </c>
      <c r="AJ62" s="11">
        <f t="shared" si="130"/>
        <v>605</v>
      </c>
      <c r="AK62" s="17">
        <f t="shared" si="6"/>
        <v>0.16</v>
      </c>
      <c r="AL62" s="153">
        <f t="shared" si="33"/>
        <v>1.6610467916881218E-3</v>
      </c>
      <c r="AM62" s="33">
        <f t="shared" si="7"/>
        <v>2.8800000000000003</v>
      </c>
      <c r="AN62" s="156">
        <f t="shared" si="207"/>
        <v>1.0014235111066971</v>
      </c>
      <c r="AO62" s="144">
        <v>2862</v>
      </c>
      <c r="AP62" s="11">
        <f t="shared" si="8"/>
        <v>46</v>
      </c>
      <c r="AQ62" s="441">
        <f t="shared" si="34"/>
        <v>47.539159178114048</v>
      </c>
      <c r="AR62" s="469">
        <f t="shared" si="133"/>
        <v>989.06104248558222</v>
      </c>
      <c r="AS62" s="61">
        <f t="shared" si="9"/>
        <v>618</v>
      </c>
      <c r="AT62" s="131">
        <v>605</v>
      </c>
      <c r="AU62" s="41">
        <f t="shared" si="110"/>
        <v>13</v>
      </c>
      <c r="AV62" s="18">
        <f t="shared" si="10"/>
        <v>79</v>
      </c>
      <c r="AW62" s="131">
        <v>87</v>
      </c>
      <c r="AX62" s="41">
        <f t="shared" si="75"/>
        <v>-8</v>
      </c>
      <c r="AZ62" s="118">
        <v>3</v>
      </c>
      <c r="BA62" s="9">
        <v>8</v>
      </c>
      <c r="BB62" s="129"/>
      <c r="BC62" s="43">
        <f t="shared" si="225"/>
        <v>67912</v>
      </c>
      <c r="BD62" s="449">
        <f t="shared" si="226"/>
        <v>67910</v>
      </c>
      <c r="BE62" s="130"/>
      <c r="BF62" s="131">
        <v>2</v>
      </c>
      <c r="BG62" s="131"/>
      <c r="BH62" s="11">
        <f t="shared" si="85"/>
        <v>2</v>
      </c>
      <c r="BI62" s="11">
        <f t="shared" si="123"/>
        <v>1208</v>
      </c>
      <c r="BJ62" s="17">
        <f t="shared" si="12"/>
        <v>0.16</v>
      </c>
      <c r="BK62" s="235">
        <f t="shared" si="50"/>
        <v>2.9449876310519494E-3</v>
      </c>
      <c r="BL62" s="33">
        <f t="shared" si="13"/>
        <v>2.8800000000000003</v>
      </c>
      <c r="BM62" s="435">
        <f t="shared" si="160"/>
        <v>1.7490516317725076</v>
      </c>
      <c r="BN62" s="130">
        <v>4104</v>
      </c>
      <c r="BO62" s="11">
        <f t="shared" si="15"/>
        <v>46</v>
      </c>
      <c r="BP62" s="441">
        <f t="shared" si="51"/>
        <v>60.431146189186002</v>
      </c>
      <c r="BQ62" s="377">
        <f t="shared" si="66"/>
        <v>1503.5498462894636</v>
      </c>
      <c r="BR62" s="61">
        <f t="shared" si="16"/>
        <v>618</v>
      </c>
      <c r="BS62" s="131">
        <v>613</v>
      </c>
      <c r="BT62" s="41">
        <f t="shared" si="111"/>
        <v>5</v>
      </c>
      <c r="BU62" s="18">
        <f t="shared" si="18"/>
        <v>79</v>
      </c>
      <c r="BV62" s="131">
        <v>78</v>
      </c>
      <c r="BW62" s="41">
        <f t="shared" si="76"/>
        <v>1</v>
      </c>
      <c r="BY62" s="118">
        <v>3</v>
      </c>
      <c r="BZ62" s="9">
        <v>8</v>
      </c>
      <c r="CA62" s="129"/>
      <c r="CB62" s="11">
        <f t="shared" si="77"/>
        <v>51424</v>
      </c>
      <c r="CC62" s="57">
        <f t="shared" si="86"/>
        <v>51388</v>
      </c>
      <c r="CD62" s="398"/>
      <c r="CE62" s="399">
        <v>36</v>
      </c>
      <c r="CF62" s="399"/>
      <c r="CG62" s="11">
        <f t="shared" si="87"/>
        <v>36</v>
      </c>
      <c r="CH62" s="11">
        <f t="shared" si="78"/>
        <v>692</v>
      </c>
      <c r="CI62" s="16">
        <f t="shared" si="182"/>
        <v>0.16</v>
      </c>
      <c r="CJ62" s="231">
        <f t="shared" si="55"/>
        <v>0.70006222775357807</v>
      </c>
      <c r="CK62" s="154">
        <f t="shared" si="183"/>
        <v>2.8800000000000003</v>
      </c>
      <c r="CL62" s="156">
        <f t="shared" si="206"/>
        <v>1.3318193190785041</v>
      </c>
      <c r="CM62" s="130">
        <v>2160</v>
      </c>
      <c r="CN62" s="17">
        <f t="shared" si="184"/>
        <v>46</v>
      </c>
      <c r="CO62" s="441">
        <f t="shared" si="187"/>
        <v>42.003733665214682</v>
      </c>
      <c r="CP62" s="377">
        <f t="shared" si="56"/>
        <v>1708.5557359751626</v>
      </c>
      <c r="CQ62" s="58">
        <f t="shared" si="185"/>
        <v>618</v>
      </c>
      <c r="CR62" s="131"/>
      <c r="CS62" s="41">
        <f t="shared" si="112"/>
        <v>618</v>
      </c>
      <c r="CT62" s="58">
        <f t="shared" si="186"/>
        <v>79</v>
      </c>
      <c r="CU62" s="131"/>
      <c r="CV62" s="41">
        <f t="shared" si="41"/>
        <v>79</v>
      </c>
    </row>
    <row r="63" spans="1:100" ht="17.25" thickBot="1" x14ac:dyDescent="0.3">
      <c r="B63" s="120">
        <f>B62+1</f>
        <v>4</v>
      </c>
      <c r="C63" s="7">
        <f>C62</f>
        <v>8</v>
      </c>
      <c r="D63" s="133"/>
      <c r="E63" s="48">
        <f t="shared" si="204"/>
        <v>0</v>
      </c>
      <c r="F63" s="49">
        <f t="shared" si="205"/>
        <v>0</v>
      </c>
      <c r="G63" s="142"/>
      <c r="H63" s="135"/>
      <c r="I63" s="135"/>
      <c r="J63" s="14">
        <f t="shared" si="81"/>
        <v>0</v>
      </c>
      <c r="K63" s="14">
        <f t="shared" si="92"/>
        <v>9358</v>
      </c>
      <c r="L63" s="14">
        <f t="shared" si="176"/>
        <v>0.16</v>
      </c>
      <c r="M63" s="47">
        <f t="shared" si="26"/>
        <v>0</v>
      </c>
      <c r="N63" s="35">
        <f t="shared" si="177"/>
        <v>2.8800000000000003</v>
      </c>
      <c r="O63" s="157">
        <f t="shared" si="157"/>
        <v>0</v>
      </c>
      <c r="P63" s="134"/>
      <c r="Q63" s="14">
        <f t="shared" si="178"/>
        <v>46</v>
      </c>
      <c r="R63" s="442">
        <f t="shared" si="29"/>
        <v>0</v>
      </c>
      <c r="S63" s="470">
        <f t="shared" si="82"/>
        <v>0</v>
      </c>
      <c r="T63" s="51">
        <f t="shared" si="179"/>
        <v>618</v>
      </c>
      <c r="U63" s="103">
        <f>U62</f>
        <v>0</v>
      </c>
      <c r="V63" s="46">
        <f t="shared" si="94"/>
        <v>618</v>
      </c>
      <c r="W63" s="51">
        <f t="shared" si="180"/>
        <v>79</v>
      </c>
      <c r="X63" s="103">
        <f>X62</f>
        <v>0</v>
      </c>
      <c r="Y63" s="46">
        <f t="shared" si="31"/>
        <v>79</v>
      </c>
      <c r="Z63" s="487"/>
      <c r="AA63" s="120">
        <f>AA62+1</f>
        <v>4</v>
      </c>
      <c r="AB63" s="7">
        <f>AB62</f>
        <v>8</v>
      </c>
      <c r="AC63" s="133"/>
      <c r="AD63" s="48">
        <f t="shared" si="132"/>
        <v>60202</v>
      </c>
      <c r="AE63" s="196">
        <f t="shared" si="224"/>
        <v>60202</v>
      </c>
      <c r="AF63" s="134"/>
      <c r="AG63" s="135">
        <v>0</v>
      </c>
      <c r="AH63" s="135"/>
      <c r="AI63" s="14">
        <f t="shared" si="84"/>
        <v>0</v>
      </c>
      <c r="AJ63" s="14">
        <f t="shared" si="130"/>
        <v>605</v>
      </c>
      <c r="AK63" s="14">
        <f t="shared" si="6"/>
        <v>0.16</v>
      </c>
      <c r="AL63" s="47">
        <f t="shared" si="33"/>
        <v>0</v>
      </c>
      <c r="AM63" s="35">
        <f t="shared" si="7"/>
        <v>2.8800000000000003</v>
      </c>
      <c r="AN63" s="156">
        <f t="shared" si="207"/>
        <v>1.0014235111066971</v>
      </c>
      <c r="AO63" s="134">
        <v>1449</v>
      </c>
      <c r="AP63" s="14">
        <f t="shared" si="8"/>
        <v>46</v>
      </c>
      <c r="AQ63" s="442">
        <f t="shared" si="34"/>
        <v>24.068967808378456</v>
      </c>
      <c r="AR63" s="470">
        <f t="shared" si="133"/>
        <v>1013.1300102939607</v>
      </c>
      <c r="AS63" s="51">
        <f t="shared" si="9"/>
        <v>618</v>
      </c>
      <c r="AT63" s="103">
        <f>AT62</f>
        <v>605</v>
      </c>
      <c r="AU63" s="46">
        <f t="shared" si="110"/>
        <v>13</v>
      </c>
      <c r="AV63" s="51">
        <f t="shared" si="10"/>
        <v>79</v>
      </c>
      <c r="AW63" s="103">
        <f>AW62</f>
        <v>87</v>
      </c>
      <c r="AX63" s="46">
        <f t="shared" si="75"/>
        <v>-8</v>
      </c>
      <c r="AZ63" s="120">
        <f>AZ62+1</f>
        <v>4</v>
      </c>
      <c r="BA63" s="7">
        <f>BA62</f>
        <v>8</v>
      </c>
      <c r="BB63" s="133"/>
      <c r="BC63" s="48">
        <f t="shared" si="225"/>
        <v>67910</v>
      </c>
      <c r="BD63" s="196">
        <f t="shared" si="226"/>
        <v>67908</v>
      </c>
      <c r="BE63" s="134"/>
      <c r="BF63" s="135">
        <v>2</v>
      </c>
      <c r="BG63" s="135"/>
      <c r="BH63" s="14">
        <f t="shared" si="85"/>
        <v>2</v>
      </c>
      <c r="BI63" s="14">
        <f t="shared" si="123"/>
        <v>1210</v>
      </c>
      <c r="BJ63" s="14">
        <f t="shared" si="12"/>
        <v>0.16</v>
      </c>
      <c r="BK63" s="47">
        <f t="shared" si="50"/>
        <v>2.9450743631276688E-3</v>
      </c>
      <c r="BL63" s="35">
        <f t="shared" si="13"/>
        <v>2.8800000000000003</v>
      </c>
      <c r="BM63" s="435">
        <f t="shared" si="160"/>
        <v>1.7519474126198129</v>
      </c>
      <c r="BN63" s="134">
        <v>1863</v>
      </c>
      <c r="BO63" s="14">
        <f t="shared" si="15"/>
        <v>46</v>
      </c>
      <c r="BP63" s="442">
        <f t="shared" si="51"/>
        <v>27.433367692534237</v>
      </c>
      <c r="BQ63" s="68">
        <f t="shared" si="66"/>
        <v>1530.9832139819978</v>
      </c>
      <c r="BR63" s="51">
        <f t="shared" si="16"/>
        <v>618</v>
      </c>
      <c r="BS63" s="103">
        <f>BS62</f>
        <v>613</v>
      </c>
      <c r="BT63" s="46">
        <f t="shared" si="111"/>
        <v>5</v>
      </c>
      <c r="BU63" s="51">
        <f t="shared" si="18"/>
        <v>79</v>
      </c>
      <c r="BV63" s="103">
        <f>BV62</f>
        <v>78</v>
      </c>
      <c r="BW63" s="46">
        <f t="shared" si="76"/>
        <v>1</v>
      </c>
      <c r="BY63" s="120">
        <f>BY62+1</f>
        <v>4</v>
      </c>
      <c r="BZ63" s="7">
        <f>BZ62</f>
        <v>8</v>
      </c>
      <c r="CA63" s="133"/>
      <c r="CB63" s="14">
        <f t="shared" si="77"/>
        <v>51388</v>
      </c>
      <c r="CC63" s="59">
        <f t="shared" si="86"/>
        <v>51383</v>
      </c>
      <c r="CD63" s="405"/>
      <c r="CE63" s="406">
        <v>5</v>
      </c>
      <c r="CF63" s="406"/>
      <c r="CG63" s="14">
        <f t="shared" si="87"/>
        <v>5</v>
      </c>
      <c r="CH63" s="14">
        <f>CH62+CG63</f>
        <v>697</v>
      </c>
      <c r="CI63" s="14">
        <f t="shared" si="182"/>
        <v>0.16</v>
      </c>
      <c r="CJ63" s="47">
        <f t="shared" si="55"/>
        <v>9.7298980306686392E-2</v>
      </c>
      <c r="CK63" s="35">
        <f t="shared" si="183"/>
        <v>2.8800000000000003</v>
      </c>
      <c r="CL63" s="156">
        <f t="shared" si="206"/>
        <v>1.3414422910371639</v>
      </c>
      <c r="CM63" s="134">
        <v>2160</v>
      </c>
      <c r="CN63" s="14">
        <f t="shared" si="184"/>
        <v>46</v>
      </c>
      <c r="CO63" s="442">
        <f t="shared" si="187"/>
        <v>42.033159492488515</v>
      </c>
      <c r="CP63" s="68">
        <f t="shared" si="56"/>
        <v>1750.5888954676511</v>
      </c>
      <c r="CQ63" s="51">
        <f t="shared" si="185"/>
        <v>618</v>
      </c>
      <c r="CR63" s="103">
        <f>CR62</f>
        <v>0</v>
      </c>
      <c r="CS63" s="46">
        <f t="shared" si="112"/>
        <v>618</v>
      </c>
      <c r="CT63" s="51">
        <f t="shared" si="186"/>
        <v>79</v>
      </c>
      <c r="CU63" s="103">
        <f>CU62</f>
        <v>0</v>
      </c>
      <c r="CV63" s="46">
        <f t="shared" si="41"/>
        <v>79</v>
      </c>
    </row>
    <row r="64" spans="1:100" ht="17.25" thickBot="1" x14ac:dyDescent="0.3">
      <c r="B64" s="120">
        <f t="shared" ref="B64:B68" si="239">B63+1</f>
        <v>5</v>
      </c>
      <c r="C64" s="7">
        <f t="shared" ref="C64:C68" si="240">C63</f>
        <v>8</v>
      </c>
      <c r="D64" s="133"/>
      <c r="E64" s="48">
        <f t="shared" si="204"/>
        <v>0</v>
      </c>
      <c r="F64" s="49">
        <f t="shared" si="205"/>
        <v>0</v>
      </c>
      <c r="G64" s="142"/>
      <c r="H64" s="135"/>
      <c r="I64" s="135"/>
      <c r="J64" s="14">
        <f t="shared" si="81"/>
        <v>0</v>
      </c>
      <c r="K64" s="14">
        <f t="shared" si="92"/>
        <v>9358</v>
      </c>
      <c r="L64" s="14">
        <f t="shared" si="176"/>
        <v>0.16</v>
      </c>
      <c r="M64" s="231">
        <f t="shared" si="26"/>
        <v>0</v>
      </c>
      <c r="N64" s="35">
        <f t="shared" si="177"/>
        <v>2.8800000000000003</v>
      </c>
      <c r="O64" s="157">
        <f t="shared" si="157"/>
        <v>0</v>
      </c>
      <c r="P64" s="134"/>
      <c r="Q64" s="14">
        <f t="shared" si="178"/>
        <v>46</v>
      </c>
      <c r="R64" s="480">
        <f t="shared" si="29"/>
        <v>0</v>
      </c>
      <c r="S64" s="470">
        <f t="shared" si="82"/>
        <v>0</v>
      </c>
      <c r="T64" s="51">
        <f t="shared" si="179"/>
        <v>618</v>
      </c>
      <c r="U64" s="103">
        <f t="shared" ref="U64:U68" si="241">U63</f>
        <v>0</v>
      </c>
      <c r="V64" s="46">
        <f t="shared" si="94"/>
        <v>618</v>
      </c>
      <c r="W64" s="51">
        <f t="shared" si="180"/>
        <v>79</v>
      </c>
      <c r="X64" s="103">
        <f t="shared" ref="X64:X68" si="242">X63</f>
        <v>0</v>
      </c>
      <c r="Y64" s="46">
        <f t="shared" si="31"/>
        <v>79</v>
      </c>
      <c r="Z64" s="487"/>
      <c r="AA64" s="120">
        <f t="shared" ref="AA64:AA68" si="243">AA63+1</f>
        <v>5</v>
      </c>
      <c r="AB64" s="7">
        <f t="shared" ref="AB64:AB68" si="244">AB63</f>
        <v>8</v>
      </c>
      <c r="AC64" s="133"/>
      <c r="AD64" s="48">
        <f t="shared" si="132"/>
        <v>60202</v>
      </c>
      <c r="AE64" s="196">
        <f t="shared" si="224"/>
        <v>60194</v>
      </c>
      <c r="AF64" s="134"/>
      <c r="AG64" s="135">
        <v>8</v>
      </c>
      <c r="AH64" s="135"/>
      <c r="AI64" s="14">
        <f t="shared" si="84"/>
        <v>8</v>
      </c>
      <c r="AJ64" s="14">
        <f t="shared" si="130"/>
        <v>613</v>
      </c>
      <c r="AK64" s="14">
        <f t="shared" si="6"/>
        <v>0.16</v>
      </c>
      <c r="AL64" s="231">
        <f t="shared" si="33"/>
        <v>1.3288595063286933E-2</v>
      </c>
      <c r="AM64" s="35">
        <f t="shared" si="7"/>
        <v>2.8800000000000003</v>
      </c>
      <c r="AN64" s="156">
        <f t="shared" si="207"/>
        <v>1.0146654748899262</v>
      </c>
      <c r="AO64" s="134">
        <v>1035</v>
      </c>
      <c r="AP64" s="14">
        <f t="shared" si="8"/>
        <v>46</v>
      </c>
      <c r="AQ64" s="480">
        <f t="shared" si="34"/>
        <v>17.19211986312747</v>
      </c>
      <c r="AR64" s="470">
        <f t="shared" si="133"/>
        <v>1030.3221301570882</v>
      </c>
      <c r="AS64" s="51">
        <f t="shared" si="9"/>
        <v>618</v>
      </c>
      <c r="AT64" s="103">
        <f t="shared" ref="AT64:AT68" si="245">AT63</f>
        <v>605</v>
      </c>
      <c r="AU64" s="46">
        <f t="shared" si="110"/>
        <v>13</v>
      </c>
      <c r="AV64" s="51">
        <f t="shared" si="10"/>
        <v>79</v>
      </c>
      <c r="AW64" s="103">
        <f t="shared" ref="AW64:AW68" si="246">AW63</f>
        <v>87</v>
      </c>
      <c r="AX64" s="46">
        <f t="shared" si="75"/>
        <v>-8</v>
      </c>
      <c r="AZ64" s="120">
        <f t="shared" ref="AZ64:AZ68" si="247">AZ63+1</f>
        <v>5</v>
      </c>
      <c r="BA64" s="7">
        <f t="shared" ref="BA64:BA68" si="248">BA63</f>
        <v>8</v>
      </c>
      <c r="BB64" s="133"/>
      <c r="BC64" s="48">
        <f t="shared" si="225"/>
        <v>67908</v>
      </c>
      <c r="BD64" s="196">
        <f t="shared" si="226"/>
        <v>67900</v>
      </c>
      <c r="BE64" s="134"/>
      <c r="BF64" s="135">
        <v>8</v>
      </c>
      <c r="BG64" s="135"/>
      <c r="BH64" s="14">
        <f t="shared" si="85"/>
        <v>8</v>
      </c>
      <c r="BI64" s="14">
        <f t="shared" si="123"/>
        <v>1218</v>
      </c>
      <c r="BJ64" s="14">
        <f t="shared" si="12"/>
        <v>0.16</v>
      </c>
      <c r="BK64" s="47">
        <f t="shared" si="50"/>
        <v>1.1780644401248748E-2</v>
      </c>
      <c r="BL64" s="35">
        <f t="shared" si="13"/>
        <v>2.8800000000000003</v>
      </c>
      <c r="BM64" s="435">
        <f t="shared" si="160"/>
        <v>1.7635305360090348</v>
      </c>
      <c r="BN64" s="134">
        <v>4644</v>
      </c>
      <c r="BO64" s="14">
        <f t="shared" si="15"/>
        <v>46</v>
      </c>
      <c r="BP64" s="442">
        <f t="shared" si="51"/>
        <v>68.386640749248983</v>
      </c>
      <c r="BQ64" s="68">
        <f t="shared" si="66"/>
        <v>1599.3698547312467</v>
      </c>
      <c r="BR64" s="51">
        <f t="shared" si="16"/>
        <v>618</v>
      </c>
      <c r="BS64" s="103">
        <f t="shared" ref="BS64:BS68" si="249">BS63</f>
        <v>613</v>
      </c>
      <c r="BT64" s="46">
        <f t="shared" si="111"/>
        <v>5</v>
      </c>
      <c r="BU64" s="51">
        <f t="shared" si="18"/>
        <v>79</v>
      </c>
      <c r="BV64" s="103">
        <f t="shared" ref="BV64:BV68" si="250">BV63</f>
        <v>78</v>
      </c>
      <c r="BW64" s="46">
        <f t="shared" si="76"/>
        <v>1</v>
      </c>
      <c r="BY64" s="120">
        <f t="shared" ref="BY64:BY68" si="251">BY63+1</f>
        <v>5</v>
      </c>
      <c r="BZ64" s="7">
        <f t="shared" ref="BZ64:BZ68" si="252">BZ63</f>
        <v>8</v>
      </c>
      <c r="CA64" s="133"/>
      <c r="CB64" s="14">
        <f t="shared" si="77"/>
        <v>51383</v>
      </c>
      <c r="CC64" s="59">
        <f t="shared" si="86"/>
        <v>51378</v>
      </c>
      <c r="CD64" s="405"/>
      <c r="CE64" s="406">
        <v>5</v>
      </c>
      <c r="CF64" s="406"/>
      <c r="CG64" s="14">
        <f t="shared" si="87"/>
        <v>5</v>
      </c>
      <c r="CH64" s="14">
        <f t="shared" si="78"/>
        <v>702</v>
      </c>
      <c r="CI64" s="14">
        <f t="shared" si="182"/>
        <v>0.16</v>
      </c>
      <c r="CJ64" s="47">
        <f t="shared" si="55"/>
        <v>9.7308448319483098E-2</v>
      </c>
      <c r="CK64" s="35">
        <f t="shared" si="183"/>
        <v>2.8800000000000003</v>
      </c>
      <c r="CL64" s="156">
        <f t="shared" si="206"/>
        <v>1.3510652629958235</v>
      </c>
      <c r="CM64" s="134">
        <v>1800</v>
      </c>
      <c r="CN64" s="14">
        <f t="shared" si="184"/>
        <v>46</v>
      </c>
      <c r="CO64" s="442">
        <f t="shared" si="187"/>
        <v>35.031041395013915</v>
      </c>
      <c r="CP64" s="68">
        <f t="shared" si="56"/>
        <v>1785.6199368626651</v>
      </c>
      <c r="CQ64" s="51">
        <f t="shared" si="185"/>
        <v>618</v>
      </c>
      <c r="CR64" s="103">
        <f t="shared" ref="CR64:CR68" si="253">CR63</f>
        <v>0</v>
      </c>
      <c r="CS64" s="46">
        <f t="shared" si="112"/>
        <v>618</v>
      </c>
      <c r="CT64" s="12">
        <f t="shared" si="186"/>
        <v>79</v>
      </c>
      <c r="CU64" s="103">
        <f t="shared" ref="CU64:CU68" si="254">CU63</f>
        <v>0</v>
      </c>
      <c r="CV64" s="46">
        <f t="shared" si="41"/>
        <v>79</v>
      </c>
    </row>
    <row r="65" spans="1:100" ht="17.25" thickBot="1" x14ac:dyDescent="0.3">
      <c r="B65" s="120">
        <f t="shared" si="239"/>
        <v>6</v>
      </c>
      <c r="C65" s="7">
        <f t="shared" si="240"/>
        <v>8</v>
      </c>
      <c r="D65" s="133"/>
      <c r="E65" s="48">
        <f t="shared" si="204"/>
        <v>0</v>
      </c>
      <c r="F65" s="49">
        <f t="shared" si="205"/>
        <v>0</v>
      </c>
      <c r="G65" s="142"/>
      <c r="H65" s="135"/>
      <c r="I65" s="135"/>
      <c r="J65" s="14">
        <f t="shared" si="81"/>
        <v>0</v>
      </c>
      <c r="K65" s="14">
        <f t="shared" si="92"/>
        <v>9358</v>
      </c>
      <c r="L65" s="14">
        <f t="shared" si="176"/>
        <v>0.16</v>
      </c>
      <c r="M65" s="230">
        <f t="shared" si="26"/>
        <v>0</v>
      </c>
      <c r="N65" s="35">
        <f t="shared" si="177"/>
        <v>2.8800000000000003</v>
      </c>
      <c r="O65" s="157">
        <f t="shared" si="157"/>
        <v>0</v>
      </c>
      <c r="P65" s="134"/>
      <c r="Q65" s="14">
        <f t="shared" si="178"/>
        <v>46</v>
      </c>
      <c r="R65" s="442">
        <f t="shared" si="29"/>
        <v>0</v>
      </c>
      <c r="S65" s="470">
        <f t="shared" si="82"/>
        <v>0</v>
      </c>
      <c r="T65" s="51">
        <f t="shared" si="179"/>
        <v>618</v>
      </c>
      <c r="U65" s="103">
        <f t="shared" si="241"/>
        <v>0</v>
      </c>
      <c r="V65" s="46">
        <f t="shared" si="94"/>
        <v>618</v>
      </c>
      <c r="W65" s="12">
        <f t="shared" si="180"/>
        <v>79</v>
      </c>
      <c r="X65" s="103">
        <f t="shared" si="242"/>
        <v>0</v>
      </c>
      <c r="Y65" s="46">
        <f t="shared" si="31"/>
        <v>79</v>
      </c>
      <c r="Z65" s="487"/>
      <c r="AA65" s="120">
        <f t="shared" si="243"/>
        <v>6</v>
      </c>
      <c r="AB65" s="7">
        <f t="shared" si="244"/>
        <v>8</v>
      </c>
      <c r="AC65" s="133"/>
      <c r="AD65" s="48">
        <f t="shared" si="132"/>
        <v>60194</v>
      </c>
      <c r="AE65" s="196">
        <f t="shared" si="224"/>
        <v>60187</v>
      </c>
      <c r="AF65" s="134"/>
      <c r="AG65" s="135">
        <v>7</v>
      </c>
      <c r="AH65" s="135"/>
      <c r="AI65" s="14">
        <f t="shared" si="84"/>
        <v>7</v>
      </c>
      <c r="AJ65" s="14">
        <f t="shared" si="130"/>
        <v>620</v>
      </c>
      <c r="AK65" s="14">
        <f t="shared" si="6"/>
        <v>0.16</v>
      </c>
      <c r="AL65" s="230">
        <f t="shared" si="33"/>
        <v>1.1629066019869089E-2</v>
      </c>
      <c r="AM65" s="35">
        <f t="shared" si="7"/>
        <v>2.8800000000000003</v>
      </c>
      <c r="AN65" s="156">
        <f t="shared" si="207"/>
        <v>1.0262521932002515</v>
      </c>
      <c r="AO65" s="134">
        <v>3096</v>
      </c>
      <c r="AP65" s="14">
        <f t="shared" si="8"/>
        <v>46</v>
      </c>
      <c r="AQ65" s="442">
        <f t="shared" si="34"/>
        <v>51.433697710735288</v>
      </c>
      <c r="AR65" s="470">
        <f t="shared" si="133"/>
        <v>1081.7558278678234</v>
      </c>
      <c r="AS65" s="51">
        <f t="shared" si="9"/>
        <v>618</v>
      </c>
      <c r="AT65" s="103">
        <f t="shared" si="245"/>
        <v>605</v>
      </c>
      <c r="AU65" s="46">
        <f t="shared" si="110"/>
        <v>13</v>
      </c>
      <c r="AV65" s="12">
        <f t="shared" si="10"/>
        <v>79</v>
      </c>
      <c r="AW65" s="103">
        <f t="shared" si="246"/>
        <v>87</v>
      </c>
      <c r="AX65" s="46">
        <f t="shared" si="75"/>
        <v>-8</v>
      </c>
      <c r="AZ65" s="120">
        <f t="shared" si="247"/>
        <v>6</v>
      </c>
      <c r="BA65" s="7">
        <f t="shared" si="248"/>
        <v>8</v>
      </c>
      <c r="BB65" s="133"/>
      <c r="BC65" s="48">
        <f t="shared" si="225"/>
        <v>67900</v>
      </c>
      <c r="BD65" s="196">
        <f t="shared" si="226"/>
        <v>67895</v>
      </c>
      <c r="BE65" s="134"/>
      <c r="BF65" s="135">
        <v>5</v>
      </c>
      <c r="BG65" s="135"/>
      <c r="BH65" s="14">
        <f t="shared" si="85"/>
        <v>5</v>
      </c>
      <c r="BI65" s="14">
        <f t="shared" si="123"/>
        <v>1223</v>
      </c>
      <c r="BJ65" s="14">
        <f t="shared" si="12"/>
        <v>0.16</v>
      </c>
      <c r="BK65" s="47">
        <f t="shared" si="50"/>
        <v>7.3637702503681884E-3</v>
      </c>
      <c r="BL65" s="35">
        <f t="shared" si="13"/>
        <v>2.8800000000000003</v>
      </c>
      <c r="BM65" s="435">
        <f t="shared" si="160"/>
        <v>1.7707699881272985</v>
      </c>
      <c r="BN65" s="134">
        <v>5418</v>
      </c>
      <c r="BO65" s="14">
        <f t="shared" si="15"/>
        <v>46</v>
      </c>
      <c r="BP65" s="442">
        <f t="shared" si="51"/>
        <v>79.793814432989691</v>
      </c>
      <c r="BQ65" s="68">
        <f t="shared" si="66"/>
        <v>1679.1636691642364</v>
      </c>
      <c r="BR65" s="51">
        <f t="shared" si="16"/>
        <v>618</v>
      </c>
      <c r="BS65" s="103">
        <f t="shared" si="249"/>
        <v>613</v>
      </c>
      <c r="BT65" s="46">
        <f t="shared" si="111"/>
        <v>5</v>
      </c>
      <c r="BU65" s="12">
        <f t="shared" si="18"/>
        <v>79</v>
      </c>
      <c r="BV65" s="103">
        <f t="shared" si="250"/>
        <v>78</v>
      </c>
      <c r="BW65" s="46">
        <f t="shared" si="76"/>
        <v>1</v>
      </c>
      <c r="BY65" s="120">
        <f t="shared" si="251"/>
        <v>6</v>
      </c>
      <c r="BZ65" s="7">
        <f t="shared" si="252"/>
        <v>8</v>
      </c>
      <c r="CA65" s="133"/>
      <c r="CB65" s="14">
        <f t="shared" si="77"/>
        <v>51378</v>
      </c>
      <c r="CC65" s="59">
        <f t="shared" si="86"/>
        <v>51363</v>
      </c>
      <c r="CD65" s="405"/>
      <c r="CE65" s="406">
        <v>15</v>
      </c>
      <c r="CF65" s="406"/>
      <c r="CG65" s="14">
        <f t="shared" si="87"/>
        <v>15</v>
      </c>
      <c r="CH65" s="14">
        <f t="shared" si="78"/>
        <v>717</v>
      </c>
      <c r="CI65" s="14">
        <f t="shared" si="182"/>
        <v>0.16</v>
      </c>
      <c r="CJ65" s="47">
        <f t="shared" si="55"/>
        <v>0.29195375452528322</v>
      </c>
      <c r="CK65" s="35">
        <f t="shared" si="183"/>
        <v>2.8800000000000003</v>
      </c>
      <c r="CL65" s="156">
        <f t="shared" si="206"/>
        <v>1.3799341788718027</v>
      </c>
      <c r="CM65" s="134">
        <v>1800</v>
      </c>
      <c r="CN65" s="14">
        <f t="shared" si="184"/>
        <v>46</v>
      </c>
      <c r="CO65" s="442">
        <f t="shared" si="187"/>
        <v>35.034450543033984</v>
      </c>
      <c r="CP65" s="68">
        <f t="shared" si="56"/>
        <v>1820.654387405699</v>
      </c>
      <c r="CQ65" s="51">
        <f t="shared" si="185"/>
        <v>618</v>
      </c>
      <c r="CR65" s="103">
        <f t="shared" si="253"/>
        <v>0</v>
      </c>
      <c r="CS65" s="46">
        <f t="shared" si="112"/>
        <v>618</v>
      </c>
      <c r="CT65" s="50">
        <f t="shared" si="186"/>
        <v>79</v>
      </c>
      <c r="CU65" s="103">
        <f t="shared" si="254"/>
        <v>0</v>
      </c>
      <c r="CV65" s="46">
        <f t="shared" si="41"/>
        <v>79</v>
      </c>
    </row>
    <row r="66" spans="1:100" ht="17.25" thickBot="1" x14ac:dyDescent="0.3">
      <c r="B66" s="120">
        <f t="shared" si="239"/>
        <v>7</v>
      </c>
      <c r="C66" s="7">
        <f t="shared" si="240"/>
        <v>8</v>
      </c>
      <c r="D66" s="133"/>
      <c r="E66" s="48">
        <f t="shared" si="204"/>
        <v>0</v>
      </c>
      <c r="F66" s="49">
        <f t="shared" si="205"/>
        <v>0</v>
      </c>
      <c r="G66" s="142"/>
      <c r="H66" s="135"/>
      <c r="I66" s="135"/>
      <c r="J66" s="14">
        <f t="shared" si="81"/>
        <v>0</v>
      </c>
      <c r="K66" s="14">
        <f t="shared" si="92"/>
        <v>9358</v>
      </c>
      <c r="L66" s="14">
        <f t="shared" si="176"/>
        <v>0.16</v>
      </c>
      <c r="M66" s="47">
        <f t="shared" si="26"/>
        <v>0</v>
      </c>
      <c r="N66" s="35">
        <f t="shared" si="177"/>
        <v>2.8800000000000003</v>
      </c>
      <c r="O66" s="157">
        <f t="shared" si="157"/>
        <v>0</v>
      </c>
      <c r="P66" s="134"/>
      <c r="Q66" s="14">
        <f t="shared" si="178"/>
        <v>46</v>
      </c>
      <c r="R66" s="480">
        <f t="shared" si="29"/>
        <v>0</v>
      </c>
      <c r="S66" s="470">
        <f t="shared" si="82"/>
        <v>0</v>
      </c>
      <c r="T66" s="51">
        <f t="shared" si="179"/>
        <v>618</v>
      </c>
      <c r="U66" s="103">
        <f t="shared" si="241"/>
        <v>0</v>
      </c>
      <c r="V66" s="46">
        <f t="shared" si="94"/>
        <v>618</v>
      </c>
      <c r="W66" s="50">
        <f t="shared" si="180"/>
        <v>79</v>
      </c>
      <c r="X66" s="103">
        <f t="shared" si="242"/>
        <v>0</v>
      </c>
      <c r="Y66" s="46">
        <f t="shared" si="31"/>
        <v>79</v>
      </c>
      <c r="Z66" s="487"/>
      <c r="AA66" s="120">
        <f t="shared" si="243"/>
        <v>7</v>
      </c>
      <c r="AB66" s="7">
        <f t="shared" si="244"/>
        <v>8</v>
      </c>
      <c r="AC66" s="133"/>
      <c r="AD66" s="48">
        <f t="shared" si="132"/>
        <v>60187</v>
      </c>
      <c r="AE66" s="49">
        <f t="shared" si="224"/>
        <v>60182</v>
      </c>
      <c r="AF66" s="134"/>
      <c r="AG66" s="135">
        <v>5</v>
      </c>
      <c r="AH66" s="135"/>
      <c r="AI66" s="14">
        <f t="shared" si="84"/>
        <v>5</v>
      </c>
      <c r="AJ66" s="14">
        <f t="shared" si="130"/>
        <v>625</v>
      </c>
      <c r="AK66" s="14">
        <f t="shared" si="6"/>
        <v>0.16</v>
      </c>
      <c r="AL66" s="47">
        <f t="shared" si="33"/>
        <v>8.3074418063701465E-3</v>
      </c>
      <c r="AM66" s="35">
        <f t="shared" si="7"/>
        <v>2.8800000000000003</v>
      </c>
      <c r="AN66" s="156">
        <f t="shared" si="207"/>
        <v>1.0345284205647698</v>
      </c>
      <c r="AO66" s="134">
        <v>1242</v>
      </c>
      <c r="AP66" s="14">
        <f t="shared" si="8"/>
        <v>46</v>
      </c>
      <c r="AQ66" s="480">
        <f t="shared" si="34"/>
        <v>20.635685447023445</v>
      </c>
      <c r="AR66" s="470">
        <f t="shared" si="133"/>
        <v>1102.3915133148469</v>
      </c>
      <c r="AS66" s="51">
        <f t="shared" si="9"/>
        <v>618</v>
      </c>
      <c r="AT66" s="103">
        <f t="shared" si="245"/>
        <v>605</v>
      </c>
      <c r="AU66" s="46">
        <f t="shared" si="110"/>
        <v>13</v>
      </c>
      <c r="AV66" s="50">
        <f t="shared" si="10"/>
        <v>79</v>
      </c>
      <c r="AW66" s="103">
        <f t="shared" si="246"/>
        <v>87</v>
      </c>
      <c r="AX66" s="46">
        <f t="shared" si="75"/>
        <v>-8</v>
      </c>
      <c r="AZ66" s="120">
        <f t="shared" si="247"/>
        <v>7</v>
      </c>
      <c r="BA66" s="7">
        <f t="shared" si="248"/>
        <v>8</v>
      </c>
      <c r="BB66" s="133"/>
      <c r="BC66" s="48">
        <f t="shared" si="225"/>
        <v>67895</v>
      </c>
      <c r="BD66" s="49">
        <f t="shared" si="226"/>
        <v>67892</v>
      </c>
      <c r="BE66" s="134"/>
      <c r="BF66" s="135">
        <v>3</v>
      </c>
      <c r="BG66" s="135"/>
      <c r="BH66" s="14">
        <f t="shared" si="85"/>
        <v>3</v>
      </c>
      <c r="BI66" s="14">
        <f t="shared" si="123"/>
        <v>1226</v>
      </c>
      <c r="BJ66" s="14">
        <f t="shared" si="12"/>
        <v>0.16</v>
      </c>
      <c r="BK66" s="47">
        <f t="shared" si="50"/>
        <v>4.4185875248545546E-3</v>
      </c>
      <c r="BL66" s="35">
        <f t="shared" si="13"/>
        <v>2.8800000000000003</v>
      </c>
      <c r="BM66" s="435">
        <f t="shared" si="160"/>
        <v>1.7751136593982568</v>
      </c>
      <c r="BN66" s="134">
        <v>1035</v>
      </c>
      <c r="BO66" s="14">
        <f t="shared" si="15"/>
        <v>46</v>
      </c>
      <c r="BP66" s="442">
        <f t="shared" si="51"/>
        <v>15.244126960748213</v>
      </c>
      <c r="BQ66" s="68">
        <f t="shared" si="66"/>
        <v>1694.4077961249845</v>
      </c>
      <c r="BR66" s="51">
        <f t="shared" si="16"/>
        <v>618</v>
      </c>
      <c r="BS66" s="103">
        <f t="shared" si="249"/>
        <v>613</v>
      </c>
      <c r="BT66" s="46">
        <f t="shared" si="111"/>
        <v>5</v>
      </c>
      <c r="BU66" s="50">
        <f t="shared" si="18"/>
        <v>79</v>
      </c>
      <c r="BV66" s="103">
        <f t="shared" si="250"/>
        <v>78</v>
      </c>
      <c r="BW66" s="46">
        <f t="shared" si="76"/>
        <v>1</v>
      </c>
      <c r="BY66" s="120">
        <f t="shared" si="251"/>
        <v>7</v>
      </c>
      <c r="BZ66" s="7">
        <f t="shared" si="252"/>
        <v>8</v>
      </c>
      <c r="CA66" s="133"/>
      <c r="CB66" s="14">
        <f t="shared" si="77"/>
        <v>51363</v>
      </c>
      <c r="CC66" s="46">
        <f t="shared" si="86"/>
        <v>51355</v>
      </c>
      <c r="CD66" s="405"/>
      <c r="CE66" s="406">
        <v>8</v>
      </c>
      <c r="CF66" s="406"/>
      <c r="CG66" s="14">
        <f t="shared" si="87"/>
        <v>8</v>
      </c>
      <c r="CH66" s="14">
        <f t="shared" si="78"/>
        <v>725</v>
      </c>
      <c r="CI66" s="14">
        <f t="shared" si="182"/>
        <v>0.16</v>
      </c>
      <c r="CJ66" s="47">
        <f t="shared" si="55"/>
        <v>0.15575414208671612</v>
      </c>
      <c r="CK66" s="35">
        <f t="shared" si="183"/>
        <v>2.8800000000000003</v>
      </c>
      <c r="CL66" s="156">
        <f t="shared" si="206"/>
        <v>1.3953309340056583</v>
      </c>
      <c r="CM66" s="134">
        <v>1980</v>
      </c>
      <c r="CN66" s="14">
        <f t="shared" si="184"/>
        <v>46</v>
      </c>
      <c r="CO66" s="442">
        <f t="shared" si="187"/>
        <v>38.54915016646224</v>
      </c>
      <c r="CP66" s="68">
        <f t="shared" si="56"/>
        <v>1859.2035375721612</v>
      </c>
      <c r="CQ66" s="51">
        <f t="shared" si="185"/>
        <v>618</v>
      </c>
      <c r="CR66" s="103">
        <f t="shared" si="253"/>
        <v>0</v>
      </c>
      <c r="CS66" s="46">
        <f t="shared" si="112"/>
        <v>618</v>
      </c>
      <c r="CT66" s="50">
        <f t="shared" si="186"/>
        <v>79</v>
      </c>
      <c r="CU66" s="103">
        <f t="shared" si="254"/>
        <v>0</v>
      </c>
      <c r="CV66" s="46">
        <f t="shared" si="41"/>
        <v>79</v>
      </c>
    </row>
    <row r="67" spans="1:100" ht="17.25" thickBot="1" x14ac:dyDescent="0.3">
      <c r="B67" s="120">
        <f t="shared" si="239"/>
        <v>8</v>
      </c>
      <c r="C67" s="7">
        <f t="shared" si="240"/>
        <v>8</v>
      </c>
      <c r="D67" s="133"/>
      <c r="E67" s="48">
        <f t="shared" si="204"/>
        <v>0</v>
      </c>
      <c r="F67" s="49">
        <f t="shared" si="205"/>
        <v>0</v>
      </c>
      <c r="G67" s="142"/>
      <c r="H67" s="135"/>
      <c r="I67" s="135"/>
      <c r="J67" s="14">
        <f t="shared" si="81"/>
        <v>0</v>
      </c>
      <c r="K67" s="14">
        <f t="shared" si="92"/>
        <v>9358</v>
      </c>
      <c r="L67" s="14">
        <f t="shared" si="176"/>
        <v>0.16</v>
      </c>
      <c r="M67" s="231">
        <f t="shared" si="26"/>
        <v>0</v>
      </c>
      <c r="N67" s="35">
        <f t="shared" si="177"/>
        <v>2.8800000000000003</v>
      </c>
      <c r="O67" s="157">
        <f t="shared" si="157"/>
        <v>0</v>
      </c>
      <c r="P67" s="134"/>
      <c r="Q67" s="14">
        <f t="shared" si="178"/>
        <v>46</v>
      </c>
      <c r="R67" s="482">
        <f t="shared" si="29"/>
        <v>0</v>
      </c>
      <c r="S67" s="470">
        <f t="shared" si="82"/>
        <v>0</v>
      </c>
      <c r="T67" s="51">
        <f t="shared" si="179"/>
        <v>618</v>
      </c>
      <c r="U67" s="103">
        <f t="shared" si="241"/>
        <v>0</v>
      </c>
      <c r="V67" s="46">
        <f t="shared" si="94"/>
        <v>618</v>
      </c>
      <c r="W67" s="50">
        <f t="shared" si="180"/>
        <v>79</v>
      </c>
      <c r="X67" s="103">
        <f t="shared" si="242"/>
        <v>0</v>
      </c>
      <c r="Y67" s="46">
        <f t="shared" si="31"/>
        <v>79</v>
      </c>
      <c r="Z67" s="487"/>
      <c r="AA67" s="120">
        <f t="shared" si="243"/>
        <v>8</v>
      </c>
      <c r="AB67" s="7">
        <f t="shared" si="244"/>
        <v>8</v>
      </c>
      <c r="AC67" s="133"/>
      <c r="AD67" s="48">
        <f t="shared" si="132"/>
        <v>60182</v>
      </c>
      <c r="AE67" s="447">
        <f t="shared" si="224"/>
        <v>60180</v>
      </c>
      <c r="AF67" s="134"/>
      <c r="AG67" s="135">
        <v>2</v>
      </c>
      <c r="AH67" s="135"/>
      <c r="AI67" s="14">
        <f t="shared" si="84"/>
        <v>2</v>
      </c>
      <c r="AJ67" s="14">
        <f t="shared" si="130"/>
        <v>627</v>
      </c>
      <c r="AK67" s="14">
        <f t="shared" si="6"/>
        <v>0.16</v>
      </c>
      <c r="AL67" s="231">
        <f t="shared" si="33"/>
        <v>3.3232527998404838E-3</v>
      </c>
      <c r="AM67" s="35">
        <f t="shared" si="7"/>
        <v>2.8800000000000003</v>
      </c>
      <c r="AN67" s="156">
        <f t="shared" si="207"/>
        <v>1.0378389115105771</v>
      </c>
      <c r="AO67" s="134">
        <v>1035</v>
      </c>
      <c r="AP67" s="14">
        <f t="shared" si="8"/>
        <v>46</v>
      </c>
      <c r="AQ67" s="482">
        <f t="shared" si="34"/>
        <v>17.197833239174503</v>
      </c>
      <c r="AR67" s="470">
        <f t="shared" si="133"/>
        <v>1119.5893465540214</v>
      </c>
      <c r="AS67" s="51">
        <f t="shared" si="9"/>
        <v>618</v>
      </c>
      <c r="AT67" s="103">
        <f t="shared" si="245"/>
        <v>605</v>
      </c>
      <c r="AU67" s="46">
        <f t="shared" si="110"/>
        <v>13</v>
      </c>
      <c r="AV67" s="50">
        <f t="shared" si="10"/>
        <v>79</v>
      </c>
      <c r="AW67" s="103">
        <f t="shared" si="246"/>
        <v>87</v>
      </c>
      <c r="AX67" s="46">
        <f t="shared" si="75"/>
        <v>-8</v>
      </c>
      <c r="AZ67" s="120">
        <f t="shared" si="247"/>
        <v>8</v>
      </c>
      <c r="BA67" s="7">
        <f t="shared" si="248"/>
        <v>8</v>
      </c>
      <c r="BB67" s="133"/>
      <c r="BC67" s="48">
        <f t="shared" si="225"/>
        <v>67892</v>
      </c>
      <c r="BD67" s="447">
        <f t="shared" si="226"/>
        <v>67884</v>
      </c>
      <c r="BE67" s="134"/>
      <c r="BF67" s="135">
        <v>8</v>
      </c>
      <c r="BG67" s="135"/>
      <c r="BH67" s="14">
        <f t="shared" si="85"/>
        <v>8</v>
      </c>
      <c r="BI67" s="14">
        <f t="shared" si="123"/>
        <v>1234</v>
      </c>
      <c r="BJ67" s="14">
        <f t="shared" si="12"/>
        <v>0.16</v>
      </c>
      <c r="BK67" s="47">
        <f t="shared" si="50"/>
        <v>1.1783420727037058E-2</v>
      </c>
      <c r="BL67" s="35">
        <f t="shared" si="13"/>
        <v>2.8800000000000003</v>
      </c>
      <c r="BM67" s="435">
        <f t="shared" si="160"/>
        <v>1.7866967827874787</v>
      </c>
      <c r="BN67" s="134">
        <v>927</v>
      </c>
      <c r="BO67" s="14">
        <f t="shared" si="15"/>
        <v>46</v>
      </c>
      <c r="BP67" s="442">
        <f t="shared" si="51"/>
        <v>13.654038767454193</v>
      </c>
      <c r="BQ67" s="68">
        <f t="shared" si="66"/>
        <v>1708.0618348924388</v>
      </c>
      <c r="BR67" s="51">
        <f t="shared" si="16"/>
        <v>618</v>
      </c>
      <c r="BS67" s="103">
        <f t="shared" si="249"/>
        <v>613</v>
      </c>
      <c r="BT67" s="46">
        <f t="shared" si="111"/>
        <v>5</v>
      </c>
      <c r="BU67" s="50">
        <f t="shared" si="18"/>
        <v>79</v>
      </c>
      <c r="BV67" s="103">
        <f t="shared" si="250"/>
        <v>78</v>
      </c>
      <c r="BW67" s="46">
        <f t="shared" si="76"/>
        <v>1</v>
      </c>
      <c r="BY67" s="120">
        <f t="shared" si="251"/>
        <v>8</v>
      </c>
      <c r="BZ67" s="7">
        <f t="shared" si="252"/>
        <v>8</v>
      </c>
      <c r="CA67" s="133"/>
      <c r="CB67" s="14">
        <f t="shared" si="77"/>
        <v>51355</v>
      </c>
      <c r="CC67" s="62">
        <f t="shared" si="86"/>
        <v>51351</v>
      </c>
      <c r="CD67" s="405"/>
      <c r="CE67" s="406">
        <v>4</v>
      </c>
      <c r="CF67" s="406"/>
      <c r="CG67" s="14">
        <f t="shared" si="87"/>
        <v>4</v>
      </c>
      <c r="CH67" s="14">
        <f t="shared" si="78"/>
        <v>729</v>
      </c>
      <c r="CI67" s="14">
        <f t="shared" si="182"/>
        <v>0.16</v>
      </c>
      <c r="CJ67" s="47">
        <f t="shared" si="55"/>
        <v>7.7889202609288291E-2</v>
      </c>
      <c r="CK67" s="35">
        <f t="shared" si="183"/>
        <v>2.8800000000000003</v>
      </c>
      <c r="CL67" s="156">
        <f t="shared" si="206"/>
        <v>1.403029311572586</v>
      </c>
      <c r="CM67" s="134">
        <v>1620</v>
      </c>
      <c r="CN67" s="14">
        <f t="shared" si="184"/>
        <v>46</v>
      </c>
      <c r="CO67" s="442">
        <f t="shared" si="187"/>
        <v>31.545127056761753</v>
      </c>
      <c r="CP67" s="68">
        <f t="shared" si="56"/>
        <v>1890.7486646289228</v>
      </c>
      <c r="CQ67" s="51">
        <f t="shared" si="185"/>
        <v>618</v>
      </c>
      <c r="CR67" s="103">
        <f t="shared" si="253"/>
        <v>0</v>
      </c>
      <c r="CS67" s="46">
        <f t="shared" si="112"/>
        <v>618</v>
      </c>
      <c r="CT67" s="51">
        <f t="shared" si="186"/>
        <v>79</v>
      </c>
      <c r="CU67" s="103">
        <f t="shared" si="254"/>
        <v>0</v>
      </c>
      <c r="CV67" s="46">
        <f t="shared" si="41"/>
        <v>79</v>
      </c>
    </row>
    <row r="68" spans="1:100" ht="17.25" thickBot="1" x14ac:dyDescent="0.3">
      <c r="B68" s="119">
        <f t="shared" si="239"/>
        <v>9</v>
      </c>
      <c r="C68" s="95">
        <f t="shared" si="240"/>
        <v>8</v>
      </c>
      <c r="D68" s="203"/>
      <c r="E68" s="67">
        <f t="shared" si="204"/>
        <v>0</v>
      </c>
      <c r="F68" s="196">
        <f t="shared" si="205"/>
        <v>0</v>
      </c>
      <c r="G68" s="237"/>
      <c r="H68" s="205"/>
      <c r="I68" s="205"/>
      <c r="J68" s="31">
        <f t="shared" si="81"/>
        <v>0</v>
      </c>
      <c r="K68" s="31">
        <f t="shared" si="92"/>
        <v>9358</v>
      </c>
      <c r="L68" s="31">
        <f t="shared" si="176"/>
        <v>0.16</v>
      </c>
      <c r="M68" s="230">
        <f t="shared" si="26"/>
        <v>0</v>
      </c>
      <c r="N68" s="37">
        <f t="shared" si="177"/>
        <v>2.8800000000000003</v>
      </c>
      <c r="O68" s="157">
        <f t="shared" si="157"/>
        <v>0</v>
      </c>
      <c r="P68" s="204"/>
      <c r="Q68" s="13">
        <f t="shared" si="178"/>
        <v>46</v>
      </c>
      <c r="R68" s="482">
        <f t="shared" si="29"/>
        <v>0</v>
      </c>
      <c r="S68" s="641">
        <f t="shared" si="82"/>
        <v>0</v>
      </c>
      <c r="T68" s="50">
        <f t="shared" si="179"/>
        <v>618</v>
      </c>
      <c r="U68" s="202">
        <f t="shared" si="241"/>
        <v>0</v>
      </c>
      <c r="V68" s="62">
        <f t="shared" si="94"/>
        <v>618</v>
      </c>
      <c r="W68" s="50">
        <f t="shared" si="180"/>
        <v>79</v>
      </c>
      <c r="X68" s="202">
        <f t="shared" si="242"/>
        <v>0</v>
      </c>
      <c r="Y68" s="62">
        <f t="shared" si="31"/>
        <v>79</v>
      </c>
      <c r="Z68" s="487"/>
      <c r="AA68" s="120">
        <f t="shared" si="243"/>
        <v>9</v>
      </c>
      <c r="AB68" s="8">
        <f t="shared" si="244"/>
        <v>8</v>
      </c>
      <c r="AC68" s="136"/>
      <c r="AD68" s="67">
        <f t="shared" si="132"/>
        <v>60180</v>
      </c>
      <c r="AE68" s="55">
        <f t="shared" si="224"/>
        <v>60172</v>
      </c>
      <c r="AF68" s="137"/>
      <c r="AG68" s="138">
        <v>8</v>
      </c>
      <c r="AH68" s="138"/>
      <c r="AI68" s="34">
        <f t="shared" si="84"/>
        <v>8</v>
      </c>
      <c r="AJ68" s="34">
        <f t="shared" si="130"/>
        <v>635</v>
      </c>
      <c r="AK68" s="17">
        <f t="shared" si="6"/>
        <v>0.16</v>
      </c>
      <c r="AL68" s="96">
        <f t="shared" si="33"/>
        <v>1.3293452974410104E-2</v>
      </c>
      <c r="AM68" s="33">
        <f t="shared" si="7"/>
        <v>2.8800000000000003</v>
      </c>
      <c r="AN68" s="156">
        <f t="shared" si="207"/>
        <v>1.0510808752938061</v>
      </c>
      <c r="AO68" s="137">
        <v>2484</v>
      </c>
      <c r="AP68" s="32">
        <f t="shared" si="8"/>
        <v>46</v>
      </c>
      <c r="AQ68" s="443">
        <f t="shared" si="34"/>
        <v>41.276171485543372</v>
      </c>
      <c r="AR68" s="471">
        <f t="shared" si="133"/>
        <v>1160.8655180395647</v>
      </c>
      <c r="AS68" s="50">
        <f t="shared" si="9"/>
        <v>618</v>
      </c>
      <c r="AT68" s="103">
        <f t="shared" si="245"/>
        <v>605</v>
      </c>
      <c r="AU68" s="63">
        <f t="shared" si="110"/>
        <v>13</v>
      </c>
      <c r="AV68" s="56">
        <f t="shared" si="10"/>
        <v>79</v>
      </c>
      <c r="AW68" s="103">
        <f t="shared" si="246"/>
        <v>87</v>
      </c>
      <c r="AX68" s="63">
        <f t="shared" si="75"/>
        <v>-8</v>
      </c>
      <c r="AZ68" s="120">
        <f t="shared" si="247"/>
        <v>9</v>
      </c>
      <c r="BA68" s="8">
        <f t="shared" si="248"/>
        <v>8</v>
      </c>
      <c r="BB68" s="136"/>
      <c r="BC68" s="54">
        <f t="shared" si="225"/>
        <v>67884</v>
      </c>
      <c r="BD68" s="55">
        <f t="shared" si="226"/>
        <v>67877</v>
      </c>
      <c r="BE68" s="137"/>
      <c r="BF68" s="138">
        <v>7</v>
      </c>
      <c r="BG68" s="138"/>
      <c r="BH68" s="34">
        <f t="shared" si="85"/>
        <v>7</v>
      </c>
      <c r="BI68" s="34">
        <f t="shared" si="123"/>
        <v>1241</v>
      </c>
      <c r="BJ68" s="17">
        <f t="shared" si="12"/>
        <v>0.16</v>
      </c>
      <c r="BK68" s="96">
        <f t="shared" si="50"/>
        <v>1.0311708208119734E-2</v>
      </c>
      <c r="BL68" s="33">
        <f t="shared" si="13"/>
        <v>2.8800000000000003</v>
      </c>
      <c r="BM68" s="435">
        <f t="shared" si="160"/>
        <v>1.7968320157530477</v>
      </c>
      <c r="BN68" s="137">
        <v>2160</v>
      </c>
      <c r="BO68" s="32">
        <f t="shared" si="15"/>
        <v>46</v>
      </c>
      <c r="BP68" s="482">
        <f t="shared" si="51"/>
        <v>31.818985327912323</v>
      </c>
      <c r="BQ68" s="70">
        <f t="shared" si="66"/>
        <v>1739.8808202203511</v>
      </c>
      <c r="BR68" s="50">
        <f t="shared" si="16"/>
        <v>618</v>
      </c>
      <c r="BS68" s="103">
        <f t="shared" si="249"/>
        <v>613</v>
      </c>
      <c r="BT68" s="63">
        <f t="shared" si="111"/>
        <v>5</v>
      </c>
      <c r="BU68" s="56">
        <f t="shared" si="18"/>
        <v>79</v>
      </c>
      <c r="BV68" s="103">
        <f t="shared" si="250"/>
        <v>78</v>
      </c>
      <c r="BW68" s="63">
        <f t="shared" si="76"/>
        <v>1</v>
      </c>
      <c r="BY68" s="197">
        <f t="shared" si="251"/>
        <v>9</v>
      </c>
      <c r="BZ68" s="8">
        <f t="shared" si="252"/>
        <v>8</v>
      </c>
      <c r="CA68" s="136"/>
      <c r="CB68" s="32">
        <f t="shared" si="77"/>
        <v>51351</v>
      </c>
      <c r="CC68" s="53">
        <f t="shared" si="86"/>
        <v>51349</v>
      </c>
      <c r="CD68" s="421"/>
      <c r="CE68" s="426">
        <v>2</v>
      </c>
      <c r="CF68" s="426"/>
      <c r="CG68" s="34">
        <f t="shared" si="87"/>
        <v>2</v>
      </c>
      <c r="CH68" s="34">
        <f t="shared" si="78"/>
        <v>731</v>
      </c>
      <c r="CI68" s="32">
        <f t="shared" si="182"/>
        <v>0.16</v>
      </c>
      <c r="CJ68" s="96">
        <f t="shared" si="55"/>
        <v>3.8947634904870403E-2</v>
      </c>
      <c r="CK68" s="36">
        <f t="shared" si="183"/>
        <v>2.8800000000000003</v>
      </c>
      <c r="CL68" s="156">
        <f t="shared" si="206"/>
        <v>1.40687850035605</v>
      </c>
      <c r="CM68" s="137">
        <v>1080</v>
      </c>
      <c r="CN68" s="13">
        <f t="shared" si="184"/>
        <v>46</v>
      </c>
      <c r="CO68" s="443">
        <f t="shared" si="187"/>
        <v>21.031722848630015</v>
      </c>
      <c r="CP68" s="70">
        <f t="shared" si="56"/>
        <v>1911.7803874775529</v>
      </c>
      <c r="CQ68" s="56">
        <f t="shared" si="185"/>
        <v>618</v>
      </c>
      <c r="CR68" s="109">
        <f t="shared" si="253"/>
        <v>0</v>
      </c>
      <c r="CS68" s="63">
        <f t="shared" si="112"/>
        <v>618</v>
      </c>
      <c r="CT68" s="56">
        <f t="shared" si="186"/>
        <v>79</v>
      </c>
      <c r="CU68" s="109">
        <f t="shared" si="254"/>
        <v>0</v>
      </c>
      <c r="CV68" s="63">
        <f t="shared" si="41"/>
        <v>79</v>
      </c>
    </row>
    <row r="69" spans="1:100" ht="17.25" thickBot="1" x14ac:dyDescent="0.3">
      <c r="B69" s="118">
        <v>10</v>
      </c>
      <c r="C69" s="9">
        <v>9</v>
      </c>
      <c r="D69" s="129"/>
      <c r="E69" s="43">
        <f t="shared" si="204"/>
        <v>0</v>
      </c>
      <c r="F69" s="44">
        <f t="shared" si="205"/>
        <v>0</v>
      </c>
      <c r="G69" s="158"/>
      <c r="H69" s="131"/>
      <c r="I69" s="131"/>
      <c r="J69" s="11">
        <f t="shared" si="81"/>
        <v>0</v>
      </c>
      <c r="K69" s="11">
        <f t="shared" si="92"/>
        <v>9358</v>
      </c>
      <c r="L69" s="16">
        <f t="shared" si="176"/>
        <v>0.16</v>
      </c>
      <c r="M69" s="153">
        <f t="shared" si="26"/>
        <v>0</v>
      </c>
      <c r="N69" s="154">
        <f t="shared" si="177"/>
        <v>3.0400000000000005</v>
      </c>
      <c r="O69" s="132">
        <f t="shared" si="157"/>
        <v>0</v>
      </c>
      <c r="P69" s="158"/>
      <c r="Q69" s="11">
        <f t="shared" si="178"/>
        <v>49</v>
      </c>
      <c r="R69" s="441">
        <f t="shared" si="29"/>
        <v>0</v>
      </c>
      <c r="S69" s="469">
        <f t="shared" si="82"/>
        <v>0</v>
      </c>
      <c r="T69" s="58">
        <f t="shared" si="179"/>
        <v>712</v>
      </c>
      <c r="U69" s="131"/>
      <c r="V69" s="41">
        <f t="shared" si="94"/>
        <v>712</v>
      </c>
      <c r="W69" s="18">
        <f t="shared" si="180"/>
        <v>79</v>
      </c>
      <c r="X69" s="131"/>
      <c r="Y69" s="41">
        <f t="shared" si="31"/>
        <v>79</v>
      </c>
      <c r="Z69" s="487"/>
      <c r="AA69" s="118">
        <v>10</v>
      </c>
      <c r="AB69" s="9">
        <v>9</v>
      </c>
      <c r="AC69" s="129"/>
      <c r="AD69" s="43">
        <f t="shared" si="132"/>
        <v>60172</v>
      </c>
      <c r="AE69" s="44">
        <f t="shared" si="224"/>
        <v>60166</v>
      </c>
      <c r="AF69" s="130"/>
      <c r="AG69" s="131">
        <v>6</v>
      </c>
      <c r="AH69" s="131"/>
      <c r="AI69" s="11">
        <f t="shared" si="84"/>
        <v>6</v>
      </c>
      <c r="AJ69" s="11">
        <f t="shared" si="130"/>
        <v>641</v>
      </c>
      <c r="AK69" s="16">
        <f t="shared" si="6"/>
        <v>0.16</v>
      </c>
      <c r="AL69" s="153">
        <f t="shared" si="33"/>
        <v>9.971415276208203E-3</v>
      </c>
      <c r="AM69" s="154">
        <f t="shared" si="7"/>
        <v>3.0400000000000005</v>
      </c>
      <c r="AN69" s="156">
        <f t="shared" si="207"/>
        <v>1.0610123481312279</v>
      </c>
      <c r="AO69" s="158">
        <v>2070</v>
      </c>
      <c r="AP69" s="17">
        <f t="shared" si="8"/>
        <v>49</v>
      </c>
      <c r="AQ69" s="441">
        <f t="shared" si="34"/>
        <v>34.401382702918298</v>
      </c>
      <c r="AR69" s="469">
        <f t="shared" si="133"/>
        <v>1195.2669007424829</v>
      </c>
      <c r="AS69" s="58">
        <f t="shared" si="9"/>
        <v>712</v>
      </c>
      <c r="AT69" s="131">
        <v>681</v>
      </c>
      <c r="AU69" s="41">
        <f t="shared" si="110"/>
        <v>31</v>
      </c>
      <c r="AV69" s="18">
        <f t="shared" si="10"/>
        <v>79</v>
      </c>
      <c r="AW69" s="131">
        <v>70</v>
      </c>
      <c r="AX69" s="41">
        <f t="shared" si="75"/>
        <v>9</v>
      </c>
      <c r="AZ69" s="118">
        <v>10</v>
      </c>
      <c r="BA69" s="9">
        <v>9</v>
      </c>
      <c r="BB69" s="129"/>
      <c r="BC69" s="43">
        <f t="shared" si="225"/>
        <v>67877</v>
      </c>
      <c r="BD69" s="44">
        <f t="shared" si="226"/>
        <v>67865</v>
      </c>
      <c r="BE69" s="130"/>
      <c r="BF69" s="131">
        <v>12</v>
      </c>
      <c r="BG69" s="131"/>
      <c r="BH69" s="11">
        <f t="shared" si="85"/>
        <v>12</v>
      </c>
      <c r="BI69" s="11">
        <f t="shared" si="123"/>
        <v>1253</v>
      </c>
      <c r="BJ69" s="16">
        <f t="shared" si="12"/>
        <v>0.16</v>
      </c>
      <c r="BK69" s="235">
        <f t="shared" si="50"/>
        <v>1.7679037081780279E-2</v>
      </c>
      <c r="BL69" s="154">
        <f t="shared" si="13"/>
        <v>3.0400000000000005</v>
      </c>
      <c r="BM69" s="435">
        <f t="shared" si="160"/>
        <v>1.8142067008368807</v>
      </c>
      <c r="BN69" s="158">
        <v>1035</v>
      </c>
      <c r="BO69" s="17">
        <f t="shared" si="15"/>
        <v>49</v>
      </c>
      <c r="BP69" s="441">
        <f t="shared" si="51"/>
        <v>15.248169483035491</v>
      </c>
      <c r="BQ69" s="377">
        <f t="shared" si="66"/>
        <v>1755.1289897033867</v>
      </c>
      <c r="BR69" s="58">
        <f t="shared" si="16"/>
        <v>712</v>
      </c>
      <c r="BS69" s="131">
        <v>712</v>
      </c>
      <c r="BT69" s="41">
        <f t="shared" si="111"/>
        <v>0</v>
      </c>
      <c r="BU69" s="18">
        <f t="shared" si="18"/>
        <v>79</v>
      </c>
      <c r="BV69" s="131">
        <v>71</v>
      </c>
      <c r="BW69" s="41">
        <f t="shared" si="76"/>
        <v>8</v>
      </c>
      <c r="BY69" s="198">
        <v>10</v>
      </c>
      <c r="BZ69" s="38">
        <v>9</v>
      </c>
      <c r="CA69" s="143"/>
      <c r="CB69" s="17">
        <f t="shared" si="77"/>
        <v>51349</v>
      </c>
      <c r="CC69" s="71">
        <f t="shared" si="86"/>
        <v>51337</v>
      </c>
      <c r="CD69" s="427"/>
      <c r="CE69" s="428">
        <v>12</v>
      </c>
      <c r="CF69" s="428"/>
      <c r="CG69" s="17">
        <f t="shared" si="87"/>
        <v>12</v>
      </c>
      <c r="CH69" s="17">
        <f t="shared" si="78"/>
        <v>743</v>
      </c>
      <c r="CI69" s="17">
        <f t="shared" si="182"/>
        <v>0.16</v>
      </c>
      <c r="CJ69" s="235">
        <f t="shared" si="55"/>
        <v>0.23369491129330658</v>
      </c>
      <c r="CK69" s="33">
        <f t="shared" si="183"/>
        <v>3.0400000000000005</v>
      </c>
      <c r="CL69" s="156">
        <f t="shared" si="206"/>
        <v>1.4299736330568333</v>
      </c>
      <c r="CM69" s="145">
        <v>1980</v>
      </c>
      <c r="CN69" s="11">
        <f t="shared" si="184"/>
        <v>49</v>
      </c>
      <c r="CO69" s="479">
        <f t="shared" si="187"/>
        <v>38.559660363395587</v>
      </c>
      <c r="CP69" s="73">
        <f t="shared" si="56"/>
        <v>1950.3400478409485</v>
      </c>
      <c r="CQ69" s="61">
        <f t="shared" si="185"/>
        <v>712</v>
      </c>
      <c r="CR69" s="141">
        <v>701</v>
      </c>
      <c r="CS69" s="71">
        <f t="shared" si="112"/>
        <v>11</v>
      </c>
      <c r="CT69" s="18">
        <f t="shared" si="186"/>
        <v>79</v>
      </c>
      <c r="CU69" s="141">
        <v>74</v>
      </c>
      <c r="CV69" s="71">
        <f t="shared" si="41"/>
        <v>5</v>
      </c>
    </row>
    <row r="70" spans="1:100" ht="17.25" thickBot="1" x14ac:dyDescent="0.3">
      <c r="B70" s="120">
        <f>B69+1</f>
        <v>11</v>
      </c>
      <c r="C70" s="7">
        <f>C69</f>
        <v>9</v>
      </c>
      <c r="D70" s="133"/>
      <c r="E70" s="48">
        <f t="shared" si="204"/>
        <v>0</v>
      </c>
      <c r="F70" s="49">
        <f t="shared" si="205"/>
        <v>0</v>
      </c>
      <c r="G70" s="142"/>
      <c r="H70" s="135"/>
      <c r="I70" s="135"/>
      <c r="J70" s="14">
        <f t="shared" si="81"/>
        <v>0</v>
      </c>
      <c r="K70" s="14">
        <f t="shared" si="92"/>
        <v>9358</v>
      </c>
      <c r="L70" s="14">
        <f t="shared" ref="L70:L101" si="255">VLOOKUP($C70,LOHMANN,4,FALSE)</f>
        <v>0.16</v>
      </c>
      <c r="M70" s="230">
        <f t="shared" si="26"/>
        <v>0</v>
      </c>
      <c r="N70" s="35">
        <f t="shared" ref="N70:N101" si="256">VLOOKUP($C70,LOHMANN,5,FALSE)</f>
        <v>3.0400000000000005</v>
      </c>
      <c r="O70" s="157">
        <f t="shared" si="157"/>
        <v>0</v>
      </c>
      <c r="P70" s="145"/>
      <c r="Q70" s="14">
        <f t="shared" ref="Q70:Q101" si="257">VLOOKUP($C70,LOHMANN,6,FALSE)</f>
        <v>49</v>
      </c>
      <c r="R70" s="480">
        <f t="shared" si="29"/>
        <v>0</v>
      </c>
      <c r="S70" s="475">
        <f t="shared" si="82"/>
        <v>0</v>
      </c>
      <c r="T70" s="51">
        <f t="shared" ref="T70:T101" si="258">VLOOKUP($C70,LOHMANN,2,FALSE)</f>
        <v>712</v>
      </c>
      <c r="U70" s="103">
        <f>U69</f>
        <v>0</v>
      </c>
      <c r="V70" s="46">
        <f t="shared" si="94"/>
        <v>712</v>
      </c>
      <c r="W70" s="50">
        <f t="shared" ref="W70:W101" si="259">VLOOKUP(C70,LOHMANN,3,FALSE)</f>
        <v>79</v>
      </c>
      <c r="X70" s="103">
        <f>X69</f>
        <v>0</v>
      </c>
      <c r="Y70" s="46">
        <f t="shared" si="31"/>
        <v>79</v>
      </c>
      <c r="Z70" s="487"/>
      <c r="AA70" s="120">
        <f>AA69+1</f>
        <v>11</v>
      </c>
      <c r="AB70" s="7">
        <f>AB69</f>
        <v>9</v>
      </c>
      <c r="AC70" s="133"/>
      <c r="AD70" s="48">
        <f t="shared" si="132"/>
        <v>60166</v>
      </c>
      <c r="AE70" s="447">
        <f t="shared" si="224"/>
        <v>60155</v>
      </c>
      <c r="AF70" s="134"/>
      <c r="AG70" s="135">
        <v>11</v>
      </c>
      <c r="AH70" s="135"/>
      <c r="AI70" s="14">
        <f t="shared" si="84"/>
        <v>11</v>
      </c>
      <c r="AJ70" s="14">
        <f t="shared" si="130"/>
        <v>652</v>
      </c>
      <c r="AK70" s="14">
        <f t="shared" ref="AK70:AK133" si="260">VLOOKUP($C70,LOHMANN,4,FALSE)</f>
        <v>0.16</v>
      </c>
      <c r="AL70" s="230">
        <f t="shared" si="33"/>
        <v>1.8282751055413358E-2</v>
      </c>
      <c r="AM70" s="35">
        <f t="shared" ref="AM70:AM133" si="261">VLOOKUP($C70,LOHMANN,5,FALSE)</f>
        <v>3.0400000000000005</v>
      </c>
      <c r="AN70" s="156">
        <f t="shared" si="207"/>
        <v>1.0792200483331678</v>
      </c>
      <c r="AO70" s="145">
        <v>900</v>
      </c>
      <c r="AP70" s="14">
        <f t="shared" ref="AP70:AP133" si="262">VLOOKUP($C70,LOHMANN,6,FALSE)</f>
        <v>49</v>
      </c>
      <c r="AQ70" s="480">
        <f t="shared" si="34"/>
        <v>14.958614499883655</v>
      </c>
      <c r="AR70" s="475">
        <f t="shared" si="133"/>
        <v>1210.2255152423666</v>
      </c>
      <c r="AS70" s="51">
        <f t="shared" ref="AS70:AS133" si="263">VLOOKUP($C70,LOHMANN,2,FALSE)</f>
        <v>712</v>
      </c>
      <c r="AT70" s="103">
        <f>AT69</f>
        <v>681</v>
      </c>
      <c r="AU70" s="46">
        <f t="shared" si="110"/>
        <v>31</v>
      </c>
      <c r="AV70" s="50">
        <f t="shared" ref="AV70:AV133" si="264">VLOOKUP(AB70,LOHMANN,3,FALSE)</f>
        <v>79</v>
      </c>
      <c r="AW70" s="103">
        <f>AW69</f>
        <v>70</v>
      </c>
      <c r="AX70" s="46">
        <f t="shared" si="75"/>
        <v>9</v>
      </c>
      <c r="AZ70" s="120">
        <f>AZ69+1</f>
        <v>11</v>
      </c>
      <c r="BA70" s="7">
        <f>BA69</f>
        <v>9</v>
      </c>
      <c r="BB70" s="133"/>
      <c r="BC70" s="48">
        <f t="shared" si="225"/>
        <v>67865</v>
      </c>
      <c r="BD70" s="447">
        <f t="shared" si="226"/>
        <v>67858</v>
      </c>
      <c r="BE70" s="134"/>
      <c r="BF70" s="135">
        <v>7</v>
      </c>
      <c r="BG70" s="135"/>
      <c r="BH70" s="14">
        <f t="shared" si="85"/>
        <v>7</v>
      </c>
      <c r="BI70" s="14">
        <f t="shared" si="123"/>
        <v>1260</v>
      </c>
      <c r="BJ70" s="14">
        <f t="shared" ref="BJ70:BJ133" si="265">VLOOKUP($C70,LOHMANN,4,FALSE)</f>
        <v>0.16</v>
      </c>
      <c r="BK70" s="47">
        <f t="shared" si="50"/>
        <v>1.0314595152140279E-2</v>
      </c>
      <c r="BL70" s="35">
        <f t="shared" ref="BL70:BL133" si="266">VLOOKUP($C70,LOHMANN,5,FALSE)</f>
        <v>3.0400000000000005</v>
      </c>
      <c r="BM70" s="435">
        <f t="shared" si="160"/>
        <v>1.8243419338024498</v>
      </c>
      <c r="BN70" s="145">
        <v>1440</v>
      </c>
      <c r="BO70" s="14">
        <f t="shared" ref="BO70:BO133" si="267">VLOOKUP($C70,LOHMANN,6,FALSE)</f>
        <v>49</v>
      </c>
      <c r="BP70" s="442">
        <f t="shared" si="51"/>
        <v>21.218595741545716</v>
      </c>
      <c r="BQ70" s="73">
        <f t="shared" si="66"/>
        <v>1776.3475854449323</v>
      </c>
      <c r="BR70" s="51">
        <f t="shared" ref="BR70:BR133" si="268">VLOOKUP($C70,LOHMANN,2,FALSE)</f>
        <v>712</v>
      </c>
      <c r="BS70" s="103">
        <f>BS69</f>
        <v>712</v>
      </c>
      <c r="BT70" s="46">
        <f t="shared" si="111"/>
        <v>0</v>
      </c>
      <c r="BU70" s="50">
        <f t="shared" ref="BU70:BU133" si="269">VLOOKUP(BA70,LOHMANN,3,FALSE)</f>
        <v>79</v>
      </c>
      <c r="BV70" s="103">
        <f>BV69</f>
        <v>71</v>
      </c>
      <c r="BW70" s="46">
        <f t="shared" si="76"/>
        <v>8</v>
      </c>
      <c r="BY70" s="120">
        <f>BY69+1</f>
        <v>11</v>
      </c>
      <c r="BZ70" s="7">
        <f>BZ69</f>
        <v>9</v>
      </c>
      <c r="CA70" s="133"/>
      <c r="CB70" s="14">
        <f t="shared" si="77"/>
        <v>51337</v>
      </c>
      <c r="CC70" s="62">
        <f t="shared" si="86"/>
        <v>51328</v>
      </c>
      <c r="CD70" s="405"/>
      <c r="CE70" s="406">
        <v>9</v>
      </c>
      <c r="CF70" s="406"/>
      <c r="CG70" s="14">
        <f t="shared" si="87"/>
        <v>9</v>
      </c>
      <c r="CH70" s="14">
        <f t="shared" si="78"/>
        <v>752</v>
      </c>
      <c r="CI70" s="14">
        <f t="shared" ref="CI70:CI101" si="270">VLOOKUP($C70,LOHMANN,4,FALSE)</f>
        <v>0.16</v>
      </c>
      <c r="CJ70" s="47">
        <f t="shared" si="55"/>
        <v>0.17531215302803047</v>
      </c>
      <c r="CK70" s="35">
        <f t="shared" ref="CK70:CK101" si="271">VLOOKUP($C70,LOHMANN,5,FALSE)</f>
        <v>3.0400000000000005</v>
      </c>
      <c r="CL70" s="156">
        <f t="shared" si="206"/>
        <v>1.4472949825824208</v>
      </c>
      <c r="CM70" s="145">
        <v>1980</v>
      </c>
      <c r="CN70" s="14">
        <f t="shared" ref="CN70:CN101" si="272">VLOOKUP($C70,LOHMANN,6,FALSE)</f>
        <v>49</v>
      </c>
      <c r="CO70" s="442">
        <f t="shared" si="187"/>
        <v>38.568673666166703</v>
      </c>
      <c r="CP70" s="73">
        <f t="shared" si="56"/>
        <v>1988.9087215071152</v>
      </c>
      <c r="CQ70" s="51">
        <f t="shared" ref="CQ70:CQ101" si="273">VLOOKUP($C70,LOHMANN,2,FALSE)</f>
        <v>712</v>
      </c>
      <c r="CR70" s="103">
        <f>CR69</f>
        <v>701</v>
      </c>
      <c r="CS70" s="46">
        <f t="shared" si="112"/>
        <v>11</v>
      </c>
      <c r="CT70" s="51">
        <f t="shared" ref="CT70:CT101" si="274">VLOOKUP(BZ70,LOHMANN,3,FALSE)</f>
        <v>79</v>
      </c>
      <c r="CU70" s="103">
        <f>CU69</f>
        <v>74</v>
      </c>
      <c r="CV70" s="46">
        <f t="shared" si="41"/>
        <v>5</v>
      </c>
    </row>
    <row r="71" spans="1:100" ht="17.25" thickBot="1" x14ac:dyDescent="0.3">
      <c r="B71" s="120">
        <f t="shared" ref="B71:B75" si="275">B70+1</f>
        <v>12</v>
      </c>
      <c r="C71" s="7">
        <f t="shared" ref="C71:C75" si="276">C70</f>
        <v>9</v>
      </c>
      <c r="D71" s="133"/>
      <c r="E71" s="48">
        <f t="shared" si="204"/>
        <v>0</v>
      </c>
      <c r="F71" s="49">
        <f t="shared" si="205"/>
        <v>0</v>
      </c>
      <c r="G71" s="142"/>
      <c r="H71" s="135"/>
      <c r="I71" s="135"/>
      <c r="J71" s="14">
        <f t="shared" si="81"/>
        <v>0</v>
      </c>
      <c r="K71" s="14">
        <f t="shared" si="92"/>
        <v>9358</v>
      </c>
      <c r="L71" s="14">
        <f t="shared" si="255"/>
        <v>0.16</v>
      </c>
      <c r="M71" s="230">
        <f t="shared" ref="M71:M134" si="277">IFERROR((J71*100)/E71,0)</f>
        <v>0</v>
      </c>
      <c r="N71" s="35">
        <f t="shared" si="256"/>
        <v>3.0400000000000005</v>
      </c>
      <c r="O71" s="157">
        <f t="shared" si="157"/>
        <v>0</v>
      </c>
      <c r="P71" s="134"/>
      <c r="Q71" s="14">
        <f t="shared" si="257"/>
        <v>49</v>
      </c>
      <c r="R71" s="482">
        <f t="shared" ref="R71:R134" si="278">IFERROR((P71/E71)*1000,0)</f>
        <v>0</v>
      </c>
      <c r="S71" s="470">
        <f t="shared" si="82"/>
        <v>0</v>
      </c>
      <c r="T71" s="51">
        <f t="shared" si="258"/>
        <v>712</v>
      </c>
      <c r="U71" s="103">
        <f t="shared" ref="U71:U75" si="279">U70</f>
        <v>0</v>
      </c>
      <c r="V71" s="46">
        <f t="shared" ref="V71:V131" si="280">T71-U71</f>
        <v>712</v>
      </c>
      <c r="W71" s="51">
        <f t="shared" si="259"/>
        <v>79</v>
      </c>
      <c r="X71" s="103">
        <f t="shared" ref="X71:X75" si="281">X70</f>
        <v>0</v>
      </c>
      <c r="Y71" s="46">
        <f t="shared" ref="Y71:Y131" si="282">W71-X71</f>
        <v>79</v>
      </c>
      <c r="Z71" s="487"/>
      <c r="AA71" s="120">
        <f t="shared" ref="AA71:AA75" si="283">AA70+1</f>
        <v>12</v>
      </c>
      <c r="AB71" s="7">
        <f t="shared" ref="AB71:AB75" si="284">AB70</f>
        <v>9</v>
      </c>
      <c r="AC71" s="133"/>
      <c r="AD71" s="48">
        <f t="shared" si="132"/>
        <v>60155</v>
      </c>
      <c r="AE71" s="196">
        <f t="shared" si="224"/>
        <v>60149</v>
      </c>
      <c r="AF71" s="134"/>
      <c r="AG71" s="135">
        <v>6</v>
      </c>
      <c r="AH71" s="135"/>
      <c r="AI71" s="14">
        <f t="shared" si="84"/>
        <v>6</v>
      </c>
      <c r="AJ71" s="14">
        <f t="shared" si="130"/>
        <v>658</v>
      </c>
      <c r="AK71" s="14">
        <f t="shared" si="260"/>
        <v>0.16</v>
      </c>
      <c r="AL71" s="230">
        <f t="shared" ref="AL71:AL134" si="285">IFERROR((AI71*100)/AD71,0)</f>
        <v>9.9742332308203809E-3</v>
      </c>
      <c r="AM71" s="35">
        <f t="shared" si="261"/>
        <v>3.0400000000000005</v>
      </c>
      <c r="AN71" s="156">
        <f t="shared" si="207"/>
        <v>1.0891515211705896</v>
      </c>
      <c r="AO71" s="134">
        <v>1800</v>
      </c>
      <c r="AP71" s="14">
        <f t="shared" si="262"/>
        <v>49</v>
      </c>
      <c r="AQ71" s="482">
        <f t="shared" ref="AQ71:AQ134" si="286">IFERROR((AO71/AD71)*1000,0)</f>
        <v>29.922699692461141</v>
      </c>
      <c r="AR71" s="470">
        <f t="shared" si="133"/>
        <v>1240.1482149348276</v>
      </c>
      <c r="AS71" s="51">
        <f t="shared" si="263"/>
        <v>712</v>
      </c>
      <c r="AT71" s="103">
        <f t="shared" ref="AT71:AT75" si="287">AT70</f>
        <v>681</v>
      </c>
      <c r="AU71" s="46">
        <f t="shared" si="110"/>
        <v>31</v>
      </c>
      <c r="AV71" s="51">
        <f t="shared" si="264"/>
        <v>79</v>
      </c>
      <c r="AW71" s="103">
        <f t="shared" ref="AW71:AW75" si="288">AW70</f>
        <v>70</v>
      </c>
      <c r="AX71" s="46">
        <f t="shared" si="75"/>
        <v>9</v>
      </c>
      <c r="AZ71" s="120">
        <f t="shared" ref="AZ71:AZ75" si="289">AZ70+1</f>
        <v>12</v>
      </c>
      <c r="BA71" s="7">
        <f t="shared" ref="BA71:BA75" si="290">BA70</f>
        <v>9</v>
      </c>
      <c r="BB71" s="133"/>
      <c r="BC71" s="48">
        <f t="shared" si="225"/>
        <v>67858</v>
      </c>
      <c r="BD71" s="196">
        <f t="shared" si="226"/>
        <v>67843</v>
      </c>
      <c r="BE71" s="134"/>
      <c r="BF71" s="135">
        <v>15</v>
      </c>
      <c r="BG71" s="135"/>
      <c r="BH71" s="14">
        <f t="shared" si="85"/>
        <v>15</v>
      </c>
      <c r="BI71" s="14">
        <f t="shared" si="123"/>
        <v>1275</v>
      </c>
      <c r="BJ71" s="14">
        <f t="shared" si="265"/>
        <v>0.16</v>
      </c>
      <c r="BK71" s="47">
        <f t="shared" si="50"/>
        <v>2.2104983937045006E-2</v>
      </c>
      <c r="BL71" s="35">
        <f t="shared" si="266"/>
        <v>3.0400000000000005</v>
      </c>
      <c r="BM71" s="435">
        <f t="shared" si="160"/>
        <v>1.8460602901572409</v>
      </c>
      <c r="BN71" s="134">
        <v>4500</v>
      </c>
      <c r="BO71" s="14">
        <f t="shared" si="267"/>
        <v>49</v>
      </c>
      <c r="BP71" s="442">
        <f t="shared" si="51"/>
        <v>66.314951811135018</v>
      </c>
      <c r="BQ71" s="68">
        <f t="shared" si="66"/>
        <v>1842.6625372560673</v>
      </c>
      <c r="BR71" s="51">
        <f t="shared" si="268"/>
        <v>712</v>
      </c>
      <c r="BS71" s="103">
        <f t="shared" ref="BS71:BS75" si="291">BS70</f>
        <v>712</v>
      </c>
      <c r="BT71" s="46">
        <f t="shared" si="111"/>
        <v>0</v>
      </c>
      <c r="BU71" s="51">
        <f t="shared" si="269"/>
        <v>79</v>
      </c>
      <c r="BV71" s="103">
        <f t="shared" ref="BV71:BV75" si="292">BV70</f>
        <v>71</v>
      </c>
      <c r="BW71" s="46">
        <f t="shared" si="76"/>
        <v>8</v>
      </c>
      <c r="BY71" s="120">
        <f t="shared" ref="BY71:BY75" si="293">BY70+1</f>
        <v>12</v>
      </c>
      <c r="BZ71" s="7">
        <f t="shared" ref="BZ71:BZ75" si="294">BZ70</f>
        <v>9</v>
      </c>
      <c r="CA71" s="133"/>
      <c r="CB71" s="14">
        <f t="shared" ref="CB71:CB131" si="295">IFERROR(CC70+CA71,0)</f>
        <v>51328</v>
      </c>
      <c r="CC71" s="59">
        <f t="shared" si="86"/>
        <v>51326</v>
      </c>
      <c r="CD71" s="405"/>
      <c r="CE71" s="406">
        <v>2</v>
      </c>
      <c r="CF71" s="406"/>
      <c r="CG71" s="14">
        <f t="shared" si="87"/>
        <v>2</v>
      </c>
      <c r="CH71" s="14">
        <f t="shared" si="78"/>
        <v>754</v>
      </c>
      <c r="CI71" s="14">
        <f t="shared" si="270"/>
        <v>0.16</v>
      </c>
      <c r="CJ71" s="47">
        <f t="shared" si="55"/>
        <v>3.8965087281795513E-2</v>
      </c>
      <c r="CK71" s="35">
        <f t="shared" si="271"/>
        <v>3.0400000000000005</v>
      </c>
      <c r="CL71" s="156">
        <f t="shared" si="206"/>
        <v>1.4511441713658846</v>
      </c>
      <c r="CM71" s="134">
        <v>2160</v>
      </c>
      <c r="CN71" s="14">
        <f t="shared" si="272"/>
        <v>49</v>
      </c>
      <c r="CO71" s="442">
        <f t="shared" si="187"/>
        <v>42.082294264339154</v>
      </c>
      <c r="CP71" s="68">
        <f t="shared" ref="CP71:CP134" si="296">CP70+CO71</f>
        <v>2030.9910157714544</v>
      </c>
      <c r="CQ71" s="51">
        <f t="shared" si="273"/>
        <v>712</v>
      </c>
      <c r="CR71" s="103">
        <f t="shared" ref="CR71:CR75" si="297">CR70</f>
        <v>701</v>
      </c>
      <c r="CS71" s="46">
        <f t="shared" si="112"/>
        <v>11</v>
      </c>
      <c r="CT71" s="12">
        <f t="shared" si="274"/>
        <v>79</v>
      </c>
      <c r="CU71" s="103">
        <f t="shared" ref="CU71:CU75" si="298">CU70</f>
        <v>74</v>
      </c>
      <c r="CV71" s="46">
        <f t="shared" ref="CV71:CV134" si="299">CT71-CU71</f>
        <v>5</v>
      </c>
    </row>
    <row r="72" spans="1:100" ht="17.25" thickBot="1" x14ac:dyDescent="0.3">
      <c r="B72" s="120">
        <f t="shared" si="275"/>
        <v>13</v>
      </c>
      <c r="C72" s="7">
        <f t="shared" si="276"/>
        <v>9</v>
      </c>
      <c r="D72" s="133"/>
      <c r="E72" s="639">
        <f t="shared" si="204"/>
        <v>0</v>
      </c>
      <c r="F72" s="447">
        <f t="shared" si="205"/>
        <v>0</v>
      </c>
      <c r="G72" s="142"/>
      <c r="H72" s="135"/>
      <c r="I72" s="135"/>
      <c r="J72" s="14">
        <f t="shared" si="81"/>
        <v>0</v>
      </c>
      <c r="K72" s="14">
        <f t="shared" si="92"/>
        <v>9358</v>
      </c>
      <c r="L72" s="14">
        <f t="shared" si="255"/>
        <v>0.16</v>
      </c>
      <c r="M72" s="230">
        <f t="shared" si="277"/>
        <v>0</v>
      </c>
      <c r="N72" s="35">
        <f t="shared" si="256"/>
        <v>3.0400000000000005</v>
      </c>
      <c r="O72" s="157">
        <f t="shared" ref="O72:O131" si="300">IFERROR((K72*100)/E72,0)</f>
        <v>0</v>
      </c>
      <c r="P72" s="134"/>
      <c r="Q72" s="14">
        <f t="shared" si="257"/>
        <v>49</v>
      </c>
      <c r="R72" s="442">
        <f t="shared" si="278"/>
        <v>0</v>
      </c>
      <c r="S72" s="470">
        <f t="shared" si="82"/>
        <v>0</v>
      </c>
      <c r="T72" s="51">
        <f t="shared" si="258"/>
        <v>712</v>
      </c>
      <c r="U72" s="103">
        <f t="shared" si="279"/>
        <v>0</v>
      </c>
      <c r="V72" s="46">
        <f t="shared" si="280"/>
        <v>712</v>
      </c>
      <c r="W72" s="51">
        <f t="shared" si="259"/>
        <v>79</v>
      </c>
      <c r="X72" s="103">
        <f t="shared" si="281"/>
        <v>0</v>
      </c>
      <c r="Y72" s="46">
        <f t="shared" si="282"/>
        <v>79</v>
      </c>
      <c r="Z72" s="487"/>
      <c r="AA72" s="120">
        <f t="shared" si="283"/>
        <v>13</v>
      </c>
      <c r="AB72" s="7">
        <f t="shared" si="284"/>
        <v>9</v>
      </c>
      <c r="AC72" s="133"/>
      <c r="AD72" s="48">
        <f t="shared" si="132"/>
        <v>60149</v>
      </c>
      <c r="AE72" s="196">
        <f t="shared" si="224"/>
        <v>60146</v>
      </c>
      <c r="AF72" s="134"/>
      <c r="AG72" s="135">
        <v>3</v>
      </c>
      <c r="AH72" s="135"/>
      <c r="AI72" s="14">
        <f t="shared" si="84"/>
        <v>3</v>
      </c>
      <c r="AJ72" s="14">
        <f t="shared" si="130"/>
        <v>661</v>
      </c>
      <c r="AK72" s="14">
        <f t="shared" si="260"/>
        <v>0.16</v>
      </c>
      <c r="AL72" s="230">
        <f t="shared" si="285"/>
        <v>4.9876140916723473E-3</v>
      </c>
      <c r="AM72" s="35">
        <f t="shared" si="261"/>
        <v>3.0400000000000005</v>
      </c>
      <c r="AN72" s="156">
        <f t="shared" si="207"/>
        <v>1.0941172575893006</v>
      </c>
      <c r="AO72" s="134">
        <v>1341</v>
      </c>
      <c r="AP72" s="14">
        <f t="shared" si="262"/>
        <v>49</v>
      </c>
      <c r="AQ72" s="442">
        <f t="shared" si="286"/>
        <v>22.294634989775389</v>
      </c>
      <c r="AR72" s="470">
        <f t="shared" si="133"/>
        <v>1262.442849924603</v>
      </c>
      <c r="AS72" s="51">
        <f t="shared" si="263"/>
        <v>712</v>
      </c>
      <c r="AT72" s="103">
        <f t="shared" si="287"/>
        <v>681</v>
      </c>
      <c r="AU72" s="46">
        <f t="shared" si="110"/>
        <v>31</v>
      </c>
      <c r="AV72" s="51">
        <f t="shared" si="264"/>
        <v>79</v>
      </c>
      <c r="AW72" s="103">
        <f t="shared" si="288"/>
        <v>70</v>
      </c>
      <c r="AX72" s="46">
        <f t="shared" si="75"/>
        <v>9</v>
      </c>
      <c r="AZ72" s="120">
        <f t="shared" si="289"/>
        <v>13</v>
      </c>
      <c r="BA72" s="7">
        <f t="shared" si="290"/>
        <v>9</v>
      </c>
      <c r="BB72" s="133"/>
      <c r="BC72" s="48">
        <f t="shared" si="225"/>
        <v>67843</v>
      </c>
      <c r="BD72" s="196">
        <f t="shared" si="226"/>
        <v>67838</v>
      </c>
      <c r="BE72" s="134"/>
      <c r="BF72" s="135">
        <v>5</v>
      </c>
      <c r="BG72" s="135"/>
      <c r="BH72" s="14">
        <f t="shared" si="85"/>
        <v>5</v>
      </c>
      <c r="BI72" s="14">
        <f t="shared" si="123"/>
        <v>1280</v>
      </c>
      <c r="BJ72" s="14">
        <f t="shared" si="265"/>
        <v>0.16</v>
      </c>
      <c r="BK72" s="47">
        <f t="shared" ref="BK72:BK135" si="301">IFERROR((BH72*100)/BC72,0)</f>
        <v>7.3699571068496384E-3</v>
      </c>
      <c r="BL72" s="35">
        <f t="shared" si="266"/>
        <v>3.0400000000000005</v>
      </c>
      <c r="BM72" s="435">
        <f t="shared" si="160"/>
        <v>1.8532997422755046</v>
      </c>
      <c r="BN72" s="134">
        <v>2340</v>
      </c>
      <c r="BO72" s="14">
        <f t="shared" si="267"/>
        <v>49</v>
      </c>
      <c r="BP72" s="442">
        <f t="shared" ref="BP72:BP135" si="302">IFERROR((BN72/BC72)*1000,0)</f>
        <v>34.491399260056312</v>
      </c>
      <c r="BQ72" s="68">
        <f t="shared" si="66"/>
        <v>1877.1539365161236</v>
      </c>
      <c r="BR72" s="51">
        <f t="shared" si="268"/>
        <v>712</v>
      </c>
      <c r="BS72" s="103">
        <f t="shared" si="291"/>
        <v>712</v>
      </c>
      <c r="BT72" s="46">
        <f t="shared" si="111"/>
        <v>0</v>
      </c>
      <c r="BU72" s="51">
        <f t="shared" si="269"/>
        <v>79</v>
      </c>
      <c r="BV72" s="103">
        <f t="shared" si="292"/>
        <v>71</v>
      </c>
      <c r="BW72" s="46">
        <f t="shared" si="76"/>
        <v>8</v>
      </c>
      <c r="BY72" s="120">
        <f t="shared" si="293"/>
        <v>13</v>
      </c>
      <c r="BZ72" s="7">
        <f t="shared" si="294"/>
        <v>9</v>
      </c>
      <c r="CA72" s="133"/>
      <c r="CB72" s="14">
        <f t="shared" si="295"/>
        <v>51326</v>
      </c>
      <c r="CC72" s="59">
        <f t="shared" si="86"/>
        <v>51325</v>
      </c>
      <c r="CD72" s="405"/>
      <c r="CE72" s="406">
        <v>1</v>
      </c>
      <c r="CF72" s="406"/>
      <c r="CG72" s="14">
        <f t="shared" si="87"/>
        <v>1</v>
      </c>
      <c r="CH72" s="14">
        <f t="shared" si="78"/>
        <v>755</v>
      </c>
      <c r="CI72" s="14">
        <f t="shared" si="270"/>
        <v>0.16</v>
      </c>
      <c r="CJ72" s="47">
        <f t="shared" ref="CJ72:CJ135" si="303">IFERROR((CG72*1000)/CB72,0)</f>
        <v>1.9483302809492266E-2</v>
      </c>
      <c r="CK72" s="35">
        <f t="shared" si="271"/>
        <v>3.0400000000000005</v>
      </c>
      <c r="CL72" s="156">
        <f t="shared" si="206"/>
        <v>1.4530687657576167</v>
      </c>
      <c r="CM72" s="134">
        <v>1980</v>
      </c>
      <c r="CN72" s="14">
        <f t="shared" si="272"/>
        <v>49</v>
      </c>
      <c r="CO72" s="442">
        <f t="shared" si="187"/>
        <v>38.576939562794685</v>
      </c>
      <c r="CP72" s="68">
        <f t="shared" si="296"/>
        <v>2069.5679553342493</v>
      </c>
      <c r="CQ72" s="51">
        <f t="shared" si="273"/>
        <v>712</v>
      </c>
      <c r="CR72" s="103">
        <f t="shared" si="297"/>
        <v>701</v>
      </c>
      <c r="CS72" s="46">
        <f t="shared" si="112"/>
        <v>11</v>
      </c>
      <c r="CT72" s="51">
        <f t="shared" si="274"/>
        <v>79</v>
      </c>
      <c r="CU72" s="103">
        <f t="shared" si="298"/>
        <v>74</v>
      </c>
      <c r="CV72" s="46">
        <f t="shared" si="299"/>
        <v>5</v>
      </c>
    </row>
    <row r="73" spans="1:100" ht="17.25" thickBot="1" x14ac:dyDescent="0.3">
      <c r="B73" s="120">
        <f t="shared" si="275"/>
        <v>14</v>
      </c>
      <c r="C73" s="7">
        <f t="shared" si="276"/>
        <v>9</v>
      </c>
      <c r="D73" s="133"/>
      <c r="E73" s="48">
        <f t="shared" si="204"/>
        <v>0</v>
      </c>
      <c r="F73" s="49">
        <f t="shared" si="205"/>
        <v>0</v>
      </c>
      <c r="G73" s="142"/>
      <c r="H73" s="135"/>
      <c r="I73" s="135"/>
      <c r="J73" s="14">
        <f t="shared" si="81"/>
        <v>0</v>
      </c>
      <c r="K73" s="14">
        <f t="shared" si="92"/>
        <v>9358</v>
      </c>
      <c r="L73" s="14">
        <f t="shared" si="255"/>
        <v>0.16</v>
      </c>
      <c r="M73" s="47">
        <f t="shared" si="277"/>
        <v>0</v>
      </c>
      <c r="N73" s="35">
        <f t="shared" si="256"/>
        <v>3.0400000000000005</v>
      </c>
      <c r="O73" s="157">
        <f t="shared" si="300"/>
        <v>0</v>
      </c>
      <c r="P73" s="134"/>
      <c r="Q73" s="14">
        <f t="shared" si="257"/>
        <v>49</v>
      </c>
      <c r="R73" s="480">
        <f t="shared" si="278"/>
        <v>0</v>
      </c>
      <c r="S73" s="470">
        <f t="shared" si="82"/>
        <v>0</v>
      </c>
      <c r="T73" s="51">
        <f t="shared" si="258"/>
        <v>712</v>
      </c>
      <c r="U73" s="103">
        <f t="shared" si="279"/>
        <v>0</v>
      </c>
      <c r="V73" s="71">
        <f t="shared" si="280"/>
        <v>712</v>
      </c>
      <c r="W73" s="12">
        <f t="shared" si="259"/>
        <v>79</v>
      </c>
      <c r="X73" s="103">
        <f t="shared" si="281"/>
        <v>0</v>
      </c>
      <c r="Y73" s="71">
        <f t="shared" si="282"/>
        <v>79</v>
      </c>
      <c r="Z73" s="487"/>
      <c r="AA73" s="120">
        <f t="shared" si="283"/>
        <v>14</v>
      </c>
      <c r="AB73" s="7">
        <f t="shared" si="284"/>
        <v>9</v>
      </c>
      <c r="AC73" s="133"/>
      <c r="AD73" s="48">
        <f t="shared" si="132"/>
        <v>60146</v>
      </c>
      <c r="AE73" s="196">
        <f t="shared" si="224"/>
        <v>60144</v>
      </c>
      <c r="AF73" s="134"/>
      <c r="AG73" s="135">
        <v>2</v>
      </c>
      <c r="AH73" s="135"/>
      <c r="AI73" s="14">
        <f t="shared" si="84"/>
        <v>2</v>
      </c>
      <c r="AJ73" s="14">
        <f t="shared" si="130"/>
        <v>663</v>
      </c>
      <c r="AK73" s="14">
        <f t="shared" si="260"/>
        <v>0.16</v>
      </c>
      <c r="AL73" s="47">
        <f t="shared" si="285"/>
        <v>3.3252419113490505E-3</v>
      </c>
      <c r="AM73" s="35">
        <f t="shared" si="261"/>
        <v>3.0400000000000005</v>
      </c>
      <c r="AN73" s="156">
        <f t="shared" si="207"/>
        <v>1.0974277485351078</v>
      </c>
      <c r="AO73" s="134">
        <v>1260</v>
      </c>
      <c r="AP73" s="14">
        <f t="shared" si="262"/>
        <v>49</v>
      </c>
      <c r="AQ73" s="480">
        <f t="shared" si="286"/>
        <v>20.949024041499019</v>
      </c>
      <c r="AR73" s="470">
        <f t="shared" si="133"/>
        <v>1283.3918739661021</v>
      </c>
      <c r="AS73" s="51">
        <f t="shared" si="263"/>
        <v>712</v>
      </c>
      <c r="AT73" s="103">
        <f t="shared" si="287"/>
        <v>681</v>
      </c>
      <c r="AU73" s="71">
        <f t="shared" si="110"/>
        <v>31</v>
      </c>
      <c r="AV73" s="12">
        <f t="shared" si="264"/>
        <v>79</v>
      </c>
      <c r="AW73" s="103">
        <f t="shared" si="288"/>
        <v>70</v>
      </c>
      <c r="AX73" s="71">
        <f t="shared" si="75"/>
        <v>9</v>
      </c>
      <c r="AZ73" s="120">
        <f t="shared" si="289"/>
        <v>14</v>
      </c>
      <c r="BA73" s="7">
        <f t="shared" si="290"/>
        <v>9</v>
      </c>
      <c r="BB73" s="133"/>
      <c r="BC73" s="48">
        <f t="shared" si="225"/>
        <v>67838</v>
      </c>
      <c r="BD73" s="196">
        <f t="shared" si="226"/>
        <v>67830</v>
      </c>
      <c r="BE73" s="134"/>
      <c r="BF73" s="135">
        <v>8</v>
      </c>
      <c r="BG73" s="135"/>
      <c r="BH73" s="14">
        <f t="shared" si="85"/>
        <v>8</v>
      </c>
      <c r="BI73" s="14">
        <f t="shared" si="123"/>
        <v>1288</v>
      </c>
      <c r="BJ73" s="14">
        <f t="shared" si="265"/>
        <v>0.16</v>
      </c>
      <c r="BK73" s="47">
        <f t="shared" si="301"/>
        <v>1.1792800495297621E-2</v>
      </c>
      <c r="BL73" s="35">
        <f t="shared" si="266"/>
        <v>3.0400000000000005</v>
      </c>
      <c r="BM73" s="435">
        <f t="shared" si="160"/>
        <v>1.8648828656647265</v>
      </c>
      <c r="BN73" s="134">
        <v>3420</v>
      </c>
      <c r="BO73" s="14">
        <f t="shared" si="267"/>
        <v>49</v>
      </c>
      <c r="BP73" s="442">
        <f t="shared" si="302"/>
        <v>50.41422211739733</v>
      </c>
      <c r="BQ73" s="68">
        <f t="shared" ref="BQ73:BQ136" si="304">BQ72+BP73</f>
        <v>1927.5681586335209</v>
      </c>
      <c r="BR73" s="51">
        <f t="shared" si="268"/>
        <v>712</v>
      </c>
      <c r="BS73" s="103">
        <f t="shared" si="291"/>
        <v>712</v>
      </c>
      <c r="BT73" s="71">
        <f t="shared" si="111"/>
        <v>0</v>
      </c>
      <c r="BU73" s="12">
        <f t="shared" si="269"/>
        <v>79</v>
      </c>
      <c r="BV73" s="103">
        <f t="shared" si="292"/>
        <v>71</v>
      </c>
      <c r="BW73" s="71">
        <f t="shared" si="76"/>
        <v>8</v>
      </c>
      <c r="BY73" s="120">
        <f t="shared" si="293"/>
        <v>14</v>
      </c>
      <c r="BZ73" s="7">
        <f t="shared" si="294"/>
        <v>9</v>
      </c>
      <c r="CA73" s="133"/>
      <c r="CB73" s="14">
        <f t="shared" si="295"/>
        <v>51325</v>
      </c>
      <c r="CC73" s="59">
        <f t="shared" si="86"/>
        <v>51319</v>
      </c>
      <c r="CD73" s="405"/>
      <c r="CE73" s="406">
        <v>6</v>
      </c>
      <c r="CF73" s="406"/>
      <c r="CG73" s="14">
        <f t="shared" si="87"/>
        <v>6</v>
      </c>
      <c r="CH73" s="14">
        <f t="shared" si="78"/>
        <v>761</v>
      </c>
      <c r="CI73" s="14">
        <f t="shared" si="270"/>
        <v>0.16</v>
      </c>
      <c r="CJ73" s="47">
        <f t="shared" si="303"/>
        <v>0.11690209449585971</v>
      </c>
      <c r="CK73" s="35">
        <f t="shared" si="271"/>
        <v>3.0400000000000005</v>
      </c>
      <c r="CL73" s="156">
        <f t="shared" si="206"/>
        <v>1.4646163321080083</v>
      </c>
      <c r="CM73" s="134">
        <v>2700</v>
      </c>
      <c r="CN73" s="14">
        <f t="shared" si="272"/>
        <v>49</v>
      </c>
      <c r="CO73" s="442">
        <f t="shared" si="187"/>
        <v>52.605942523136868</v>
      </c>
      <c r="CP73" s="68">
        <f t="shared" si="296"/>
        <v>2122.1738978573862</v>
      </c>
      <c r="CQ73" s="51">
        <f t="shared" si="273"/>
        <v>712</v>
      </c>
      <c r="CR73" s="103">
        <f t="shared" si="297"/>
        <v>701</v>
      </c>
      <c r="CS73" s="71">
        <f t="shared" si="112"/>
        <v>11</v>
      </c>
      <c r="CT73" s="12">
        <f t="shared" si="274"/>
        <v>79</v>
      </c>
      <c r="CU73" s="103">
        <f t="shared" si="298"/>
        <v>74</v>
      </c>
      <c r="CV73" s="71">
        <f t="shared" si="299"/>
        <v>5</v>
      </c>
    </row>
    <row r="74" spans="1:100" ht="17.25" thickBot="1" x14ac:dyDescent="0.3">
      <c r="A74" s="423"/>
      <c r="B74" s="403">
        <f>B73+1</f>
        <v>15</v>
      </c>
      <c r="C74" s="404">
        <f t="shared" si="276"/>
        <v>9</v>
      </c>
      <c r="D74" s="229"/>
      <c r="E74" s="48">
        <f t="shared" si="204"/>
        <v>0</v>
      </c>
      <c r="F74" s="49">
        <f t="shared" si="205"/>
        <v>0</v>
      </c>
      <c r="G74" s="411"/>
      <c r="H74" s="406"/>
      <c r="I74" s="406"/>
      <c r="J74" s="380">
        <f t="shared" si="81"/>
        <v>0</v>
      </c>
      <c r="K74" s="380">
        <f t="shared" ref="K74:K131" si="305">K73+J74</f>
        <v>9358</v>
      </c>
      <c r="L74" s="380">
        <f t="shared" si="255"/>
        <v>0.16</v>
      </c>
      <c r="M74" s="231">
        <f t="shared" si="277"/>
        <v>0</v>
      </c>
      <c r="N74" s="407">
        <f t="shared" si="256"/>
        <v>3.0400000000000005</v>
      </c>
      <c r="O74" s="424">
        <f t="shared" si="300"/>
        <v>0</v>
      </c>
      <c r="P74" s="405"/>
      <c r="Q74" s="380">
        <f t="shared" si="257"/>
        <v>49</v>
      </c>
      <c r="R74" s="442">
        <f t="shared" si="278"/>
        <v>0</v>
      </c>
      <c r="S74" s="474">
        <f t="shared" si="82"/>
        <v>0</v>
      </c>
      <c r="T74" s="182">
        <f t="shared" si="258"/>
        <v>712</v>
      </c>
      <c r="U74" s="181">
        <f t="shared" si="279"/>
        <v>0</v>
      </c>
      <c r="V74" s="206">
        <f t="shared" si="280"/>
        <v>712</v>
      </c>
      <c r="W74" s="182">
        <f t="shared" si="259"/>
        <v>79</v>
      </c>
      <c r="X74" s="181">
        <f t="shared" si="281"/>
        <v>0</v>
      </c>
      <c r="Y74" s="206">
        <f t="shared" si="282"/>
        <v>79</v>
      </c>
      <c r="Z74" s="487"/>
      <c r="AA74" s="403">
        <f>AA73+1</f>
        <v>15</v>
      </c>
      <c r="AB74" s="404">
        <f t="shared" si="284"/>
        <v>9</v>
      </c>
      <c r="AC74" s="229"/>
      <c r="AD74" s="48">
        <f t="shared" si="132"/>
        <v>60144</v>
      </c>
      <c r="AE74" s="450">
        <f t="shared" si="224"/>
        <v>60138</v>
      </c>
      <c r="AF74" s="405"/>
      <c r="AG74" s="406">
        <v>6</v>
      </c>
      <c r="AH74" s="406"/>
      <c r="AI74" s="380">
        <f t="shared" si="84"/>
        <v>6</v>
      </c>
      <c r="AJ74" s="380">
        <f t="shared" si="130"/>
        <v>669</v>
      </c>
      <c r="AK74" s="380">
        <f t="shared" si="260"/>
        <v>0.16</v>
      </c>
      <c r="AL74" s="231">
        <f t="shared" si="285"/>
        <v>9.9760574620909818E-3</v>
      </c>
      <c r="AM74" s="407">
        <f t="shared" si="261"/>
        <v>3.0400000000000005</v>
      </c>
      <c r="AN74" s="156">
        <f t="shared" si="207"/>
        <v>1.1073592213725296</v>
      </c>
      <c r="AO74" s="405">
        <v>1755</v>
      </c>
      <c r="AP74" s="380">
        <f t="shared" si="262"/>
        <v>49</v>
      </c>
      <c r="AQ74" s="442">
        <f t="shared" si="286"/>
        <v>29.17996807661612</v>
      </c>
      <c r="AR74" s="474">
        <f t="shared" si="133"/>
        <v>1312.5718420427183</v>
      </c>
      <c r="AS74" s="182">
        <f t="shared" si="263"/>
        <v>712</v>
      </c>
      <c r="AT74" s="181">
        <f t="shared" si="287"/>
        <v>681</v>
      </c>
      <c r="AU74" s="206">
        <f t="shared" si="110"/>
        <v>31</v>
      </c>
      <c r="AV74" s="182">
        <f t="shared" si="264"/>
        <v>79</v>
      </c>
      <c r="AW74" s="181">
        <f t="shared" si="288"/>
        <v>70</v>
      </c>
      <c r="AX74" s="206">
        <f t="shared" si="75"/>
        <v>9</v>
      </c>
      <c r="AY74" s="412"/>
      <c r="AZ74" s="403">
        <f>AZ73+1</f>
        <v>15</v>
      </c>
      <c r="BA74" s="404">
        <f t="shared" si="290"/>
        <v>9</v>
      </c>
      <c r="BB74" s="229"/>
      <c r="BC74" s="408">
        <f t="shared" si="225"/>
        <v>67830</v>
      </c>
      <c r="BD74" s="450">
        <f t="shared" si="226"/>
        <v>67811</v>
      </c>
      <c r="BE74" s="405"/>
      <c r="BF74" s="406">
        <v>19</v>
      </c>
      <c r="BG74" s="406"/>
      <c r="BH74" s="380">
        <f t="shared" si="85"/>
        <v>19</v>
      </c>
      <c r="BI74" s="380">
        <f t="shared" si="123"/>
        <v>1307</v>
      </c>
      <c r="BJ74" s="380">
        <f t="shared" si="265"/>
        <v>0.16</v>
      </c>
      <c r="BK74" s="47">
        <f t="shared" si="301"/>
        <v>2.8011204481792718E-2</v>
      </c>
      <c r="BL74" s="407">
        <f t="shared" si="266"/>
        <v>3.0400000000000005</v>
      </c>
      <c r="BM74" s="435">
        <f t="shared" si="160"/>
        <v>1.8923927837141286</v>
      </c>
      <c r="BN74" s="405">
        <v>1863</v>
      </c>
      <c r="BO74" s="380">
        <f t="shared" si="267"/>
        <v>49</v>
      </c>
      <c r="BP74" s="442">
        <f t="shared" si="302"/>
        <v>27.465723131357809</v>
      </c>
      <c r="BQ74" s="409">
        <f t="shared" si="304"/>
        <v>1955.0338817648787</v>
      </c>
      <c r="BR74" s="182">
        <f t="shared" si="268"/>
        <v>712</v>
      </c>
      <c r="BS74" s="181">
        <f t="shared" si="291"/>
        <v>712</v>
      </c>
      <c r="BT74" s="206">
        <f t="shared" si="111"/>
        <v>0</v>
      </c>
      <c r="BU74" s="182">
        <f t="shared" si="269"/>
        <v>79</v>
      </c>
      <c r="BV74" s="181">
        <f t="shared" si="292"/>
        <v>71</v>
      </c>
      <c r="BW74" s="206">
        <f t="shared" si="76"/>
        <v>8</v>
      </c>
      <c r="BX74" s="412"/>
      <c r="BY74" s="403">
        <f>BY73+1</f>
        <v>15</v>
      </c>
      <c r="BZ74" s="404">
        <f t="shared" si="294"/>
        <v>9</v>
      </c>
      <c r="CA74" s="229"/>
      <c r="CB74" s="380">
        <f t="shared" si="295"/>
        <v>51319</v>
      </c>
      <c r="CC74" s="267">
        <f t="shared" si="86"/>
        <v>51316</v>
      </c>
      <c r="CD74" s="405"/>
      <c r="CE74" s="406">
        <v>3</v>
      </c>
      <c r="CF74" s="406"/>
      <c r="CG74" s="380">
        <f t="shared" si="87"/>
        <v>3</v>
      </c>
      <c r="CH74" s="380">
        <f t="shared" si="78"/>
        <v>764</v>
      </c>
      <c r="CI74" s="380">
        <f t="shared" si="270"/>
        <v>0.16</v>
      </c>
      <c r="CJ74" s="410">
        <f t="shared" si="303"/>
        <v>5.8457881096669849E-2</v>
      </c>
      <c r="CK74" s="407">
        <f t="shared" si="271"/>
        <v>3.0400000000000005</v>
      </c>
      <c r="CL74" s="156">
        <f t="shared" si="206"/>
        <v>1.470390115283204</v>
      </c>
      <c r="CM74" s="405">
        <v>3060</v>
      </c>
      <c r="CN74" s="380">
        <f t="shared" si="272"/>
        <v>49</v>
      </c>
      <c r="CO74" s="442">
        <f t="shared" si="187"/>
        <v>59.627038718603245</v>
      </c>
      <c r="CP74" s="409">
        <f t="shared" si="296"/>
        <v>2181.8009365759895</v>
      </c>
      <c r="CQ74" s="182">
        <f t="shared" si="273"/>
        <v>712</v>
      </c>
      <c r="CR74" s="181">
        <f t="shared" si="297"/>
        <v>701</v>
      </c>
      <c r="CS74" s="206">
        <f t="shared" si="112"/>
        <v>11</v>
      </c>
      <c r="CT74" s="182">
        <f t="shared" si="274"/>
        <v>79</v>
      </c>
      <c r="CU74" s="181">
        <f t="shared" si="298"/>
        <v>74</v>
      </c>
      <c r="CV74" s="206">
        <f t="shared" si="299"/>
        <v>5</v>
      </c>
    </row>
    <row r="75" spans="1:100" ht="17.25" thickBot="1" x14ac:dyDescent="0.3">
      <c r="B75" s="197">
        <f t="shared" si="275"/>
        <v>16</v>
      </c>
      <c r="C75" s="8">
        <f t="shared" si="276"/>
        <v>9</v>
      </c>
      <c r="D75" s="136"/>
      <c r="E75" s="54">
        <f t="shared" si="204"/>
        <v>0</v>
      </c>
      <c r="F75" s="55">
        <f t="shared" si="205"/>
        <v>0</v>
      </c>
      <c r="G75" s="139"/>
      <c r="H75" s="138"/>
      <c r="I75" s="138"/>
      <c r="J75" s="34">
        <f t="shared" si="81"/>
        <v>0</v>
      </c>
      <c r="K75" s="34">
        <f t="shared" si="305"/>
        <v>9358</v>
      </c>
      <c r="L75" s="34">
        <f t="shared" si="255"/>
        <v>0.16</v>
      </c>
      <c r="M75" s="96">
        <f t="shared" si="277"/>
        <v>0</v>
      </c>
      <c r="N75" s="40">
        <f t="shared" si="256"/>
        <v>3.0400000000000005</v>
      </c>
      <c r="O75" s="156">
        <f t="shared" si="300"/>
        <v>0</v>
      </c>
      <c r="P75" s="137"/>
      <c r="Q75" s="32">
        <f t="shared" si="257"/>
        <v>49</v>
      </c>
      <c r="R75" s="592">
        <f t="shared" si="278"/>
        <v>0</v>
      </c>
      <c r="S75" s="471">
        <f t="shared" ref="S75:S131" si="306">S74+R75</f>
        <v>0</v>
      </c>
      <c r="T75" s="56">
        <f t="shared" si="258"/>
        <v>712</v>
      </c>
      <c r="U75" s="109">
        <f t="shared" si="279"/>
        <v>0</v>
      </c>
      <c r="V75" s="63">
        <f t="shared" si="280"/>
        <v>712</v>
      </c>
      <c r="W75" s="15">
        <f t="shared" si="259"/>
        <v>79</v>
      </c>
      <c r="X75" s="109">
        <f t="shared" si="281"/>
        <v>0</v>
      </c>
      <c r="Y75" s="63">
        <f t="shared" si="282"/>
        <v>79</v>
      </c>
      <c r="Z75" s="487"/>
      <c r="AA75" s="120">
        <f t="shared" si="283"/>
        <v>16</v>
      </c>
      <c r="AB75" s="8">
        <f t="shared" si="284"/>
        <v>9</v>
      </c>
      <c r="AC75" s="136"/>
      <c r="AD75" s="67">
        <f t="shared" si="132"/>
        <v>60138</v>
      </c>
      <c r="AE75" s="55">
        <f t="shared" si="224"/>
        <v>60131</v>
      </c>
      <c r="AF75" s="137"/>
      <c r="AG75" s="138">
        <v>7</v>
      </c>
      <c r="AH75" s="138"/>
      <c r="AI75" s="34">
        <f t="shared" si="84"/>
        <v>7</v>
      </c>
      <c r="AJ75" s="34">
        <f t="shared" si="130"/>
        <v>676</v>
      </c>
      <c r="AK75" s="17">
        <f t="shared" si="260"/>
        <v>0.16</v>
      </c>
      <c r="AL75" s="96">
        <f t="shared" si="285"/>
        <v>1.1639894908377399E-2</v>
      </c>
      <c r="AM75" s="33">
        <f t="shared" si="261"/>
        <v>3.0400000000000005</v>
      </c>
      <c r="AN75" s="156">
        <f t="shared" si="207"/>
        <v>1.1189459396828549</v>
      </c>
      <c r="AO75" s="137">
        <v>1035</v>
      </c>
      <c r="AP75" s="13">
        <f t="shared" si="262"/>
        <v>49</v>
      </c>
      <c r="AQ75" s="479">
        <f t="shared" si="286"/>
        <v>17.210416043100871</v>
      </c>
      <c r="AR75" s="471">
        <f t="shared" si="133"/>
        <v>1329.7822580858192</v>
      </c>
      <c r="AS75" s="56">
        <f t="shared" si="263"/>
        <v>712</v>
      </c>
      <c r="AT75" s="103">
        <f t="shared" si="287"/>
        <v>681</v>
      </c>
      <c r="AU75" s="63">
        <f t="shared" si="110"/>
        <v>31</v>
      </c>
      <c r="AV75" s="12">
        <f t="shared" si="264"/>
        <v>79</v>
      </c>
      <c r="AW75" s="103">
        <f t="shared" si="288"/>
        <v>70</v>
      </c>
      <c r="AX75" s="63">
        <f t="shared" ref="AX75:AX138" si="307">AV75-AW75</f>
        <v>9</v>
      </c>
      <c r="AZ75" s="120">
        <f t="shared" si="289"/>
        <v>16</v>
      </c>
      <c r="BA75" s="8">
        <f t="shared" si="290"/>
        <v>9</v>
      </c>
      <c r="BB75" s="136"/>
      <c r="BC75" s="54">
        <f t="shared" si="225"/>
        <v>67811</v>
      </c>
      <c r="BD75" s="55">
        <f t="shared" si="226"/>
        <v>67802</v>
      </c>
      <c r="BE75" s="137"/>
      <c r="BF75" s="138">
        <v>9</v>
      </c>
      <c r="BG75" s="138"/>
      <c r="BH75" s="34">
        <f t="shared" si="85"/>
        <v>9</v>
      </c>
      <c r="BI75" s="34">
        <f t="shared" si="123"/>
        <v>1316</v>
      </c>
      <c r="BJ75" s="17">
        <f t="shared" si="265"/>
        <v>0.16</v>
      </c>
      <c r="BK75" s="96">
        <f t="shared" si="301"/>
        <v>1.3272182979162673E-2</v>
      </c>
      <c r="BL75" s="33">
        <f t="shared" si="266"/>
        <v>3.0400000000000005</v>
      </c>
      <c r="BM75" s="435">
        <f t="shared" si="160"/>
        <v>1.9054237975270032</v>
      </c>
      <c r="BN75" s="137">
        <v>4140</v>
      </c>
      <c r="BO75" s="13">
        <f t="shared" si="267"/>
        <v>49</v>
      </c>
      <c r="BP75" s="443">
        <f t="shared" si="302"/>
        <v>61.052041704148294</v>
      </c>
      <c r="BQ75" s="70">
        <f t="shared" si="304"/>
        <v>2016.085923469027</v>
      </c>
      <c r="BR75" s="56">
        <f t="shared" si="268"/>
        <v>712</v>
      </c>
      <c r="BS75" s="103">
        <f t="shared" si="291"/>
        <v>712</v>
      </c>
      <c r="BT75" s="63">
        <f t="shared" si="111"/>
        <v>0</v>
      </c>
      <c r="BU75" s="12">
        <f t="shared" si="269"/>
        <v>79</v>
      </c>
      <c r="BV75" s="103">
        <f t="shared" si="292"/>
        <v>71</v>
      </c>
      <c r="BW75" s="63">
        <f t="shared" ref="BW75:BW138" si="308">BU75-BV75</f>
        <v>8</v>
      </c>
      <c r="BY75" s="120">
        <f t="shared" si="293"/>
        <v>16</v>
      </c>
      <c r="BZ75" s="8">
        <f t="shared" si="294"/>
        <v>9</v>
      </c>
      <c r="CA75" s="136"/>
      <c r="CB75" s="32">
        <f t="shared" si="295"/>
        <v>51316</v>
      </c>
      <c r="CC75" s="53">
        <f t="shared" si="86"/>
        <v>51312</v>
      </c>
      <c r="CD75" s="421"/>
      <c r="CE75" s="426">
        <v>4</v>
      </c>
      <c r="CF75" s="426"/>
      <c r="CG75" s="34">
        <f t="shared" si="87"/>
        <v>4</v>
      </c>
      <c r="CH75" s="34">
        <f t="shared" ref="CH75:CH138" si="309">CH74+CG75</f>
        <v>768</v>
      </c>
      <c r="CI75" s="17">
        <f t="shared" si="270"/>
        <v>0.16</v>
      </c>
      <c r="CJ75" s="166">
        <f t="shared" si="303"/>
        <v>7.7948398160417806E-2</v>
      </c>
      <c r="CK75" s="33">
        <f t="shared" si="271"/>
        <v>3.0400000000000005</v>
      </c>
      <c r="CL75" s="156">
        <f t="shared" si="206"/>
        <v>1.4780884928501319</v>
      </c>
      <c r="CM75" s="137">
        <v>2700</v>
      </c>
      <c r="CN75" s="32">
        <f t="shared" si="272"/>
        <v>49</v>
      </c>
      <c r="CO75" s="482">
        <f t="shared" si="187"/>
        <v>52.615168758282017</v>
      </c>
      <c r="CP75" s="70">
        <f t="shared" si="296"/>
        <v>2234.4161053342714</v>
      </c>
      <c r="CQ75" s="50">
        <f t="shared" si="273"/>
        <v>712</v>
      </c>
      <c r="CR75" s="103">
        <f t="shared" si="297"/>
        <v>701</v>
      </c>
      <c r="CS75" s="63">
        <f t="shared" si="112"/>
        <v>11</v>
      </c>
      <c r="CT75" s="12">
        <f t="shared" si="274"/>
        <v>79</v>
      </c>
      <c r="CU75" s="103">
        <f t="shared" si="298"/>
        <v>74</v>
      </c>
      <c r="CV75" s="63">
        <f t="shared" si="299"/>
        <v>5</v>
      </c>
    </row>
    <row r="76" spans="1:100" ht="17.25" thickBot="1" x14ac:dyDescent="0.3">
      <c r="B76" s="198">
        <v>17</v>
      </c>
      <c r="C76" s="38">
        <v>10</v>
      </c>
      <c r="D76" s="129"/>
      <c r="E76" s="43">
        <f t="shared" si="204"/>
        <v>0</v>
      </c>
      <c r="F76" s="44">
        <f t="shared" si="205"/>
        <v>0</v>
      </c>
      <c r="G76" s="145"/>
      <c r="H76" s="141"/>
      <c r="I76" s="141"/>
      <c r="J76" s="17">
        <f t="shared" si="81"/>
        <v>0</v>
      </c>
      <c r="K76" s="17">
        <f t="shared" si="305"/>
        <v>9358</v>
      </c>
      <c r="L76" s="31">
        <f t="shared" si="255"/>
        <v>0.16</v>
      </c>
      <c r="M76" s="231">
        <f t="shared" si="277"/>
        <v>0</v>
      </c>
      <c r="N76" s="37">
        <f t="shared" si="256"/>
        <v>3.2000000000000006</v>
      </c>
      <c r="O76" s="155">
        <f t="shared" si="300"/>
        <v>0</v>
      </c>
      <c r="P76" s="144"/>
      <c r="Q76" s="17">
        <f t="shared" si="257"/>
        <v>52</v>
      </c>
      <c r="R76" s="480">
        <f t="shared" si="278"/>
        <v>0</v>
      </c>
      <c r="S76" s="475">
        <f t="shared" si="306"/>
        <v>0</v>
      </c>
      <c r="T76" s="61">
        <f t="shared" si="258"/>
        <v>802</v>
      </c>
      <c r="U76" s="141"/>
      <c r="V76" s="71">
        <f t="shared" si="280"/>
        <v>802</v>
      </c>
      <c r="W76" s="12">
        <f t="shared" si="259"/>
        <v>80</v>
      </c>
      <c r="X76" s="141"/>
      <c r="Y76" s="71">
        <f t="shared" si="282"/>
        <v>80</v>
      </c>
      <c r="Z76" s="487"/>
      <c r="AA76" s="118">
        <v>17</v>
      </c>
      <c r="AB76" s="9">
        <v>10</v>
      </c>
      <c r="AC76" s="129"/>
      <c r="AD76" s="43">
        <f t="shared" si="132"/>
        <v>60131</v>
      </c>
      <c r="AE76" s="44">
        <f t="shared" si="224"/>
        <v>60130</v>
      </c>
      <c r="AF76" s="130"/>
      <c r="AG76" s="131">
        <v>1</v>
      </c>
      <c r="AH76" s="131"/>
      <c r="AI76" s="11">
        <f t="shared" si="84"/>
        <v>1</v>
      </c>
      <c r="AJ76" s="11">
        <f t="shared" si="130"/>
        <v>677</v>
      </c>
      <c r="AK76" s="16">
        <f t="shared" si="260"/>
        <v>0.16</v>
      </c>
      <c r="AL76" s="153">
        <f t="shared" si="285"/>
        <v>1.6630357053765944E-3</v>
      </c>
      <c r="AM76" s="154">
        <f t="shared" si="261"/>
        <v>3.2000000000000006</v>
      </c>
      <c r="AN76" s="156">
        <f t="shared" si="207"/>
        <v>1.1206011851557587</v>
      </c>
      <c r="AO76" s="130">
        <v>1701</v>
      </c>
      <c r="AP76" s="11">
        <f t="shared" si="262"/>
        <v>52</v>
      </c>
      <c r="AQ76" s="481">
        <f t="shared" si="286"/>
        <v>28.288237348455873</v>
      </c>
      <c r="AR76" s="469">
        <f t="shared" si="133"/>
        <v>1358.070495434275</v>
      </c>
      <c r="AS76" s="61">
        <f t="shared" si="263"/>
        <v>802</v>
      </c>
      <c r="AT76" s="131">
        <v>785</v>
      </c>
      <c r="AU76" s="41">
        <f t="shared" si="110"/>
        <v>17</v>
      </c>
      <c r="AV76" s="18">
        <f t="shared" si="264"/>
        <v>80</v>
      </c>
      <c r="AW76" s="131">
        <v>87</v>
      </c>
      <c r="AX76" s="41">
        <f t="shared" si="307"/>
        <v>-7</v>
      </c>
      <c r="AZ76" s="118">
        <v>17</v>
      </c>
      <c r="BA76" s="9">
        <v>10</v>
      </c>
      <c r="BB76" s="129"/>
      <c r="BC76" s="43">
        <f t="shared" si="225"/>
        <v>67802</v>
      </c>
      <c r="BD76" s="44">
        <f t="shared" si="226"/>
        <v>67779</v>
      </c>
      <c r="BE76" s="130"/>
      <c r="BF76" s="131">
        <v>23</v>
      </c>
      <c r="BG76" s="131"/>
      <c r="BH76" s="11">
        <f t="shared" si="85"/>
        <v>23</v>
      </c>
      <c r="BI76" s="11">
        <f t="shared" si="123"/>
        <v>1339</v>
      </c>
      <c r="BJ76" s="16">
        <f t="shared" si="265"/>
        <v>0.16</v>
      </c>
      <c r="BK76" s="235">
        <f t="shared" si="301"/>
        <v>3.3922303176897435E-2</v>
      </c>
      <c r="BL76" s="154">
        <f t="shared" si="266"/>
        <v>3.2000000000000006</v>
      </c>
      <c r="BM76" s="435">
        <f t="shared" si="160"/>
        <v>1.9387252772710162</v>
      </c>
      <c r="BN76" s="130">
        <v>2070</v>
      </c>
      <c r="BO76" s="11">
        <f t="shared" si="267"/>
        <v>52</v>
      </c>
      <c r="BP76" s="479">
        <f t="shared" si="302"/>
        <v>30.530072859207692</v>
      </c>
      <c r="BQ76" s="377">
        <f t="shared" si="304"/>
        <v>2046.6159963282346</v>
      </c>
      <c r="BR76" s="61">
        <f t="shared" si="268"/>
        <v>802</v>
      </c>
      <c r="BS76" s="131">
        <v>730</v>
      </c>
      <c r="BT76" s="41">
        <f t="shared" si="111"/>
        <v>72</v>
      </c>
      <c r="BU76" s="18">
        <f t="shared" si="269"/>
        <v>80</v>
      </c>
      <c r="BV76" s="131">
        <v>68</v>
      </c>
      <c r="BW76" s="41">
        <f t="shared" si="308"/>
        <v>12</v>
      </c>
      <c r="BY76" s="118">
        <v>17</v>
      </c>
      <c r="BZ76" s="9">
        <v>10</v>
      </c>
      <c r="CA76" s="129"/>
      <c r="CB76" s="11">
        <f t="shared" si="295"/>
        <v>51312</v>
      </c>
      <c r="CC76" s="41">
        <f t="shared" si="86"/>
        <v>51309</v>
      </c>
      <c r="CD76" s="398"/>
      <c r="CE76" s="399">
        <v>3</v>
      </c>
      <c r="CF76" s="399"/>
      <c r="CG76" s="11">
        <f t="shared" si="87"/>
        <v>3</v>
      </c>
      <c r="CH76" s="11">
        <f t="shared" si="309"/>
        <v>771</v>
      </c>
      <c r="CI76" s="16">
        <f t="shared" si="270"/>
        <v>0.16</v>
      </c>
      <c r="CJ76" s="231">
        <f t="shared" si="303"/>
        <v>5.8465855940130963E-2</v>
      </c>
      <c r="CK76" s="154">
        <f t="shared" si="271"/>
        <v>3.2000000000000006</v>
      </c>
      <c r="CL76" s="156">
        <f t="shared" si="206"/>
        <v>1.4838622760253277</v>
      </c>
      <c r="CM76" s="130">
        <v>2880</v>
      </c>
      <c r="CN76" s="17">
        <f t="shared" si="272"/>
        <v>52</v>
      </c>
      <c r="CO76" s="441">
        <f t="shared" si="187"/>
        <v>56.127221702525723</v>
      </c>
      <c r="CP76" s="377">
        <f t="shared" si="296"/>
        <v>2290.5433270367971</v>
      </c>
      <c r="CQ76" s="58">
        <f t="shared" si="273"/>
        <v>802</v>
      </c>
      <c r="CR76" s="131">
        <v>800</v>
      </c>
      <c r="CS76" s="41">
        <f t="shared" si="112"/>
        <v>2</v>
      </c>
      <c r="CT76" s="18">
        <f t="shared" si="274"/>
        <v>80</v>
      </c>
      <c r="CU76" s="131">
        <v>56</v>
      </c>
      <c r="CV76" s="41">
        <f t="shared" si="299"/>
        <v>24</v>
      </c>
    </row>
    <row r="77" spans="1:100" ht="17.25" thickBot="1" x14ac:dyDescent="0.3">
      <c r="B77" s="120">
        <f>B76+1</f>
        <v>18</v>
      </c>
      <c r="C77" s="7">
        <f>C76</f>
        <v>10</v>
      </c>
      <c r="D77" s="133"/>
      <c r="E77" s="48">
        <f t="shared" si="204"/>
        <v>0</v>
      </c>
      <c r="F77" s="49">
        <f t="shared" si="205"/>
        <v>0</v>
      </c>
      <c r="G77" s="142"/>
      <c r="H77" s="135"/>
      <c r="I77" s="135"/>
      <c r="J77" s="14">
        <f t="shared" ref="J77:J131" si="310">SUM(G77:I77)</f>
        <v>0</v>
      </c>
      <c r="K77" s="14">
        <f t="shared" si="305"/>
        <v>9358</v>
      </c>
      <c r="L77" s="14">
        <f t="shared" si="255"/>
        <v>0.16</v>
      </c>
      <c r="M77" s="47">
        <f t="shared" si="277"/>
        <v>0</v>
      </c>
      <c r="N77" s="35">
        <f t="shared" si="256"/>
        <v>3.2000000000000006</v>
      </c>
      <c r="O77" s="157">
        <f t="shared" si="300"/>
        <v>0</v>
      </c>
      <c r="P77" s="134"/>
      <c r="Q77" s="14">
        <f t="shared" si="257"/>
        <v>52</v>
      </c>
      <c r="R77" s="482">
        <f t="shared" si="278"/>
        <v>0</v>
      </c>
      <c r="S77" s="470">
        <f t="shared" si="306"/>
        <v>0</v>
      </c>
      <c r="T77" s="51">
        <f t="shared" si="258"/>
        <v>802</v>
      </c>
      <c r="U77" s="103">
        <f>U76</f>
        <v>0</v>
      </c>
      <c r="V77" s="46">
        <f t="shared" si="280"/>
        <v>802</v>
      </c>
      <c r="W77" s="51">
        <f t="shared" si="259"/>
        <v>80</v>
      </c>
      <c r="X77" s="103">
        <f>X76</f>
        <v>0</v>
      </c>
      <c r="Y77" s="46">
        <f t="shared" si="282"/>
        <v>80</v>
      </c>
      <c r="Z77" s="487"/>
      <c r="AA77" s="120">
        <f>AA76+1</f>
        <v>18</v>
      </c>
      <c r="AB77" s="7">
        <f>AB76</f>
        <v>10</v>
      </c>
      <c r="AC77" s="133"/>
      <c r="AD77" s="48">
        <f t="shared" si="132"/>
        <v>60130</v>
      </c>
      <c r="AE77" s="49">
        <f t="shared" si="224"/>
        <v>60115</v>
      </c>
      <c r="AF77" s="134"/>
      <c r="AG77" s="135">
        <v>15</v>
      </c>
      <c r="AH77" s="135"/>
      <c r="AI77" s="14">
        <f t="shared" ref="AI77:AI104" si="311">SUM(AF77:AH77)</f>
        <v>15</v>
      </c>
      <c r="AJ77" s="14">
        <f t="shared" si="130"/>
        <v>692</v>
      </c>
      <c r="AK77" s="14">
        <f t="shared" si="260"/>
        <v>0.16</v>
      </c>
      <c r="AL77" s="47">
        <f t="shared" si="285"/>
        <v>2.4945950440711791E-2</v>
      </c>
      <c r="AM77" s="35">
        <f t="shared" si="261"/>
        <v>3.2000000000000006</v>
      </c>
      <c r="AN77" s="156">
        <f t="shared" si="207"/>
        <v>1.1454298672493131</v>
      </c>
      <c r="AO77" s="134">
        <v>3123</v>
      </c>
      <c r="AP77" s="14">
        <f t="shared" si="262"/>
        <v>52</v>
      </c>
      <c r="AQ77" s="482">
        <f t="shared" si="286"/>
        <v>51.93746881756195</v>
      </c>
      <c r="AR77" s="470">
        <f t="shared" si="133"/>
        <v>1410.0079642518369</v>
      </c>
      <c r="AS77" s="51">
        <f t="shared" si="263"/>
        <v>802</v>
      </c>
      <c r="AT77" s="103">
        <f>AT76</f>
        <v>785</v>
      </c>
      <c r="AU77" s="46">
        <f t="shared" si="110"/>
        <v>17</v>
      </c>
      <c r="AV77" s="51">
        <f t="shared" si="264"/>
        <v>80</v>
      </c>
      <c r="AW77" s="103">
        <f>AW76</f>
        <v>87</v>
      </c>
      <c r="AX77" s="46">
        <f t="shared" si="307"/>
        <v>-7</v>
      </c>
      <c r="AZ77" s="120">
        <f>AZ76+1</f>
        <v>18</v>
      </c>
      <c r="BA77" s="7">
        <f>BA76</f>
        <v>10</v>
      </c>
      <c r="BB77" s="133"/>
      <c r="BC77" s="48">
        <f t="shared" si="225"/>
        <v>67779</v>
      </c>
      <c r="BD77" s="49">
        <f t="shared" si="226"/>
        <v>67769</v>
      </c>
      <c r="BE77" s="134"/>
      <c r="BF77" s="135">
        <v>10</v>
      </c>
      <c r="BG77" s="135"/>
      <c r="BH77" s="14">
        <f t="shared" ref="BH77:BH104" si="312">SUM(BE77:BG77)</f>
        <v>10</v>
      </c>
      <c r="BI77" s="14">
        <f t="shared" si="123"/>
        <v>1349</v>
      </c>
      <c r="BJ77" s="14">
        <f t="shared" si="265"/>
        <v>0.16</v>
      </c>
      <c r="BK77" s="47">
        <f t="shared" si="301"/>
        <v>1.4753832307941988E-2</v>
      </c>
      <c r="BL77" s="35">
        <f t="shared" si="266"/>
        <v>3.2000000000000006</v>
      </c>
      <c r="BM77" s="435">
        <f t="shared" si="160"/>
        <v>1.9532041815075436</v>
      </c>
      <c r="BN77" s="134">
        <v>3123</v>
      </c>
      <c r="BO77" s="14">
        <f t="shared" si="267"/>
        <v>52</v>
      </c>
      <c r="BP77" s="442">
        <f t="shared" si="302"/>
        <v>46.07621829770283</v>
      </c>
      <c r="BQ77" s="68">
        <f t="shared" si="304"/>
        <v>2092.6922146259376</v>
      </c>
      <c r="BR77" s="51">
        <f t="shared" si="268"/>
        <v>802</v>
      </c>
      <c r="BS77" s="103">
        <f>BS76</f>
        <v>730</v>
      </c>
      <c r="BT77" s="46">
        <f t="shared" si="111"/>
        <v>72</v>
      </c>
      <c r="BU77" s="51">
        <f t="shared" si="269"/>
        <v>80</v>
      </c>
      <c r="BV77" s="103">
        <f>BV76</f>
        <v>68</v>
      </c>
      <c r="BW77" s="46">
        <f t="shared" si="308"/>
        <v>12</v>
      </c>
      <c r="BY77" s="120">
        <f>BY76+1</f>
        <v>18</v>
      </c>
      <c r="BZ77" s="7">
        <f>BZ76</f>
        <v>10</v>
      </c>
      <c r="CA77" s="133"/>
      <c r="CB77" s="14">
        <f t="shared" si="295"/>
        <v>51309</v>
      </c>
      <c r="CC77" s="46">
        <f t="shared" ref="CC77:CC138" si="313">IFERROR(CB77-CG77,0)</f>
        <v>51301</v>
      </c>
      <c r="CD77" s="405"/>
      <c r="CE77" s="406">
        <v>8</v>
      </c>
      <c r="CF77" s="406"/>
      <c r="CG77" s="14">
        <f t="shared" ref="CG77:CG138" si="314">SUM(CD77:CF77)</f>
        <v>8</v>
      </c>
      <c r="CH77" s="14">
        <f t="shared" si="309"/>
        <v>779</v>
      </c>
      <c r="CI77" s="14">
        <f t="shared" si="270"/>
        <v>0.16</v>
      </c>
      <c r="CJ77" s="47">
        <f t="shared" si="303"/>
        <v>0.15591806505681263</v>
      </c>
      <c r="CK77" s="35">
        <f t="shared" si="271"/>
        <v>3.2000000000000006</v>
      </c>
      <c r="CL77" s="156">
        <f t="shared" si="206"/>
        <v>1.4992590311591831</v>
      </c>
      <c r="CM77" s="134">
        <v>3600</v>
      </c>
      <c r="CN77" s="14">
        <f t="shared" si="272"/>
        <v>52</v>
      </c>
      <c r="CO77" s="442">
        <f t="shared" si="187"/>
        <v>70.16312927556568</v>
      </c>
      <c r="CP77" s="68">
        <f t="shared" si="296"/>
        <v>2360.7064563123627</v>
      </c>
      <c r="CQ77" s="51">
        <f t="shared" si="273"/>
        <v>802</v>
      </c>
      <c r="CR77" s="103">
        <f>CR76</f>
        <v>800</v>
      </c>
      <c r="CS77" s="46">
        <f t="shared" si="112"/>
        <v>2</v>
      </c>
      <c r="CT77" s="50">
        <f t="shared" si="274"/>
        <v>80</v>
      </c>
      <c r="CU77" s="103">
        <f>CU76</f>
        <v>56</v>
      </c>
      <c r="CV77" s="46">
        <f t="shared" si="299"/>
        <v>24</v>
      </c>
    </row>
    <row r="78" spans="1:100" ht="17.25" thickBot="1" x14ac:dyDescent="0.3">
      <c r="B78" s="120">
        <f t="shared" ref="B78:B82" si="315">B77+1</f>
        <v>19</v>
      </c>
      <c r="C78" s="7">
        <f t="shared" ref="C78:C82" si="316">C77</f>
        <v>10</v>
      </c>
      <c r="D78" s="133"/>
      <c r="E78" s="48">
        <f t="shared" si="204"/>
        <v>0</v>
      </c>
      <c r="F78" s="49">
        <f t="shared" si="205"/>
        <v>0</v>
      </c>
      <c r="G78" s="142"/>
      <c r="H78" s="135"/>
      <c r="I78" s="135"/>
      <c r="J78" s="14">
        <f t="shared" si="310"/>
        <v>0</v>
      </c>
      <c r="K78" s="14">
        <f t="shared" si="305"/>
        <v>9358</v>
      </c>
      <c r="L78" s="14">
        <f t="shared" si="255"/>
        <v>0.16</v>
      </c>
      <c r="M78" s="231">
        <f t="shared" si="277"/>
        <v>0</v>
      </c>
      <c r="N78" s="35">
        <f t="shared" si="256"/>
        <v>3.2000000000000006</v>
      </c>
      <c r="O78" s="157">
        <f t="shared" si="300"/>
        <v>0</v>
      </c>
      <c r="P78" s="134"/>
      <c r="Q78" s="14">
        <f t="shared" si="257"/>
        <v>52</v>
      </c>
      <c r="R78" s="482">
        <f t="shared" si="278"/>
        <v>0</v>
      </c>
      <c r="S78" s="470">
        <f t="shared" si="306"/>
        <v>0</v>
      </c>
      <c r="T78" s="51">
        <f t="shared" si="258"/>
        <v>802</v>
      </c>
      <c r="U78" s="103">
        <f t="shared" ref="U78:U82" si="317">U77</f>
        <v>0</v>
      </c>
      <c r="V78" s="46">
        <f t="shared" si="280"/>
        <v>802</v>
      </c>
      <c r="W78" s="51">
        <f t="shared" si="259"/>
        <v>80</v>
      </c>
      <c r="X78" s="103">
        <f t="shared" ref="X78:X82" si="318">X77</f>
        <v>0</v>
      </c>
      <c r="Y78" s="46">
        <f t="shared" si="282"/>
        <v>80</v>
      </c>
      <c r="Z78" s="487"/>
      <c r="AA78" s="120">
        <f t="shared" ref="AA78:AA82" si="319">AA77+1</f>
        <v>19</v>
      </c>
      <c r="AB78" s="7">
        <f t="shared" ref="AB78:AB82" si="320">AB77</f>
        <v>10</v>
      </c>
      <c r="AC78" s="133"/>
      <c r="AD78" s="48">
        <f t="shared" si="132"/>
        <v>60115</v>
      </c>
      <c r="AE78" s="447">
        <f t="shared" si="224"/>
        <v>60107</v>
      </c>
      <c r="AF78" s="134"/>
      <c r="AG78" s="135">
        <v>8</v>
      </c>
      <c r="AH78" s="135"/>
      <c r="AI78" s="14">
        <f t="shared" si="311"/>
        <v>8</v>
      </c>
      <c r="AJ78" s="14">
        <f t="shared" si="130"/>
        <v>700</v>
      </c>
      <c r="AK78" s="14">
        <f t="shared" si="260"/>
        <v>0.16</v>
      </c>
      <c r="AL78" s="231">
        <f t="shared" si="285"/>
        <v>1.3307826665557682E-2</v>
      </c>
      <c r="AM78" s="35">
        <f t="shared" si="261"/>
        <v>3.2000000000000006</v>
      </c>
      <c r="AN78" s="156">
        <f t="shared" si="207"/>
        <v>1.1586718310325421</v>
      </c>
      <c r="AO78" s="134">
        <v>1908</v>
      </c>
      <c r="AP78" s="14">
        <f t="shared" si="262"/>
        <v>52</v>
      </c>
      <c r="AQ78" s="482">
        <f t="shared" si="286"/>
        <v>31.739166597355066</v>
      </c>
      <c r="AR78" s="470">
        <f t="shared" si="133"/>
        <v>1441.747130849192</v>
      </c>
      <c r="AS78" s="51">
        <f t="shared" si="263"/>
        <v>802</v>
      </c>
      <c r="AT78" s="103">
        <f t="shared" ref="AT78:AT82" si="321">AT77</f>
        <v>785</v>
      </c>
      <c r="AU78" s="46">
        <f t="shared" si="110"/>
        <v>17</v>
      </c>
      <c r="AV78" s="51">
        <f t="shared" si="264"/>
        <v>80</v>
      </c>
      <c r="AW78" s="103">
        <f t="shared" ref="AW78:AW82" si="322">AW77</f>
        <v>87</v>
      </c>
      <c r="AX78" s="46">
        <f t="shared" si="307"/>
        <v>-7</v>
      </c>
      <c r="AZ78" s="120">
        <f t="shared" ref="AZ78:AZ82" si="323">AZ77+1</f>
        <v>19</v>
      </c>
      <c r="BA78" s="7">
        <f t="shared" ref="BA78:BA82" si="324">BA77</f>
        <v>10</v>
      </c>
      <c r="BB78" s="133"/>
      <c r="BC78" s="48">
        <f t="shared" si="225"/>
        <v>67769</v>
      </c>
      <c r="BD78" s="447">
        <f t="shared" si="226"/>
        <v>67755</v>
      </c>
      <c r="BE78" s="134"/>
      <c r="BF78" s="135">
        <v>14</v>
      </c>
      <c r="BG78" s="135"/>
      <c r="BH78" s="14">
        <f t="shared" si="312"/>
        <v>14</v>
      </c>
      <c r="BI78" s="14">
        <f t="shared" si="123"/>
        <v>1363</v>
      </c>
      <c r="BJ78" s="14">
        <f t="shared" si="265"/>
        <v>0.16</v>
      </c>
      <c r="BK78" s="47">
        <f t="shared" si="301"/>
        <v>2.0658413138750758E-2</v>
      </c>
      <c r="BL78" s="35">
        <f t="shared" si="266"/>
        <v>3.2000000000000006</v>
      </c>
      <c r="BM78" s="435">
        <f t="shared" si="160"/>
        <v>1.973474647438682</v>
      </c>
      <c r="BN78" s="134">
        <v>0</v>
      </c>
      <c r="BO78" s="14">
        <f t="shared" si="267"/>
        <v>52</v>
      </c>
      <c r="BP78" s="442">
        <f t="shared" si="302"/>
        <v>0</v>
      </c>
      <c r="BQ78" s="68">
        <f t="shared" si="304"/>
        <v>2092.6922146259376</v>
      </c>
      <c r="BR78" s="51">
        <f t="shared" si="268"/>
        <v>802</v>
      </c>
      <c r="BS78" s="103">
        <f t="shared" ref="BS78:BS82" si="325">BS77</f>
        <v>730</v>
      </c>
      <c r="BT78" s="46">
        <f t="shared" si="111"/>
        <v>72</v>
      </c>
      <c r="BU78" s="51">
        <f t="shared" si="269"/>
        <v>80</v>
      </c>
      <c r="BV78" s="103">
        <f t="shared" ref="BV78:BV82" si="326">BV77</f>
        <v>68</v>
      </c>
      <c r="BW78" s="46">
        <f t="shared" si="308"/>
        <v>12</v>
      </c>
      <c r="BY78" s="120">
        <f t="shared" ref="BY78:BY81" si="327">BY77+1</f>
        <v>19</v>
      </c>
      <c r="BZ78" s="7">
        <f t="shared" ref="BZ78:BZ82" si="328">BZ77</f>
        <v>10</v>
      </c>
      <c r="CA78" s="133"/>
      <c r="CB78" s="14">
        <f t="shared" si="295"/>
        <v>51301</v>
      </c>
      <c r="CC78" s="62">
        <f t="shared" si="313"/>
        <v>51290</v>
      </c>
      <c r="CD78" s="405"/>
      <c r="CE78" s="406">
        <v>11</v>
      </c>
      <c r="CF78" s="406"/>
      <c r="CG78" s="14">
        <f t="shared" si="314"/>
        <v>11</v>
      </c>
      <c r="CH78" s="14">
        <f t="shared" si="309"/>
        <v>790</v>
      </c>
      <c r="CI78" s="14">
        <f t="shared" si="270"/>
        <v>0.16</v>
      </c>
      <c r="CJ78" s="47">
        <f t="shared" si="303"/>
        <v>0.21442077152492153</v>
      </c>
      <c r="CK78" s="35">
        <f t="shared" si="271"/>
        <v>3.2000000000000006</v>
      </c>
      <c r="CL78" s="156">
        <f t="shared" si="206"/>
        <v>1.5204295694682346</v>
      </c>
      <c r="CM78" s="134">
        <v>1440</v>
      </c>
      <c r="CN78" s="14">
        <f t="shared" si="272"/>
        <v>52</v>
      </c>
      <c r="CO78" s="442">
        <f t="shared" si="187"/>
        <v>28.069628272353366</v>
      </c>
      <c r="CP78" s="68">
        <f t="shared" si="296"/>
        <v>2388.776084584716</v>
      </c>
      <c r="CQ78" s="51">
        <f t="shared" si="273"/>
        <v>802</v>
      </c>
      <c r="CR78" s="103">
        <f t="shared" ref="CR78:CR82" si="329">CR77</f>
        <v>800</v>
      </c>
      <c r="CS78" s="46">
        <f t="shared" si="112"/>
        <v>2</v>
      </c>
      <c r="CT78" s="51">
        <f t="shared" si="274"/>
        <v>80</v>
      </c>
      <c r="CU78" s="103">
        <f t="shared" ref="CU78:CU82" si="330">CU77</f>
        <v>56</v>
      </c>
      <c r="CV78" s="46">
        <f t="shared" si="299"/>
        <v>24</v>
      </c>
    </row>
    <row r="79" spans="1:100" ht="17.25" thickBot="1" x14ac:dyDescent="0.3">
      <c r="B79" s="120">
        <f t="shared" si="315"/>
        <v>20</v>
      </c>
      <c r="C79" s="7">
        <f t="shared" si="316"/>
        <v>10</v>
      </c>
      <c r="D79" s="133"/>
      <c r="E79" s="639">
        <f t="shared" si="204"/>
        <v>0</v>
      </c>
      <c r="F79" s="447">
        <f t="shared" si="205"/>
        <v>0</v>
      </c>
      <c r="G79" s="142"/>
      <c r="H79" s="135"/>
      <c r="I79" s="135"/>
      <c r="J79" s="14">
        <f t="shared" si="310"/>
        <v>0</v>
      </c>
      <c r="K79" s="14">
        <f t="shared" si="305"/>
        <v>9358</v>
      </c>
      <c r="L79" s="14">
        <f t="shared" si="255"/>
        <v>0.16</v>
      </c>
      <c r="M79" s="47">
        <f t="shared" si="277"/>
        <v>0</v>
      </c>
      <c r="N79" s="35">
        <f t="shared" si="256"/>
        <v>3.2000000000000006</v>
      </c>
      <c r="O79" s="157">
        <f t="shared" si="300"/>
        <v>0</v>
      </c>
      <c r="P79" s="134"/>
      <c r="Q79" s="14">
        <f t="shared" si="257"/>
        <v>52</v>
      </c>
      <c r="R79" s="482">
        <f t="shared" si="278"/>
        <v>0</v>
      </c>
      <c r="S79" s="470">
        <f t="shared" si="306"/>
        <v>0</v>
      </c>
      <c r="T79" s="51">
        <f t="shared" si="258"/>
        <v>802</v>
      </c>
      <c r="U79" s="103">
        <f t="shared" si="317"/>
        <v>0</v>
      </c>
      <c r="V79" s="46">
        <f t="shared" si="280"/>
        <v>802</v>
      </c>
      <c r="W79" s="51">
        <f t="shared" si="259"/>
        <v>80</v>
      </c>
      <c r="X79" s="103">
        <f t="shared" si="318"/>
        <v>0</v>
      </c>
      <c r="Y79" s="62">
        <f t="shared" si="282"/>
        <v>80</v>
      </c>
      <c r="Z79" s="487"/>
      <c r="AA79" s="120">
        <f t="shared" si="319"/>
        <v>20</v>
      </c>
      <c r="AB79" s="7">
        <f t="shared" si="320"/>
        <v>10</v>
      </c>
      <c r="AC79" s="133"/>
      <c r="AD79" s="48">
        <f t="shared" si="132"/>
        <v>60107</v>
      </c>
      <c r="AE79" s="196">
        <f t="shared" si="224"/>
        <v>60092</v>
      </c>
      <c r="AF79" s="134"/>
      <c r="AG79" s="135">
        <v>15</v>
      </c>
      <c r="AH79" s="135"/>
      <c r="AI79" s="14">
        <f t="shared" si="311"/>
        <v>15</v>
      </c>
      <c r="AJ79" s="14">
        <f t="shared" si="130"/>
        <v>715</v>
      </c>
      <c r="AK79" s="14">
        <f t="shared" si="260"/>
        <v>0.16</v>
      </c>
      <c r="AL79" s="47">
        <f t="shared" si="285"/>
        <v>2.4955496032076131E-2</v>
      </c>
      <c r="AM79" s="35">
        <f t="shared" si="261"/>
        <v>3.2000000000000006</v>
      </c>
      <c r="AN79" s="156">
        <f t="shared" si="207"/>
        <v>1.1835005131260965</v>
      </c>
      <c r="AO79" s="134">
        <v>0</v>
      </c>
      <c r="AP79" s="14">
        <f t="shared" si="262"/>
        <v>52</v>
      </c>
      <c r="AQ79" s="482">
        <f t="shared" si="286"/>
        <v>0</v>
      </c>
      <c r="AR79" s="470">
        <f t="shared" si="133"/>
        <v>1441.747130849192</v>
      </c>
      <c r="AS79" s="51">
        <f t="shared" si="263"/>
        <v>802</v>
      </c>
      <c r="AT79" s="103">
        <f t="shared" si="321"/>
        <v>785</v>
      </c>
      <c r="AU79" s="46">
        <f t="shared" si="110"/>
        <v>17</v>
      </c>
      <c r="AV79" s="51">
        <f t="shared" si="264"/>
        <v>80</v>
      </c>
      <c r="AW79" s="103">
        <f t="shared" si="322"/>
        <v>87</v>
      </c>
      <c r="AX79" s="62">
        <f t="shared" si="307"/>
        <v>-7</v>
      </c>
      <c r="AZ79" s="120">
        <f t="shared" si="323"/>
        <v>20</v>
      </c>
      <c r="BA79" s="7">
        <f t="shared" si="324"/>
        <v>10</v>
      </c>
      <c r="BB79" s="133"/>
      <c r="BC79" s="48">
        <f t="shared" si="225"/>
        <v>67755</v>
      </c>
      <c r="BD79" s="196">
        <f t="shared" si="226"/>
        <v>67746</v>
      </c>
      <c r="BE79" s="134"/>
      <c r="BF79" s="135">
        <v>9</v>
      </c>
      <c r="BG79" s="135"/>
      <c r="BH79" s="14">
        <f t="shared" si="312"/>
        <v>9</v>
      </c>
      <c r="BI79" s="14">
        <f t="shared" si="123"/>
        <v>1372</v>
      </c>
      <c r="BJ79" s="14">
        <f t="shared" si="265"/>
        <v>0.16</v>
      </c>
      <c r="BK79" s="47">
        <f t="shared" si="301"/>
        <v>1.3283152534868276E-2</v>
      </c>
      <c r="BL79" s="35">
        <f t="shared" si="266"/>
        <v>3.2000000000000006</v>
      </c>
      <c r="BM79" s="435">
        <f t="shared" si="160"/>
        <v>1.9865056612515566</v>
      </c>
      <c r="BN79" s="134">
        <v>8118</v>
      </c>
      <c r="BO79" s="14">
        <f t="shared" si="267"/>
        <v>52</v>
      </c>
      <c r="BP79" s="442">
        <f t="shared" si="302"/>
        <v>119.81403586451185</v>
      </c>
      <c r="BQ79" s="68">
        <f t="shared" si="304"/>
        <v>2212.5062504904495</v>
      </c>
      <c r="BR79" s="51">
        <f t="shared" si="268"/>
        <v>802</v>
      </c>
      <c r="BS79" s="103">
        <f t="shared" si="325"/>
        <v>730</v>
      </c>
      <c r="BT79" s="46">
        <f t="shared" si="111"/>
        <v>72</v>
      </c>
      <c r="BU79" s="51">
        <f t="shared" si="269"/>
        <v>80</v>
      </c>
      <c r="BV79" s="103">
        <f t="shared" si="326"/>
        <v>68</v>
      </c>
      <c r="BW79" s="62">
        <f t="shared" si="308"/>
        <v>12</v>
      </c>
      <c r="BY79" s="120">
        <f t="shared" si="327"/>
        <v>20</v>
      </c>
      <c r="BZ79" s="7">
        <f t="shared" si="328"/>
        <v>10</v>
      </c>
      <c r="CA79" s="133"/>
      <c r="CB79" s="14">
        <f t="shared" si="295"/>
        <v>51290</v>
      </c>
      <c r="CC79" s="59">
        <f t="shared" si="313"/>
        <v>51286</v>
      </c>
      <c r="CD79" s="405"/>
      <c r="CE79" s="406">
        <v>4</v>
      </c>
      <c r="CF79" s="406"/>
      <c r="CG79" s="14">
        <f t="shared" si="314"/>
        <v>4</v>
      </c>
      <c r="CH79" s="14">
        <f t="shared" si="309"/>
        <v>794</v>
      </c>
      <c r="CI79" s="14">
        <f t="shared" si="270"/>
        <v>0.16</v>
      </c>
      <c r="CJ79" s="47">
        <f t="shared" si="303"/>
        <v>7.7987911873659582E-2</v>
      </c>
      <c r="CK79" s="35">
        <f t="shared" si="271"/>
        <v>3.2000000000000006</v>
      </c>
      <c r="CL79" s="156">
        <f t="shared" si="206"/>
        <v>1.5281279470351623</v>
      </c>
      <c r="CM79" s="134">
        <v>1980</v>
      </c>
      <c r="CN79" s="14">
        <f t="shared" si="272"/>
        <v>52</v>
      </c>
      <c r="CO79" s="442">
        <f t="shared" si="187"/>
        <v>38.604016377461491</v>
      </c>
      <c r="CP79" s="68">
        <f t="shared" si="296"/>
        <v>2427.3801009621775</v>
      </c>
      <c r="CQ79" s="51">
        <f t="shared" si="273"/>
        <v>802</v>
      </c>
      <c r="CR79" s="103">
        <f t="shared" si="329"/>
        <v>800</v>
      </c>
      <c r="CS79" s="46">
        <f t="shared" si="112"/>
        <v>2</v>
      </c>
      <c r="CT79" s="12">
        <f t="shared" si="274"/>
        <v>80</v>
      </c>
      <c r="CU79" s="103">
        <f t="shared" si="330"/>
        <v>56</v>
      </c>
      <c r="CV79" s="62">
        <f t="shared" si="299"/>
        <v>24</v>
      </c>
    </row>
    <row r="80" spans="1:100" ht="17.25" thickBot="1" x14ac:dyDescent="0.3">
      <c r="B80" s="120">
        <f t="shared" si="315"/>
        <v>21</v>
      </c>
      <c r="C80" s="7">
        <f t="shared" si="316"/>
        <v>10</v>
      </c>
      <c r="D80" s="133"/>
      <c r="E80" s="48">
        <f t="shared" si="204"/>
        <v>0</v>
      </c>
      <c r="F80" s="49">
        <f t="shared" si="205"/>
        <v>0</v>
      </c>
      <c r="G80" s="142"/>
      <c r="H80" s="135"/>
      <c r="I80" s="135"/>
      <c r="J80" s="14">
        <f t="shared" si="310"/>
        <v>0</v>
      </c>
      <c r="K80" s="14">
        <f t="shared" si="305"/>
        <v>9358</v>
      </c>
      <c r="L80" s="14">
        <f t="shared" si="255"/>
        <v>0.16</v>
      </c>
      <c r="M80" s="47">
        <f t="shared" si="277"/>
        <v>0</v>
      </c>
      <c r="N80" s="35">
        <f t="shared" si="256"/>
        <v>3.2000000000000006</v>
      </c>
      <c r="O80" s="157">
        <f t="shared" si="300"/>
        <v>0</v>
      </c>
      <c r="P80" s="134"/>
      <c r="Q80" s="14">
        <f t="shared" si="257"/>
        <v>52</v>
      </c>
      <c r="R80" s="442">
        <f t="shared" si="278"/>
        <v>0</v>
      </c>
      <c r="S80" s="470">
        <f t="shared" si="306"/>
        <v>0</v>
      </c>
      <c r="T80" s="51">
        <f t="shared" si="258"/>
        <v>802</v>
      </c>
      <c r="U80" s="103">
        <f t="shared" si="317"/>
        <v>0</v>
      </c>
      <c r="V80" s="46">
        <f t="shared" si="280"/>
        <v>802</v>
      </c>
      <c r="W80" s="12">
        <f t="shared" si="259"/>
        <v>80</v>
      </c>
      <c r="X80" s="103">
        <f t="shared" si="318"/>
        <v>0</v>
      </c>
      <c r="Y80" s="46">
        <f t="shared" si="282"/>
        <v>80</v>
      </c>
      <c r="Z80" s="487"/>
      <c r="AA80" s="120">
        <f t="shared" si="319"/>
        <v>21</v>
      </c>
      <c r="AB80" s="7">
        <f t="shared" si="320"/>
        <v>10</v>
      </c>
      <c r="AC80" s="133"/>
      <c r="AD80" s="48">
        <f t="shared" si="132"/>
        <v>60092</v>
      </c>
      <c r="AE80" s="49">
        <f t="shared" si="224"/>
        <v>60089</v>
      </c>
      <c r="AF80" s="134"/>
      <c r="AG80" s="135">
        <v>3</v>
      </c>
      <c r="AH80" s="135"/>
      <c r="AI80" s="14">
        <f t="shared" si="311"/>
        <v>3</v>
      </c>
      <c r="AJ80" s="14">
        <f t="shared" si="130"/>
        <v>718</v>
      </c>
      <c r="AK80" s="14">
        <f t="shared" si="260"/>
        <v>0.16</v>
      </c>
      <c r="AL80" s="47">
        <f t="shared" si="285"/>
        <v>4.9923450708913002E-3</v>
      </c>
      <c r="AM80" s="35">
        <f t="shared" si="261"/>
        <v>3.2000000000000006</v>
      </c>
      <c r="AN80" s="156">
        <f t="shared" si="207"/>
        <v>1.1884662495448075</v>
      </c>
      <c r="AO80" s="134">
        <v>6138</v>
      </c>
      <c r="AP80" s="14">
        <f t="shared" si="262"/>
        <v>52</v>
      </c>
      <c r="AQ80" s="442">
        <f t="shared" si="286"/>
        <v>102.143380150436</v>
      </c>
      <c r="AR80" s="470">
        <f t="shared" si="133"/>
        <v>1543.8905109996281</v>
      </c>
      <c r="AS80" s="51">
        <f t="shared" si="263"/>
        <v>802</v>
      </c>
      <c r="AT80" s="103">
        <f t="shared" si="321"/>
        <v>785</v>
      </c>
      <c r="AU80" s="46">
        <f t="shared" si="110"/>
        <v>17</v>
      </c>
      <c r="AV80" s="12">
        <f t="shared" si="264"/>
        <v>80</v>
      </c>
      <c r="AW80" s="103">
        <f t="shared" si="322"/>
        <v>87</v>
      </c>
      <c r="AX80" s="46">
        <f t="shared" si="307"/>
        <v>-7</v>
      </c>
      <c r="AZ80" s="120">
        <f t="shared" si="323"/>
        <v>21</v>
      </c>
      <c r="BA80" s="7">
        <f t="shared" si="324"/>
        <v>10</v>
      </c>
      <c r="BB80" s="133"/>
      <c r="BC80" s="48">
        <f t="shared" si="225"/>
        <v>67746</v>
      </c>
      <c r="BD80" s="49">
        <f t="shared" si="226"/>
        <v>67721</v>
      </c>
      <c r="BE80" s="134"/>
      <c r="BF80" s="135">
        <v>25</v>
      </c>
      <c r="BG80" s="135"/>
      <c r="BH80" s="14">
        <f t="shared" si="312"/>
        <v>25</v>
      </c>
      <c r="BI80" s="14">
        <f t="shared" si="123"/>
        <v>1397</v>
      </c>
      <c r="BJ80" s="14">
        <f t="shared" si="265"/>
        <v>0.16</v>
      </c>
      <c r="BK80" s="47">
        <f t="shared" si="301"/>
        <v>3.6902547751896789E-2</v>
      </c>
      <c r="BL80" s="35">
        <f t="shared" si="266"/>
        <v>3.2000000000000006</v>
      </c>
      <c r="BM80" s="435">
        <f t="shared" si="160"/>
        <v>2.0227029218428751</v>
      </c>
      <c r="BN80" s="134">
        <v>2070</v>
      </c>
      <c r="BO80" s="14">
        <f t="shared" si="267"/>
        <v>52</v>
      </c>
      <c r="BP80" s="442">
        <f t="shared" si="302"/>
        <v>30.55530953857054</v>
      </c>
      <c r="BQ80" s="68">
        <f t="shared" si="304"/>
        <v>2243.0615600290198</v>
      </c>
      <c r="BR80" s="51">
        <f t="shared" si="268"/>
        <v>802</v>
      </c>
      <c r="BS80" s="103">
        <f t="shared" si="325"/>
        <v>730</v>
      </c>
      <c r="BT80" s="46">
        <f t="shared" si="111"/>
        <v>72</v>
      </c>
      <c r="BU80" s="12">
        <f t="shared" si="269"/>
        <v>80</v>
      </c>
      <c r="BV80" s="103">
        <f t="shared" si="326"/>
        <v>68</v>
      </c>
      <c r="BW80" s="46">
        <f t="shared" si="308"/>
        <v>12</v>
      </c>
      <c r="BY80" s="120">
        <f t="shared" si="327"/>
        <v>21</v>
      </c>
      <c r="BZ80" s="7">
        <f t="shared" si="328"/>
        <v>10</v>
      </c>
      <c r="CA80" s="133"/>
      <c r="CB80" s="14">
        <f t="shared" si="295"/>
        <v>51286</v>
      </c>
      <c r="CC80" s="46">
        <f t="shared" si="313"/>
        <v>51275</v>
      </c>
      <c r="CD80" s="405"/>
      <c r="CE80" s="406">
        <v>11</v>
      </c>
      <c r="CF80" s="406"/>
      <c r="CG80" s="14">
        <f t="shared" si="314"/>
        <v>11</v>
      </c>
      <c r="CH80" s="14">
        <f t="shared" si="309"/>
        <v>805</v>
      </c>
      <c r="CI80" s="14">
        <f t="shared" si="270"/>
        <v>0.16</v>
      </c>
      <c r="CJ80" s="47">
        <f t="shared" si="303"/>
        <v>0.21448348477167259</v>
      </c>
      <c r="CK80" s="35">
        <f t="shared" si="271"/>
        <v>3.2000000000000006</v>
      </c>
      <c r="CL80" s="156">
        <f t="shared" si="206"/>
        <v>1.5492984853442138</v>
      </c>
      <c r="CM80" s="134">
        <v>1620</v>
      </c>
      <c r="CN80" s="14">
        <f t="shared" si="272"/>
        <v>52</v>
      </c>
      <c r="CO80" s="442">
        <f t="shared" si="187"/>
        <v>31.587567757282692</v>
      </c>
      <c r="CP80" s="68">
        <f t="shared" si="296"/>
        <v>2458.9676687194601</v>
      </c>
      <c r="CQ80" s="51">
        <f t="shared" si="273"/>
        <v>802</v>
      </c>
      <c r="CR80" s="103">
        <f t="shared" si="329"/>
        <v>800</v>
      </c>
      <c r="CS80" s="46">
        <f t="shared" si="112"/>
        <v>2</v>
      </c>
      <c r="CT80" s="50">
        <f t="shared" si="274"/>
        <v>80</v>
      </c>
      <c r="CU80" s="103">
        <f t="shared" si="330"/>
        <v>56</v>
      </c>
      <c r="CV80" s="46">
        <f t="shared" si="299"/>
        <v>24</v>
      </c>
    </row>
    <row r="81" spans="1:100" ht="17.25" thickBot="1" x14ac:dyDescent="0.3">
      <c r="B81" s="120">
        <f t="shared" si="315"/>
        <v>22</v>
      </c>
      <c r="C81" s="7">
        <f t="shared" si="316"/>
        <v>10</v>
      </c>
      <c r="D81" s="133"/>
      <c r="E81" s="48">
        <f t="shared" si="204"/>
        <v>0</v>
      </c>
      <c r="F81" s="49">
        <f t="shared" si="205"/>
        <v>0</v>
      </c>
      <c r="G81" s="142"/>
      <c r="H81" s="135"/>
      <c r="I81" s="135"/>
      <c r="J81" s="14">
        <f t="shared" si="310"/>
        <v>0</v>
      </c>
      <c r="K81" s="14">
        <f t="shared" si="305"/>
        <v>9358</v>
      </c>
      <c r="L81" s="14">
        <f t="shared" si="255"/>
        <v>0.16</v>
      </c>
      <c r="M81" s="47">
        <f t="shared" si="277"/>
        <v>0</v>
      </c>
      <c r="N81" s="35">
        <f t="shared" si="256"/>
        <v>3.2000000000000006</v>
      </c>
      <c r="O81" s="157">
        <f t="shared" si="300"/>
        <v>0</v>
      </c>
      <c r="P81" s="134"/>
      <c r="Q81" s="14">
        <f t="shared" si="257"/>
        <v>52</v>
      </c>
      <c r="R81" s="442">
        <f t="shared" si="278"/>
        <v>0</v>
      </c>
      <c r="S81" s="470">
        <f t="shared" si="306"/>
        <v>0</v>
      </c>
      <c r="T81" s="51">
        <f t="shared" si="258"/>
        <v>802</v>
      </c>
      <c r="U81" s="103">
        <f t="shared" si="317"/>
        <v>0</v>
      </c>
      <c r="V81" s="46">
        <f t="shared" si="280"/>
        <v>802</v>
      </c>
      <c r="W81" s="50">
        <f t="shared" si="259"/>
        <v>80</v>
      </c>
      <c r="X81" s="103">
        <f t="shared" si="318"/>
        <v>0</v>
      </c>
      <c r="Y81" s="46">
        <f t="shared" si="282"/>
        <v>80</v>
      </c>
      <c r="Z81" s="487"/>
      <c r="AA81" s="120">
        <f t="shared" si="319"/>
        <v>22</v>
      </c>
      <c r="AB81" s="7">
        <f t="shared" si="320"/>
        <v>10</v>
      </c>
      <c r="AC81" s="133"/>
      <c r="AD81" s="48">
        <f t="shared" si="132"/>
        <v>60089</v>
      </c>
      <c r="AE81" s="447">
        <f t="shared" si="224"/>
        <v>60086</v>
      </c>
      <c r="AF81" s="134"/>
      <c r="AG81" s="135">
        <v>3</v>
      </c>
      <c r="AH81" s="135"/>
      <c r="AI81" s="14">
        <f t="shared" si="311"/>
        <v>3</v>
      </c>
      <c r="AJ81" s="14">
        <f t="shared" si="130"/>
        <v>721</v>
      </c>
      <c r="AK81" s="14">
        <f t="shared" si="260"/>
        <v>0.16</v>
      </c>
      <c r="AL81" s="47">
        <f t="shared" si="285"/>
        <v>4.9925943184276657E-3</v>
      </c>
      <c r="AM81" s="35">
        <f t="shared" si="261"/>
        <v>3.2000000000000006</v>
      </c>
      <c r="AN81" s="156">
        <f t="shared" si="207"/>
        <v>1.1934319859635183</v>
      </c>
      <c r="AO81" s="134">
        <v>1935</v>
      </c>
      <c r="AP81" s="14">
        <f t="shared" si="262"/>
        <v>52</v>
      </c>
      <c r="AQ81" s="442">
        <f t="shared" si="286"/>
        <v>32.202233353858446</v>
      </c>
      <c r="AR81" s="470">
        <f t="shared" si="133"/>
        <v>1576.0927443534865</v>
      </c>
      <c r="AS81" s="51">
        <f t="shared" si="263"/>
        <v>802</v>
      </c>
      <c r="AT81" s="103">
        <f t="shared" si="321"/>
        <v>785</v>
      </c>
      <c r="AU81" s="46">
        <f t="shared" si="110"/>
        <v>17</v>
      </c>
      <c r="AV81" s="50">
        <f t="shared" si="264"/>
        <v>80</v>
      </c>
      <c r="AW81" s="103">
        <f t="shared" si="322"/>
        <v>87</v>
      </c>
      <c r="AX81" s="46">
        <f t="shared" si="307"/>
        <v>-7</v>
      </c>
      <c r="AZ81" s="120">
        <f t="shared" si="323"/>
        <v>22</v>
      </c>
      <c r="BA81" s="7">
        <f t="shared" si="324"/>
        <v>10</v>
      </c>
      <c r="BB81" s="133"/>
      <c r="BC81" s="48">
        <f t="shared" si="225"/>
        <v>67721</v>
      </c>
      <c r="BD81" s="447">
        <f t="shared" si="226"/>
        <v>67715</v>
      </c>
      <c r="BE81" s="134"/>
      <c r="BF81" s="135">
        <v>6</v>
      </c>
      <c r="BG81" s="135"/>
      <c r="BH81" s="14">
        <f t="shared" si="312"/>
        <v>6</v>
      </c>
      <c r="BI81" s="14">
        <f t="shared" si="123"/>
        <v>1403</v>
      </c>
      <c r="BJ81" s="14">
        <f t="shared" si="265"/>
        <v>0.16</v>
      </c>
      <c r="BK81" s="47">
        <f t="shared" si="301"/>
        <v>8.8598809822654709E-3</v>
      </c>
      <c r="BL81" s="35">
        <f t="shared" si="266"/>
        <v>3.2000000000000006</v>
      </c>
      <c r="BM81" s="435">
        <f t="shared" si="160"/>
        <v>2.0313902643847914</v>
      </c>
      <c r="BN81" s="134">
        <v>3123</v>
      </c>
      <c r="BO81" s="14">
        <f t="shared" si="267"/>
        <v>52</v>
      </c>
      <c r="BP81" s="442">
        <f t="shared" si="302"/>
        <v>46.115680512691775</v>
      </c>
      <c r="BQ81" s="68">
        <f t="shared" si="304"/>
        <v>2289.1772405417114</v>
      </c>
      <c r="BR81" s="51">
        <f t="shared" si="268"/>
        <v>802</v>
      </c>
      <c r="BS81" s="103">
        <f t="shared" si="325"/>
        <v>730</v>
      </c>
      <c r="BT81" s="46">
        <f t="shared" si="111"/>
        <v>72</v>
      </c>
      <c r="BU81" s="50">
        <f t="shared" si="269"/>
        <v>80</v>
      </c>
      <c r="BV81" s="103">
        <f t="shared" si="326"/>
        <v>68</v>
      </c>
      <c r="BW81" s="46">
        <f t="shared" si="308"/>
        <v>12</v>
      </c>
      <c r="BY81" s="120">
        <f t="shared" si="327"/>
        <v>22</v>
      </c>
      <c r="BZ81" s="7">
        <f t="shared" si="328"/>
        <v>10</v>
      </c>
      <c r="CA81" s="133"/>
      <c r="CB81" s="14">
        <f t="shared" si="295"/>
        <v>51275</v>
      </c>
      <c r="CC81" s="62">
        <f t="shared" si="313"/>
        <v>51267</v>
      </c>
      <c r="CD81" s="405"/>
      <c r="CE81" s="406">
        <v>8</v>
      </c>
      <c r="CF81" s="406"/>
      <c r="CG81" s="14">
        <f t="shared" si="314"/>
        <v>8</v>
      </c>
      <c r="CH81" s="14">
        <f t="shared" si="309"/>
        <v>813</v>
      </c>
      <c r="CI81" s="14">
        <f t="shared" si="270"/>
        <v>0.16</v>
      </c>
      <c r="CJ81" s="47">
        <f t="shared" si="303"/>
        <v>0.15602145294978059</v>
      </c>
      <c r="CK81" s="35">
        <f t="shared" si="271"/>
        <v>3.2000000000000006</v>
      </c>
      <c r="CL81" s="156">
        <f t="shared" si="206"/>
        <v>1.5646952404780692</v>
      </c>
      <c r="CM81" s="134">
        <v>1800</v>
      </c>
      <c r="CN81" s="14">
        <f t="shared" si="272"/>
        <v>52</v>
      </c>
      <c r="CO81" s="442">
        <f t="shared" si="187"/>
        <v>35.104826913700634</v>
      </c>
      <c r="CP81" s="68">
        <f t="shared" si="296"/>
        <v>2494.0724956331605</v>
      </c>
      <c r="CQ81" s="51">
        <f t="shared" si="273"/>
        <v>802</v>
      </c>
      <c r="CR81" s="103">
        <f t="shared" si="329"/>
        <v>800</v>
      </c>
      <c r="CS81" s="46">
        <f t="shared" si="112"/>
        <v>2</v>
      </c>
      <c r="CT81" s="50">
        <f t="shared" si="274"/>
        <v>80</v>
      </c>
      <c r="CU81" s="103">
        <f t="shared" si="330"/>
        <v>56</v>
      </c>
      <c r="CV81" s="46">
        <f t="shared" si="299"/>
        <v>24</v>
      </c>
    </row>
    <row r="82" spans="1:100" ht="17.25" thickBot="1" x14ac:dyDescent="0.3">
      <c r="B82" s="120">
        <f t="shared" si="315"/>
        <v>23</v>
      </c>
      <c r="C82" s="8">
        <f t="shared" si="316"/>
        <v>10</v>
      </c>
      <c r="D82" s="136"/>
      <c r="E82" s="54">
        <f t="shared" si="204"/>
        <v>0</v>
      </c>
      <c r="F82" s="55">
        <f t="shared" si="205"/>
        <v>0</v>
      </c>
      <c r="G82" s="139"/>
      <c r="H82" s="138"/>
      <c r="I82" s="138"/>
      <c r="J82" s="34">
        <f t="shared" si="310"/>
        <v>0</v>
      </c>
      <c r="K82" s="34">
        <f t="shared" si="305"/>
        <v>9358</v>
      </c>
      <c r="L82" s="17">
        <f t="shared" si="255"/>
        <v>0.16</v>
      </c>
      <c r="M82" s="166">
        <f t="shared" si="277"/>
        <v>0</v>
      </c>
      <c r="N82" s="33">
        <f t="shared" si="256"/>
        <v>3.2000000000000006</v>
      </c>
      <c r="O82" s="156">
        <f t="shared" si="300"/>
        <v>0</v>
      </c>
      <c r="P82" s="137"/>
      <c r="Q82" s="13">
        <f t="shared" si="257"/>
        <v>52</v>
      </c>
      <c r="R82" s="479">
        <f t="shared" si="278"/>
        <v>0</v>
      </c>
      <c r="S82" s="471">
        <f t="shared" si="306"/>
        <v>0</v>
      </c>
      <c r="T82" s="56">
        <f t="shared" si="258"/>
        <v>802</v>
      </c>
      <c r="U82" s="103">
        <f t="shared" si="317"/>
        <v>0</v>
      </c>
      <c r="V82" s="63">
        <f t="shared" si="280"/>
        <v>802</v>
      </c>
      <c r="W82" s="56">
        <f t="shared" si="259"/>
        <v>80</v>
      </c>
      <c r="X82" s="103">
        <f t="shared" si="318"/>
        <v>0</v>
      </c>
      <c r="Y82" s="63">
        <f t="shared" si="282"/>
        <v>80</v>
      </c>
      <c r="Z82" s="487"/>
      <c r="AA82" s="120">
        <f t="shared" si="319"/>
        <v>23</v>
      </c>
      <c r="AB82" s="8">
        <f t="shared" si="320"/>
        <v>10</v>
      </c>
      <c r="AC82" s="136"/>
      <c r="AD82" s="54">
        <f t="shared" si="132"/>
        <v>60086</v>
      </c>
      <c r="AE82" s="55">
        <f t="shared" si="224"/>
        <v>60078</v>
      </c>
      <c r="AF82" s="137"/>
      <c r="AG82" s="138">
        <v>8</v>
      </c>
      <c r="AH82" s="138"/>
      <c r="AI82" s="34">
        <f t="shared" si="311"/>
        <v>8</v>
      </c>
      <c r="AJ82" s="34">
        <f t="shared" si="130"/>
        <v>729</v>
      </c>
      <c r="AK82" s="17">
        <f t="shared" si="260"/>
        <v>0.16</v>
      </c>
      <c r="AL82" s="166">
        <f t="shared" si="285"/>
        <v>1.3314249575608296E-2</v>
      </c>
      <c r="AM82" s="33">
        <f t="shared" si="261"/>
        <v>3.2000000000000006</v>
      </c>
      <c r="AN82" s="156">
        <f t="shared" si="207"/>
        <v>1.2066739497467474</v>
      </c>
      <c r="AO82" s="137">
        <v>3276</v>
      </c>
      <c r="AP82" s="13">
        <f t="shared" si="262"/>
        <v>52</v>
      </c>
      <c r="AQ82" s="479">
        <f t="shared" si="286"/>
        <v>54.521852012115971</v>
      </c>
      <c r="AR82" s="471">
        <f t="shared" si="133"/>
        <v>1630.6145963656024</v>
      </c>
      <c r="AS82" s="56">
        <f t="shared" si="263"/>
        <v>802</v>
      </c>
      <c r="AT82" s="103">
        <f t="shared" si="321"/>
        <v>785</v>
      </c>
      <c r="AU82" s="63">
        <f t="shared" si="110"/>
        <v>17</v>
      </c>
      <c r="AV82" s="56">
        <f t="shared" si="264"/>
        <v>80</v>
      </c>
      <c r="AW82" s="103">
        <f t="shared" si="322"/>
        <v>87</v>
      </c>
      <c r="AX82" s="63">
        <f t="shared" si="307"/>
        <v>-7</v>
      </c>
      <c r="AZ82" s="120">
        <f t="shared" si="323"/>
        <v>23</v>
      </c>
      <c r="BA82" s="8">
        <f t="shared" si="324"/>
        <v>10</v>
      </c>
      <c r="BB82" s="136"/>
      <c r="BC82" s="54">
        <f t="shared" si="225"/>
        <v>67715</v>
      </c>
      <c r="BD82" s="55">
        <f t="shared" si="226"/>
        <v>67713</v>
      </c>
      <c r="BE82" s="137"/>
      <c r="BF82" s="138">
        <v>2</v>
      </c>
      <c r="BG82" s="138"/>
      <c r="BH82" s="34">
        <f t="shared" si="312"/>
        <v>2</v>
      </c>
      <c r="BI82" s="34">
        <f t="shared" si="123"/>
        <v>1405</v>
      </c>
      <c r="BJ82" s="17">
        <f t="shared" si="265"/>
        <v>0.16</v>
      </c>
      <c r="BK82" s="96">
        <f t="shared" si="301"/>
        <v>2.9535553422432251E-3</v>
      </c>
      <c r="BL82" s="33">
        <f t="shared" si="266"/>
        <v>3.2000000000000006</v>
      </c>
      <c r="BM82" s="435">
        <f t="shared" si="160"/>
        <v>2.034286045232097</v>
      </c>
      <c r="BN82" s="137">
        <v>0</v>
      </c>
      <c r="BO82" s="13">
        <f t="shared" si="267"/>
        <v>52</v>
      </c>
      <c r="BP82" s="443">
        <f t="shared" si="302"/>
        <v>0</v>
      </c>
      <c r="BQ82" s="70">
        <f t="shared" si="304"/>
        <v>2289.1772405417114</v>
      </c>
      <c r="BR82" s="56">
        <f t="shared" si="268"/>
        <v>802</v>
      </c>
      <c r="BS82" s="103">
        <f t="shared" si="325"/>
        <v>730</v>
      </c>
      <c r="BT82" s="63">
        <f t="shared" si="111"/>
        <v>72</v>
      </c>
      <c r="BU82" s="56">
        <f t="shared" si="269"/>
        <v>80</v>
      </c>
      <c r="BV82" s="103">
        <f t="shared" si="326"/>
        <v>68</v>
      </c>
      <c r="BW82" s="63">
        <f t="shared" si="308"/>
        <v>12</v>
      </c>
      <c r="BY82" s="197">
        <f>BY81+1</f>
        <v>23</v>
      </c>
      <c r="BZ82" s="8">
        <f t="shared" si="328"/>
        <v>10</v>
      </c>
      <c r="CA82" s="136"/>
      <c r="CB82" s="32">
        <f t="shared" si="295"/>
        <v>51267</v>
      </c>
      <c r="CC82" s="53">
        <f t="shared" si="313"/>
        <v>51255</v>
      </c>
      <c r="CD82" s="421"/>
      <c r="CE82" s="426">
        <v>12</v>
      </c>
      <c r="CF82" s="426"/>
      <c r="CG82" s="34">
        <f t="shared" si="314"/>
        <v>12</v>
      </c>
      <c r="CH82" s="34">
        <f t="shared" si="309"/>
        <v>825</v>
      </c>
      <c r="CI82" s="17">
        <f t="shared" si="270"/>
        <v>0.16</v>
      </c>
      <c r="CJ82" s="166">
        <f t="shared" si="303"/>
        <v>0.23406869916320441</v>
      </c>
      <c r="CK82" s="33">
        <f t="shared" si="271"/>
        <v>3.2000000000000006</v>
      </c>
      <c r="CL82" s="156">
        <f t="shared" si="206"/>
        <v>1.5877903731788525</v>
      </c>
      <c r="CM82" s="137">
        <v>2160</v>
      </c>
      <c r="CN82" s="13">
        <f t="shared" si="272"/>
        <v>52</v>
      </c>
      <c r="CO82" s="443">
        <f t="shared" si="187"/>
        <v>42.132365849376789</v>
      </c>
      <c r="CP82" s="70">
        <f>CP81+CO82</f>
        <v>2536.2048614825371</v>
      </c>
      <c r="CQ82" s="50">
        <f t="shared" si="273"/>
        <v>802</v>
      </c>
      <c r="CR82" s="103">
        <f t="shared" si="329"/>
        <v>800</v>
      </c>
      <c r="CS82" s="63">
        <f t="shared" si="112"/>
        <v>2</v>
      </c>
      <c r="CT82" s="56">
        <f t="shared" si="274"/>
        <v>80</v>
      </c>
      <c r="CU82" s="103">
        <f t="shared" si="330"/>
        <v>56</v>
      </c>
      <c r="CV82" s="63">
        <f t="shared" si="299"/>
        <v>24</v>
      </c>
    </row>
    <row r="83" spans="1:100" ht="17.25" thickBot="1" x14ac:dyDescent="0.3">
      <c r="B83" s="118">
        <v>24</v>
      </c>
      <c r="C83" s="9">
        <v>11</v>
      </c>
      <c r="D83" s="129"/>
      <c r="E83" s="43">
        <f t="shared" si="204"/>
        <v>0</v>
      </c>
      <c r="F83" s="44">
        <f t="shared" si="205"/>
        <v>0</v>
      </c>
      <c r="G83" s="158"/>
      <c r="H83" s="131"/>
      <c r="I83" s="131"/>
      <c r="J83" s="11">
        <f t="shared" si="310"/>
        <v>0</v>
      </c>
      <c r="K83" s="11">
        <f t="shared" si="305"/>
        <v>9358</v>
      </c>
      <c r="L83" s="16">
        <f t="shared" si="255"/>
        <v>0.16</v>
      </c>
      <c r="M83" s="42">
        <f t="shared" si="277"/>
        <v>0</v>
      </c>
      <c r="N83" s="154">
        <f t="shared" si="256"/>
        <v>3.3600000000000008</v>
      </c>
      <c r="O83" s="155">
        <f t="shared" si="300"/>
        <v>0</v>
      </c>
      <c r="P83" s="130"/>
      <c r="Q83" s="11">
        <f t="shared" si="257"/>
        <v>55</v>
      </c>
      <c r="R83" s="441">
        <f t="shared" si="278"/>
        <v>0</v>
      </c>
      <c r="S83" s="469">
        <f t="shared" si="306"/>
        <v>0</v>
      </c>
      <c r="T83" s="61">
        <f t="shared" si="258"/>
        <v>880</v>
      </c>
      <c r="U83" s="131"/>
      <c r="V83" s="41">
        <f t="shared" si="280"/>
        <v>880</v>
      </c>
      <c r="W83" s="18">
        <f t="shared" si="259"/>
        <v>80</v>
      </c>
      <c r="X83" s="131"/>
      <c r="Y83" s="41">
        <f t="shared" si="282"/>
        <v>80</v>
      </c>
      <c r="Z83" s="487"/>
      <c r="AA83" s="118">
        <v>24</v>
      </c>
      <c r="AB83" s="9">
        <v>11</v>
      </c>
      <c r="AC83" s="129"/>
      <c r="AD83" s="60">
        <f t="shared" si="132"/>
        <v>60078</v>
      </c>
      <c r="AE83" s="449">
        <f t="shared" si="224"/>
        <v>60072</v>
      </c>
      <c r="AF83" s="130"/>
      <c r="AG83" s="131">
        <v>6</v>
      </c>
      <c r="AH83" s="131"/>
      <c r="AI83" s="11">
        <f t="shared" si="311"/>
        <v>6</v>
      </c>
      <c r="AJ83" s="11">
        <f t="shared" si="130"/>
        <v>735</v>
      </c>
      <c r="AK83" s="16">
        <f t="shared" si="260"/>
        <v>0.16</v>
      </c>
      <c r="AL83" s="42">
        <f t="shared" si="285"/>
        <v>9.9870168780585231E-3</v>
      </c>
      <c r="AM83" s="154">
        <f t="shared" si="261"/>
        <v>3.3600000000000008</v>
      </c>
      <c r="AN83" s="156">
        <f t="shared" si="207"/>
        <v>1.2166054225841691</v>
      </c>
      <c r="AO83" s="130">
        <v>1935</v>
      </c>
      <c r="AP83" s="11">
        <f t="shared" si="262"/>
        <v>55</v>
      </c>
      <c r="AQ83" s="441">
        <f t="shared" si="286"/>
        <v>32.20812943173874</v>
      </c>
      <c r="AR83" s="469">
        <f t="shared" si="133"/>
        <v>1662.8227257973413</v>
      </c>
      <c r="AS83" s="61">
        <f t="shared" si="263"/>
        <v>880</v>
      </c>
      <c r="AT83" s="131">
        <v>867</v>
      </c>
      <c r="AU83" s="41">
        <f t="shared" si="110"/>
        <v>13</v>
      </c>
      <c r="AV83" s="18">
        <f t="shared" si="264"/>
        <v>80</v>
      </c>
      <c r="AW83" s="131">
        <v>86</v>
      </c>
      <c r="AX83" s="41">
        <f t="shared" si="307"/>
        <v>-6</v>
      </c>
      <c r="AZ83" s="118">
        <v>24</v>
      </c>
      <c r="BA83" s="9">
        <v>11</v>
      </c>
      <c r="BB83" s="129"/>
      <c r="BC83" s="43">
        <f t="shared" si="225"/>
        <v>67713</v>
      </c>
      <c r="BD83" s="449">
        <f t="shared" si="226"/>
        <v>67704</v>
      </c>
      <c r="BE83" s="130"/>
      <c r="BF83" s="131">
        <v>9</v>
      </c>
      <c r="BG83" s="131"/>
      <c r="BH83" s="11">
        <f t="shared" si="312"/>
        <v>9</v>
      </c>
      <c r="BI83" s="11">
        <f t="shared" si="123"/>
        <v>1414</v>
      </c>
      <c r="BJ83" s="16">
        <f t="shared" si="265"/>
        <v>0.16</v>
      </c>
      <c r="BK83" s="235">
        <f t="shared" si="301"/>
        <v>1.3291391608701431E-2</v>
      </c>
      <c r="BL83" s="154">
        <f t="shared" si="266"/>
        <v>3.3600000000000008</v>
      </c>
      <c r="BM83" s="435">
        <f t="shared" si="160"/>
        <v>2.0473170590449716</v>
      </c>
      <c r="BN83" s="130">
        <v>8118</v>
      </c>
      <c r="BO83" s="11">
        <f t="shared" si="267"/>
        <v>55</v>
      </c>
      <c r="BP83" s="479">
        <f t="shared" si="302"/>
        <v>119.88835231048691</v>
      </c>
      <c r="BQ83" s="377">
        <f t="shared" si="304"/>
        <v>2409.0655928521983</v>
      </c>
      <c r="BR83" s="61">
        <f t="shared" si="268"/>
        <v>880</v>
      </c>
      <c r="BS83" s="131">
        <v>878</v>
      </c>
      <c r="BT83" s="41">
        <f t="shared" si="111"/>
        <v>2</v>
      </c>
      <c r="BU83" s="18">
        <f t="shared" si="269"/>
        <v>80</v>
      </c>
      <c r="BV83" s="131">
        <v>90</v>
      </c>
      <c r="BW83" s="41">
        <f t="shared" si="308"/>
        <v>-10</v>
      </c>
      <c r="BY83" s="118">
        <v>24</v>
      </c>
      <c r="BZ83" s="9">
        <v>11</v>
      </c>
      <c r="CA83" s="129"/>
      <c r="CB83" s="11">
        <f t="shared" si="295"/>
        <v>51255</v>
      </c>
      <c r="CC83" s="57">
        <f t="shared" si="313"/>
        <v>51243</v>
      </c>
      <c r="CD83" s="398"/>
      <c r="CE83" s="399">
        <v>12</v>
      </c>
      <c r="CF83" s="399"/>
      <c r="CG83" s="11">
        <f t="shared" si="314"/>
        <v>12</v>
      </c>
      <c r="CH83" s="11">
        <f t="shared" si="309"/>
        <v>837</v>
      </c>
      <c r="CI83" s="16">
        <f t="shared" si="270"/>
        <v>0.16</v>
      </c>
      <c r="CJ83" s="231">
        <f t="shared" si="303"/>
        <v>0.23412350014632718</v>
      </c>
      <c r="CK83" s="154">
        <f t="shared" si="271"/>
        <v>3.3600000000000008</v>
      </c>
      <c r="CL83" s="156">
        <f t="shared" si="206"/>
        <v>1.6108855058796359</v>
      </c>
      <c r="CM83" s="130">
        <v>2700</v>
      </c>
      <c r="CN83" s="11">
        <f t="shared" si="272"/>
        <v>55</v>
      </c>
      <c r="CO83" s="479">
        <f t="shared" si="187"/>
        <v>52.677787532923617</v>
      </c>
      <c r="CP83" s="377">
        <f t="shared" si="296"/>
        <v>2588.8826490154606</v>
      </c>
      <c r="CQ83" s="58">
        <f t="shared" si="273"/>
        <v>880</v>
      </c>
      <c r="CR83" s="131">
        <v>878</v>
      </c>
      <c r="CS83" s="41">
        <f t="shared" si="112"/>
        <v>2</v>
      </c>
      <c r="CT83" s="58">
        <f t="shared" si="274"/>
        <v>80</v>
      </c>
      <c r="CU83" s="131">
        <v>79</v>
      </c>
      <c r="CV83" s="41">
        <f t="shared" si="299"/>
        <v>1</v>
      </c>
    </row>
    <row r="84" spans="1:100" ht="17.25" thickBot="1" x14ac:dyDescent="0.3">
      <c r="B84" s="120">
        <f>B83+1</f>
        <v>25</v>
      </c>
      <c r="C84" s="7">
        <f>C83</f>
        <v>11</v>
      </c>
      <c r="D84" s="133"/>
      <c r="E84" s="48">
        <f t="shared" si="204"/>
        <v>0</v>
      </c>
      <c r="F84" s="49">
        <f t="shared" si="205"/>
        <v>0</v>
      </c>
      <c r="G84" s="142"/>
      <c r="H84" s="135"/>
      <c r="I84" s="135"/>
      <c r="J84" s="14">
        <f t="shared" si="310"/>
        <v>0</v>
      </c>
      <c r="K84" s="14">
        <f t="shared" si="305"/>
        <v>9358</v>
      </c>
      <c r="L84" s="14">
        <f t="shared" si="255"/>
        <v>0.16</v>
      </c>
      <c r="M84" s="47">
        <f t="shared" si="277"/>
        <v>0</v>
      </c>
      <c r="N84" s="35">
        <f t="shared" si="256"/>
        <v>3.3600000000000008</v>
      </c>
      <c r="O84" s="157">
        <f t="shared" si="300"/>
        <v>0</v>
      </c>
      <c r="P84" s="134"/>
      <c r="Q84" s="14">
        <f t="shared" si="257"/>
        <v>55</v>
      </c>
      <c r="R84" s="480">
        <f t="shared" si="278"/>
        <v>0</v>
      </c>
      <c r="S84" s="470">
        <f t="shared" si="306"/>
        <v>0</v>
      </c>
      <c r="T84" s="51">
        <f t="shared" si="258"/>
        <v>880</v>
      </c>
      <c r="U84" s="103">
        <f>U83</f>
        <v>0</v>
      </c>
      <c r="V84" s="46">
        <f t="shared" si="280"/>
        <v>880</v>
      </c>
      <c r="W84" s="51">
        <f t="shared" si="259"/>
        <v>80</v>
      </c>
      <c r="X84" s="103">
        <f>X83</f>
        <v>0</v>
      </c>
      <c r="Y84" s="46">
        <f t="shared" si="282"/>
        <v>80</v>
      </c>
      <c r="Z84" s="487"/>
      <c r="AA84" s="120">
        <f>AA83+1</f>
        <v>25</v>
      </c>
      <c r="AB84" s="7">
        <f>AB83</f>
        <v>11</v>
      </c>
      <c r="AC84" s="133"/>
      <c r="AD84" s="48">
        <f t="shared" si="132"/>
        <v>60072</v>
      </c>
      <c r="AE84" s="49">
        <f t="shared" si="224"/>
        <v>60069</v>
      </c>
      <c r="AF84" s="134"/>
      <c r="AG84" s="135">
        <v>3</v>
      </c>
      <c r="AH84" s="135"/>
      <c r="AI84" s="14">
        <f t="shared" si="311"/>
        <v>3</v>
      </c>
      <c r="AJ84" s="14">
        <f t="shared" si="130"/>
        <v>738</v>
      </c>
      <c r="AK84" s="14">
        <f t="shared" si="260"/>
        <v>0.16</v>
      </c>
      <c r="AL84" s="47">
        <f t="shared" si="285"/>
        <v>4.9940071913703553E-3</v>
      </c>
      <c r="AM84" s="35">
        <f t="shared" si="261"/>
        <v>3.3600000000000008</v>
      </c>
      <c r="AN84" s="156">
        <f t="shared" si="207"/>
        <v>1.2215711590028802</v>
      </c>
      <c r="AO84" s="134">
        <v>1656</v>
      </c>
      <c r="AP84" s="14">
        <f t="shared" si="262"/>
        <v>55</v>
      </c>
      <c r="AQ84" s="480">
        <f t="shared" si="286"/>
        <v>27.566919696364366</v>
      </c>
      <c r="AR84" s="470">
        <f t="shared" si="133"/>
        <v>1690.3896454937055</v>
      </c>
      <c r="AS84" s="51">
        <f t="shared" si="263"/>
        <v>880</v>
      </c>
      <c r="AT84" s="103">
        <f>AT83</f>
        <v>867</v>
      </c>
      <c r="AU84" s="46">
        <f t="shared" ref="AU84:AU138" si="331">AS84-AT84</f>
        <v>13</v>
      </c>
      <c r="AV84" s="51">
        <f t="shared" si="264"/>
        <v>80</v>
      </c>
      <c r="AW84" s="103">
        <f>AW83</f>
        <v>86</v>
      </c>
      <c r="AX84" s="46">
        <f t="shared" si="307"/>
        <v>-6</v>
      </c>
      <c r="AZ84" s="120">
        <f>AZ83+1</f>
        <v>25</v>
      </c>
      <c r="BA84" s="7">
        <f>BA83</f>
        <v>11</v>
      </c>
      <c r="BB84" s="133"/>
      <c r="BC84" s="48">
        <f t="shared" si="225"/>
        <v>67704</v>
      </c>
      <c r="BD84" s="49">
        <f t="shared" si="226"/>
        <v>67698</v>
      </c>
      <c r="BE84" s="134"/>
      <c r="BF84" s="135">
        <v>6</v>
      </c>
      <c r="BG84" s="135"/>
      <c r="BH84" s="14">
        <f t="shared" si="312"/>
        <v>6</v>
      </c>
      <c r="BI84" s="14">
        <f t="shared" si="123"/>
        <v>1420</v>
      </c>
      <c r="BJ84" s="14">
        <f t="shared" si="265"/>
        <v>0.16</v>
      </c>
      <c r="BK84" s="47">
        <f t="shared" si="301"/>
        <v>8.8621056362991855E-3</v>
      </c>
      <c r="BL84" s="35">
        <f t="shared" si="266"/>
        <v>3.3600000000000008</v>
      </c>
      <c r="BM84" s="435">
        <f t="shared" si="160"/>
        <v>2.0560044015868879</v>
      </c>
      <c r="BN84" s="134">
        <v>2070</v>
      </c>
      <c r="BO84" s="14">
        <f t="shared" si="267"/>
        <v>55</v>
      </c>
      <c r="BP84" s="442">
        <f t="shared" si="302"/>
        <v>30.574264445232188</v>
      </c>
      <c r="BQ84" s="68">
        <f t="shared" si="304"/>
        <v>2439.6398572974304</v>
      </c>
      <c r="BR84" s="51">
        <f t="shared" si="268"/>
        <v>880</v>
      </c>
      <c r="BS84" s="103">
        <f>BS83</f>
        <v>878</v>
      </c>
      <c r="BT84" s="46">
        <f t="shared" ref="BT84:BT138" si="332">BR84-BS84</f>
        <v>2</v>
      </c>
      <c r="BU84" s="51">
        <f t="shared" si="269"/>
        <v>80</v>
      </c>
      <c r="BV84" s="103">
        <f>BV83</f>
        <v>90</v>
      </c>
      <c r="BW84" s="46">
        <f t="shared" si="308"/>
        <v>-10</v>
      </c>
      <c r="BY84" s="120">
        <f>BY83+1</f>
        <v>25</v>
      </c>
      <c r="BZ84" s="7">
        <f>BZ83</f>
        <v>11</v>
      </c>
      <c r="CA84" s="133"/>
      <c r="CB84" s="14">
        <f t="shared" si="295"/>
        <v>51243</v>
      </c>
      <c r="CC84" s="46">
        <f t="shared" si="313"/>
        <v>51233</v>
      </c>
      <c r="CD84" s="405"/>
      <c r="CE84" s="406">
        <v>10</v>
      </c>
      <c r="CF84" s="406"/>
      <c r="CG84" s="14">
        <f t="shared" si="314"/>
        <v>10</v>
      </c>
      <c r="CH84" s="14">
        <f t="shared" si="309"/>
        <v>847</v>
      </c>
      <c r="CI84" s="14">
        <f t="shared" si="270"/>
        <v>0.16</v>
      </c>
      <c r="CJ84" s="47">
        <f t="shared" si="303"/>
        <v>0.19514860566321254</v>
      </c>
      <c r="CK84" s="35">
        <f t="shared" si="271"/>
        <v>3.3600000000000008</v>
      </c>
      <c r="CL84" s="156">
        <f t="shared" si="206"/>
        <v>1.6301314497969552</v>
      </c>
      <c r="CM84" s="134">
        <v>900</v>
      </c>
      <c r="CN84" s="14">
        <f t="shared" si="272"/>
        <v>55</v>
      </c>
      <c r="CO84" s="442">
        <f t="shared" si="187"/>
        <v>17.563374509689126</v>
      </c>
      <c r="CP84" s="68">
        <f>CP83+CO84</f>
        <v>2606.4460235251499</v>
      </c>
      <c r="CQ84" s="51">
        <f t="shared" si="273"/>
        <v>880</v>
      </c>
      <c r="CR84" s="103">
        <f>CR83</f>
        <v>878</v>
      </c>
      <c r="CS84" s="46">
        <f t="shared" ref="CS84:CS138" si="333">CQ84-CR84</f>
        <v>2</v>
      </c>
      <c r="CT84" s="12">
        <f t="shared" si="274"/>
        <v>80</v>
      </c>
      <c r="CU84" s="103">
        <f>CU83</f>
        <v>79</v>
      </c>
      <c r="CV84" s="46">
        <f t="shared" si="299"/>
        <v>1</v>
      </c>
    </row>
    <row r="85" spans="1:100" ht="17.25" thickBot="1" x14ac:dyDescent="0.3">
      <c r="B85" s="120">
        <f t="shared" ref="B85:B89" si="334">B84+1</f>
        <v>26</v>
      </c>
      <c r="C85" s="7">
        <f t="shared" ref="C85:C89" si="335">C84</f>
        <v>11</v>
      </c>
      <c r="D85" s="133"/>
      <c r="E85" s="48">
        <f t="shared" si="204"/>
        <v>0</v>
      </c>
      <c r="F85" s="49">
        <f t="shared" si="205"/>
        <v>0</v>
      </c>
      <c r="G85" s="142"/>
      <c r="H85" s="135"/>
      <c r="I85" s="135"/>
      <c r="J85" s="14">
        <f t="shared" si="310"/>
        <v>0</v>
      </c>
      <c r="K85" s="14">
        <f t="shared" si="305"/>
        <v>9358</v>
      </c>
      <c r="L85" s="14">
        <f t="shared" si="255"/>
        <v>0.16</v>
      </c>
      <c r="M85" s="47">
        <f t="shared" si="277"/>
        <v>0</v>
      </c>
      <c r="N85" s="35">
        <f t="shared" si="256"/>
        <v>3.3600000000000008</v>
      </c>
      <c r="O85" s="157">
        <f t="shared" si="300"/>
        <v>0</v>
      </c>
      <c r="P85" s="134"/>
      <c r="Q85" s="14">
        <f t="shared" si="257"/>
        <v>55</v>
      </c>
      <c r="R85" s="482">
        <f t="shared" si="278"/>
        <v>0</v>
      </c>
      <c r="S85" s="470">
        <f t="shared" si="306"/>
        <v>0</v>
      </c>
      <c r="T85" s="51">
        <f t="shared" si="258"/>
        <v>880</v>
      </c>
      <c r="U85" s="103">
        <f t="shared" ref="U85:U89" si="336">U84</f>
        <v>0</v>
      </c>
      <c r="V85" s="46">
        <f t="shared" si="280"/>
        <v>880</v>
      </c>
      <c r="W85" s="12">
        <f t="shared" si="259"/>
        <v>80</v>
      </c>
      <c r="X85" s="103">
        <f t="shared" ref="X85:X89" si="337">X84</f>
        <v>0</v>
      </c>
      <c r="Y85" s="46">
        <f t="shared" si="282"/>
        <v>80</v>
      </c>
      <c r="Z85" s="487"/>
      <c r="AA85" s="120">
        <f t="shared" ref="AA85:AA89" si="338">AA84+1</f>
        <v>26</v>
      </c>
      <c r="AB85" s="7">
        <f t="shared" ref="AB85:AB89" si="339">AB84</f>
        <v>11</v>
      </c>
      <c r="AC85" s="133"/>
      <c r="AD85" s="48">
        <f t="shared" si="132"/>
        <v>60069</v>
      </c>
      <c r="AE85" s="447">
        <f t="shared" si="224"/>
        <v>60061</v>
      </c>
      <c r="AF85" s="134"/>
      <c r="AG85" s="135">
        <v>8</v>
      </c>
      <c r="AH85" s="135"/>
      <c r="AI85" s="14">
        <f t="shared" si="311"/>
        <v>8</v>
      </c>
      <c r="AJ85" s="14">
        <f t="shared" si="130"/>
        <v>746</v>
      </c>
      <c r="AK85" s="14">
        <f t="shared" si="260"/>
        <v>0.16</v>
      </c>
      <c r="AL85" s="47">
        <f t="shared" si="285"/>
        <v>1.3318017613078293E-2</v>
      </c>
      <c r="AM85" s="35">
        <f t="shared" si="261"/>
        <v>3.3600000000000008</v>
      </c>
      <c r="AN85" s="156">
        <f>IFERROR((AJ85*100)/$AD$47,0)</f>
        <v>1.2348131227861092</v>
      </c>
      <c r="AO85" s="134">
        <v>2898</v>
      </c>
      <c r="AP85" s="14">
        <f t="shared" si="262"/>
        <v>55</v>
      </c>
      <c r="AQ85" s="482">
        <f t="shared" si="286"/>
        <v>48.244518803376117</v>
      </c>
      <c r="AR85" s="470">
        <f t="shared" si="133"/>
        <v>1738.6341642970817</v>
      </c>
      <c r="AS85" s="51">
        <f t="shared" si="263"/>
        <v>880</v>
      </c>
      <c r="AT85" s="103">
        <f t="shared" ref="AT85:AT89" si="340">AT84</f>
        <v>867</v>
      </c>
      <c r="AU85" s="46">
        <f t="shared" si="331"/>
        <v>13</v>
      </c>
      <c r="AV85" s="12">
        <f t="shared" si="264"/>
        <v>80</v>
      </c>
      <c r="AW85" s="103">
        <f t="shared" ref="AW85:AW89" si="341">AW84</f>
        <v>86</v>
      </c>
      <c r="AX85" s="46">
        <f t="shared" si="307"/>
        <v>-6</v>
      </c>
      <c r="AZ85" s="120">
        <f t="shared" ref="AZ85:AZ89" si="342">AZ84+1</f>
        <v>26</v>
      </c>
      <c r="BA85" s="7">
        <f t="shared" ref="BA85:BA89" si="343">BA84</f>
        <v>11</v>
      </c>
      <c r="BB85" s="133"/>
      <c r="BC85" s="48">
        <f t="shared" si="225"/>
        <v>67698</v>
      </c>
      <c r="BD85" s="447">
        <f t="shared" si="226"/>
        <v>67695</v>
      </c>
      <c r="BE85" s="134"/>
      <c r="BF85" s="135">
        <v>3</v>
      </c>
      <c r="BG85" s="135"/>
      <c r="BH85" s="14">
        <f t="shared" si="312"/>
        <v>3</v>
      </c>
      <c r="BI85" s="14">
        <f t="shared" si="123"/>
        <v>1423</v>
      </c>
      <c r="BJ85" s="14">
        <f t="shared" si="265"/>
        <v>0.16</v>
      </c>
      <c r="BK85" s="47">
        <f t="shared" si="301"/>
        <v>4.4314455375343434E-3</v>
      </c>
      <c r="BL85" s="35">
        <f t="shared" si="266"/>
        <v>3.3600000000000008</v>
      </c>
      <c r="BM85" s="435">
        <f t="shared" si="160"/>
        <v>2.0603480728578463</v>
      </c>
      <c r="BN85" s="134">
        <v>3996</v>
      </c>
      <c r="BO85" s="14">
        <f t="shared" si="267"/>
        <v>55</v>
      </c>
      <c r="BP85" s="442">
        <f t="shared" si="302"/>
        <v>59.026854559957457</v>
      </c>
      <c r="BQ85" s="68">
        <f t="shared" si="304"/>
        <v>2498.6667118573878</v>
      </c>
      <c r="BR85" s="51">
        <f t="shared" si="268"/>
        <v>880</v>
      </c>
      <c r="BS85" s="103">
        <f t="shared" ref="BS85:BS89" si="344">BS84</f>
        <v>878</v>
      </c>
      <c r="BT85" s="46">
        <f t="shared" si="332"/>
        <v>2</v>
      </c>
      <c r="BU85" s="12">
        <f t="shared" si="269"/>
        <v>80</v>
      </c>
      <c r="BV85" s="103">
        <f t="shared" ref="BV85:BV89" si="345">BV84</f>
        <v>90</v>
      </c>
      <c r="BW85" s="46">
        <f t="shared" si="308"/>
        <v>-10</v>
      </c>
      <c r="BY85" s="120">
        <f t="shared" ref="BY85:BY88" si="346">BY84+1</f>
        <v>26</v>
      </c>
      <c r="BZ85" s="7">
        <f t="shared" ref="BZ85:BZ89" si="347">BZ84</f>
        <v>11</v>
      </c>
      <c r="CA85" s="133"/>
      <c r="CB85" s="14">
        <f t="shared" si="295"/>
        <v>51233</v>
      </c>
      <c r="CC85" s="62">
        <f t="shared" si="313"/>
        <v>51224</v>
      </c>
      <c r="CD85" s="405"/>
      <c r="CE85" s="406">
        <v>9</v>
      </c>
      <c r="CF85" s="406"/>
      <c r="CG85" s="14">
        <f t="shared" si="314"/>
        <v>9</v>
      </c>
      <c r="CH85" s="14">
        <f t="shared" si="309"/>
        <v>856</v>
      </c>
      <c r="CI85" s="14">
        <f t="shared" si="270"/>
        <v>0.16</v>
      </c>
      <c r="CJ85" s="47">
        <f t="shared" si="303"/>
        <v>0.175668026467316</v>
      </c>
      <c r="CK85" s="35">
        <f t="shared" si="271"/>
        <v>3.3600000000000008</v>
      </c>
      <c r="CL85" s="156">
        <f t="shared" si="206"/>
        <v>1.6474527993225427</v>
      </c>
      <c r="CM85" s="134">
        <v>1800</v>
      </c>
      <c r="CN85" s="14">
        <f t="shared" si="272"/>
        <v>55</v>
      </c>
      <c r="CO85" s="442">
        <f t="shared" si="187"/>
        <v>35.133605293463198</v>
      </c>
      <c r="CP85" s="68">
        <f t="shared" si="296"/>
        <v>2641.5796288186129</v>
      </c>
      <c r="CQ85" s="51">
        <f t="shared" si="273"/>
        <v>880</v>
      </c>
      <c r="CR85" s="103">
        <f t="shared" ref="CR85:CR89" si="348">CR84</f>
        <v>878</v>
      </c>
      <c r="CS85" s="46">
        <f t="shared" si="333"/>
        <v>2</v>
      </c>
      <c r="CT85" s="50">
        <f t="shared" si="274"/>
        <v>80</v>
      </c>
      <c r="CU85" s="103">
        <f t="shared" ref="CU85:CU89" si="349">CU84</f>
        <v>79</v>
      </c>
      <c r="CV85" s="46">
        <f t="shared" si="299"/>
        <v>1</v>
      </c>
    </row>
    <row r="86" spans="1:100" ht="17.25" thickBot="1" x14ac:dyDescent="0.3">
      <c r="B86" s="120">
        <f t="shared" si="334"/>
        <v>27</v>
      </c>
      <c r="C86" s="7">
        <f t="shared" si="335"/>
        <v>11</v>
      </c>
      <c r="D86" s="133"/>
      <c r="E86" s="48">
        <f t="shared" si="204"/>
        <v>0</v>
      </c>
      <c r="F86" s="49">
        <f t="shared" si="205"/>
        <v>0</v>
      </c>
      <c r="G86" s="142"/>
      <c r="H86" s="135"/>
      <c r="I86" s="135"/>
      <c r="J86" s="14">
        <f t="shared" si="310"/>
        <v>0</v>
      </c>
      <c r="K86" s="17">
        <f t="shared" si="305"/>
        <v>9358</v>
      </c>
      <c r="L86" s="14">
        <f t="shared" si="255"/>
        <v>0.16</v>
      </c>
      <c r="M86" s="231">
        <f t="shared" si="277"/>
        <v>0</v>
      </c>
      <c r="N86" s="35">
        <f t="shared" si="256"/>
        <v>3.3600000000000008</v>
      </c>
      <c r="O86" s="157">
        <f t="shared" si="300"/>
        <v>0</v>
      </c>
      <c r="P86" s="134"/>
      <c r="Q86" s="14">
        <f t="shared" si="257"/>
        <v>55</v>
      </c>
      <c r="R86" s="482">
        <f t="shared" si="278"/>
        <v>0</v>
      </c>
      <c r="S86" s="470">
        <f t="shared" si="306"/>
        <v>0</v>
      </c>
      <c r="T86" s="51">
        <f t="shared" si="258"/>
        <v>880</v>
      </c>
      <c r="U86" s="103">
        <f t="shared" si="336"/>
        <v>0</v>
      </c>
      <c r="V86" s="46">
        <f t="shared" si="280"/>
        <v>880</v>
      </c>
      <c r="W86" s="50">
        <f t="shared" si="259"/>
        <v>80</v>
      </c>
      <c r="X86" s="103">
        <f t="shared" si="337"/>
        <v>0</v>
      </c>
      <c r="Y86" s="46">
        <f t="shared" si="282"/>
        <v>80</v>
      </c>
      <c r="Z86" s="487"/>
      <c r="AA86" s="120">
        <f t="shared" si="338"/>
        <v>27</v>
      </c>
      <c r="AB86" s="7">
        <f t="shared" si="339"/>
        <v>11</v>
      </c>
      <c r="AC86" s="133"/>
      <c r="AD86" s="48">
        <f t="shared" si="132"/>
        <v>60061</v>
      </c>
      <c r="AE86" s="196">
        <f t="shared" si="224"/>
        <v>60049</v>
      </c>
      <c r="AF86" s="134"/>
      <c r="AG86" s="135">
        <v>12</v>
      </c>
      <c r="AH86" s="135"/>
      <c r="AI86" s="14">
        <f t="shared" si="311"/>
        <v>12</v>
      </c>
      <c r="AJ86" s="17">
        <f t="shared" si="130"/>
        <v>758</v>
      </c>
      <c r="AK86" s="14">
        <f t="shared" si="260"/>
        <v>0.16</v>
      </c>
      <c r="AL86" s="231">
        <f t="shared" si="285"/>
        <v>1.9979687317893475E-2</v>
      </c>
      <c r="AM86" s="35">
        <f t="shared" si="261"/>
        <v>3.3600000000000008</v>
      </c>
      <c r="AN86" s="156">
        <f t="shared" si="207"/>
        <v>1.2546760684609528</v>
      </c>
      <c r="AO86" s="134">
        <v>2700</v>
      </c>
      <c r="AP86" s="14">
        <f t="shared" si="262"/>
        <v>55</v>
      </c>
      <c r="AQ86" s="482">
        <f t="shared" si="286"/>
        <v>44.95429646526032</v>
      </c>
      <c r="AR86" s="470">
        <f t="shared" si="133"/>
        <v>1783.588460762342</v>
      </c>
      <c r="AS86" s="51">
        <f t="shared" si="263"/>
        <v>880</v>
      </c>
      <c r="AT86" s="103">
        <f t="shared" si="340"/>
        <v>867</v>
      </c>
      <c r="AU86" s="46">
        <f t="shared" si="331"/>
        <v>13</v>
      </c>
      <c r="AV86" s="50">
        <f t="shared" si="264"/>
        <v>80</v>
      </c>
      <c r="AW86" s="103">
        <f t="shared" si="341"/>
        <v>86</v>
      </c>
      <c r="AX86" s="46">
        <f t="shared" si="307"/>
        <v>-6</v>
      </c>
      <c r="AZ86" s="120">
        <f t="shared" si="342"/>
        <v>27</v>
      </c>
      <c r="BA86" s="7">
        <f t="shared" si="343"/>
        <v>11</v>
      </c>
      <c r="BB86" s="133"/>
      <c r="BC86" s="48">
        <f t="shared" si="225"/>
        <v>67695</v>
      </c>
      <c r="BD86" s="196">
        <f t="shared" si="226"/>
        <v>67692</v>
      </c>
      <c r="BE86" s="134"/>
      <c r="BF86" s="135">
        <v>3</v>
      </c>
      <c r="BG86" s="135"/>
      <c r="BH86" s="14">
        <f t="shared" si="312"/>
        <v>3</v>
      </c>
      <c r="BI86" s="17">
        <f t="shared" ref="BI86:BI104" si="350">BI85+BH86</f>
        <v>1426</v>
      </c>
      <c r="BJ86" s="14">
        <f t="shared" si="265"/>
        <v>0.16</v>
      </c>
      <c r="BK86" s="47">
        <f t="shared" si="301"/>
        <v>4.4316419233325945E-3</v>
      </c>
      <c r="BL86" s="35">
        <f t="shared" si="266"/>
        <v>3.3600000000000008</v>
      </c>
      <c r="BM86" s="435">
        <f t="shared" si="160"/>
        <v>2.0646917441288042</v>
      </c>
      <c r="BN86" s="134">
        <v>2160</v>
      </c>
      <c r="BO86" s="14">
        <f t="shared" si="267"/>
        <v>55</v>
      </c>
      <c r="BP86" s="442">
        <f t="shared" si="302"/>
        <v>31.907821847994683</v>
      </c>
      <c r="BQ86" s="68">
        <f t="shared" si="304"/>
        <v>2530.5745337053822</v>
      </c>
      <c r="BR86" s="51">
        <f t="shared" si="268"/>
        <v>880</v>
      </c>
      <c r="BS86" s="103">
        <f t="shared" si="344"/>
        <v>878</v>
      </c>
      <c r="BT86" s="46">
        <f t="shared" si="332"/>
        <v>2</v>
      </c>
      <c r="BU86" s="50">
        <f t="shared" si="269"/>
        <v>80</v>
      </c>
      <c r="BV86" s="103">
        <f t="shared" si="345"/>
        <v>90</v>
      </c>
      <c r="BW86" s="46">
        <f t="shared" si="308"/>
        <v>-10</v>
      </c>
      <c r="BY86" s="120">
        <f t="shared" si="346"/>
        <v>27</v>
      </c>
      <c r="BZ86" s="7">
        <f t="shared" si="347"/>
        <v>11</v>
      </c>
      <c r="CA86" s="133"/>
      <c r="CB86" s="14">
        <f t="shared" si="295"/>
        <v>51224</v>
      </c>
      <c r="CC86" s="59">
        <f t="shared" si="313"/>
        <v>51218</v>
      </c>
      <c r="CD86" s="405"/>
      <c r="CE86" s="406">
        <v>6</v>
      </c>
      <c r="CF86" s="406"/>
      <c r="CG86" s="14">
        <f t="shared" si="314"/>
        <v>6</v>
      </c>
      <c r="CH86" s="17">
        <f t="shared" si="309"/>
        <v>862</v>
      </c>
      <c r="CI86" s="14">
        <f t="shared" si="270"/>
        <v>0.16</v>
      </c>
      <c r="CJ86" s="47">
        <f t="shared" si="303"/>
        <v>0.11713259409651726</v>
      </c>
      <c r="CK86" s="35">
        <f t="shared" si="271"/>
        <v>3.3600000000000008</v>
      </c>
      <c r="CL86" s="156">
        <f t="shared" si="206"/>
        <v>1.6590003656729344</v>
      </c>
      <c r="CM86" s="134">
        <v>2160</v>
      </c>
      <c r="CN86" s="14">
        <f t="shared" si="272"/>
        <v>55</v>
      </c>
      <c r="CO86" s="442">
        <f t="shared" si="187"/>
        <v>42.167733874746212</v>
      </c>
      <c r="CP86" s="68">
        <f t="shared" si="296"/>
        <v>2683.7473626933593</v>
      </c>
      <c r="CQ86" s="51">
        <f t="shared" si="273"/>
        <v>880</v>
      </c>
      <c r="CR86" s="103">
        <f t="shared" si="348"/>
        <v>878</v>
      </c>
      <c r="CS86" s="46">
        <f t="shared" si="333"/>
        <v>2</v>
      </c>
      <c r="CT86" s="50">
        <f t="shared" si="274"/>
        <v>80</v>
      </c>
      <c r="CU86" s="103">
        <f t="shared" si="349"/>
        <v>79</v>
      </c>
      <c r="CV86" s="46">
        <f t="shared" si="299"/>
        <v>1</v>
      </c>
    </row>
    <row r="87" spans="1:100" ht="17.25" thickBot="1" x14ac:dyDescent="0.3">
      <c r="B87" s="120">
        <f t="shared" si="334"/>
        <v>28</v>
      </c>
      <c r="C87" s="7">
        <f t="shared" si="335"/>
        <v>11</v>
      </c>
      <c r="D87" s="133"/>
      <c r="E87" s="48">
        <f t="shared" si="204"/>
        <v>0</v>
      </c>
      <c r="F87" s="49">
        <f t="shared" si="205"/>
        <v>0</v>
      </c>
      <c r="G87" s="142"/>
      <c r="H87" s="135"/>
      <c r="I87" s="135"/>
      <c r="J87" s="14">
        <f t="shared" si="310"/>
        <v>0</v>
      </c>
      <c r="K87" s="14">
        <f t="shared" si="305"/>
        <v>9358</v>
      </c>
      <c r="L87" s="14">
        <f t="shared" si="255"/>
        <v>0.16</v>
      </c>
      <c r="M87" s="47">
        <f t="shared" si="277"/>
        <v>0</v>
      </c>
      <c r="N87" s="35">
        <f t="shared" si="256"/>
        <v>3.3600000000000008</v>
      </c>
      <c r="O87" s="157">
        <f t="shared" si="300"/>
        <v>0</v>
      </c>
      <c r="P87" s="134"/>
      <c r="Q87" s="14">
        <f t="shared" si="257"/>
        <v>55</v>
      </c>
      <c r="R87" s="442">
        <f t="shared" si="278"/>
        <v>0</v>
      </c>
      <c r="S87" s="470">
        <f t="shared" si="306"/>
        <v>0</v>
      </c>
      <c r="T87" s="51">
        <f t="shared" si="258"/>
        <v>880</v>
      </c>
      <c r="U87" s="103">
        <f t="shared" si="336"/>
        <v>0</v>
      </c>
      <c r="V87" s="46">
        <f t="shared" si="280"/>
        <v>880</v>
      </c>
      <c r="W87" s="50">
        <f t="shared" si="259"/>
        <v>80</v>
      </c>
      <c r="X87" s="103">
        <f t="shared" si="337"/>
        <v>0</v>
      </c>
      <c r="Y87" s="46">
        <f t="shared" si="282"/>
        <v>80</v>
      </c>
      <c r="Z87" s="487"/>
      <c r="AA87" s="120">
        <f t="shared" si="338"/>
        <v>28</v>
      </c>
      <c r="AB87" s="7">
        <f t="shared" si="339"/>
        <v>11</v>
      </c>
      <c r="AC87" s="133"/>
      <c r="AD87" s="48">
        <f t="shared" si="132"/>
        <v>60049</v>
      </c>
      <c r="AE87" s="49">
        <f t="shared" si="224"/>
        <v>60041</v>
      </c>
      <c r="AF87" s="134"/>
      <c r="AG87" s="135">
        <v>8</v>
      </c>
      <c r="AH87" s="135"/>
      <c r="AI87" s="14">
        <f t="shared" si="311"/>
        <v>8</v>
      </c>
      <c r="AJ87" s="14">
        <f t="shared" ref="AJ87:AJ104" si="351">AJ86+AI87</f>
        <v>766</v>
      </c>
      <c r="AK87" s="14">
        <f t="shared" si="260"/>
        <v>0.16</v>
      </c>
      <c r="AL87" s="47">
        <f t="shared" si="285"/>
        <v>1.332245332978068E-2</v>
      </c>
      <c r="AM87" s="35">
        <f t="shared" si="261"/>
        <v>3.3600000000000008</v>
      </c>
      <c r="AN87" s="156">
        <f t="shared" si="207"/>
        <v>1.2679180322441819</v>
      </c>
      <c r="AO87" s="134">
        <v>2898</v>
      </c>
      <c r="AP87" s="14">
        <f t="shared" si="262"/>
        <v>55</v>
      </c>
      <c r="AQ87" s="442">
        <f t="shared" si="286"/>
        <v>48.260587187130511</v>
      </c>
      <c r="AR87" s="470">
        <f t="shared" si="133"/>
        <v>1831.8490479494726</v>
      </c>
      <c r="AS87" s="51">
        <f t="shared" si="263"/>
        <v>880</v>
      </c>
      <c r="AT87" s="103">
        <f t="shared" si="340"/>
        <v>867</v>
      </c>
      <c r="AU87" s="46">
        <f t="shared" si="331"/>
        <v>13</v>
      </c>
      <c r="AV87" s="50">
        <f t="shared" si="264"/>
        <v>80</v>
      </c>
      <c r="AW87" s="103">
        <f t="shared" si="341"/>
        <v>86</v>
      </c>
      <c r="AX87" s="46">
        <f t="shared" si="307"/>
        <v>-6</v>
      </c>
      <c r="AZ87" s="120">
        <f t="shared" si="342"/>
        <v>28</v>
      </c>
      <c r="BA87" s="7">
        <f t="shared" si="343"/>
        <v>11</v>
      </c>
      <c r="BB87" s="133"/>
      <c r="BC87" s="48">
        <f t="shared" si="225"/>
        <v>67692</v>
      </c>
      <c r="BD87" s="49">
        <f t="shared" si="226"/>
        <v>67687</v>
      </c>
      <c r="BE87" s="134"/>
      <c r="BF87" s="135">
        <v>5</v>
      </c>
      <c r="BG87" s="135"/>
      <c r="BH87" s="14">
        <f t="shared" si="312"/>
        <v>5</v>
      </c>
      <c r="BI87" s="14">
        <f t="shared" si="350"/>
        <v>1431</v>
      </c>
      <c r="BJ87" s="14">
        <f t="shared" si="265"/>
        <v>0.16</v>
      </c>
      <c r="BK87" s="47">
        <f t="shared" si="301"/>
        <v>7.3863972108964135E-3</v>
      </c>
      <c r="BL87" s="35">
        <f t="shared" si="266"/>
        <v>3.3600000000000008</v>
      </c>
      <c r="BM87" s="435">
        <f t="shared" si="160"/>
        <v>2.0719311962470681</v>
      </c>
      <c r="BN87" s="134">
        <v>3825</v>
      </c>
      <c r="BO87" s="14">
        <f t="shared" si="267"/>
        <v>55</v>
      </c>
      <c r="BP87" s="442">
        <f t="shared" si="302"/>
        <v>56.505938663357561</v>
      </c>
      <c r="BQ87" s="68">
        <f t="shared" si="304"/>
        <v>2587.0804723687397</v>
      </c>
      <c r="BR87" s="51">
        <f t="shared" si="268"/>
        <v>880</v>
      </c>
      <c r="BS87" s="103">
        <f t="shared" si="344"/>
        <v>878</v>
      </c>
      <c r="BT87" s="46">
        <f t="shared" si="332"/>
        <v>2</v>
      </c>
      <c r="BU87" s="50">
        <f t="shared" si="269"/>
        <v>80</v>
      </c>
      <c r="BV87" s="103">
        <f t="shared" si="345"/>
        <v>90</v>
      </c>
      <c r="BW87" s="46">
        <f t="shared" si="308"/>
        <v>-10</v>
      </c>
      <c r="BY87" s="120">
        <f t="shared" si="346"/>
        <v>28</v>
      </c>
      <c r="BZ87" s="7">
        <f t="shared" si="347"/>
        <v>11</v>
      </c>
      <c r="CA87" s="133"/>
      <c r="CB87" s="14">
        <f t="shared" si="295"/>
        <v>51218</v>
      </c>
      <c r="CC87" s="46">
        <f t="shared" si="313"/>
        <v>51208</v>
      </c>
      <c r="CD87" s="405"/>
      <c r="CE87" s="406">
        <v>10</v>
      </c>
      <c r="CF87" s="406"/>
      <c r="CG87" s="14">
        <f t="shared" si="314"/>
        <v>10</v>
      </c>
      <c r="CH87" s="14">
        <f t="shared" si="309"/>
        <v>872</v>
      </c>
      <c r="CI87" s="14">
        <f t="shared" si="270"/>
        <v>0.16</v>
      </c>
      <c r="CJ87" s="47">
        <f t="shared" si="303"/>
        <v>0.19524385958061619</v>
      </c>
      <c r="CK87" s="35">
        <f t="shared" si="271"/>
        <v>3.3600000000000008</v>
      </c>
      <c r="CL87" s="156">
        <f t="shared" si="206"/>
        <v>1.6782463095902538</v>
      </c>
      <c r="CM87" s="142">
        <v>2340</v>
      </c>
      <c r="CN87" s="14">
        <f t="shared" si="272"/>
        <v>55</v>
      </c>
      <c r="CO87" s="442">
        <f t="shared" si="187"/>
        <v>45.687063141864186</v>
      </c>
      <c r="CP87" s="68">
        <f>CP86+CO87</f>
        <v>2729.4344258352235</v>
      </c>
      <c r="CQ87" s="51">
        <f t="shared" si="273"/>
        <v>880</v>
      </c>
      <c r="CR87" s="103">
        <f t="shared" si="348"/>
        <v>878</v>
      </c>
      <c r="CS87" s="46">
        <f t="shared" si="333"/>
        <v>2</v>
      </c>
      <c r="CT87" s="51">
        <f t="shared" si="274"/>
        <v>80</v>
      </c>
      <c r="CU87" s="103">
        <f t="shared" si="349"/>
        <v>79</v>
      </c>
      <c r="CV87" s="46">
        <f t="shared" si="299"/>
        <v>1</v>
      </c>
    </row>
    <row r="88" spans="1:100" ht="17.25" thickBot="1" x14ac:dyDescent="0.3">
      <c r="B88" s="120">
        <f t="shared" si="334"/>
        <v>29</v>
      </c>
      <c r="C88" s="7">
        <f t="shared" si="335"/>
        <v>11</v>
      </c>
      <c r="D88" s="133"/>
      <c r="E88" s="48">
        <f t="shared" si="204"/>
        <v>0</v>
      </c>
      <c r="F88" s="49">
        <f t="shared" si="205"/>
        <v>0</v>
      </c>
      <c r="G88" s="142"/>
      <c r="H88" s="135"/>
      <c r="I88" s="135"/>
      <c r="J88" s="14">
        <f t="shared" si="310"/>
        <v>0</v>
      </c>
      <c r="K88" s="14">
        <f t="shared" si="305"/>
        <v>9358</v>
      </c>
      <c r="L88" s="14">
        <f t="shared" si="255"/>
        <v>0.16</v>
      </c>
      <c r="M88" s="47">
        <f t="shared" si="277"/>
        <v>0</v>
      </c>
      <c r="N88" s="35">
        <f t="shared" si="256"/>
        <v>3.3600000000000008</v>
      </c>
      <c r="O88" s="157">
        <f t="shared" si="300"/>
        <v>0</v>
      </c>
      <c r="P88" s="134"/>
      <c r="Q88" s="14">
        <f t="shared" si="257"/>
        <v>55</v>
      </c>
      <c r="R88" s="442">
        <f t="shared" si="278"/>
        <v>0</v>
      </c>
      <c r="S88" s="470">
        <f t="shared" si="306"/>
        <v>0</v>
      </c>
      <c r="T88" s="51">
        <f t="shared" si="258"/>
        <v>880</v>
      </c>
      <c r="U88" s="103">
        <f t="shared" si="336"/>
        <v>0</v>
      </c>
      <c r="V88" s="46">
        <f t="shared" si="280"/>
        <v>880</v>
      </c>
      <c r="W88" s="51">
        <f t="shared" si="259"/>
        <v>80</v>
      </c>
      <c r="X88" s="103">
        <f t="shared" si="337"/>
        <v>0</v>
      </c>
      <c r="Y88" s="46">
        <f t="shared" si="282"/>
        <v>80</v>
      </c>
      <c r="Z88" s="487"/>
      <c r="AA88" s="120">
        <f t="shared" si="338"/>
        <v>29</v>
      </c>
      <c r="AB88" s="7">
        <f t="shared" si="339"/>
        <v>11</v>
      </c>
      <c r="AC88" s="133"/>
      <c r="AD88" s="48">
        <f t="shared" si="132"/>
        <v>60041</v>
      </c>
      <c r="AE88" s="49">
        <f t="shared" si="224"/>
        <v>60037</v>
      </c>
      <c r="AF88" s="134"/>
      <c r="AG88" s="135">
        <v>4</v>
      </c>
      <c r="AH88" s="135"/>
      <c r="AI88" s="14">
        <f t="shared" si="311"/>
        <v>4</v>
      </c>
      <c r="AJ88" s="14">
        <f t="shared" si="351"/>
        <v>770</v>
      </c>
      <c r="AK88" s="14">
        <f t="shared" si="260"/>
        <v>0.16</v>
      </c>
      <c r="AL88" s="47">
        <f t="shared" si="285"/>
        <v>6.6621142219483349E-3</v>
      </c>
      <c r="AM88" s="35">
        <f t="shared" si="261"/>
        <v>3.3600000000000008</v>
      </c>
      <c r="AN88" s="156">
        <f t="shared" si="207"/>
        <v>1.2745390141357964</v>
      </c>
      <c r="AO88" s="134">
        <v>3069</v>
      </c>
      <c r="AP88" s="14">
        <f t="shared" si="262"/>
        <v>55</v>
      </c>
      <c r="AQ88" s="442">
        <f t="shared" si="286"/>
        <v>51.115071367898608</v>
      </c>
      <c r="AR88" s="470">
        <f t="shared" si="133"/>
        <v>1882.9641193173711</v>
      </c>
      <c r="AS88" s="51">
        <f t="shared" si="263"/>
        <v>880</v>
      </c>
      <c r="AT88" s="103">
        <f t="shared" si="340"/>
        <v>867</v>
      </c>
      <c r="AU88" s="46">
        <f t="shared" si="331"/>
        <v>13</v>
      </c>
      <c r="AV88" s="51">
        <f t="shared" si="264"/>
        <v>80</v>
      </c>
      <c r="AW88" s="103">
        <f t="shared" si="341"/>
        <v>86</v>
      </c>
      <c r="AX88" s="46">
        <f t="shared" si="307"/>
        <v>-6</v>
      </c>
      <c r="AZ88" s="120">
        <f t="shared" si="342"/>
        <v>29</v>
      </c>
      <c r="BA88" s="7">
        <f t="shared" si="343"/>
        <v>11</v>
      </c>
      <c r="BB88" s="133"/>
      <c r="BC88" s="48">
        <f t="shared" si="225"/>
        <v>67687</v>
      </c>
      <c r="BD88" s="49">
        <f t="shared" si="226"/>
        <v>67683</v>
      </c>
      <c r="BE88" s="134"/>
      <c r="BF88" s="135">
        <v>4</v>
      </c>
      <c r="BG88" s="135"/>
      <c r="BH88" s="14">
        <f t="shared" si="312"/>
        <v>4</v>
      </c>
      <c r="BI88" s="14">
        <f t="shared" si="350"/>
        <v>1435</v>
      </c>
      <c r="BJ88" s="14">
        <f t="shared" si="265"/>
        <v>0.16</v>
      </c>
      <c r="BK88" s="47">
        <f t="shared" si="301"/>
        <v>5.9095542718690447E-3</v>
      </c>
      <c r="BL88" s="35">
        <f t="shared" si="266"/>
        <v>3.3600000000000008</v>
      </c>
      <c r="BM88" s="435">
        <f t="shared" si="160"/>
        <v>2.0777227579416788</v>
      </c>
      <c r="BN88" s="134">
        <v>2736</v>
      </c>
      <c r="BO88" s="14">
        <f t="shared" si="267"/>
        <v>55</v>
      </c>
      <c r="BP88" s="442">
        <f t="shared" si="302"/>
        <v>40.42135121958426</v>
      </c>
      <c r="BQ88" s="68">
        <f t="shared" si="304"/>
        <v>2627.501823588324</v>
      </c>
      <c r="BR88" s="51">
        <f t="shared" si="268"/>
        <v>880</v>
      </c>
      <c r="BS88" s="103">
        <f t="shared" si="344"/>
        <v>878</v>
      </c>
      <c r="BT88" s="46">
        <f t="shared" si="332"/>
        <v>2</v>
      </c>
      <c r="BU88" s="51">
        <f t="shared" si="269"/>
        <v>80</v>
      </c>
      <c r="BV88" s="103">
        <f t="shared" si="345"/>
        <v>90</v>
      </c>
      <c r="BW88" s="46">
        <f t="shared" si="308"/>
        <v>-10</v>
      </c>
      <c r="BY88" s="120">
        <f t="shared" si="346"/>
        <v>29</v>
      </c>
      <c r="BZ88" s="7">
        <f t="shared" si="347"/>
        <v>11</v>
      </c>
      <c r="CA88" s="133"/>
      <c r="CB88" s="14">
        <f t="shared" si="295"/>
        <v>51208</v>
      </c>
      <c r="CC88" s="46">
        <f t="shared" si="313"/>
        <v>51201</v>
      </c>
      <c r="CD88" s="405"/>
      <c r="CE88" s="406">
        <v>7</v>
      </c>
      <c r="CF88" s="406"/>
      <c r="CG88" s="14">
        <f t="shared" si="314"/>
        <v>7</v>
      </c>
      <c r="CH88" s="14">
        <f t="shared" si="309"/>
        <v>879</v>
      </c>
      <c r="CI88" s="14">
        <f t="shared" si="270"/>
        <v>0.16</v>
      </c>
      <c r="CJ88" s="47">
        <f t="shared" si="303"/>
        <v>0.13669739103265116</v>
      </c>
      <c r="CK88" s="35">
        <f t="shared" si="271"/>
        <v>3.3600000000000008</v>
      </c>
      <c r="CL88" s="156">
        <f t="shared" si="206"/>
        <v>1.6917184703323775</v>
      </c>
      <c r="CM88" s="134">
        <v>1980</v>
      </c>
      <c r="CN88" s="14">
        <f t="shared" si="272"/>
        <v>55</v>
      </c>
      <c r="CO88" s="442">
        <f t="shared" si="187"/>
        <v>38.665833463521324</v>
      </c>
      <c r="CP88" s="68">
        <f t="shared" si="296"/>
        <v>2768.1002592987447</v>
      </c>
      <c r="CQ88" s="51">
        <f t="shared" si="273"/>
        <v>880</v>
      </c>
      <c r="CR88" s="103">
        <f t="shared" si="348"/>
        <v>878</v>
      </c>
      <c r="CS88" s="46">
        <f t="shared" si="333"/>
        <v>2</v>
      </c>
      <c r="CT88" s="12">
        <f t="shared" si="274"/>
        <v>80</v>
      </c>
      <c r="CU88" s="103">
        <f t="shared" si="349"/>
        <v>79</v>
      </c>
      <c r="CV88" s="46">
        <f t="shared" si="299"/>
        <v>1</v>
      </c>
    </row>
    <row r="89" spans="1:100" ht="17.25" thickBot="1" x14ac:dyDescent="0.3">
      <c r="B89" s="120">
        <f t="shared" si="334"/>
        <v>30</v>
      </c>
      <c r="C89" s="8">
        <f t="shared" si="335"/>
        <v>11</v>
      </c>
      <c r="D89" s="136"/>
      <c r="E89" s="54">
        <f t="shared" si="204"/>
        <v>0</v>
      </c>
      <c r="F89" s="55">
        <f t="shared" si="205"/>
        <v>0</v>
      </c>
      <c r="G89" s="139"/>
      <c r="H89" s="138"/>
      <c r="I89" s="138"/>
      <c r="J89" s="34">
        <f t="shared" si="310"/>
        <v>0</v>
      </c>
      <c r="K89" s="34">
        <f t="shared" si="305"/>
        <v>9358</v>
      </c>
      <c r="L89" s="17">
        <f t="shared" si="255"/>
        <v>0.16</v>
      </c>
      <c r="M89" s="231">
        <f t="shared" si="277"/>
        <v>0</v>
      </c>
      <c r="N89" s="33">
        <f t="shared" si="256"/>
        <v>3.3600000000000008</v>
      </c>
      <c r="O89" s="156">
        <f t="shared" si="300"/>
        <v>0</v>
      </c>
      <c r="P89" s="137"/>
      <c r="Q89" s="13">
        <f t="shared" si="257"/>
        <v>55</v>
      </c>
      <c r="R89" s="479">
        <f t="shared" si="278"/>
        <v>0</v>
      </c>
      <c r="S89" s="471">
        <f t="shared" si="306"/>
        <v>0</v>
      </c>
      <c r="T89" s="50">
        <f t="shared" si="258"/>
        <v>880</v>
      </c>
      <c r="U89" s="103">
        <f t="shared" si="336"/>
        <v>0</v>
      </c>
      <c r="V89" s="63">
        <f t="shared" si="280"/>
        <v>880</v>
      </c>
      <c r="W89" s="12">
        <f t="shared" si="259"/>
        <v>80</v>
      </c>
      <c r="X89" s="103">
        <f t="shared" si="337"/>
        <v>0</v>
      </c>
      <c r="Y89" s="63">
        <f t="shared" si="282"/>
        <v>80</v>
      </c>
      <c r="Z89" s="487"/>
      <c r="AA89" s="120">
        <f t="shared" si="338"/>
        <v>30</v>
      </c>
      <c r="AB89" s="8">
        <f t="shared" si="339"/>
        <v>11</v>
      </c>
      <c r="AC89" s="136"/>
      <c r="AD89" s="67">
        <f t="shared" si="132"/>
        <v>60037</v>
      </c>
      <c r="AE89" s="448">
        <f t="shared" si="224"/>
        <v>60032</v>
      </c>
      <c r="AF89" s="137"/>
      <c r="AG89" s="138">
        <v>5</v>
      </c>
      <c r="AH89" s="138"/>
      <c r="AI89" s="34">
        <f t="shared" si="311"/>
        <v>5</v>
      </c>
      <c r="AJ89" s="34">
        <f t="shared" si="351"/>
        <v>775</v>
      </c>
      <c r="AK89" s="17">
        <f t="shared" si="260"/>
        <v>0.16</v>
      </c>
      <c r="AL89" s="231">
        <f t="shared" si="285"/>
        <v>8.3281976114729251E-3</v>
      </c>
      <c r="AM89" s="33">
        <f t="shared" si="261"/>
        <v>3.3600000000000008</v>
      </c>
      <c r="AN89" s="156">
        <f t="shared" si="207"/>
        <v>1.2828152415003145</v>
      </c>
      <c r="AO89" s="137">
        <v>2862</v>
      </c>
      <c r="AP89" s="13">
        <f t="shared" si="262"/>
        <v>55</v>
      </c>
      <c r="AQ89" s="479">
        <f t="shared" si="286"/>
        <v>47.670603128071022</v>
      </c>
      <c r="AR89" s="471">
        <f t="shared" si="133"/>
        <v>1930.6347224454421</v>
      </c>
      <c r="AS89" s="50">
        <f t="shared" si="263"/>
        <v>880</v>
      </c>
      <c r="AT89" s="103">
        <f t="shared" si="340"/>
        <v>867</v>
      </c>
      <c r="AU89" s="63">
        <f t="shared" si="331"/>
        <v>13</v>
      </c>
      <c r="AV89" s="12">
        <f t="shared" si="264"/>
        <v>80</v>
      </c>
      <c r="AW89" s="103">
        <f t="shared" si="341"/>
        <v>86</v>
      </c>
      <c r="AX89" s="63">
        <f t="shared" si="307"/>
        <v>-6</v>
      </c>
      <c r="AZ89" s="120">
        <f t="shared" si="342"/>
        <v>30</v>
      </c>
      <c r="BA89" s="8">
        <f t="shared" si="343"/>
        <v>11</v>
      </c>
      <c r="BB89" s="136"/>
      <c r="BC89" s="54">
        <f t="shared" si="225"/>
        <v>67683</v>
      </c>
      <c r="BD89" s="448">
        <f t="shared" si="226"/>
        <v>67676</v>
      </c>
      <c r="BE89" s="137"/>
      <c r="BF89" s="138">
        <v>7</v>
      </c>
      <c r="BG89" s="138"/>
      <c r="BH89" s="34">
        <f t="shared" si="312"/>
        <v>7</v>
      </c>
      <c r="BI89" s="34">
        <f t="shared" si="350"/>
        <v>1442</v>
      </c>
      <c r="BJ89" s="17">
        <f t="shared" si="265"/>
        <v>0.16</v>
      </c>
      <c r="BK89" s="96">
        <f t="shared" si="301"/>
        <v>1.0342331161443789E-2</v>
      </c>
      <c r="BL89" s="33">
        <f t="shared" si="266"/>
        <v>3.3600000000000008</v>
      </c>
      <c r="BM89" s="435">
        <f t="shared" si="160"/>
        <v>2.0878579909072483</v>
      </c>
      <c r="BN89" s="137">
        <v>1980</v>
      </c>
      <c r="BO89" s="13">
        <f t="shared" si="267"/>
        <v>55</v>
      </c>
      <c r="BP89" s="482">
        <f t="shared" si="302"/>
        <v>29.254022428083861</v>
      </c>
      <c r="BQ89" s="70">
        <f t="shared" si="304"/>
        <v>2656.7558460164078</v>
      </c>
      <c r="BR89" s="50">
        <f t="shared" si="268"/>
        <v>880</v>
      </c>
      <c r="BS89" s="103">
        <f t="shared" si="344"/>
        <v>878</v>
      </c>
      <c r="BT89" s="63">
        <f t="shared" si="332"/>
        <v>2</v>
      </c>
      <c r="BU89" s="12">
        <f t="shared" si="269"/>
        <v>80</v>
      </c>
      <c r="BV89" s="103">
        <f t="shared" si="345"/>
        <v>90</v>
      </c>
      <c r="BW89" s="63">
        <f t="shared" si="308"/>
        <v>-10</v>
      </c>
      <c r="BY89" s="197">
        <f>BY88+1</f>
        <v>30</v>
      </c>
      <c r="BZ89" s="8">
        <f t="shared" si="347"/>
        <v>11</v>
      </c>
      <c r="CA89" s="136"/>
      <c r="CB89" s="32">
        <f t="shared" si="295"/>
        <v>51201</v>
      </c>
      <c r="CC89" s="63">
        <f t="shared" si="313"/>
        <v>51197</v>
      </c>
      <c r="CD89" s="421"/>
      <c r="CE89" s="426">
        <v>4</v>
      </c>
      <c r="CF89" s="426"/>
      <c r="CG89" s="34">
        <f t="shared" si="314"/>
        <v>4</v>
      </c>
      <c r="CH89" s="34">
        <f t="shared" si="309"/>
        <v>883</v>
      </c>
      <c r="CI89" s="17">
        <f t="shared" si="270"/>
        <v>0.16</v>
      </c>
      <c r="CJ89" s="166">
        <f t="shared" si="303"/>
        <v>7.8123474150895489E-2</v>
      </c>
      <c r="CK89" s="33">
        <f t="shared" si="271"/>
        <v>3.3600000000000008</v>
      </c>
      <c r="CL89" s="156">
        <f t="shared" si="206"/>
        <v>1.6994168478993052</v>
      </c>
      <c r="CM89" s="137">
        <v>2880</v>
      </c>
      <c r="CN89" s="13">
        <f t="shared" si="272"/>
        <v>55</v>
      </c>
      <c r="CO89" s="443">
        <f>IFERROR((CM89/CB89)*1000,0)</f>
        <v>56.248901388644754</v>
      </c>
      <c r="CP89" s="70">
        <f t="shared" si="296"/>
        <v>2824.3491606873895</v>
      </c>
      <c r="CQ89" s="50">
        <f t="shared" si="273"/>
        <v>880</v>
      </c>
      <c r="CR89" s="103">
        <f t="shared" si="348"/>
        <v>878</v>
      </c>
      <c r="CS89" s="63">
        <f t="shared" si="333"/>
        <v>2</v>
      </c>
      <c r="CT89" s="56">
        <f t="shared" si="274"/>
        <v>80</v>
      </c>
      <c r="CU89" s="103">
        <f t="shared" si="349"/>
        <v>79</v>
      </c>
      <c r="CV89" s="63">
        <f t="shared" si="299"/>
        <v>1</v>
      </c>
    </row>
    <row r="90" spans="1:100" ht="17.25" thickBot="1" x14ac:dyDescent="0.3">
      <c r="B90" s="118">
        <v>31</v>
      </c>
      <c r="C90" s="9">
        <v>12</v>
      </c>
      <c r="D90" s="129"/>
      <c r="E90" s="43">
        <f t="shared" si="204"/>
        <v>0</v>
      </c>
      <c r="F90" s="44">
        <f t="shared" si="205"/>
        <v>0</v>
      </c>
      <c r="G90" s="158"/>
      <c r="H90" s="131"/>
      <c r="I90" s="131"/>
      <c r="J90" s="11">
        <f t="shared" si="310"/>
        <v>0</v>
      </c>
      <c r="K90" s="11">
        <f t="shared" si="305"/>
        <v>9358</v>
      </c>
      <c r="L90" s="16">
        <f t="shared" si="255"/>
        <v>0.16</v>
      </c>
      <c r="M90" s="153">
        <f t="shared" si="277"/>
        <v>0</v>
      </c>
      <c r="N90" s="154">
        <f t="shared" si="256"/>
        <v>3.5200000000000009</v>
      </c>
      <c r="O90" s="155">
        <f t="shared" si="300"/>
        <v>0</v>
      </c>
      <c r="P90" s="130"/>
      <c r="Q90" s="11">
        <f t="shared" si="257"/>
        <v>58</v>
      </c>
      <c r="R90" s="441">
        <f t="shared" si="278"/>
        <v>0</v>
      </c>
      <c r="S90" s="469">
        <f t="shared" si="306"/>
        <v>0</v>
      </c>
      <c r="T90" s="58">
        <f t="shared" si="258"/>
        <v>950</v>
      </c>
      <c r="U90" s="131"/>
      <c r="V90" s="41">
        <f t="shared" si="280"/>
        <v>950</v>
      </c>
      <c r="W90" s="18">
        <f t="shared" si="259"/>
        <v>82</v>
      </c>
      <c r="X90" s="131"/>
      <c r="Y90" s="41">
        <f t="shared" si="282"/>
        <v>82</v>
      </c>
      <c r="Z90" s="487"/>
      <c r="AA90" s="118">
        <v>31</v>
      </c>
      <c r="AB90" s="9">
        <v>12</v>
      </c>
      <c r="AC90" s="129"/>
      <c r="AD90" s="43">
        <f t="shared" si="132"/>
        <v>60032</v>
      </c>
      <c r="AE90" s="449">
        <f t="shared" si="224"/>
        <v>60026</v>
      </c>
      <c r="AF90" s="130"/>
      <c r="AG90" s="131">
        <v>6</v>
      </c>
      <c r="AH90" s="131"/>
      <c r="AI90" s="11">
        <f t="shared" si="311"/>
        <v>6</v>
      </c>
      <c r="AJ90" s="11">
        <f t="shared" si="351"/>
        <v>781</v>
      </c>
      <c r="AK90" s="16">
        <f t="shared" si="260"/>
        <v>0.16</v>
      </c>
      <c r="AL90" s="153">
        <f t="shared" si="285"/>
        <v>9.9946695095948831E-3</v>
      </c>
      <c r="AM90" s="154">
        <f t="shared" si="261"/>
        <v>3.5200000000000009</v>
      </c>
      <c r="AN90" s="156">
        <f t="shared" si="207"/>
        <v>1.2927467143377362</v>
      </c>
      <c r="AO90" s="130">
        <v>3105</v>
      </c>
      <c r="AP90" s="11">
        <f t="shared" si="262"/>
        <v>58</v>
      </c>
      <c r="AQ90" s="441">
        <f t="shared" si="286"/>
        <v>51.722414712153515</v>
      </c>
      <c r="AR90" s="469">
        <f t="shared" si="133"/>
        <v>1982.3571371575956</v>
      </c>
      <c r="AS90" s="58">
        <f t="shared" si="263"/>
        <v>950</v>
      </c>
      <c r="AT90" s="131">
        <v>888</v>
      </c>
      <c r="AU90" s="41">
        <f t="shared" si="331"/>
        <v>62</v>
      </c>
      <c r="AV90" s="18">
        <f t="shared" si="264"/>
        <v>82</v>
      </c>
      <c r="AW90" s="131">
        <v>73</v>
      </c>
      <c r="AX90" s="41">
        <f t="shared" si="307"/>
        <v>9</v>
      </c>
      <c r="AZ90" s="118">
        <v>31</v>
      </c>
      <c r="BA90" s="9">
        <v>12</v>
      </c>
      <c r="BB90" s="129"/>
      <c r="BC90" s="43">
        <f t="shared" si="225"/>
        <v>67676</v>
      </c>
      <c r="BD90" s="449">
        <f t="shared" si="226"/>
        <v>67672</v>
      </c>
      <c r="BE90" s="130"/>
      <c r="BF90" s="131">
        <v>4</v>
      </c>
      <c r="BG90" s="131"/>
      <c r="BH90" s="11">
        <f t="shared" si="312"/>
        <v>4</v>
      </c>
      <c r="BI90" s="11">
        <f t="shared" si="350"/>
        <v>1446</v>
      </c>
      <c r="BJ90" s="16">
        <f t="shared" si="265"/>
        <v>0.16</v>
      </c>
      <c r="BK90" s="235">
        <f t="shared" si="301"/>
        <v>5.910514805839589E-3</v>
      </c>
      <c r="BL90" s="154">
        <f t="shared" si="266"/>
        <v>3.5200000000000009</v>
      </c>
      <c r="BM90" s="435">
        <f t="shared" si="160"/>
        <v>2.093649552601859</v>
      </c>
      <c r="BN90" s="130">
        <v>1800</v>
      </c>
      <c r="BO90" s="11">
        <f t="shared" si="267"/>
        <v>58</v>
      </c>
      <c r="BP90" s="441">
        <f t="shared" si="302"/>
        <v>26.59731662627815</v>
      </c>
      <c r="BQ90" s="377">
        <f t="shared" si="304"/>
        <v>2683.3531626426861</v>
      </c>
      <c r="BR90" s="58">
        <f t="shared" si="268"/>
        <v>950</v>
      </c>
      <c r="BS90" s="131">
        <v>902</v>
      </c>
      <c r="BT90" s="41">
        <f t="shared" si="332"/>
        <v>48</v>
      </c>
      <c r="BU90" s="18">
        <f t="shared" si="269"/>
        <v>82</v>
      </c>
      <c r="BV90" s="131">
        <v>71</v>
      </c>
      <c r="BW90" s="41">
        <f t="shared" si="308"/>
        <v>11</v>
      </c>
      <c r="BY90" s="118">
        <v>31</v>
      </c>
      <c r="BZ90" s="9">
        <v>12</v>
      </c>
      <c r="CA90" s="129"/>
      <c r="CB90" s="11">
        <f t="shared" si="295"/>
        <v>51197</v>
      </c>
      <c r="CC90" s="57">
        <f t="shared" si="313"/>
        <v>51195</v>
      </c>
      <c r="CD90" s="398"/>
      <c r="CE90" s="399">
        <v>2</v>
      </c>
      <c r="CF90" s="399"/>
      <c r="CG90" s="11">
        <f t="shared" si="314"/>
        <v>2</v>
      </c>
      <c r="CH90" s="11">
        <f t="shared" si="309"/>
        <v>885</v>
      </c>
      <c r="CI90" s="16">
        <f t="shared" si="270"/>
        <v>0.16</v>
      </c>
      <c r="CJ90" s="231">
        <f t="shared" si="303"/>
        <v>3.9064788952477683E-2</v>
      </c>
      <c r="CK90" s="154">
        <f t="shared" si="271"/>
        <v>3.5200000000000009</v>
      </c>
      <c r="CL90" s="156">
        <f t="shared" si="206"/>
        <v>1.7032660366827692</v>
      </c>
      <c r="CM90" s="130">
        <v>2160</v>
      </c>
      <c r="CN90" s="11">
        <f t="shared" si="272"/>
        <v>58</v>
      </c>
      <c r="CO90" s="479">
        <f t="shared" si="187"/>
        <v>42.1899720686759</v>
      </c>
      <c r="CP90" s="377">
        <f t="shared" si="296"/>
        <v>2866.5391327560656</v>
      </c>
      <c r="CQ90" s="58">
        <f t="shared" si="273"/>
        <v>950</v>
      </c>
      <c r="CR90" s="131">
        <v>946</v>
      </c>
      <c r="CS90" s="41">
        <f t="shared" si="333"/>
        <v>4</v>
      </c>
      <c r="CT90" s="18">
        <f t="shared" si="274"/>
        <v>82</v>
      </c>
      <c r="CU90" s="131">
        <v>73</v>
      </c>
      <c r="CV90" s="41">
        <f t="shared" si="299"/>
        <v>9</v>
      </c>
    </row>
    <row r="91" spans="1:100" ht="17.25" thickBot="1" x14ac:dyDescent="0.3">
      <c r="A91" s="668" t="s">
        <v>138</v>
      </c>
      <c r="B91" s="646">
        <v>1</v>
      </c>
      <c r="C91" s="647">
        <f>C90</f>
        <v>12</v>
      </c>
      <c r="D91" s="662"/>
      <c r="E91" s="648">
        <f t="shared" si="204"/>
        <v>0</v>
      </c>
      <c r="F91" s="663">
        <f t="shared" si="205"/>
        <v>0</v>
      </c>
      <c r="G91" s="664"/>
      <c r="H91" s="651"/>
      <c r="I91" s="651"/>
      <c r="J91" s="652">
        <f t="shared" si="310"/>
        <v>0</v>
      </c>
      <c r="K91" s="652">
        <f t="shared" si="305"/>
        <v>9358</v>
      </c>
      <c r="L91" s="652">
        <f t="shared" si="255"/>
        <v>0.16</v>
      </c>
      <c r="M91" s="665">
        <f t="shared" si="277"/>
        <v>0</v>
      </c>
      <c r="N91" s="654">
        <f t="shared" si="256"/>
        <v>3.5200000000000009</v>
      </c>
      <c r="O91" s="655">
        <f t="shared" si="300"/>
        <v>0</v>
      </c>
      <c r="P91" s="650"/>
      <c r="Q91" s="652">
        <f t="shared" si="257"/>
        <v>58</v>
      </c>
      <c r="R91" s="669">
        <f t="shared" si="278"/>
        <v>0</v>
      </c>
      <c r="S91" s="657">
        <f t="shared" si="306"/>
        <v>0</v>
      </c>
      <c r="T91" s="658">
        <f t="shared" si="258"/>
        <v>950</v>
      </c>
      <c r="U91" s="666">
        <f>U90</f>
        <v>0</v>
      </c>
      <c r="V91" s="660">
        <f t="shared" si="280"/>
        <v>950</v>
      </c>
      <c r="W91" s="658">
        <f t="shared" si="259"/>
        <v>82</v>
      </c>
      <c r="X91" s="666">
        <f>X90</f>
        <v>0</v>
      </c>
      <c r="Y91" s="660">
        <f t="shared" si="282"/>
        <v>82</v>
      </c>
      <c r="Z91" s="487"/>
      <c r="AA91" s="646">
        <v>1</v>
      </c>
      <c r="AB91" s="647">
        <f>AB90</f>
        <v>12</v>
      </c>
      <c r="AC91" s="662"/>
      <c r="AD91" s="648">
        <f t="shared" ref="AD91:AD138" si="352">IFERROR(AE90+AC91,0)</f>
        <v>60026</v>
      </c>
      <c r="AE91" s="649">
        <f t="shared" si="224"/>
        <v>60025</v>
      </c>
      <c r="AF91" s="650"/>
      <c r="AG91" s="651">
        <v>1</v>
      </c>
      <c r="AH91" s="651"/>
      <c r="AI91" s="652">
        <f t="shared" si="311"/>
        <v>1</v>
      </c>
      <c r="AJ91" s="652">
        <f t="shared" si="351"/>
        <v>782</v>
      </c>
      <c r="AK91" s="652">
        <f t="shared" si="260"/>
        <v>0.16</v>
      </c>
      <c r="AL91" s="665">
        <f t="shared" si="285"/>
        <v>1.6659447572718489E-3</v>
      </c>
      <c r="AM91" s="654">
        <f t="shared" si="261"/>
        <v>3.5200000000000009</v>
      </c>
      <c r="AN91" s="156">
        <f t="shared" si="207"/>
        <v>1.29440195981064</v>
      </c>
      <c r="AO91" s="650">
        <v>2070</v>
      </c>
      <c r="AP91" s="652">
        <f t="shared" si="262"/>
        <v>58</v>
      </c>
      <c r="AQ91" s="669">
        <f t="shared" si="286"/>
        <v>34.485056475527273</v>
      </c>
      <c r="AR91" s="657">
        <f t="shared" ref="AR91:AR138" si="353">AR90+AQ91</f>
        <v>2016.8421936331229</v>
      </c>
      <c r="AS91" s="658">
        <f t="shared" si="263"/>
        <v>950</v>
      </c>
      <c r="AT91" s="666">
        <f>AT90</f>
        <v>888</v>
      </c>
      <c r="AU91" s="660">
        <f t="shared" si="331"/>
        <v>62</v>
      </c>
      <c r="AV91" s="658">
        <f t="shared" si="264"/>
        <v>82</v>
      </c>
      <c r="AW91" s="666">
        <f>AW90</f>
        <v>73</v>
      </c>
      <c r="AX91" s="660">
        <f t="shared" si="307"/>
        <v>9</v>
      </c>
      <c r="AZ91" s="646">
        <v>1</v>
      </c>
      <c r="BA91" s="647">
        <f>BA90</f>
        <v>12</v>
      </c>
      <c r="BB91" s="662"/>
      <c r="BC91" s="648">
        <f t="shared" si="225"/>
        <v>67672</v>
      </c>
      <c r="BD91" s="649">
        <f t="shared" si="226"/>
        <v>67668</v>
      </c>
      <c r="BE91" s="650"/>
      <c r="BF91" s="651">
        <v>4</v>
      </c>
      <c r="BG91" s="651"/>
      <c r="BH91" s="652">
        <f t="shared" si="312"/>
        <v>4</v>
      </c>
      <c r="BI91" s="652">
        <f t="shared" si="350"/>
        <v>1450</v>
      </c>
      <c r="BJ91" s="652">
        <f t="shared" si="265"/>
        <v>0.16</v>
      </c>
      <c r="BK91" s="653">
        <f t="shared" si="301"/>
        <v>5.9108641683414112E-3</v>
      </c>
      <c r="BL91" s="654">
        <f t="shared" si="266"/>
        <v>3.5200000000000009</v>
      </c>
      <c r="BM91" s="435">
        <f t="shared" si="160"/>
        <v>2.0994411142964702</v>
      </c>
      <c r="BN91" s="650">
        <v>2484</v>
      </c>
      <c r="BO91" s="652">
        <f t="shared" si="267"/>
        <v>58</v>
      </c>
      <c r="BP91" s="669">
        <f t="shared" si="302"/>
        <v>36.706466485400163</v>
      </c>
      <c r="BQ91" s="671">
        <f t="shared" si="304"/>
        <v>2720.0596291280863</v>
      </c>
      <c r="BR91" s="658">
        <f t="shared" si="268"/>
        <v>950</v>
      </c>
      <c r="BS91" s="666">
        <f>BS90</f>
        <v>902</v>
      </c>
      <c r="BT91" s="660">
        <f t="shared" si="332"/>
        <v>48</v>
      </c>
      <c r="BU91" s="658">
        <f t="shared" si="269"/>
        <v>82</v>
      </c>
      <c r="BV91" s="666">
        <f>BV90</f>
        <v>71</v>
      </c>
      <c r="BW91" s="660">
        <f t="shared" si="308"/>
        <v>11</v>
      </c>
      <c r="BY91" s="646">
        <v>1</v>
      </c>
      <c r="BZ91" s="647">
        <f>BZ90</f>
        <v>12</v>
      </c>
      <c r="CA91" s="662"/>
      <c r="CB91" s="652">
        <f t="shared" si="295"/>
        <v>51195</v>
      </c>
      <c r="CC91" s="673">
        <f t="shared" si="313"/>
        <v>51189</v>
      </c>
      <c r="CD91" s="650"/>
      <c r="CE91" s="651">
        <v>6</v>
      </c>
      <c r="CF91" s="651"/>
      <c r="CG91" s="652">
        <f t="shared" si="314"/>
        <v>6</v>
      </c>
      <c r="CH91" s="652">
        <f t="shared" si="309"/>
        <v>891</v>
      </c>
      <c r="CI91" s="652">
        <f t="shared" si="270"/>
        <v>0.16</v>
      </c>
      <c r="CJ91" s="653">
        <f t="shared" si="303"/>
        <v>0.11719894520949312</v>
      </c>
      <c r="CK91" s="654">
        <f t="shared" si="271"/>
        <v>3.5200000000000009</v>
      </c>
      <c r="CL91" s="156">
        <f t="shared" si="206"/>
        <v>1.7148136030331607</v>
      </c>
      <c r="CM91" s="650">
        <v>2340</v>
      </c>
      <c r="CN91" s="652">
        <f t="shared" si="272"/>
        <v>58</v>
      </c>
      <c r="CO91" s="669">
        <f t="shared" si="187"/>
        <v>45.707588631702315</v>
      </c>
      <c r="CP91" s="671">
        <f t="shared" si="296"/>
        <v>2912.246721387768</v>
      </c>
      <c r="CQ91" s="658">
        <f t="shared" si="273"/>
        <v>950</v>
      </c>
      <c r="CR91" s="666">
        <f>CR90</f>
        <v>946</v>
      </c>
      <c r="CS91" s="660">
        <f t="shared" si="333"/>
        <v>4</v>
      </c>
      <c r="CT91" s="658">
        <f t="shared" si="274"/>
        <v>82</v>
      </c>
      <c r="CU91" s="666">
        <f>CU90</f>
        <v>73</v>
      </c>
      <c r="CV91" s="660">
        <f t="shared" si="299"/>
        <v>9</v>
      </c>
    </row>
    <row r="92" spans="1:100" ht="17.25" thickBot="1" x14ac:dyDescent="0.3">
      <c r="B92" s="120">
        <v>2</v>
      </c>
      <c r="C92" s="7">
        <f t="shared" ref="C92:C96" si="354">C91</f>
        <v>12</v>
      </c>
      <c r="D92" s="133"/>
      <c r="E92" s="60">
        <f t="shared" si="204"/>
        <v>0</v>
      </c>
      <c r="F92" s="447">
        <f t="shared" si="205"/>
        <v>0</v>
      </c>
      <c r="G92" s="411"/>
      <c r="H92" s="135"/>
      <c r="I92" s="135"/>
      <c r="J92" s="14">
        <f t="shared" si="310"/>
        <v>0</v>
      </c>
      <c r="K92" s="14">
        <f t="shared" si="305"/>
        <v>9358</v>
      </c>
      <c r="L92" s="14">
        <f t="shared" si="255"/>
        <v>0.16</v>
      </c>
      <c r="M92" s="230">
        <f t="shared" si="277"/>
        <v>0</v>
      </c>
      <c r="N92" s="35">
        <f t="shared" si="256"/>
        <v>3.5200000000000009</v>
      </c>
      <c r="O92" s="157">
        <f t="shared" si="300"/>
        <v>0</v>
      </c>
      <c r="P92" s="134"/>
      <c r="Q92" s="14">
        <f t="shared" si="257"/>
        <v>58</v>
      </c>
      <c r="R92" s="480">
        <f t="shared" si="278"/>
        <v>0</v>
      </c>
      <c r="S92" s="470">
        <f t="shared" si="306"/>
        <v>0</v>
      </c>
      <c r="T92" s="51">
        <f t="shared" si="258"/>
        <v>950</v>
      </c>
      <c r="U92" s="103">
        <f t="shared" ref="U92:U96" si="355">U91</f>
        <v>0</v>
      </c>
      <c r="V92" s="46">
        <f t="shared" si="280"/>
        <v>950</v>
      </c>
      <c r="W92" s="51">
        <f t="shared" si="259"/>
        <v>82</v>
      </c>
      <c r="X92" s="103">
        <f t="shared" ref="X92:X96" si="356">X91</f>
        <v>0</v>
      </c>
      <c r="Y92" s="46">
        <f t="shared" si="282"/>
        <v>82</v>
      </c>
      <c r="Z92" s="487"/>
      <c r="AA92" s="120">
        <v>2</v>
      </c>
      <c r="AB92" s="7">
        <f t="shared" ref="AB92:AB96" si="357">AB91</f>
        <v>12</v>
      </c>
      <c r="AC92" s="133"/>
      <c r="AD92" s="48">
        <f t="shared" si="352"/>
        <v>60025</v>
      </c>
      <c r="AE92" s="196">
        <f t="shared" si="224"/>
        <v>60019</v>
      </c>
      <c r="AF92" s="405"/>
      <c r="AG92" s="135">
        <v>6</v>
      </c>
      <c r="AH92" s="135"/>
      <c r="AI92" s="14">
        <f t="shared" si="311"/>
        <v>6</v>
      </c>
      <c r="AJ92" s="14">
        <f t="shared" si="351"/>
        <v>788</v>
      </c>
      <c r="AK92" s="14">
        <f t="shared" si="260"/>
        <v>0.16</v>
      </c>
      <c r="AL92" s="230">
        <f t="shared" si="285"/>
        <v>9.9958350687213669E-3</v>
      </c>
      <c r="AM92" s="35">
        <f t="shared" si="261"/>
        <v>3.5200000000000009</v>
      </c>
      <c r="AN92" s="156">
        <f t="shared" si="207"/>
        <v>1.3043334326480618</v>
      </c>
      <c r="AO92" s="134">
        <v>3762</v>
      </c>
      <c r="AP92" s="14">
        <f t="shared" si="262"/>
        <v>58</v>
      </c>
      <c r="AQ92" s="480">
        <f t="shared" si="286"/>
        <v>62.673885880882963</v>
      </c>
      <c r="AR92" s="470">
        <f t="shared" si="353"/>
        <v>2079.5160795140059</v>
      </c>
      <c r="AS92" s="51">
        <f t="shared" si="263"/>
        <v>950</v>
      </c>
      <c r="AT92" s="103">
        <f t="shared" ref="AT92:AT96" si="358">AT91</f>
        <v>888</v>
      </c>
      <c r="AU92" s="46">
        <f t="shared" si="331"/>
        <v>62</v>
      </c>
      <c r="AV92" s="51">
        <f t="shared" si="264"/>
        <v>82</v>
      </c>
      <c r="AW92" s="103">
        <f t="shared" ref="AW92:AW96" si="359">AW91</f>
        <v>73</v>
      </c>
      <c r="AX92" s="46">
        <f t="shared" si="307"/>
        <v>9</v>
      </c>
      <c r="AZ92" s="120">
        <v>2</v>
      </c>
      <c r="BA92" s="7">
        <f t="shared" ref="BA92:BA96" si="360">BA91</f>
        <v>12</v>
      </c>
      <c r="BB92" s="133"/>
      <c r="BC92" s="48">
        <f t="shared" si="225"/>
        <v>67668</v>
      </c>
      <c r="BD92" s="196">
        <f t="shared" si="226"/>
        <v>67663</v>
      </c>
      <c r="BE92" s="405"/>
      <c r="BF92" s="135">
        <v>5</v>
      </c>
      <c r="BG92" s="135"/>
      <c r="BH92" s="14">
        <f t="shared" si="312"/>
        <v>5</v>
      </c>
      <c r="BI92" s="14">
        <f t="shared" si="350"/>
        <v>1455</v>
      </c>
      <c r="BJ92" s="14">
        <f t="shared" si="265"/>
        <v>0.16</v>
      </c>
      <c r="BK92" s="47">
        <f t="shared" si="301"/>
        <v>7.3890169651829518E-3</v>
      </c>
      <c r="BL92" s="35">
        <f t="shared" si="266"/>
        <v>3.5200000000000009</v>
      </c>
      <c r="BM92" s="435">
        <f t="shared" si="160"/>
        <v>2.1066805664147337</v>
      </c>
      <c r="BN92" s="134">
        <v>3096</v>
      </c>
      <c r="BO92" s="14">
        <f t="shared" si="267"/>
        <v>58</v>
      </c>
      <c r="BP92" s="442">
        <f t="shared" si="302"/>
        <v>45.752793048412833</v>
      </c>
      <c r="BQ92" s="68">
        <f t="shared" si="304"/>
        <v>2765.8124221764992</v>
      </c>
      <c r="BR92" s="51">
        <f t="shared" si="268"/>
        <v>950</v>
      </c>
      <c r="BS92" s="103">
        <f t="shared" ref="BS92:BS96" si="361">BS91</f>
        <v>902</v>
      </c>
      <c r="BT92" s="46">
        <f t="shared" si="332"/>
        <v>48</v>
      </c>
      <c r="BU92" s="51">
        <f t="shared" si="269"/>
        <v>82</v>
      </c>
      <c r="BV92" s="103">
        <f t="shared" ref="BV92:BV96" si="362">BV91</f>
        <v>71</v>
      </c>
      <c r="BW92" s="46">
        <f t="shared" si="308"/>
        <v>11</v>
      </c>
      <c r="BY92" s="120">
        <f t="shared" ref="BY92:BY95" si="363">BY91+1</f>
        <v>2</v>
      </c>
      <c r="BZ92" s="7">
        <f t="shared" ref="BZ92:BZ96" si="364">BZ91</f>
        <v>12</v>
      </c>
      <c r="CA92" s="133"/>
      <c r="CB92" s="14">
        <f t="shared" si="295"/>
        <v>51189</v>
      </c>
      <c r="CC92" s="59">
        <f t="shared" si="313"/>
        <v>51184</v>
      </c>
      <c r="CD92" s="405"/>
      <c r="CE92" s="406">
        <v>5</v>
      </c>
      <c r="CF92" s="406"/>
      <c r="CG92" s="14">
        <f t="shared" si="314"/>
        <v>5</v>
      </c>
      <c r="CH92" s="14">
        <f t="shared" si="309"/>
        <v>896</v>
      </c>
      <c r="CI92" s="14">
        <f t="shared" si="270"/>
        <v>0.16</v>
      </c>
      <c r="CJ92" s="47">
        <f t="shared" si="303"/>
        <v>9.767723534353083E-2</v>
      </c>
      <c r="CK92" s="35">
        <f t="shared" si="271"/>
        <v>3.5200000000000009</v>
      </c>
      <c r="CL92" s="156">
        <f t="shared" si="206"/>
        <v>1.7244365749918205</v>
      </c>
      <c r="CM92" s="134">
        <v>1980</v>
      </c>
      <c r="CN92" s="14">
        <f t="shared" si="272"/>
        <v>58</v>
      </c>
      <c r="CO92" s="442">
        <f t="shared" si="187"/>
        <v>38.680185196038209</v>
      </c>
      <c r="CP92" s="68">
        <f t="shared" si="296"/>
        <v>2950.9269065838062</v>
      </c>
      <c r="CQ92" s="51">
        <f t="shared" si="273"/>
        <v>950</v>
      </c>
      <c r="CR92" s="103">
        <f t="shared" ref="CR92:CR96" si="365">CR91</f>
        <v>946</v>
      </c>
      <c r="CS92" s="46">
        <f t="shared" si="333"/>
        <v>4</v>
      </c>
      <c r="CT92" s="51">
        <f t="shared" si="274"/>
        <v>82</v>
      </c>
      <c r="CU92" s="103">
        <f t="shared" ref="CU92:CU96" si="366">CU91</f>
        <v>73</v>
      </c>
      <c r="CV92" s="46">
        <f t="shared" si="299"/>
        <v>9</v>
      </c>
    </row>
    <row r="93" spans="1:100" ht="17.25" thickBot="1" x14ac:dyDescent="0.3">
      <c r="B93" s="120">
        <f t="shared" ref="B93:B96" si="367">B92+1</f>
        <v>3</v>
      </c>
      <c r="C93" s="7">
        <f t="shared" si="354"/>
        <v>12</v>
      </c>
      <c r="D93" s="133"/>
      <c r="E93" s="48">
        <f t="shared" si="204"/>
        <v>0</v>
      </c>
      <c r="F93" s="49">
        <f t="shared" si="205"/>
        <v>0</v>
      </c>
      <c r="G93" s="411"/>
      <c r="H93" s="135"/>
      <c r="I93" s="135"/>
      <c r="J93" s="14">
        <f t="shared" si="310"/>
        <v>0</v>
      </c>
      <c r="K93" s="14">
        <f t="shared" si="305"/>
        <v>9358</v>
      </c>
      <c r="L93" s="14">
        <f t="shared" si="255"/>
        <v>0.16</v>
      </c>
      <c r="M93" s="47">
        <f t="shared" si="277"/>
        <v>0</v>
      </c>
      <c r="N93" s="35">
        <f t="shared" si="256"/>
        <v>3.5200000000000009</v>
      </c>
      <c r="O93" s="157">
        <f t="shared" si="300"/>
        <v>0</v>
      </c>
      <c r="P93" s="142"/>
      <c r="Q93" s="14">
        <f t="shared" si="257"/>
        <v>58</v>
      </c>
      <c r="R93" s="482">
        <f t="shared" si="278"/>
        <v>0</v>
      </c>
      <c r="S93" s="470">
        <f t="shared" si="306"/>
        <v>0</v>
      </c>
      <c r="T93" s="51">
        <f t="shared" si="258"/>
        <v>950</v>
      </c>
      <c r="U93" s="103">
        <f t="shared" si="355"/>
        <v>0</v>
      </c>
      <c r="V93" s="46">
        <f t="shared" si="280"/>
        <v>950</v>
      </c>
      <c r="W93" s="51">
        <f t="shared" si="259"/>
        <v>82</v>
      </c>
      <c r="X93" s="103">
        <f t="shared" si="356"/>
        <v>0</v>
      </c>
      <c r="Y93" s="46">
        <f t="shared" si="282"/>
        <v>82</v>
      </c>
      <c r="Z93" s="487"/>
      <c r="AA93" s="120">
        <f t="shared" ref="AA93:AA96" si="368">AA92+1</f>
        <v>3</v>
      </c>
      <c r="AB93" s="7">
        <f t="shared" si="357"/>
        <v>12</v>
      </c>
      <c r="AC93" s="133"/>
      <c r="AD93" s="48">
        <f t="shared" si="352"/>
        <v>60019</v>
      </c>
      <c r="AE93" s="196">
        <f t="shared" si="224"/>
        <v>60013</v>
      </c>
      <c r="AF93" s="405"/>
      <c r="AG93" s="135">
        <v>6</v>
      </c>
      <c r="AH93" s="135"/>
      <c r="AI93" s="14">
        <f t="shared" si="311"/>
        <v>6</v>
      </c>
      <c r="AJ93" s="14">
        <f t="shared" si="351"/>
        <v>794</v>
      </c>
      <c r="AK93" s="14">
        <f t="shared" si="260"/>
        <v>0.16</v>
      </c>
      <c r="AL93" s="47">
        <f t="shared" si="285"/>
        <v>9.996834335793665E-3</v>
      </c>
      <c r="AM93" s="35">
        <f t="shared" si="261"/>
        <v>3.5200000000000009</v>
      </c>
      <c r="AN93" s="156">
        <f t="shared" si="207"/>
        <v>1.3142649054854836</v>
      </c>
      <c r="AO93" s="142">
        <v>4122</v>
      </c>
      <c r="AP93" s="14">
        <f t="shared" si="262"/>
        <v>58</v>
      </c>
      <c r="AQ93" s="482">
        <f t="shared" si="286"/>
        <v>68.678251886902473</v>
      </c>
      <c r="AR93" s="470">
        <f t="shared" si="353"/>
        <v>2148.1943314009086</v>
      </c>
      <c r="AS93" s="51">
        <f t="shared" si="263"/>
        <v>950</v>
      </c>
      <c r="AT93" s="103">
        <f t="shared" si="358"/>
        <v>888</v>
      </c>
      <c r="AU93" s="46">
        <f t="shared" si="331"/>
        <v>62</v>
      </c>
      <c r="AV93" s="51">
        <f t="shared" si="264"/>
        <v>82</v>
      </c>
      <c r="AW93" s="103">
        <f t="shared" si="359"/>
        <v>73</v>
      </c>
      <c r="AX93" s="46">
        <f t="shared" si="307"/>
        <v>9</v>
      </c>
      <c r="AZ93" s="120">
        <f t="shared" ref="AZ93:AZ96" si="369">AZ92+1</f>
        <v>3</v>
      </c>
      <c r="BA93" s="7">
        <f t="shared" si="360"/>
        <v>12</v>
      </c>
      <c r="BB93" s="133"/>
      <c r="BC93" s="48">
        <f t="shared" si="225"/>
        <v>67663</v>
      </c>
      <c r="BD93" s="196">
        <f t="shared" si="226"/>
        <v>67656</v>
      </c>
      <c r="BE93" s="405"/>
      <c r="BF93" s="135">
        <v>7</v>
      </c>
      <c r="BG93" s="135"/>
      <c r="BH93" s="14">
        <f t="shared" si="312"/>
        <v>7</v>
      </c>
      <c r="BI93" s="14">
        <f t="shared" si="350"/>
        <v>1462</v>
      </c>
      <c r="BJ93" s="14">
        <f t="shared" si="265"/>
        <v>0.16</v>
      </c>
      <c r="BK93" s="47">
        <f t="shared" si="301"/>
        <v>1.0345388173743406E-2</v>
      </c>
      <c r="BL93" s="35">
        <f t="shared" si="266"/>
        <v>3.5200000000000009</v>
      </c>
      <c r="BM93" s="435">
        <f t="shared" si="160"/>
        <v>2.1168157993803027</v>
      </c>
      <c r="BN93" s="142">
        <v>2916</v>
      </c>
      <c r="BO93" s="14">
        <f t="shared" si="267"/>
        <v>58</v>
      </c>
      <c r="BP93" s="442">
        <f t="shared" si="302"/>
        <v>43.095931306622525</v>
      </c>
      <c r="BQ93" s="68">
        <f t="shared" si="304"/>
        <v>2808.9083534831216</v>
      </c>
      <c r="BR93" s="51">
        <f t="shared" si="268"/>
        <v>950</v>
      </c>
      <c r="BS93" s="103">
        <f t="shared" si="361"/>
        <v>902</v>
      </c>
      <c r="BT93" s="46">
        <f t="shared" si="332"/>
        <v>48</v>
      </c>
      <c r="BU93" s="51">
        <f t="shared" si="269"/>
        <v>82</v>
      </c>
      <c r="BV93" s="103">
        <f t="shared" si="362"/>
        <v>71</v>
      </c>
      <c r="BW93" s="46">
        <f t="shared" si="308"/>
        <v>11</v>
      </c>
      <c r="BY93" s="120">
        <f t="shared" si="363"/>
        <v>3</v>
      </c>
      <c r="BZ93" s="7">
        <f t="shared" si="364"/>
        <v>12</v>
      </c>
      <c r="CA93" s="133"/>
      <c r="CB93" s="14">
        <f t="shared" si="295"/>
        <v>51184</v>
      </c>
      <c r="CC93" s="59">
        <f t="shared" si="313"/>
        <v>51181</v>
      </c>
      <c r="CD93" s="405"/>
      <c r="CE93" s="406">
        <v>3</v>
      </c>
      <c r="CF93" s="406"/>
      <c r="CG93" s="14">
        <f t="shared" si="314"/>
        <v>3</v>
      </c>
      <c r="CH93" s="14">
        <f t="shared" si="309"/>
        <v>899</v>
      </c>
      <c r="CI93" s="14">
        <f t="shared" si="270"/>
        <v>0.16</v>
      </c>
      <c r="CJ93" s="47">
        <f t="shared" si="303"/>
        <v>5.8612066270709598E-2</v>
      </c>
      <c r="CK93" s="35">
        <f t="shared" si="271"/>
        <v>3.5200000000000009</v>
      </c>
      <c r="CL93" s="156">
        <f t="shared" si="206"/>
        <v>1.7302103581670163</v>
      </c>
      <c r="CM93" s="142">
        <v>2340</v>
      </c>
      <c r="CN93" s="14">
        <f t="shared" si="272"/>
        <v>58</v>
      </c>
      <c r="CO93" s="442">
        <f t="shared" si="187"/>
        <v>45.717411691153487</v>
      </c>
      <c r="CP93" s="68">
        <f t="shared" si="296"/>
        <v>2996.6443182749595</v>
      </c>
      <c r="CQ93" s="51">
        <f t="shared" si="273"/>
        <v>950</v>
      </c>
      <c r="CR93" s="103">
        <f t="shared" si="365"/>
        <v>946</v>
      </c>
      <c r="CS93" s="46">
        <f t="shared" si="333"/>
        <v>4</v>
      </c>
      <c r="CT93" s="50">
        <f t="shared" si="274"/>
        <v>82</v>
      </c>
      <c r="CU93" s="103">
        <f t="shared" si="366"/>
        <v>73</v>
      </c>
      <c r="CV93" s="46">
        <f t="shared" si="299"/>
        <v>9</v>
      </c>
    </row>
    <row r="94" spans="1:100" ht="17.25" thickBot="1" x14ac:dyDescent="0.3">
      <c r="B94" s="120">
        <f t="shared" si="367"/>
        <v>4</v>
      </c>
      <c r="C94" s="7">
        <f t="shared" si="354"/>
        <v>12</v>
      </c>
      <c r="D94" s="133"/>
      <c r="E94" s="48">
        <f t="shared" si="204"/>
        <v>0</v>
      </c>
      <c r="F94" s="49">
        <f t="shared" si="205"/>
        <v>0</v>
      </c>
      <c r="G94" s="411"/>
      <c r="H94" s="135"/>
      <c r="I94" s="135"/>
      <c r="J94" s="14">
        <f t="shared" si="310"/>
        <v>0</v>
      </c>
      <c r="K94" s="14">
        <f t="shared" si="305"/>
        <v>9358</v>
      </c>
      <c r="L94" s="14">
        <f t="shared" si="255"/>
        <v>0.16</v>
      </c>
      <c r="M94" s="231">
        <f t="shared" si="277"/>
        <v>0</v>
      </c>
      <c r="N94" s="35">
        <f t="shared" si="256"/>
        <v>3.5200000000000009</v>
      </c>
      <c r="O94" s="157">
        <f t="shared" si="300"/>
        <v>0</v>
      </c>
      <c r="P94" s="134"/>
      <c r="Q94" s="14">
        <f t="shared" si="257"/>
        <v>58</v>
      </c>
      <c r="R94" s="442">
        <f t="shared" si="278"/>
        <v>0</v>
      </c>
      <c r="S94" s="470">
        <f t="shared" si="306"/>
        <v>0</v>
      </c>
      <c r="T94" s="51">
        <f t="shared" si="258"/>
        <v>950</v>
      </c>
      <c r="U94" s="103">
        <f t="shared" si="355"/>
        <v>0</v>
      </c>
      <c r="V94" s="46">
        <f t="shared" si="280"/>
        <v>950</v>
      </c>
      <c r="W94" s="51">
        <f t="shared" si="259"/>
        <v>82</v>
      </c>
      <c r="X94" s="103">
        <f t="shared" si="356"/>
        <v>0</v>
      </c>
      <c r="Y94" s="46">
        <f t="shared" si="282"/>
        <v>82</v>
      </c>
      <c r="Z94" s="487"/>
      <c r="AA94" s="120">
        <f t="shared" si="368"/>
        <v>4</v>
      </c>
      <c r="AB94" s="7">
        <f t="shared" si="357"/>
        <v>12</v>
      </c>
      <c r="AC94" s="133"/>
      <c r="AD94" s="48">
        <f t="shared" si="352"/>
        <v>60013</v>
      </c>
      <c r="AE94" s="196">
        <f t="shared" si="224"/>
        <v>60009</v>
      </c>
      <c r="AF94" s="405"/>
      <c r="AG94" s="135">
        <v>4</v>
      </c>
      <c r="AH94" s="135"/>
      <c r="AI94" s="14">
        <f t="shared" si="311"/>
        <v>4</v>
      </c>
      <c r="AJ94" s="14">
        <f t="shared" si="351"/>
        <v>798</v>
      </c>
      <c r="AK94" s="14">
        <f t="shared" si="260"/>
        <v>0.16</v>
      </c>
      <c r="AL94" s="231">
        <f t="shared" si="285"/>
        <v>6.6652225351173915E-3</v>
      </c>
      <c r="AM94" s="35">
        <f t="shared" si="261"/>
        <v>3.5200000000000009</v>
      </c>
      <c r="AN94" s="156">
        <f t="shared" si="207"/>
        <v>1.3208858873770981</v>
      </c>
      <c r="AO94" s="134">
        <v>3619</v>
      </c>
      <c r="AP94" s="14">
        <f t="shared" si="262"/>
        <v>58</v>
      </c>
      <c r="AQ94" s="442">
        <f t="shared" si="286"/>
        <v>60.303600886474591</v>
      </c>
      <c r="AR94" s="470">
        <f t="shared" si="353"/>
        <v>2208.4979322873833</v>
      </c>
      <c r="AS94" s="51">
        <f t="shared" si="263"/>
        <v>950</v>
      </c>
      <c r="AT94" s="103">
        <f t="shared" si="358"/>
        <v>888</v>
      </c>
      <c r="AU94" s="46">
        <f t="shared" si="331"/>
        <v>62</v>
      </c>
      <c r="AV94" s="51">
        <f t="shared" si="264"/>
        <v>82</v>
      </c>
      <c r="AW94" s="103">
        <f t="shared" si="359"/>
        <v>73</v>
      </c>
      <c r="AX94" s="46">
        <f t="shared" si="307"/>
        <v>9</v>
      </c>
      <c r="AZ94" s="120">
        <f t="shared" si="369"/>
        <v>4</v>
      </c>
      <c r="BA94" s="7">
        <f t="shared" si="360"/>
        <v>12</v>
      </c>
      <c r="BB94" s="133"/>
      <c r="BC94" s="48">
        <f t="shared" si="225"/>
        <v>67656</v>
      </c>
      <c r="BD94" s="196">
        <f t="shared" si="226"/>
        <v>67650</v>
      </c>
      <c r="BE94" s="405"/>
      <c r="BF94" s="135">
        <v>6</v>
      </c>
      <c r="BG94" s="135"/>
      <c r="BH94" s="14">
        <f t="shared" si="312"/>
        <v>6</v>
      </c>
      <c r="BI94" s="14">
        <f t="shared" si="350"/>
        <v>1468</v>
      </c>
      <c r="BJ94" s="14">
        <f t="shared" si="265"/>
        <v>0.16</v>
      </c>
      <c r="BK94" s="47">
        <f t="shared" si="301"/>
        <v>8.8683930471798508E-3</v>
      </c>
      <c r="BL94" s="35">
        <f t="shared" si="266"/>
        <v>3.5200000000000009</v>
      </c>
      <c r="BM94" s="435">
        <f t="shared" si="160"/>
        <v>2.1255031419222195</v>
      </c>
      <c r="BN94" s="134">
        <v>3690</v>
      </c>
      <c r="BO94" s="14">
        <f t="shared" si="267"/>
        <v>58</v>
      </c>
      <c r="BP94" s="442">
        <f t="shared" si="302"/>
        <v>54.540617240156081</v>
      </c>
      <c r="BQ94" s="68">
        <f t="shared" si="304"/>
        <v>2863.4489707232779</v>
      </c>
      <c r="BR94" s="51">
        <f t="shared" si="268"/>
        <v>950</v>
      </c>
      <c r="BS94" s="103">
        <f t="shared" si="361"/>
        <v>902</v>
      </c>
      <c r="BT94" s="46">
        <f t="shared" si="332"/>
        <v>48</v>
      </c>
      <c r="BU94" s="51">
        <f t="shared" si="269"/>
        <v>82</v>
      </c>
      <c r="BV94" s="103">
        <f t="shared" si="362"/>
        <v>71</v>
      </c>
      <c r="BW94" s="46">
        <f t="shared" si="308"/>
        <v>11</v>
      </c>
      <c r="BY94" s="120">
        <f t="shared" si="363"/>
        <v>4</v>
      </c>
      <c r="BZ94" s="7">
        <f t="shared" si="364"/>
        <v>12</v>
      </c>
      <c r="CA94" s="133"/>
      <c r="CB94" s="14">
        <f t="shared" si="295"/>
        <v>51181</v>
      </c>
      <c r="CC94" s="59">
        <f t="shared" si="313"/>
        <v>51179</v>
      </c>
      <c r="CD94" s="405"/>
      <c r="CE94" s="406">
        <v>2</v>
      </c>
      <c r="CF94" s="406"/>
      <c r="CG94" s="14">
        <f t="shared" si="314"/>
        <v>2</v>
      </c>
      <c r="CH94" s="14">
        <f t="shared" si="309"/>
        <v>901</v>
      </c>
      <c r="CI94" s="14">
        <f t="shared" si="270"/>
        <v>0.16</v>
      </c>
      <c r="CJ94" s="47">
        <f t="shared" si="303"/>
        <v>3.9077001230925536E-2</v>
      </c>
      <c r="CK94" s="35">
        <f t="shared" si="271"/>
        <v>3.5200000000000009</v>
      </c>
      <c r="CL94" s="156">
        <f t="shared" si="206"/>
        <v>1.7340595469504803</v>
      </c>
      <c r="CM94" s="134">
        <v>4140</v>
      </c>
      <c r="CN94" s="14">
        <f t="shared" si="272"/>
        <v>58</v>
      </c>
      <c r="CO94" s="442">
        <f t="shared" si="187"/>
        <v>80.889392548015863</v>
      </c>
      <c r="CP94" s="68">
        <f t="shared" si="296"/>
        <v>3077.5337108229755</v>
      </c>
      <c r="CQ94" s="51">
        <f t="shared" si="273"/>
        <v>950</v>
      </c>
      <c r="CR94" s="103">
        <f t="shared" si="365"/>
        <v>946</v>
      </c>
      <c r="CS94" s="46">
        <f t="shared" si="333"/>
        <v>4</v>
      </c>
      <c r="CT94" s="51">
        <f t="shared" si="274"/>
        <v>82</v>
      </c>
      <c r="CU94" s="103">
        <f t="shared" si="366"/>
        <v>73</v>
      </c>
      <c r="CV94" s="46">
        <f t="shared" si="299"/>
        <v>9</v>
      </c>
    </row>
    <row r="95" spans="1:100" ht="17.25" thickBot="1" x14ac:dyDescent="0.3">
      <c r="B95" s="120">
        <f t="shared" si="367"/>
        <v>5</v>
      </c>
      <c r="C95" s="7">
        <f t="shared" si="354"/>
        <v>12</v>
      </c>
      <c r="D95" s="133"/>
      <c r="E95" s="48">
        <f t="shared" si="204"/>
        <v>0</v>
      </c>
      <c r="F95" s="49">
        <f t="shared" si="205"/>
        <v>0</v>
      </c>
      <c r="G95" s="411"/>
      <c r="H95" s="135"/>
      <c r="I95" s="135"/>
      <c r="J95" s="14">
        <f t="shared" si="310"/>
        <v>0</v>
      </c>
      <c r="K95" s="14">
        <f t="shared" si="305"/>
        <v>9358</v>
      </c>
      <c r="L95" s="14">
        <f t="shared" si="255"/>
        <v>0.16</v>
      </c>
      <c r="M95" s="230">
        <f t="shared" si="277"/>
        <v>0</v>
      </c>
      <c r="N95" s="35">
        <f t="shared" si="256"/>
        <v>3.5200000000000009</v>
      </c>
      <c r="O95" s="157">
        <f t="shared" si="300"/>
        <v>0</v>
      </c>
      <c r="P95" s="134"/>
      <c r="Q95" s="14">
        <f t="shared" si="257"/>
        <v>58</v>
      </c>
      <c r="R95" s="442">
        <f t="shared" si="278"/>
        <v>0</v>
      </c>
      <c r="S95" s="470">
        <f t="shared" si="306"/>
        <v>0</v>
      </c>
      <c r="T95" s="51">
        <f t="shared" si="258"/>
        <v>950</v>
      </c>
      <c r="U95" s="103">
        <f t="shared" si="355"/>
        <v>0</v>
      </c>
      <c r="V95" s="46">
        <f t="shared" si="280"/>
        <v>950</v>
      </c>
      <c r="W95" s="12">
        <f t="shared" si="259"/>
        <v>82</v>
      </c>
      <c r="X95" s="103">
        <f t="shared" si="356"/>
        <v>0</v>
      </c>
      <c r="Y95" s="62">
        <f t="shared" si="282"/>
        <v>82</v>
      </c>
      <c r="Z95" s="487"/>
      <c r="AA95" s="120">
        <f t="shared" si="368"/>
        <v>5</v>
      </c>
      <c r="AB95" s="7">
        <f t="shared" si="357"/>
        <v>12</v>
      </c>
      <c r="AC95" s="133"/>
      <c r="AD95" s="48">
        <f t="shared" si="352"/>
        <v>60009</v>
      </c>
      <c r="AE95" s="196">
        <f t="shared" si="224"/>
        <v>60003</v>
      </c>
      <c r="AF95" s="405"/>
      <c r="AG95" s="135">
        <v>6</v>
      </c>
      <c r="AH95" s="135"/>
      <c r="AI95" s="14">
        <f t="shared" si="311"/>
        <v>6</v>
      </c>
      <c r="AJ95" s="14">
        <f t="shared" si="351"/>
        <v>804</v>
      </c>
      <c r="AK95" s="14">
        <f t="shared" si="260"/>
        <v>0.16</v>
      </c>
      <c r="AL95" s="230">
        <f t="shared" si="285"/>
        <v>9.9985002249662544E-3</v>
      </c>
      <c r="AM95" s="35">
        <f t="shared" si="261"/>
        <v>3.5200000000000009</v>
      </c>
      <c r="AN95" s="156">
        <f t="shared" si="207"/>
        <v>1.3308173602145199</v>
      </c>
      <c r="AO95" s="134">
        <v>3069</v>
      </c>
      <c r="AP95" s="14">
        <f t="shared" si="262"/>
        <v>58</v>
      </c>
      <c r="AQ95" s="442">
        <f t="shared" si="286"/>
        <v>51.142328650702396</v>
      </c>
      <c r="AR95" s="470">
        <f t="shared" si="353"/>
        <v>2259.6402609380857</v>
      </c>
      <c r="AS95" s="51">
        <f t="shared" si="263"/>
        <v>950</v>
      </c>
      <c r="AT95" s="103">
        <f t="shared" si="358"/>
        <v>888</v>
      </c>
      <c r="AU95" s="46">
        <f t="shared" si="331"/>
        <v>62</v>
      </c>
      <c r="AV95" s="12">
        <f t="shared" si="264"/>
        <v>82</v>
      </c>
      <c r="AW95" s="103">
        <f t="shared" si="359"/>
        <v>73</v>
      </c>
      <c r="AX95" s="62">
        <f t="shared" si="307"/>
        <v>9</v>
      </c>
      <c r="AZ95" s="120">
        <f t="shared" si="369"/>
        <v>5</v>
      </c>
      <c r="BA95" s="7">
        <f t="shared" si="360"/>
        <v>12</v>
      </c>
      <c r="BB95" s="133"/>
      <c r="BC95" s="48">
        <f t="shared" si="225"/>
        <v>67650</v>
      </c>
      <c r="BD95" s="196">
        <f t="shared" si="226"/>
        <v>67642</v>
      </c>
      <c r="BE95" s="405"/>
      <c r="BF95" s="135">
        <v>8</v>
      </c>
      <c r="BG95" s="135"/>
      <c r="BH95" s="14">
        <f t="shared" si="312"/>
        <v>8</v>
      </c>
      <c r="BI95" s="14">
        <f t="shared" si="350"/>
        <v>1476</v>
      </c>
      <c r="BJ95" s="14">
        <f t="shared" si="265"/>
        <v>0.16</v>
      </c>
      <c r="BK95" s="47">
        <f t="shared" si="301"/>
        <v>1.1825572801182557E-2</v>
      </c>
      <c r="BL95" s="35">
        <f t="shared" si="266"/>
        <v>3.5200000000000009</v>
      </c>
      <c r="BM95" s="435">
        <f t="shared" si="160"/>
        <v>2.1370862653114413</v>
      </c>
      <c r="BN95" s="134">
        <v>3717</v>
      </c>
      <c r="BO95" s="14">
        <f t="shared" si="267"/>
        <v>58</v>
      </c>
      <c r="BP95" s="442">
        <f t="shared" si="302"/>
        <v>54.944567627494457</v>
      </c>
      <c r="BQ95" s="68">
        <f t="shared" si="304"/>
        <v>2918.3935383507724</v>
      </c>
      <c r="BR95" s="51">
        <f t="shared" si="268"/>
        <v>950</v>
      </c>
      <c r="BS95" s="103">
        <f t="shared" si="361"/>
        <v>902</v>
      </c>
      <c r="BT95" s="46">
        <f t="shared" si="332"/>
        <v>48</v>
      </c>
      <c r="BU95" s="12">
        <f t="shared" si="269"/>
        <v>82</v>
      </c>
      <c r="BV95" s="103">
        <f t="shared" si="362"/>
        <v>71</v>
      </c>
      <c r="BW95" s="62">
        <f t="shared" si="308"/>
        <v>11</v>
      </c>
      <c r="BY95" s="120">
        <f t="shared" si="363"/>
        <v>5</v>
      </c>
      <c r="BZ95" s="7">
        <f t="shared" si="364"/>
        <v>12</v>
      </c>
      <c r="CA95" s="133"/>
      <c r="CB95" s="14">
        <f t="shared" si="295"/>
        <v>51179</v>
      </c>
      <c r="CC95" s="59">
        <f t="shared" si="313"/>
        <v>51176</v>
      </c>
      <c r="CD95" s="405"/>
      <c r="CE95" s="406">
        <v>3</v>
      </c>
      <c r="CF95" s="406"/>
      <c r="CG95" s="14">
        <f t="shared" si="314"/>
        <v>3</v>
      </c>
      <c r="CH95" s="14">
        <f t="shared" si="309"/>
        <v>904</v>
      </c>
      <c r="CI95" s="14">
        <f t="shared" si="270"/>
        <v>0.16</v>
      </c>
      <c r="CJ95" s="47">
        <f t="shared" si="303"/>
        <v>5.8617792453936182E-2</v>
      </c>
      <c r="CK95" s="35">
        <f t="shared" si="271"/>
        <v>3.5200000000000009</v>
      </c>
      <c r="CL95" s="156">
        <f t="shared" si="206"/>
        <v>1.7398333301256761</v>
      </c>
      <c r="CM95" s="134">
        <v>4680</v>
      </c>
      <c r="CN95" s="14">
        <f t="shared" si="272"/>
        <v>58</v>
      </c>
      <c r="CO95" s="442">
        <f t="shared" si="187"/>
        <v>91.443756228140458</v>
      </c>
      <c r="CP95" s="68">
        <f t="shared" si="296"/>
        <v>3168.977467051116</v>
      </c>
      <c r="CQ95" s="51">
        <f t="shared" si="273"/>
        <v>950</v>
      </c>
      <c r="CR95" s="103">
        <f t="shared" si="365"/>
        <v>946</v>
      </c>
      <c r="CS95" s="46">
        <f t="shared" si="333"/>
        <v>4</v>
      </c>
      <c r="CT95" s="51">
        <f t="shared" si="274"/>
        <v>82</v>
      </c>
      <c r="CU95" s="103">
        <f t="shared" si="366"/>
        <v>73</v>
      </c>
      <c r="CV95" s="62">
        <f t="shared" si="299"/>
        <v>9</v>
      </c>
    </row>
    <row r="96" spans="1:100" ht="17.25" thickBot="1" x14ac:dyDescent="0.3">
      <c r="B96" s="120">
        <f t="shared" si="367"/>
        <v>6</v>
      </c>
      <c r="C96" s="8">
        <f t="shared" si="354"/>
        <v>12</v>
      </c>
      <c r="D96" s="136"/>
      <c r="E96" s="54">
        <f t="shared" si="204"/>
        <v>0</v>
      </c>
      <c r="F96" s="55">
        <f t="shared" si="205"/>
        <v>0</v>
      </c>
      <c r="G96" s="567"/>
      <c r="H96" s="138"/>
      <c r="I96" s="138"/>
      <c r="J96" s="34">
        <f t="shared" si="310"/>
        <v>0</v>
      </c>
      <c r="K96" s="34">
        <f t="shared" si="305"/>
        <v>9358</v>
      </c>
      <c r="L96" s="17">
        <f t="shared" si="255"/>
        <v>0.16</v>
      </c>
      <c r="M96" s="96">
        <f t="shared" si="277"/>
        <v>0</v>
      </c>
      <c r="N96" s="33">
        <f t="shared" si="256"/>
        <v>3.5200000000000009</v>
      </c>
      <c r="O96" s="156">
        <f t="shared" si="300"/>
        <v>0</v>
      </c>
      <c r="P96" s="137"/>
      <c r="Q96" s="32">
        <f t="shared" si="257"/>
        <v>58</v>
      </c>
      <c r="R96" s="479">
        <f t="shared" si="278"/>
        <v>0</v>
      </c>
      <c r="S96" s="471">
        <f t="shared" si="306"/>
        <v>0</v>
      </c>
      <c r="T96" s="50">
        <f t="shared" si="258"/>
        <v>950</v>
      </c>
      <c r="U96" s="103">
        <f t="shared" si="355"/>
        <v>0</v>
      </c>
      <c r="V96" s="63">
        <f t="shared" si="280"/>
        <v>950</v>
      </c>
      <c r="W96" s="56">
        <f t="shared" si="259"/>
        <v>82</v>
      </c>
      <c r="X96" s="103">
        <f t="shared" si="356"/>
        <v>0</v>
      </c>
      <c r="Y96" s="53">
        <f t="shared" si="282"/>
        <v>82</v>
      </c>
      <c r="Z96" s="487"/>
      <c r="AA96" s="120">
        <f t="shared" si="368"/>
        <v>6</v>
      </c>
      <c r="AB96" s="8">
        <f t="shared" si="357"/>
        <v>12</v>
      </c>
      <c r="AC96" s="136"/>
      <c r="AD96" s="67">
        <f t="shared" si="352"/>
        <v>60003</v>
      </c>
      <c r="AE96" s="55">
        <f t="shared" si="224"/>
        <v>59999</v>
      </c>
      <c r="AF96" s="421"/>
      <c r="AG96" s="138">
        <v>4</v>
      </c>
      <c r="AH96" s="138"/>
      <c r="AI96" s="34">
        <f t="shared" si="311"/>
        <v>4</v>
      </c>
      <c r="AJ96" s="34">
        <f t="shared" si="351"/>
        <v>808</v>
      </c>
      <c r="AK96" s="17">
        <f t="shared" si="260"/>
        <v>0.16</v>
      </c>
      <c r="AL96" s="96">
        <f t="shared" si="285"/>
        <v>6.6663333499991668E-3</v>
      </c>
      <c r="AM96" s="33">
        <f t="shared" si="261"/>
        <v>3.5200000000000009</v>
      </c>
      <c r="AN96" s="156">
        <f t="shared" si="207"/>
        <v>1.3374383421061344</v>
      </c>
      <c r="AO96" s="137">
        <v>2520</v>
      </c>
      <c r="AP96" s="32">
        <f t="shared" si="262"/>
        <v>58</v>
      </c>
      <c r="AQ96" s="479">
        <f t="shared" si="286"/>
        <v>41.997900104994756</v>
      </c>
      <c r="AR96" s="471">
        <f t="shared" si="353"/>
        <v>2301.6381610430803</v>
      </c>
      <c r="AS96" s="50">
        <f t="shared" si="263"/>
        <v>950</v>
      </c>
      <c r="AT96" s="103">
        <f t="shared" si="358"/>
        <v>888</v>
      </c>
      <c r="AU96" s="63">
        <f t="shared" si="331"/>
        <v>62</v>
      </c>
      <c r="AV96" s="56">
        <f t="shared" si="264"/>
        <v>82</v>
      </c>
      <c r="AW96" s="103">
        <f t="shared" si="359"/>
        <v>73</v>
      </c>
      <c r="AX96" s="53">
        <f t="shared" si="307"/>
        <v>9</v>
      </c>
      <c r="AZ96" s="120">
        <f t="shared" si="369"/>
        <v>6</v>
      </c>
      <c r="BA96" s="8">
        <f t="shared" si="360"/>
        <v>12</v>
      </c>
      <c r="BB96" s="136"/>
      <c r="BC96" s="54">
        <f t="shared" si="225"/>
        <v>67642</v>
      </c>
      <c r="BD96" s="55">
        <f t="shared" si="226"/>
        <v>67639</v>
      </c>
      <c r="BE96" s="421"/>
      <c r="BF96" s="138">
        <v>3</v>
      </c>
      <c r="BG96" s="138"/>
      <c r="BH96" s="34">
        <f t="shared" si="312"/>
        <v>3</v>
      </c>
      <c r="BI96" s="34">
        <f t="shared" si="350"/>
        <v>1479</v>
      </c>
      <c r="BJ96" s="17">
        <f t="shared" si="265"/>
        <v>0.16</v>
      </c>
      <c r="BK96" s="96">
        <f t="shared" si="301"/>
        <v>4.4351142781112324E-3</v>
      </c>
      <c r="BL96" s="33">
        <f t="shared" si="266"/>
        <v>3.5200000000000009</v>
      </c>
      <c r="BM96" s="435">
        <f t="shared" si="160"/>
        <v>2.1414299365823997</v>
      </c>
      <c r="BN96" s="137">
        <v>3870</v>
      </c>
      <c r="BO96" s="32">
        <f t="shared" si="267"/>
        <v>58</v>
      </c>
      <c r="BP96" s="482">
        <f t="shared" si="302"/>
        <v>57.212974187634899</v>
      </c>
      <c r="BQ96" s="70">
        <f t="shared" si="304"/>
        <v>2975.6065125384071</v>
      </c>
      <c r="BR96" s="50">
        <f t="shared" si="268"/>
        <v>950</v>
      </c>
      <c r="BS96" s="103">
        <f t="shared" si="361"/>
        <v>902</v>
      </c>
      <c r="BT96" s="63">
        <f t="shared" si="332"/>
        <v>48</v>
      </c>
      <c r="BU96" s="56">
        <f t="shared" si="269"/>
        <v>82</v>
      </c>
      <c r="BV96" s="103">
        <f t="shared" si="362"/>
        <v>71</v>
      </c>
      <c r="BW96" s="53">
        <f t="shared" si="308"/>
        <v>11</v>
      </c>
      <c r="BY96" s="197">
        <f>BY95+1</f>
        <v>6</v>
      </c>
      <c r="BZ96" s="8">
        <f t="shared" si="364"/>
        <v>12</v>
      </c>
      <c r="CA96" s="136"/>
      <c r="CB96" s="32">
        <f t="shared" si="295"/>
        <v>51176</v>
      </c>
      <c r="CC96" s="53">
        <f t="shared" si="313"/>
        <v>51173</v>
      </c>
      <c r="CD96" s="421"/>
      <c r="CE96" s="426">
        <v>3</v>
      </c>
      <c r="CF96" s="426"/>
      <c r="CG96" s="34">
        <f t="shared" si="314"/>
        <v>3</v>
      </c>
      <c r="CH96" s="34">
        <f t="shared" si="309"/>
        <v>907</v>
      </c>
      <c r="CI96" s="32">
        <f t="shared" si="270"/>
        <v>0.16</v>
      </c>
      <c r="CJ96" s="96">
        <f t="shared" si="303"/>
        <v>5.862122870095357E-2</v>
      </c>
      <c r="CK96" s="36">
        <f t="shared" si="271"/>
        <v>3.5200000000000009</v>
      </c>
      <c r="CL96" s="156">
        <f t="shared" si="206"/>
        <v>1.7456071133008719</v>
      </c>
      <c r="CM96" s="137">
        <v>2700</v>
      </c>
      <c r="CN96" s="13">
        <f t="shared" si="272"/>
        <v>58</v>
      </c>
      <c r="CO96" s="482">
        <f t="shared" si="187"/>
        <v>52.759105830858218</v>
      </c>
      <c r="CP96" s="70">
        <f t="shared" si="296"/>
        <v>3221.7365728819741</v>
      </c>
      <c r="CQ96" s="50">
        <f t="shared" si="273"/>
        <v>950</v>
      </c>
      <c r="CR96" s="103">
        <f t="shared" si="365"/>
        <v>946</v>
      </c>
      <c r="CS96" s="63">
        <f t="shared" si="333"/>
        <v>4</v>
      </c>
      <c r="CT96" s="12">
        <f t="shared" si="274"/>
        <v>82</v>
      </c>
      <c r="CU96" s="103">
        <f t="shared" si="366"/>
        <v>73</v>
      </c>
      <c r="CV96" s="53">
        <f t="shared" si="299"/>
        <v>9</v>
      </c>
    </row>
    <row r="97" spans="1:100" ht="17.25" thickBot="1" x14ac:dyDescent="0.3">
      <c r="B97" s="118">
        <v>7</v>
      </c>
      <c r="C97" s="9">
        <v>13</v>
      </c>
      <c r="D97" s="129"/>
      <c r="E97" s="43">
        <f t="shared" si="204"/>
        <v>0</v>
      </c>
      <c r="F97" s="44">
        <f t="shared" si="205"/>
        <v>0</v>
      </c>
      <c r="G97" s="640"/>
      <c r="H97" s="131"/>
      <c r="I97" s="131"/>
      <c r="J97" s="11">
        <f t="shared" si="310"/>
        <v>0</v>
      </c>
      <c r="K97" s="11">
        <f t="shared" si="305"/>
        <v>9358</v>
      </c>
      <c r="L97" s="16">
        <f t="shared" si="255"/>
        <v>0.16</v>
      </c>
      <c r="M97" s="42">
        <f t="shared" si="277"/>
        <v>0</v>
      </c>
      <c r="N97" s="154">
        <f t="shared" si="256"/>
        <v>3.680000000000001</v>
      </c>
      <c r="O97" s="155">
        <f t="shared" si="300"/>
        <v>0</v>
      </c>
      <c r="P97" s="130"/>
      <c r="Q97" s="17">
        <f t="shared" si="257"/>
        <v>61</v>
      </c>
      <c r="R97" s="481">
        <f t="shared" si="278"/>
        <v>0</v>
      </c>
      <c r="S97" s="469">
        <f t="shared" si="306"/>
        <v>0</v>
      </c>
      <c r="T97" s="58">
        <f t="shared" si="258"/>
        <v>1010</v>
      </c>
      <c r="U97" s="131"/>
      <c r="V97" s="41">
        <f t="shared" si="280"/>
        <v>1010</v>
      </c>
      <c r="W97" s="18">
        <f t="shared" si="259"/>
        <v>82</v>
      </c>
      <c r="X97" s="131"/>
      <c r="Y97" s="41">
        <f t="shared" si="282"/>
        <v>82</v>
      </c>
      <c r="Z97" s="487"/>
      <c r="AA97" s="118">
        <v>7</v>
      </c>
      <c r="AB97" s="9">
        <v>13</v>
      </c>
      <c r="AC97" s="129"/>
      <c r="AD97" s="43">
        <f t="shared" si="352"/>
        <v>59999</v>
      </c>
      <c r="AE97" s="449">
        <f t="shared" si="224"/>
        <v>59995</v>
      </c>
      <c r="AF97" s="398"/>
      <c r="AG97" s="131">
        <v>4</v>
      </c>
      <c r="AH97" s="131"/>
      <c r="AI97" s="11">
        <f t="shared" si="311"/>
        <v>4</v>
      </c>
      <c r="AJ97" s="11">
        <f t="shared" si="351"/>
        <v>812</v>
      </c>
      <c r="AK97" s="16">
        <f t="shared" si="260"/>
        <v>0.16</v>
      </c>
      <c r="AL97" s="42">
        <f t="shared" si="285"/>
        <v>6.6667777796296608E-3</v>
      </c>
      <c r="AM97" s="154">
        <f t="shared" si="261"/>
        <v>3.680000000000001</v>
      </c>
      <c r="AN97" s="156">
        <f t="shared" si="207"/>
        <v>1.344059323997749</v>
      </c>
      <c r="AO97" s="130">
        <v>3123</v>
      </c>
      <c r="AP97" s="17">
        <f t="shared" si="262"/>
        <v>61</v>
      </c>
      <c r="AQ97" s="481">
        <f t="shared" si="286"/>
        <v>52.050867514458574</v>
      </c>
      <c r="AR97" s="469">
        <f t="shared" si="353"/>
        <v>2353.6890285575391</v>
      </c>
      <c r="AS97" s="58">
        <f t="shared" si="263"/>
        <v>1010</v>
      </c>
      <c r="AT97" s="131">
        <v>982</v>
      </c>
      <c r="AU97" s="41">
        <f t="shared" si="331"/>
        <v>28</v>
      </c>
      <c r="AV97" s="18">
        <f t="shared" si="264"/>
        <v>82</v>
      </c>
      <c r="AW97" s="131">
        <v>69</v>
      </c>
      <c r="AX97" s="41">
        <f t="shared" si="307"/>
        <v>13</v>
      </c>
      <c r="AZ97" s="118">
        <v>7</v>
      </c>
      <c r="BA97" s="9">
        <v>13</v>
      </c>
      <c r="BB97" s="129"/>
      <c r="BC97" s="43">
        <f t="shared" si="225"/>
        <v>67639</v>
      </c>
      <c r="BD97" s="449">
        <f t="shared" si="226"/>
        <v>67635</v>
      </c>
      <c r="BE97" s="398"/>
      <c r="BF97" s="131">
        <v>4</v>
      </c>
      <c r="BG97" s="131"/>
      <c r="BH97" s="11">
        <f t="shared" si="312"/>
        <v>4</v>
      </c>
      <c r="BI97" s="11">
        <f t="shared" si="350"/>
        <v>1483</v>
      </c>
      <c r="BJ97" s="16">
        <f t="shared" si="265"/>
        <v>0.16</v>
      </c>
      <c r="BK97" s="235">
        <f t="shared" si="301"/>
        <v>5.9137479856295923E-3</v>
      </c>
      <c r="BL97" s="154">
        <f t="shared" si="266"/>
        <v>3.680000000000001</v>
      </c>
      <c r="BM97" s="435">
        <f t="shared" si="160"/>
        <v>2.1472214982770104</v>
      </c>
      <c r="BN97" s="130">
        <v>3717</v>
      </c>
      <c r="BO97" s="17">
        <f t="shared" si="267"/>
        <v>61</v>
      </c>
      <c r="BP97" s="441">
        <f t="shared" si="302"/>
        <v>54.953503156462986</v>
      </c>
      <c r="BQ97" s="377">
        <f t="shared" si="304"/>
        <v>3030.5600156948699</v>
      </c>
      <c r="BR97" s="58">
        <f t="shared" si="268"/>
        <v>1010</v>
      </c>
      <c r="BS97" s="131">
        <v>950</v>
      </c>
      <c r="BT97" s="41">
        <f t="shared" si="332"/>
        <v>60</v>
      </c>
      <c r="BU97" s="18">
        <f t="shared" si="269"/>
        <v>82</v>
      </c>
      <c r="BV97" s="131">
        <v>68</v>
      </c>
      <c r="BW97" s="41">
        <f t="shared" si="308"/>
        <v>14</v>
      </c>
      <c r="BY97" s="118">
        <v>7</v>
      </c>
      <c r="BZ97" s="9">
        <v>13</v>
      </c>
      <c r="CA97" s="129"/>
      <c r="CB97" s="11">
        <f t="shared" si="295"/>
        <v>51173</v>
      </c>
      <c r="CC97" s="57">
        <f t="shared" si="313"/>
        <v>51173</v>
      </c>
      <c r="CD97" s="398"/>
      <c r="CE97" s="399">
        <v>0</v>
      </c>
      <c r="CF97" s="399"/>
      <c r="CG97" s="11">
        <f t="shared" si="314"/>
        <v>0</v>
      </c>
      <c r="CH97" s="11">
        <f t="shared" si="309"/>
        <v>907</v>
      </c>
      <c r="CI97" s="17">
        <f t="shared" si="270"/>
        <v>0.16</v>
      </c>
      <c r="CJ97" s="235">
        <f t="shared" si="303"/>
        <v>0</v>
      </c>
      <c r="CK97" s="33">
        <f t="shared" si="271"/>
        <v>3.680000000000001</v>
      </c>
      <c r="CL97" s="156">
        <f t="shared" si="206"/>
        <v>1.7456071133008719</v>
      </c>
      <c r="CM97" s="130">
        <v>2700</v>
      </c>
      <c r="CN97" s="11">
        <f t="shared" si="272"/>
        <v>61</v>
      </c>
      <c r="CO97" s="441">
        <f t="shared" si="187"/>
        <v>52.762198815781758</v>
      </c>
      <c r="CP97" s="377">
        <f t="shared" si="296"/>
        <v>3274.4987716977557</v>
      </c>
      <c r="CQ97" s="58">
        <f t="shared" si="273"/>
        <v>1010</v>
      </c>
      <c r="CR97" s="131">
        <v>1011</v>
      </c>
      <c r="CS97" s="41">
        <f t="shared" si="333"/>
        <v>-1</v>
      </c>
      <c r="CT97" s="18">
        <f t="shared" si="274"/>
        <v>82</v>
      </c>
      <c r="CU97" s="131">
        <v>76</v>
      </c>
      <c r="CV97" s="41">
        <f t="shared" si="299"/>
        <v>6</v>
      </c>
    </row>
    <row r="98" spans="1:100" ht="17.25" thickBot="1" x14ac:dyDescent="0.3">
      <c r="B98" s="120">
        <f>B97+1</f>
        <v>8</v>
      </c>
      <c r="C98" s="7">
        <f>C97</f>
        <v>13</v>
      </c>
      <c r="D98" s="133"/>
      <c r="E98" s="48">
        <f t="shared" si="204"/>
        <v>0</v>
      </c>
      <c r="F98" s="49">
        <f t="shared" si="205"/>
        <v>0</v>
      </c>
      <c r="G98" s="411"/>
      <c r="H98" s="135"/>
      <c r="I98" s="135"/>
      <c r="J98" s="14">
        <f t="shared" si="310"/>
        <v>0</v>
      </c>
      <c r="K98" s="14">
        <f t="shared" si="305"/>
        <v>9358</v>
      </c>
      <c r="L98" s="14">
        <f t="shared" si="255"/>
        <v>0.16</v>
      </c>
      <c r="M98" s="47">
        <f t="shared" si="277"/>
        <v>0</v>
      </c>
      <c r="N98" s="35">
        <f t="shared" si="256"/>
        <v>3.680000000000001</v>
      </c>
      <c r="O98" s="157">
        <f t="shared" si="300"/>
        <v>0</v>
      </c>
      <c r="P98" s="134"/>
      <c r="Q98" s="14">
        <f t="shared" si="257"/>
        <v>61</v>
      </c>
      <c r="R98" s="482">
        <f t="shared" si="278"/>
        <v>0</v>
      </c>
      <c r="S98" s="470">
        <f t="shared" si="306"/>
        <v>0</v>
      </c>
      <c r="T98" s="51">
        <f t="shared" si="258"/>
        <v>1010</v>
      </c>
      <c r="U98" s="103">
        <f>U97</f>
        <v>0</v>
      </c>
      <c r="V98" s="46">
        <f t="shared" si="280"/>
        <v>1010</v>
      </c>
      <c r="W98" s="50">
        <f t="shared" si="259"/>
        <v>82</v>
      </c>
      <c r="X98" s="103">
        <f>X97</f>
        <v>0</v>
      </c>
      <c r="Y98" s="46">
        <f t="shared" si="282"/>
        <v>82</v>
      </c>
      <c r="Z98" s="487"/>
      <c r="AA98" s="120">
        <f>AA97+1</f>
        <v>8</v>
      </c>
      <c r="AB98" s="7">
        <f>AB97</f>
        <v>13</v>
      </c>
      <c r="AC98" s="133"/>
      <c r="AD98" s="48">
        <f t="shared" si="352"/>
        <v>59995</v>
      </c>
      <c r="AE98" s="196">
        <f t="shared" si="224"/>
        <v>59993</v>
      </c>
      <c r="AF98" s="405"/>
      <c r="AG98" s="135">
        <v>2</v>
      </c>
      <c r="AH98" s="135"/>
      <c r="AI98" s="14">
        <f t="shared" si="311"/>
        <v>2</v>
      </c>
      <c r="AJ98" s="14">
        <f t="shared" si="351"/>
        <v>814</v>
      </c>
      <c r="AK98" s="14">
        <f t="shared" si="260"/>
        <v>0.16</v>
      </c>
      <c r="AL98" s="47">
        <f t="shared" si="285"/>
        <v>3.3336111342611883E-3</v>
      </c>
      <c r="AM98" s="35">
        <f t="shared" si="261"/>
        <v>3.680000000000001</v>
      </c>
      <c r="AN98" s="156">
        <f t="shared" si="207"/>
        <v>1.3473698149435562</v>
      </c>
      <c r="AO98" s="134">
        <v>2484</v>
      </c>
      <c r="AP98" s="14">
        <f t="shared" si="262"/>
        <v>61</v>
      </c>
      <c r="AQ98" s="482">
        <f t="shared" si="286"/>
        <v>41.40345028752396</v>
      </c>
      <c r="AR98" s="470">
        <f t="shared" si="353"/>
        <v>2395.0924788450629</v>
      </c>
      <c r="AS98" s="51">
        <f t="shared" si="263"/>
        <v>1010</v>
      </c>
      <c r="AT98" s="103">
        <f>AT97</f>
        <v>982</v>
      </c>
      <c r="AU98" s="46">
        <f t="shared" si="331"/>
        <v>28</v>
      </c>
      <c r="AV98" s="50">
        <f t="shared" si="264"/>
        <v>82</v>
      </c>
      <c r="AW98" s="103">
        <f>AW97</f>
        <v>69</v>
      </c>
      <c r="AX98" s="46">
        <f t="shared" si="307"/>
        <v>13</v>
      </c>
      <c r="AZ98" s="120">
        <f>AZ97+1</f>
        <v>8</v>
      </c>
      <c r="BA98" s="7">
        <f>BA97</f>
        <v>13</v>
      </c>
      <c r="BB98" s="133"/>
      <c r="BC98" s="48">
        <f t="shared" si="225"/>
        <v>67635</v>
      </c>
      <c r="BD98" s="196">
        <f t="shared" si="226"/>
        <v>67632</v>
      </c>
      <c r="BE98" s="405"/>
      <c r="BF98" s="135">
        <v>3</v>
      </c>
      <c r="BG98" s="135"/>
      <c r="BH98" s="14">
        <f t="shared" si="312"/>
        <v>3</v>
      </c>
      <c r="BI98" s="14">
        <f t="shared" si="350"/>
        <v>1486</v>
      </c>
      <c r="BJ98" s="14">
        <f t="shared" si="265"/>
        <v>0.16</v>
      </c>
      <c r="BK98" s="47">
        <f t="shared" si="301"/>
        <v>4.4355732978487473E-3</v>
      </c>
      <c r="BL98" s="35">
        <f t="shared" si="266"/>
        <v>3.680000000000001</v>
      </c>
      <c r="BM98" s="435">
        <f t="shared" ref="BM98:BM138" si="370">IFERROR((BI98*100)/$BC$33,0)</f>
        <v>2.1515651695479687</v>
      </c>
      <c r="BN98" s="134">
        <v>3276</v>
      </c>
      <c r="BO98" s="14">
        <f t="shared" si="267"/>
        <v>61</v>
      </c>
      <c r="BP98" s="442">
        <f t="shared" si="302"/>
        <v>48.436460412508318</v>
      </c>
      <c r="BQ98" s="68">
        <f t="shared" si="304"/>
        <v>3078.9964761073784</v>
      </c>
      <c r="BR98" s="51">
        <f t="shared" si="268"/>
        <v>1010</v>
      </c>
      <c r="BS98" s="103">
        <f>BS97</f>
        <v>950</v>
      </c>
      <c r="BT98" s="46">
        <f t="shared" si="332"/>
        <v>60</v>
      </c>
      <c r="BU98" s="50">
        <f t="shared" si="269"/>
        <v>82</v>
      </c>
      <c r="BV98" s="103">
        <f>BV97</f>
        <v>68</v>
      </c>
      <c r="BW98" s="46">
        <f t="shared" si="308"/>
        <v>14</v>
      </c>
      <c r="BY98" s="120">
        <f>BY97+1</f>
        <v>8</v>
      </c>
      <c r="BZ98" s="7">
        <f>BZ97</f>
        <v>13</v>
      </c>
      <c r="CA98" s="133"/>
      <c r="CB98" s="14">
        <f t="shared" si="295"/>
        <v>51173</v>
      </c>
      <c r="CC98" s="59">
        <f t="shared" si="313"/>
        <v>51171</v>
      </c>
      <c r="CD98" s="405"/>
      <c r="CE98" s="406">
        <v>2</v>
      </c>
      <c r="CF98" s="406"/>
      <c r="CG98" s="14">
        <f t="shared" si="314"/>
        <v>2</v>
      </c>
      <c r="CH98" s="14">
        <f t="shared" si="309"/>
        <v>909</v>
      </c>
      <c r="CI98" s="14">
        <f t="shared" si="270"/>
        <v>0.16</v>
      </c>
      <c r="CJ98" s="47">
        <f t="shared" si="303"/>
        <v>3.9083110233912415E-2</v>
      </c>
      <c r="CK98" s="35">
        <f t="shared" si="271"/>
        <v>3.680000000000001</v>
      </c>
      <c r="CL98" s="156">
        <f t="shared" si="206"/>
        <v>1.7494563020843357</v>
      </c>
      <c r="CM98" s="134">
        <v>1440</v>
      </c>
      <c r="CN98" s="14">
        <f t="shared" si="272"/>
        <v>61</v>
      </c>
      <c r="CO98" s="442">
        <f t="shared" si="187"/>
        <v>28.13983936841694</v>
      </c>
      <c r="CP98" s="68">
        <f t="shared" si="296"/>
        <v>3302.6386110661729</v>
      </c>
      <c r="CQ98" s="51">
        <f t="shared" si="273"/>
        <v>1010</v>
      </c>
      <c r="CR98" s="103">
        <f>CR97</f>
        <v>1011</v>
      </c>
      <c r="CS98" s="46">
        <f t="shared" si="333"/>
        <v>-1</v>
      </c>
      <c r="CT98" s="51">
        <f t="shared" si="274"/>
        <v>82</v>
      </c>
      <c r="CU98" s="103">
        <f>CU97</f>
        <v>76</v>
      </c>
      <c r="CV98" s="46">
        <f t="shared" si="299"/>
        <v>6</v>
      </c>
    </row>
    <row r="99" spans="1:100" ht="17.25" thickBot="1" x14ac:dyDescent="0.3">
      <c r="B99" s="120">
        <f t="shared" ref="B99:B103" si="371">B98+1</f>
        <v>9</v>
      </c>
      <c r="C99" s="7">
        <f t="shared" ref="C99:C103" si="372">C98</f>
        <v>13</v>
      </c>
      <c r="D99" s="133"/>
      <c r="E99" s="48">
        <f t="shared" si="204"/>
        <v>0</v>
      </c>
      <c r="F99" s="49">
        <f t="shared" si="205"/>
        <v>0</v>
      </c>
      <c r="G99" s="142"/>
      <c r="H99" s="135"/>
      <c r="I99" s="135"/>
      <c r="J99" s="14">
        <f t="shared" si="310"/>
        <v>0</v>
      </c>
      <c r="K99" s="14">
        <f t="shared" si="305"/>
        <v>9358</v>
      </c>
      <c r="L99" s="14">
        <f t="shared" si="255"/>
        <v>0.16</v>
      </c>
      <c r="M99" s="231">
        <f t="shared" si="277"/>
        <v>0</v>
      </c>
      <c r="N99" s="35">
        <f t="shared" si="256"/>
        <v>3.680000000000001</v>
      </c>
      <c r="O99" s="157">
        <f t="shared" si="300"/>
        <v>0</v>
      </c>
      <c r="P99" s="134"/>
      <c r="Q99" s="14">
        <f t="shared" si="257"/>
        <v>61</v>
      </c>
      <c r="R99" s="482">
        <f t="shared" si="278"/>
        <v>0</v>
      </c>
      <c r="S99" s="470">
        <f t="shared" si="306"/>
        <v>0</v>
      </c>
      <c r="T99" s="51">
        <f t="shared" si="258"/>
        <v>1010</v>
      </c>
      <c r="U99" s="103">
        <f t="shared" ref="U99:U103" si="373">U98</f>
        <v>0</v>
      </c>
      <c r="V99" s="46">
        <f t="shared" si="280"/>
        <v>1010</v>
      </c>
      <c r="W99" s="50">
        <f t="shared" si="259"/>
        <v>82</v>
      </c>
      <c r="X99" s="103">
        <f t="shared" ref="X99:X103" si="374">X98</f>
        <v>0</v>
      </c>
      <c r="Y99" s="46">
        <f t="shared" si="282"/>
        <v>82</v>
      </c>
      <c r="Z99" s="487"/>
      <c r="AA99" s="120">
        <f t="shared" ref="AA99:AA103" si="375">AA98+1</f>
        <v>9</v>
      </c>
      <c r="AB99" s="7">
        <f t="shared" ref="AB99:AB103" si="376">AB98</f>
        <v>13</v>
      </c>
      <c r="AC99" s="133"/>
      <c r="AD99" s="48">
        <f t="shared" si="352"/>
        <v>59993</v>
      </c>
      <c r="AE99" s="196">
        <f t="shared" si="224"/>
        <v>59991</v>
      </c>
      <c r="AF99" s="134"/>
      <c r="AG99" s="135">
        <v>2</v>
      </c>
      <c r="AH99" s="135"/>
      <c r="AI99" s="14">
        <f t="shared" si="311"/>
        <v>2</v>
      </c>
      <c r="AJ99" s="14">
        <f t="shared" si="351"/>
        <v>816</v>
      </c>
      <c r="AK99" s="14">
        <f t="shared" si="260"/>
        <v>0.16</v>
      </c>
      <c r="AL99" s="231">
        <f t="shared" si="285"/>
        <v>3.3337222675978865E-3</v>
      </c>
      <c r="AM99" s="35">
        <f t="shared" si="261"/>
        <v>3.680000000000001</v>
      </c>
      <c r="AN99" s="156">
        <f t="shared" si="207"/>
        <v>1.3506803058893635</v>
      </c>
      <c r="AO99" s="134">
        <v>2880</v>
      </c>
      <c r="AP99" s="14">
        <f t="shared" si="262"/>
        <v>61</v>
      </c>
      <c r="AQ99" s="482">
        <f t="shared" si="286"/>
        <v>48.005600653409566</v>
      </c>
      <c r="AR99" s="470">
        <f t="shared" si="353"/>
        <v>2443.0980794984725</v>
      </c>
      <c r="AS99" s="51">
        <f t="shared" si="263"/>
        <v>1010</v>
      </c>
      <c r="AT99" s="103">
        <f t="shared" ref="AT99:AT103" si="377">AT98</f>
        <v>982</v>
      </c>
      <c r="AU99" s="46">
        <f t="shared" si="331"/>
        <v>28</v>
      </c>
      <c r="AV99" s="50">
        <f t="shared" si="264"/>
        <v>82</v>
      </c>
      <c r="AW99" s="103">
        <f t="shared" ref="AW99:AW103" si="378">AW98</f>
        <v>69</v>
      </c>
      <c r="AX99" s="46">
        <f t="shared" si="307"/>
        <v>13</v>
      </c>
      <c r="AZ99" s="120">
        <f t="shared" ref="AZ99:AZ103" si="379">AZ98+1</f>
        <v>9</v>
      </c>
      <c r="BA99" s="7">
        <f t="shared" ref="BA99:BA103" si="380">BA98</f>
        <v>13</v>
      </c>
      <c r="BB99" s="133"/>
      <c r="BC99" s="48">
        <f t="shared" si="225"/>
        <v>67632</v>
      </c>
      <c r="BD99" s="196">
        <f t="shared" si="226"/>
        <v>67622</v>
      </c>
      <c r="BE99" s="134"/>
      <c r="BF99" s="135">
        <v>10</v>
      </c>
      <c r="BG99" s="135"/>
      <c r="BH99" s="14">
        <f t="shared" si="312"/>
        <v>10</v>
      </c>
      <c r="BI99" s="14">
        <f t="shared" si="350"/>
        <v>1496</v>
      </c>
      <c r="BJ99" s="14">
        <f t="shared" si="265"/>
        <v>0.16</v>
      </c>
      <c r="BK99" s="47">
        <f t="shared" si="301"/>
        <v>1.4785900165602082E-2</v>
      </c>
      <c r="BL99" s="35">
        <f t="shared" si="266"/>
        <v>3.680000000000001</v>
      </c>
      <c r="BM99" s="435">
        <f t="shared" si="370"/>
        <v>2.1660440737844961</v>
      </c>
      <c r="BN99" s="134">
        <v>4023</v>
      </c>
      <c r="BO99" s="14">
        <f t="shared" si="267"/>
        <v>61</v>
      </c>
      <c r="BP99" s="442">
        <f t="shared" si="302"/>
        <v>59.483676366217175</v>
      </c>
      <c r="BQ99" s="68">
        <f t="shared" si="304"/>
        <v>3138.4801524735954</v>
      </c>
      <c r="BR99" s="51">
        <f t="shared" si="268"/>
        <v>1010</v>
      </c>
      <c r="BS99" s="103">
        <f t="shared" ref="BS99:BS103" si="381">BS98</f>
        <v>950</v>
      </c>
      <c r="BT99" s="46">
        <f t="shared" si="332"/>
        <v>60</v>
      </c>
      <c r="BU99" s="50">
        <f t="shared" si="269"/>
        <v>82</v>
      </c>
      <c r="BV99" s="103">
        <f t="shared" ref="BV99:BV103" si="382">BV98</f>
        <v>68</v>
      </c>
      <c r="BW99" s="46">
        <f t="shared" si="308"/>
        <v>14</v>
      </c>
      <c r="BY99" s="120">
        <f t="shared" ref="BY99:BY102" si="383">BY98+1</f>
        <v>9</v>
      </c>
      <c r="BZ99" s="7">
        <f t="shared" ref="BZ99:BZ103" si="384">BZ98</f>
        <v>13</v>
      </c>
      <c r="CA99" s="133"/>
      <c r="CB99" s="14">
        <f t="shared" si="295"/>
        <v>51171</v>
      </c>
      <c r="CC99" s="59">
        <f t="shared" si="313"/>
        <v>51158</v>
      </c>
      <c r="CD99" s="405"/>
      <c r="CE99" s="406">
        <v>13</v>
      </c>
      <c r="CF99" s="406"/>
      <c r="CG99" s="14">
        <f t="shared" si="314"/>
        <v>13</v>
      </c>
      <c r="CH99" s="14">
        <f t="shared" si="309"/>
        <v>922</v>
      </c>
      <c r="CI99" s="14">
        <f t="shared" si="270"/>
        <v>0.16</v>
      </c>
      <c r="CJ99" s="47">
        <f t="shared" si="303"/>
        <v>0.25405014559027572</v>
      </c>
      <c r="CK99" s="35">
        <f t="shared" si="271"/>
        <v>3.680000000000001</v>
      </c>
      <c r="CL99" s="156">
        <f t="shared" si="206"/>
        <v>1.7744760291768509</v>
      </c>
      <c r="CM99" s="134">
        <v>3780</v>
      </c>
      <c r="CN99" s="14">
        <f t="shared" si="272"/>
        <v>61</v>
      </c>
      <c r="CO99" s="442">
        <f t="shared" si="187"/>
        <v>73.86996541009556</v>
      </c>
      <c r="CP99" s="68">
        <f t="shared" si="296"/>
        <v>3376.5085764762684</v>
      </c>
      <c r="CQ99" s="51">
        <f t="shared" si="273"/>
        <v>1010</v>
      </c>
      <c r="CR99" s="103">
        <f t="shared" ref="CR99:CR103" si="385">CR98</f>
        <v>1011</v>
      </c>
      <c r="CS99" s="46">
        <f t="shared" si="333"/>
        <v>-1</v>
      </c>
      <c r="CT99" s="50">
        <f t="shared" si="274"/>
        <v>82</v>
      </c>
      <c r="CU99" s="103">
        <f t="shared" ref="CU99:CU103" si="386">CU98</f>
        <v>76</v>
      </c>
      <c r="CV99" s="46">
        <f t="shared" si="299"/>
        <v>6</v>
      </c>
    </row>
    <row r="100" spans="1:100" ht="17.25" thickBot="1" x14ac:dyDescent="0.3">
      <c r="B100" s="120">
        <f t="shared" si="371"/>
        <v>10</v>
      </c>
      <c r="C100" s="7">
        <f t="shared" si="372"/>
        <v>13</v>
      </c>
      <c r="D100" s="133"/>
      <c r="E100" s="48">
        <f t="shared" si="204"/>
        <v>0</v>
      </c>
      <c r="F100" s="49">
        <f t="shared" si="205"/>
        <v>0</v>
      </c>
      <c r="G100" s="142"/>
      <c r="H100" s="135"/>
      <c r="I100" s="135"/>
      <c r="J100" s="14">
        <f t="shared" si="310"/>
        <v>0</v>
      </c>
      <c r="K100" s="14">
        <f t="shared" si="305"/>
        <v>9358</v>
      </c>
      <c r="L100" s="14">
        <f t="shared" si="255"/>
        <v>0.16</v>
      </c>
      <c r="M100" s="230">
        <f t="shared" si="277"/>
        <v>0</v>
      </c>
      <c r="N100" s="35">
        <f t="shared" si="256"/>
        <v>3.680000000000001</v>
      </c>
      <c r="O100" s="157">
        <f t="shared" si="300"/>
        <v>0</v>
      </c>
      <c r="P100" s="134"/>
      <c r="Q100" s="14">
        <f t="shared" si="257"/>
        <v>61</v>
      </c>
      <c r="R100" s="482">
        <f t="shared" si="278"/>
        <v>0</v>
      </c>
      <c r="S100" s="470">
        <f t="shared" si="306"/>
        <v>0</v>
      </c>
      <c r="T100" s="51">
        <f t="shared" si="258"/>
        <v>1010</v>
      </c>
      <c r="U100" s="103">
        <f t="shared" si="373"/>
        <v>0</v>
      </c>
      <c r="V100" s="46">
        <f t="shared" si="280"/>
        <v>1010</v>
      </c>
      <c r="W100" s="50">
        <f t="shared" si="259"/>
        <v>82</v>
      </c>
      <c r="X100" s="103">
        <f t="shared" si="374"/>
        <v>0</v>
      </c>
      <c r="Y100" s="46">
        <f t="shared" si="282"/>
        <v>82</v>
      </c>
      <c r="Z100" s="487"/>
      <c r="AA100" s="120">
        <f t="shared" si="375"/>
        <v>10</v>
      </c>
      <c r="AB100" s="7">
        <f t="shared" si="376"/>
        <v>13</v>
      </c>
      <c r="AC100" s="133"/>
      <c r="AD100" s="48">
        <f t="shared" si="352"/>
        <v>59991</v>
      </c>
      <c r="AE100" s="196">
        <f t="shared" si="224"/>
        <v>59986</v>
      </c>
      <c r="AF100" s="134"/>
      <c r="AG100" s="135">
        <v>5</v>
      </c>
      <c r="AH100" s="135"/>
      <c r="AI100" s="14">
        <f t="shared" si="311"/>
        <v>5</v>
      </c>
      <c r="AJ100" s="14">
        <f t="shared" si="351"/>
        <v>821</v>
      </c>
      <c r="AK100" s="14">
        <f t="shared" si="260"/>
        <v>0.16</v>
      </c>
      <c r="AL100" s="230">
        <f t="shared" si="285"/>
        <v>8.3345835208614629E-3</v>
      </c>
      <c r="AM100" s="35">
        <f t="shared" si="261"/>
        <v>3.680000000000001</v>
      </c>
      <c r="AN100" s="156">
        <f t="shared" si="207"/>
        <v>1.3589565332538815</v>
      </c>
      <c r="AO100" s="134">
        <v>410</v>
      </c>
      <c r="AP100" s="14">
        <f t="shared" si="262"/>
        <v>61</v>
      </c>
      <c r="AQ100" s="482">
        <f t="shared" si="286"/>
        <v>6.8343584871063987</v>
      </c>
      <c r="AR100" s="470">
        <f t="shared" si="353"/>
        <v>2449.9324379855789</v>
      </c>
      <c r="AS100" s="51">
        <f t="shared" si="263"/>
        <v>1010</v>
      </c>
      <c r="AT100" s="103">
        <f t="shared" si="377"/>
        <v>982</v>
      </c>
      <c r="AU100" s="46">
        <f t="shared" si="331"/>
        <v>28</v>
      </c>
      <c r="AV100" s="50">
        <f t="shared" si="264"/>
        <v>82</v>
      </c>
      <c r="AW100" s="103">
        <f t="shared" si="378"/>
        <v>69</v>
      </c>
      <c r="AX100" s="46">
        <f t="shared" si="307"/>
        <v>13</v>
      </c>
      <c r="AZ100" s="120">
        <f t="shared" si="379"/>
        <v>10</v>
      </c>
      <c r="BA100" s="7">
        <f t="shared" si="380"/>
        <v>13</v>
      </c>
      <c r="BB100" s="133"/>
      <c r="BC100" s="48">
        <f t="shared" si="225"/>
        <v>67622</v>
      </c>
      <c r="BD100" s="196">
        <f t="shared" si="226"/>
        <v>67614</v>
      </c>
      <c r="BE100" s="134"/>
      <c r="BF100" s="135">
        <v>8</v>
      </c>
      <c r="BG100" s="135"/>
      <c r="BH100" s="14">
        <f t="shared" si="312"/>
        <v>8</v>
      </c>
      <c r="BI100" s="14">
        <f t="shared" si="350"/>
        <v>1504</v>
      </c>
      <c r="BJ100" s="14">
        <f t="shared" si="265"/>
        <v>0.16</v>
      </c>
      <c r="BK100" s="47">
        <f t="shared" si="301"/>
        <v>1.1830469373872408E-2</v>
      </c>
      <c r="BL100" s="35">
        <f t="shared" si="266"/>
        <v>3.680000000000001</v>
      </c>
      <c r="BM100" s="435">
        <f t="shared" si="370"/>
        <v>2.177627197173718</v>
      </c>
      <c r="BN100" s="134">
        <v>3726</v>
      </c>
      <c r="BO100" s="14">
        <f t="shared" si="267"/>
        <v>61</v>
      </c>
      <c r="BP100" s="442">
        <f t="shared" si="302"/>
        <v>55.100411108810739</v>
      </c>
      <c r="BQ100" s="68">
        <f t="shared" si="304"/>
        <v>3193.5805635824063</v>
      </c>
      <c r="BR100" s="51">
        <f t="shared" si="268"/>
        <v>1010</v>
      </c>
      <c r="BS100" s="103">
        <f t="shared" si="381"/>
        <v>950</v>
      </c>
      <c r="BT100" s="46">
        <f t="shared" si="332"/>
        <v>60</v>
      </c>
      <c r="BU100" s="50">
        <f t="shared" si="269"/>
        <v>82</v>
      </c>
      <c r="BV100" s="103">
        <f t="shared" si="382"/>
        <v>68</v>
      </c>
      <c r="BW100" s="46">
        <f t="shared" si="308"/>
        <v>14</v>
      </c>
      <c r="BY100" s="120">
        <f t="shared" si="383"/>
        <v>10</v>
      </c>
      <c r="BZ100" s="7">
        <f t="shared" si="384"/>
        <v>13</v>
      </c>
      <c r="CA100" s="133"/>
      <c r="CB100" s="14">
        <f t="shared" si="295"/>
        <v>51158</v>
      </c>
      <c r="CC100" s="59">
        <f t="shared" si="313"/>
        <v>51158</v>
      </c>
      <c r="CD100" s="405"/>
      <c r="CE100" s="406">
        <v>0</v>
      </c>
      <c r="CF100" s="406"/>
      <c r="CG100" s="14">
        <f t="shared" si="314"/>
        <v>0</v>
      </c>
      <c r="CH100" s="14">
        <f t="shared" si="309"/>
        <v>922</v>
      </c>
      <c r="CI100" s="14">
        <f t="shared" si="270"/>
        <v>0.16</v>
      </c>
      <c r="CJ100" s="47">
        <f t="shared" si="303"/>
        <v>0</v>
      </c>
      <c r="CK100" s="35">
        <f t="shared" si="271"/>
        <v>3.680000000000001</v>
      </c>
      <c r="CL100" s="156">
        <f t="shared" si="206"/>
        <v>1.7744760291768509</v>
      </c>
      <c r="CM100" s="134">
        <v>3420</v>
      </c>
      <c r="CN100" s="14">
        <f t="shared" si="272"/>
        <v>61</v>
      </c>
      <c r="CO100" s="442">
        <f t="shared" si="187"/>
        <v>66.851714296884168</v>
      </c>
      <c r="CP100" s="68">
        <f t="shared" si="296"/>
        <v>3443.3602907731524</v>
      </c>
      <c r="CQ100" s="51">
        <f t="shared" si="273"/>
        <v>1010</v>
      </c>
      <c r="CR100" s="103">
        <f t="shared" si="385"/>
        <v>1011</v>
      </c>
      <c r="CS100" s="46">
        <f t="shared" si="333"/>
        <v>-1</v>
      </c>
      <c r="CT100" s="51">
        <f t="shared" si="274"/>
        <v>82</v>
      </c>
      <c r="CU100" s="103">
        <f t="shared" si="386"/>
        <v>76</v>
      </c>
      <c r="CV100" s="46">
        <f t="shared" si="299"/>
        <v>6</v>
      </c>
    </row>
    <row r="101" spans="1:100" ht="17.25" thickBot="1" x14ac:dyDescent="0.3">
      <c r="B101" s="120">
        <f t="shared" si="371"/>
        <v>11</v>
      </c>
      <c r="C101" s="7">
        <f t="shared" si="372"/>
        <v>13</v>
      </c>
      <c r="D101" s="133"/>
      <c r="E101" s="48">
        <f t="shared" si="204"/>
        <v>0</v>
      </c>
      <c r="F101" s="49">
        <f t="shared" si="205"/>
        <v>0</v>
      </c>
      <c r="G101" s="142"/>
      <c r="H101" s="135"/>
      <c r="I101" s="135"/>
      <c r="J101" s="14">
        <f t="shared" si="310"/>
        <v>0</v>
      </c>
      <c r="K101" s="14">
        <f t="shared" si="305"/>
        <v>9358</v>
      </c>
      <c r="L101" s="14">
        <f t="shared" si="255"/>
        <v>0.16</v>
      </c>
      <c r="M101" s="47">
        <f t="shared" si="277"/>
        <v>0</v>
      </c>
      <c r="N101" s="35">
        <f t="shared" si="256"/>
        <v>3.680000000000001</v>
      </c>
      <c r="O101" s="157">
        <f t="shared" si="300"/>
        <v>0</v>
      </c>
      <c r="P101" s="134"/>
      <c r="Q101" s="14">
        <f t="shared" si="257"/>
        <v>61</v>
      </c>
      <c r="R101" s="442">
        <f t="shared" si="278"/>
        <v>0</v>
      </c>
      <c r="S101" s="470">
        <f t="shared" si="306"/>
        <v>0</v>
      </c>
      <c r="T101" s="51">
        <f t="shared" si="258"/>
        <v>1010</v>
      </c>
      <c r="U101" s="103">
        <f t="shared" si="373"/>
        <v>0</v>
      </c>
      <c r="V101" s="46">
        <f t="shared" si="280"/>
        <v>1010</v>
      </c>
      <c r="W101" s="51">
        <f t="shared" si="259"/>
        <v>82</v>
      </c>
      <c r="X101" s="103">
        <f t="shared" si="374"/>
        <v>0</v>
      </c>
      <c r="Y101" s="46">
        <f t="shared" si="282"/>
        <v>82</v>
      </c>
      <c r="Z101" s="487"/>
      <c r="AA101" s="120">
        <f t="shared" si="375"/>
        <v>11</v>
      </c>
      <c r="AB101" s="7">
        <f t="shared" si="376"/>
        <v>13</v>
      </c>
      <c r="AC101" s="133"/>
      <c r="AD101" s="48">
        <f t="shared" si="352"/>
        <v>59986</v>
      </c>
      <c r="AE101" s="196">
        <f t="shared" si="224"/>
        <v>59981</v>
      </c>
      <c r="AF101" s="134"/>
      <c r="AG101" s="135">
        <v>5</v>
      </c>
      <c r="AH101" s="135"/>
      <c r="AI101" s="14">
        <f t="shared" si="311"/>
        <v>5</v>
      </c>
      <c r="AJ101" s="14">
        <f t="shared" si="351"/>
        <v>826</v>
      </c>
      <c r="AK101" s="14">
        <f t="shared" si="260"/>
        <v>0.16</v>
      </c>
      <c r="AL101" s="47">
        <f t="shared" si="285"/>
        <v>8.3352782315873706E-3</v>
      </c>
      <c r="AM101" s="35">
        <f t="shared" si="261"/>
        <v>3.680000000000001</v>
      </c>
      <c r="AN101" s="156">
        <f t="shared" si="207"/>
        <v>1.3672327606183996</v>
      </c>
      <c r="AO101" s="134">
        <v>4680</v>
      </c>
      <c r="AP101" s="14">
        <f t="shared" si="262"/>
        <v>61</v>
      </c>
      <c r="AQ101" s="442">
        <f t="shared" si="286"/>
        <v>78.018204247657792</v>
      </c>
      <c r="AR101" s="470">
        <f t="shared" si="353"/>
        <v>2527.9506422332365</v>
      </c>
      <c r="AS101" s="51">
        <f t="shared" si="263"/>
        <v>1010</v>
      </c>
      <c r="AT101" s="103">
        <f t="shared" si="377"/>
        <v>982</v>
      </c>
      <c r="AU101" s="46">
        <f t="shared" si="331"/>
        <v>28</v>
      </c>
      <c r="AV101" s="51">
        <f t="shared" si="264"/>
        <v>82</v>
      </c>
      <c r="AW101" s="103">
        <f t="shared" si="378"/>
        <v>69</v>
      </c>
      <c r="AX101" s="46">
        <f t="shared" si="307"/>
        <v>13</v>
      </c>
      <c r="AZ101" s="120">
        <f t="shared" si="379"/>
        <v>11</v>
      </c>
      <c r="BA101" s="7">
        <f t="shared" si="380"/>
        <v>13</v>
      </c>
      <c r="BB101" s="133"/>
      <c r="BC101" s="48">
        <f t="shared" si="225"/>
        <v>67614</v>
      </c>
      <c r="BD101" s="196">
        <f t="shared" si="226"/>
        <v>67575</v>
      </c>
      <c r="BE101" s="134"/>
      <c r="BF101" s="135">
        <v>39</v>
      </c>
      <c r="BG101" s="135"/>
      <c r="BH101" s="14">
        <f t="shared" si="312"/>
        <v>39</v>
      </c>
      <c r="BI101" s="14">
        <f t="shared" si="350"/>
        <v>1543</v>
      </c>
      <c r="BJ101" s="14">
        <f t="shared" si="265"/>
        <v>0.16</v>
      </c>
      <c r="BK101" s="47">
        <f t="shared" si="301"/>
        <v>5.7680362055195666E-2</v>
      </c>
      <c r="BL101" s="35">
        <f t="shared" si="266"/>
        <v>3.680000000000001</v>
      </c>
      <c r="BM101" s="435">
        <f t="shared" si="370"/>
        <v>2.2340949236961745</v>
      </c>
      <c r="BN101" s="134">
        <v>4149</v>
      </c>
      <c r="BO101" s="14">
        <f t="shared" si="267"/>
        <v>61</v>
      </c>
      <c r="BP101" s="442">
        <f t="shared" si="302"/>
        <v>61.363031324873553</v>
      </c>
      <c r="BQ101" s="68">
        <f t="shared" si="304"/>
        <v>3254.9435949072799</v>
      </c>
      <c r="BR101" s="51">
        <f t="shared" si="268"/>
        <v>1010</v>
      </c>
      <c r="BS101" s="103">
        <f t="shared" si="381"/>
        <v>950</v>
      </c>
      <c r="BT101" s="46">
        <f t="shared" si="332"/>
        <v>60</v>
      </c>
      <c r="BU101" s="51">
        <f t="shared" si="269"/>
        <v>82</v>
      </c>
      <c r="BV101" s="103">
        <f t="shared" si="382"/>
        <v>68</v>
      </c>
      <c r="BW101" s="46">
        <f t="shared" si="308"/>
        <v>14</v>
      </c>
      <c r="BY101" s="120">
        <f t="shared" si="383"/>
        <v>11</v>
      </c>
      <c r="BZ101" s="7">
        <f t="shared" si="384"/>
        <v>13</v>
      </c>
      <c r="CA101" s="133"/>
      <c r="CB101" s="14">
        <f t="shared" si="295"/>
        <v>51158</v>
      </c>
      <c r="CC101" s="59">
        <f t="shared" si="313"/>
        <v>51156</v>
      </c>
      <c r="CD101" s="405"/>
      <c r="CE101" s="406">
        <v>2</v>
      </c>
      <c r="CF101" s="406"/>
      <c r="CG101" s="14">
        <f t="shared" si="314"/>
        <v>2</v>
      </c>
      <c r="CH101" s="14">
        <f t="shared" si="309"/>
        <v>924</v>
      </c>
      <c r="CI101" s="14">
        <f t="shared" si="270"/>
        <v>0.16</v>
      </c>
      <c r="CJ101" s="47">
        <f t="shared" si="303"/>
        <v>3.9094569764259741E-2</v>
      </c>
      <c r="CK101" s="35">
        <f t="shared" si="271"/>
        <v>3.680000000000001</v>
      </c>
      <c r="CL101" s="156">
        <f t="shared" si="206"/>
        <v>1.7783252179603148</v>
      </c>
      <c r="CM101" s="134">
        <v>3420</v>
      </c>
      <c r="CN101" s="14">
        <f t="shared" si="272"/>
        <v>61</v>
      </c>
      <c r="CO101" s="442">
        <f t="shared" si="187"/>
        <v>66.851714296884168</v>
      </c>
      <c r="CP101" s="68">
        <f t="shared" si="296"/>
        <v>3510.2120050700364</v>
      </c>
      <c r="CQ101" s="51">
        <f t="shared" si="273"/>
        <v>1010</v>
      </c>
      <c r="CR101" s="103">
        <f t="shared" si="385"/>
        <v>1011</v>
      </c>
      <c r="CS101" s="46">
        <f t="shared" si="333"/>
        <v>-1</v>
      </c>
      <c r="CT101" s="51">
        <f t="shared" si="274"/>
        <v>82</v>
      </c>
      <c r="CU101" s="103">
        <f t="shared" si="386"/>
        <v>76</v>
      </c>
      <c r="CV101" s="46">
        <f t="shared" si="299"/>
        <v>6</v>
      </c>
    </row>
    <row r="102" spans="1:100" ht="17.25" thickBot="1" x14ac:dyDescent="0.3">
      <c r="B102" s="120">
        <f t="shared" si="371"/>
        <v>12</v>
      </c>
      <c r="C102" s="7">
        <f t="shared" si="372"/>
        <v>13</v>
      </c>
      <c r="D102" s="133"/>
      <c r="E102" s="48">
        <f t="shared" si="204"/>
        <v>0</v>
      </c>
      <c r="F102" s="49">
        <f t="shared" si="205"/>
        <v>0</v>
      </c>
      <c r="G102" s="142"/>
      <c r="H102" s="135"/>
      <c r="I102" s="135"/>
      <c r="J102" s="14">
        <f t="shared" si="310"/>
        <v>0</v>
      </c>
      <c r="K102" s="14">
        <f t="shared" si="305"/>
        <v>9358</v>
      </c>
      <c r="L102" s="14">
        <f t="shared" ref="L102:L138" si="387">VLOOKUP($C102,LOHMANN,4,FALSE)</f>
        <v>0.16</v>
      </c>
      <c r="M102" s="231">
        <f t="shared" si="277"/>
        <v>0</v>
      </c>
      <c r="N102" s="35">
        <f t="shared" ref="N102:N138" si="388">VLOOKUP($C102,LOHMANN,5,FALSE)</f>
        <v>3.680000000000001</v>
      </c>
      <c r="O102" s="157">
        <f t="shared" si="300"/>
        <v>0</v>
      </c>
      <c r="P102" s="134"/>
      <c r="Q102" s="14">
        <f t="shared" ref="Q102:Q138" si="389">VLOOKUP($C102,LOHMANN,6,FALSE)</f>
        <v>61</v>
      </c>
      <c r="R102" s="442">
        <f t="shared" si="278"/>
        <v>0</v>
      </c>
      <c r="S102" s="470">
        <f t="shared" si="306"/>
        <v>0</v>
      </c>
      <c r="T102" s="51">
        <f t="shared" ref="T102:T138" si="390">VLOOKUP($C102,LOHMANN,2,FALSE)</f>
        <v>1010</v>
      </c>
      <c r="U102" s="103">
        <f t="shared" si="373"/>
        <v>0</v>
      </c>
      <c r="V102" s="46">
        <f t="shared" si="280"/>
        <v>1010</v>
      </c>
      <c r="W102" s="12">
        <f t="shared" ref="W102:W131" si="391">VLOOKUP(C102,LOHMANN,3,FALSE)</f>
        <v>82</v>
      </c>
      <c r="X102" s="103">
        <f t="shared" si="374"/>
        <v>0</v>
      </c>
      <c r="Y102" s="46">
        <f t="shared" si="282"/>
        <v>82</v>
      </c>
      <c r="Z102" s="487"/>
      <c r="AA102" s="120">
        <f t="shared" si="375"/>
        <v>12</v>
      </c>
      <c r="AB102" s="7">
        <f t="shared" si="376"/>
        <v>13</v>
      </c>
      <c r="AC102" s="133"/>
      <c r="AD102" s="48">
        <f t="shared" si="352"/>
        <v>59981</v>
      </c>
      <c r="AE102" s="49">
        <f t="shared" si="224"/>
        <v>59975</v>
      </c>
      <c r="AF102" s="134"/>
      <c r="AG102" s="135">
        <v>6</v>
      </c>
      <c r="AH102" s="135"/>
      <c r="AI102" s="14">
        <f t="shared" si="311"/>
        <v>6</v>
      </c>
      <c r="AJ102" s="14">
        <f t="shared" si="351"/>
        <v>832</v>
      </c>
      <c r="AK102" s="14">
        <f t="shared" si="260"/>
        <v>0.16</v>
      </c>
      <c r="AL102" s="231">
        <f t="shared" si="285"/>
        <v>1.0003167669762092E-2</v>
      </c>
      <c r="AM102" s="35">
        <f t="shared" si="261"/>
        <v>3.680000000000001</v>
      </c>
      <c r="AN102" s="156">
        <f t="shared" si="207"/>
        <v>1.3771642334558214</v>
      </c>
      <c r="AO102" s="134">
        <v>334</v>
      </c>
      <c r="AP102" s="14">
        <f t="shared" si="262"/>
        <v>61</v>
      </c>
      <c r="AQ102" s="442">
        <f t="shared" si="286"/>
        <v>5.5684300028342308</v>
      </c>
      <c r="AR102" s="470">
        <f t="shared" si="353"/>
        <v>2533.5190722360708</v>
      </c>
      <c r="AS102" s="51">
        <f t="shared" si="263"/>
        <v>1010</v>
      </c>
      <c r="AT102" s="103">
        <f t="shared" si="377"/>
        <v>982</v>
      </c>
      <c r="AU102" s="46">
        <f t="shared" si="331"/>
        <v>28</v>
      </c>
      <c r="AV102" s="12">
        <f t="shared" si="264"/>
        <v>82</v>
      </c>
      <c r="AW102" s="103">
        <f t="shared" si="378"/>
        <v>69</v>
      </c>
      <c r="AX102" s="46">
        <f t="shared" si="307"/>
        <v>13</v>
      </c>
      <c r="AZ102" s="120">
        <f t="shared" si="379"/>
        <v>12</v>
      </c>
      <c r="BA102" s="7">
        <f t="shared" si="380"/>
        <v>13</v>
      </c>
      <c r="BB102" s="133"/>
      <c r="BC102" s="48">
        <f t="shared" si="225"/>
        <v>67575</v>
      </c>
      <c r="BD102" s="49">
        <f t="shared" si="226"/>
        <v>67572</v>
      </c>
      <c r="BE102" s="134"/>
      <c r="BF102" s="135">
        <v>3</v>
      </c>
      <c r="BG102" s="135"/>
      <c r="BH102" s="14">
        <f t="shared" si="312"/>
        <v>3</v>
      </c>
      <c r="BI102" s="14">
        <f t="shared" si="350"/>
        <v>1546</v>
      </c>
      <c r="BJ102" s="14">
        <f t="shared" si="265"/>
        <v>0.16</v>
      </c>
      <c r="BK102" s="47">
        <f t="shared" si="301"/>
        <v>4.4395116537180911E-3</v>
      </c>
      <c r="BL102" s="35">
        <f t="shared" si="266"/>
        <v>3.680000000000001</v>
      </c>
      <c r="BM102" s="435">
        <f t="shared" si="370"/>
        <v>2.2384385949671328</v>
      </c>
      <c r="BN102" s="134">
        <v>2898</v>
      </c>
      <c r="BO102" s="14">
        <f t="shared" si="267"/>
        <v>61</v>
      </c>
      <c r="BP102" s="442">
        <f t="shared" si="302"/>
        <v>42.885682574916764</v>
      </c>
      <c r="BQ102" s="68">
        <f t="shared" si="304"/>
        <v>3297.8292774821966</v>
      </c>
      <c r="BR102" s="51">
        <f t="shared" si="268"/>
        <v>1010</v>
      </c>
      <c r="BS102" s="103">
        <f t="shared" si="381"/>
        <v>950</v>
      </c>
      <c r="BT102" s="46">
        <f t="shared" si="332"/>
        <v>60</v>
      </c>
      <c r="BU102" s="12">
        <f t="shared" si="269"/>
        <v>82</v>
      </c>
      <c r="BV102" s="103">
        <f t="shared" si="382"/>
        <v>68</v>
      </c>
      <c r="BW102" s="46">
        <f t="shared" si="308"/>
        <v>14</v>
      </c>
      <c r="BY102" s="120">
        <f t="shared" si="383"/>
        <v>12</v>
      </c>
      <c r="BZ102" s="7">
        <f t="shared" si="384"/>
        <v>13</v>
      </c>
      <c r="CA102" s="133"/>
      <c r="CB102" s="14">
        <f t="shared" si="295"/>
        <v>51156</v>
      </c>
      <c r="CC102" s="46">
        <f t="shared" si="313"/>
        <v>51151</v>
      </c>
      <c r="CD102" s="405"/>
      <c r="CE102" s="406">
        <v>5</v>
      </c>
      <c r="CF102" s="406"/>
      <c r="CG102" s="14">
        <f t="shared" si="314"/>
        <v>5</v>
      </c>
      <c r="CH102" s="14">
        <f t="shared" si="309"/>
        <v>929</v>
      </c>
      <c r="CI102" s="14">
        <f t="shared" ref="CI102:CI138" si="392">VLOOKUP($C102,LOHMANN,4,FALSE)</f>
        <v>0.16</v>
      </c>
      <c r="CJ102" s="47">
        <f t="shared" si="303"/>
        <v>9.7740245523496749E-2</v>
      </c>
      <c r="CK102" s="35">
        <f t="shared" ref="CK102:CK138" si="393">VLOOKUP($C102,LOHMANN,5,FALSE)</f>
        <v>3.680000000000001</v>
      </c>
      <c r="CL102" s="156">
        <f t="shared" si="206"/>
        <v>1.7879481899189746</v>
      </c>
      <c r="CM102" s="134">
        <v>3240</v>
      </c>
      <c r="CN102" s="14">
        <f t="shared" ref="CN102:CN138" si="394">VLOOKUP($C102,LOHMANN,6,FALSE)</f>
        <v>61</v>
      </c>
      <c r="CO102" s="442">
        <f t="shared" ref="CO102:CO138" si="395">IFERROR((CM102/CB102)*1000,0)</f>
        <v>63.335679099225899</v>
      </c>
      <c r="CP102" s="68">
        <f t="shared" si="296"/>
        <v>3573.5476841692625</v>
      </c>
      <c r="CQ102" s="51">
        <f t="shared" ref="CQ102:CQ138" si="396">VLOOKUP($C102,LOHMANN,2,FALSE)</f>
        <v>1010</v>
      </c>
      <c r="CR102" s="103">
        <f t="shared" si="385"/>
        <v>1011</v>
      </c>
      <c r="CS102" s="46">
        <f t="shared" si="333"/>
        <v>-1</v>
      </c>
      <c r="CT102" s="51">
        <f t="shared" ref="CT102:CT138" si="397">VLOOKUP(BZ102,LOHMANN,3,FALSE)</f>
        <v>82</v>
      </c>
      <c r="CU102" s="103">
        <f t="shared" si="386"/>
        <v>76</v>
      </c>
      <c r="CV102" s="46">
        <f t="shared" si="299"/>
        <v>6</v>
      </c>
    </row>
    <row r="103" spans="1:100" ht="17.25" thickBot="1" x14ac:dyDescent="0.3">
      <c r="B103" s="120">
        <f t="shared" si="371"/>
        <v>13</v>
      </c>
      <c r="C103" s="8">
        <f t="shared" si="372"/>
        <v>13</v>
      </c>
      <c r="D103" s="136"/>
      <c r="E103" s="54">
        <f t="shared" si="204"/>
        <v>0</v>
      </c>
      <c r="F103" s="448">
        <f t="shared" si="205"/>
        <v>0</v>
      </c>
      <c r="G103" s="139"/>
      <c r="H103" s="138"/>
      <c r="I103" s="138"/>
      <c r="J103" s="34">
        <f t="shared" si="310"/>
        <v>0</v>
      </c>
      <c r="K103" s="34">
        <f t="shared" si="305"/>
        <v>9358</v>
      </c>
      <c r="L103" s="17">
        <f t="shared" si="387"/>
        <v>0.16</v>
      </c>
      <c r="M103" s="96">
        <f t="shared" si="277"/>
        <v>0</v>
      </c>
      <c r="N103" s="33">
        <f t="shared" si="388"/>
        <v>3.680000000000001</v>
      </c>
      <c r="O103" s="156">
        <f t="shared" si="300"/>
        <v>0</v>
      </c>
      <c r="P103" s="137"/>
      <c r="Q103" s="13">
        <f t="shared" si="389"/>
        <v>61</v>
      </c>
      <c r="R103" s="479">
        <f t="shared" si="278"/>
        <v>0</v>
      </c>
      <c r="S103" s="471">
        <f t="shared" si="306"/>
        <v>0</v>
      </c>
      <c r="T103" s="50">
        <f t="shared" si="390"/>
        <v>1010</v>
      </c>
      <c r="U103" s="103">
        <f t="shared" si="373"/>
        <v>0</v>
      </c>
      <c r="V103" s="63">
        <f t="shared" si="280"/>
        <v>1010</v>
      </c>
      <c r="W103" s="56">
        <f t="shared" si="391"/>
        <v>82</v>
      </c>
      <c r="X103" s="103">
        <f t="shared" si="374"/>
        <v>0</v>
      </c>
      <c r="Y103" s="63">
        <f t="shared" si="282"/>
        <v>82</v>
      </c>
      <c r="Z103" s="487"/>
      <c r="AA103" s="120">
        <f t="shared" si="375"/>
        <v>13</v>
      </c>
      <c r="AB103" s="8">
        <f t="shared" si="376"/>
        <v>13</v>
      </c>
      <c r="AC103" s="136"/>
      <c r="AD103" s="67">
        <f t="shared" si="352"/>
        <v>59975</v>
      </c>
      <c r="AE103" s="448">
        <f t="shared" si="224"/>
        <v>59972</v>
      </c>
      <c r="AF103" s="137"/>
      <c r="AG103" s="138">
        <v>3</v>
      </c>
      <c r="AH103" s="138"/>
      <c r="AI103" s="34">
        <f t="shared" si="311"/>
        <v>3</v>
      </c>
      <c r="AJ103" s="34">
        <f t="shared" si="351"/>
        <v>835</v>
      </c>
      <c r="AK103" s="17">
        <f t="shared" si="260"/>
        <v>0.16</v>
      </c>
      <c r="AL103" s="96">
        <f t="shared" si="285"/>
        <v>5.0020842017507294E-3</v>
      </c>
      <c r="AM103" s="33">
        <f t="shared" si="261"/>
        <v>3.680000000000001</v>
      </c>
      <c r="AN103" s="156">
        <f t="shared" si="207"/>
        <v>1.3821299698745324</v>
      </c>
      <c r="AO103" s="137">
        <v>2520</v>
      </c>
      <c r="AP103" s="13">
        <f t="shared" si="262"/>
        <v>61</v>
      </c>
      <c r="AQ103" s="479">
        <f t="shared" si="286"/>
        <v>42.017507294706128</v>
      </c>
      <c r="AR103" s="471">
        <f t="shared" si="353"/>
        <v>2575.5365795307771</v>
      </c>
      <c r="AS103" s="50">
        <f t="shared" si="263"/>
        <v>1010</v>
      </c>
      <c r="AT103" s="103">
        <f t="shared" si="377"/>
        <v>982</v>
      </c>
      <c r="AU103" s="63">
        <f t="shared" si="331"/>
        <v>28</v>
      </c>
      <c r="AV103" s="56">
        <f t="shared" si="264"/>
        <v>82</v>
      </c>
      <c r="AW103" s="103">
        <f t="shared" si="378"/>
        <v>69</v>
      </c>
      <c r="AX103" s="63">
        <f t="shared" si="307"/>
        <v>13</v>
      </c>
      <c r="AZ103" s="120">
        <f t="shared" si="379"/>
        <v>13</v>
      </c>
      <c r="BA103" s="8">
        <f t="shared" si="380"/>
        <v>13</v>
      </c>
      <c r="BB103" s="136"/>
      <c r="BC103" s="54">
        <f>IFERROR(BD102-BB103,0)</f>
        <v>67572</v>
      </c>
      <c r="BD103" s="448">
        <f t="shared" si="226"/>
        <v>67567</v>
      </c>
      <c r="BE103" s="137"/>
      <c r="BF103" s="138">
        <v>5</v>
      </c>
      <c r="BG103" s="138"/>
      <c r="BH103" s="34">
        <f t="shared" si="312"/>
        <v>5</v>
      </c>
      <c r="BI103" s="34">
        <f t="shared" si="350"/>
        <v>1551</v>
      </c>
      <c r="BJ103" s="17">
        <f t="shared" si="265"/>
        <v>0.16</v>
      </c>
      <c r="BK103" s="96">
        <f t="shared" si="301"/>
        <v>7.3995145918427747E-3</v>
      </c>
      <c r="BL103" s="33">
        <f t="shared" si="266"/>
        <v>3.680000000000001</v>
      </c>
      <c r="BM103" s="435">
        <f t="shared" si="370"/>
        <v>2.2456780470853968</v>
      </c>
      <c r="BN103" s="137">
        <v>3312</v>
      </c>
      <c r="BO103" s="13">
        <f t="shared" si="267"/>
        <v>61</v>
      </c>
      <c r="BP103" s="443">
        <f t="shared" si="302"/>
        <v>49.014384656366545</v>
      </c>
      <c r="BQ103" s="70">
        <f t="shared" si="304"/>
        <v>3346.8436621385631</v>
      </c>
      <c r="BR103" s="50">
        <f t="shared" si="268"/>
        <v>1010</v>
      </c>
      <c r="BS103" s="103">
        <f t="shared" si="381"/>
        <v>950</v>
      </c>
      <c r="BT103" s="63">
        <f t="shared" si="332"/>
        <v>60</v>
      </c>
      <c r="BU103" s="56">
        <f t="shared" si="269"/>
        <v>82</v>
      </c>
      <c r="BV103" s="103">
        <f t="shared" si="382"/>
        <v>68</v>
      </c>
      <c r="BW103" s="63">
        <f t="shared" si="308"/>
        <v>14</v>
      </c>
      <c r="BY103" s="197">
        <f>BY102+1</f>
        <v>13</v>
      </c>
      <c r="BZ103" s="8">
        <f t="shared" si="384"/>
        <v>13</v>
      </c>
      <c r="CA103" s="136"/>
      <c r="CB103" s="32">
        <f t="shared" si="295"/>
        <v>51151</v>
      </c>
      <c r="CC103" s="63">
        <f t="shared" si="313"/>
        <v>51149</v>
      </c>
      <c r="CD103" s="421"/>
      <c r="CE103" s="426">
        <v>2</v>
      </c>
      <c r="CF103" s="426"/>
      <c r="CG103" s="34">
        <f t="shared" si="314"/>
        <v>2</v>
      </c>
      <c r="CH103" s="34">
        <f t="shared" si="309"/>
        <v>931</v>
      </c>
      <c r="CI103" s="17">
        <f t="shared" si="392"/>
        <v>0.16</v>
      </c>
      <c r="CJ103" s="166">
        <f t="shared" si="303"/>
        <v>3.9099919845164317E-2</v>
      </c>
      <c r="CK103" s="33">
        <f t="shared" si="393"/>
        <v>3.680000000000001</v>
      </c>
      <c r="CL103" s="156">
        <f t="shared" si="206"/>
        <v>1.7917973787024384</v>
      </c>
      <c r="CM103" s="137">
        <v>3060</v>
      </c>
      <c r="CN103" s="13">
        <f t="shared" si="394"/>
        <v>61</v>
      </c>
      <c r="CO103" s="443">
        <f t="shared" si="395"/>
        <v>59.822877363101405</v>
      </c>
      <c r="CP103" s="70">
        <f t="shared" si="296"/>
        <v>3633.3705615323638</v>
      </c>
      <c r="CQ103" s="50">
        <f t="shared" si="396"/>
        <v>1010</v>
      </c>
      <c r="CR103" s="103">
        <f t="shared" si="385"/>
        <v>1011</v>
      </c>
      <c r="CS103" s="63">
        <f t="shared" si="333"/>
        <v>-1</v>
      </c>
      <c r="CT103" s="12">
        <f t="shared" si="397"/>
        <v>82</v>
      </c>
      <c r="CU103" s="103">
        <f t="shared" si="386"/>
        <v>76</v>
      </c>
      <c r="CV103" s="63">
        <f t="shared" si="299"/>
        <v>6</v>
      </c>
    </row>
    <row r="104" spans="1:100" ht="17.25" thickBot="1" x14ac:dyDescent="0.3">
      <c r="B104" s="118">
        <v>13</v>
      </c>
      <c r="C104" s="9">
        <v>14</v>
      </c>
      <c r="D104" s="129"/>
      <c r="E104" s="43">
        <f t="shared" si="204"/>
        <v>0</v>
      </c>
      <c r="F104" s="44">
        <f t="shared" si="205"/>
        <v>0</v>
      </c>
      <c r="G104" s="158"/>
      <c r="H104" s="131"/>
      <c r="I104" s="131"/>
      <c r="J104" s="11">
        <f t="shared" si="310"/>
        <v>0</v>
      </c>
      <c r="K104" s="11">
        <f t="shared" si="305"/>
        <v>9358</v>
      </c>
      <c r="L104" s="16">
        <f t="shared" si="387"/>
        <v>0.16</v>
      </c>
      <c r="M104" s="42">
        <f t="shared" si="277"/>
        <v>0</v>
      </c>
      <c r="N104" s="154">
        <f t="shared" si="388"/>
        <v>3.8400000000000012</v>
      </c>
      <c r="O104" s="155">
        <f t="shared" si="300"/>
        <v>0</v>
      </c>
      <c r="P104" s="130"/>
      <c r="Q104" s="11">
        <f t="shared" si="389"/>
        <v>64</v>
      </c>
      <c r="R104" s="481">
        <f t="shared" si="278"/>
        <v>0</v>
      </c>
      <c r="S104" s="469">
        <f t="shared" si="306"/>
        <v>0</v>
      </c>
      <c r="T104" s="58">
        <f t="shared" si="390"/>
        <v>1065</v>
      </c>
      <c r="U104" s="131"/>
      <c r="V104" s="41">
        <f t="shared" si="280"/>
        <v>1065</v>
      </c>
      <c r="W104" s="18">
        <f t="shared" si="391"/>
        <v>84</v>
      </c>
      <c r="X104" s="131"/>
      <c r="Y104" s="41">
        <f t="shared" si="282"/>
        <v>84</v>
      </c>
      <c r="Z104" s="487"/>
      <c r="AA104" s="118">
        <v>14</v>
      </c>
      <c r="AB104" s="9">
        <v>14</v>
      </c>
      <c r="AC104" s="129"/>
      <c r="AD104" s="43">
        <f t="shared" si="352"/>
        <v>59972</v>
      </c>
      <c r="AE104" s="449">
        <f t="shared" si="224"/>
        <v>59964</v>
      </c>
      <c r="AF104" s="130"/>
      <c r="AG104" s="131">
        <v>8</v>
      </c>
      <c r="AH104" s="131"/>
      <c r="AI104" s="11">
        <f t="shared" si="311"/>
        <v>8</v>
      </c>
      <c r="AJ104" s="11">
        <f t="shared" si="351"/>
        <v>843</v>
      </c>
      <c r="AK104" s="16">
        <f t="shared" si="260"/>
        <v>0.16</v>
      </c>
      <c r="AL104" s="42">
        <f t="shared" si="285"/>
        <v>1.3339558460614954E-2</v>
      </c>
      <c r="AM104" s="154">
        <f t="shared" si="261"/>
        <v>3.8400000000000012</v>
      </c>
      <c r="AN104" s="156">
        <f t="shared" si="207"/>
        <v>1.3953719336577615</v>
      </c>
      <c r="AO104" s="130">
        <v>2160</v>
      </c>
      <c r="AP104" s="11">
        <f t="shared" si="262"/>
        <v>64</v>
      </c>
      <c r="AQ104" s="481">
        <f t="shared" si="286"/>
        <v>36.016807843660374</v>
      </c>
      <c r="AR104" s="469">
        <f t="shared" si="353"/>
        <v>2611.5533873744375</v>
      </c>
      <c r="AS104" s="58">
        <f t="shared" si="263"/>
        <v>1065</v>
      </c>
      <c r="AT104" s="131">
        <v>1048</v>
      </c>
      <c r="AU104" s="41">
        <f t="shared" si="331"/>
        <v>17</v>
      </c>
      <c r="AV104" s="18">
        <f t="shared" si="264"/>
        <v>84</v>
      </c>
      <c r="AW104" s="131">
        <v>72</v>
      </c>
      <c r="AX104" s="41">
        <f t="shared" si="307"/>
        <v>12</v>
      </c>
      <c r="AZ104" s="118">
        <v>14</v>
      </c>
      <c r="BA104" s="9">
        <v>14</v>
      </c>
      <c r="BB104" s="129"/>
      <c r="BC104" s="43">
        <f>IFERROR(BD103-BB104,0)</f>
        <v>67567</v>
      </c>
      <c r="BD104" s="449">
        <f t="shared" si="226"/>
        <v>67561</v>
      </c>
      <c r="BE104" s="130"/>
      <c r="BF104" s="131">
        <v>6</v>
      </c>
      <c r="BG104" s="131"/>
      <c r="BH104" s="11">
        <f t="shared" si="312"/>
        <v>6</v>
      </c>
      <c r="BI104" s="11">
        <f t="shared" si="350"/>
        <v>1557</v>
      </c>
      <c r="BJ104" s="16">
        <f t="shared" si="265"/>
        <v>0.16</v>
      </c>
      <c r="BK104" s="235">
        <f t="shared" si="301"/>
        <v>8.880074592626578E-3</v>
      </c>
      <c r="BL104" s="154">
        <f t="shared" si="266"/>
        <v>3.8400000000000012</v>
      </c>
      <c r="BM104" s="435">
        <f t="shared" si="370"/>
        <v>2.254365389627313</v>
      </c>
      <c r="BN104" s="130">
        <v>3316</v>
      </c>
      <c r="BO104" s="11">
        <f t="shared" si="267"/>
        <v>64</v>
      </c>
      <c r="BP104" s="479">
        <f t="shared" si="302"/>
        <v>49.077212248582889</v>
      </c>
      <c r="BQ104" s="377">
        <f t="shared" si="304"/>
        <v>3395.9208743871459</v>
      </c>
      <c r="BR104" s="58">
        <f t="shared" si="268"/>
        <v>1065</v>
      </c>
      <c r="BS104" s="131">
        <v>1002</v>
      </c>
      <c r="BT104" s="41">
        <f t="shared" si="332"/>
        <v>63</v>
      </c>
      <c r="BU104" s="18">
        <f t="shared" si="269"/>
        <v>84</v>
      </c>
      <c r="BV104" s="131">
        <v>80</v>
      </c>
      <c r="BW104" s="41">
        <f t="shared" si="308"/>
        <v>4</v>
      </c>
      <c r="BY104" s="118">
        <v>14</v>
      </c>
      <c r="BZ104" s="9">
        <v>14</v>
      </c>
      <c r="CA104" s="129"/>
      <c r="CB104" s="32">
        <f t="shared" ref="CB104" si="398">IFERROR(CC103+CA104,0)</f>
        <v>51149</v>
      </c>
      <c r="CC104" s="63">
        <f t="shared" ref="CC104" si="399">IFERROR(CB104-CG104,0)</f>
        <v>51144</v>
      </c>
      <c r="CD104" s="398"/>
      <c r="CE104" s="399">
        <v>5</v>
      </c>
      <c r="CF104" s="399"/>
      <c r="CG104" s="11">
        <f t="shared" si="314"/>
        <v>5</v>
      </c>
      <c r="CH104" s="11">
        <f>CH103+CG104</f>
        <v>936</v>
      </c>
      <c r="CI104" s="16">
        <f t="shared" si="392"/>
        <v>0.16</v>
      </c>
      <c r="CJ104" s="231">
        <f t="shared" si="303"/>
        <v>9.7753621771686644E-2</v>
      </c>
      <c r="CK104" s="154">
        <f t="shared" si="393"/>
        <v>3.8400000000000012</v>
      </c>
      <c r="CL104" s="156">
        <f t="shared" si="206"/>
        <v>1.8014203506610982</v>
      </c>
      <c r="CM104" s="130">
        <v>3780</v>
      </c>
      <c r="CN104" s="11">
        <f t="shared" si="394"/>
        <v>64</v>
      </c>
      <c r="CO104" s="479">
        <f t="shared" si="395"/>
        <v>73.9017380593951</v>
      </c>
      <c r="CP104" s="377">
        <f t="shared" si="296"/>
        <v>3707.2722995917588</v>
      </c>
      <c r="CQ104" s="58">
        <f t="shared" si="396"/>
        <v>1065</v>
      </c>
      <c r="CR104" s="131">
        <v>1060</v>
      </c>
      <c r="CS104" s="41">
        <f t="shared" si="333"/>
        <v>5</v>
      </c>
      <c r="CT104" s="18">
        <f t="shared" si="397"/>
        <v>84</v>
      </c>
      <c r="CU104" s="131">
        <v>75</v>
      </c>
      <c r="CV104" s="41">
        <f t="shared" si="299"/>
        <v>9</v>
      </c>
    </row>
    <row r="105" spans="1:100" ht="17.25" thickBot="1" x14ac:dyDescent="0.3">
      <c r="A105" s="423"/>
      <c r="B105" s="403">
        <f>B104+1</f>
        <v>14</v>
      </c>
      <c r="C105" s="404">
        <f>C104</f>
        <v>14</v>
      </c>
      <c r="D105" s="229"/>
      <c r="E105" s="48">
        <f t="shared" si="204"/>
        <v>0</v>
      </c>
      <c r="F105" s="49">
        <f t="shared" si="205"/>
        <v>0</v>
      </c>
      <c r="G105" s="411"/>
      <c r="H105" s="406"/>
      <c r="I105" s="406"/>
      <c r="J105" s="380">
        <f>SUM(G105:I105)</f>
        <v>0</v>
      </c>
      <c r="K105" s="380">
        <f>K104+J105</f>
        <v>9358</v>
      </c>
      <c r="L105" s="380">
        <f t="shared" si="387"/>
        <v>0.16</v>
      </c>
      <c r="M105" s="231">
        <f t="shared" si="277"/>
        <v>0</v>
      </c>
      <c r="N105" s="407">
        <f t="shared" si="388"/>
        <v>3.8400000000000012</v>
      </c>
      <c r="O105" s="424">
        <f t="shared" si="300"/>
        <v>0</v>
      </c>
      <c r="P105" s="411"/>
      <c r="Q105" s="380">
        <f t="shared" si="389"/>
        <v>64</v>
      </c>
      <c r="R105" s="442">
        <f t="shared" si="278"/>
        <v>0</v>
      </c>
      <c r="S105" s="474">
        <f t="shared" si="306"/>
        <v>0</v>
      </c>
      <c r="T105" s="182">
        <f t="shared" si="390"/>
        <v>1065</v>
      </c>
      <c r="U105" s="181">
        <f>U104</f>
        <v>0</v>
      </c>
      <c r="V105" s="206">
        <f t="shared" si="280"/>
        <v>1065</v>
      </c>
      <c r="W105" s="385">
        <f t="shared" si="391"/>
        <v>84</v>
      </c>
      <c r="X105" s="181">
        <f>X104</f>
        <v>0</v>
      </c>
      <c r="Y105" s="206">
        <f t="shared" si="282"/>
        <v>84</v>
      </c>
      <c r="Z105" s="487"/>
      <c r="AA105" s="403">
        <f>AA104+1</f>
        <v>15</v>
      </c>
      <c r="AB105" s="404">
        <f>AB104</f>
        <v>14</v>
      </c>
      <c r="AC105" s="229"/>
      <c r="AD105" s="48">
        <f t="shared" si="352"/>
        <v>59964</v>
      </c>
      <c r="AE105" s="450">
        <f t="shared" si="224"/>
        <v>59956</v>
      </c>
      <c r="AF105" s="405"/>
      <c r="AG105" s="406">
        <v>8</v>
      </c>
      <c r="AH105" s="406"/>
      <c r="AI105" s="380">
        <f>SUM(AF105:AH105)</f>
        <v>8</v>
      </c>
      <c r="AJ105" s="380">
        <f>AJ104+AI105</f>
        <v>851</v>
      </c>
      <c r="AK105" s="380">
        <f t="shared" si="260"/>
        <v>0.16</v>
      </c>
      <c r="AL105" s="231">
        <f t="shared" si="285"/>
        <v>1.3341338136215063E-2</v>
      </c>
      <c r="AM105" s="407">
        <f t="shared" si="261"/>
        <v>3.8400000000000012</v>
      </c>
      <c r="AN105" s="156">
        <f t="shared" si="207"/>
        <v>1.4086138974409905</v>
      </c>
      <c r="AO105" s="411">
        <v>2160</v>
      </c>
      <c r="AP105" s="380">
        <f t="shared" si="262"/>
        <v>64</v>
      </c>
      <c r="AQ105" s="442">
        <f t="shared" si="286"/>
        <v>36.021612967780669</v>
      </c>
      <c r="AR105" s="474">
        <f t="shared" si="353"/>
        <v>2647.5750003422181</v>
      </c>
      <c r="AS105" s="182">
        <f t="shared" si="263"/>
        <v>1065</v>
      </c>
      <c r="AT105" s="181">
        <f>AT104</f>
        <v>1048</v>
      </c>
      <c r="AU105" s="206">
        <f t="shared" si="331"/>
        <v>17</v>
      </c>
      <c r="AV105" s="385">
        <f t="shared" si="264"/>
        <v>84</v>
      </c>
      <c r="AW105" s="181">
        <f>AW104</f>
        <v>72</v>
      </c>
      <c r="AX105" s="206">
        <f t="shared" si="307"/>
        <v>12</v>
      </c>
      <c r="AY105" s="412"/>
      <c r="AZ105" s="403">
        <f>AZ104+1</f>
        <v>15</v>
      </c>
      <c r="BA105" s="404">
        <f>BA104</f>
        <v>14</v>
      </c>
      <c r="BB105" s="229"/>
      <c r="BC105" s="408">
        <f t="shared" ref="BC105:BC131" si="400">IFERROR(BD104+BB105,0)</f>
        <v>67561</v>
      </c>
      <c r="BD105" s="450">
        <f t="shared" si="226"/>
        <v>67559</v>
      </c>
      <c r="BE105" s="405"/>
      <c r="BF105" s="406">
        <v>2</v>
      </c>
      <c r="BG105" s="406"/>
      <c r="BH105" s="380">
        <f>SUM(BE105:BG105)</f>
        <v>2</v>
      </c>
      <c r="BI105" s="380">
        <f>BI104+BH105</f>
        <v>1559</v>
      </c>
      <c r="BJ105" s="380">
        <f t="shared" si="265"/>
        <v>0.16</v>
      </c>
      <c r="BK105" s="47">
        <f t="shared" si="301"/>
        <v>2.9602877399683247E-3</v>
      </c>
      <c r="BL105" s="407">
        <f t="shared" si="266"/>
        <v>3.8400000000000012</v>
      </c>
      <c r="BM105" s="435">
        <f t="shared" si="370"/>
        <v>2.2572611704746186</v>
      </c>
      <c r="BN105" s="411">
        <v>2691</v>
      </c>
      <c r="BO105" s="380">
        <f t="shared" si="267"/>
        <v>64</v>
      </c>
      <c r="BP105" s="442">
        <f t="shared" si="302"/>
        <v>39.830671541273809</v>
      </c>
      <c r="BQ105" s="409">
        <f t="shared" si="304"/>
        <v>3435.7515459284195</v>
      </c>
      <c r="BR105" s="182">
        <f t="shared" si="268"/>
        <v>1065</v>
      </c>
      <c r="BS105" s="181">
        <f>BS104</f>
        <v>1002</v>
      </c>
      <c r="BT105" s="206">
        <f t="shared" si="332"/>
        <v>63</v>
      </c>
      <c r="BU105" s="385">
        <f t="shared" si="269"/>
        <v>84</v>
      </c>
      <c r="BV105" s="181">
        <f>BV104</f>
        <v>80</v>
      </c>
      <c r="BW105" s="206">
        <f t="shared" si="308"/>
        <v>4</v>
      </c>
      <c r="BX105" s="425"/>
      <c r="BY105" s="403">
        <f>BY104+1</f>
        <v>15</v>
      </c>
      <c r="BZ105" s="404">
        <f>BZ104</f>
        <v>14</v>
      </c>
      <c r="CA105" s="229"/>
      <c r="CB105" s="380">
        <f t="shared" si="295"/>
        <v>51144</v>
      </c>
      <c r="CC105" s="267">
        <f t="shared" si="313"/>
        <v>51142</v>
      </c>
      <c r="CD105" s="405"/>
      <c r="CE105" s="406">
        <v>2</v>
      </c>
      <c r="CF105" s="406"/>
      <c r="CG105" s="380">
        <f t="shared" si="314"/>
        <v>2</v>
      </c>
      <c r="CH105" s="380">
        <f t="shared" si="309"/>
        <v>938</v>
      </c>
      <c r="CI105" s="380">
        <f t="shared" si="392"/>
        <v>0.16</v>
      </c>
      <c r="CJ105" s="410">
        <f t="shared" si="303"/>
        <v>3.9105271390583451E-2</v>
      </c>
      <c r="CK105" s="407">
        <f t="shared" si="393"/>
        <v>3.8400000000000012</v>
      </c>
      <c r="CL105" s="156">
        <f t="shared" si="206"/>
        <v>1.8052695394445621</v>
      </c>
      <c r="CM105" s="411">
        <v>3240</v>
      </c>
      <c r="CN105" s="380">
        <f t="shared" si="394"/>
        <v>64</v>
      </c>
      <c r="CO105" s="442">
        <f t="shared" si="395"/>
        <v>63.350539652745191</v>
      </c>
      <c r="CP105" s="409">
        <f t="shared" si="296"/>
        <v>3770.6228392445041</v>
      </c>
      <c r="CQ105" s="182">
        <f t="shared" si="396"/>
        <v>1065</v>
      </c>
      <c r="CR105" s="181">
        <f>CR104</f>
        <v>1060</v>
      </c>
      <c r="CS105" s="206">
        <f t="shared" si="333"/>
        <v>5</v>
      </c>
      <c r="CT105" s="385">
        <f t="shared" si="397"/>
        <v>84</v>
      </c>
      <c r="CU105" s="181">
        <f>CU104</f>
        <v>75</v>
      </c>
      <c r="CV105" s="206">
        <f t="shared" si="299"/>
        <v>9</v>
      </c>
    </row>
    <row r="106" spans="1:100" ht="17.25" thickBot="1" x14ac:dyDescent="0.3">
      <c r="B106" s="120">
        <f>B105+1</f>
        <v>15</v>
      </c>
      <c r="C106" s="7">
        <f t="shared" ref="C106:C110" si="401">C105</f>
        <v>14</v>
      </c>
      <c r="D106" s="133"/>
      <c r="E106" s="48">
        <f t="shared" si="204"/>
        <v>0</v>
      </c>
      <c r="F106" s="49">
        <f t="shared" si="205"/>
        <v>0</v>
      </c>
      <c r="G106" s="142"/>
      <c r="H106" s="135"/>
      <c r="I106" s="135"/>
      <c r="J106" s="14">
        <f t="shared" si="310"/>
        <v>0</v>
      </c>
      <c r="K106" s="14">
        <f>K105+J106</f>
        <v>9358</v>
      </c>
      <c r="L106" s="14">
        <f t="shared" si="387"/>
        <v>0.16</v>
      </c>
      <c r="M106" s="230">
        <f t="shared" si="277"/>
        <v>0</v>
      </c>
      <c r="N106" s="35">
        <f t="shared" si="388"/>
        <v>3.8400000000000012</v>
      </c>
      <c r="O106" s="157">
        <f t="shared" si="300"/>
        <v>0</v>
      </c>
      <c r="P106" s="134"/>
      <c r="Q106" s="14">
        <f t="shared" si="389"/>
        <v>64</v>
      </c>
      <c r="R106" s="480">
        <f t="shared" si="278"/>
        <v>0</v>
      </c>
      <c r="S106" s="470">
        <f t="shared" si="306"/>
        <v>0</v>
      </c>
      <c r="T106" s="51">
        <f t="shared" si="390"/>
        <v>1065</v>
      </c>
      <c r="U106" s="181">
        <f t="shared" ref="U106:U110" si="402">U105</f>
        <v>0</v>
      </c>
      <c r="V106" s="46">
        <f t="shared" si="280"/>
        <v>1065</v>
      </c>
      <c r="W106" s="51">
        <f t="shared" si="391"/>
        <v>84</v>
      </c>
      <c r="X106" s="181">
        <f t="shared" ref="X106:X110" si="403">X105</f>
        <v>0</v>
      </c>
      <c r="Y106" s="46">
        <f t="shared" si="282"/>
        <v>84</v>
      </c>
      <c r="Z106" s="487"/>
      <c r="AA106" s="120">
        <f>AA105+1</f>
        <v>16</v>
      </c>
      <c r="AB106" s="7">
        <f t="shared" ref="AB106:AB110" si="404">AB105</f>
        <v>14</v>
      </c>
      <c r="AC106" s="133"/>
      <c r="AD106" s="48">
        <f t="shared" si="352"/>
        <v>59956</v>
      </c>
      <c r="AE106" s="196">
        <f t="shared" si="224"/>
        <v>59945</v>
      </c>
      <c r="AF106" s="134"/>
      <c r="AG106" s="135">
        <v>11</v>
      </c>
      <c r="AH106" s="135"/>
      <c r="AI106" s="14">
        <f t="shared" ref="AI106:AI138" si="405">SUM(AF106:AH106)</f>
        <v>11</v>
      </c>
      <c r="AJ106" s="14">
        <f>AJ105+AI106</f>
        <v>862</v>
      </c>
      <c r="AK106" s="14">
        <f t="shared" si="260"/>
        <v>0.16</v>
      </c>
      <c r="AL106" s="230">
        <f t="shared" si="285"/>
        <v>1.8346787644272465E-2</v>
      </c>
      <c r="AM106" s="35">
        <f t="shared" si="261"/>
        <v>3.8400000000000012</v>
      </c>
      <c r="AN106" s="156">
        <f t="shared" si="207"/>
        <v>1.4268215976429304</v>
      </c>
      <c r="AO106" s="134">
        <v>4500</v>
      </c>
      <c r="AP106" s="14">
        <f t="shared" si="262"/>
        <v>64</v>
      </c>
      <c r="AQ106" s="480">
        <f t="shared" si="286"/>
        <v>75.055040362932814</v>
      </c>
      <c r="AR106" s="470">
        <f t="shared" si="353"/>
        <v>2722.6300407051508</v>
      </c>
      <c r="AS106" s="51">
        <f t="shared" si="263"/>
        <v>1065</v>
      </c>
      <c r="AT106" s="181">
        <f t="shared" ref="AT106:AT110" si="406">AT105</f>
        <v>1048</v>
      </c>
      <c r="AU106" s="46">
        <f t="shared" si="331"/>
        <v>17</v>
      </c>
      <c r="AV106" s="51">
        <f t="shared" si="264"/>
        <v>84</v>
      </c>
      <c r="AW106" s="181">
        <f t="shared" ref="AW106:AW110" si="407">AW105</f>
        <v>72</v>
      </c>
      <c r="AX106" s="46">
        <f t="shared" si="307"/>
        <v>12</v>
      </c>
      <c r="AZ106" s="120">
        <f>AZ105+1</f>
        <v>16</v>
      </c>
      <c r="BA106" s="7">
        <f t="shared" ref="BA106:BA110" si="408">BA105</f>
        <v>14</v>
      </c>
      <c r="BB106" s="133"/>
      <c r="BC106" s="48">
        <f t="shared" si="400"/>
        <v>67559</v>
      </c>
      <c r="BD106" s="196">
        <f t="shared" si="226"/>
        <v>67529</v>
      </c>
      <c r="BE106" s="134"/>
      <c r="BF106" s="135">
        <v>30</v>
      </c>
      <c r="BG106" s="135"/>
      <c r="BH106" s="14">
        <f t="shared" ref="BH106:BH138" si="409">SUM(BE106:BG106)</f>
        <v>30</v>
      </c>
      <c r="BI106" s="14">
        <f>BI105+BH106</f>
        <v>1589</v>
      </c>
      <c r="BJ106" s="14">
        <f t="shared" si="265"/>
        <v>0.16</v>
      </c>
      <c r="BK106" s="47">
        <f t="shared" si="301"/>
        <v>4.4405630633964389E-2</v>
      </c>
      <c r="BL106" s="35">
        <f t="shared" si="266"/>
        <v>3.8400000000000012</v>
      </c>
      <c r="BM106" s="435">
        <f t="shared" si="370"/>
        <v>2.3006978831842004</v>
      </c>
      <c r="BN106" s="134">
        <v>2691</v>
      </c>
      <c r="BO106" s="14">
        <f t="shared" si="267"/>
        <v>64</v>
      </c>
      <c r="BP106" s="442">
        <f t="shared" si="302"/>
        <v>39.831850678666058</v>
      </c>
      <c r="BQ106" s="68">
        <f t="shared" si="304"/>
        <v>3475.5833966070854</v>
      </c>
      <c r="BR106" s="51">
        <f t="shared" si="268"/>
        <v>1065</v>
      </c>
      <c r="BS106" s="181">
        <f t="shared" ref="BS106:BS110" si="410">BS105</f>
        <v>1002</v>
      </c>
      <c r="BT106" s="46">
        <f t="shared" si="332"/>
        <v>63</v>
      </c>
      <c r="BU106" s="51">
        <f t="shared" si="269"/>
        <v>84</v>
      </c>
      <c r="BV106" s="181">
        <f t="shared" ref="BV106:BV110" si="411">BV105</f>
        <v>80</v>
      </c>
      <c r="BW106" s="46">
        <f t="shared" si="308"/>
        <v>4</v>
      </c>
      <c r="BY106" s="120">
        <f>BY105+1</f>
        <v>16</v>
      </c>
      <c r="BZ106" s="7">
        <f t="shared" ref="BZ106:BZ110" si="412">BZ105</f>
        <v>14</v>
      </c>
      <c r="CA106" s="133"/>
      <c r="CB106" s="14">
        <f t="shared" si="295"/>
        <v>51142</v>
      </c>
      <c r="CC106" s="59">
        <f t="shared" si="313"/>
        <v>51140</v>
      </c>
      <c r="CD106" s="405"/>
      <c r="CE106" s="406">
        <v>2</v>
      </c>
      <c r="CF106" s="406"/>
      <c r="CG106" s="14">
        <f t="shared" si="314"/>
        <v>2</v>
      </c>
      <c r="CH106" s="14">
        <f t="shared" si="309"/>
        <v>940</v>
      </c>
      <c r="CI106" s="14">
        <f t="shared" si="392"/>
        <v>0.16</v>
      </c>
      <c r="CJ106" s="47">
        <f t="shared" si="303"/>
        <v>3.9106800672636971E-2</v>
      </c>
      <c r="CK106" s="35">
        <f t="shared" si="393"/>
        <v>3.8400000000000012</v>
      </c>
      <c r="CL106" s="156">
        <f t="shared" si="206"/>
        <v>1.8091187282280259</v>
      </c>
      <c r="CM106" s="134">
        <v>3780</v>
      </c>
      <c r="CN106" s="14">
        <f t="shared" si="394"/>
        <v>64</v>
      </c>
      <c r="CO106" s="442">
        <f t="shared" si="395"/>
        <v>73.911853271283874</v>
      </c>
      <c r="CP106" s="68">
        <f t="shared" si="296"/>
        <v>3844.5346925157878</v>
      </c>
      <c r="CQ106" s="51">
        <f t="shared" si="396"/>
        <v>1065</v>
      </c>
      <c r="CR106" s="181">
        <f t="shared" ref="CR106:CR110" si="413">CR105</f>
        <v>1060</v>
      </c>
      <c r="CS106" s="46">
        <f t="shared" si="333"/>
        <v>5</v>
      </c>
      <c r="CT106" s="51">
        <f t="shared" si="397"/>
        <v>84</v>
      </c>
      <c r="CU106" s="103">
        <f>CU105</f>
        <v>75</v>
      </c>
      <c r="CV106" s="46">
        <f t="shared" si="299"/>
        <v>9</v>
      </c>
    </row>
    <row r="107" spans="1:100" ht="17.25" thickBot="1" x14ac:dyDescent="0.3">
      <c r="B107" s="120">
        <f t="shared" ref="B107:B110" si="414">B106+1</f>
        <v>16</v>
      </c>
      <c r="C107" s="7">
        <f t="shared" si="401"/>
        <v>14</v>
      </c>
      <c r="D107" s="229"/>
      <c r="E107" s="48">
        <f t="shared" si="204"/>
        <v>0</v>
      </c>
      <c r="F107" s="49">
        <f t="shared" si="205"/>
        <v>0</v>
      </c>
      <c r="G107" s="142"/>
      <c r="H107" s="135"/>
      <c r="I107" s="135"/>
      <c r="J107" s="14">
        <f t="shared" si="310"/>
        <v>0</v>
      </c>
      <c r="K107" s="14">
        <f t="shared" si="305"/>
        <v>9358</v>
      </c>
      <c r="L107" s="14">
        <f t="shared" si="387"/>
        <v>0.16</v>
      </c>
      <c r="M107" s="230">
        <f t="shared" si="277"/>
        <v>0</v>
      </c>
      <c r="N107" s="35">
        <f t="shared" si="388"/>
        <v>3.8400000000000012</v>
      </c>
      <c r="O107" s="157">
        <f t="shared" si="300"/>
        <v>0</v>
      </c>
      <c r="P107" s="134"/>
      <c r="Q107" s="14">
        <f t="shared" si="389"/>
        <v>64</v>
      </c>
      <c r="R107" s="482">
        <f t="shared" si="278"/>
        <v>0</v>
      </c>
      <c r="S107" s="470">
        <f t="shared" si="306"/>
        <v>0</v>
      </c>
      <c r="T107" s="51">
        <f t="shared" si="390"/>
        <v>1065</v>
      </c>
      <c r="U107" s="181">
        <f t="shared" si="402"/>
        <v>0</v>
      </c>
      <c r="V107" s="46">
        <f t="shared" si="280"/>
        <v>1065</v>
      </c>
      <c r="W107" s="12">
        <f t="shared" si="391"/>
        <v>84</v>
      </c>
      <c r="X107" s="181">
        <f t="shared" si="403"/>
        <v>0</v>
      </c>
      <c r="Y107" s="46">
        <f t="shared" si="282"/>
        <v>84</v>
      </c>
      <c r="Z107" s="487"/>
      <c r="AA107" s="120">
        <f t="shared" ref="AA107:AA110" si="415">AA106+1</f>
        <v>17</v>
      </c>
      <c r="AB107" s="7">
        <f t="shared" si="404"/>
        <v>14</v>
      </c>
      <c r="AC107" s="229"/>
      <c r="AD107" s="48">
        <f t="shared" si="352"/>
        <v>59945</v>
      </c>
      <c r="AE107" s="196">
        <f t="shared" si="224"/>
        <v>59809</v>
      </c>
      <c r="AF107" s="134">
        <v>125</v>
      </c>
      <c r="AG107" s="135">
        <v>11</v>
      </c>
      <c r="AH107" s="135"/>
      <c r="AI107" s="14">
        <f t="shared" si="405"/>
        <v>136</v>
      </c>
      <c r="AJ107" s="14">
        <f t="shared" ref="AJ107:AJ138" si="416">AJ106+AI107</f>
        <v>998</v>
      </c>
      <c r="AK107" s="14">
        <f t="shared" si="260"/>
        <v>0.16</v>
      </c>
      <c r="AL107" s="230">
        <f t="shared" si="285"/>
        <v>0.22687463508215863</v>
      </c>
      <c r="AM107" s="35">
        <f t="shared" si="261"/>
        <v>3.8400000000000012</v>
      </c>
      <c r="AN107" s="156">
        <f t="shared" si="207"/>
        <v>1.6519349819578244</v>
      </c>
      <c r="AO107" s="134">
        <v>0</v>
      </c>
      <c r="AP107" s="14">
        <f t="shared" si="262"/>
        <v>64</v>
      </c>
      <c r="AQ107" s="482">
        <f t="shared" si="286"/>
        <v>0</v>
      </c>
      <c r="AR107" s="470">
        <f t="shared" si="353"/>
        <v>2722.6300407051508</v>
      </c>
      <c r="AS107" s="51">
        <f t="shared" si="263"/>
        <v>1065</v>
      </c>
      <c r="AT107" s="181">
        <f t="shared" si="406"/>
        <v>1048</v>
      </c>
      <c r="AU107" s="46">
        <f t="shared" si="331"/>
        <v>17</v>
      </c>
      <c r="AV107" s="12">
        <f t="shared" si="264"/>
        <v>84</v>
      </c>
      <c r="AW107" s="181">
        <f t="shared" si="407"/>
        <v>72</v>
      </c>
      <c r="AX107" s="46">
        <f t="shared" si="307"/>
        <v>12</v>
      </c>
      <c r="AZ107" s="120">
        <f t="shared" ref="AZ107:AZ110" si="417">AZ106+1</f>
        <v>17</v>
      </c>
      <c r="BA107" s="7">
        <f t="shared" si="408"/>
        <v>14</v>
      </c>
      <c r="BB107" s="229"/>
      <c r="BC107" s="48">
        <f t="shared" si="400"/>
        <v>67529</v>
      </c>
      <c r="BD107" s="196">
        <f t="shared" si="226"/>
        <v>67458</v>
      </c>
      <c r="BE107" s="134">
        <v>67</v>
      </c>
      <c r="BF107" s="135">
        <v>4</v>
      </c>
      <c r="BG107" s="135"/>
      <c r="BH107" s="14">
        <f t="shared" si="409"/>
        <v>71</v>
      </c>
      <c r="BI107" s="14">
        <f t="shared" ref="BI107:BI138" si="418">BI106+BH107</f>
        <v>1660</v>
      </c>
      <c r="BJ107" s="14">
        <f t="shared" si="265"/>
        <v>0.16</v>
      </c>
      <c r="BK107" s="47">
        <f t="shared" si="301"/>
        <v>0.1051400139199455</v>
      </c>
      <c r="BL107" s="35">
        <f t="shared" si="266"/>
        <v>3.8400000000000012</v>
      </c>
      <c r="BM107" s="435">
        <f t="shared" si="370"/>
        <v>2.4034981032635452</v>
      </c>
      <c r="BN107" s="134">
        <v>2691</v>
      </c>
      <c r="BO107" s="14">
        <f t="shared" si="267"/>
        <v>64</v>
      </c>
      <c r="BP107" s="442">
        <f t="shared" si="302"/>
        <v>39.849546120925822</v>
      </c>
      <c r="BQ107" s="68">
        <f t="shared" si="304"/>
        <v>3515.4329427280113</v>
      </c>
      <c r="BR107" s="51">
        <f t="shared" si="268"/>
        <v>1065</v>
      </c>
      <c r="BS107" s="181">
        <f t="shared" si="410"/>
        <v>1002</v>
      </c>
      <c r="BT107" s="46">
        <f t="shared" si="332"/>
        <v>63</v>
      </c>
      <c r="BU107" s="12">
        <f t="shared" si="269"/>
        <v>84</v>
      </c>
      <c r="BV107" s="181">
        <f t="shared" si="411"/>
        <v>80</v>
      </c>
      <c r="BW107" s="46">
        <f t="shared" si="308"/>
        <v>4</v>
      </c>
      <c r="BY107" s="120">
        <f t="shared" ref="BY107:BY109" si="419">BY106+1</f>
        <v>17</v>
      </c>
      <c r="BZ107" s="7">
        <f t="shared" si="412"/>
        <v>14</v>
      </c>
      <c r="CA107" s="133"/>
      <c r="CB107" s="14">
        <f t="shared" si="295"/>
        <v>51140</v>
      </c>
      <c r="CC107" s="59">
        <f t="shared" si="313"/>
        <v>51034</v>
      </c>
      <c r="CD107" s="405">
        <v>99</v>
      </c>
      <c r="CE107" s="406">
        <v>7</v>
      </c>
      <c r="CF107" s="406"/>
      <c r="CG107" s="14">
        <f t="shared" si="314"/>
        <v>106</v>
      </c>
      <c r="CH107" s="14">
        <f t="shared" si="309"/>
        <v>1046</v>
      </c>
      <c r="CI107" s="14">
        <f t="shared" si="392"/>
        <v>0.16</v>
      </c>
      <c r="CJ107" s="47">
        <f t="shared" si="303"/>
        <v>2.0727414939382087</v>
      </c>
      <c r="CK107" s="35">
        <f t="shared" si="393"/>
        <v>3.8400000000000012</v>
      </c>
      <c r="CL107" s="156">
        <f t="shared" si="206"/>
        <v>2.013125733751612</v>
      </c>
      <c r="CM107" s="134">
        <v>3420</v>
      </c>
      <c r="CN107" s="14">
        <f t="shared" si="394"/>
        <v>64</v>
      </c>
      <c r="CO107" s="442">
        <f t="shared" si="395"/>
        <v>66.875244427062967</v>
      </c>
      <c r="CP107" s="68">
        <f t="shared" si="296"/>
        <v>3911.4099369428509</v>
      </c>
      <c r="CQ107" s="51">
        <f t="shared" si="396"/>
        <v>1065</v>
      </c>
      <c r="CR107" s="181">
        <f t="shared" si="413"/>
        <v>1060</v>
      </c>
      <c r="CS107" s="46">
        <f t="shared" si="333"/>
        <v>5</v>
      </c>
      <c r="CT107" s="12">
        <f t="shared" si="397"/>
        <v>84</v>
      </c>
      <c r="CU107" s="103">
        <f t="shared" ref="CU107:CU110" si="420">CU106</f>
        <v>75</v>
      </c>
      <c r="CV107" s="46">
        <f t="shared" si="299"/>
        <v>9</v>
      </c>
    </row>
    <row r="108" spans="1:100" ht="17.25" thickBot="1" x14ac:dyDescent="0.3">
      <c r="B108" s="120">
        <f t="shared" si="414"/>
        <v>17</v>
      </c>
      <c r="C108" s="7">
        <f t="shared" si="401"/>
        <v>14</v>
      </c>
      <c r="D108" s="133"/>
      <c r="E108" s="48">
        <f t="shared" si="204"/>
        <v>0</v>
      </c>
      <c r="F108" s="49">
        <f t="shared" si="205"/>
        <v>0</v>
      </c>
      <c r="G108" s="142"/>
      <c r="H108" s="135"/>
      <c r="I108" s="135"/>
      <c r="J108" s="14">
        <f t="shared" si="310"/>
        <v>0</v>
      </c>
      <c r="K108" s="14">
        <f t="shared" si="305"/>
        <v>9358</v>
      </c>
      <c r="L108" s="14">
        <f t="shared" si="387"/>
        <v>0.16</v>
      </c>
      <c r="M108" s="47">
        <f t="shared" si="277"/>
        <v>0</v>
      </c>
      <c r="N108" s="35">
        <f t="shared" si="388"/>
        <v>3.8400000000000012</v>
      </c>
      <c r="O108" s="157">
        <f t="shared" si="300"/>
        <v>0</v>
      </c>
      <c r="P108" s="134"/>
      <c r="Q108" s="14">
        <f t="shared" si="389"/>
        <v>64</v>
      </c>
      <c r="R108" s="482">
        <f t="shared" si="278"/>
        <v>0</v>
      </c>
      <c r="S108" s="470">
        <f t="shared" si="306"/>
        <v>0</v>
      </c>
      <c r="T108" s="51">
        <f t="shared" si="390"/>
        <v>1065</v>
      </c>
      <c r="U108" s="181">
        <f t="shared" si="402"/>
        <v>0</v>
      </c>
      <c r="V108" s="46">
        <f t="shared" si="280"/>
        <v>1065</v>
      </c>
      <c r="W108" s="50">
        <f t="shared" si="391"/>
        <v>84</v>
      </c>
      <c r="X108" s="181">
        <f t="shared" si="403"/>
        <v>0</v>
      </c>
      <c r="Y108" s="46">
        <f t="shared" si="282"/>
        <v>84</v>
      </c>
      <c r="Z108" s="487"/>
      <c r="AA108" s="120">
        <f t="shared" si="415"/>
        <v>18</v>
      </c>
      <c r="AB108" s="7">
        <f t="shared" si="404"/>
        <v>14</v>
      </c>
      <c r="AC108" s="133"/>
      <c r="AD108" s="48">
        <f t="shared" si="352"/>
        <v>59809</v>
      </c>
      <c r="AE108" s="49">
        <f t="shared" si="224"/>
        <v>59803</v>
      </c>
      <c r="AF108" s="134"/>
      <c r="AG108" s="135">
        <v>6</v>
      </c>
      <c r="AH108" s="135"/>
      <c r="AI108" s="14">
        <f t="shared" si="405"/>
        <v>6</v>
      </c>
      <c r="AJ108" s="14">
        <f t="shared" si="416"/>
        <v>1004</v>
      </c>
      <c r="AK108" s="14">
        <f t="shared" si="260"/>
        <v>0.16</v>
      </c>
      <c r="AL108" s="47">
        <f t="shared" si="285"/>
        <v>1.0031934993061245E-2</v>
      </c>
      <c r="AM108" s="35">
        <f t="shared" si="261"/>
        <v>3.8400000000000012</v>
      </c>
      <c r="AN108" s="156">
        <f t="shared" si="207"/>
        <v>1.6618664547952462</v>
      </c>
      <c r="AO108" s="134">
        <v>0</v>
      </c>
      <c r="AP108" s="14">
        <f t="shared" si="262"/>
        <v>64</v>
      </c>
      <c r="AQ108" s="482">
        <f t="shared" si="286"/>
        <v>0</v>
      </c>
      <c r="AR108" s="470">
        <f t="shared" si="353"/>
        <v>2722.6300407051508</v>
      </c>
      <c r="AS108" s="51">
        <f t="shared" si="263"/>
        <v>1065</v>
      </c>
      <c r="AT108" s="181">
        <f t="shared" si="406"/>
        <v>1048</v>
      </c>
      <c r="AU108" s="46">
        <f t="shared" si="331"/>
        <v>17</v>
      </c>
      <c r="AV108" s="50">
        <f t="shared" si="264"/>
        <v>84</v>
      </c>
      <c r="AW108" s="181">
        <f t="shared" si="407"/>
        <v>72</v>
      </c>
      <c r="AX108" s="46">
        <f t="shared" si="307"/>
        <v>12</v>
      </c>
      <c r="AZ108" s="120">
        <f t="shared" si="417"/>
        <v>18</v>
      </c>
      <c r="BA108" s="7">
        <f t="shared" si="408"/>
        <v>14</v>
      </c>
      <c r="BB108" s="133"/>
      <c r="BC108" s="48">
        <f t="shared" si="400"/>
        <v>67458</v>
      </c>
      <c r="BD108" s="49">
        <f t="shared" si="226"/>
        <v>67455</v>
      </c>
      <c r="BE108" s="134"/>
      <c r="BF108" s="135">
        <v>3</v>
      </c>
      <c r="BG108" s="135"/>
      <c r="BH108" s="14">
        <f t="shared" si="409"/>
        <v>3</v>
      </c>
      <c r="BI108" s="14">
        <f t="shared" si="418"/>
        <v>1663</v>
      </c>
      <c r="BJ108" s="14">
        <f t="shared" si="265"/>
        <v>0.16</v>
      </c>
      <c r="BK108" s="47">
        <f t="shared" si="301"/>
        <v>4.4472115983278486E-3</v>
      </c>
      <c r="BL108" s="35">
        <f t="shared" si="266"/>
        <v>3.8400000000000012</v>
      </c>
      <c r="BM108" s="435">
        <f t="shared" si="370"/>
        <v>2.4078417745345031</v>
      </c>
      <c r="BN108" s="134">
        <v>0</v>
      </c>
      <c r="BO108" s="14">
        <f t="shared" si="267"/>
        <v>64</v>
      </c>
      <c r="BP108" s="442">
        <f t="shared" si="302"/>
        <v>0</v>
      </c>
      <c r="BQ108" s="68">
        <f t="shared" si="304"/>
        <v>3515.4329427280113</v>
      </c>
      <c r="BR108" s="51">
        <f t="shared" si="268"/>
        <v>1065</v>
      </c>
      <c r="BS108" s="181">
        <f t="shared" si="410"/>
        <v>1002</v>
      </c>
      <c r="BT108" s="46">
        <f t="shared" si="332"/>
        <v>63</v>
      </c>
      <c r="BU108" s="50">
        <f t="shared" si="269"/>
        <v>84</v>
      </c>
      <c r="BV108" s="181">
        <f t="shared" si="411"/>
        <v>80</v>
      </c>
      <c r="BW108" s="46">
        <f t="shared" si="308"/>
        <v>4</v>
      </c>
      <c r="BY108" s="120">
        <f t="shared" si="419"/>
        <v>18</v>
      </c>
      <c r="BZ108" s="7">
        <f t="shared" si="412"/>
        <v>14</v>
      </c>
      <c r="CA108" s="133"/>
      <c r="CB108" s="14">
        <f t="shared" si="295"/>
        <v>51034</v>
      </c>
      <c r="CC108" s="46">
        <f t="shared" si="313"/>
        <v>51032</v>
      </c>
      <c r="CD108" s="405"/>
      <c r="CE108" s="406">
        <v>2</v>
      </c>
      <c r="CF108" s="406"/>
      <c r="CG108" s="14">
        <f t="shared" si="314"/>
        <v>2</v>
      </c>
      <c r="CH108" s="14">
        <f t="shared" si="309"/>
        <v>1048</v>
      </c>
      <c r="CI108" s="14">
        <f t="shared" si="392"/>
        <v>0.16</v>
      </c>
      <c r="CJ108" s="47">
        <f t="shared" si="303"/>
        <v>3.9189559901242309E-2</v>
      </c>
      <c r="CK108" s="35">
        <f t="shared" si="393"/>
        <v>3.8400000000000012</v>
      </c>
      <c r="CL108" s="156">
        <f t="shared" si="206"/>
        <v>2.0169749225350757</v>
      </c>
      <c r="CM108" s="134">
        <v>3240</v>
      </c>
      <c r="CN108" s="14">
        <f t="shared" si="394"/>
        <v>64</v>
      </c>
      <c r="CO108" s="442">
        <f t="shared" si="395"/>
        <v>63.487087040012547</v>
      </c>
      <c r="CP108" s="68">
        <f t="shared" si="296"/>
        <v>3974.8970239828636</v>
      </c>
      <c r="CQ108" s="51">
        <f t="shared" si="396"/>
        <v>1065</v>
      </c>
      <c r="CR108" s="181">
        <f t="shared" si="413"/>
        <v>1060</v>
      </c>
      <c r="CS108" s="46">
        <f t="shared" si="333"/>
        <v>5</v>
      </c>
      <c r="CT108" s="50">
        <f t="shared" si="397"/>
        <v>84</v>
      </c>
      <c r="CU108" s="103">
        <f t="shared" si="420"/>
        <v>75</v>
      </c>
      <c r="CV108" s="46">
        <f t="shared" si="299"/>
        <v>9</v>
      </c>
    </row>
    <row r="109" spans="1:100" ht="17.25" thickBot="1" x14ac:dyDescent="0.3">
      <c r="B109" s="120">
        <f t="shared" si="414"/>
        <v>18</v>
      </c>
      <c r="C109" s="7">
        <f t="shared" si="401"/>
        <v>14</v>
      </c>
      <c r="D109" s="133"/>
      <c r="E109" s="48">
        <f t="shared" si="204"/>
        <v>0</v>
      </c>
      <c r="F109" s="49">
        <f t="shared" si="205"/>
        <v>0</v>
      </c>
      <c r="G109" s="142"/>
      <c r="H109" s="135"/>
      <c r="I109" s="135"/>
      <c r="J109" s="14">
        <f t="shared" si="310"/>
        <v>0</v>
      </c>
      <c r="K109" s="14">
        <f t="shared" si="305"/>
        <v>9358</v>
      </c>
      <c r="L109" s="14">
        <f t="shared" si="387"/>
        <v>0.16</v>
      </c>
      <c r="M109" s="231">
        <f t="shared" si="277"/>
        <v>0</v>
      </c>
      <c r="N109" s="35">
        <f t="shared" si="388"/>
        <v>3.8400000000000012</v>
      </c>
      <c r="O109" s="157">
        <f t="shared" si="300"/>
        <v>0</v>
      </c>
      <c r="P109" s="134"/>
      <c r="Q109" s="14">
        <f t="shared" si="389"/>
        <v>64</v>
      </c>
      <c r="R109" s="442">
        <f t="shared" si="278"/>
        <v>0</v>
      </c>
      <c r="S109" s="470">
        <f t="shared" si="306"/>
        <v>0</v>
      </c>
      <c r="T109" s="51">
        <f t="shared" si="390"/>
        <v>1065</v>
      </c>
      <c r="U109" s="181">
        <f t="shared" si="402"/>
        <v>0</v>
      </c>
      <c r="V109" s="46">
        <f t="shared" si="280"/>
        <v>1065</v>
      </c>
      <c r="W109" s="50">
        <f t="shared" si="391"/>
        <v>84</v>
      </c>
      <c r="X109" s="181">
        <f t="shared" si="403"/>
        <v>0</v>
      </c>
      <c r="Y109" s="46">
        <f t="shared" si="282"/>
        <v>84</v>
      </c>
      <c r="Z109" s="487"/>
      <c r="AA109" s="120">
        <f t="shared" si="415"/>
        <v>19</v>
      </c>
      <c r="AB109" s="7">
        <f t="shared" si="404"/>
        <v>14</v>
      </c>
      <c r="AC109" s="133"/>
      <c r="AD109" s="48">
        <f t="shared" si="352"/>
        <v>59803</v>
      </c>
      <c r="AE109" s="49">
        <f t="shared" si="224"/>
        <v>59803</v>
      </c>
      <c r="AF109" s="134"/>
      <c r="AG109" s="135">
        <v>0</v>
      </c>
      <c r="AH109" s="135"/>
      <c r="AI109" s="14">
        <f t="shared" si="405"/>
        <v>0</v>
      </c>
      <c r="AJ109" s="14">
        <f t="shared" si="416"/>
        <v>1004</v>
      </c>
      <c r="AK109" s="14">
        <f t="shared" si="260"/>
        <v>0.16</v>
      </c>
      <c r="AL109" s="231">
        <f t="shared" si="285"/>
        <v>0</v>
      </c>
      <c r="AM109" s="35">
        <f t="shared" si="261"/>
        <v>3.8400000000000012</v>
      </c>
      <c r="AN109" s="156">
        <f t="shared" si="207"/>
        <v>1.6618664547952462</v>
      </c>
      <c r="AO109" s="134">
        <v>1080</v>
      </c>
      <c r="AP109" s="14">
        <f t="shared" si="262"/>
        <v>64</v>
      </c>
      <c r="AQ109" s="442">
        <f t="shared" si="286"/>
        <v>18.059294684213164</v>
      </c>
      <c r="AR109" s="470">
        <f t="shared" si="353"/>
        <v>2740.6893353893638</v>
      </c>
      <c r="AS109" s="51">
        <f t="shared" si="263"/>
        <v>1065</v>
      </c>
      <c r="AT109" s="181">
        <f t="shared" si="406"/>
        <v>1048</v>
      </c>
      <c r="AU109" s="46">
        <f t="shared" si="331"/>
        <v>17</v>
      </c>
      <c r="AV109" s="50">
        <f t="shared" si="264"/>
        <v>84</v>
      </c>
      <c r="AW109" s="181">
        <f t="shared" si="407"/>
        <v>72</v>
      </c>
      <c r="AX109" s="46">
        <f t="shared" si="307"/>
        <v>12</v>
      </c>
      <c r="AY109" s="873" t="s">
        <v>177</v>
      </c>
      <c r="AZ109" s="773">
        <f t="shared" si="417"/>
        <v>19</v>
      </c>
      <c r="BA109" s="774">
        <f t="shared" si="408"/>
        <v>14</v>
      </c>
      <c r="BB109" s="775">
        <v>27378</v>
      </c>
      <c r="BC109" s="48">
        <f>IFERROR(BD108-BB109,0)</f>
        <v>40077</v>
      </c>
      <c r="BD109" s="49">
        <f t="shared" si="226"/>
        <v>40071</v>
      </c>
      <c r="BE109" s="134"/>
      <c r="BF109" s="135">
        <v>6</v>
      </c>
      <c r="BG109" s="135"/>
      <c r="BH109" s="14">
        <f t="shared" si="409"/>
        <v>6</v>
      </c>
      <c r="BI109" s="14">
        <f t="shared" si="418"/>
        <v>1669</v>
      </c>
      <c r="BJ109" s="14">
        <f t="shared" si="265"/>
        <v>0.16</v>
      </c>
      <c r="BK109" s="47">
        <f t="shared" si="301"/>
        <v>1.4971180477580658E-2</v>
      </c>
      <c r="BL109" s="35">
        <f t="shared" si="266"/>
        <v>3.8400000000000012</v>
      </c>
      <c r="BM109" s="435">
        <f t="shared" si="370"/>
        <v>2.4165291170764198</v>
      </c>
      <c r="BN109" s="134">
        <v>0</v>
      </c>
      <c r="BO109" s="14">
        <f t="shared" si="267"/>
        <v>64</v>
      </c>
      <c r="BP109" s="442">
        <f t="shared" si="302"/>
        <v>0</v>
      </c>
      <c r="BQ109" s="68">
        <f t="shared" si="304"/>
        <v>3515.4329427280113</v>
      </c>
      <c r="BR109" s="51">
        <f t="shared" si="268"/>
        <v>1065</v>
      </c>
      <c r="BS109" s="181">
        <f t="shared" si="410"/>
        <v>1002</v>
      </c>
      <c r="BT109" s="46">
        <f t="shared" si="332"/>
        <v>63</v>
      </c>
      <c r="BU109" s="50">
        <f t="shared" si="269"/>
        <v>84</v>
      </c>
      <c r="BV109" s="181">
        <f t="shared" si="411"/>
        <v>80</v>
      </c>
      <c r="BW109" s="46">
        <f t="shared" si="308"/>
        <v>4</v>
      </c>
      <c r="BY109" s="120">
        <f t="shared" si="419"/>
        <v>19</v>
      </c>
      <c r="BZ109" s="7">
        <f t="shared" si="412"/>
        <v>14</v>
      </c>
      <c r="CA109" s="133"/>
      <c r="CB109" s="14">
        <f t="shared" si="295"/>
        <v>51032</v>
      </c>
      <c r="CC109" s="46">
        <f t="shared" si="313"/>
        <v>51032</v>
      </c>
      <c r="CD109" s="405"/>
      <c r="CE109" s="406">
        <v>0</v>
      </c>
      <c r="CF109" s="406"/>
      <c r="CG109" s="14">
        <f t="shared" si="314"/>
        <v>0</v>
      </c>
      <c r="CH109" s="14">
        <f t="shared" si="309"/>
        <v>1048</v>
      </c>
      <c r="CI109" s="14">
        <f t="shared" si="392"/>
        <v>0.16</v>
      </c>
      <c r="CJ109" s="47">
        <f t="shared" si="303"/>
        <v>0</v>
      </c>
      <c r="CK109" s="35">
        <f t="shared" si="393"/>
        <v>3.8400000000000012</v>
      </c>
      <c r="CL109" s="156">
        <f t="shared" si="206"/>
        <v>2.0169749225350757</v>
      </c>
      <c r="CM109" s="134">
        <v>0</v>
      </c>
      <c r="CN109" s="14">
        <f t="shared" si="394"/>
        <v>64</v>
      </c>
      <c r="CO109" s="442">
        <f t="shared" si="395"/>
        <v>0</v>
      </c>
      <c r="CP109" s="68">
        <f t="shared" si="296"/>
        <v>3974.8970239828636</v>
      </c>
      <c r="CQ109" s="51">
        <f t="shared" si="396"/>
        <v>1065</v>
      </c>
      <c r="CR109" s="181">
        <f t="shared" si="413"/>
        <v>1060</v>
      </c>
      <c r="CS109" s="46">
        <f t="shared" si="333"/>
        <v>5</v>
      </c>
      <c r="CT109" s="51">
        <f t="shared" si="397"/>
        <v>84</v>
      </c>
      <c r="CU109" s="103">
        <f t="shared" si="420"/>
        <v>75</v>
      </c>
      <c r="CV109" s="46">
        <f t="shared" si="299"/>
        <v>9</v>
      </c>
    </row>
    <row r="110" spans="1:100" ht="17.25" thickBot="1" x14ac:dyDescent="0.3">
      <c r="B110" s="120">
        <f t="shared" si="414"/>
        <v>19</v>
      </c>
      <c r="C110" s="8">
        <f t="shared" si="401"/>
        <v>14</v>
      </c>
      <c r="D110" s="136"/>
      <c r="E110" s="54">
        <f t="shared" si="204"/>
        <v>0</v>
      </c>
      <c r="F110" s="55">
        <f t="shared" si="205"/>
        <v>0</v>
      </c>
      <c r="G110" s="139"/>
      <c r="H110" s="138"/>
      <c r="I110" s="138"/>
      <c r="J110" s="34">
        <f t="shared" si="310"/>
        <v>0</v>
      </c>
      <c r="K110" s="34">
        <f t="shared" si="305"/>
        <v>9358</v>
      </c>
      <c r="L110" s="17">
        <f t="shared" si="387"/>
        <v>0.16</v>
      </c>
      <c r="M110" s="96">
        <f t="shared" si="277"/>
        <v>0</v>
      </c>
      <c r="N110" s="33">
        <f t="shared" si="388"/>
        <v>3.8400000000000012</v>
      </c>
      <c r="O110" s="156">
        <f t="shared" si="300"/>
        <v>0</v>
      </c>
      <c r="P110" s="137"/>
      <c r="Q110" s="13">
        <f t="shared" si="389"/>
        <v>64</v>
      </c>
      <c r="R110" s="479">
        <f t="shared" si="278"/>
        <v>0</v>
      </c>
      <c r="S110" s="471">
        <f t="shared" si="306"/>
        <v>0</v>
      </c>
      <c r="T110" s="50">
        <f t="shared" si="390"/>
        <v>1065</v>
      </c>
      <c r="U110" s="181">
        <f t="shared" si="402"/>
        <v>0</v>
      </c>
      <c r="V110" s="63">
        <f t="shared" si="280"/>
        <v>1065</v>
      </c>
      <c r="W110" s="56">
        <f t="shared" si="391"/>
        <v>84</v>
      </c>
      <c r="X110" s="181">
        <f t="shared" si="403"/>
        <v>0</v>
      </c>
      <c r="Y110" s="63">
        <f t="shared" si="282"/>
        <v>84</v>
      </c>
      <c r="Z110" s="487"/>
      <c r="AA110" s="120">
        <f t="shared" si="415"/>
        <v>20</v>
      </c>
      <c r="AB110" s="8">
        <f t="shared" si="404"/>
        <v>14</v>
      </c>
      <c r="AC110" s="136"/>
      <c r="AD110" s="67">
        <f t="shared" si="352"/>
        <v>59803</v>
      </c>
      <c r="AE110" s="448">
        <f t="shared" si="224"/>
        <v>59803</v>
      </c>
      <c r="AF110" s="137"/>
      <c r="AG110" s="138">
        <v>0</v>
      </c>
      <c r="AH110" s="138"/>
      <c r="AI110" s="34">
        <f t="shared" si="405"/>
        <v>0</v>
      </c>
      <c r="AJ110" s="34">
        <f t="shared" si="416"/>
        <v>1004</v>
      </c>
      <c r="AK110" s="17">
        <f t="shared" si="260"/>
        <v>0.16</v>
      </c>
      <c r="AL110" s="96">
        <f t="shared" si="285"/>
        <v>0</v>
      </c>
      <c r="AM110" s="33">
        <f t="shared" si="261"/>
        <v>3.8400000000000012</v>
      </c>
      <c r="AN110" s="156">
        <f t="shared" si="207"/>
        <v>1.6618664547952462</v>
      </c>
      <c r="AO110" s="137">
        <v>0</v>
      </c>
      <c r="AP110" s="13">
        <f t="shared" si="262"/>
        <v>64</v>
      </c>
      <c r="AQ110" s="479">
        <f t="shared" si="286"/>
        <v>0</v>
      </c>
      <c r="AR110" s="471">
        <f t="shared" si="353"/>
        <v>2740.6893353893638</v>
      </c>
      <c r="AS110" s="50">
        <f t="shared" si="263"/>
        <v>1065</v>
      </c>
      <c r="AT110" s="181">
        <f t="shared" si="406"/>
        <v>1048</v>
      </c>
      <c r="AU110" s="63">
        <f t="shared" si="331"/>
        <v>17</v>
      </c>
      <c r="AV110" s="56">
        <f t="shared" si="264"/>
        <v>84</v>
      </c>
      <c r="AW110" s="181">
        <f t="shared" si="407"/>
        <v>72</v>
      </c>
      <c r="AX110" s="63">
        <f t="shared" si="307"/>
        <v>12</v>
      </c>
      <c r="AY110" s="873"/>
      <c r="AZ110" s="773">
        <f t="shared" si="417"/>
        <v>20</v>
      </c>
      <c r="BA110" s="780">
        <f t="shared" si="408"/>
        <v>14</v>
      </c>
      <c r="BB110" s="778">
        <v>26579</v>
      </c>
      <c r="BC110" s="54">
        <f>IFERROR(BD109-BB110,0)</f>
        <v>13492</v>
      </c>
      <c r="BD110" s="448">
        <f t="shared" si="226"/>
        <v>13492</v>
      </c>
      <c r="BE110" s="137"/>
      <c r="BF110" s="138">
        <v>0</v>
      </c>
      <c r="BG110" s="138"/>
      <c r="BH110" s="34">
        <f t="shared" si="409"/>
        <v>0</v>
      </c>
      <c r="BI110" s="34">
        <f t="shared" si="418"/>
        <v>1669</v>
      </c>
      <c r="BJ110" s="17">
        <f t="shared" si="265"/>
        <v>0.16</v>
      </c>
      <c r="BK110" s="96">
        <f t="shared" si="301"/>
        <v>0</v>
      </c>
      <c r="BL110" s="33">
        <f t="shared" si="266"/>
        <v>3.8400000000000012</v>
      </c>
      <c r="BM110" s="435">
        <f t="shared" si="370"/>
        <v>2.4165291170764198</v>
      </c>
      <c r="BN110" s="137">
        <v>0</v>
      </c>
      <c r="BO110" s="13">
        <f t="shared" si="267"/>
        <v>64</v>
      </c>
      <c r="BP110" s="443">
        <f t="shared" si="302"/>
        <v>0</v>
      </c>
      <c r="BQ110" s="70">
        <f t="shared" si="304"/>
        <v>3515.4329427280113</v>
      </c>
      <c r="BR110" s="50">
        <f t="shared" si="268"/>
        <v>1065</v>
      </c>
      <c r="BS110" s="181">
        <f t="shared" si="410"/>
        <v>1002</v>
      </c>
      <c r="BT110" s="63">
        <f t="shared" si="332"/>
        <v>63</v>
      </c>
      <c r="BU110" s="56">
        <f t="shared" si="269"/>
        <v>84</v>
      </c>
      <c r="BV110" s="181">
        <f t="shared" si="411"/>
        <v>80</v>
      </c>
      <c r="BW110" s="63">
        <f t="shared" si="308"/>
        <v>4</v>
      </c>
      <c r="BY110" s="197">
        <f>BY109+1</f>
        <v>20</v>
      </c>
      <c r="BZ110" s="8">
        <f t="shared" si="412"/>
        <v>14</v>
      </c>
      <c r="CA110" s="136"/>
      <c r="CB110" s="32">
        <f t="shared" si="295"/>
        <v>51032</v>
      </c>
      <c r="CC110" s="63">
        <f t="shared" si="313"/>
        <v>51032</v>
      </c>
      <c r="CD110" s="421"/>
      <c r="CE110" s="426">
        <v>0</v>
      </c>
      <c r="CF110" s="426"/>
      <c r="CG110" s="34">
        <f t="shared" si="314"/>
        <v>0</v>
      </c>
      <c r="CH110" s="34">
        <f t="shared" si="309"/>
        <v>1048</v>
      </c>
      <c r="CI110" s="32">
        <f t="shared" si="392"/>
        <v>0.16</v>
      </c>
      <c r="CJ110" s="96">
        <f t="shared" si="303"/>
        <v>0</v>
      </c>
      <c r="CK110" s="36">
        <f t="shared" si="393"/>
        <v>3.8400000000000012</v>
      </c>
      <c r="CL110" s="156">
        <f t="shared" si="206"/>
        <v>2.0169749225350757</v>
      </c>
      <c r="CM110" s="137">
        <v>0</v>
      </c>
      <c r="CN110" s="13">
        <f t="shared" si="394"/>
        <v>64</v>
      </c>
      <c r="CO110" s="443">
        <f t="shared" si="395"/>
        <v>0</v>
      </c>
      <c r="CP110" s="70">
        <f t="shared" si="296"/>
        <v>3974.8970239828636</v>
      </c>
      <c r="CQ110" s="56">
        <f t="shared" si="396"/>
        <v>1065</v>
      </c>
      <c r="CR110" s="181">
        <f t="shared" si="413"/>
        <v>1060</v>
      </c>
      <c r="CS110" s="63">
        <f t="shared" si="333"/>
        <v>5</v>
      </c>
      <c r="CT110" s="12">
        <f t="shared" si="397"/>
        <v>84</v>
      </c>
      <c r="CU110" s="103">
        <f t="shared" si="420"/>
        <v>75</v>
      </c>
      <c r="CV110" s="63">
        <f t="shared" si="299"/>
        <v>9</v>
      </c>
    </row>
    <row r="111" spans="1:100" ht="18.75" thickBot="1" x14ac:dyDescent="0.3">
      <c r="B111" s="118">
        <v>20</v>
      </c>
      <c r="C111" s="9">
        <v>15</v>
      </c>
      <c r="D111" s="129"/>
      <c r="E111" s="43">
        <f t="shared" si="204"/>
        <v>0</v>
      </c>
      <c r="F111" s="44">
        <f t="shared" si="205"/>
        <v>0</v>
      </c>
      <c r="G111" s="158"/>
      <c r="H111" s="131"/>
      <c r="I111" s="131"/>
      <c r="J111" s="11">
        <f t="shared" si="310"/>
        <v>0</v>
      </c>
      <c r="K111" s="11">
        <f t="shared" si="305"/>
        <v>9358</v>
      </c>
      <c r="L111" s="16">
        <f t="shared" si="387"/>
        <v>0.16</v>
      </c>
      <c r="M111" s="153">
        <f t="shared" si="277"/>
        <v>0</v>
      </c>
      <c r="N111" s="154">
        <f t="shared" si="388"/>
        <v>4.0000000000000009</v>
      </c>
      <c r="O111" s="155">
        <f t="shared" si="300"/>
        <v>0</v>
      </c>
      <c r="P111" s="130"/>
      <c r="Q111" s="11">
        <f t="shared" si="389"/>
        <v>67</v>
      </c>
      <c r="R111" s="441">
        <f t="shared" si="278"/>
        <v>0</v>
      </c>
      <c r="S111" s="469">
        <f t="shared" si="306"/>
        <v>0</v>
      </c>
      <c r="T111" s="58">
        <f t="shared" si="390"/>
        <v>1115</v>
      </c>
      <c r="U111" s="131"/>
      <c r="V111" s="41">
        <f t="shared" si="280"/>
        <v>1115</v>
      </c>
      <c r="W111" s="18">
        <f t="shared" si="391"/>
        <v>86</v>
      </c>
      <c r="X111" s="131"/>
      <c r="Y111" s="41">
        <f t="shared" si="282"/>
        <v>86</v>
      </c>
      <c r="Z111" s="776" t="s">
        <v>177</v>
      </c>
      <c r="AA111" s="770">
        <v>21</v>
      </c>
      <c r="AB111" s="771">
        <v>15</v>
      </c>
      <c r="AC111" s="772">
        <v>7120</v>
      </c>
      <c r="AD111" s="43">
        <f>IFERROR(AE110-AC111,0)</f>
        <v>52683</v>
      </c>
      <c r="AE111" s="449">
        <f t="shared" si="224"/>
        <v>52683</v>
      </c>
      <c r="AF111" s="130"/>
      <c r="AG111" s="131">
        <v>0</v>
      </c>
      <c r="AH111" s="131"/>
      <c r="AI111" s="11">
        <f t="shared" si="405"/>
        <v>0</v>
      </c>
      <c r="AJ111" s="11">
        <f t="shared" si="416"/>
        <v>1004</v>
      </c>
      <c r="AK111" s="16">
        <f t="shared" si="260"/>
        <v>0.16</v>
      </c>
      <c r="AL111" s="153">
        <f t="shared" si="285"/>
        <v>0</v>
      </c>
      <c r="AM111" s="154">
        <f t="shared" si="261"/>
        <v>4.0000000000000009</v>
      </c>
      <c r="AN111" s="156">
        <f t="shared" si="207"/>
        <v>1.6618664547952462</v>
      </c>
      <c r="AO111" s="130">
        <v>0</v>
      </c>
      <c r="AP111" s="11">
        <f t="shared" si="262"/>
        <v>67</v>
      </c>
      <c r="AQ111" s="441">
        <f t="shared" si="286"/>
        <v>0</v>
      </c>
      <c r="AR111" s="469">
        <f t="shared" si="353"/>
        <v>2740.6893353893638</v>
      </c>
      <c r="AS111" s="58">
        <f t="shared" si="263"/>
        <v>1115</v>
      </c>
      <c r="AT111" s="131"/>
      <c r="AU111" s="41">
        <f t="shared" si="331"/>
        <v>1115</v>
      </c>
      <c r="AV111" s="18">
        <f t="shared" si="264"/>
        <v>86</v>
      </c>
      <c r="AW111" s="131"/>
      <c r="AX111" s="41">
        <f t="shared" si="307"/>
        <v>86</v>
      </c>
      <c r="AY111" s="873"/>
      <c r="AZ111" s="770">
        <v>21</v>
      </c>
      <c r="BA111" s="771">
        <v>15</v>
      </c>
      <c r="BB111" s="779">
        <v>13492</v>
      </c>
      <c r="BC111" s="43">
        <f>IFERROR(BD110-BB111,0)</f>
        <v>0</v>
      </c>
      <c r="BD111" s="449">
        <f t="shared" si="226"/>
        <v>0</v>
      </c>
      <c r="BE111" s="130"/>
      <c r="BF111" s="131">
        <v>0</v>
      </c>
      <c r="BG111" s="131"/>
      <c r="BH111" s="11">
        <f t="shared" si="409"/>
        <v>0</v>
      </c>
      <c r="BI111" s="11">
        <f t="shared" si="418"/>
        <v>1669</v>
      </c>
      <c r="BJ111" s="16">
        <f t="shared" si="265"/>
        <v>0.16</v>
      </c>
      <c r="BK111" s="235">
        <f t="shared" si="301"/>
        <v>0</v>
      </c>
      <c r="BL111" s="154">
        <f t="shared" si="266"/>
        <v>4.0000000000000009</v>
      </c>
      <c r="BM111" s="435">
        <f t="shared" si="370"/>
        <v>2.4165291170764198</v>
      </c>
      <c r="BN111" s="130">
        <v>0</v>
      </c>
      <c r="BO111" s="11">
        <f t="shared" si="267"/>
        <v>67</v>
      </c>
      <c r="BP111" s="479">
        <f t="shared" si="302"/>
        <v>0</v>
      </c>
      <c r="BQ111" s="377">
        <f t="shared" si="304"/>
        <v>3515.4329427280113</v>
      </c>
      <c r="BR111" s="58">
        <f t="shared" si="268"/>
        <v>1115</v>
      </c>
      <c r="BS111" s="131"/>
      <c r="BT111" s="41">
        <f t="shared" si="332"/>
        <v>1115</v>
      </c>
      <c r="BU111" s="18">
        <f t="shared" si="269"/>
        <v>86</v>
      </c>
      <c r="BV111" s="131"/>
      <c r="BW111" s="41">
        <f t="shared" si="308"/>
        <v>86</v>
      </c>
      <c r="BY111" s="118">
        <v>21</v>
      </c>
      <c r="BZ111" s="9">
        <v>15</v>
      </c>
      <c r="CA111" s="129"/>
      <c r="CB111" s="11">
        <f t="shared" si="295"/>
        <v>51032</v>
      </c>
      <c r="CC111" s="57">
        <f t="shared" si="313"/>
        <v>51032</v>
      </c>
      <c r="CD111" s="398"/>
      <c r="CE111" s="399">
        <v>0</v>
      </c>
      <c r="CF111" s="399"/>
      <c r="CG111" s="11">
        <f t="shared" si="314"/>
        <v>0</v>
      </c>
      <c r="CH111" s="11">
        <f t="shared" si="309"/>
        <v>1048</v>
      </c>
      <c r="CI111" s="31">
        <f t="shared" si="392"/>
        <v>0.16</v>
      </c>
      <c r="CJ111" s="231">
        <f t="shared" si="303"/>
        <v>0</v>
      </c>
      <c r="CK111" s="37">
        <f t="shared" si="393"/>
        <v>4.0000000000000009</v>
      </c>
      <c r="CL111" s="156">
        <f t="shared" si="206"/>
        <v>2.0169749225350757</v>
      </c>
      <c r="CM111" s="130">
        <v>1080</v>
      </c>
      <c r="CN111" s="11">
        <f t="shared" si="394"/>
        <v>67</v>
      </c>
      <c r="CO111" s="479">
        <f t="shared" si="395"/>
        <v>21.163191722840569</v>
      </c>
      <c r="CP111" s="377">
        <f t="shared" si="296"/>
        <v>3996.0602157057042</v>
      </c>
      <c r="CQ111" s="61">
        <f t="shared" si="396"/>
        <v>1115</v>
      </c>
      <c r="CR111" s="131"/>
      <c r="CS111" s="41">
        <f t="shared" si="333"/>
        <v>1115</v>
      </c>
      <c r="CT111" s="58">
        <f t="shared" si="397"/>
        <v>86</v>
      </c>
      <c r="CU111" s="131"/>
      <c r="CV111" s="41">
        <f t="shared" si="299"/>
        <v>86</v>
      </c>
    </row>
    <row r="112" spans="1:100" ht="17.25" thickBot="1" x14ac:dyDescent="0.3">
      <c r="B112" s="120">
        <f>B111+1</f>
        <v>21</v>
      </c>
      <c r="C112" s="7">
        <f>C111</f>
        <v>15</v>
      </c>
      <c r="D112" s="133"/>
      <c r="E112" s="48">
        <f t="shared" ref="E112:E138" si="421">IFERROR(F111+D112,0)</f>
        <v>0</v>
      </c>
      <c r="F112" s="49">
        <f t="shared" ref="F112:F138" si="422">IFERROR(E112-J112,0)</f>
        <v>0</v>
      </c>
      <c r="G112" s="142"/>
      <c r="H112" s="135"/>
      <c r="I112" s="135"/>
      <c r="J112" s="14">
        <f t="shared" si="310"/>
        <v>0</v>
      </c>
      <c r="K112" s="14">
        <f t="shared" si="305"/>
        <v>9358</v>
      </c>
      <c r="L112" s="14">
        <f t="shared" si="387"/>
        <v>0.16</v>
      </c>
      <c r="M112" s="230">
        <f t="shared" si="277"/>
        <v>0</v>
      </c>
      <c r="N112" s="35">
        <f t="shared" si="388"/>
        <v>4.0000000000000009</v>
      </c>
      <c r="O112" s="157">
        <f t="shared" si="300"/>
        <v>0</v>
      </c>
      <c r="P112" s="134"/>
      <c r="Q112" s="14">
        <f t="shared" si="389"/>
        <v>67</v>
      </c>
      <c r="R112" s="442">
        <f t="shared" si="278"/>
        <v>0</v>
      </c>
      <c r="S112" s="470">
        <f t="shared" si="306"/>
        <v>0</v>
      </c>
      <c r="T112" s="51">
        <f t="shared" si="390"/>
        <v>1115</v>
      </c>
      <c r="U112" s="103">
        <f>U111</f>
        <v>0</v>
      </c>
      <c r="V112" s="46">
        <f t="shared" si="280"/>
        <v>1115</v>
      </c>
      <c r="W112" s="51">
        <f t="shared" si="391"/>
        <v>86</v>
      </c>
      <c r="X112" s="103">
        <f>X111</f>
        <v>0</v>
      </c>
      <c r="Y112" s="46">
        <f t="shared" si="282"/>
        <v>86</v>
      </c>
      <c r="Z112" s="777"/>
      <c r="AA112" s="120">
        <f>AA111+1</f>
        <v>22</v>
      </c>
      <c r="AB112" s="7">
        <f>AB111</f>
        <v>15</v>
      </c>
      <c r="AC112" s="133"/>
      <c r="AD112" s="48">
        <f t="shared" si="352"/>
        <v>52683</v>
      </c>
      <c r="AE112" s="196">
        <f t="shared" si="224"/>
        <v>52683</v>
      </c>
      <c r="AF112" s="134"/>
      <c r="AG112" s="135">
        <v>0</v>
      </c>
      <c r="AH112" s="135"/>
      <c r="AI112" s="14">
        <f t="shared" si="405"/>
        <v>0</v>
      </c>
      <c r="AJ112" s="14">
        <f t="shared" si="416"/>
        <v>1004</v>
      </c>
      <c r="AK112" s="14">
        <f t="shared" si="260"/>
        <v>0.16</v>
      </c>
      <c r="AL112" s="230">
        <f t="shared" si="285"/>
        <v>0</v>
      </c>
      <c r="AM112" s="35">
        <f t="shared" si="261"/>
        <v>4.0000000000000009</v>
      </c>
      <c r="AN112" s="156">
        <f t="shared" ref="AN112:AN138" si="423">IFERROR((AJ112*100)/$AD$47,0)</f>
        <v>1.6618664547952462</v>
      </c>
      <c r="AO112" s="134">
        <v>1440</v>
      </c>
      <c r="AP112" s="14">
        <f t="shared" si="262"/>
        <v>67</v>
      </c>
      <c r="AQ112" s="442">
        <f t="shared" si="286"/>
        <v>27.333295370423095</v>
      </c>
      <c r="AR112" s="470">
        <f t="shared" si="353"/>
        <v>2768.0226307597868</v>
      </c>
      <c r="AS112" s="51">
        <f t="shared" si="263"/>
        <v>1115</v>
      </c>
      <c r="AT112" s="103">
        <f>AT111</f>
        <v>0</v>
      </c>
      <c r="AU112" s="46">
        <f t="shared" si="331"/>
        <v>1115</v>
      </c>
      <c r="AV112" s="51">
        <f t="shared" si="264"/>
        <v>86</v>
      </c>
      <c r="AW112" s="103">
        <f>AW111</f>
        <v>0</v>
      </c>
      <c r="AX112" s="46">
        <f t="shared" si="307"/>
        <v>86</v>
      </c>
      <c r="AZ112" s="120">
        <f>AZ111+1</f>
        <v>22</v>
      </c>
      <c r="BA112" s="7">
        <f>BA111</f>
        <v>15</v>
      </c>
      <c r="BB112" s="133"/>
      <c r="BC112" s="48">
        <f t="shared" si="400"/>
        <v>0</v>
      </c>
      <c r="BD112" s="196">
        <f t="shared" si="226"/>
        <v>0</v>
      </c>
      <c r="BE112" s="134"/>
      <c r="BF112" s="135"/>
      <c r="BG112" s="135"/>
      <c r="BH112" s="14">
        <f t="shared" si="409"/>
        <v>0</v>
      </c>
      <c r="BI112" s="14">
        <f t="shared" si="418"/>
        <v>1669</v>
      </c>
      <c r="BJ112" s="14">
        <f t="shared" si="265"/>
        <v>0.16</v>
      </c>
      <c r="BK112" s="47">
        <f t="shared" si="301"/>
        <v>0</v>
      </c>
      <c r="BL112" s="35">
        <f t="shared" si="266"/>
        <v>4.0000000000000009</v>
      </c>
      <c r="BM112" s="435">
        <f t="shared" si="370"/>
        <v>2.4165291170764198</v>
      </c>
      <c r="BN112" s="134"/>
      <c r="BO112" s="14">
        <f t="shared" si="267"/>
        <v>67</v>
      </c>
      <c r="BP112" s="442">
        <f t="shared" si="302"/>
        <v>0</v>
      </c>
      <c r="BQ112" s="68">
        <f t="shared" si="304"/>
        <v>3515.4329427280113</v>
      </c>
      <c r="BR112" s="51">
        <f t="shared" si="268"/>
        <v>1115</v>
      </c>
      <c r="BS112" s="103">
        <f>BS111</f>
        <v>0</v>
      </c>
      <c r="BT112" s="46">
        <f t="shared" si="332"/>
        <v>1115</v>
      </c>
      <c r="BU112" s="51">
        <f t="shared" si="269"/>
        <v>86</v>
      </c>
      <c r="BV112" s="103">
        <f>BV111</f>
        <v>0</v>
      </c>
      <c r="BW112" s="46">
        <f t="shared" si="308"/>
        <v>86</v>
      </c>
      <c r="BY112" s="120">
        <f>BY111+1</f>
        <v>22</v>
      </c>
      <c r="BZ112" s="7">
        <f>BZ111</f>
        <v>15</v>
      </c>
      <c r="CA112" s="133"/>
      <c r="CB112" s="14">
        <f t="shared" si="295"/>
        <v>51032</v>
      </c>
      <c r="CC112" s="59">
        <f t="shared" si="313"/>
        <v>51032</v>
      </c>
      <c r="CD112" s="405"/>
      <c r="CE112" s="406">
        <v>0</v>
      </c>
      <c r="CF112" s="406"/>
      <c r="CG112" s="14">
        <f t="shared" si="314"/>
        <v>0</v>
      </c>
      <c r="CH112" s="14">
        <f t="shared" si="309"/>
        <v>1048</v>
      </c>
      <c r="CI112" s="14">
        <f t="shared" si="392"/>
        <v>0.16</v>
      </c>
      <c r="CJ112" s="47">
        <f t="shared" si="303"/>
        <v>0</v>
      </c>
      <c r="CK112" s="35">
        <f t="shared" si="393"/>
        <v>4.0000000000000009</v>
      </c>
      <c r="CL112" s="156">
        <f t="shared" ref="CL112:CL138" si="424">IFERROR((CH112*100)/$CB$47,0)</f>
        <v>2.0169749225350757</v>
      </c>
      <c r="CM112" s="134">
        <v>0</v>
      </c>
      <c r="CN112" s="14">
        <f t="shared" si="394"/>
        <v>67</v>
      </c>
      <c r="CO112" s="442">
        <f t="shared" si="395"/>
        <v>0</v>
      </c>
      <c r="CP112" s="68">
        <f t="shared" si="296"/>
        <v>3996.0602157057042</v>
      </c>
      <c r="CQ112" s="51">
        <f t="shared" si="396"/>
        <v>1115</v>
      </c>
      <c r="CR112" s="103">
        <f>CR111</f>
        <v>0</v>
      </c>
      <c r="CS112" s="46">
        <f t="shared" si="333"/>
        <v>1115</v>
      </c>
      <c r="CT112" s="12">
        <f t="shared" si="397"/>
        <v>86</v>
      </c>
      <c r="CU112" s="103">
        <f>CU111</f>
        <v>0</v>
      </c>
      <c r="CV112" s="46">
        <f t="shared" si="299"/>
        <v>86</v>
      </c>
    </row>
    <row r="113" spans="1:100" ht="17.25" thickBot="1" x14ac:dyDescent="0.3">
      <c r="B113" s="120">
        <f t="shared" ref="B113:B117" si="425">B112+1</f>
        <v>22</v>
      </c>
      <c r="C113" s="7">
        <f t="shared" ref="C113:C117" si="426">C112</f>
        <v>15</v>
      </c>
      <c r="D113" s="133"/>
      <c r="E113" s="48">
        <f t="shared" si="421"/>
        <v>0</v>
      </c>
      <c r="F113" s="49">
        <f t="shared" si="422"/>
        <v>0</v>
      </c>
      <c r="G113" s="142"/>
      <c r="H113" s="135"/>
      <c r="I113" s="135"/>
      <c r="J113" s="14">
        <f t="shared" si="310"/>
        <v>0</v>
      </c>
      <c r="K113" s="14">
        <f t="shared" si="305"/>
        <v>9358</v>
      </c>
      <c r="L113" s="14">
        <f t="shared" si="387"/>
        <v>0.16</v>
      </c>
      <c r="M113" s="230">
        <f t="shared" si="277"/>
        <v>0</v>
      </c>
      <c r="N113" s="35">
        <f t="shared" si="388"/>
        <v>4.0000000000000009</v>
      </c>
      <c r="O113" s="157">
        <f t="shared" si="300"/>
        <v>0</v>
      </c>
      <c r="P113" s="134"/>
      <c r="Q113" s="14">
        <f t="shared" si="389"/>
        <v>67</v>
      </c>
      <c r="R113" s="480">
        <f t="shared" si="278"/>
        <v>0</v>
      </c>
      <c r="S113" s="470">
        <f t="shared" si="306"/>
        <v>0</v>
      </c>
      <c r="T113" s="51">
        <f t="shared" si="390"/>
        <v>1115</v>
      </c>
      <c r="U113" s="103">
        <f t="shared" ref="U113:U117" si="427">U112</f>
        <v>0</v>
      </c>
      <c r="V113" s="46">
        <f t="shared" si="280"/>
        <v>1115</v>
      </c>
      <c r="W113" s="51">
        <f t="shared" si="391"/>
        <v>86</v>
      </c>
      <c r="X113" s="103">
        <f t="shared" ref="X113:X117" si="428">X112</f>
        <v>0</v>
      </c>
      <c r="Y113" s="46">
        <f t="shared" si="282"/>
        <v>86</v>
      </c>
      <c r="Z113" s="776" t="s">
        <v>177</v>
      </c>
      <c r="AA113" s="773">
        <f t="shared" ref="AA113:AA117" si="429">AA112+1</f>
        <v>23</v>
      </c>
      <c r="AB113" s="774">
        <f t="shared" ref="AB113:AB117" si="430">AB112</f>
        <v>15</v>
      </c>
      <c r="AC113" s="775">
        <v>18571</v>
      </c>
      <c r="AD113" s="48">
        <f>IFERROR(AE112-AC113,0)</f>
        <v>34112</v>
      </c>
      <c r="AE113" s="196">
        <f t="shared" si="224"/>
        <v>34112</v>
      </c>
      <c r="AF113" s="134"/>
      <c r="AG113" s="135">
        <v>0</v>
      </c>
      <c r="AH113" s="135"/>
      <c r="AI113" s="14">
        <f t="shared" si="405"/>
        <v>0</v>
      </c>
      <c r="AJ113" s="14">
        <f t="shared" si="416"/>
        <v>1004</v>
      </c>
      <c r="AK113" s="14">
        <f t="shared" si="260"/>
        <v>0.16</v>
      </c>
      <c r="AL113" s="230">
        <f t="shared" si="285"/>
        <v>0</v>
      </c>
      <c r="AM113" s="35">
        <f t="shared" si="261"/>
        <v>4.0000000000000009</v>
      </c>
      <c r="AN113" s="156">
        <f t="shared" si="423"/>
        <v>1.6618664547952462</v>
      </c>
      <c r="AO113" s="134">
        <v>0</v>
      </c>
      <c r="AP113" s="14">
        <f t="shared" si="262"/>
        <v>67</v>
      </c>
      <c r="AQ113" s="480">
        <f t="shared" si="286"/>
        <v>0</v>
      </c>
      <c r="AR113" s="470">
        <f t="shared" si="353"/>
        <v>2768.0226307597868</v>
      </c>
      <c r="AS113" s="51">
        <f t="shared" si="263"/>
        <v>1115</v>
      </c>
      <c r="AT113" s="103">
        <f t="shared" ref="AT113:AT117" si="431">AT112</f>
        <v>0</v>
      </c>
      <c r="AU113" s="46">
        <f t="shared" si="331"/>
        <v>1115</v>
      </c>
      <c r="AV113" s="51">
        <f t="shared" si="264"/>
        <v>86</v>
      </c>
      <c r="AW113" s="103">
        <f t="shared" ref="AW113:AW117" si="432">AW112</f>
        <v>0</v>
      </c>
      <c r="AX113" s="46">
        <f t="shared" si="307"/>
        <v>86</v>
      </c>
      <c r="AZ113" s="120">
        <f t="shared" ref="AZ113:AZ117" si="433">AZ112+1</f>
        <v>23</v>
      </c>
      <c r="BA113" s="7">
        <f t="shared" ref="BA113:BA117" si="434">BA112</f>
        <v>15</v>
      </c>
      <c r="BB113" s="133"/>
      <c r="BC113" s="48">
        <f t="shared" si="400"/>
        <v>0</v>
      </c>
      <c r="BD113" s="196">
        <f t="shared" si="226"/>
        <v>0</v>
      </c>
      <c r="BE113" s="134"/>
      <c r="BF113" s="135"/>
      <c r="BG113" s="135"/>
      <c r="BH113" s="14">
        <f t="shared" si="409"/>
        <v>0</v>
      </c>
      <c r="BI113" s="14">
        <f t="shared" si="418"/>
        <v>1669</v>
      </c>
      <c r="BJ113" s="14">
        <f t="shared" si="265"/>
        <v>0.16</v>
      </c>
      <c r="BK113" s="47">
        <f t="shared" si="301"/>
        <v>0</v>
      </c>
      <c r="BL113" s="35">
        <f t="shared" si="266"/>
        <v>4.0000000000000009</v>
      </c>
      <c r="BM113" s="435">
        <f t="shared" si="370"/>
        <v>2.4165291170764198</v>
      </c>
      <c r="BN113" s="134"/>
      <c r="BO113" s="14">
        <f t="shared" si="267"/>
        <v>67</v>
      </c>
      <c r="BP113" s="442">
        <f t="shared" si="302"/>
        <v>0</v>
      </c>
      <c r="BQ113" s="68">
        <f t="shared" si="304"/>
        <v>3515.4329427280113</v>
      </c>
      <c r="BR113" s="51">
        <f t="shared" si="268"/>
        <v>1115</v>
      </c>
      <c r="BS113" s="103">
        <f t="shared" ref="BS113:BS117" si="435">BS112</f>
        <v>0</v>
      </c>
      <c r="BT113" s="46">
        <f t="shared" si="332"/>
        <v>1115</v>
      </c>
      <c r="BU113" s="51">
        <f t="shared" si="269"/>
        <v>86</v>
      </c>
      <c r="BV113" s="103">
        <f t="shared" ref="BV113:BV117" si="436">BV112</f>
        <v>0</v>
      </c>
      <c r="BW113" s="46">
        <f t="shared" si="308"/>
        <v>86</v>
      </c>
      <c r="BY113" s="120">
        <f t="shared" ref="BY113:BY116" si="437">BY112+1</f>
        <v>23</v>
      </c>
      <c r="BZ113" s="7">
        <f t="shared" ref="BZ113:BZ117" si="438">BZ112</f>
        <v>15</v>
      </c>
      <c r="CA113" s="133"/>
      <c r="CB113" s="14">
        <f t="shared" si="295"/>
        <v>51032</v>
      </c>
      <c r="CC113" s="59">
        <f t="shared" si="313"/>
        <v>51032</v>
      </c>
      <c r="CD113" s="405"/>
      <c r="CE113" s="406">
        <v>0</v>
      </c>
      <c r="CF113" s="406"/>
      <c r="CG113" s="14">
        <f t="shared" si="314"/>
        <v>0</v>
      </c>
      <c r="CH113" s="14">
        <f t="shared" si="309"/>
        <v>1048</v>
      </c>
      <c r="CI113" s="14">
        <f t="shared" si="392"/>
        <v>0.16</v>
      </c>
      <c r="CJ113" s="47">
        <f t="shared" si="303"/>
        <v>0</v>
      </c>
      <c r="CK113" s="35">
        <f t="shared" si="393"/>
        <v>4.0000000000000009</v>
      </c>
      <c r="CL113" s="156">
        <f t="shared" si="424"/>
        <v>2.0169749225350757</v>
      </c>
      <c r="CM113" s="134">
        <v>0</v>
      </c>
      <c r="CN113" s="14">
        <f t="shared" si="394"/>
        <v>67</v>
      </c>
      <c r="CO113" s="442">
        <f t="shared" si="395"/>
        <v>0</v>
      </c>
      <c r="CP113" s="68">
        <f t="shared" si="296"/>
        <v>3996.0602157057042</v>
      </c>
      <c r="CQ113" s="51">
        <f t="shared" si="396"/>
        <v>1115</v>
      </c>
      <c r="CR113" s="103">
        <f t="shared" ref="CR113:CR117" si="439">CR112</f>
        <v>0</v>
      </c>
      <c r="CS113" s="46">
        <f t="shared" si="333"/>
        <v>1115</v>
      </c>
      <c r="CT113" s="51">
        <f t="shared" si="397"/>
        <v>86</v>
      </c>
      <c r="CU113" s="103">
        <f t="shared" ref="CU113:CU117" si="440">CU112</f>
        <v>0</v>
      </c>
      <c r="CV113" s="46">
        <f t="shared" si="299"/>
        <v>86</v>
      </c>
    </row>
    <row r="114" spans="1:100" ht="17.25" thickBot="1" x14ac:dyDescent="0.3">
      <c r="B114" s="120">
        <f t="shared" si="425"/>
        <v>23</v>
      </c>
      <c r="C114" s="7">
        <f t="shared" si="426"/>
        <v>15</v>
      </c>
      <c r="D114" s="133"/>
      <c r="E114" s="48">
        <f t="shared" si="421"/>
        <v>0</v>
      </c>
      <c r="F114" s="49">
        <f t="shared" si="422"/>
        <v>0</v>
      </c>
      <c r="G114" s="142"/>
      <c r="H114" s="135"/>
      <c r="I114" s="135"/>
      <c r="J114" s="14">
        <f t="shared" si="310"/>
        <v>0</v>
      </c>
      <c r="K114" s="14">
        <f t="shared" si="305"/>
        <v>9358</v>
      </c>
      <c r="L114" s="14">
        <f t="shared" si="387"/>
        <v>0.16</v>
      </c>
      <c r="M114" s="47">
        <f t="shared" si="277"/>
        <v>0</v>
      </c>
      <c r="N114" s="35">
        <f t="shared" si="388"/>
        <v>4.0000000000000009</v>
      </c>
      <c r="O114" s="157">
        <f t="shared" si="300"/>
        <v>0</v>
      </c>
      <c r="P114" s="134"/>
      <c r="Q114" s="14">
        <f t="shared" si="389"/>
        <v>67</v>
      </c>
      <c r="R114" s="482">
        <f t="shared" si="278"/>
        <v>0</v>
      </c>
      <c r="S114" s="470">
        <f t="shared" si="306"/>
        <v>0</v>
      </c>
      <c r="T114" s="51">
        <f t="shared" si="390"/>
        <v>1115</v>
      </c>
      <c r="U114" s="103">
        <f t="shared" si="427"/>
        <v>0</v>
      </c>
      <c r="V114" s="46">
        <f t="shared" si="280"/>
        <v>1115</v>
      </c>
      <c r="W114" s="12">
        <f t="shared" si="391"/>
        <v>86</v>
      </c>
      <c r="X114" s="103">
        <f t="shared" si="428"/>
        <v>0</v>
      </c>
      <c r="Y114" s="46">
        <f t="shared" si="282"/>
        <v>86</v>
      </c>
      <c r="Z114" s="487"/>
      <c r="AA114" s="773">
        <f t="shared" si="429"/>
        <v>24</v>
      </c>
      <c r="AB114" s="774">
        <f t="shared" si="430"/>
        <v>15</v>
      </c>
      <c r="AC114" s="775">
        <v>25565</v>
      </c>
      <c r="AD114" s="48">
        <f>IFERROR(AE113-AC114,0)</f>
        <v>8547</v>
      </c>
      <c r="AE114" s="49">
        <f t="shared" si="224"/>
        <v>8547</v>
      </c>
      <c r="AF114" s="134"/>
      <c r="AG114" s="135">
        <v>0</v>
      </c>
      <c r="AH114" s="135"/>
      <c r="AI114" s="14">
        <f t="shared" si="405"/>
        <v>0</v>
      </c>
      <c r="AJ114" s="14">
        <f t="shared" si="416"/>
        <v>1004</v>
      </c>
      <c r="AK114" s="14">
        <f t="shared" si="260"/>
        <v>0.16</v>
      </c>
      <c r="AL114" s="47">
        <f t="shared" si="285"/>
        <v>0</v>
      </c>
      <c r="AM114" s="35">
        <f t="shared" si="261"/>
        <v>4.0000000000000009</v>
      </c>
      <c r="AN114" s="156">
        <f t="shared" si="423"/>
        <v>1.6618664547952462</v>
      </c>
      <c r="AO114" s="134">
        <v>0</v>
      </c>
      <c r="AP114" s="14">
        <f t="shared" si="262"/>
        <v>67</v>
      </c>
      <c r="AQ114" s="482">
        <f t="shared" si="286"/>
        <v>0</v>
      </c>
      <c r="AR114" s="470">
        <f t="shared" si="353"/>
        <v>2768.0226307597868</v>
      </c>
      <c r="AS114" s="51">
        <f t="shared" si="263"/>
        <v>1115</v>
      </c>
      <c r="AT114" s="103">
        <f t="shared" si="431"/>
        <v>0</v>
      </c>
      <c r="AU114" s="46">
        <f t="shared" si="331"/>
        <v>1115</v>
      </c>
      <c r="AV114" s="12">
        <f t="shared" si="264"/>
        <v>86</v>
      </c>
      <c r="AW114" s="103">
        <f t="shared" si="432"/>
        <v>0</v>
      </c>
      <c r="AX114" s="46">
        <f t="shared" si="307"/>
        <v>86</v>
      </c>
      <c r="AZ114" s="120">
        <f t="shared" si="433"/>
        <v>24</v>
      </c>
      <c r="BA114" s="7">
        <f t="shared" si="434"/>
        <v>15</v>
      </c>
      <c r="BB114" s="133"/>
      <c r="BC114" s="48">
        <f t="shared" si="400"/>
        <v>0</v>
      </c>
      <c r="BD114" s="49">
        <f t="shared" si="226"/>
        <v>0</v>
      </c>
      <c r="BE114" s="134"/>
      <c r="BF114" s="135"/>
      <c r="BG114" s="135"/>
      <c r="BH114" s="14">
        <f t="shared" si="409"/>
        <v>0</v>
      </c>
      <c r="BI114" s="14">
        <f t="shared" si="418"/>
        <v>1669</v>
      </c>
      <c r="BJ114" s="14">
        <f t="shared" si="265"/>
        <v>0.16</v>
      </c>
      <c r="BK114" s="47">
        <f t="shared" si="301"/>
        <v>0</v>
      </c>
      <c r="BL114" s="35">
        <f t="shared" si="266"/>
        <v>4.0000000000000009</v>
      </c>
      <c r="BM114" s="435">
        <f t="shared" si="370"/>
        <v>2.4165291170764198</v>
      </c>
      <c r="BN114" s="134"/>
      <c r="BO114" s="14">
        <f t="shared" si="267"/>
        <v>67</v>
      </c>
      <c r="BP114" s="442">
        <f t="shared" si="302"/>
        <v>0</v>
      </c>
      <c r="BQ114" s="68">
        <f t="shared" si="304"/>
        <v>3515.4329427280113</v>
      </c>
      <c r="BR114" s="51">
        <f t="shared" si="268"/>
        <v>1115</v>
      </c>
      <c r="BS114" s="103">
        <f t="shared" si="435"/>
        <v>0</v>
      </c>
      <c r="BT114" s="46">
        <f t="shared" si="332"/>
        <v>1115</v>
      </c>
      <c r="BU114" s="12">
        <f t="shared" si="269"/>
        <v>86</v>
      </c>
      <c r="BV114" s="103">
        <f t="shared" si="436"/>
        <v>0</v>
      </c>
      <c r="BW114" s="46">
        <f t="shared" si="308"/>
        <v>86</v>
      </c>
      <c r="BY114" s="120">
        <f t="shared" si="437"/>
        <v>24</v>
      </c>
      <c r="BZ114" s="7">
        <f t="shared" si="438"/>
        <v>15</v>
      </c>
      <c r="CA114" s="133"/>
      <c r="CB114" s="14">
        <f t="shared" si="295"/>
        <v>51032</v>
      </c>
      <c r="CC114" s="46">
        <f t="shared" si="313"/>
        <v>51032</v>
      </c>
      <c r="CD114" s="405"/>
      <c r="CE114" s="406"/>
      <c r="CF114" s="406"/>
      <c r="CG114" s="14">
        <f t="shared" si="314"/>
        <v>0</v>
      </c>
      <c r="CH114" s="14">
        <f t="shared" si="309"/>
        <v>1048</v>
      </c>
      <c r="CI114" s="14">
        <f t="shared" si="392"/>
        <v>0.16</v>
      </c>
      <c r="CJ114" s="47">
        <f t="shared" si="303"/>
        <v>0</v>
      </c>
      <c r="CK114" s="35">
        <f t="shared" si="393"/>
        <v>4.0000000000000009</v>
      </c>
      <c r="CL114" s="156">
        <f t="shared" si="424"/>
        <v>2.0169749225350757</v>
      </c>
      <c r="CM114" s="134"/>
      <c r="CN114" s="14">
        <f t="shared" si="394"/>
        <v>67</v>
      </c>
      <c r="CO114" s="442">
        <f t="shared" si="395"/>
        <v>0</v>
      </c>
      <c r="CP114" s="68">
        <f t="shared" si="296"/>
        <v>3996.0602157057042</v>
      </c>
      <c r="CQ114" s="51">
        <f t="shared" si="396"/>
        <v>1115</v>
      </c>
      <c r="CR114" s="103">
        <f t="shared" si="439"/>
        <v>0</v>
      </c>
      <c r="CS114" s="46">
        <f t="shared" si="333"/>
        <v>1115</v>
      </c>
      <c r="CT114" s="51">
        <f t="shared" si="397"/>
        <v>86</v>
      </c>
      <c r="CU114" s="103">
        <f t="shared" si="440"/>
        <v>0</v>
      </c>
      <c r="CV114" s="46">
        <f t="shared" si="299"/>
        <v>86</v>
      </c>
    </row>
    <row r="115" spans="1:100" ht="17.25" thickBot="1" x14ac:dyDescent="0.3">
      <c r="B115" s="120">
        <f t="shared" si="425"/>
        <v>24</v>
      </c>
      <c r="C115" s="7">
        <f t="shared" si="426"/>
        <v>15</v>
      </c>
      <c r="D115" s="133"/>
      <c r="E115" s="48">
        <f t="shared" si="421"/>
        <v>0</v>
      </c>
      <c r="F115" s="49">
        <f t="shared" si="422"/>
        <v>0</v>
      </c>
      <c r="G115" s="142"/>
      <c r="H115" s="135"/>
      <c r="I115" s="135"/>
      <c r="J115" s="31">
        <f t="shared" si="310"/>
        <v>0</v>
      </c>
      <c r="K115" s="17">
        <f t="shared" si="305"/>
        <v>9358</v>
      </c>
      <c r="L115" s="14">
        <f t="shared" si="387"/>
        <v>0.16</v>
      </c>
      <c r="M115" s="231">
        <f t="shared" si="277"/>
        <v>0</v>
      </c>
      <c r="N115" s="35">
        <f t="shared" si="388"/>
        <v>4.0000000000000009</v>
      </c>
      <c r="O115" s="157">
        <f t="shared" si="300"/>
        <v>0</v>
      </c>
      <c r="P115" s="134"/>
      <c r="Q115" s="14">
        <f t="shared" si="389"/>
        <v>67</v>
      </c>
      <c r="R115" s="442">
        <f t="shared" si="278"/>
        <v>0</v>
      </c>
      <c r="S115" s="470">
        <f t="shared" si="306"/>
        <v>0</v>
      </c>
      <c r="T115" s="51">
        <f t="shared" si="390"/>
        <v>1115</v>
      </c>
      <c r="U115" s="103">
        <f t="shared" si="427"/>
        <v>0</v>
      </c>
      <c r="V115" s="46">
        <f t="shared" si="280"/>
        <v>1115</v>
      </c>
      <c r="W115" s="50">
        <f t="shared" si="391"/>
        <v>86</v>
      </c>
      <c r="X115" s="103">
        <f t="shared" si="428"/>
        <v>0</v>
      </c>
      <c r="Y115" s="46">
        <f t="shared" si="282"/>
        <v>86</v>
      </c>
      <c r="Z115" s="487"/>
      <c r="AA115" s="773">
        <f t="shared" si="429"/>
        <v>25</v>
      </c>
      <c r="AB115" s="774">
        <f t="shared" si="430"/>
        <v>15</v>
      </c>
      <c r="AC115" s="775">
        <v>8547</v>
      </c>
      <c r="AD115" s="48">
        <f>IFERROR(AE114-AC115,0)</f>
        <v>0</v>
      </c>
      <c r="AE115" s="49">
        <f t="shared" ref="AE115:AE138" si="441">IFERROR(AD115-AI115,0)</f>
        <v>0</v>
      </c>
      <c r="AF115" s="134"/>
      <c r="AG115" s="135">
        <v>0</v>
      </c>
      <c r="AH115" s="135"/>
      <c r="AI115" s="31">
        <f t="shared" si="405"/>
        <v>0</v>
      </c>
      <c r="AJ115" s="17">
        <f t="shared" si="416"/>
        <v>1004</v>
      </c>
      <c r="AK115" s="14">
        <f t="shared" si="260"/>
        <v>0.16</v>
      </c>
      <c r="AL115" s="231">
        <f t="shared" si="285"/>
        <v>0</v>
      </c>
      <c r="AM115" s="35">
        <f t="shared" si="261"/>
        <v>4.0000000000000009</v>
      </c>
      <c r="AN115" s="156">
        <f t="shared" si="423"/>
        <v>1.6618664547952462</v>
      </c>
      <c r="AO115" s="134"/>
      <c r="AP115" s="14">
        <f t="shared" si="262"/>
        <v>67</v>
      </c>
      <c r="AQ115" s="442">
        <f t="shared" si="286"/>
        <v>0</v>
      </c>
      <c r="AR115" s="470">
        <f t="shared" si="353"/>
        <v>2768.0226307597868</v>
      </c>
      <c r="AS115" s="51">
        <f t="shared" si="263"/>
        <v>1115</v>
      </c>
      <c r="AT115" s="103">
        <f t="shared" si="431"/>
        <v>0</v>
      </c>
      <c r="AU115" s="46">
        <f t="shared" si="331"/>
        <v>1115</v>
      </c>
      <c r="AV115" s="50">
        <f t="shared" si="264"/>
        <v>86</v>
      </c>
      <c r="AW115" s="103">
        <f t="shared" si="432"/>
        <v>0</v>
      </c>
      <c r="AX115" s="46">
        <f t="shared" si="307"/>
        <v>86</v>
      </c>
      <c r="AZ115" s="120">
        <f t="shared" si="433"/>
        <v>25</v>
      </c>
      <c r="BA115" s="7">
        <f t="shared" si="434"/>
        <v>15</v>
      </c>
      <c r="BB115" s="133"/>
      <c r="BC115" s="48">
        <f t="shared" si="400"/>
        <v>0</v>
      </c>
      <c r="BD115" s="49">
        <f t="shared" ref="BD115:BD138" si="442">IFERROR(BC115-BH115,0)</f>
        <v>0</v>
      </c>
      <c r="BE115" s="134"/>
      <c r="BF115" s="135"/>
      <c r="BG115" s="135"/>
      <c r="BH115" s="31">
        <f t="shared" si="409"/>
        <v>0</v>
      </c>
      <c r="BI115" s="17">
        <f t="shared" si="418"/>
        <v>1669</v>
      </c>
      <c r="BJ115" s="14">
        <f t="shared" si="265"/>
        <v>0.16</v>
      </c>
      <c r="BK115" s="47">
        <f t="shared" si="301"/>
        <v>0</v>
      </c>
      <c r="BL115" s="35">
        <f t="shared" si="266"/>
        <v>4.0000000000000009</v>
      </c>
      <c r="BM115" s="435">
        <f t="shared" si="370"/>
        <v>2.4165291170764198</v>
      </c>
      <c r="BN115" s="134"/>
      <c r="BO115" s="14">
        <f t="shared" si="267"/>
        <v>67</v>
      </c>
      <c r="BP115" s="442">
        <f t="shared" si="302"/>
        <v>0</v>
      </c>
      <c r="BQ115" s="68">
        <f t="shared" si="304"/>
        <v>3515.4329427280113</v>
      </c>
      <c r="BR115" s="51">
        <f t="shared" si="268"/>
        <v>1115</v>
      </c>
      <c r="BS115" s="103">
        <f t="shared" si="435"/>
        <v>0</v>
      </c>
      <c r="BT115" s="46">
        <f t="shared" si="332"/>
        <v>1115</v>
      </c>
      <c r="BU115" s="50">
        <f t="shared" si="269"/>
        <v>86</v>
      </c>
      <c r="BV115" s="103">
        <f t="shared" si="436"/>
        <v>0</v>
      </c>
      <c r="BW115" s="46">
        <f t="shared" si="308"/>
        <v>86</v>
      </c>
      <c r="BX115" s="781"/>
      <c r="BY115" s="773">
        <f t="shared" si="437"/>
        <v>25</v>
      </c>
      <c r="BZ115" s="774">
        <f t="shared" si="438"/>
        <v>15</v>
      </c>
      <c r="CA115" s="775">
        <v>16246</v>
      </c>
      <c r="CB115" s="14">
        <f>IFERROR(CC114-CA115,0)</f>
        <v>34786</v>
      </c>
      <c r="CC115" s="46">
        <f t="shared" si="313"/>
        <v>34786</v>
      </c>
      <c r="CD115" s="405"/>
      <c r="CE115" s="406"/>
      <c r="CF115" s="406"/>
      <c r="CG115" s="31">
        <f t="shared" si="314"/>
        <v>0</v>
      </c>
      <c r="CH115" s="17">
        <f t="shared" si="309"/>
        <v>1048</v>
      </c>
      <c r="CI115" s="14">
        <f t="shared" si="392"/>
        <v>0.16</v>
      </c>
      <c r="CJ115" s="47">
        <f t="shared" si="303"/>
        <v>0</v>
      </c>
      <c r="CK115" s="35">
        <f t="shared" si="393"/>
        <v>4.0000000000000009</v>
      </c>
      <c r="CL115" s="156">
        <f t="shared" si="424"/>
        <v>2.0169749225350757</v>
      </c>
      <c r="CM115" s="134"/>
      <c r="CN115" s="14">
        <f t="shared" si="394"/>
        <v>67</v>
      </c>
      <c r="CO115" s="442">
        <f t="shared" si="395"/>
        <v>0</v>
      </c>
      <c r="CP115" s="68">
        <f t="shared" si="296"/>
        <v>3996.0602157057042</v>
      </c>
      <c r="CQ115" s="51">
        <f t="shared" si="396"/>
        <v>1115</v>
      </c>
      <c r="CR115" s="103">
        <f t="shared" si="439"/>
        <v>0</v>
      </c>
      <c r="CS115" s="46">
        <f t="shared" si="333"/>
        <v>1115</v>
      </c>
      <c r="CT115" s="12">
        <f t="shared" si="397"/>
        <v>86</v>
      </c>
      <c r="CU115" s="103">
        <f t="shared" si="440"/>
        <v>0</v>
      </c>
      <c r="CV115" s="46">
        <f t="shared" si="299"/>
        <v>86</v>
      </c>
    </row>
    <row r="116" spans="1:100" ht="17.25" thickBot="1" x14ac:dyDescent="0.3">
      <c r="B116" s="120">
        <f t="shared" si="425"/>
        <v>25</v>
      </c>
      <c r="C116" s="7">
        <f t="shared" si="426"/>
        <v>15</v>
      </c>
      <c r="D116" s="133"/>
      <c r="E116" s="48">
        <f t="shared" si="421"/>
        <v>0</v>
      </c>
      <c r="F116" s="49">
        <f t="shared" si="422"/>
        <v>0</v>
      </c>
      <c r="G116" s="142"/>
      <c r="H116" s="135"/>
      <c r="I116" s="135"/>
      <c r="J116" s="14">
        <f t="shared" si="310"/>
        <v>0</v>
      </c>
      <c r="K116" s="14">
        <f t="shared" si="305"/>
        <v>9358</v>
      </c>
      <c r="L116" s="14">
        <f t="shared" si="387"/>
        <v>0.16</v>
      </c>
      <c r="M116" s="230">
        <f t="shared" si="277"/>
        <v>0</v>
      </c>
      <c r="N116" s="35">
        <f t="shared" si="388"/>
        <v>4.0000000000000009</v>
      </c>
      <c r="O116" s="157">
        <f t="shared" si="300"/>
        <v>0</v>
      </c>
      <c r="P116" s="134"/>
      <c r="Q116" s="14">
        <f t="shared" si="389"/>
        <v>67</v>
      </c>
      <c r="R116" s="480">
        <f t="shared" si="278"/>
        <v>0</v>
      </c>
      <c r="S116" s="470">
        <f t="shared" si="306"/>
        <v>0</v>
      </c>
      <c r="T116" s="51">
        <f t="shared" si="390"/>
        <v>1115</v>
      </c>
      <c r="U116" s="103">
        <f t="shared" si="427"/>
        <v>0</v>
      </c>
      <c r="V116" s="46">
        <f t="shared" si="280"/>
        <v>1115</v>
      </c>
      <c r="W116" s="50">
        <f t="shared" si="391"/>
        <v>86</v>
      </c>
      <c r="X116" s="103">
        <f t="shared" si="428"/>
        <v>0</v>
      </c>
      <c r="Y116" s="46">
        <f t="shared" si="282"/>
        <v>86</v>
      </c>
      <c r="Z116" s="487"/>
      <c r="AA116" s="120">
        <f t="shared" si="429"/>
        <v>26</v>
      </c>
      <c r="AB116" s="7">
        <f t="shared" si="430"/>
        <v>15</v>
      </c>
      <c r="AC116" s="133"/>
      <c r="AD116" s="48">
        <f t="shared" si="352"/>
        <v>0</v>
      </c>
      <c r="AE116" s="49">
        <f t="shared" si="441"/>
        <v>0</v>
      </c>
      <c r="AF116" s="134"/>
      <c r="AG116" s="135"/>
      <c r="AH116" s="135"/>
      <c r="AI116" s="14">
        <f t="shared" si="405"/>
        <v>0</v>
      </c>
      <c r="AJ116" s="14">
        <f t="shared" si="416"/>
        <v>1004</v>
      </c>
      <c r="AK116" s="14">
        <f t="shared" si="260"/>
        <v>0.16</v>
      </c>
      <c r="AL116" s="230">
        <f t="shared" si="285"/>
        <v>0</v>
      </c>
      <c r="AM116" s="35">
        <f t="shared" si="261"/>
        <v>4.0000000000000009</v>
      </c>
      <c r="AN116" s="156">
        <f t="shared" si="423"/>
        <v>1.6618664547952462</v>
      </c>
      <c r="AO116" s="134"/>
      <c r="AP116" s="14">
        <f t="shared" si="262"/>
        <v>67</v>
      </c>
      <c r="AQ116" s="480">
        <f t="shared" si="286"/>
        <v>0</v>
      </c>
      <c r="AR116" s="470">
        <f t="shared" si="353"/>
        <v>2768.0226307597868</v>
      </c>
      <c r="AS116" s="51">
        <f t="shared" si="263"/>
        <v>1115</v>
      </c>
      <c r="AT116" s="103">
        <f t="shared" si="431"/>
        <v>0</v>
      </c>
      <c r="AU116" s="46">
        <f t="shared" si="331"/>
        <v>1115</v>
      </c>
      <c r="AV116" s="50">
        <f t="shared" si="264"/>
        <v>86</v>
      </c>
      <c r="AW116" s="103">
        <f t="shared" si="432"/>
        <v>0</v>
      </c>
      <c r="AX116" s="46">
        <f t="shared" si="307"/>
        <v>86</v>
      </c>
      <c r="AZ116" s="120">
        <f t="shared" si="433"/>
        <v>26</v>
      </c>
      <c r="BA116" s="7">
        <f t="shared" si="434"/>
        <v>15</v>
      </c>
      <c r="BB116" s="133"/>
      <c r="BC116" s="48">
        <f t="shared" si="400"/>
        <v>0</v>
      </c>
      <c r="BD116" s="49">
        <f t="shared" si="442"/>
        <v>0</v>
      </c>
      <c r="BE116" s="134"/>
      <c r="BF116" s="135"/>
      <c r="BG116" s="135"/>
      <c r="BH116" s="14">
        <f t="shared" si="409"/>
        <v>0</v>
      </c>
      <c r="BI116" s="14">
        <f t="shared" si="418"/>
        <v>1669</v>
      </c>
      <c r="BJ116" s="14">
        <f t="shared" si="265"/>
        <v>0.16</v>
      </c>
      <c r="BK116" s="47">
        <f t="shared" si="301"/>
        <v>0</v>
      </c>
      <c r="BL116" s="35">
        <f t="shared" si="266"/>
        <v>4.0000000000000009</v>
      </c>
      <c r="BM116" s="435">
        <f t="shared" si="370"/>
        <v>2.4165291170764198</v>
      </c>
      <c r="BN116" s="134"/>
      <c r="BO116" s="14">
        <f t="shared" si="267"/>
        <v>67</v>
      </c>
      <c r="BP116" s="442">
        <f t="shared" si="302"/>
        <v>0</v>
      </c>
      <c r="BQ116" s="68">
        <f t="shared" si="304"/>
        <v>3515.4329427280113</v>
      </c>
      <c r="BR116" s="51">
        <f t="shared" si="268"/>
        <v>1115</v>
      </c>
      <c r="BS116" s="103">
        <f t="shared" si="435"/>
        <v>0</v>
      </c>
      <c r="BT116" s="46">
        <f t="shared" si="332"/>
        <v>1115</v>
      </c>
      <c r="BU116" s="50">
        <f t="shared" si="269"/>
        <v>86</v>
      </c>
      <c r="BV116" s="103">
        <f t="shared" si="436"/>
        <v>0</v>
      </c>
      <c r="BW116" s="46">
        <f t="shared" si="308"/>
        <v>86</v>
      </c>
      <c r="BX116" s="781"/>
      <c r="BY116" s="773">
        <f t="shared" si="437"/>
        <v>26</v>
      </c>
      <c r="BZ116" s="774">
        <f t="shared" si="438"/>
        <v>15</v>
      </c>
      <c r="CA116" s="775">
        <v>19193</v>
      </c>
      <c r="CB116" s="14">
        <f>IFERROR(CC115-CA116,0)</f>
        <v>15593</v>
      </c>
      <c r="CC116" s="46">
        <f t="shared" si="313"/>
        <v>15593</v>
      </c>
      <c r="CD116" s="405"/>
      <c r="CE116" s="406"/>
      <c r="CF116" s="406"/>
      <c r="CG116" s="14">
        <f t="shared" si="314"/>
        <v>0</v>
      </c>
      <c r="CH116" s="14">
        <f t="shared" si="309"/>
        <v>1048</v>
      </c>
      <c r="CI116" s="14">
        <f t="shared" si="392"/>
        <v>0.16</v>
      </c>
      <c r="CJ116" s="47">
        <f t="shared" si="303"/>
        <v>0</v>
      </c>
      <c r="CK116" s="35">
        <f t="shared" si="393"/>
        <v>4.0000000000000009</v>
      </c>
      <c r="CL116" s="156">
        <f t="shared" si="424"/>
        <v>2.0169749225350757</v>
      </c>
      <c r="CM116" s="134"/>
      <c r="CN116" s="14">
        <f t="shared" si="394"/>
        <v>67</v>
      </c>
      <c r="CO116" s="442">
        <f t="shared" si="395"/>
        <v>0</v>
      </c>
      <c r="CP116" s="68">
        <f t="shared" si="296"/>
        <v>3996.0602157057042</v>
      </c>
      <c r="CQ116" s="51">
        <f t="shared" si="396"/>
        <v>1115</v>
      </c>
      <c r="CR116" s="103">
        <f t="shared" si="439"/>
        <v>0</v>
      </c>
      <c r="CS116" s="46">
        <f t="shared" si="333"/>
        <v>1115</v>
      </c>
      <c r="CT116" s="50">
        <f t="shared" si="397"/>
        <v>86</v>
      </c>
      <c r="CU116" s="103">
        <f t="shared" si="440"/>
        <v>0</v>
      </c>
      <c r="CV116" s="46">
        <f t="shared" si="299"/>
        <v>86</v>
      </c>
    </row>
    <row r="117" spans="1:100" ht="17.25" thickBot="1" x14ac:dyDescent="0.3">
      <c r="B117" s="120">
        <f t="shared" si="425"/>
        <v>26</v>
      </c>
      <c r="C117" s="8">
        <f t="shared" si="426"/>
        <v>15</v>
      </c>
      <c r="D117" s="136"/>
      <c r="E117" s="54">
        <f t="shared" si="421"/>
        <v>0</v>
      </c>
      <c r="F117" s="55">
        <f t="shared" si="422"/>
        <v>0</v>
      </c>
      <c r="G117" s="139"/>
      <c r="H117" s="138"/>
      <c r="I117" s="138"/>
      <c r="J117" s="34">
        <f t="shared" si="310"/>
        <v>0</v>
      </c>
      <c r="K117" s="32">
        <f t="shared" si="305"/>
        <v>9358</v>
      </c>
      <c r="L117" s="17">
        <f t="shared" si="387"/>
        <v>0.16</v>
      </c>
      <c r="M117" s="96">
        <f t="shared" si="277"/>
        <v>0</v>
      </c>
      <c r="N117" s="33">
        <f t="shared" si="388"/>
        <v>4.0000000000000009</v>
      </c>
      <c r="O117" s="156">
        <f t="shared" si="300"/>
        <v>0</v>
      </c>
      <c r="P117" s="137"/>
      <c r="Q117" s="32">
        <f t="shared" si="389"/>
        <v>67</v>
      </c>
      <c r="R117" s="443">
        <f t="shared" si="278"/>
        <v>0</v>
      </c>
      <c r="S117" s="471">
        <f t="shared" si="306"/>
        <v>0</v>
      </c>
      <c r="T117" s="50">
        <f t="shared" si="390"/>
        <v>1115</v>
      </c>
      <c r="U117" s="103">
        <f t="shared" si="427"/>
        <v>0</v>
      </c>
      <c r="V117" s="63">
        <f t="shared" si="280"/>
        <v>1115</v>
      </c>
      <c r="W117" s="56">
        <f t="shared" si="391"/>
        <v>86</v>
      </c>
      <c r="X117" s="103">
        <f t="shared" si="428"/>
        <v>0</v>
      </c>
      <c r="Y117" s="63">
        <f t="shared" si="282"/>
        <v>86</v>
      </c>
      <c r="Z117" s="487"/>
      <c r="AA117" s="120">
        <f t="shared" si="429"/>
        <v>27</v>
      </c>
      <c r="AB117" s="8">
        <f t="shared" si="430"/>
        <v>15</v>
      </c>
      <c r="AC117" s="136"/>
      <c r="AD117" s="54">
        <f t="shared" si="352"/>
        <v>0</v>
      </c>
      <c r="AE117" s="448">
        <f t="shared" si="441"/>
        <v>0</v>
      </c>
      <c r="AF117" s="137"/>
      <c r="AG117" s="138"/>
      <c r="AH117" s="138"/>
      <c r="AI117" s="34">
        <f t="shared" si="405"/>
        <v>0</v>
      </c>
      <c r="AJ117" s="32">
        <f t="shared" si="416"/>
        <v>1004</v>
      </c>
      <c r="AK117" s="17">
        <f t="shared" si="260"/>
        <v>0.16</v>
      </c>
      <c r="AL117" s="96">
        <f t="shared" si="285"/>
        <v>0</v>
      </c>
      <c r="AM117" s="33">
        <f t="shared" si="261"/>
        <v>4.0000000000000009</v>
      </c>
      <c r="AN117" s="156">
        <f t="shared" si="423"/>
        <v>1.6618664547952462</v>
      </c>
      <c r="AO117" s="137"/>
      <c r="AP117" s="32">
        <f t="shared" si="262"/>
        <v>67</v>
      </c>
      <c r="AQ117" s="443">
        <f t="shared" si="286"/>
        <v>0</v>
      </c>
      <c r="AR117" s="471">
        <f t="shared" si="353"/>
        <v>2768.0226307597868</v>
      </c>
      <c r="AS117" s="50">
        <f t="shared" si="263"/>
        <v>1115</v>
      </c>
      <c r="AT117" s="103">
        <f t="shared" si="431"/>
        <v>0</v>
      </c>
      <c r="AU117" s="63">
        <f t="shared" si="331"/>
        <v>1115</v>
      </c>
      <c r="AV117" s="56">
        <f t="shared" si="264"/>
        <v>86</v>
      </c>
      <c r="AW117" s="103">
        <f t="shared" si="432"/>
        <v>0</v>
      </c>
      <c r="AX117" s="63">
        <f t="shared" si="307"/>
        <v>86</v>
      </c>
      <c r="AZ117" s="120">
        <f t="shared" si="433"/>
        <v>27</v>
      </c>
      <c r="BA117" s="8">
        <f t="shared" si="434"/>
        <v>15</v>
      </c>
      <c r="BB117" s="136"/>
      <c r="BC117" s="54">
        <f t="shared" si="400"/>
        <v>0</v>
      </c>
      <c r="BD117" s="448">
        <f t="shared" si="442"/>
        <v>0</v>
      </c>
      <c r="BE117" s="137"/>
      <c r="BF117" s="138"/>
      <c r="BG117" s="138"/>
      <c r="BH117" s="34">
        <f t="shared" si="409"/>
        <v>0</v>
      </c>
      <c r="BI117" s="32">
        <f t="shared" si="418"/>
        <v>1669</v>
      </c>
      <c r="BJ117" s="17">
        <f t="shared" si="265"/>
        <v>0.16</v>
      </c>
      <c r="BK117" s="96">
        <f t="shared" si="301"/>
        <v>0</v>
      </c>
      <c r="BL117" s="33">
        <f t="shared" si="266"/>
        <v>4.0000000000000009</v>
      </c>
      <c r="BM117" s="435">
        <f t="shared" si="370"/>
        <v>2.4165291170764198</v>
      </c>
      <c r="BN117" s="137"/>
      <c r="BO117" s="32">
        <f t="shared" si="267"/>
        <v>67</v>
      </c>
      <c r="BP117" s="482">
        <f t="shared" si="302"/>
        <v>0</v>
      </c>
      <c r="BQ117" s="70">
        <f t="shared" si="304"/>
        <v>3515.4329427280113</v>
      </c>
      <c r="BR117" s="50">
        <f t="shared" si="268"/>
        <v>1115</v>
      </c>
      <c r="BS117" s="103">
        <f t="shared" si="435"/>
        <v>0</v>
      </c>
      <c r="BT117" s="63">
        <f t="shared" si="332"/>
        <v>1115</v>
      </c>
      <c r="BU117" s="56">
        <f t="shared" si="269"/>
        <v>86</v>
      </c>
      <c r="BV117" s="103">
        <f t="shared" si="436"/>
        <v>0</v>
      </c>
      <c r="BW117" s="63">
        <f t="shared" si="308"/>
        <v>86</v>
      </c>
      <c r="BX117" s="781"/>
      <c r="BY117" s="782">
        <f>BY116+1</f>
        <v>27</v>
      </c>
      <c r="BZ117" s="780">
        <f t="shared" si="438"/>
        <v>15</v>
      </c>
      <c r="CA117" s="778">
        <v>6293</v>
      </c>
      <c r="CB117" s="32">
        <f>IFERROR(CC116-CA117,0)</f>
        <v>9300</v>
      </c>
      <c r="CC117" s="63">
        <f t="shared" si="313"/>
        <v>9300</v>
      </c>
      <c r="CD117" s="421"/>
      <c r="CE117" s="426"/>
      <c r="CF117" s="426"/>
      <c r="CG117" s="34">
        <f t="shared" si="314"/>
        <v>0</v>
      </c>
      <c r="CH117" s="32">
        <f t="shared" si="309"/>
        <v>1048</v>
      </c>
      <c r="CI117" s="17">
        <f t="shared" si="392"/>
        <v>0.16</v>
      </c>
      <c r="CJ117" s="166">
        <f t="shared" si="303"/>
        <v>0</v>
      </c>
      <c r="CK117" s="33">
        <f t="shared" si="393"/>
        <v>4.0000000000000009</v>
      </c>
      <c r="CL117" s="156">
        <f t="shared" si="424"/>
        <v>2.0169749225350757</v>
      </c>
      <c r="CM117" s="137"/>
      <c r="CN117" s="13">
        <f t="shared" si="394"/>
        <v>67</v>
      </c>
      <c r="CO117" s="482">
        <f t="shared" si="395"/>
        <v>0</v>
      </c>
      <c r="CP117" s="70">
        <f t="shared" si="296"/>
        <v>3996.0602157057042</v>
      </c>
      <c r="CQ117" s="50">
        <f t="shared" si="396"/>
        <v>1115</v>
      </c>
      <c r="CR117" s="103">
        <f t="shared" si="439"/>
        <v>0</v>
      </c>
      <c r="CS117" s="63">
        <f t="shared" si="333"/>
        <v>1115</v>
      </c>
      <c r="CT117" s="56">
        <f t="shared" si="397"/>
        <v>86</v>
      </c>
      <c r="CU117" s="103">
        <f t="shared" si="440"/>
        <v>0</v>
      </c>
      <c r="CV117" s="63">
        <f t="shared" si="299"/>
        <v>86</v>
      </c>
    </row>
    <row r="118" spans="1:100" ht="17.25" thickBot="1" x14ac:dyDescent="0.3">
      <c r="B118" s="118">
        <v>27</v>
      </c>
      <c r="C118" s="9">
        <v>16</v>
      </c>
      <c r="D118" s="129"/>
      <c r="E118" s="43">
        <f t="shared" si="421"/>
        <v>0</v>
      </c>
      <c r="F118" s="44">
        <f t="shared" si="422"/>
        <v>0</v>
      </c>
      <c r="G118" s="158"/>
      <c r="H118" s="131"/>
      <c r="I118" s="131"/>
      <c r="J118" s="16">
        <f t="shared" si="310"/>
        <v>0</v>
      </c>
      <c r="K118" s="11">
        <f t="shared" si="305"/>
        <v>9358</v>
      </c>
      <c r="L118" s="16">
        <f t="shared" si="387"/>
        <v>0.16</v>
      </c>
      <c r="M118" s="42">
        <f t="shared" si="277"/>
        <v>0</v>
      </c>
      <c r="N118" s="154">
        <f t="shared" si="388"/>
        <v>4.160000000000001</v>
      </c>
      <c r="O118" s="155">
        <f t="shared" si="300"/>
        <v>0</v>
      </c>
      <c r="P118" s="130"/>
      <c r="Q118" s="17">
        <f t="shared" si="389"/>
        <v>71</v>
      </c>
      <c r="R118" s="441">
        <f t="shared" si="278"/>
        <v>0</v>
      </c>
      <c r="S118" s="469">
        <f t="shared" si="306"/>
        <v>0</v>
      </c>
      <c r="T118" s="58">
        <f t="shared" si="390"/>
        <v>1160</v>
      </c>
      <c r="U118" s="131"/>
      <c r="V118" s="41">
        <f t="shared" si="280"/>
        <v>1160</v>
      </c>
      <c r="W118" s="18">
        <f t="shared" si="391"/>
        <v>86</v>
      </c>
      <c r="X118" s="131"/>
      <c r="Y118" s="41">
        <f t="shared" si="282"/>
        <v>86</v>
      </c>
      <c r="Z118" s="487"/>
      <c r="AA118" s="118">
        <v>27</v>
      </c>
      <c r="AB118" s="9">
        <v>16</v>
      </c>
      <c r="AC118" s="129"/>
      <c r="AD118" s="60">
        <f t="shared" si="352"/>
        <v>0</v>
      </c>
      <c r="AE118" s="449">
        <f t="shared" si="441"/>
        <v>0</v>
      </c>
      <c r="AF118" s="130"/>
      <c r="AG118" s="131"/>
      <c r="AH118" s="131"/>
      <c r="AI118" s="16">
        <f t="shared" si="405"/>
        <v>0</v>
      </c>
      <c r="AJ118" s="11">
        <f t="shared" si="416"/>
        <v>1004</v>
      </c>
      <c r="AK118" s="16">
        <f t="shared" si="260"/>
        <v>0.16</v>
      </c>
      <c r="AL118" s="42">
        <f t="shared" si="285"/>
        <v>0</v>
      </c>
      <c r="AM118" s="154">
        <f t="shared" si="261"/>
        <v>4.160000000000001</v>
      </c>
      <c r="AN118" s="156">
        <f t="shared" si="423"/>
        <v>1.6618664547952462</v>
      </c>
      <c r="AO118" s="130"/>
      <c r="AP118" s="17">
        <f t="shared" si="262"/>
        <v>71</v>
      </c>
      <c r="AQ118" s="441">
        <f t="shared" si="286"/>
        <v>0</v>
      </c>
      <c r="AR118" s="469">
        <f t="shared" si="353"/>
        <v>2768.0226307597868</v>
      </c>
      <c r="AS118" s="58">
        <f t="shared" si="263"/>
        <v>1160</v>
      </c>
      <c r="AT118" s="131"/>
      <c r="AU118" s="41">
        <f t="shared" si="331"/>
        <v>1160</v>
      </c>
      <c r="AV118" s="18">
        <f t="shared" si="264"/>
        <v>86</v>
      </c>
      <c r="AW118" s="131"/>
      <c r="AX118" s="41">
        <f t="shared" si="307"/>
        <v>86</v>
      </c>
      <c r="AZ118" s="118">
        <v>28</v>
      </c>
      <c r="BA118" s="9">
        <v>16</v>
      </c>
      <c r="BB118" s="129"/>
      <c r="BC118" s="43">
        <f t="shared" si="400"/>
        <v>0</v>
      </c>
      <c r="BD118" s="449">
        <f t="shared" si="442"/>
        <v>0</v>
      </c>
      <c r="BE118" s="130"/>
      <c r="BF118" s="131"/>
      <c r="BG118" s="131"/>
      <c r="BH118" s="16">
        <f t="shared" si="409"/>
        <v>0</v>
      </c>
      <c r="BI118" s="11">
        <f t="shared" si="418"/>
        <v>1669</v>
      </c>
      <c r="BJ118" s="16">
        <f t="shared" si="265"/>
        <v>0.16</v>
      </c>
      <c r="BK118" s="235">
        <f t="shared" si="301"/>
        <v>0</v>
      </c>
      <c r="BL118" s="154">
        <f t="shared" si="266"/>
        <v>4.160000000000001</v>
      </c>
      <c r="BM118" s="435">
        <f t="shared" si="370"/>
        <v>2.4165291170764198</v>
      </c>
      <c r="BN118" s="130"/>
      <c r="BO118" s="17">
        <f t="shared" si="267"/>
        <v>71</v>
      </c>
      <c r="BP118" s="441">
        <f t="shared" si="302"/>
        <v>0</v>
      </c>
      <c r="BQ118" s="377">
        <f t="shared" si="304"/>
        <v>3515.4329427280113</v>
      </c>
      <c r="BR118" s="58">
        <f t="shared" si="268"/>
        <v>1160</v>
      </c>
      <c r="BS118" s="131"/>
      <c r="BT118" s="41">
        <f t="shared" si="332"/>
        <v>1160</v>
      </c>
      <c r="BU118" s="18">
        <f t="shared" si="269"/>
        <v>86</v>
      </c>
      <c r="BV118" s="131"/>
      <c r="BW118" s="41">
        <f t="shared" si="308"/>
        <v>86</v>
      </c>
      <c r="BX118" s="781"/>
      <c r="BY118" s="770">
        <v>28</v>
      </c>
      <c r="BZ118" s="771">
        <v>16</v>
      </c>
      <c r="CA118" s="779">
        <v>5275</v>
      </c>
      <c r="CB118" s="11">
        <f>IFERROR(CC117-CA118,0)</f>
        <v>4025</v>
      </c>
      <c r="CC118" s="57">
        <f t="shared" si="313"/>
        <v>4025</v>
      </c>
      <c r="CD118" s="398"/>
      <c r="CE118" s="399"/>
      <c r="CF118" s="399"/>
      <c r="CG118" s="16">
        <f t="shared" si="314"/>
        <v>0</v>
      </c>
      <c r="CH118" s="11">
        <f t="shared" si="309"/>
        <v>1048</v>
      </c>
      <c r="CI118" s="16">
        <f t="shared" si="392"/>
        <v>0.16</v>
      </c>
      <c r="CJ118" s="231">
        <f t="shared" si="303"/>
        <v>0</v>
      </c>
      <c r="CK118" s="154">
        <f t="shared" si="393"/>
        <v>4.160000000000001</v>
      </c>
      <c r="CL118" s="156">
        <f t="shared" si="424"/>
        <v>2.0169749225350757</v>
      </c>
      <c r="CM118" s="130"/>
      <c r="CN118" s="11">
        <f t="shared" si="394"/>
        <v>71</v>
      </c>
      <c r="CO118" s="441">
        <f t="shared" si="395"/>
        <v>0</v>
      </c>
      <c r="CP118" s="377">
        <f t="shared" si="296"/>
        <v>3996.0602157057042</v>
      </c>
      <c r="CQ118" s="58">
        <f t="shared" si="396"/>
        <v>1160</v>
      </c>
      <c r="CR118" s="131"/>
      <c r="CS118" s="41">
        <f t="shared" si="333"/>
        <v>1160</v>
      </c>
      <c r="CT118" s="58">
        <f t="shared" si="397"/>
        <v>86</v>
      </c>
      <c r="CU118" s="131"/>
      <c r="CV118" s="41">
        <f t="shared" si="299"/>
        <v>86</v>
      </c>
    </row>
    <row r="119" spans="1:100" ht="17.25" thickBot="1" x14ac:dyDescent="0.3">
      <c r="B119" s="120">
        <f>B118+1</f>
        <v>28</v>
      </c>
      <c r="C119" s="7">
        <f>C118</f>
        <v>16</v>
      </c>
      <c r="D119" s="133"/>
      <c r="E119" s="48">
        <f t="shared" si="421"/>
        <v>0</v>
      </c>
      <c r="F119" s="447">
        <f t="shared" si="422"/>
        <v>0</v>
      </c>
      <c r="G119" s="142"/>
      <c r="H119" s="135"/>
      <c r="I119" s="135"/>
      <c r="J119" s="13">
        <f t="shared" si="310"/>
        <v>0</v>
      </c>
      <c r="K119" s="14">
        <f t="shared" si="305"/>
        <v>9358</v>
      </c>
      <c r="L119" s="14">
        <f t="shared" si="387"/>
        <v>0.16</v>
      </c>
      <c r="M119" s="47">
        <f t="shared" si="277"/>
        <v>0</v>
      </c>
      <c r="N119" s="35">
        <f t="shared" si="388"/>
        <v>4.160000000000001</v>
      </c>
      <c r="O119" s="157">
        <f t="shared" si="300"/>
        <v>0</v>
      </c>
      <c r="P119" s="134"/>
      <c r="Q119" s="14">
        <f t="shared" si="389"/>
        <v>71</v>
      </c>
      <c r="R119" s="480">
        <f t="shared" si="278"/>
        <v>0</v>
      </c>
      <c r="S119" s="470">
        <f t="shared" si="306"/>
        <v>0</v>
      </c>
      <c r="T119" s="51">
        <f t="shared" si="390"/>
        <v>1160</v>
      </c>
      <c r="U119" s="103">
        <f>U118</f>
        <v>0</v>
      </c>
      <c r="V119" s="46">
        <f t="shared" si="280"/>
        <v>1160</v>
      </c>
      <c r="W119" s="51">
        <f t="shared" si="391"/>
        <v>86</v>
      </c>
      <c r="X119" s="103">
        <f>X118</f>
        <v>0</v>
      </c>
      <c r="Y119" s="46">
        <f t="shared" si="282"/>
        <v>86</v>
      </c>
      <c r="Z119" s="487"/>
      <c r="AA119" s="120">
        <f>AA118+1</f>
        <v>28</v>
      </c>
      <c r="AB119" s="7">
        <f>AB118</f>
        <v>16</v>
      </c>
      <c r="AC119" s="133"/>
      <c r="AD119" s="48">
        <f t="shared" si="352"/>
        <v>0</v>
      </c>
      <c r="AE119" s="49">
        <f t="shared" si="441"/>
        <v>0</v>
      </c>
      <c r="AF119" s="134"/>
      <c r="AG119" s="135"/>
      <c r="AH119" s="135"/>
      <c r="AI119" s="13">
        <f t="shared" si="405"/>
        <v>0</v>
      </c>
      <c r="AJ119" s="14">
        <f t="shared" si="416"/>
        <v>1004</v>
      </c>
      <c r="AK119" s="14">
        <f t="shared" si="260"/>
        <v>0.16</v>
      </c>
      <c r="AL119" s="47">
        <f t="shared" si="285"/>
        <v>0</v>
      </c>
      <c r="AM119" s="35">
        <f t="shared" si="261"/>
        <v>4.160000000000001</v>
      </c>
      <c r="AN119" s="156">
        <f t="shared" si="423"/>
        <v>1.6618664547952462</v>
      </c>
      <c r="AO119" s="134"/>
      <c r="AP119" s="14">
        <f t="shared" si="262"/>
        <v>71</v>
      </c>
      <c r="AQ119" s="480">
        <f t="shared" si="286"/>
        <v>0</v>
      </c>
      <c r="AR119" s="470">
        <f t="shared" si="353"/>
        <v>2768.0226307597868</v>
      </c>
      <c r="AS119" s="51">
        <f t="shared" si="263"/>
        <v>1160</v>
      </c>
      <c r="AT119" s="103">
        <f>AT118</f>
        <v>0</v>
      </c>
      <c r="AU119" s="46">
        <f t="shared" si="331"/>
        <v>1160</v>
      </c>
      <c r="AV119" s="51">
        <f t="shared" si="264"/>
        <v>86</v>
      </c>
      <c r="AW119" s="103">
        <f>AW118</f>
        <v>0</v>
      </c>
      <c r="AX119" s="46">
        <f t="shared" si="307"/>
        <v>86</v>
      </c>
      <c r="AZ119" s="120">
        <f>AZ118+1</f>
        <v>29</v>
      </c>
      <c r="BA119" s="7">
        <f>BA118</f>
        <v>16</v>
      </c>
      <c r="BB119" s="133"/>
      <c r="BC119" s="48">
        <f t="shared" si="400"/>
        <v>0</v>
      </c>
      <c r="BD119" s="49">
        <f t="shared" si="442"/>
        <v>0</v>
      </c>
      <c r="BE119" s="134"/>
      <c r="BF119" s="135"/>
      <c r="BG119" s="135"/>
      <c r="BH119" s="13">
        <f t="shared" si="409"/>
        <v>0</v>
      </c>
      <c r="BI119" s="14">
        <f t="shared" si="418"/>
        <v>1669</v>
      </c>
      <c r="BJ119" s="14">
        <f t="shared" si="265"/>
        <v>0.16</v>
      </c>
      <c r="BK119" s="47">
        <f t="shared" si="301"/>
        <v>0</v>
      </c>
      <c r="BL119" s="35">
        <f t="shared" si="266"/>
        <v>4.160000000000001</v>
      </c>
      <c r="BM119" s="435">
        <f t="shared" si="370"/>
        <v>2.4165291170764198</v>
      </c>
      <c r="BN119" s="134"/>
      <c r="BO119" s="14">
        <f t="shared" si="267"/>
        <v>71</v>
      </c>
      <c r="BP119" s="442">
        <f t="shared" si="302"/>
        <v>0</v>
      </c>
      <c r="BQ119" s="68">
        <f t="shared" si="304"/>
        <v>3515.4329427280113</v>
      </c>
      <c r="BR119" s="51">
        <f t="shared" si="268"/>
        <v>1160</v>
      </c>
      <c r="BS119" s="103">
        <f>BS118</f>
        <v>0</v>
      </c>
      <c r="BT119" s="46">
        <f t="shared" si="332"/>
        <v>1160</v>
      </c>
      <c r="BU119" s="51">
        <f t="shared" si="269"/>
        <v>86</v>
      </c>
      <c r="BV119" s="103">
        <f>BV118</f>
        <v>0</v>
      </c>
      <c r="BW119" s="46">
        <f t="shared" si="308"/>
        <v>86</v>
      </c>
      <c r="BY119" s="120">
        <f>BY118+1</f>
        <v>29</v>
      </c>
      <c r="BZ119" s="7">
        <f>BZ118</f>
        <v>16</v>
      </c>
      <c r="CA119" s="133"/>
      <c r="CB119" s="14">
        <f t="shared" si="295"/>
        <v>4025</v>
      </c>
      <c r="CC119" s="46">
        <f t="shared" si="313"/>
        <v>4025</v>
      </c>
      <c r="CD119" s="405"/>
      <c r="CE119" s="406"/>
      <c r="CF119" s="406"/>
      <c r="CG119" s="13">
        <f t="shared" si="314"/>
        <v>0</v>
      </c>
      <c r="CH119" s="14">
        <f t="shared" si="309"/>
        <v>1048</v>
      </c>
      <c r="CI119" s="13">
        <f t="shared" si="392"/>
        <v>0.16</v>
      </c>
      <c r="CJ119" s="47">
        <f t="shared" si="303"/>
        <v>0</v>
      </c>
      <c r="CK119" s="35">
        <f t="shared" si="393"/>
        <v>4.160000000000001</v>
      </c>
      <c r="CL119" s="156">
        <f t="shared" si="424"/>
        <v>2.0169749225350757</v>
      </c>
      <c r="CM119" s="134"/>
      <c r="CN119" s="14">
        <f t="shared" si="394"/>
        <v>71</v>
      </c>
      <c r="CO119" s="442">
        <f t="shared" si="395"/>
        <v>0</v>
      </c>
      <c r="CP119" s="68">
        <f t="shared" si="296"/>
        <v>3996.0602157057042</v>
      </c>
      <c r="CQ119" s="51">
        <f t="shared" si="396"/>
        <v>1160</v>
      </c>
      <c r="CR119" s="103">
        <f>CR118</f>
        <v>0</v>
      </c>
      <c r="CS119" s="46">
        <f t="shared" si="333"/>
        <v>1160</v>
      </c>
      <c r="CT119" s="12">
        <f t="shared" si="397"/>
        <v>86</v>
      </c>
      <c r="CU119" s="103">
        <f>CU118</f>
        <v>0</v>
      </c>
      <c r="CV119" s="46">
        <f t="shared" si="299"/>
        <v>86</v>
      </c>
    </row>
    <row r="120" spans="1:100" ht="17.25" thickBot="1" x14ac:dyDescent="0.3">
      <c r="B120" s="120">
        <f t="shared" ref="B120:B124" si="443">B119+1</f>
        <v>29</v>
      </c>
      <c r="C120" s="7">
        <f t="shared" ref="C120:C124" si="444">C119</f>
        <v>16</v>
      </c>
      <c r="D120" s="133"/>
      <c r="E120" s="48">
        <f t="shared" si="421"/>
        <v>0</v>
      </c>
      <c r="F120" s="49">
        <f t="shared" si="422"/>
        <v>0</v>
      </c>
      <c r="G120" s="142"/>
      <c r="H120" s="135"/>
      <c r="I120" s="135"/>
      <c r="J120" s="13">
        <f t="shared" si="310"/>
        <v>0</v>
      </c>
      <c r="K120" s="14">
        <f t="shared" si="305"/>
        <v>9358</v>
      </c>
      <c r="L120" s="14">
        <f t="shared" si="387"/>
        <v>0.16</v>
      </c>
      <c r="M120" s="231">
        <f t="shared" si="277"/>
        <v>0</v>
      </c>
      <c r="N120" s="35">
        <f t="shared" si="388"/>
        <v>4.160000000000001</v>
      </c>
      <c r="O120" s="157">
        <f t="shared" si="300"/>
        <v>0</v>
      </c>
      <c r="P120" s="134"/>
      <c r="Q120" s="14">
        <f t="shared" si="389"/>
        <v>71</v>
      </c>
      <c r="R120" s="482">
        <f t="shared" si="278"/>
        <v>0</v>
      </c>
      <c r="S120" s="470">
        <f t="shared" si="306"/>
        <v>0</v>
      </c>
      <c r="T120" s="51">
        <f t="shared" si="390"/>
        <v>1160</v>
      </c>
      <c r="U120" s="103">
        <f t="shared" ref="U120:U124" si="445">U119</f>
        <v>0</v>
      </c>
      <c r="V120" s="46">
        <f t="shared" si="280"/>
        <v>1160</v>
      </c>
      <c r="W120" s="12">
        <f t="shared" si="391"/>
        <v>86</v>
      </c>
      <c r="X120" s="103">
        <f t="shared" ref="X120:X124" si="446">X119</f>
        <v>0</v>
      </c>
      <c r="Y120" s="46">
        <f t="shared" si="282"/>
        <v>86</v>
      </c>
      <c r="Z120" s="487"/>
      <c r="AA120" s="120">
        <f t="shared" ref="AA120:AA124" si="447">AA119+1</f>
        <v>29</v>
      </c>
      <c r="AB120" s="7">
        <f t="shared" ref="AB120:AB124" si="448">AB119</f>
        <v>16</v>
      </c>
      <c r="AC120" s="133"/>
      <c r="AD120" s="48">
        <f t="shared" si="352"/>
        <v>0</v>
      </c>
      <c r="AE120" s="447">
        <f t="shared" si="441"/>
        <v>0</v>
      </c>
      <c r="AF120" s="134"/>
      <c r="AG120" s="135"/>
      <c r="AH120" s="135"/>
      <c r="AI120" s="13">
        <f t="shared" si="405"/>
        <v>0</v>
      </c>
      <c r="AJ120" s="14">
        <f t="shared" si="416"/>
        <v>1004</v>
      </c>
      <c r="AK120" s="14">
        <f t="shared" si="260"/>
        <v>0.16</v>
      </c>
      <c r="AL120" s="231">
        <f t="shared" si="285"/>
        <v>0</v>
      </c>
      <c r="AM120" s="35">
        <f t="shared" si="261"/>
        <v>4.160000000000001</v>
      </c>
      <c r="AN120" s="156">
        <f t="shared" si="423"/>
        <v>1.6618664547952462</v>
      </c>
      <c r="AO120" s="134"/>
      <c r="AP120" s="14">
        <f t="shared" si="262"/>
        <v>71</v>
      </c>
      <c r="AQ120" s="482">
        <f t="shared" si="286"/>
        <v>0</v>
      </c>
      <c r="AR120" s="470">
        <f t="shared" si="353"/>
        <v>2768.0226307597868</v>
      </c>
      <c r="AS120" s="51">
        <f t="shared" si="263"/>
        <v>1160</v>
      </c>
      <c r="AT120" s="103">
        <f t="shared" ref="AT120:AT124" si="449">AT119</f>
        <v>0</v>
      </c>
      <c r="AU120" s="46">
        <f t="shared" si="331"/>
        <v>1160</v>
      </c>
      <c r="AV120" s="12">
        <f t="shared" si="264"/>
        <v>86</v>
      </c>
      <c r="AW120" s="103">
        <f t="shared" ref="AW120:AW124" si="450">AW119</f>
        <v>0</v>
      </c>
      <c r="AX120" s="46">
        <f t="shared" si="307"/>
        <v>86</v>
      </c>
      <c r="AZ120" s="120">
        <f t="shared" ref="AZ120:AZ124" si="451">AZ119+1</f>
        <v>30</v>
      </c>
      <c r="BA120" s="7">
        <f t="shared" ref="BA120:BA124" si="452">BA119</f>
        <v>16</v>
      </c>
      <c r="BB120" s="133"/>
      <c r="BC120" s="48">
        <f t="shared" si="400"/>
        <v>0</v>
      </c>
      <c r="BD120" s="447">
        <f t="shared" si="442"/>
        <v>0</v>
      </c>
      <c r="BE120" s="134"/>
      <c r="BF120" s="135"/>
      <c r="BG120" s="135"/>
      <c r="BH120" s="13">
        <f t="shared" si="409"/>
        <v>0</v>
      </c>
      <c r="BI120" s="14">
        <f t="shared" si="418"/>
        <v>1669</v>
      </c>
      <c r="BJ120" s="14">
        <f t="shared" si="265"/>
        <v>0.16</v>
      </c>
      <c r="BK120" s="47">
        <f t="shared" si="301"/>
        <v>0</v>
      </c>
      <c r="BL120" s="35">
        <f t="shared" si="266"/>
        <v>4.160000000000001</v>
      </c>
      <c r="BM120" s="435">
        <f t="shared" si="370"/>
        <v>2.4165291170764198</v>
      </c>
      <c r="BN120" s="134"/>
      <c r="BO120" s="14">
        <f t="shared" si="267"/>
        <v>71</v>
      </c>
      <c r="BP120" s="442">
        <f t="shared" si="302"/>
        <v>0</v>
      </c>
      <c r="BQ120" s="68">
        <f t="shared" si="304"/>
        <v>3515.4329427280113</v>
      </c>
      <c r="BR120" s="51">
        <f t="shared" si="268"/>
        <v>1160</v>
      </c>
      <c r="BS120" s="103">
        <f t="shared" ref="BS120:BS124" si="453">BS119</f>
        <v>0</v>
      </c>
      <c r="BT120" s="46">
        <f t="shared" si="332"/>
        <v>1160</v>
      </c>
      <c r="BU120" s="12">
        <f t="shared" si="269"/>
        <v>86</v>
      </c>
      <c r="BV120" s="103">
        <f t="shared" ref="BV120:BV124" si="454">BV119</f>
        <v>0</v>
      </c>
      <c r="BW120" s="46">
        <f t="shared" si="308"/>
        <v>86</v>
      </c>
      <c r="BX120" s="781"/>
      <c r="BY120" s="773">
        <f t="shared" ref="BY120:BY123" si="455">BY119+1</f>
        <v>30</v>
      </c>
      <c r="BZ120" s="774">
        <f t="shared" ref="BZ120:BZ124" si="456">BZ119</f>
        <v>16</v>
      </c>
      <c r="CA120" s="775">
        <v>409</v>
      </c>
      <c r="CB120" s="14">
        <f>IFERROR(CC119-CA120,0)</f>
        <v>3616</v>
      </c>
      <c r="CC120" s="62">
        <f t="shared" si="313"/>
        <v>3616</v>
      </c>
      <c r="CD120" s="405"/>
      <c r="CE120" s="406"/>
      <c r="CF120" s="406"/>
      <c r="CG120" s="13">
        <f t="shared" si="314"/>
        <v>0</v>
      </c>
      <c r="CH120" s="14">
        <f t="shared" si="309"/>
        <v>1048</v>
      </c>
      <c r="CI120" s="14">
        <f t="shared" si="392"/>
        <v>0.16</v>
      </c>
      <c r="CJ120" s="47">
        <f t="shared" si="303"/>
        <v>0</v>
      </c>
      <c r="CK120" s="35">
        <f t="shared" si="393"/>
        <v>4.160000000000001</v>
      </c>
      <c r="CL120" s="156">
        <f t="shared" si="424"/>
        <v>2.0169749225350757</v>
      </c>
      <c r="CM120" s="134"/>
      <c r="CN120" s="14">
        <f t="shared" si="394"/>
        <v>71</v>
      </c>
      <c r="CO120" s="442">
        <f t="shared" si="395"/>
        <v>0</v>
      </c>
      <c r="CP120" s="68">
        <f t="shared" si="296"/>
        <v>3996.0602157057042</v>
      </c>
      <c r="CQ120" s="51">
        <f t="shared" si="396"/>
        <v>1160</v>
      </c>
      <c r="CR120" s="103">
        <f t="shared" ref="CR120:CR124" si="457">CR119</f>
        <v>0</v>
      </c>
      <c r="CS120" s="46">
        <f t="shared" si="333"/>
        <v>1160</v>
      </c>
      <c r="CT120" s="50">
        <f t="shared" si="397"/>
        <v>86</v>
      </c>
      <c r="CU120" s="103">
        <f t="shared" ref="CU120:CU124" si="458">CU119</f>
        <v>0</v>
      </c>
      <c r="CV120" s="46">
        <f t="shared" si="299"/>
        <v>86</v>
      </c>
    </row>
    <row r="121" spans="1:100" ht="17.25" thickBot="1" x14ac:dyDescent="0.3">
      <c r="B121" s="120">
        <f t="shared" si="443"/>
        <v>30</v>
      </c>
      <c r="C121" s="7">
        <f t="shared" si="444"/>
        <v>16</v>
      </c>
      <c r="D121" s="133"/>
      <c r="E121" s="48">
        <f t="shared" si="421"/>
        <v>0</v>
      </c>
      <c r="F121" s="49">
        <f t="shared" si="422"/>
        <v>0</v>
      </c>
      <c r="G121" s="142"/>
      <c r="H121" s="135"/>
      <c r="I121" s="135"/>
      <c r="J121" s="13">
        <f t="shared" si="310"/>
        <v>0</v>
      </c>
      <c r="K121" s="14">
        <f t="shared" si="305"/>
        <v>9358</v>
      </c>
      <c r="L121" s="14">
        <f t="shared" si="387"/>
        <v>0.16</v>
      </c>
      <c r="M121" s="230">
        <f t="shared" si="277"/>
        <v>0</v>
      </c>
      <c r="N121" s="35">
        <f t="shared" si="388"/>
        <v>4.160000000000001</v>
      </c>
      <c r="O121" s="157">
        <f t="shared" si="300"/>
        <v>0</v>
      </c>
      <c r="P121" s="134"/>
      <c r="Q121" s="14">
        <f t="shared" si="389"/>
        <v>71</v>
      </c>
      <c r="R121" s="482">
        <f t="shared" si="278"/>
        <v>0</v>
      </c>
      <c r="S121" s="470">
        <f t="shared" si="306"/>
        <v>0</v>
      </c>
      <c r="T121" s="51">
        <f t="shared" si="390"/>
        <v>1160</v>
      </c>
      <c r="U121" s="103">
        <f t="shared" si="445"/>
        <v>0</v>
      </c>
      <c r="V121" s="46">
        <f t="shared" si="280"/>
        <v>1160</v>
      </c>
      <c r="W121" s="51">
        <f t="shared" si="391"/>
        <v>86</v>
      </c>
      <c r="X121" s="103">
        <f t="shared" si="446"/>
        <v>0</v>
      </c>
      <c r="Y121" s="46">
        <f t="shared" si="282"/>
        <v>86</v>
      </c>
      <c r="Z121" s="487"/>
      <c r="AA121" s="120">
        <f t="shared" si="447"/>
        <v>30</v>
      </c>
      <c r="AB121" s="7">
        <f t="shared" si="448"/>
        <v>16</v>
      </c>
      <c r="AC121" s="133"/>
      <c r="AD121" s="48">
        <f t="shared" si="352"/>
        <v>0</v>
      </c>
      <c r="AE121" s="196">
        <f t="shared" si="441"/>
        <v>0</v>
      </c>
      <c r="AF121" s="134"/>
      <c r="AG121" s="135"/>
      <c r="AH121" s="135"/>
      <c r="AI121" s="13">
        <f t="shared" si="405"/>
        <v>0</v>
      </c>
      <c r="AJ121" s="14">
        <f t="shared" si="416"/>
        <v>1004</v>
      </c>
      <c r="AK121" s="14">
        <f t="shared" si="260"/>
        <v>0.16</v>
      </c>
      <c r="AL121" s="230">
        <f t="shared" si="285"/>
        <v>0</v>
      </c>
      <c r="AM121" s="35">
        <f t="shared" si="261"/>
        <v>4.160000000000001</v>
      </c>
      <c r="AN121" s="156">
        <f t="shared" si="423"/>
        <v>1.6618664547952462</v>
      </c>
      <c r="AO121" s="134"/>
      <c r="AP121" s="14">
        <f t="shared" si="262"/>
        <v>71</v>
      </c>
      <c r="AQ121" s="482">
        <f t="shared" si="286"/>
        <v>0</v>
      </c>
      <c r="AR121" s="470">
        <f t="shared" si="353"/>
        <v>2768.0226307597868</v>
      </c>
      <c r="AS121" s="51">
        <f t="shared" si="263"/>
        <v>1160</v>
      </c>
      <c r="AT121" s="103">
        <f t="shared" si="449"/>
        <v>0</v>
      </c>
      <c r="AU121" s="46">
        <f t="shared" si="331"/>
        <v>1160</v>
      </c>
      <c r="AV121" s="51">
        <f t="shared" si="264"/>
        <v>86</v>
      </c>
      <c r="AW121" s="103">
        <f t="shared" si="450"/>
        <v>0</v>
      </c>
      <c r="AX121" s="46">
        <f t="shared" si="307"/>
        <v>86</v>
      </c>
      <c r="AZ121" s="120">
        <f t="shared" si="451"/>
        <v>31</v>
      </c>
      <c r="BA121" s="7">
        <f t="shared" si="452"/>
        <v>16</v>
      </c>
      <c r="BB121" s="133"/>
      <c r="BC121" s="48">
        <f t="shared" si="400"/>
        <v>0</v>
      </c>
      <c r="BD121" s="196">
        <f t="shared" si="442"/>
        <v>0</v>
      </c>
      <c r="BE121" s="134"/>
      <c r="BF121" s="135"/>
      <c r="BG121" s="135"/>
      <c r="BH121" s="13">
        <f t="shared" si="409"/>
        <v>0</v>
      </c>
      <c r="BI121" s="14">
        <f t="shared" si="418"/>
        <v>1669</v>
      </c>
      <c r="BJ121" s="14">
        <f t="shared" si="265"/>
        <v>0.16</v>
      </c>
      <c r="BK121" s="47">
        <f t="shared" si="301"/>
        <v>0</v>
      </c>
      <c r="BL121" s="35">
        <f t="shared" si="266"/>
        <v>4.160000000000001</v>
      </c>
      <c r="BM121" s="435">
        <f t="shared" si="370"/>
        <v>2.4165291170764198</v>
      </c>
      <c r="BN121" s="134"/>
      <c r="BO121" s="14">
        <f t="shared" si="267"/>
        <v>71</v>
      </c>
      <c r="BP121" s="442">
        <f t="shared" si="302"/>
        <v>0</v>
      </c>
      <c r="BQ121" s="68">
        <f t="shared" si="304"/>
        <v>3515.4329427280113</v>
      </c>
      <c r="BR121" s="51">
        <f t="shared" si="268"/>
        <v>1160</v>
      </c>
      <c r="BS121" s="103">
        <f t="shared" si="453"/>
        <v>0</v>
      </c>
      <c r="BT121" s="46">
        <f t="shared" si="332"/>
        <v>1160</v>
      </c>
      <c r="BU121" s="51">
        <f t="shared" si="269"/>
        <v>86</v>
      </c>
      <c r="BV121" s="103">
        <f t="shared" si="454"/>
        <v>0</v>
      </c>
      <c r="BW121" s="46">
        <f t="shared" si="308"/>
        <v>86</v>
      </c>
      <c r="BY121" s="120">
        <f t="shared" si="455"/>
        <v>31</v>
      </c>
      <c r="BZ121" s="7">
        <f t="shared" si="456"/>
        <v>16</v>
      </c>
      <c r="CA121" s="133"/>
      <c r="CB121" s="784">
        <f t="shared" si="295"/>
        <v>3616</v>
      </c>
      <c r="CC121" s="59">
        <f t="shared" si="313"/>
        <v>0</v>
      </c>
      <c r="CD121" s="405"/>
      <c r="CE121" s="783">
        <v>3616</v>
      </c>
      <c r="CF121" s="406"/>
      <c r="CG121" s="13">
        <f t="shared" si="314"/>
        <v>3616</v>
      </c>
      <c r="CH121" s="14">
        <f t="shared" si="309"/>
        <v>4664</v>
      </c>
      <c r="CI121" s="14">
        <f t="shared" si="392"/>
        <v>0.16</v>
      </c>
      <c r="CJ121" s="47">
        <f t="shared" si="303"/>
        <v>1000</v>
      </c>
      <c r="CK121" s="35">
        <f t="shared" si="393"/>
        <v>4.160000000000001</v>
      </c>
      <c r="CL121" s="156">
        <f t="shared" si="424"/>
        <v>8.9763082430377796</v>
      </c>
      <c r="CM121" s="134"/>
      <c r="CN121" s="14">
        <f t="shared" si="394"/>
        <v>71</v>
      </c>
      <c r="CO121" s="442">
        <f t="shared" si="395"/>
        <v>0</v>
      </c>
      <c r="CP121" s="68">
        <f t="shared" si="296"/>
        <v>3996.0602157057042</v>
      </c>
      <c r="CQ121" s="51">
        <f t="shared" si="396"/>
        <v>1160</v>
      </c>
      <c r="CR121" s="103">
        <f t="shared" si="457"/>
        <v>0</v>
      </c>
      <c r="CS121" s="46">
        <f t="shared" si="333"/>
        <v>1160</v>
      </c>
      <c r="CT121" s="51">
        <f t="shared" si="397"/>
        <v>86</v>
      </c>
      <c r="CU121" s="103">
        <f t="shared" si="458"/>
        <v>0</v>
      </c>
      <c r="CV121" s="46">
        <f t="shared" si="299"/>
        <v>86</v>
      </c>
    </row>
    <row r="122" spans="1:100" ht="17.25" thickBot="1" x14ac:dyDescent="0.3">
      <c r="B122" s="120">
        <f t="shared" si="443"/>
        <v>31</v>
      </c>
      <c r="C122" s="7">
        <f t="shared" si="444"/>
        <v>16</v>
      </c>
      <c r="D122" s="133"/>
      <c r="E122" s="48">
        <f t="shared" si="421"/>
        <v>0</v>
      </c>
      <c r="F122" s="49">
        <f t="shared" si="422"/>
        <v>0</v>
      </c>
      <c r="G122" s="142"/>
      <c r="H122" s="135"/>
      <c r="I122" s="135"/>
      <c r="J122" s="13">
        <f t="shared" si="310"/>
        <v>0</v>
      </c>
      <c r="K122" s="14">
        <f t="shared" si="305"/>
        <v>9358</v>
      </c>
      <c r="L122" s="14">
        <f t="shared" si="387"/>
        <v>0.16</v>
      </c>
      <c r="M122" s="47">
        <f t="shared" si="277"/>
        <v>0</v>
      </c>
      <c r="N122" s="35">
        <f t="shared" si="388"/>
        <v>4.160000000000001</v>
      </c>
      <c r="O122" s="157">
        <f t="shared" si="300"/>
        <v>0</v>
      </c>
      <c r="P122" s="134"/>
      <c r="Q122" s="14">
        <f t="shared" si="389"/>
        <v>71</v>
      </c>
      <c r="R122" s="482">
        <f t="shared" si="278"/>
        <v>0</v>
      </c>
      <c r="S122" s="470">
        <f t="shared" si="306"/>
        <v>0</v>
      </c>
      <c r="T122" s="51">
        <f t="shared" si="390"/>
        <v>1160</v>
      </c>
      <c r="U122" s="103">
        <f t="shared" si="445"/>
        <v>0</v>
      </c>
      <c r="V122" s="46">
        <f t="shared" si="280"/>
        <v>1160</v>
      </c>
      <c r="W122" s="51">
        <f t="shared" si="391"/>
        <v>86</v>
      </c>
      <c r="X122" s="103">
        <f t="shared" si="446"/>
        <v>0</v>
      </c>
      <c r="Y122" s="46">
        <f t="shared" si="282"/>
        <v>86</v>
      </c>
      <c r="Z122" s="487"/>
      <c r="AA122" s="120">
        <f t="shared" si="447"/>
        <v>31</v>
      </c>
      <c r="AB122" s="7">
        <f t="shared" si="448"/>
        <v>16</v>
      </c>
      <c r="AC122" s="133"/>
      <c r="AD122" s="48">
        <f t="shared" si="352"/>
        <v>0</v>
      </c>
      <c r="AE122" s="49">
        <f t="shared" si="441"/>
        <v>0</v>
      </c>
      <c r="AF122" s="134"/>
      <c r="AG122" s="135"/>
      <c r="AH122" s="135"/>
      <c r="AI122" s="13">
        <f t="shared" si="405"/>
        <v>0</v>
      </c>
      <c r="AJ122" s="14">
        <f t="shared" si="416"/>
        <v>1004</v>
      </c>
      <c r="AK122" s="14">
        <f t="shared" si="260"/>
        <v>0.16</v>
      </c>
      <c r="AL122" s="47">
        <f t="shared" si="285"/>
        <v>0</v>
      </c>
      <c r="AM122" s="35">
        <f t="shared" si="261"/>
        <v>4.160000000000001</v>
      </c>
      <c r="AN122" s="156">
        <f t="shared" si="423"/>
        <v>1.6618664547952462</v>
      </c>
      <c r="AO122" s="134"/>
      <c r="AP122" s="14">
        <f t="shared" si="262"/>
        <v>71</v>
      </c>
      <c r="AQ122" s="482">
        <f t="shared" si="286"/>
        <v>0</v>
      </c>
      <c r="AR122" s="470">
        <f t="shared" si="353"/>
        <v>2768.0226307597868</v>
      </c>
      <c r="AS122" s="51">
        <f t="shared" si="263"/>
        <v>1160</v>
      </c>
      <c r="AT122" s="103">
        <f t="shared" si="449"/>
        <v>0</v>
      </c>
      <c r="AU122" s="46">
        <f t="shared" si="331"/>
        <v>1160</v>
      </c>
      <c r="AV122" s="51">
        <f t="shared" si="264"/>
        <v>86</v>
      </c>
      <c r="AW122" s="103">
        <f t="shared" si="450"/>
        <v>0</v>
      </c>
      <c r="AX122" s="46">
        <f t="shared" si="307"/>
        <v>86</v>
      </c>
      <c r="AZ122" s="646">
        <v>1</v>
      </c>
      <c r="BA122" s="647">
        <f t="shared" si="452"/>
        <v>16</v>
      </c>
      <c r="BB122" s="662"/>
      <c r="BC122" s="648">
        <f t="shared" si="400"/>
        <v>0</v>
      </c>
      <c r="BD122" s="663">
        <f t="shared" si="442"/>
        <v>0</v>
      </c>
      <c r="BE122" s="650"/>
      <c r="BF122" s="651"/>
      <c r="BG122" s="651"/>
      <c r="BH122" s="674">
        <f t="shared" si="409"/>
        <v>0</v>
      </c>
      <c r="BI122" s="652">
        <f t="shared" si="418"/>
        <v>1669</v>
      </c>
      <c r="BJ122" s="652">
        <f t="shared" si="265"/>
        <v>0.16</v>
      </c>
      <c r="BK122" s="653">
        <f t="shared" si="301"/>
        <v>0</v>
      </c>
      <c r="BL122" s="654">
        <f t="shared" si="266"/>
        <v>4.160000000000001</v>
      </c>
      <c r="BM122" s="435">
        <f t="shared" si="370"/>
        <v>2.4165291170764198</v>
      </c>
      <c r="BN122" s="650"/>
      <c r="BO122" s="652">
        <f t="shared" si="267"/>
        <v>71</v>
      </c>
      <c r="BP122" s="669">
        <f t="shared" si="302"/>
        <v>0</v>
      </c>
      <c r="BQ122" s="671">
        <f t="shared" si="304"/>
        <v>3515.4329427280113</v>
      </c>
      <c r="BR122" s="658">
        <f t="shared" si="268"/>
        <v>1160</v>
      </c>
      <c r="BS122" s="666">
        <f t="shared" si="453"/>
        <v>0</v>
      </c>
      <c r="BT122" s="660">
        <f t="shared" si="332"/>
        <v>1160</v>
      </c>
      <c r="BU122" s="658">
        <f t="shared" si="269"/>
        <v>86</v>
      </c>
      <c r="BV122" s="666">
        <f t="shared" si="454"/>
        <v>0</v>
      </c>
      <c r="BW122" s="660">
        <f t="shared" si="308"/>
        <v>86</v>
      </c>
      <c r="BY122" s="646">
        <v>1</v>
      </c>
      <c r="BZ122" s="647">
        <f t="shared" si="456"/>
        <v>16</v>
      </c>
      <c r="CA122" s="662"/>
      <c r="CB122" s="652">
        <f t="shared" si="295"/>
        <v>0</v>
      </c>
      <c r="CC122" s="660">
        <f t="shared" si="313"/>
        <v>0</v>
      </c>
      <c r="CD122" s="650"/>
      <c r="CE122" s="651"/>
      <c r="CF122" s="651"/>
      <c r="CG122" s="674">
        <f t="shared" si="314"/>
        <v>0</v>
      </c>
      <c r="CH122" s="652">
        <f t="shared" si="309"/>
        <v>4664</v>
      </c>
      <c r="CI122" s="652">
        <f t="shared" si="392"/>
        <v>0.16</v>
      </c>
      <c r="CJ122" s="653">
        <f t="shared" si="303"/>
        <v>0</v>
      </c>
      <c r="CK122" s="654">
        <f t="shared" si="393"/>
        <v>4.160000000000001</v>
      </c>
      <c r="CL122" s="156">
        <f t="shared" si="424"/>
        <v>8.9763082430377796</v>
      </c>
      <c r="CM122" s="650"/>
      <c r="CN122" s="652">
        <f t="shared" si="394"/>
        <v>71</v>
      </c>
      <c r="CO122" s="669">
        <f t="shared" si="395"/>
        <v>0</v>
      </c>
      <c r="CP122" s="671">
        <f t="shared" si="296"/>
        <v>3996.0602157057042</v>
      </c>
      <c r="CQ122" s="658">
        <f t="shared" si="396"/>
        <v>1160</v>
      </c>
      <c r="CR122" s="666">
        <f t="shared" si="457"/>
        <v>0</v>
      </c>
      <c r="CS122" s="660">
        <f t="shared" si="333"/>
        <v>1160</v>
      </c>
      <c r="CT122" s="658">
        <f t="shared" si="397"/>
        <v>86</v>
      </c>
      <c r="CU122" s="666">
        <f t="shared" si="458"/>
        <v>0</v>
      </c>
      <c r="CV122" s="660">
        <f t="shared" si="299"/>
        <v>86</v>
      </c>
    </row>
    <row r="123" spans="1:100" ht="17.25" thickBot="1" x14ac:dyDescent="0.3">
      <c r="A123" s="678" t="s">
        <v>80</v>
      </c>
      <c r="B123" s="646">
        <v>1</v>
      </c>
      <c r="C123" s="647">
        <f t="shared" si="444"/>
        <v>16</v>
      </c>
      <c r="D123" s="662"/>
      <c r="E123" s="648">
        <f t="shared" si="421"/>
        <v>0</v>
      </c>
      <c r="F123" s="663">
        <f t="shared" si="422"/>
        <v>0</v>
      </c>
      <c r="G123" s="664"/>
      <c r="H123" s="651"/>
      <c r="I123" s="651"/>
      <c r="J123" s="674">
        <f t="shared" si="310"/>
        <v>0</v>
      </c>
      <c r="K123" s="652">
        <f t="shared" si="305"/>
        <v>9358</v>
      </c>
      <c r="L123" s="652">
        <f t="shared" si="387"/>
        <v>0.16</v>
      </c>
      <c r="M123" s="676">
        <f t="shared" si="277"/>
        <v>0</v>
      </c>
      <c r="N123" s="654">
        <f t="shared" si="388"/>
        <v>4.160000000000001</v>
      </c>
      <c r="O123" s="655">
        <f t="shared" si="300"/>
        <v>0</v>
      </c>
      <c r="P123" s="650"/>
      <c r="Q123" s="652">
        <f t="shared" si="389"/>
        <v>71</v>
      </c>
      <c r="R123" s="669">
        <f t="shared" si="278"/>
        <v>0</v>
      </c>
      <c r="S123" s="657">
        <f t="shared" si="306"/>
        <v>0</v>
      </c>
      <c r="T123" s="658">
        <f t="shared" si="390"/>
        <v>1160</v>
      </c>
      <c r="U123" s="677">
        <f t="shared" si="445"/>
        <v>0</v>
      </c>
      <c r="V123" s="660">
        <f t="shared" si="280"/>
        <v>1160</v>
      </c>
      <c r="W123" s="658">
        <f t="shared" si="391"/>
        <v>86</v>
      </c>
      <c r="X123" s="666">
        <f t="shared" si="446"/>
        <v>0</v>
      </c>
      <c r="Y123" s="660">
        <f t="shared" si="282"/>
        <v>86</v>
      </c>
      <c r="Z123" s="487"/>
      <c r="AA123" s="646">
        <v>1</v>
      </c>
      <c r="AB123" s="647">
        <f t="shared" si="448"/>
        <v>16</v>
      </c>
      <c r="AC123" s="662"/>
      <c r="AD123" s="648">
        <f t="shared" si="352"/>
        <v>0</v>
      </c>
      <c r="AE123" s="675">
        <f t="shared" si="441"/>
        <v>0</v>
      </c>
      <c r="AF123" s="650"/>
      <c r="AG123" s="651"/>
      <c r="AH123" s="651"/>
      <c r="AI123" s="674">
        <f t="shared" si="405"/>
        <v>0</v>
      </c>
      <c r="AJ123" s="652">
        <f t="shared" si="416"/>
        <v>1004</v>
      </c>
      <c r="AK123" s="652">
        <f t="shared" si="260"/>
        <v>0.16</v>
      </c>
      <c r="AL123" s="676">
        <f t="shared" si="285"/>
        <v>0</v>
      </c>
      <c r="AM123" s="654">
        <f t="shared" si="261"/>
        <v>4.160000000000001</v>
      </c>
      <c r="AN123" s="156">
        <f t="shared" si="423"/>
        <v>1.6618664547952462</v>
      </c>
      <c r="AO123" s="650"/>
      <c r="AP123" s="652">
        <f t="shared" si="262"/>
        <v>71</v>
      </c>
      <c r="AQ123" s="669">
        <f t="shared" si="286"/>
        <v>0</v>
      </c>
      <c r="AR123" s="657">
        <f t="shared" si="353"/>
        <v>2768.0226307597868</v>
      </c>
      <c r="AS123" s="658">
        <f t="shared" si="263"/>
        <v>1160</v>
      </c>
      <c r="AT123" s="677">
        <f t="shared" si="449"/>
        <v>0</v>
      </c>
      <c r="AU123" s="660">
        <f t="shared" si="331"/>
        <v>1160</v>
      </c>
      <c r="AV123" s="658">
        <f t="shared" si="264"/>
        <v>86</v>
      </c>
      <c r="AW123" s="666">
        <f t="shared" si="450"/>
        <v>0</v>
      </c>
      <c r="AX123" s="660">
        <f t="shared" si="307"/>
        <v>86</v>
      </c>
      <c r="AZ123" s="120">
        <f>AZ122+1</f>
        <v>2</v>
      </c>
      <c r="BA123" s="7">
        <f t="shared" si="452"/>
        <v>16</v>
      </c>
      <c r="BB123" s="133"/>
      <c r="BC123" s="48">
        <f t="shared" si="400"/>
        <v>0</v>
      </c>
      <c r="BD123" s="447">
        <f t="shared" si="442"/>
        <v>0</v>
      </c>
      <c r="BE123" s="134"/>
      <c r="BF123" s="135"/>
      <c r="BG123" s="135"/>
      <c r="BH123" s="13">
        <f t="shared" si="409"/>
        <v>0</v>
      </c>
      <c r="BI123" s="14">
        <f t="shared" si="418"/>
        <v>1669</v>
      </c>
      <c r="BJ123" s="14">
        <f t="shared" si="265"/>
        <v>0.16</v>
      </c>
      <c r="BK123" s="47">
        <f t="shared" si="301"/>
        <v>0</v>
      </c>
      <c r="BL123" s="35">
        <f t="shared" si="266"/>
        <v>4.160000000000001</v>
      </c>
      <c r="BM123" s="435">
        <f t="shared" si="370"/>
        <v>2.4165291170764198</v>
      </c>
      <c r="BN123" s="134"/>
      <c r="BO123" s="14">
        <f t="shared" si="267"/>
        <v>71</v>
      </c>
      <c r="BP123" s="442">
        <f t="shared" si="302"/>
        <v>0</v>
      </c>
      <c r="BQ123" s="68">
        <f t="shared" si="304"/>
        <v>3515.4329427280113</v>
      </c>
      <c r="BR123" s="51">
        <f t="shared" si="268"/>
        <v>1160</v>
      </c>
      <c r="BS123" s="202">
        <f t="shared" si="453"/>
        <v>0</v>
      </c>
      <c r="BT123" s="46">
        <f t="shared" si="332"/>
        <v>1160</v>
      </c>
      <c r="BU123" s="51">
        <f t="shared" si="269"/>
        <v>86</v>
      </c>
      <c r="BV123" s="103">
        <f t="shared" si="454"/>
        <v>0</v>
      </c>
      <c r="BW123" s="46">
        <f t="shared" si="308"/>
        <v>86</v>
      </c>
      <c r="BY123" s="120">
        <f t="shared" si="455"/>
        <v>2</v>
      </c>
      <c r="BZ123" s="7">
        <f t="shared" si="456"/>
        <v>16</v>
      </c>
      <c r="CA123" s="133"/>
      <c r="CB123" s="14">
        <f t="shared" si="295"/>
        <v>0</v>
      </c>
      <c r="CC123" s="62">
        <f t="shared" si="313"/>
        <v>0</v>
      </c>
      <c r="CD123" s="405"/>
      <c r="CE123" s="406"/>
      <c r="CF123" s="406"/>
      <c r="CG123" s="13">
        <f t="shared" si="314"/>
        <v>0</v>
      </c>
      <c r="CH123" s="14">
        <f t="shared" si="309"/>
        <v>4664</v>
      </c>
      <c r="CI123" s="14">
        <f t="shared" si="392"/>
        <v>0.16</v>
      </c>
      <c r="CJ123" s="47">
        <f t="shared" si="303"/>
        <v>0</v>
      </c>
      <c r="CK123" s="35">
        <f t="shared" si="393"/>
        <v>4.160000000000001</v>
      </c>
      <c r="CL123" s="156">
        <f t="shared" si="424"/>
        <v>8.9763082430377796</v>
      </c>
      <c r="CM123" s="134"/>
      <c r="CN123" s="14">
        <f t="shared" si="394"/>
        <v>71</v>
      </c>
      <c r="CO123" s="442">
        <f t="shared" si="395"/>
        <v>0</v>
      </c>
      <c r="CP123" s="68">
        <f t="shared" si="296"/>
        <v>3996.0602157057042</v>
      </c>
      <c r="CQ123" s="51">
        <f t="shared" si="396"/>
        <v>1160</v>
      </c>
      <c r="CR123" s="103">
        <f t="shared" si="457"/>
        <v>0</v>
      </c>
      <c r="CS123" s="46">
        <f t="shared" si="333"/>
        <v>1160</v>
      </c>
      <c r="CT123" s="51">
        <f t="shared" si="397"/>
        <v>86</v>
      </c>
      <c r="CU123" s="103">
        <f t="shared" si="458"/>
        <v>0</v>
      </c>
      <c r="CV123" s="46">
        <f t="shared" si="299"/>
        <v>86</v>
      </c>
    </row>
    <row r="124" spans="1:100" ht="17.25" thickBot="1" x14ac:dyDescent="0.3">
      <c r="B124" s="120">
        <f t="shared" si="443"/>
        <v>2</v>
      </c>
      <c r="C124" s="8">
        <f t="shared" si="444"/>
        <v>16</v>
      </c>
      <c r="D124" s="136"/>
      <c r="E124" s="54">
        <f t="shared" si="421"/>
        <v>0</v>
      </c>
      <c r="F124" s="55">
        <f t="shared" si="422"/>
        <v>0</v>
      </c>
      <c r="G124" s="139"/>
      <c r="H124" s="138"/>
      <c r="I124" s="138"/>
      <c r="J124" s="32">
        <f t="shared" si="310"/>
        <v>0</v>
      </c>
      <c r="K124" s="32">
        <f t="shared" si="305"/>
        <v>9358</v>
      </c>
      <c r="L124" s="32">
        <f t="shared" si="387"/>
        <v>0.16</v>
      </c>
      <c r="M124" s="96">
        <f t="shared" si="277"/>
        <v>0</v>
      </c>
      <c r="N124" s="36">
        <f t="shared" si="388"/>
        <v>4.160000000000001</v>
      </c>
      <c r="O124" s="156">
        <f t="shared" si="300"/>
        <v>0</v>
      </c>
      <c r="P124" s="137"/>
      <c r="Q124" s="32">
        <f t="shared" si="389"/>
        <v>71</v>
      </c>
      <c r="R124" s="479">
        <f t="shared" si="278"/>
        <v>0</v>
      </c>
      <c r="S124" s="471">
        <f t="shared" si="306"/>
        <v>0</v>
      </c>
      <c r="T124" s="378">
        <f t="shared" si="390"/>
        <v>1160</v>
      </c>
      <c r="U124" s="111">
        <f t="shared" si="445"/>
        <v>0</v>
      </c>
      <c r="V124" s="53">
        <f t="shared" si="280"/>
        <v>1160</v>
      </c>
      <c r="W124" s="12">
        <f t="shared" si="391"/>
        <v>86</v>
      </c>
      <c r="X124" s="103">
        <f t="shared" si="446"/>
        <v>0</v>
      </c>
      <c r="Y124" s="63">
        <f t="shared" si="282"/>
        <v>86</v>
      </c>
      <c r="Z124" s="487"/>
      <c r="AA124" s="120">
        <f t="shared" si="447"/>
        <v>2</v>
      </c>
      <c r="AB124" s="8">
        <f t="shared" si="448"/>
        <v>16</v>
      </c>
      <c r="AC124" s="136"/>
      <c r="AD124" s="54">
        <f t="shared" si="352"/>
        <v>0</v>
      </c>
      <c r="AE124" s="55">
        <f t="shared" si="441"/>
        <v>0</v>
      </c>
      <c r="AF124" s="137"/>
      <c r="AG124" s="138"/>
      <c r="AH124" s="138"/>
      <c r="AI124" s="32">
        <f t="shared" si="405"/>
        <v>0</v>
      </c>
      <c r="AJ124" s="32">
        <f t="shared" si="416"/>
        <v>1004</v>
      </c>
      <c r="AK124" s="32">
        <f t="shared" si="260"/>
        <v>0.16</v>
      </c>
      <c r="AL124" s="96">
        <f t="shared" si="285"/>
        <v>0</v>
      </c>
      <c r="AM124" s="36">
        <f t="shared" si="261"/>
        <v>4.160000000000001</v>
      </c>
      <c r="AN124" s="156">
        <f t="shared" si="423"/>
        <v>1.6618664547952462</v>
      </c>
      <c r="AO124" s="137"/>
      <c r="AP124" s="32">
        <f t="shared" si="262"/>
        <v>71</v>
      </c>
      <c r="AQ124" s="479">
        <f t="shared" si="286"/>
        <v>0</v>
      </c>
      <c r="AR124" s="471">
        <f t="shared" si="353"/>
        <v>2768.0226307597868</v>
      </c>
      <c r="AS124" s="378">
        <f t="shared" si="263"/>
        <v>1160</v>
      </c>
      <c r="AT124" s="111">
        <f t="shared" si="449"/>
        <v>0</v>
      </c>
      <c r="AU124" s="53">
        <f t="shared" si="331"/>
        <v>1160</v>
      </c>
      <c r="AV124" s="12">
        <f t="shared" si="264"/>
        <v>86</v>
      </c>
      <c r="AW124" s="103">
        <f t="shared" si="450"/>
        <v>0</v>
      </c>
      <c r="AX124" s="63">
        <f t="shared" si="307"/>
        <v>86</v>
      </c>
      <c r="AZ124" s="120">
        <f t="shared" si="451"/>
        <v>3</v>
      </c>
      <c r="BA124" s="8">
        <f t="shared" si="452"/>
        <v>16</v>
      </c>
      <c r="BB124" s="136"/>
      <c r="BC124" s="54">
        <f t="shared" si="400"/>
        <v>0</v>
      </c>
      <c r="BD124" s="55">
        <f t="shared" si="442"/>
        <v>0</v>
      </c>
      <c r="BE124" s="137"/>
      <c r="BF124" s="138"/>
      <c r="BG124" s="138"/>
      <c r="BH124" s="32">
        <f t="shared" si="409"/>
        <v>0</v>
      </c>
      <c r="BI124" s="32">
        <f t="shared" si="418"/>
        <v>1669</v>
      </c>
      <c r="BJ124" s="32">
        <f t="shared" si="265"/>
        <v>0.16</v>
      </c>
      <c r="BK124" s="96">
        <f t="shared" si="301"/>
        <v>0</v>
      </c>
      <c r="BL124" s="36">
        <f t="shared" si="266"/>
        <v>4.160000000000001</v>
      </c>
      <c r="BM124" s="435">
        <f t="shared" si="370"/>
        <v>2.4165291170764198</v>
      </c>
      <c r="BN124" s="137"/>
      <c r="BO124" s="32">
        <f t="shared" si="267"/>
        <v>71</v>
      </c>
      <c r="BP124" s="482">
        <f t="shared" si="302"/>
        <v>0</v>
      </c>
      <c r="BQ124" s="70">
        <f t="shared" si="304"/>
        <v>3515.4329427280113</v>
      </c>
      <c r="BR124" s="378">
        <f t="shared" si="268"/>
        <v>1160</v>
      </c>
      <c r="BS124" s="111">
        <f t="shared" si="453"/>
        <v>0</v>
      </c>
      <c r="BT124" s="53">
        <f t="shared" si="332"/>
        <v>1160</v>
      </c>
      <c r="BU124" s="12">
        <f t="shared" si="269"/>
        <v>86</v>
      </c>
      <c r="BV124" s="103">
        <f t="shared" si="454"/>
        <v>0</v>
      </c>
      <c r="BW124" s="63">
        <f t="shared" si="308"/>
        <v>86</v>
      </c>
      <c r="BY124" s="197">
        <f>BY123+1</f>
        <v>3</v>
      </c>
      <c r="BZ124" s="8">
        <f t="shared" si="456"/>
        <v>16</v>
      </c>
      <c r="CA124" s="136"/>
      <c r="CB124" s="32">
        <f t="shared" si="295"/>
        <v>0</v>
      </c>
      <c r="CC124" s="53">
        <f t="shared" si="313"/>
        <v>0</v>
      </c>
      <c r="CD124" s="421"/>
      <c r="CE124" s="426"/>
      <c r="CF124" s="426"/>
      <c r="CG124" s="32">
        <f t="shared" si="314"/>
        <v>0</v>
      </c>
      <c r="CH124" s="32">
        <f t="shared" si="309"/>
        <v>4664</v>
      </c>
      <c r="CI124" s="32">
        <f t="shared" si="392"/>
        <v>0.16</v>
      </c>
      <c r="CJ124" s="96">
        <f t="shared" si="303"/>
        <v>0</v>
      </c>
      <c r="CK124" s="36">
        <f t="shared" si="393"/>
        <v>4.160000000000001</v>
      </c>
      <c r="CL124" s="156">
        <f t="shared" si="424"/>
        <v>8.9763082430377796</v>
      </c>
      <c r="CM124" s="137"/>
      <c r="CN124" s="32">
        <f t="shared" si="394"/>
        <v>71</v>
      </c>
      <c r="CO124" s="482">
        <f t="shared" si="395"/>
        <v>0</v>
      </c>
      <c r="CP124" s="70">
        <f t="shared" si="296"/>
        <v>3996.0602157057042</v>
      </c>
      <c r="CQ124" s="50">
        <f t="shared" si="396"/>
        <v>1160</v>
      </c>
      <c r="CR124" s="103">
        <f t="shared" si="457"/>
        <v>0</v>
      </c>
      <c r="CS124" s="63">
        <f t="shared" si="333"/>
        <v>1160</v>
      </c>
      <c r="CT124" s="12">
        <f t="shared" si="397"/>
        <v>86</v>
      </c>
      <c r="CU124" s="103">
        <f t="shared" si="458"/>
        <v>0</v>
      </c>
      <c r="CV124" s="63">
        <f t="shared" si="299"/>
        <v>86</v>
      </c>
    </row>
    <row r="125" spans="1:100" ht="17.25" thickBot="1" x14ac:dyDescent="0.3">
      <c r="B125" s="118">
        <v>3</v>
      </c>
      <c r="C125" s="9">
        <v>17</v>
      </c>
      <c r="D125" s="129"/>
      <c r="E125" s="43">
        <f t="shared" si="421"/>
        <v>0</v>
      </c>
      <c r="F125" s="44">
        <f t="shared" si="422"/>
        <v>0</v>
      </c>
      <c r="G125" s="158"/>
      <c r="H125" s="131"/>
      <c r="I125" s="131"/>
      <c r="J125" s="11">
        <f t="shared" si="310"/>
        <v>0</v>
      </c>
      <c r="K125" s="11">
        <f t="shared" si="305"/>
        <v>9358</v>
      </c>
      <c r="L125" s="17">
        <f t="shared" si="387"/>
        <v>0.16</v>
      </c>
      <c r="M125" s="42">
        <f t="shared" si="277"/>
        <v>0</v>
      </c>
      <c r="N125" s="33">
        <f t="shared" si="388"/>
        <v>4.3200000000000012</v>
      </c>
      <c r="O125" s="155">
        <f t="shared" si="300"/>
        <v>0</v>
      </c>
      <c r="P125" s="130"/>
      <c r="Q125" s="17">
        <f t="shared" si="389"/>
        <v>75</v>
      </c>
      <c r="R125" s="441">
        <f t="shared" si="278"/>
        <v>0</v>
      </c>
      <c r="S125" s="469">
        <f t="shared" si="306"/>
        <v>0</v>
      </c>
      <c r="T125" s="61">
        <f t="shared" si="390"/>
        <v>1207</v>
      </c>
      <c r="U125" s="131"/>
      <c r="V125" s="41">
        <f t="shared" si="280"/>
        <v>1207</v>
      </c>
      <c r="W125" s="18">
        <f t="shared" si="391"/>
        <v>86</v>
      </c>
      <c r="X125" s="131"/>
      <c r="Y125" s="41">
        <f t="shared" si="282"/>
        <v>86</v>
      </c>
      <c r="Z125" s="487"/>
      <c r="AA125" s="118">
        <v>3</v>
      </c>
      <c r="AB125" s="9">
        <v>17</v>
      </c>
      <c r="AC125" s="129"/>
      <c r="AD125" s="60">
        <f t="shared" si="352"/>
        <v>0</v>
      </c>
      <c r="AE125" s="449">
        <f t="shared" si="441"/>
        <v>0</v>
      </c>
      <c r="AF125" s="130"/>
      <c r="AG125" s="131"/>
      <c r="AH125" s="131"/>
      <c r="AI125" s="11">
        <f t="shared" si="405"/>
        <v>0</v>
      </c>
      <c r="AJ125" s="11">
        <f t="shared" si="416"/>
        <v>1004</v>
      </c>
      <c r="AK125" s="17">
        <f t="shared" si="260"/>
        <v>0.16</v>
      </c>
      <c r="AL125" s="42">
        <f t="shared" si="285"/>
        <v>0</v>
      </c>
      <c r="AM125" s="33">
        <f t="shared" si="261"/>
        <v>4.3200000000000012</v>
      </c>
      <c r="AN125" s="156">
        <f t="shared" si="423"/>
        <v>1.6618664547952462</v>
      </c>
      <c r="AO125" s="130"/>
      <c r="AP125" s="17">
        <f t="shared" si="262"/>
        <v>75</v>
      </c>
      <c r="AQ125" s="441">
        <f t="shared" si="286"/>
        <v>0</v>
      </c>
      <c r="AR125" s="469">
        <f t="shared" si="353"/>
        <v>2768.0226307597868</v>
      </c>
      <c r="AS125" s="61">
        <f t="shared" si="263"/>
        <v>1207</v>
      </c>
      <c r="AT125" s="131"/>
      <c r="AU125" s="41">
        <f t="shared" si="331"/>
        <v>1207</v>
      </c>
      <c r="AV125" s="18">
        <f t="shared" si="264"/>
        <v>86</v>
      </c>
      <c r="AW125" s="131"/>
      <c r="AX125" s="41">
        <f t="shared" si="307"/>
        <v>86</v>
      </c>
      <c r="AZ125" s="118">
        <v>4</v>
      </c>
      <c r="BA125" s="9">
        <v>17</v>
      </c>
      <c r="BB125" s="129"/>
      <c r="BC125" s="43">
        <f t="shared" si="400"/>
        <v>0</v>
      </c>
      <c r="BD125" s="449">
        <f t="shared" si="442"/>
        <v>0</v>
      </c>
      <c r="BE125" s="130"/>
      <c r="BF125" s="131"/>
      <c r="BG125" s="131"/>
      <c r="BH125" s="11">
        <f t="shared" si="409"/>
        <v>0</v>
      </c>
      <c r="BI125" s="11">
        <f t="shared" si="418"/>
        <v>1669</v>
      </c>
      <c r="BJ125" s="17">
        <f t="shared" si="265"/>
        <v>0.16</v>
      </c>
      <c r="BK125" s="235">
        <f t="shared" si="301"/>
        <v>0</v>
      </c>
      <c r="BL125" s="33">
        <f t="shared" si="266"/>
        <v>4.3200000000000012</v>
      </c>
      <c r="BM125" s="435">
        <f t="shared" si="370"/>
        <v>2.4165291170764198</v>
      </c>
      <c r="BN125" s="130"/>
      <c r="BO125" s="17">
        <f t="shared" si="267"/>
        <v>75</v>
      </c>
      <c r="BP125" s="441">
        <f t="shared" si="302"/>
        <v>0</v>
      </c>
      <c r="BQ125" s="377">
        <f t="shared" si="304"/>
        <v>3515.4329427280113</v>
      </c>
      <c r="BR125" s="61">
        <f t="shared" si="268"/>
        <v>1207</v>
      </c>
      <c r="BS125" s="131"/>
      <c r="BT125" s="41">
        <f t="shared" si="332"/>
        <v>1207</v>
      </c>
      <c r="BU125" s="18">
        <f t="shared" si="269"/>
        <v>86</v>
      </c>
      <c r="BV125" s="131"/>
      <c r="BW125" s="41">
        <f t="shared" si="308"/>
        <v>86</v>
      </c>
      <c r="BY125" s="118">
        <v>4</v>
      </c>
      <c r="BZ125" s="9">
        <v>17</v>
      </c>
      <c r="CA125" s="129"/>
      <c r="CB125" s="11">
        <f t="shared" si="295"/>
        <v>0</v>
      </c>
      <c r="CC125" s="57">
        <f t="shared" si="313"/>
        <v>0</v>
      </c>
      <c r="CD125" s="130"/>
      <c r="CE125" s="131"/>
      <c r="CF125" s="131"/>
      <c r="CG125" s="11">
        <f t="shared" si="314"/>
        <v>0</v>
      </c>
      <c r="CH125" s="11">
        <f t="shared" si="309"/>
        <v>4664</v>
      </c>
      <c r="CI125" s="17">
        <f t="shared" si="392"/>
        <v>0.16</v>
      </c>
      <c r="CJ125" s="235">
        <f t="shared" si="303"/>
        <v>0</v>
      </c>
      <c r="CK125" s="33">
        <f t="shared" si="393"/>
        <v>4.3200000000000012</v>
      </c>
      <c r="CL125" s="156">
        <f t="shared" si="424"/>
        <v>8.9763082430377796</v>
      </c>
      <c r="CM125" s="130"/>
      <c r="CN125" s="17">
        <f t="shared" si="394"/>
        <v>75</v>
      </c>
      <c r="CO125" s="441">
        <f t="shared" si="395"/>
        <v>0</v>
      </c>
      <c r="CP125" s="377">
        <f t="shared" si="296"/>
        <v>3996.0602157057042</v>
      </c>
      <c r="CQ125" s="58">
        <f t="shared" si="396"/>
        <v>1207</v>
      </c>
      <c r="CR125" s="131"/>
      <c r="CS125" s="41">
        <f t="shared" si="333"/>
        <v>1207</v>
      </c>
      <c r="CT125" s="18">
        <f t="shared" si="397"/>
        <v>86</v>
      </c>
      <c r="CU125" s="131"/>
      <c r="CV125" s="41">
        <f t="shared" si="299"/>
        <v>86</v>
      </c>
    </row>
    <row r="126" spans="1:100" ht="17.25" thickBot="1" x14ac:dyDescent="0.3">
      <c r="B126" s="120">
        <f>B125+1</f>
        <v>4</v>
      </c>
      <c r="C126" s="7">
        <f>C125</f>
        <v>17</v>
      </c>
      <c r="D126" s="133"/>
      <c r="E126" s="48">
        <f t="shared" si="421"/>
        <v>0</v>
      </c>
      <c r="F126" s="49">
        <f t="shared" si="422"/>
        <v>0</v>
      </c>
      <c r="G126" s="142"/>
      <c r="H126" s="135"/>
      <c r="I126" s="135"/>
      <c r="J126" s="31">
        <f t="shared" si="310"/>
        <v>0</v>
      </c>
      <c r="K126" s="14">
        <f t="shared" si="305"/>
        <v>9358</v>
      </c>
      <c r="L126" s="14">
        <f t="shared" si="387"/>
        <v>0.16</v>
      </c>
      <c r="M126" s="47">
        <f t="shared" si="277"/>
        <v>0</v>
      </c>
      <c r="N126" s="35">
        <f t="shared" si="388"/>
        <v>4.3200000000000012</v>
      </c>
      <c r="O126" s="157">
        <f t="shared" si="300"/>
        <v>0</v>
      </c>
      <c r="P126" s="134"/>
      <c r="Q126" s="14">
        <f t="shared" si="389"/>
        <v>75</v>
      </c>
      <c r="R126" s="480">
        <f t="shared" si="278"/>
        <v>0</v>
      </c>
      <c r="S126" s="470">
        <f t="shared" si="306"/>
        <v>0</v>
      </c>
      <c r="T126" s="51">
        <f t="shared" si="390"/>
        <v>1207</v>
      </c>
      <c r="U126" s="103">
        <f>U125</f>
        <v>0</v>
      </c>
      <c r="V126" s="46">
        <f t="shared" si="280"/>
        <v>1207</v>
      </c>
      <c r="W126" s="51">
        <f t="shared" si="391"/>
        <v>86</v>
      </c>
      <c r="X126" s="103">
        <f>X125</f>
        <v>0</v>
      </c>
      <c r="Y126" s="46">
        <f t="shared" si="282"/>
        <v>86</v>
      </c>
      <c r="Z126" s="487"/>
      <c r="AA126" s="120">
        <f>AA125+1</f>
        <v>4</v>
      </c>
      <c r="AB126" s="7">
        <f>AB125</f>
        <v>17</v>
      </c>
      <c r="AC126" s="133"/>
      <c r="AD126" s="48">
        <f t="shared" si="352"/>
        <v>0</v>
      </c>
      <c r="AE126" s="196">
        <f t="shared" si="441"/>
        <v>0</v>
      </c>
      <c r="AF126" s="134"/>
      <c r="AG126" s="135"/>
      <c r="AH126" s="135"/>
      <c r="AI126" s="31">
        <f t="shared" si="405"/>
        <v>0</v>
      </c>
      <c r="AJ126" s="14">
        <f t="shared" si="416"/>
        <v>1004</v>
      </c>
      <c r="AK126" s="14">
        <f t="shared" si="260"/>
        <v>0.16</v>
      </c>
      <c r="AL126" s="47">
        <f t="shared" si="285"/>
        <v>0</v>
      </c>
      <c r="AM126" s="35">
        <f t="shared" si="261"/>
        <v>4.3200000000000012</v>
      </c>
      <c r="AN126" s="156">
        <f t="shared" si="423"/>
        <v>1.6618664547952462</v>
      </c>
      <c r="AO126" s="134"/>
      <c r="AP126" s="14">
        <f t="shared" si="262"/>
        <v>75</v>
      </c>
      <c r="AQ126" s="480">
        <f t="shared" si="286"/>
        <v>0</v>
      </c>
      <c r="AR126" s="470">
        <f t="shared" si="353"/>
        <v>2768.0226307597868</v>
      </c>
      <c r="AS126" s="51">
        <f t="shared" si="263"/>
        <v>1207</v>
      </c>
      <c r="AT126" s="103">
        <f>AT125</f>
        <v>0</v>
      </c>
      <c r="AU126" s="46">
        <f t="shared" si="331"/>
        <v>1207</v>
      </c>
      <c r="AV126" s="51">
        <f t="shared" si="264"/>
        <v>86</v>
      </c>
      <c r="AW126" s="103">
        <f>AW125</f>
        <v>0</v>
      </c>
      <c r="AX126" s="46">
        <f t="shared" si="307"/>
        <v>86</v>
      </c>
      <c r="AZ126" s="120">
        <f>AZ125+1</f>
        <v>5</v>
      </c>
      <c r="BA126" s="7">
        <f>BA125</f>
        <v>17</v>
      </c>
      <c r="BB126" s="133"/>
      <c r="BC126" s="48">
        <f t="shared" si="400"/>
        <v>0</v>
      </c>
      <c r="BD126" s="196">
        <f t="shared" si="442"/>
        <v>0</v>
      </c>
      <c r="BE126" s="134"/>
      <c r="BF126" s="135"/>
      <c r="BG126" s="135"/>
      <c r="BH126" s="31">
        <f t="shared" si="409"/>
        <v>0</v>
      </c>
      <c r="BI126" s="14">
        <f t="shared" si="418"/>
        <v>1669</v>
      </c>
      <c r="BJ126" s="14">
        <f t="shared" si="265"/>
        <v>0.16</v>
      </c>
      <c r="BK126" s="47">
        <f t="shared" si="301"/>
        <v>0</v>
      </c>
      <c r="BL126" s="35">
        <f t="shared" si="266"/>
        <v>4.3200000000000012</v>
      </c>
      <c r="BM126" s="435">
        <f t="shared" si="370"/>
        <v>2.4165291170764198</v>
      </c>
      <c r="BN126" s="134"/>
      <c r="BO126" s="14">
        <f t="shared" si="267"/>
        <v>75</v>
      </c>
      <c r="BP126" s="442">
        <f t="shared" si="302"/>
        <v>0</v>
      </c>
      <c r="BQ126" s="68">
        <f t="shared" si="304"/>
        <v>3515.4329427280113</v>
      </c>
      <c r="BR126" s="51">
        <f t="shared" si="268"/>
        <v>1207</v>
      </c>
      <c r="BS126" s="103">
        <f>BS125</f>
        <v>0</v>
      </c>
      <c r="BT126" s="46">
        <f t="shared" si="332"/>
        <v>1207</v>
      </c>
      <c r="BU126" s="51">
        <f t="shared" si="269"/>
        <v>86</v>
      </c>
      <c r="BV126" s="103">
        <f>BV125</f>
        <v>0</v>
      </c>
      <c r="BW126" s="46">
        <f t="shared" si="308"/>
        <v>86</v>
      </c>
      <c r="BY126" s="120">
        <f>BY125+1</f>
        <v>5</v>
      </c>
      <c r="BZ126" s="7">
        <f>BZ125</f>
        <v>17</v>
      </c>
      <c r="CA126" s="133"/>
      <c r="CB126" s="14">
        <f t="shared" si="295"/>
        <v>0</v>
      </c>
      <c r="CC126" s="59">
        <f t="shared" si="313"/>
        <v>0</v>
      </c>
      <c r="CD126" s="134"/>
      <c r="CE126" s="135"/>
      <c r="CF126" s="135"/>
      <c r="CG126" s="31">
        <f t="shared" si="314"/>
        <v>0</v>
      </c>
      <c r="CH126" s="14">
        <f t="shared" si="309"/>
        <v>4664</v>
      </c>
      <c r="CI126" s="14">
        <f t="shared" si="392"/>
        <v>0.16</v>
      </c>
      <c r="CJ126" s="47">
        <f t="shared" si="303"/>
        <v>0</v>
      </c>
      <c r="CK126" s="35">
        <f t="shared" si="393"/>
        <v>4.3200000000000012</v>
      </c>
      <c r="CL126" s="156">
        <f t="shared" si="424"/>
        <v>8.9763082430377796</v>
      </c>
      <c r="CM126" s="134"/>
      <c r="CN126" s="14">
        <f t="shared" si="394"/>
        <v>75</v>
      </c>
      <c r="CO126" s="442">
        <f t="shared" si="395"/>
        <v>0</v>
      </c>
      <c r="CP126" s="68">
        <f t="shared" si="296"/>
        <v>3996.0602157057042</v>
      </c>
      <c r="CQ126" s="51">
        <f t="shared" si="396"/>
        <v>1207</v>
      </c>
      <c r="CR126" s="103">
        <f>CR125</f>
        <v>0</v>
      </c>
      <c r="CS126" s="104">
        <f t="shared" si="333"/>
        <v>1207</v>
      </c>
      <c r="CT126" s="50">
        <f t="shared" si="397"/>
        <v>86</v>
      </c>
      <c r="CU126" s="103">
        <f>CU125</f>
        <v>0</v>
      </c>
      <c r="CV126" s="46">
        <f t="shared" si="299"/>
        <v>86</v>
      </c>
    </row>
    <row r="127" spans="1:100" ht="17.25" thickBot="1" x14ac:dyDescent="0.3">
      <c r="B127" s="120">
        <f>B126+1</f>
        <v>5</v>
      </c>
      <c r="C127" s="7">
        <f t="shared" ref="C127:C131" si="459">C126</f>
        <v>17</v>
      </c>
      <c r="D127" s="133"/>
      <c r="E127" s="48">
        <f t="shared" si="421"/>
        <v>0</v>
      </c>
      <c r="F127" s="49">
        <f t="shared" si="422"/>
        <v>0</v>
      </c>
      <c r="G127" s="142"/>
      <c r="H127" s="135"/>
      <c r="I127" s="135"/>
      <c r="J127" s="13">
        <f t="shared" si="310"/>
        <v>0</v>
      </c>
      <c r="K127" s="14">
        <f t="shared" si="305"/>
        <v>9358</v>
      </c>
      <c r="L127" s="14">
        <f t="shared" si="387"/>
        <v>0.16</v>
      </c>
      <c r="M127" s="231">
        <f t="shared" si="277"/>
        <v>0</v>
      </c>
      <c r="N127" s="35">
        <f t="shared" si="388"/>
        <v>4.3200000000000012</v>
      </c>
      <c r="O127" s="157">
        <f t="shared" si="300"/>
        <v>0</v>
      </c>
      <c r="P127" s="134"/>
      <c r="Q127" s="14">
        <f t="shared" si="389"/>
        <v>75</v>
      </c>
      <c r="R127" s="482">
        <f t="shared" si="278"/>
        <v>0</v>
      </c>
      <c r="S127" s="470">
        <f t="shared" si="306"/>
        <v>0</v>
      </c>
      <c r="T127" s="51">
        <f t="shared" si="390"/>
        <v>1207</v>
      </c>
      <c r="U127" s="103">
        <f t="shared" ref="U127:U131" si="460">U126</f>
        <v>0</v>
      </c>
      <c r="V127" s="46">
        <f t="shared" si="280"/>
        <v>1207</v>
      </c>
      <c r="W127" s="51">
        <f t="shared" si="391"/>
        <v>86</v>
      </c>
      <c r="X127" s="103">
        <f t="shared" ref="X127:X131" si="461">X126</f>
        <v>0</v>
      </c>
      <c r="Y127" s="46">
        <f t="shared" si="282"/>
        <v>86</v>
      </c>
      <c r="Z127" s="487"/>
      <c r="AA127" s="120">
        <f>AA126+1</f>
        <v>5</v>
      </c>
      <c r="AB127" s="7">
        <f t="shared" ref="AB127:AB131" si="462">AB126</f>
        <v>17</v>
      </c>
      <c r="AC127" s="133"/>
      <c r="AD127" s="48">
        <f t="shared" si="352"/>
        <v>0</v>
      </c>
      <c r="AE127" s="196">
        <f t="shared" si="441"/>
        <v>0</v>
      </c>
      <c r="AF127" s="134"/>
      <c r="AG127" s="135"/>
      <c r="AH127" s="135"/>
      <c r="AI127" s="13">
        <f t="shared" si="405"/>
        <v>0</v>
      </c>
      <c r="AJ127" s="14">
        <f t="shared" si="416"/>
        <v>1004</v>
      </c>
      <c r="AK127" s="14">
        <f t="shared" si="260"/>
        <v>0.16</v>
      </c>
      <c r="AL127" s="231">
        <f t="shared" si="285"/>
        <v>0</v>
      </c>
      <c r="AM127" s="35">
        <f t="shared" si="261"/>
        <v>4.3200000000000012</v>
      </c>
      <c r="AN127" s="156">
        <f t="shared" si="423"/>
        <v>1.6618664547952462</v>
      </c>
      <c r="AO127" s="134"/>
      <c r="AP127" s="14">
        <f t="shared" si="262"/>
        <v>75</v>
      </c>
      <c r="AQ127" s="482">
        <f t="shared" si="286"/>
        <v>0</v>
      </c>
      <c r="AR127" s="470">
        <f t="shared" si="353"/>
        <v>2768.0226307597868</v>
      </c>
      <c r="AS127" s="51">
        <f t="shared" si="263"/>
        <v>1207</v>
      </c>
      <c r="AT127" s="103">
        <f t="shared" ref="AT127:AT131" si="463">AT126</f>
        <v>0</v>
      </c>
      <c r="AU127" s="46">
        <f t="shared" si="331"/>
        <v>1207</v>
      </c>
      <c r="AV127" s="51">
        <f t="shared" si="264"/>
        <v>86</v>
      </c>
      <c r="AW127" s="103">
        <f t="shared" ref="AW127:AW131" si="464">AW126</f>
        <v>0</v>
      </c>
      <c r="AX127" s="46">
        <f t="shared" si="307"/>
        <v>86</v>
      </c>
      <c r="AZ127" s="120">
        <f>AZ126+1</f>
        <v>6</v>
      </c>
      <c r="BA127" s="7">
        <f t="shared" ref="BA127:BA131" si="465">BA126</f>
        <v>17</v>
      </c>
      <c r="BB127" s="133"/>
      <c r="BC127" s="48">
        <f t="shared" si="400"/>
        <v>0</v>
      </c>
      <c r="BD127" s="196">
        <f t="shared" si="442"/>
        <v>0</v>
      </c>
      <c r="BE127" s="134"/>
      <c r="BF127" s="135"/>
      <c r="BG127" s="135"/>
      <c r="BH127" s="13">
        <f t="shared" si="409"/>
        <v>0</v>
      </c>
      <c r="BI127" s="14">
        <f t="shared" si="418"/>
        <v>1669</v>
      </c>
      <c r="BJ127" s="14">
        <f t="shared" si="265"/>
        <v>0.16</v>
      </c>
      <c r="BK127" s="47">
        <f t="shared" si="301"/>
        <v>0</v>
      </c>
      <c r="BL127" s="35">
        <f t="shared" si="266"/>
        <v>4.3200000000000012</v>
      </c>
      <c r="BM127" s="435">
        <f t="shared" si="370"/>
        <v>2.4165291170764198</v>
      </c>
      <c r="BN127" s="134"/>
      <c r="BO127" s="14">
        <f t="shared" si="267"/>
        <v>75</v>
      </c>
      <c r="BP127" s="442">
        <f t="shared" si="302"/>
        <v>0</v>
      </c>
      <c r="BQ127" s="68">
        <f t="shared" si="304"/>
        <v>3515.4329427280113</v>
      </c>
      <c r="BR127" s="51">
        <f t="shared" si="268"/>
        <v>1207</v>
      </c>
      <c r="BS127" s="103">
        <f t="shared" ref="BS127:BS131" si="466">BS126</f>
        <v>0</v>
      </c>
      <c r="BT127" s="46">
        <f t="shared" si="332"/>
        <v>1207</v>
      </c>
      <c r="BU127" s="51">
        <f t="shared" si="269"/>
        <v>86</v>
      </c>
      <c r="BV127" s="103">
        <f t="shared" ref="BV127:BV131" si="467">BV126</f>
        <v>0</v>
      </c>
      <c r="BW127" s="46">
        <f t="shared" si="308"/>
        <v>86</v>
      </c>
      <c r="BY127" s="120">
        <f t="shared" ref="BY127:BY130" si="468">BY126+1</f>
        <v>6</v>
      </c>
      <c r="BZ127" s="7">
        <f t="shared" ref="BZ127:BZ131" si="469">BZ126</f>
        <v>17</v>
      </c>
      <c r="CA127" s="133"/>
      <c r="CB127" s="14">
        <f t="shared" si="295"/>
        <v>0</v>
      </c>
      <c r="CC127" s="59">
        <f t="shared" si="313"/>
        <v>0</v>
      </c>
      <c r="CD127" s="134"/>
      <c r="CE127" s="135"/>
      <c r="CF127" s="135"/>
      <c r="CG127" s="13">
        <f t="shared" si="314"/>
        <v>0</v>
      </c>
      <c r="CH127" s="14">
        <f t="shared" si="309"/>
        <v>4664</v>
      </c>
      <c r="CI127" s="14">
        <f t="shared" si="392"/>
        <v>0.16</v>
      </c>
      <c r="CJ127" s="47">
        <f t="shared" si="303"/>
        <v>0</v>
      </c>
      <c r="CK127" s="35">
        <f t="shared" si="393"/>
        <v>4.3200000000000012</v>
      </c>
      <c r="CL127" s="156">
        <f t="shared" si="424"/>
        <v>8.9763082430377796</v>
      </c>
      <c r="CM127" s="134"/>
      <c r="CN127" s="14">
        <f t="shared" si="394"/>
        <v>75</v>
      </c>
      <c r="CO127" s="442">
        <f t="shared" si="395"/>
        <v>0</v>
      </c>
      <c r="CP127" s="68">
        <f t="shared" si="296"/>
        <v>3996.0602157057042</v>
      </c>
      <c r="CQ127" s="51">
        <f t="shared" si="396"/>
        <v>1207</v>
      </c>
      <c r="CR127" s="103">
        <f t="shared" ref="CR127:CR131" si="470">CR126</f>
        <v>0</v>
      </c>
      <c r="CS127" s="104">
        <f t="shared" si="333"/>
        <v>1207</v>
      </c>
      <c r="CT127" s="50">
        <f t="shared" si="397"/>
        <v>86</v>
      </c>
      <c r="CU127" s="103">
        <f t="shared" ref="CU127:CU131" si="471">CU126</f>
        <v>0</v>
      </c>
      <c r="CV127" s="46">
        <f t="shared" si="299"/>
        <v>86</v>
      </c>
    </row>
    <row r="128" spans="1:100" ht="17.25" thickBot="1" x14ac:dyDescent="0.3">
      <c r="B128" s="120">
        <f t="shared" ref="B128:B131" si="472">B127+1</f>
        <v>6</v>
      </c>
      <c r="C128" s="7">
        <f t="shared" si="459"/>
        <v>17</v>
      </c>
      <c r="D128" s="133"/>
      <c r="E128" s="48">
        <f t="shared" si="421"/>
        <v>0</v>
      </c>
      <c r="F128" s="49">
        <f t="shared" si="422"/>
        <v>0</v>
      </c>
      <c r="G128" s="142"/>
      <c r="H128" s="135"/>
      <c r="I128" s="135"/>
      <c r="J128" s="14">
        <f t="shared" si="310"/>
        <v>0</v>
      </c>
      <c r="K128" s="14">
        <f t="shared" si="305"/>
        <v>9358</v>
      </c>
      <c r="L128" s="14">
        <f t="shared" si="387"/>
        <v>0.16</v>
      </c>
      <c r="M128" s="47">
        <f t="shared" si="277"/>
        <v>0</v>
      </c>
      <c r="N128" s="35">
        <f t="shared" si="388"/>
        <v>4.3200000000000012</v>
      </c>
      <c r="O128" s="157">
        <f t="shared" si="300"/>
        <v>0</v>
      </c>
      <c r="P128" s="134"/>
      <c r="Q128" s="14">
        <f t="shared" si="389"/>
        <v>75</v>
      </c>
      <c r="R128" s="482">
        <f t="shared" si="278"/>
        <v>0</v>
      </c>
      <c r="S128" s="470">
        <f t="shared" si="306"/>
        <v>0</v>
      </c>
      <c r="T128" s="51">
        <f t="shared" si="390"/>
        <v>1207</v>
      </c>
      <c r="U128" s="103">
        <f t="shared" si="460"/>
        <v>0</v>
      </c>
      <c r="V128" s="46">
        <f t="shared" si="280"/>
        <v>1207</v>
      </c>
      <c r="W128" s="51">
        <f t="shared" si="391"/>
        <v>86</v>
      </c>
      <c r="X128" s="103">
        <f t="shared" si="461"/>
        <v>0</v>
      </c>
      <c r="Y128" s="46">
        <f t="shared" si="282"/>
        <v>86</v>
      </c>
      <c r="Z128" s="487"/>
      <c r="AA128" s="120">
        <f t="shared" ref="AA128:AA131" si="473">AA127+1</f>
        <v>6</v>
      </c>
      <c r="AB128" s="7">
        <f t="shared" si="462"/>
        <v>17</v>
      </c>
      <c r="AC128" s="133"/>
      <c r="AD128" s="48">
        <f t="shared" si="352"/>
        <v>0</v>
      </c>
      <c r="AE128" s="196">
        <f t="shared" si="441"/>
        <v>0</v>
      </c>
      <c r="AF128" s="134"/>
      <c r="AG128" s="135"/>
      <c r="AH128" s="135"/>
      <c r="AI128" s="14">
        <f t="shared" si="405"/>
        <v>0</v>
      </c>
      <c r="AJ128" s="14">
        <f t="shared" si="416"/>
        <v>1004</v>
      </c>
      <c r="AK128" s="14">
        <f t="shared" si="260"/>
        <v>0.16</v>
      </c>
      <c r="AL128" s="47">
        <f t="shared" si="285"/>
        <v>0</v>
      </c>
      <c r="AM128" s="35">
        <f t="shared" si="261"/>
        <v>4.3200000000000012</v>
      </c>
      <c r="AN128" s="156">
        <f t="shared" si="423"/>
        <v>1.6618664547952462</v>
      </c>
      <c r="AO128" s="134"/>
      <c r="AP128" s="14">
        <f t="shared" si="262"/>
        <v>75</v>
      </c>
      <c r="AQ128" s="482">
        <f t="shared" si="286"/>
        <v>0</v>
      </c>
      <c r="AR128" s="470">
        <f t="shared" si="353"/>
        <v>2768.0226307597868</v>
      </c>
      <c r="AS128" s="51">
        <f t="shared" si="263"/>
        <v>1207</v>
      </c>
      <c r="AT128" s="103">
        <f t="shared" si="463"/>
        <v>0</v>
      </c>
      <c r="AU128" s="46">
        <f t="shared" si="331"/>
        <v>1207</v>
      </c>
      <c r="AV128" s="51">
        <f t="shared" si="264"/>
        <v>86</v>
      </c>
      <c r="AW128" s="103">
        <f t="shared" si="464"/>
        <v>0</v>
      </c>
      <c r="AX128" s="46">
        <f t="shared" si="307"/>
        <v>86</v>
      </c>
      <c r="AZ128" s="120">
        <f t="shared" ref="AZ128:AZ131" si="474">AZ127+1</f>
        <v>7</v>
      </c>
      <c r="BA128" s="7">
        <f t="shared" si="465"/>
        <v>17</v>
      </c>
      <c r="BB128" s="133"/>
      <c r="BC128" s="48">
        <f t="shared" si="400"/>
        <v>0</v>
      </c>
      <c r="BD128" s="196">
        <f t="shared" si="442"/>
        <v>0</v>
      </c>
      <c r="BE128" s="134"/>
      <c r="BF128" s="135"/>
      <c r="BG128" s="135"/>
      <c r="BH128" s="14">
        <f t="shared" si="409"/>
        <v>0</v>
      </c>
      <c r="BI128" s="14">
        <f t="shared" si="418"/>
        <v>1669</v>
      </c>
      <c r="BJ128" s="14">
        <f t="shared" si="265"/>
        <v>0.16</v>
      </c>
      <c r="BK128" s="47">
        <f t="shared" si="301"/>
        <v>0</v>
      </c>
      <c r="BL128" s="35">
        <f t="shared" si="266"/>
        <v>4.3200000000000012</v>
      </c>
      <c r="BM128" s="435">
        <f t="shared" si="370"/>
        <v>2.4165291170764198</v>
      </c>
      <c r="BN128" s="134"/>
      <c r="BO128" s="14">
        <f t="shared" si="267"/>
        <v>75</v>
      </c>
      <c r="BP128" s="442">
        <f t="shared" si="302"/>
        <v>0</v>
      </c>
      <c r="BQ128" s="68">
        <f t="shared" si="304"/>
        <v>3515.4329427280113</v>
      </c>
      <c r="BR128" s="51">
        <f t="shared" si="268"/>
        <v>1207</v>
      </c>
      <c r="BS128" s="103">
        <f t="shared" si="466"/>
        <v>0</v>
      </c>
      <c r="BT128" s="46">
        <f t="shared" si="332"/>
        <v>1207</v>
      </c>
      <c r="BU128" s="51">
        <f t="shared" si="269"/>
        <v>86</v>
      </c>
      <c r="BV128" s="103">
        <f t="shared" si="467"/>
        <v>0</v>
      </c>
      <c r="BW128" s="46">
        <f t="shared" si="308"/>
        <v>86</v>
      </c>
      <c r="BY128" s="120">
        <f t="shared" si="468"/>
        <v>7</v>
      </c>
      <c r="BZ128" s="7">
        <f t="shared" si="469"/>
        <v>17</v>
      </c>
      <c r="CA128" s="133"/>
      <c r="CB128" s="14">
        <f t="shared" si="295"/>
        <v>0</v>
      </c>
      <c r="CC128" s="59">
        <f t="shared" si="313"/>
        <v>0</v>
      </c>
      <c r="CD128" s="134"/>
      <c r="CE128" s="135"/>
      <c r="CF128" s="135"/>
      <c r="CG128" s="14">
        <f t="shared" si="314"/>
        <v>0</v>
      </c>
      <c r="CH128" s="14">
        <f t="shared" si="309"/>
        <v>4664</v>
      </c>
      <c r="CI128" s="14">
        <f t="shared" si="392"/>
        <v>0.16</v>
      </c>
      <c r="CJ128" s="47">
        <f t="shared" si="303"/>
        <v>0</v>
      </c>
      <c r="CK128" s="35">
        <f t="shared" si="393"/>
        <v>4.3200000000000012</v>
      </c>
      <c r="CL128" s="156">
        <f t="shared" si="424"/>
        <v>8.9763082430377796</v>
      </c>
      <c r="CM128" s="134"/>
      <c r="CN128" s="14">
        <f t="shared" si="394"/>
        <v>75</v>
      </c>
      <c r="CO128" s="442">
        <f t="shared" si="395"/>
        <v>0</v>
      </c>
      <c r="CP128" s="68">
        <f t="shared" si="296"/>
        <v>3996.0602157057042</v>
      </c>
      <c r="CQ128" s="51">
        <f t="shared" si="396"/>
        <v>1207</v>
      </c>
      <c r="CR128" s="103">
        <f t="shared" si="470"/>
        <v>0</v>
      </c>
      <c r="CS128" s="104">
        <f t="shared" si="333"/>
        <v>1207</v>
      </c>
      <c r="CT128" s="50">
        <f t="shared" si="397"/>
        <v>86</v>
      </c>
      <c r="CU128" s="103">
        <f t="shared" si="471"/>
        <v>0</v>
      </c>
      <c r="CV128" s="46">
        <f t="shared" si="299"/>
        <v>86</v>
      </c>
    </row>
    <row r="129" spans="2:100" ht="17.25" thickBot="1" x14ac:dyDescent="0.3">
      <c r="B129" s="120">
        <f t="shared" si="472"/>
        <v>7</v>
      </c>
      <c r="C129" s="7">
        <f t="shared" si="459"/>
        <v>17</v>
      </c>
      <c r="D129" s="133"/>
      <c r="E129" s="48">
        <f t="shared" si="421"/>
        <v>0</v>
      </c>
      <c r="F129" s="49">
        <f t="shared" si="422"/>
        <v>0</v>
      </c>
      <c r="G129" s="142"/>
      <c r="H129" s="135"/>
      <c r="I129" s="135"/>
      <c r="J129" s="31">
        <f t="shared" si="310"/>
        <v>0</v>
      </c>
      <c r="K129" s="14">
        <f t="shared" si="305"/>
        <v>9358</v>
      </c>
      <c r="L129" s="14">
        <f t="shared" si="387"/>
        <v>0.16</v>
      </c>
      <c r="M129" s="231">
        <f t="shared" si="277"/>
        <v>0</v>
      </c>
      <c r="N129" s="35">
        <f t="shared" si="388"/>
        <v>4.3200000000000012</v>
      </c>
      <c r="O129" s="157">
        <f t="shared" si="300"/>
        <v>0</v>
      </c>
      <c r="P129" s="134"/>
      <c r="Q129" s="14">
        <f t="shared" si="389"/>
        <v>75</v>
      </c>
      <c r="R129" s="482">
        <f t="shared" si="278"/>
        <v>0</v>
      </c>
      <c r="S129" s="470">
        <f t="shared" si="306"/>
        <v>0</v>
      </c>
      <c r="T129" s="51">
        <f t="shared" si="390"/>
        <v>1207</v>
      </c>
      <c r="U129" s="103">
        <f t="shared" si="460"/>
        <v>0</v>
      </c>
      <c r="V129" s="46">
        <f t="shared" si="280"/>
        <v>1207</v>
      </c>
      <c r="W129" s="12">
        <f t="shared" si="391"/>
        <v>86</v>
      </c>
      <c r="X129" s="103">
        <f t="shared" si="461"/>
        <v>0</v>
      </c>
      <c r="Y129" s="46">
        <f t="shared" si="282"/>
        <v>86</v>
      </c>
      <c r="Z129" s="487"/>
      <c r="AA129" s="120">
        <f t="shared" si="473"/>
        <v>7</v>
      </c>
      <c r="AB129" s="7">
        <f t="shared" si="462"/>
        <v>17</v>
      </c>
      <c r="AC129" s="133"/>
      <c r="AD129" s="48">
        <f t="shared" si="352"/>
        <v>0</v>
      </c>
      <c r="AE129" s="49">
        <f t="shared" si="441"/>
        <v>0</v>
      </c>
      <c r="AF129" s="134"/>
      <c r="AG129" s="135"/>
      <c r="AH129" s="135"/>
      <c r="AI129" s="31">
        <f t="shared" si="405"/>
        <v>0</v>
      </c>
      <c r="AJ129" s="14">
        <f t="shared" si="416"/>
        <v>1004</v>
      </c>
      <c r="AK129" s="14">
        <f t="shared" si="260"/>
        <v>0.16</v>
      </c>
      <c r="AL129" s="231">
        <f t="shared" si="285"/>
        <v>0</v>
      </c>
      <c r="AM129" s="35">
        <f t="shared" si="261"/>
        <v>4.3200000000000012</v>
      </c>
      <c r="AN129" s="156">
        <f t="shared" si="423"/>
        <v>1.6618664547952462</v>
      </c>
      <c r="AO129" s="134"/>
      <c r="AP129" s="14">
        <f t="shared" si="262"/>
        <v>75</v>
      </c>
      <c r="AQ129" s="482">
        <f t="shared" si="286"/>
        <v>0</v>
      </c>
      <c r="AR129" s="470">
        <f t="shared" si="353"/>
        <v>2768.0226307597868</v>
      </c>
      <c r="AS129" s="51">
        <f t="shared" si="263"/>
        <v>1207</v>
      </c>
      <c r="AT129" s="103">
        <f t="shared" si="463"/>
        <v>0</v>
      </c>
      <c r="AU129" s="46">
        <f t="shared" si="331"/>
        <v>1207</v>
      </c>
      <c r="AV129" s="12">
        <f t="shared" si="264"/>
        <v>86</v>
      </c>
      <c r="AW129" s="103">
        <f t="shared" si="464"/>
        <v>0</v>
      </c>
      <c r="AX129" s="46">
        <f t="shared" si="307"/>
        <v>86</v>
      </c>
      <c r="AZ129" s="120">
        <f t="shared" si="474"/>
        <v>8</v>
      </c>
      <c r="BA129" s="7">
        <f t="shared" si="465"/>
        <v>17</v>
      </c>
      <c r="BB129" s="133"/>
      <c r="BC129" s="48">
        <f t="shared" si="400"/>
        <v>0</v>
      </c>
      <c r="BD129" s="49">
        <f t="shared" si="442"/>
        <v>0</v>
      </c>
      <c r="BE129" s="134"/>
      <c r="BF129" s="135"/>
      <c r="BG129" s="135"/>
      <c r="BH129" s="31">
        <f t="shared" si="409"/>
        <v>0</v>
      </c>
      <c r="BI129" s="14">
        <f t="shared" si="418"/>
        <v>1669</v>
      </c>
      <c r="BJ129" s="14">
        <f t="shared" si="265"/>
        <v>0.16</v>
      </c>
      <c r="BK129" s="47">
        <f t="shared" si="301"/>
        <v>0</v>
      </c>
      <c r="BL129" s="35">
        <f t="shared" si="266"/>
        <v>4.3200000000000012</v>
      </c>
      <c r="BM129" s="435">
        <f t="shared" si="370"/>
        <v>2.4165291170764198</v>
      </c>
      <c r="BN129" s="134"/>
      <c r="BO129" s="14">
        <f t="shared" si="267"/>
        <v>75</v>
      </c>
      <c r="BP129" s="442">
        <f t="shared" si="302"/>
        <v>0</v>
      </c>
      <c r="BQ129" s="68">
        <f t="shared" si="304"/>
        <v>3515.4329427280113</v>
      </c>
      <c r="BR129" s="51">
        <f t="shared" si="268"/>
        <v>1207</v>
      </c>
      <c r="BS129" s="103">
        <f t="shared" si="466"/>
        <v>0</v>
      </c>
      <c r="BT129" s="46">
        <f t="shared" si="332"/>
        <v>1207</v>
      </c>
      <c r="BU129" s="12">
        <f t="shared" si="269"/>
        <v>86</v>
      </c>
      <c r="BV129" s="103">
        <f t="shared" si="467"/>
        <v>0</v>
      </c>
      <c r="BW129" s="46">
        <f t="shared" si="308"/>
        <v>86</v>
      </c>
      <c r="BY129" s="120">
        <f t="shared" si="468"/>
        <v>8</v>
      </c>
      <c r="BZ129" s="7">
        <f t="shared" si="469"/>
        <v>17</v>
      </c>
      <c r="CA129" s="133"/>
      <c r="CB129" s="14">
        <f t="shared" si="295"/>
        <v>0</v>
      </c>
      <c r="CC129" s="46">
        <f t="shared" si="313"/>
        <v>0</v>
      </c>
      <c r="CD129" s="134"/>
      <c r="CE129" s="135"/>
      <c r="CF129" s="135"/>
      <c r="CG129" s="31">
        <f t="shared" si="314"/>
        <v>0</v>
      </c>
      <c r="CH129" s="14">
        <f t="shared" si="309"/>
        <v>4664</v>
      </c>
      <c r="CI129" s="14">
        <f t="shared" si="392"/>
        <v>0.16</v>
      </c>
      <c r="CJ129" s="47">
        <f>IFERROR((CG129*1000)/CB129,0)</f>
        <v>0</v>
      </c>
      <c r="CK129" s="35">
        <f t="shared" si="393"/>
        <v>4.3200000000000012</v>
      </c>
      <c r="CL129" s="156">
        <f t="shared" si="424"/>
        <v>8.9763082430377796</v>
      </c>
      <c r="CM129" s="134"/>
      <c r="CN129" s="14">
        <f t="shared" si="394"/>
        <v>75</v>
      </c>
      <c r="CO129" s="442">
        <f t="shared" si="395"/>
        <v>0</v>
      </c>
      <c r="CP129" s="68">
        <f t="shared" si="296"/>
        <v>3996.0602157057042</v>
      </c>
      <c r="CQ129" s="51">
        <f t="shared" si="396"/>
        <v>1207</v>
      </c>
      <c r="CR129" s="103">
        <f t="shared" si="470"/>
        <v>0</v>
      </c>
      <c r="CS129" s="104">
        <f t="shared" si="333"/>
        <v>1207</v>
      </c>
      <c r="CT129" s="50">
        <f t="shared" si="397"/>
        <v>86</v>
      </c>
      <c r="CU129" s="103">
        <f t="shared" si="471"/>
        <v>0</v>
      </c>
      <c r="CV129" s="46">
        <f t="shared" si="299"/>
        <v>86</v>
      </c>
    </row>
    <row r="130" spans="2:100" ht="17.25" thickBot="1" x14ac:dyDescent="0.3">
      <c r="B130" s="120">
        <f t="shared" si="472"/>
        <v>8</v>
      </c>
      <c r="C130" s="7">
        <f t="shared" si="459"/>
        <v>17</v>
      </c>
      <c r="D130" s="133"/>
      <c r="E130" s="48">
        <f t="shared" si="421"/>
        <v>0</v>
      </c>
      <c r="F130" s="49">
        <f t="shared" si="422"/>
        <v>0</v>
      </c>
      <c r="G130" s="142"/>
      <c r="H130" s="135"/>
      <c r="I130" s="135"/>
      <c r="J130" s="14">
        <f t="shared" si="310"/>
        <v>0</v>
      </c>
      <c r="K130" s="14">
        <f t="shared" si="305"/>
        <v>9358</v>
      </c>
      <c r="L130" s="14">
        <f t="shared" si="387"/>
        <v>0.16</v>
      </c>
      <c r="M130" s="47">
        <f t="shared" si="277"/>
        <v>0</v>
      </c>
      <c r="N130" s="35">
        <f t="shared" si="388"/>
        <v>4.3200000000000012</v>
      </c>
      <c r="O130" s="157">
        <f t="shared" si="300"/>
        <v>0</v>
      </c>
      <c r="P130" s="134"/>
      <c r="Q130" s="14">
        <f t="shared" si="389"/>
        <v>75</v>
      </c>
      <c r="R130" s="482">
        <f t="shared" si="278"/>
        <v>0</v>
      </c>
      <c r="S130" s="470">
        <f t="shared" si="306"/>
        <v>0</v>
      </c>
      <c r="T130" s="51">
        <f t="shared" si="390"/>
        <v>1207</v>
      </c>
      <c r="U130" s="103">
        <f t="shared" si="460"/>
        <v>0</v>
      </c>
      <c r="V130" s="46">
        <f t="shared" si="280"/>
        <v>1207</v>
      </c>
      <c r="W130" s="50">
        <f t="shared" si="391"/>
        <v>86</v>
      </c>
      <c r="X130" s="103">
        <f t="shared" si="461"/>
        <v>0</v>
      </c>
      <c r="Y130" s="62">
        <f t="shared" si="282"/>
        <v>86</v>
      </c>
      <c r="Z130" s="487"/>
      <c r="AA130" s="120">
        <f t="shared" si="473"/>
        <v>8</v>
      </c>
      <c r="AB130" s="7">
        <f t="shared" si="462"/>
        <v>17</v>
      </c>
      <c r="AC130" s="133"/>
      <c r="AD130" s="48">
        <f t="shared" si="352"/>
        <v>0</v>
      </c>
      <c r="AE130" s="447">
        <f t="shared" si="441"/>
        <v>0</v>
      </c>
      <c r="AF130" s="134"/>
      <c r="AG130" s="135"/>
      <c r="AH130" s="135"/>
      <c r="AI130" s="14">
        <f t="shared" si="405"/>
        <v>0</v>
      </c>
      <c r="AJ130" s="14">
        <f t="shared" si="416"/>
        <v>1004</v>
      </c>
      <c r="AK130" s="14">
        <f t="shared" si="260"/>
        <v>0.16</v>
      </c>
      <c r="AL130" s="47">
        <f t="shared" si="285"/>
        <v>0</v>
      </c>
      <c r="AM130" s="35">
        <f t="shared" si="261"/>
        <v>4.3200000000000012</v>
      </c>
      <c r="AN130" s="156">
        <f t="shared" si="423"/>
        <v>1.6618664547952462</v>
      </c>
      <c r="AO130" s="134"/>
      <c r="AP130" s="14">
        <f t="shared" si="262"/>
        <v>75</v>
      </c>
      <c r="AQ130" s="482">
        <f t="shared" si="286"/>
        <v>0</v>
      </c>
      <c r="AR130" s="470">
        <f t="shared" si="353"/>
        <v>2768.0226307597868</v>
      </c>
      <c r="AS130" s="51">
        <f t="shared" si="263"/>
        <v>1207</v>
      </c>
      <c r="AT130" s="103">
        <f t="shared" si="463"/>
        <v>0</v>
      </c>
      <c r="AU130" s="46">
        <f t="shared" si="331"/>
        <v>1207</v>
      </c>
      <c r="AV130" s="50">
        <f t="shared" si="264"/>
        <v>86</v>
      </c>
      <c r="AW130" s="103">
        <f t="shared" si="464"/>
        <v>0</v>
      </c>
      <c r="AX130" s="62">
        <f t="shared" si="307"/>
        <v>86</v>
      </c>
      <c r="AZ130" s="120">
        <f t="shared" si="474"/>
        <v>9</v>
      </c>
      <c r="BA130" s="7">
        <f t="shared" si="465"/>
        <v>17</v>
      </c>
      <c r="BB130" s="133"/>
      <c r="BC130" s="48">
        <f t="shared" si="400"/>
        <v>0</v>
      </c>
      <c r="BD130" s="447">
        <f t="shared" si="442"/>
        <v>0</v>
      </c>
      <c r="BE130" s="134"/>
      <c r="BF130" s="135"/>
      <c r="BG130" s="135"/>
      <c r="BH130" s="14">
        <f t="shared" si="409"/>
        <v>0</v>
      </c>
      <c r="BI130" s="14">
        <f t="shared" si="418"/>
        <v>1669</v>
      </c>
      <c r="BJ130" s="14">
        <f t="shared" si="265"/>
        <v>0.16</v>
      </c>
      <c r="BK130" s="47">
        <f t="shared" si="301"/>
        <v>0</v>
      </c>
      <c r="BL130" s="35">
        <f t="shared" si="266"/>
        <v>4.3200000000000012</v>
      </c>
      <c r="BM130" s="435">
        <f t="shared" si="370"/>
        <v>2.4165291170764198</v>
      </c>
      <c r="BN130" s="134"/>
      <c r="BO130" s="14">
        <f t="shared" si="267"/>
        <v>75</v>
      </c>
      <c r="BP130" s="442">
        <f t="shared" si="302"/>
        <v>0</v>
      </c>
      <c r="BQ130" s="68">
        <f t="shared" si="304"/>
        <v>3515.4329427280113</v>
      </c>
      <c r="BR130" s="51">
        <f t="shared" si="268"/>
        <v>1207</v>
      </c>
      <c r="BS130" s="103">
        <f t="shared" si="466"/>
        <v>0</v>
      </c>
      <c r="BT130" s="46">
        <f t="shared" si="332"/>
        <v>1207</v>
      </c>
      <c r="BU130" s="50">
        <f t="shared" si="269"/>
        <v>86</v>
      </c>
      <c r="BV130" s="103">
        <f t="shared" si="467"/>
        <v>0</v>
      </c>
      <c r="BW130" s="62">
        <f t="shared" si="308"/>
        <v>86</v>
      </c>
      <c r="BY130" s="120">
        <f t="shared" si="468"/>
        <v>9</v>
      </c>
      <c r="BZ130" s="7">
        <f t="shared" si="469"/>
        <v>17</v>
      </c>
      <c r="CA130" s="133"/>
      <c r="CB130" s="14">
        <f t="shared" si="295"/>
        <v>0</v>
      </c>
      <c r="CC130" s="62">
        <f t="shared" si="313"/>
        <v>0</v>
      </c>
      <c r="CD130" s="134"/>
      <c r="CE130" s="135"/>
      <c r="CF130" s="135"/>
      <c r="CG130" s="14">
        <f t="shared" si="314"/>
        <v>0</v>
      </c>
      <c r="CH130" s="14">
        <f>CH129+CG130</f>
        <v>4664</v>
      </c>
      <c r="CI130" s="14">
        <f t="shared" si="392"/>
        <v>0.16</v>
      </c>
      <c r="CJ130" s="47">
        <f>IFERROR((CG130*1000)/CB130,0)</f>
        <v>0</v>
      </c>
      <c r="CK130" s="35">
        <f t="shared" si="393"/>
        <v>4.3200000000000012</v>
      </c>
      <c r="CL130" s="156">
        <f t="shared" si="424"/>
        <v>8.9763082430377796</v>
      </c>
      <c r="CM130" s="134"/>
      <c r="CN130" s="14">
        <f t="shared" si="394"/>
        <v>75</v>
      </c>
      <c r="CO130" s="442">
        <f t="shared" si="395"/>
        <v>0</v>
      </c>
      <c r="CP130" s="68">
        <f t="shared" si="296"/>
        <v>3996.0602157057042</v>
      </c>
      <c r="CQ130" s="51">
        <f t="shared" si="396"/>
        <v>1207</v>
      </c>
      <c r="CR130" s="103">
        <f t="shared" si="470"/>
        <v>0</v>
      </c>
      <c r="CS130" s="104">
        <f t="shared" si="333"/>
        <v>1207</v>
      </c>
      <c r="CT130" s="51">
        <f t="shared" si="397"/>
        <v>86</v>
      </c>
      <c r="CU130" s="103">
        <f t="shared" si="471"/>
        <v>0</v>
      </c>
      <c r="CV130" s="62">
        <f t="shared" si="299"/>
        <v>86</v>
      </c>
    </row>
    <row r="131" spans="2:100" ht="17.25" thickBot="1" x14ac:dyDescent="0.3">
      <c r="B131" s="120">
        <f t="shared" si="472"/>
        <v>9</v>
      </c>
      <c r="C131" s="8">
        <f t="shared" si="459"/>
        <v>17</v>
      </c>
      <c r="D131" s="136"/>
      <c r="E131" s="54">
        <f t="shared" si="421"/>
        <v>0</v>
      </c>
      <c r="F131" s="448">
        <f t="shared" si="422"/>
        <v>0</v>
      </c>
      <c r="G131" s="139"/>
      <c r="H131" s="138"/>
      <c r="I131" s="138"/>
      <c r="J131" s="34">
        <f t="shared" si="310"/>
        <v>0</v>
      </c>
      <c r="K131" s="32">
        <f t="shared" si="305"/>
        <v>9358</v>
      </c>
      <c r="L131" s="32">
        <f t="shared" si="387"/>
        <v>0.16</v>
      </c>
      <c r="M131" s="231">
        <f t="shared" si="277"/>
        <v>0</v>
      </c>
      <c r="N131" s="36">
        <f t="shared" si="388"/>
        <v>4.3200000000000012</v>
      </c>
      <c r="O131" s="156">
        <f t="shared" si="300"/>
        <v>0</v>
      </c>
      <c r="P131" s="137"/>
      <c r="Q131" s="32">
        <f t="shared" si="389"/>
        <v>75</v>
      </c>
      <c r="R131" s="443">
        <f t="shared" si="278"/>
        <v>0</v>
      </c>
      <c r="S131" s="471">
        <f t="shared" si="306"/>
        <v>0</v>
      </c>
      <c r="T131" s="56">
        <f t="shared" si="390"/>
        <v>1207</v>
      </c>
      <c r="U131" s="109">
        <f t="shared" si="460"/>
        <v>0</v>
      </c>
      <c r="V131" s="53">
        <f t="shared" si="280"/>
        <v>1207</v>
      </c>
      <c r="W131" s="56">
        <f t="shared" si="391"/>
        <v>86</v>
      </c>
      <c r="X131" s="109">
        <f t="shared" si="461"/>
        <v>0</v>
      </c>
      <c r="Y131" s="53">
        <f t="shared" si="282"/>
        <v>86</v>
      </c>
      <c r="Z131" s="487"/>
      <c r="AA131" s="120">
        <f t="shared" si="473"/>
        <v>9</v>
      </c>
      <c r="AB131" s="8">
        <f t="shared" si="462"/>
        <v>17</v>
      </c>
      <c r="AC131" s="136"/>
      <c r="AD131" s="67">
        <f t="shared" si="352"/>
        <v>0</v>
      </c>
      <c r="AE131" s="55">
        <f t="shared" si="441"/>
        <v>0</v>
      </c>
      <c r="AF131" s="137"/>
      <c r="AG131" s="138"/>
      <c r="AH131" s="138"/>
      <c r="AI131" s="34">
        <f t="shared" si="405"/>
        <v>0</v>
      </c>
      <c r="AJ131" s="32">
        <f t="shared" si="416"/>
        <v>1004</v>
      </c>
      <c r="AK131" s="32">
        <f t="shared" si="260"/>
        <v>0.16</v>
      </c>
      <c r="AL131" s="231">
        <f t="shared" si="285"/>
        <v>0</v>
      </c>
      <c r="AM131" s="36">
        <f t="shared" si="261"/>
        <v>4.3200000000000012</v>
      </c>
      <c r="AN131" s="156">
        <f t="shared" si="423"/>
        <v>1.6618664547952462</v>
      </c>
      <c r="AO131" s="137"/>
      <c r="AP131" s="32">
        <f t="shared" si="262"/>
        <v>75</v>
      </c>
      <c r="AQ131" s="443">
        <f t="shared" si="286"/>
        <v>0</v>
      </c>
      <c r="AR131" s="471">
        <f t="shared" si="353"/>
        <v>2768.0226307597868</v>
      </c>
      <c r="AS131" s="56">
        <f t="shared" si="263"/>
        <v>1207</v>
      </c>
      <c r="AT131" s="109">
        <f t="shared" si="463"/>
        <v>0</v>
      </c>
      <c r="AU131" s="53">
        <f t="shared" si="331"/>
        <v>1207</v>
      </c>
      <c r="AV131" s="56">
        <f t="shared" si="264"/>
        <v>86</v>
      </c>
      <c r="AW131" s="109">
        <f t="shared" si="464"/>
        <v>0</v>
      </c>
      <c r="AX131" s="53">
        <f t="shared" si="307"/>
        <v>86</v>
      </c>
      <c r="AZ131" s="120">
        <f t="shared" si="474"/>
        <v>10</v>
      </c>
      <c r="BA131" s="8">
        <f t="shared" si="465"/>
        <v>17</v>
      </c>
      <c r="BB131" s="136"/>
      <c r="BC131" s="54">
        <f t="shared" si="400"/>
        <v>0</v>
      </c>
      <c r="BD131" s="55">
        <f t="shared" si="442"/>
        <v>0</v>
      </c>
      <c r="BE131" s="137"/>
      <c r="BF131" s="138"/>
      <c r="BG131" s="138"/>
      <c r="BH131" s="34">
        <f t="shared" si="409"/>
        <v>0</v>
      </c>
      <c r="BI131" s="32">
        <f t="shared" si="418"/>
        <v>1669</v>
      </c>
      <c r="BJ131" s="32">
        <f t="shared" si="265"/>
        <v>0.16</v>
      </c>
      <c r="BK131" s="96">
        <f t="shared" si="301"/>
        <v>0</v>
      </c>
      <c r="BL131" s="36">
        <f t="shared" si="266"/>
        <v>4.3200000000000012</v>
      </c>
      <c r="BM131" s="435">
        <f t="shared" si="370"/>
        <v>2.4165291170764198</v>
      </c>
      <c r="BN131" s="137"/>
      <c r="BO131" s="32">
        <f t="shared" si="267"/>
        <v>75</v>
      </c>
      <c r="BP131" s="482">
        <f t="shared" si="302"/>
        <v>0</v>
      </c>
      <c r="BQ131" s="70">
        <f t="shared" si="304"/>
        <v>3515.4329427280113</v>
      </c>
      <c r="BR131" s="56">
        <f t="shared" si="268"/>
        <v>1207</v>
      </c>
      <c r="BS131" s="109">
        <f t="shared" si="466"/>
        <v>0</v>
      </c>
      <c r="BT131" s="53">
        <f t="shared" si="332"/>
        <v>1207</v>
      </c>
      <c r="BU131" s="56">
        <f t="shared" si="269"/>
        <v>86</v>
      </c>
      <c r="BV131" s="109">
        <f t="shared" si="467"/>
        <v>0</v>
      </c>
      <c r="BW131" s="53">
        <f t="shared" si="308"/>
        <v>86</v>
      </c>
      <c r="BY131" s="197">
        <f>BY130+1</f>
        <v>10</v>
      </c>
      <c r="BZ131" s="8">
        <f t="shared" si="469"/>
        <v>17</v>
      </c>
      <c r="CA131" s="136"/>
      <c r="CB131" s="32">
        <f t="shared" si="295"/>
        <v>0</v>
      </c>
      <c r="CC131" s="53">
        <f t="shared" si="313"/>
        <v>0</v>
      </c>
      <c r="CD131" s="137"/>
      <c r="CE131" s="138"/>
      <c r="CF131" s="138"/>
      <c r="CG131" s="34">
        <f t="shared" si="314"/>
        <v>0</v>
      </c>
      <c r="CH131" s="32">
        <f t="shared" si="309"/>
        <v>4664</v>
      </c>
      <c r="CI131" s="32">
        <f t="shared" si="392"/>
        <v>0.16</v>
      </c>
      <c r="CJ131" s="96">
        <f t="shared" si="303"/>
        <v>0</v>
      </c>
      <c r="CK131" s="36">
        <f t="shared" si="393"/>
        <v>4.3200000000000012</v>
      </c>
      <c r="CL131" s="156">
        <f t="shared" si="424"/>
        <v>8.9763082430377796</v>
      </c>
      <c r="CM131" s="137"/>
      <c r="CN131" s="32">
        <f t="shared" si="394"/>
        <v>75</v>
      </c>
      <c r="CO131" s="482">
        <f t="shared" si="395"/>
        <v>0</v>
      </c>
      <c r="CP131" s="70">
        <f t="shared" si="296"/>
        <v>3996.0602157057042</v>
      </c>
      <c r="CQ131" s="56">
        <f t="shared" si="396"/>
        <v>1207</v>
      </c>
      <c r="CR131" s="109">
        <f t="shared" si="470"/>
        <v>0</v>
      </c>
      <c r="CS131" s="105">
        <f t="shared" si="333"/>
        <v>1207</v>
      </c>
      <c r="CT131" s="163">
        <f t="shared" si="397"/>
        <v>86</v>
      </c>
      <c r="CU131" s="109">
        <f t="shared" si="471"/>
        <v>0</v>
      </c>
      <c r="CV131" s="53">
        <f t="shared" si="299"/>
        <v>86</v>
      </c>
    </row>
    <row r="132" spans="2:100" ht="17.25" thickBot="1" x14ac:dyDescent="0.3">
      <c r="B132" s="118">
        <v>10</v>
      </c>
      <c r="C132" s="9">
        <v>18</v>
      </c>
      <c r="D132" s="129"/>
      <c r="E132" s="43">
        <f t="shared" si="421"/>
        <v>0</v>
      </c>
      <c r="F132" s="44">
        <f t="shared" si="422"/>
        <v>0</v>
      </c>
      <c r="G132" s="158"/>
      <c r="H132" s="131"/>
      <c r="I132" s="131"/>
      <c r="J132" s="11">
        <f t="shared" ref="J132:J138" si="475">SUM(G132:I132)</f>
        <v>0</v>
      </c>
      <c r="K132" s="11">
        <f t="shared" ref="K132:K138" si="476">K131+J132</f>
        <v>9358</v>
      </c>
      <c r="L132" s="17">
        <f t="shared" si="387"/>
        <v>0.16</v>
      </c>
      <c r="M132" s="153">
        <f t="shared" si="277"/>
        <v>0</v>
      </c>
      <c r="N132" s="33">
        <f t="shared" si="388"/>
        <v>4.4800000000000013</v>
      </c>
      <c r="O132" s="155">
        <f t="shared" ref="O132:O138" si="477">IFERROR((K132*100)/E132,0)</f>
        <v>0</v>
      </c>
      <c r="P132" s="130"/>
      <c r="Q132" s="17">
        <f t="shared" si="389"/>
        <v>79</v>
      </c>
      <c r="R132" s="481">
        <f t="shared" si="278"/>
        <v>0</v>
      </c>
      <c r="S132" s="469">
        <f t="shared" ref="S132:S138" si="478">S131+R132</f>
        <v>0</v>
      </c>
      <c r="T132" s="61">
        <f t="shared" si="390"/>
        <v>1257</v>
      </c>
      <c r="U132" s="131"/>
      <c r="V132" s="41">
        <f t="shared" ref="V132:V138" si="479">T132-U132</f>
        <v>1257</v>
      </c>
      <c r="W132" s="18">
        <f t="shared" ref="W132:W138" si="480">VLOOKUP(C132,LOHMANN,3,FALSE)</f>
        <v>86</v>
      </c>
      <c r="X132" s="131"/>
      <c r="Y132" s="41">
        <f t="shared" ref="Y132:Y138" si="481">W132-X132</f>
        <v>86</v>
      </c>
      <c r="Z132" s="487"/>
      <c r="AA132" s="118">
        <v>10</v>
      </c>
      <c r="AB132" s="9">
        <v>18</v>
      </c>
      <c r="AC132" s="129"/>
      <c r="AD132" s="43">
        <f t="shared" si="352"/>
        <v>0</v>
      </c>
      <c r="AE132" s="449">
        <f t="shared" si="441"/>
        <v>0</v>
      </c>
      <c r="AF132" s="130"/>
      <c r="AG132" s="131"/>
      <c r="AH132" s="131"/>
      <c r="AI132" s="11">
        <f t="shared" si="405"/>
        <v>0</v>
      </c>
      <c r="AJ132" s="11">
        <f t="shared" si="416"/>
        <v>1004</v>
      </c>
      <c r="AK132" s="17">
        <f t="shared" si="260"/>
        <v>0.16</v>
      </c>
      <c r="AL132" s="153">
        <f t="shared" si="285"/>
        <v>0</v>
      </c>
      <c r="AM132" s="33">
        <f t="shared" si="261"/>
        <v>4.4800000000000013</v>
      </c>
      <c r="AN132" s="156">
        <f t="shared" si="423"/>
        <v>1.6618664547952462</v>
      </c>
      <c r="AO132" s="130"/>
      <c r="AP132" s="17">
        <f t="shared" si="262"/>
        <v>79</v>
      </c>
      <c r="AQ132" s="481">
        <f t="shared" si="286"/>
        <v>0</v>
      </c>
      <c r="AR132" s="469">
        <f t="shared" si="353"/>
        <v>2768.0226307597868</v>
      </c>
      <c r="AS132" s="61">
        <f t="shared" si="263"/>
        <v>1257</v>
      </c>
      <c r="AT132" s="131"/>
      <c r="AU132" s="41">
        <f t="shared" si="331"/>
        <v>1257</v>
      </c>
      <c r="AV132" s="18">
        <f t="shared" si="264"/>
        <v>86</v>
      </c>
      <c r="AW132" s="131"/>
      <c r="AX132" s="41">
        <f t="shared" si="307"/>
        <v>86</v>
      </c>
      <c r="AZ132" s="118">
        <v>11</v>
      </c>
      <c r="BA132" s="9">
        <v>18</v>
      </c>
      <c r="BB132" s="129"/>
      <c r="BC132" s="43">
        <f t="shared" ref="BC132:BC138" si="482">IFERROR(BD131+BB132,0)</f>
        <v>0</v>
      </c>
      <c r="BD132" s="449">
        <f t="shared" si="442"/>
        <v>0</v>
      </c>
      <c r="BE132" s="130"/>
      <c r="BF132" s="131"/>
      <c r="BG132" s="131"/>
      <c r="BH132" s="11">
        <f t="shared" si="409"/>
        <v>0</v>
      </c>
      <c r="BI132" s="11">
        <f t="shared" si="418"/>
        <v>1669</v>
      </c>
      <c r="BJ132" s="17">
        <f t="shared" si="265"/>
        <v>0.16</v>
      </c>
      <c r="BK132" s="235">
        <f t="shared" si="301"/>
        <v>0</v>
      </c>
      <c r="BL132" s="33">
        <f t="shared" si="266"/>
        <v>4.4800000000000013</v>
      </c>
      <c r="BM132" s="435">
        <f t="shared" si="370"/>
        <v>2.4165291170764198</v>
      </c>
      <c r="BN132" s="130"/>
      <c r="BO132" s="17">
        <f t="shared" si="267"/>
        <v>79</v>
      </c>
      <c r="BP132" s="441">
        <f t="shared" si="302"/>
        <v>0</v>
      </c>
      <c r="BQ132" s="377">
        <f t="shared" si="304"/>
        <v>3515.4329427280113</v>
      </c>
      <c r="BR132" s="61">
        <f t="shared" si="268"/>
        <v>1257</v>
      </c>
      <c r="BS132" s="131"/>
      <c r="BT132" s="41">
        <f t="shared" si="332"/>
        <v>1257</v>
      </c>
      <c r="BU132" s="18">
        <f t="shared" si="269"/>
        <v>86</v>
      </c>
      <c r="BV132" s="131"/>
      <c r="BW132" s="41">
        <f t="shared" si="308"/>
        <v>86</v>
      </c>
      <c r="BY132" s="118">
        <v>11</v>
      </c>
      <c r="BZ132" s="9">
        <v>18</v>
      </c>
      <c r="CA132" s="129"/>
      <c r="CB132" s="43">
        <f t="shared" ref="CB132:CB138" si="483">IFERROR(CC131+CA132,0)</f>
        <v>0</v>
      </c>
      <c r="CC132" s="449">
        <f t="shared" si="313"/>
        <v>0</v>
      </c>
      <c r="CD132" s="130"/>
      <c r="CE132" s="131"/>
      <c r="CF132" s="131"/>
      <c r="CG132" s="11">
        <f t="shared" si="314"/>
        <v>0</v>
      </c>
      <c r="CH132" s="11">
        <f t="shared" si="309"/>
        <v>4664</v>
      </c>
      <c r="CI132" s="17">
        <f t="shared" si="392"/>
        <v>0.16</v>
      </c>
      <c r="CJ132" s="235">
        <f t="shared" si="303"/>
        <v>0</v>
      </c>
      <c r="CK132" s="33">
        <f t="shared" si="393"/>
        <v>4.4800000000000013</v>
      </c>
      <c r="CL132" s="156">
        <f t="shared" si="424"/>
        <v>8.9763082430377796</v>
      </c>
      <c r="CM132" s="130"/>
      <c r="CN132" s="17">
        <f t="shared" si="394"/>
        <v>79</v>
      </c>
      <c r="CO132" s="441">
        <f t="shared" si="395"/>
        <v>0</v>
      </c>
      <c r="CP132" s="377">
        <f t="shared" si="296"/>
        <v>3996.0602157057042</v>
      </c>
      <c r="CQ132" s="61">
        <f t="shared" si="396"/>
        <v>1257</v>
      </c>
      <c r="CR132" s="131"/>
      <c r="CS132" s="41">
        <f t="shared" si="333"/>
        <v>1257</v>
      </c>
      <c r="CT132" s="18">
        <f t="shared" si="397"/>
        <v>86</v>
      </c>
      <c r="CU132" s="131"/>
      <c r="CV132" s="41">
        <f t="shared" si="299"/>
        <v>86</v>
      </c>
    </row>
    <row r="133" spans="2:100" ht="17.25" thickBot="1" x14ac:dyDescent="0.3">
      <c r="B133" s="120">
        <f>B132+1</f>
        <v>11</v>
      </c>
      <c r="C133" s="7">
        <f>C132</f>
        <v>18</v>
      </c>
      <c r="D133" s="133"/>
      <c r="E133" s="48">
        <f t="shared" si="421"/>
        <v>0</v>
      </c>
      <c r="F133" s="49">
        <f t="shared" si="422"/>
        <v>0</v>
      </c>
      <c r="G133" s="142"/>
      <c r="H133" s="135"/>
      <c r="I133" s="135"/>
      <c r="J133" s="31">
        <f t="shared" si="475"/>
        <v>0</v>
      </c>
      <c r="K133" s="14">
        <f t="shared" si="476"/>
        <v>9358</v>
      </c>
      <c r="L133" s="14">
        <f t="shared" si="387"/>
        <v>0.16</v>
      </c>
      <c r="M133" s="230">
        <f t="shared" si="277"/>
        <v>0</v>
      </c>
      <c r="N133" s="35">
        <f t="shared" si="388"/>
        <v>4.4800000000000013</v>
      </c>
      <c r="O133" s="157">
        <f t="shared" si="477"/>
        <v>0</v>
      </c>
      <c r="P133" s="134"/>
      <c r="Q133" s="14">
        <f t="shared" si="389"/>
        <v>79</v>
      </c>
      <c r="R133" s="442">
        <f t="shared" si="278"/>
        <v>0</v>
      </c>
      <c r="S133" s="470">
        <f t="shared" si="478"/>
        <v>0</v>
      </c>
      <c r="T133" s="51">
        <f t="shared" si="390"/>
        <v>1257</v>
      </c>
      <c r="U133" s="103">
        <f>U132</f>
        <v>0</v>
      </c>
      <c r="V133" s="46">
        <f t="shared" si="479"/>
        <v>1257</v>
      </c>
      <c r="W133" s="51">
        <f t="shared" si="480"/>
        <v>86</v>
      </c>
      <c r="X133" s="103">
        <f>X132</f>
        <v>0</v>
      </c>
      <c r="Y133" s="46">
        <f t="shared" si="481"/>
        <v>86</v>
      </c>
      <c r="Z133" s="487"/>
      <c r="AA133" s="120">
        <f>AA132+1</f>
        <v>11</v>
      </c>
      <c r="AB133" s="7">
        <f>AB132</f>
        <v>18</v>
      </c>
      <c r="AC133" s="133"/>
      <c r="AD133" s="48">
        <f t="shared" si="352"/>
        <v>0</v>
      </c>
      <c r="AE133" s="196">
        <f t="shared" si="441"/>
        <v>0</v>
      </c>
      <c r="AF133" s="134"/>
      <c r="AG133" s="135"/>
      <c r="AH133" s="135"/>
      <c r="AI133" s="31">
        <f t="shared" si="405"/>
        <v>0</v>
      </c>
      <c r="AJ133" s="14">
        <f t="shared" si="416"/>
        <v>1004</v>
      </c>
      <c r="AK133" s="14">
        <f t="shared" si="260"/>
        <v>0.16</v>
      </c>
      <c r="AL133" s="230">
        <f t="shared" si="285"/>
        <v>0</v>
      </c>
      <c r="AM133" s="35">
        <f t="shared" si="261"/>
        <v>4.4800000000000013</v>
      </c>
      <c r="AN133" s="156">
        <f t="shared" si="423"/>
        <v>1.6618664547952462</v>
      </c>
      <c r="AO133" s="134"/>
      <c r="AP133" s="14">
        <f t="shared" si="262"/>
        <v>79</v>
      </c>
      <c r="AQ133" s="442">
        <f t="shared" si="286"/>
        <v>0</v>
      </c>
      <c r="AR133" s="470">
        <f t="shared" si="353"/>
        <v>2768.0226307597868</v>
      </c>
      <c r="AS133" s="51">
        <f t="shared" si="263"/>
        <v>1257</v>
      </c>
      <c r="AT133" s="103">
        <f>AT132</f>
        <v>0</v>
      </c>
      <c r="AU133" s="46">
        <f t="shared" si="331"/>
        <v>1257</v>
      </c>
      <c r="AV133" s="51">
        <f t="shared" si="264"/>
        <v>86</v>
      </c>
      <c r="AW133" s="103">
        <f>AW132</f>
        <v>0</v>
      </c>
      <c r="AX133" s="46">
        <f t="shared" si="307"/>
        <v>86</v>
      </c>
      <c r="AZ133" s="120">
        <f>AZ132+1</f>
        <v>12</v>
      </c>
      <c r="BA133" s="7">
        <f>BA132</f>
        <v>18</v>
      </c>
      <c r="BB133" s="133"/>
      <c r="BC133" s="48">
        <f t="shared" si="482"/>
        <v>0</v>
      </c>
      <c r="BD133" s="196">
        <f t="shared" si="442"/>
        <v>0</v>
      </c>
      <c r="BE133" s="134"/>
      <c r="BF133" s="135"/>
      <c r="BG133" s="135"/>
      <c r="BH133" s="31">
        <f t="shared" si="409"/>
        <v>0</v>
      </c>
      <c r="BI133" s="14">
        <f t="shared" si="418"/>
        <v>1669</v>
      </c>
      <c r="BJ133" s="14">
        <f t="shared" si="265"/>
        <v>0.16</v>
      </c>
      <c r="BK133" s="47">
        <f t="shared" si="301"/>
        <v>0</v>
      </c>
      <c r="BL133" s="35">
        <f t="shared" si="266"/>
        <v>4.4800000000000013</v>
      </c>
      <c r="BM133" s="435">
        <f t="shared" si="370"/>
        <v>2.4165291170764198</v>
      </c>
      <c r="BN133" s="134"/>
      <c r="BO133" s="14">
        <f t="shared" si="267"/>
        <v>79</v>
      </c>
      <c r="BP133" s="442">
        <f t="shared" si="302"/>
        <v>0</v>
      </c>
      <c r="BQ133" s="68">
        <f t="shared" si="304"/>
        <v>3515.4329427280113</v>
      </c>
      <c r="BR133" s="51">
        <f t="shared" si="268"/>
        <v>1257</v>
      </c>
      <c r="BS133" s="103">
        <f>BS132</f>
        <v>0</v>
      </c>
      <c r="BT133" s="46">
        <f t="shared" si="332"/>
        <v>1257</v>
      </c>
      <c r="BU133" s="51">
        <f t="shared" si="269"/>
        <v>86</v>
      </c>
      <c r="BV133" s="103">
        <f>BV132</f>
        <v>0</v>
      </c>
      <c r="BW133" s="46">
        <f t="shared" si="308"/>
        <v>86</v>
      </c>
      <c r="BY133" s="120">
        <f>BY132+1</f>
        <v>12</v>
      </c>
      <c r="BZ133" s="7">
        <f>BZ132</f>
        <v>18</v>
      </c>
      <c r="CA133" s="133"/>
      <c r="CB133" s="48">
        <f t="shared" si="483"/>
        <v>0</v>
      </c>
      <c r="CC133" s="196">
        <f t="shared" si="313"/>
        <v>0</v>
      </c>
      <c r="CD133" s="134"/>
      <c r="CE133" s="135"/>
      <c r="CF133" s="135"/>
      <c r="CG133" s="31">
        <f t="shared" si="314"/>
        <v>0</v>
      </c>
      <c r="CH133" s="14">
        <f t="shared" si="309"/>
        <v>4664</v>
      </c>
      <c r="CI133" s="14">
        <f t="shared" si="392"/>
        <v>0.16</v>
      </c>
      <c r="CJ133" s="47">
        <f t="shared" si="303"/>
        <v>0</v>
      </c>
      <c r="CK133" s="35">
        <f t="shared" si="393"/>
        <v>4.4800000000000013</v>
      </c>
      <c r="CL133" s="156">
        <f t="shared" si="424"/>
        <v>8.9763082430377796</v>
      </c>
      <c r="CM133" s="134"/>
      <c r="CN133" s="14">
        <f t="shared" si="394"/>
        <v>79</v>
      </c>
      <c r="CO133" s="442">
        <f t="shared" si="395"/>
        <v>0</v>
      </c>
      <c r="CP133" s="68">
        <f t="shared" si="296"/>
        <v>3996.0602157057042</v>
      </c>
      <c r="CQ133" s="51">
        <f t="shared" si="396"/>
        <v>1257</v>
      </c>
      <c r="CR133" s="103">
        <f>CR132</f>
        <v>0</v>
      </c>
      <c r="CS133" s="46">
        <f t="shared" si="333"/>
        <v>1257</v>
      </c>
      <c r="CT133" s="51">
        <f t="shared" si="397"/>
        <v>86</v>
      </c>
      <c r="CU133" s="103">
        <f>CU132</f>
        <v>0</v>
      </c>
      <c r="CV133" s="46">
        <f t="shared" si="299"/>
        <v>86</v>
      </c>
    </row>
    <row r="134" spans="2:100" ht="17.25" thickBot="1" x14ac:dyDescent="0.3">
      <c r="B134" s="120">
        <f>B133+1</f>
        <v>12</v>
      </c>
      <c r="C134" s="7">
        <f t="shared" ref="C134:C138" si="484">C133</f>
        <v>18</v>
      </c>
      <c r="D134" s="133"/>
      <c r="E134" s="48">
        <f t="shared" si="421"/>
        <v>0</v>
      </c>
      <c r="F134" s="49">
        <f t="shared" si="422"/>
        <v>0</v>
      </c>
      <c r="G134" s="142"/>
      <c r="H134" s="135"/>
      <c r="I134" s="135"/>
      <c r="J134" s="13">
        <f t="shared" si="475"/>
        <v>0</v>
      </c>
      <c r="K134" s="14">
        <f t="shared" si="476"/>
        <v>9358</v>
      </c>
      <c r="L134" s="14">
        <f t="shared" si="387"/>
        <v>0.16</v>
      </c>
      <c r="M134" s="47">
        <f t="shared" si="277"/>
        <v>0</v>
      </c>
      <c r="N134" s="35">
        <f t="shared" si="388"/>
        <v>4.4800000000000013</v>
      </c>
      <c r="O134" s="157">
        <f t="shared" si="477"/>
        <v>0</v>
      </c>
      <c r="P134" s="134"/>
      <c r="Q134" s="14">
        <f t="shared" si="389"/>
        <v>79</v>
      </c>
      <c r="R134" s="442">
        <f t="shared" si="278"/>
        <v>0</v>
      </c>
      <c r="S134" s="470">
        <f t="shared" si="478"/>
        <v>0</v>
      </c>
      <c r="T134" s="51">
        <f t="shared" si="390"/>
        <v>1257</v>
      </c>
      <c r="U134" s="103">
        <f t="shared" ref="U134:U138" si="485">U133</f>
        <v>0</v>
      </c>
      <c r="V134" s="46">
        <f t="shared" si="479"/>
        <v>1257</v>
      </c>
      <c r="W134" s="51">
        <f t="shared" si="480"/>
        <v>86</v>
      </c>
      <c r="X134" s="103">
        <f t="shared" ref="X134:X138" si="486">X133</f>
        <v>0</v>
      </c>
      <c r="Y134" s="46">
        <f t="shared" si="481"/>
        <v>86</v>
      </c>
      <c r="Z134" s="487"/>
      <c r="AA134" s="120">
        <f>AA133+1</f>
        <v>12</v>
      </c>
      <c r="AB134" s="7">
        <f t="shared" ref="AB134:AB138" si="487">AB133</f>
        <v>18</v>
      </c>
      <c r="AC134" s="133"/>
      <c r="AD134" s="48">
        <f t="shared" si="352"/>
        <v>0</v>
      </c>
      <c r="AE134" s="196">
        <f t="shared" si="441"/>
        <v>0</v>
      </c>
      <c r="AF134" s="134"/>
      <c r="AG134" s="135"/>
      <c r="AH134" s="135"/>
      <c r="AI134" s="13">
        <f t="shared" si="405"/>
        <v>0</v>
      </c>
      <c r="AJ134" s="14">
        <f t="shared" si="416"/>
        <v>1004</v>
      </c>
      <c r="AK134" s="14">
        <f t="shared" ref="AK134:AK138" si="488">VLOOKUP($C134,LOHMANN,4,FALSE)</f>
        <v>0.16</v>
      </c>
      <c r="AL134" s="47">
        <f t="shared" si="285"/>
        <v>0</v>
      </c>
      <c r="AM134" s="35">
        <f t="shared" ref="AM134:AM138" si="489">VLOOKUP($C134,LOHMANN,5,FALSE)</f>
        <v>4.4800000000000013</v>
      </c>
      <c r="AN134" s="156">
        <f t="shared" si="423"/>
        <v>1.6618664547952462</v>
      </c>
      <c r="AO134" s="134"/>
      <c r="AP134" s="14">
        <f t="shared" ref="AP134:AP138" si="490">VLOOKUP($C134,LOHMANN,6,FALSE)</f>
        <v>79</v>
      </c>
      <c r="AQ134" s="442">
        <f t="shared" si="286"/>
        <v>0</v>
      </c>
      <c r="AR134" s="470">
        <f t="shared" si="353"/>
        <v>2768.0226307597868</v>
      </c>
      <c r="AS134" s="51">
        <f t="shared" ref="AS134:AS138" si="491">VLOOKUP($C134,LOHMANN,2,FALSE)</f>
        <v>1257</v>
      </c>
      <c r="AT134" s="103">
        <f t="shared" ref="AT134:AT138" si="492">AT133</f>
        <v>0</v>
      </c>
      <c r="AU134" s="46">
        <f t="shared" si="331"/>
        <v>1257</v>
      </c>
      <c r="AV134" s="51">
        <f t="shared" ref="AV134:AV138" si="493">VLOOKUP(AB134,LOHMANN,3,FALSE)</f>
        <v>86</v>
      </c>
      <c r="AW134" s="103">
        <f t="shared" ref="AW134:AW138" si="494">AW133</f>
        <v>0</v>
      </c>
      <c r="AX134" s="46">
        <f t="shared" si="307"/>
        <v>86</v>
      </c>
      <c r="AZ134" s="120">
        <f>AZ133+1</f>
        <v>13</v>
      </c>
      <c r="BA134" s="7">
        <f t="shared" ref="BA134:BA138" si="495">BA133</f>
        <v>18</v>
      </c>
      <c r="BB134" s="133"/>
      <c r="BC134" s="48">
        <f t="shared" si="482"/>
        <v>0</v>
      </c>
      <c r="BD134" s="196">
        <f t="shared" si="442"/>
        <v>0</v>
      </c>
      <c r="BE134" s="134"/>
      <c r="BF134" s="135"/>
      <c r="BG134" s="135"/>
      <c r="BH134" s="13">
        <f t="shared" si="409"/>
        <v>0</v>
      </c>
      <c r="BI134" s="14">
        <f t="shared" si="418"/>
        <v>1669</v>
      </c>
      <c r="BJ134" s="14">
        <f t="shared" ref="BJ134:BJ138" si="496">VLOOKUP($C134,LOHMANN,4,FALSE)</f>
        <v>0.16</v>
      </c>
      <c r="BK134" s="47">
        <f t="shared" si="301"/>
        <v>0</v>
      </c>
      <c r="BL134" s="35">
        <f t="shared" ref="BL134:BL138" si="497">VLOOKUP($C134,LOHMANN,5,FALSE)</f>
        <v>4.4800000000000013</v>
      </c>
      <c r="BM134" s="435">
        <f t="shared" si="370"/>
        <v>2.4165291170764198</v>
      </c>
      <c r="BN134" s="134"/>
      <c r="BO134" s="14">
        <f t="shared" ref="BO134:BO138" si="498">VLOOKUP($C134,LOHMANN,6,FALSE)</f>
        <v>79</v>
      </c>
      <c r="BP134" s="442">
        <f t="shared" si="302"/>
        <v>0</v>
      </c>
      <c r="BQ134" s="68">
        <f t="shared" si="304"/>
        <v>3515.4329427280113</v>
      </c>
      <c r="BR134" s="51">
        <f t="shared" ref="BR134:BR138" si="499">VLOOKUP($C134,LOHMANN,2,FALSE)</f>
        <v>1257</v>
      </c>
      <c r="BS134" s="103">
        <f t="shared" ref="BS134:BS138" si="500">BS133</f>
        <v>0</v>
      </c>
      <c r="BT134" s="46">
        <f t="shared" si="332"/>
        <v>1257</v>
      </c>
      <c r="BU134" s="51">
        <f t="shared" ref="BU134:BU138" si="501">VLOOKUP(BA134,LOHMANN,3,FALSE)</f>
        <v>86</v>
      </c>
      <c r="BV134" s="103">
        <f t="shared" ref="BV134:BV138" si="502">BV133</f>
        <v>0</v>
      </c>
      <c r="BW134" s="46">
        <f t="shared" si="308"/>
        <v>86</v>
      </c>
      <c r="BY134" s="120">
        <f>BY133+1</f>
        <v>13</v>
      </c>
      <c r="BZ134" s="7">
        <f t="shared" ref="BZ134:BZ138" si="503">BZ133</f>
        <v>18</v>
      </c>
      <c r="CA134" s="133"/>
      <c r="CB134" s="48">
        <f t="shared" si="483"/>
        <v>0</v>
      </c>
      <c r="CC134" s="196">
        <f t="shared" si="313"/>
        <v>0</v>
      </c>
      <c r="CD134" s="134"/>
      <c r="CE134" s="135"/>
      <c r="CF134" s="135"/>
      <c r="CG134" s="13">
        <f t="shared" si="314"/>
        <v>0</v>
      </c>
      <c r="CH134" s="14">
        <f t="shared" si="309"/>
        <v>4664</v>
      </c>
      <c r="CI134" s="14">
        <f t="shared" si="392"/>
        <v>0.16</v>
      </c>
      <c r="CJ134" s="47">
        <f t="shared" si="303"/>
        <v>0</v>
      </c>
      <c r="CK134" s="35">
        <f t="shared" si="393"/>
        <v>4.4800000000000013</v>
      </c>
      <c r="CL134" s="156">
        <f t="shared" si="424"/>
        <v>8.9763082430377796</v>
      </c>
      <c r="CM134" s="134"/>
      <c r="CN134" s="14">
        <f t="shared" si="394"/>
        <v>79</v>
      </c>
      <c r="CO134" s="442">
        <f t="shared" si="395"/>
        <v>0</v>
      </c>
      <c r="CP134" s="68">
        <f t="shared" si="296"/>
        <v>3996.0602157057042</v>
      </c>
      <c r="CQ134" s="51">
        <f t="shared" si="396"/>
        <v>1257</v>
      </c>
      <c r="CR134" s="103">
        <f t="shared" ref="CR134:CR138" si="504">CR133</f>
        <v>0</v>
      </c>
      <c r="CS134" s="46">
        <f t="shared" si="333"/>
        <v>1257</v>
      </c>
      <c r="CT134" s="51">
        <f t="shared" si="397"/>
        <v>86</v>
      </c>
      <c r="CU134" s="103">
        <f t="shared" ref="CU134:CU138" si="505">CU133</f>
        <v>0</v>
      </c>
      <c r="CV134" s="46">
        <f t="shared" si="299"/>
        <v>86</v>
      </c>
    </row>
    <row r="135" spans="2:100" ht="17.25" thickBot="1" x14ac:dyDescent="0.3">
      <c r="B135" s="120">
        <f t="shared" ref="B135:B138" si="506">B134+1</f>
        <v>13</v>
      </c>
      <c r="C135" s="7">
        <f t="shared" si="484"/>
        <v>18</v>
      </c>
      <c r="D135" s="133"/>
      <c r="E135" s="48">
        <f t="shared" si="421"/>
        <v>0</v>
      </c>
      <c r="F135" s="49">
        <f t="shared" si="422"/>
        <v>0</v>
      </c>
      <c r="G135" s="142"/>
      <c r="H135" s="135"/>
      <c r="I135" s="135"/>
      <c r="J135" s="14">
        <f t="shared" si="475"/>
        <v>0</v>
      </c>
      <c r="K135" s="14">
        <f t="shared" si="476"/>
        <v>9358</v>
      </c>
      <c r="L135" s="14">
        <f t="shared" si="387"/>
        <v>0.16</v>
      </c>
      <c r="M135" s="47">
        <f t="shared" ref="M135:M138" si="507">IFERROR((J135*100)/E135,0)</f>
        <v>0</v>
      </c>
      <c r="N135" s="35">
        <f t="shared" si="388"/>
        <v>4.4800000000000013</v>
      </c>
      <c r="O135" s="157">
        <f t="shared" si="477"/>
        <v>0</v>
      </c>
      <c r="P135" s="134"/>
      <c r="Q135" s="14">
        <f t="shared" si="389"/>
        <v>79</v>
      </c>
      <c r="R135" s="442">
        <f t="shared" ref="R135:R138" si="508">IFERROR((P135/E135)*1000,0)</f>
        <v>0</v>
      </c>
      <c r="S135" s="470">
        <f t="shared" si="478"/>
        <v>0</v>
      </c>
      <c r="T135" s="51">
        <f t="shared" si="390"/>
        <v>1257</v>
      </c>
      <c r="U135" s="103">
        <f t="shared" si="485"/>
        <v>0</v>
      </c>
      <c r="V135" s="46">
        <f t="shared" si="479"/>
        <v>1257</v>
      </c>
      <c r="W135" s="51">
        <f t="shared" si="480"/>
        <v>86</v>
      </c>
      <c r="X135" s="103">
        <f t="shared" si="486"/>
        <v>0</v>
      </c>
      <c r="Y135" s="46">
        <f t="shared" si="481"/>
        <v>86</v>
      </c>
      <c r="Z135" s="487"/>
      <c r="AA135" s="120">
        <f t="shared" ref="AA135:AA138" si="509">AA134+1</f>
        <v>13</v>
      </c>
      <c r="AB135" s="7">
        <f t="shared" si="487"/>
        <v>18</v>
      </c>
      <c r="AC135" s="133"/>
      <c r="AD135" s="48">
        <f t="shared" si="352"/>
        <v>0</v>
      </c>
      <c r="AE135" s="196">
        <f t="shared" si="441"/>
        <v>0</v>
      </c>
      <c r="AF135" s="134"/>
      <c r="AG135" s="135"/>
      <c r="AH135" s="135"/>
      <c r="AI135" s="14">
        <f t="shared" si="405"/>
        <v>0</v>
      </c>
      <c r="AJ135" s="14">
        <f t="shared" si="416"/>
        <v>1004</v>
      </c>
      <c r="AK135" s="14">
        <f t="shared" si="488"/>
        <v>0.16</v>
      </c>
      <c r="AL135" s="47">
        <f t="shared" ref="AL135:AL138" si="510">IFERROR((AI135*100)/AD135,0)</f>
        <v>0</v>
      </c>
      <c r="AM135" s="35">
        <f t="shared" si="489"/>
        <v>4.4800000000000013</v>
      </c>
      <c r="AN135" s="156">
        <f t="shared" si="423"/>
        <v>1.6618664547952462</v>
      </c>
      <c r="AO135" s="134"/>
      <c r="AP135" s="14">
        <f t="shared" si="490"/>
        <v>79</v>
      </c>
      <c r="AQ135" s="442">
        <f t="shared" ref="AQ135:AQ138" si="511">IFERROR((AO135/AD135)*1000,0)</f>
        <v>0</v>
      </c>
      <c r="AR135" s="470">
        <f t="shared" si="353"/>
        <v>2768.0226307597868</v>
      </c>
      <c r="AS135" s="51">
        <f t="shared" si="491"/>
        <v>1257</v>
      </c>
      <c r="AT135" s="103">
        <f t="shared" si="492"/>
        <v>0</v>
      </c>
      <c r="AU135" s="46">
        <f t="shared" si="331"/>
        <v>1257</v>
      </c>
      <c r="AV135" s="51">
        <f t="shared" si="493"/>
        <v>86</v>
      </c>
      <c r="AW135" s="103">
        <f t="shared" si="494"/>
        <v>0</v>
      </c>
      <c r="AX135" s="46">
        <f t="shared" si="307"/>
        <v>86</v>
      </c>
      <c r="AZ135" s="120">
        <f t="shared" ref="AZ135:AZ138" si="512">AZ134+1</f>
        <v>14</v>
      </c>
      <c r="BA135" s="7">
        <f t="shared" si="495"/>
        <v>18</v>
      </c>
      <c r="BB135" s="133"/>
      <c r="BC135" s="48">
        <f t="shared" si="482"/>
        <v>0</v>
      </c>
      <c r="BD135" s="196">
        <f t="shared" si="442"/>
        <v>0</v>
      </c>
      <c r="BE135" s="134"/>
      <c r="BF135" s="135"/>
      <c r="BG135" s="135"/>
      <c r="BH135" s="14">
        <f t="shared" si="409"/>
        <v>0</v>
      </c>
      <c r="BI135" s="14">
        <f t="shared" si="418"/>
        <v>1669</v>
      </c>
      <c r="BJ135" s="14">
        <f t="shared" si="496"/>
        <v>0.16</v>
      </c>
      <c r="BK135" s="47">
        <f t="shared" si="301"/>
        <v>0</v>
      </c>
      <c r="BL135" s="35">
        <f t="shared" si="497"/>
        <v>4.4800000000000013</v>
      </c>
      <c r="BM135" s="435">
        <f t="shared" si="370"/>
        <v>2.4165291170764198</v>
      </c>
      <c r="BN135" s="134"/>
      <c r="BO135" s="14">
        <f t="shared" si="498"/>
        <v>79</v>
      </c>
      <c r="BP135" s="442">
        <f t="shared" si="302"/>
        <v>0</v>
      </c>
      <c r="BQ135" s="68">
        <f t="shared" si="304"/>
        <v>3515.4329427280113</v>
      </c>
      <c r="BR135" s="51">
        <f t="shared" si="499"/>
        <v>1257</v>
      </c>
      <c r="BS135" s="103">
        <f t="shared" si="500"/>
        <v>0</v>
      </c>
      <c r="BT135" s="46">
        <f t="shared" si="332"/>
        <v>1257</v>
      </c>
      <c r="BU135" s="51">
        <f t="shared" si="501"/>
        <v>86</v>
      </c>
      <c r="BV135" s="103">
        <f t="shared" si="502"/>
        <v>0</v>
      </c>
      <c r="BW135" s="46">
        <f t="shared" si="308"/>
        <v>86</v>
      </c>
      <c r="BY135" s="120">
        <f t="shared" ref="BY135:BY138" si="513">BY134+1</f>
        <v>14</v>
      </c>
      <c r="BZ135" s="7">
        <f t="shared" si="503"/>
        <v>18</v>
      </c>
      <c r="CA135" s="133"/>
      <c r="CB135" s="48">
        <f t="shared" si="483"/>
        <v>0</v>
      </c>
      <c r="CC135" s="196">
        <f t="shared" si="313"/>
        <v>0</v>
      </c>
      <c r="CD135" s="134"/>
      <c r="CE135" s="135"/>
      <c r="CF135" s="135"/>
      <c r="CG135" s="14">
        <f t="shared" si="314"/>
        <v>0</v>
      </c>
      <c r="CH135" s="14">
        <f t="shared" si="309"/>
        <v>4664</v>
      </c>
      <c r="CI135" s="14">
        <f t="shared" si="392"/>
        <v>0.16</v>
      </c>
      <c r="CJ135" s="47">
        <f t="shared" si="303"/>
        <v>0</v>
      </c>
      <c r="CK135" s="35">
        <f t="shared" si="393"/>
        <v>4.4800000000000013</v>
      </c>
      <c r="CL135" s="156">
        <f t="shared" si="424"/>
        <v>8.9763082430377796</v>
      </c>
      <c r="CM135" s="134"/>
      <c r="CN135" s="14">
        <f t="shared" si="394"/>
        <v>79</v>
      </c>
      <c r="CO135" s="442">
        <f t="shared" si="395"/>
        <v>0</v>
      </c>
      <c r="CP135" s="68">
        <f t="shared" ref="CP135:CP138" si="514">CP134+CO135</f>
        <v>3996.0602157057042</v>
      </c>
      <c r="CQ135" s="51">
        <f t="shared" si="396"/>
        <v>1257</v>
      </c>
      <c r="CR135" s="103">
        <f t="shared" si="504"/>
        <v>0</v>
      </c>
      <c r="CS135" s="46">
        <f t="shared" si="333"/>
        <v>1257</v>
      </c>
      <c r="CT135" s="51">
        <f t="shared" si="397"/>
        <v>86</v>
      </c>
      <c r="CU135" s="103">
        <f t="shared" si="505"/>
        <v>0</v>
      </c>
      <c r="CV135" s="46">
        <f t="shared" ref="CV135:CV138" si="515">CT135-CU135</f>
        <v>86</v>
      </c>
    </row>
    <row r="136" spans="2:100" ht="17.25" thickBot="1" x14ac:dyDescent="0.3">
      <c r="B136" s="120">
        <f t="shared" si="506"/>
        <v>14</v>
      </c>
      <c r="C136" s="7">
        <f t="shared" si="484"/>
        <v>18</v>
      </c>
      <c r="D136" s="133"/>
      <c r="E136" s="48">
        <f t="shared" si="421"/>
        <v>0</v>
      </c>
      <c r="F136" s="49">
        <f t="shared" si="422"/>
        <v>0</v>
      </c>
      <c r="G136" s="142"/>
      <c r="H136" s="135"/>
      <c r="I136" s="135"/>
      <c r="J136" s="31">
        <f t="shared" si="475"/>
        <v>0</v>
      </c>
      <c r="K136" s="14">
        <f t="shared" si="476"/>
        <v>9358</v>
      </c>
      <c r="L136" s="14">
        <f t="shared" si="387"/>
        <v>0.16</v>
      </c>
      <c r="M136" s="47">
        <f t="shared" si="507"/>
        <v>0</v>
      </c>
      <c r="N136" s="35">
        <f t="shared" si="388"/>
        <v>4.4800000000000013</v>
      </c>
      <c r="O136" s="157">
        <f t="shared" si="477"/>
        <v>0</v>
      </c>
      <c r="P136" s="134"/>
      <c r="Q136" s="14">
        <f t="shared" si="389"/>
        <v>79</v>
      </c>
      <c r="R136" s="442">
        <f t="shared" si="508"/>
        <v>0</v>
      </c>
      <c r="S136" s="470">
        <f t="shared" si="478"/>
        <v>0</v>
      </c>
      <c r="T136" s="51">
        <f t="shared" si="390"/>
        <v>1257</v>
      </c>
      <c r="U136" s="103">
        <f t="shared" si="485"/>
        <v>0</v>
      </c>
      <c r="V136" s="46">
        <f t="shared" si="479"/>
        <v>1257</v>
      </c>
      <c r="W136" s="12">
        <f t="shared" si="480"/>
        <v>86</v>
      </c>
      <c r="X136" s="103">
        <f t="shared" si="486"/>
        <v>0</v>
      </c>
      <c r="Y136" s="46">
        <f t="shared" si="481"/>
        <v>86</v>
      </c>
      <c r="Z136" s="487"/>
      <c r="AA136" s="120">
        <f t="shared" si="509"/>
        <v>14</v>
      </c>
      <c r="AB136" s="7">
        <f t="shared" si="487"/>
        <v>18</v>
      </c>
      <c r="AC136" s="133"/>
      <c r="AD136" s="48">
        <f t="shared" si="352"/>
        <v>0</v>
      </c>
      <c r="AE136" s="49">
        <f t="shared" si="441"/>
        <v>0</v>
      </c>
      <c r="AF136" s="134"/>
      <c r="AG136" s="135"/>
      <c r="AH136" s="135"/>
      <c r="AI136" s="31">
        <f t="shared" si="405"/>
        <v>0</v>
      </c>
      <c r="AJ136" s="14">
        <f t="shared" si="416"/>
        <v>1004</v>
      </c>
      <c r="AK136" s="14">
        <f t="shared" si="488"/>
        <v>0.16</v>
      </c>
      <c r="AL136" s="47">
        <f t="shared" si="510"/>
        <v>0</v>
      </c>
      <c r="AM136" s="35">
        <f t="shared" si="489"/>
        <v>4.4800000000000013</v>
      </c>
      <c r="AN136" s="156">
        <f t="shared" si="423"/>
        <v>1.6618664547952462</v>
      </c>
      <c r="AO136" s="134"/>
      <c r="AP136" s="14">
        <f t="shared" si="490"/>
        <v>79</v>
      </c>
      <c r="AQ136" s="442">
        <f t="shared" si="511"/>
        <v>0</v>
      </c>
      <c r="AR136" s="470">
        <f t="shared" si="353"/>
        <v>2768.0226307597868</v>
      </c>
      <c r="AS136" s="51">
        <f t="shared" si="491"/>
        <v>1257</v>
      </c>
      <c r="AT136" s="103">
        <f t="shared" si="492"/>
        <v>0</v>
      </c>
      <c r="AU136" s="46">
        <f t="shared" si="331"/>
        <v>1257</v>
      </c>
      <c r="AV136" s="12">
        <f t="shared" si="493"/>
        <v>86</v>
      </c>
      <c r="AW136" s="103">
        <f t="shared" si="494"/>
        <v>0</v>
      </c>
      <c r="AX136" s="46">
        <f t="shared" si="307"/>
        <v>86</v>
      </c>
      <c r="AZ136" s="120">
        <f t="shared" si="512"/>
        <v>15</v>
      </c>
      <c r="BA136" s="7">
        <f t="shared" si="495"/>
        <v>18</v>
      </c>
      <c r="BB136" s="133"/>
      <c r="BC136" s="48">
        <f t="shared" si="482"/>
        <v>0</v>
      </c>
      <c r="BD136" s="49">
        <f t="shared" si="442"/>
        <v>0</v>
      </c>
      <c r="BE136" s="134"/>
      <c r="BF136" s="135"/>
      <c r="BG136" s="135"/>
      <c r="BH136" s="31">
        <f t="shared" si="409"/>
        <v>0</v>
      </c>
      <c r="BI136" s="14">
        <f t="shared" si="418"/>
        <v>1669</v>
      </c>
      <c r="BJ136" s="14">
        <f t="shared" si="496"/>
        <v>0.16</v>
      </c>
      <c r="BK136" s="47">
        <f t="shared" ref="BK136:BK138" si="516">IFERROR((BH136*100)/BC136,0)</f>
        <v>0</v>
      </c>
      <c r="BL136" s="35">
        <f t="shared" si="497"/>
        <v>4.4800000000000013</v>
      </c>
      <c r="BM136" s="435">
        <f t="shared" si="370"/>
        <v>2.4165291170764198</v>
      </c>
      <c r="BN136" s="134"/>
      <c r="BO136" s="14">
        <f t="shared" si="498"/>
        <v>79</v>
      </c>
      <c r="BP136" s="442">
        <f t="shared" ref="BP136:BP138" si="517">IFERROR((BN136/BC136)*1000,0)</f>
        <v>0</v>
      </c>
      <c r="BQ136" s="68">
        <f t="shared" si="304"/>
        <v>3515.4329427280113</v>
      </c>
      <c r="BR136" s="51">
        <f t="shared" si="499"/>
        <v>1257</v>
      </c>
      <c r="BS136" s="103">
        <f t="shared" si="500"/>
        <v>0</v>
      </c>
      <c r="BT136" s="46">
        <f t="shared" si="332"/>
        <v>1257</v>
      </c>
      <c r="BU136" s="12">
        <f t="shared" si="501"/>
        <v>86</v>
      </c>
      <c r="BV136" s="103">
        <f t="shared" si="502"/>
        <v>0</v>
      </c>
      <c r="BW136" s="46">
        <f t="shared" si="308"/>
        <v>86</v>
      </c>
      <c r="BY136" s="120">
        <f t="shared" si="513"/>
        <v>15</v>
      </c>
      <c r="BZ136" s="7">
        <f t="shared" si="503"/>
        <v>18</v>
      </c>
      <c r="CA136" s="133"/>
      <c r="CB136" s="48">
        <f t="shared" si="483"/>
        <v>0</v>
      </c>
      <c r="CC136" s="49">
        <f t="shared" si="313"/>
        <v>0</v>
      </c>
      <c r="CD136" s="134"/>
      <c r="CE136" s="135"/>
      <c r="CF136" s="135"/>
      <c r="CG136" s="31">
        <f t="shared" si="314"/>
        <v>0</v>
      </c>
      <c r="CH136" s="14">
        <f t="shared" si="309"/>
        <v>4664</v>
      </c>
      <c r="CI136" s="14">
        <f t="shared" si="392"/>
        <v>0.16</v>
      </c>
      <c r="CJ136" s="47">
        <f t="shared" ref="CJ136:CJ137" si="518">IFERROR((CG136*1000)/CB136,0)</f>
        <v>0</v>
      </c>
      <c r="CK136" s="35">
        <f t="shared" si="393"/>
        <v>4.4800000000000013</v>
      </c>
      <c r="CL136" s="156">
        <f t="shared" si="424"/>
        <v>8.9763082430377796</v>
      </c>
      <c r="CM136" s="134"/>
      <c r="CN136" s="14">
        <f t="shared" si="394"/>
        <v>79</v>
      </c>
      <c r="CO136" s="442">
        <f t="shared" si="395"/>
        <v>0</v>
      </c>
      <c r="CP136" s="68">
        <f t="shared" si="514"/>
        <v>3996.0602157057042</v>
      </c>
      <c r="CQ136" s="51">
        <f t="shared" si="396"/>
        <v>1257</v>
      </c>
      <c r="CR136" s="103">
        <f t="shared" si="504"/>
        <v>0</v>
      </c>
      <c r="CS136" s="46">
        <f t="shared" si="333"/>
        <v>1257</v>
      </c>
      <c r="CT136" s="12">
        <f t="shared" si="397"/>
        <v>86</v>
      </c>
      <c r="CU136" s="103">
        <f t="shared" si="505"/>
        <v>0</v>
      </c>
      <c r="CV136" s="46">
        <f t="shared" si="515"/>
        <v>86</v>
      </c>
    </row>
    <row r="137" spans="2:100" ht="17.25" thickBot="1" x14ac:dyDescent="0.3">
      <c r="B137" s="120">
        <f t="shared" si="506"/>
        <v>15</v>
      </c>
      <c r="C137" s="7">
        <f t="shared" si="484"/>
        <v>18</v>
      </c>
      <c r="D137" s="133"/>
      <c r="E137" s="48">
        <f t="shared" si="421"/>
        <v>0</v>
      </c>
      <c r="F137" s="49">
        <f t="shared" si="422"/>
        <v>0</v>
      </c>
      <c r="G137" s="142"/>
      <c r="H137" s="135"/>
      <c r="I137" s="135"/>
      <c r="J137" s="14">
        <f t="shared" si="475"/>
        <v>0</v>
      </c>
      <c r="K137" s="14">
        <f t="shared" si="476"/>
        <v>9358</v>
      </c>
      <c r="L137" s="14">
        <f t="shared" si="387"/>
        <v>0.16</v>
      </c>
      <c r="M137" s="47">
        <f t="shared" si="507"/>
        <v>0</v>
      </c>
      <c r="N137" s="35">
        <f t="shared" si="388"/>
        <v>4.4800000000000013</v>
      </c>
      <c r="O137" s="157">
        <f t="shared" si="477"/>
        <v>0</v>
      </c>
      <c r="P137" s="134"/>
      <c r="Q137" s="14">
        <f t="shared" si="389"/>
        <v>79</v>
      </c>
      <c r="R137" s="480">
        <f t="shared" si="508"/>
        <v>0</v>
      </c>
      <c r="S137" s="470">
        <f t="shared" si="478"/>
        <v>0</v>
      </c>
      <c r="T137" s="51">
        <f t="shared" si="390"/>
        <v>1257</v>
      </c>
      <c r="U137" s="103">
        <f t="shared" si="485"/>
        <v>0</v>
      </c>
      <c r="V137" s="46">
        <f t="shared" si="479"/>
        <v>1257</v>
      </c>
      <c r="W137" s="50">
        <f t="shared" si="480"/>
        <v>86</v>
      </c>
      <c r="X137" s="103">
        <f t="shared" si="486"/>
        <v>0</v>
      </c>
      <c r="Y137" s="62">
        <f t="shared" si="481"/>
        <v>86</v>
      </c>
      <c r="Z137" s="487"/>
      <c r="AA137" s="120">
        <f t="shared" si="509"/>
        <v>15</v>
      </c>
      <c r="AB137" s="7">
        <f t="shared" si="487"/>
        <v>18</v>
      </c>
      <c r="AC137" s="133"/>
      <c r="AD137" s="48">
        <f t="shared" si="352"/>
        <v>0</v>
      </c>
      <c r="AE137" s="447">
        <f t="shared" si="441"/>
        <v>0</v>
      </c>
      <c r="AF137" s="134"/>
      <c r="AG137" s="135"/>
      <c r="AH137" s="135"/>
      <c r="AI137" s="14">
        <f t="shared" si="405"/>
        <v>0</v>
      </c>
      <c r="AJ137" s="14">
        <f t="shared" si="416"/>
        <v>1004</v>
      </c>
      <c r="AK137" s="14">
        <f t="shared" si="488"/>
        <v>0.16</v>
      </c>
      <c r="AL137" s="47">
        <f t="shared" si="510"/>
        <v>0</v>
      </c>
      <c r="AM137" s="35">
        <f t="shared" si="489"/>
        <v>4.4800000000000013</v>
      </c>
      <c r="AN137" s="156">
        <f t="shared" si="423"/>
        <v>1.6618664547952462</v>
      </c>
      <c r="AO137" s="134"/>
      <c r="AP137" s="14">
        <f t="shared" si="490"/>
        <v>79</v>
      </c>
      <c r="AQ137" s="480">
        <f t="shared" si="511"/>
        <v>0</v>
      </c>
      <c r="AR137" s="470">
        <f t="shared" si="353"/>
        <v>2768.0226307597868</v>
      </c>
      <c r="AS137" s="51">
        <f t="shared" si="491"/>
        <v>1257</v>
      </c>
      <c r="AT137" s="103">
        <f t="shared" si="492"/>
        <v>0</v>
      </c>
      <c r="AU137" s="46">
        <f t="shared" si="331"/>
        <v>1257</v>
      </c>
      <c r="AV137" s="50">
        <f t="shared" si="493"/>
        <v>86</v>
      </c>
      <c r="AW137" s="103">
        <f t="shared" si="494"/>
        <v>0</v>
      </c>
      <c r="AX137" s="62">
        <f t="shared" si="307"/>
        <v>86</v>
      </c>
      <c r="AZ137" s="120">
        <f t="shared" si="512"/>
        <v>16</v>
      </c>
      <c r="BA137" s="7">
        <f t="shared" si="495"/>
        <v>18</v>
      </c>
      <c r="BB137" s="133"/>
      <c r="BC137" s="48">
        <f t="shared" si="482"/>
        <v>0</v>
      </c>
      <c r="BD137" s="447">
        <f t="shared" si="442"/>
        <v>0</v>
      </c>
      <c r="BE137" s="134"/>
      <c r="BF137" s="135"/>
      <c r="BG137" s="135"/>
      <c r="BH137" s="14">
        <f t="shared" si="409"/>
        <v>0</v>
      </c>
      <c r="BI137" s="14">
        <f t="shared" si="418"/>
        <v>1669</v>
      </c>
      <c r="BJ137" s="14">
        <f t="shared" si="496"/>
        <v>0.16</v>
      </c>
      <c r="BK137" s="47">
        <f t="shared" si="516"/>
        <v>0</v>
      </c>
      <c r="BL137" s="35">
        <f t="shared" si="497"/>
        <v>4.4800000000000013</v>
      </c>
      <c r="BM137" s="435">
        <f t="shared" si="370"/>
        <v>2.4165291170764198</v>
      </c>
      <c r="BN137" s="134"/>
      <c r="BO137" s="14">
        <f t="shared" si="498"/>
        <v>79</v>
      </c>
      <c r="BP137" s="442">
        <f t="shared" si="517"/>
        <v>0</v>
      </c>
      <c r="BQ137" s="68">
        <f t="shared" ref="BQ137:BQ138" si="519">BQ136+BP137</f>
        <v>3515.4329427280113</v>
      </c>
      <c r="BR137" s="51">
        <f t="shared" si="499"/>
        <v>1257</v>
      </c>
      <c r="BS137" s="103">
        <f t="shared" si="500"/>
        <v>0</v>
      </c>
      <c r="BT137" s="46">
        <f t="shared" si="332"/>
        <v>1257</v>
      </c>
      <c r="BU137" s="50">
        <f t="shared" si="501"/>
        <v>86</v>
      </c>
      <c r="BV137" s="103">
        <f t="shared" si="502"/>
        <v>0</v>
      </c>
      <c r="BW137" s="62">
        <f t="shared" si="308"/>
        <v>86</v>
      </c>
      <c r="BY137" s="120">
        <f t="shared" si="513"/>
        <v>16</v>
      </c>
      <c r="BZ137" s="7">
        <f t="shared" si="503"/>
        <v>18</v>
      </c>
      <c r="CA137" s="133"/>
      <c r="CB137" s="48">
        <f t="shared" si="483"/>
        <v>0</v>
      </c>
      <c r="CC137" s="447">
        <f t="shared" si="313"/>
        <v>0</v>
      </c>
      <c r="CD137" s="134"/>
      <c r="CE137" s="135"/>
      <c r="CF137" s="135"/>
      <c r="CG137" s="14">
        <f t="shared" si="314"/>
        <v>0</v>
      </c>
      <c r="CH137" s="14">
        <f t="shared" si="309"/>
        <v>4664</v>
      </c>
      <c r="CI137" s="14">
        <f t="shared" si="392"/>
        <v>0.16</v>
      </c>
      <c r="CJ137" s="47">
        <f t="shared" si="518"/>
        <v>0</v>
      </c>
      <c r="CK137" s="35">
        <f t="shared" si="393"/>
        <v>4.4800000000000013</v>
      </c>
      <c r="CL137" s="156">
        <f t="shared" si="424"/>
        <v>8.9763082430377796</v>
      </c>
      <c r="CM137" s="134"/>
      <c r="CN137" s="14">
        <f t="shared" si="394"/>
        <v>79</v>
      </c>
      <c r="CO137" s="442">
        <f t="shared" si="395"/>
        <v>0</v>
      </c>
      <c r="CP137" s="68">
        <f t="shared" si="514"/>
        <v>3996.0602157057042</v>
      </c>
      <c r="CQ137" s="51">
        <f t="shared" si="396"/>
        <v>1257</v>
      </c>
      <c r="CR137" s="103">
        <f t="shared" si="504"/>
        <v>0</v>
      </c>
      <c r="CS137" s="46">
        <f t="shared" si="333"/>
        <v>1257</v>
      </c>
      <c r="CT137" s="50">
        <f t="shared" si="397"/>
        <v>86</v>
      </c>
      <c r="CU137" s="103">
        <f t="shared" si="505"/>
        <v>0</v>
      </c>
      <c r="CV137" s="62">
        <f t="shared" si="515"/>
        <v>86</v>
      </c>
    </row>
    <row r="138" spans="2:100" ht="17.25" thickBot="1" x14ac:dyDescent="0.3">
      <c r="B138" s="197">
        <f t="shared" si="506"/>
        <v>16</v>
      </c>
      <c r="C138" s="8">
        <f t="shared" si="484"/>
        <v>18</v>
      </c>
      <c r="D138" s="136"/>
      <c r="E138" s="54">
        <f t="shared" si="421"/>
        <v>0</v>
      </c>
      <c r="F138" s="448">
        <f t="shared" si="422"/>
        <v>0</v>
      </c>
      <c r="G138" s="139"/>
      <c r="H138" s="138"/>
      <c r="I138" s="138"/>
      <c r="J138" s="34">
        <f t="shared" si="475"/>
        <v>0</v>
      </c>
      <c r="K138" s="32">
        <f t="shared" si="476"/>
        <v>9358</v>
      </c>
      <c r="L138" s="32">
        <f t="shared" si="387"/>
        <v>0.16</v>
      </c>
      <c r="M138" s="96">
        <f t="shared" si="507"/>
        <v>0</v>
      </c>
      <c r="N138" s="36">
        <f t="shared" si="388"/>
        <v>4.4800000000000013</v>
      </c>
      <c r="O138" s="156">
        <f t="shared" si="477"/>
        <v>0</v>
      </c>
      <c r="P138" s="137"/>
      <c r="Q138" s="32">
        <f t="shared" si="389"/>
        <v>79</v>
      </c>
      <c r="R138" s="443">
        <f t="shared" si="508"/>
        <v>0</v>
      </c>
      <c r="S138" s="471">
        <f t="shared" si="478"/>
        <v>0</v>
      </c>
      <c r="T138" s="56">
        <f t="shared" si="390"/>
        <v>1257</v>
      </c>
      <c r="U138" s="109">
        <f t="shared" si="485"/>
        <v>0</v>
      </c>
      <c r="V138" s="53">
        <f t="shared" si="479"/>
        <v>1257</v>
      </c>
      <c r="W138" s="56">
        <f t="shared" si="480"/>
        <v>86</v>
      </c>
      <c r="X138" s="109">
        <f t="shared" si="486"/>
        <v>0</v>
      </c>
      <c r="Y138" s="53">
        <f t="shared" si="481"/>
        <v>86</v>
      </c>
      <c r="Z138" s="487"/>
      <c r="AA138" s="197">
        <f t="shared" si="509"/>
        <v>16</v>
      </c>
      <c r="AB138" s="8">
        <f t="shared" si="487"/>
        <v>18</v>
      </c>
      <c r="AC138" s="136"/>
      <c r="AD138" s="54">
        <f t="shared" si="352"/>
        <v>0</v>
      </c>
      <c r="AE138" s="55">
        <f t="shared" si="441"/>
        <v>0</v>
      </c>
      <c r="AF138" s="137"/>
      <c r="AG138" s="138"/>
      <c r="AH138" s="138"/>
      <c r="AI138" s="34">
        <f t="shared" si="405"/>
        <v>0</v>
      </c>
      <c r="AJ138" s="32">
        <f t="shared" si="416"/>
        <v>1004</v>
      </c>
      <c r="AK138" s="32">
        <f t="shared" si="488"/>
        <v>0.16</v>
      </c>
      <c r="AL138" s="96">
        <f t="shared" si="510"/>
        <v>0</v>
      </c>
      <c r="AM138" s="36">
        <f t="shared" si="489"/>
        <v>4.4800000000000013</v>
      </c>
      <c r="AN138" s="156">
        <f t="shared" si="423"/>
        <v>1.6618664547952462</v>
      </c>
      <c r="AO138" s="137"/>
      <c r="AP138" s="32">
        <f t="shared" si="490"/>
        <v>79</v>
      </c>
      <c r="AQ138" s="443">
        <f t="shared" si="511"/>
        <v>0</v>
      </c>
      <c r="AR138" s="471">
        <f t="shared" si="353"/>
        <v>2768.0226307597868</v>
      </c>
      <c r="AS138" s="56">
        <f t="shared" si="491"/>
        <v>1257</v>
      </c>
      <c r="AT138" s="109">
        <f t="shared" si="492"/>
        <v>0</v>
      </c>
      <c r="AU138" s="53">
        <f t="shared" si="331"/>
        <v>1257</v>
      </c>
      <c r="AV138" s="56">
        <f t="shared" si="493"/>
        <v>86</v>
      </c>
      <c r="AW138" s="109">
        <f t="shared" si="494"/>
        <v>0</v>
      </c>
      <c r="AX138" s="53">
        <f t="shared" si="307"/>
        <v>86</v>
      </c>
      <c r="AZ138" s="119">
        <f t="shared" si="512"/>
        <v>17</v>
      </c>
      <c r="BA138" s="8">
        <f t="shared" si="495"/>
        <v>18</v>
      </c>
      <c r="BB138" s="136"/>
      <c r="BC138" s="54">
        <f t="shared" si="482"/>
        <v>0</v>
      </c>
      <c r="BD138" s="55">
        <f t="shared" si="442"/>
        <v>0</v>
      </c>
      <c r="BE138" s="137"/>
      <c r="BF138" s="138"/>
      <c r="BG138" s="138"/>
      <c r="BH138" s="34">
        <f t="shared" si="409"/>
        <v>0</v>
      </c>
      <c r="BI138" s="32">
        <f t="shared" si="418"/>
        <v>1669</v>
      </c>
      <c r="BJ138" s="32">
        <f t="shared" si="496"/>
        <v>0.16</v>
      </c>
      <c r="BK138" s="96">
        <f t="shared" si="516"/>
        <v>0</v>
      </c>
      <c r="BL138" s="36">
        <f t="shared" si="497"/>
        <v>4.4800000000000013</v>
      </c>
      <c r="BM138" s="435">
        <f t="shared" si="370"/>
        <v>2.4165291170764198</v>
      </c>
      <c r="BN138" s="137"/>
      <c r="BO138" s="32">
        <f t="shared" si="498"/>
        <v>79</v>
      </c>
      <c r="BP138" s="443">
        <f t="shared" si="517"/>
        <v>0</v>
      </c>
      <c r="BQ138" s="70">
        <f t="shared" si="519"/>
        <v>3515.4329427280113</v>
      </c>
      <c r="BR138" s="56">
        <f t="shared" si="499"/>
        <v>1257</v>
      </c>
      <c r="BS138" s="109">
        <f t="shared" si="500"/>
        <v>0</v>
      </c>
      <c r="BT138" s="53">
        <f t="shared" si="332"/>
        <v>1257</v>
      </c>
      <c r="BU138" s="56">
        <f t="shared" si="501"/>
        <v>86</v>
      </c>
      <c r="BV138" s="109">
        <f t="shared" si="502"/>
        <v>0</v>
      </c>
      <c r="BW138" s="53">
        <f t="shared" si="308"/>
        <v>86</v>
      </c>
      <c r="BY138" s="119">
        <f t="shared" si="513"/>
        <v>17</v>
      </c>
      <c r="BZ138" s="8">
        <f t="shared" si="503"/>
        <v>18</v>
      </c>
      <c r="CA138" s="136"/>
      <c r="CB138" s="54">
        <f t="shared" si="483"/>
        <v>0</v>
      </c>
      <c r="CC138" s="55">
        <f t="shared" si="313"/>
        <v>0</v>
      </c>
      <c r="CD138" s="137"/>
      <c r="CE138" s="138"/>
      <c r="CF138" s="138"/>
      <c r="CG138" s="34">
        <f t="shared" si="314"/>
        <v>0</v>
      </c>
      <c r="CH138" s="32">
        <f t="shared" si="309"/>
        <v>4664</v>
      </c>
      <c r="CI138" s="32">
        <f t="shared" si="392"/>
        <v>0.16</v>
      </c>
      <c r="CJ138" s="96">
        <f>IFERROR((CG138*1000)/CB138,0)</f>
        <v>0</v>
      </c>
      <c r="CK138" s="36">
        <f t="shared" si="393"/>
        <v>4.4800000000000013</v>
      </c>
      <c r="CL138" s="156">
        <f t="shared" si="424"/>
        <v>8.9763082430377796</v>
      </c>
      <c r="CM138" s="137"/>
      <c r="CN138" s="32">
        <f t="shared" si="394"/>
        <v>79</v>
      </c>
      <c r="CO138" s="443">
        <f t="shared" si="395"/>
        <v>0</v>
      </c>
      <c r="CP138" s="70">
        <f t="shared" si="514"/>
        <v>3996.0602157057042</v>
      </c>
      <c r="CQ138" s="56">
        <f t="shared" si="396"/>
        <v>1257</v>
      </c>
      <c r="CR138" s="109">
        <f t="shared" si="504"/>
        <v>0</v>
      </c>
      <c r="CS138" s="53">
        <f t="shared" si="333"/>
        <v>1257</v>
      </c>
      <c r="CT138" s="56">
        <f t="shared" si="397"/>
        <v>86</v>
      </c>
      <c r="CU138" s="109">
        <f t="shared" si="505"/>
        <v>0</v>
      </c>
      <c r="CV138" s="53">
        <f t="shared" si="515"/>
        <v>86</v>
      </c>
    </row>
    <row r="139" spans="2:100" x14ac:dyDescent="0.25">
      <c r="B139" s="455"/>
      <c r="C139" s="456"/>
      <c r="D139" s="455"/>
      <c r="E139" s="457"/>
      <c r="F139" s="457"/>
      <c r="G139" s="458"/>
      <c r="H139" s="458"/>
      <c r="I139" s="458"/>
      <c r="J139" s="459"/>
      <c r="K139" s="459"/>
      <c r="L139" s="459"/>
      <c r="M139" s="460"/>
      <c r="N139" s="461"/>
      <c r="O139" s="460"/>
      <c r="P139" s="458"/>
      <c r="Q139" s="459"/>
      <c r="R139" s="462"/>
      <c r="S139" s="457"/>
      <c r="T139" s="459"/>
      <c r="U139" s="463"/>
      <c r="V139" s="459"/>
      <c r="W139" s="459"/>
      <c r="X139" s="463"/>
      <c r="Y139" s="459"/>
      <c r="Z139" s="487"/>
      <c r="AA139" s="455"/>
      <c r="AB139" s="456"/>
      <c r="AC139" s="455"/>
      <c r="AD139" s="457"/>
      <c r="AE139" s="457"/>
      <c r="AF139" s="458"/>
      <c r="AG139" s="458"/>
      <c r="AH139" s="458"/>
      <c r="AI139" s="459"/>
      <c r="AJ139" s="459"/>
      <c r="AK139" s="459"/>
      <c r="AL139" s="460"/>
      <c r="AM139" s="461"/>
      <c r="AN139" s="460"/>
      <c r="AO139" s="458"/>
      <c r="AP139" s="459"/>
      <c r="AQ139" s="462"/>
      <c r="AR139" s="457"/>
      <c r="AS139" s="459"/>
      <c r="AT139" s="463"/>
      <c r="AU139" s="459"/>
      <c r="AV139" s="459"/>
      <c r="AW139" s="463"/>
      <c r="AX139" s="459"/>
      <c r="AZ139" s="670"/>
      <c r="BA139" s="456"/>
      <c r="BB139" s="455"/>
      <c r="BC139" s="459"/>
      <c r="BD139" s="459"/>
      <c r="BE139" s="458"/>
      <c r="BF139" s="458"/>
      <c r="BG139" s="458"/>
      <c r="BH139" s="459"/>
      <c r="BI139" s="459"/>
      <c r="BJ139" s="459"/>
      <c r="BK139" s="460"/>
      <c r="BL139" s="461"/>
      <c r="BM139" s="460"/>
      <c r="BN139" s="458"/>
      <c r="BO139" s="459"/>
      <c r="BP139" s="457"/>
      <c r="BQ139" s="457"/>
      <c r="BR139" s="459"/>
      <c r="BS139" s="463"/>
      <c r="BT139" s="459"/>
      <c r="BU139" s="459"/>
      <c r="BV139" s="463"/>
      <c r="BW139" s="459"/>
      <c r="BY139" s="670"/>
      <c r="BZ139" s="456"/>
      <c r="CA139" s="455"/>
      <c r="CB139" s="459"/>
      <c r="CC139" s="459"/>
      <c r="CD139" s="458"/>
      <c r="CE139" s="458"/>
      <c r="CF139" s="458"/>
      <c r="CG139" s="459"/>
      <c r="CH139" s="459"/>
      <c r="CI139" s="459"/>
      <c r="CJ139" s="460"/>
      <c r="CK139" s="461"/>
      <c r="CL139" s="460"/>
      <c r="CM139" s="458"/>
      <c r="CN139" s="459"/>
      <c r="CO139" s="457"/>
      <c r="CP139" s="457"/>
      <c r="CQ139" s="459"/>
      <c r="CR139" s="463"/>
      <c r="CS139" s="463"/>
      <c r="CT139" s="459"/>
      <c r="CU139" s="463"/>
      <c r="CV139" s="459"/>
    </row>
    <row r="140" spans="2:100" x14ac:dyDescent="0.25">
      <c r="B140" s="455"/>
      <c r="C140" s="456"/>
      <c r="D140" s="455"/>
      <c r="E140" s="457"/>
      <c r="F140" s="457"/>
      <c r="G140" s="458"/>
      <c r="H140" s="458"/>
      <c r="I140" s="458"/>
      <c r="J140" s="459"/>
      <c r="K140" s="459"/>
      <c r="L140" s="459"/>
      <c r="M140" s="460"/>
      <c r="N140" s="461"/>
      <c r="O140" s="460"/>
      <c r="P140" s="458"/>
      <c r="Q140" s="459"/>
      <c r="R140" s="462"/>
      <c r="S140" s="457"/>
      <c r="T140" s="459"/>
      <c r="U140" s="463"/>
      <c r="V140" s="459"/>
      <c r="W140" s="459"/>
      <c r="X140" s="463"/>
      <c r="Y140" s="459"/>
      <c r="Z140" s="487"/>
      <c r="AA140" s="455"/>
      <c r="AB140" s="456"/>
      <c r="AC140" s="455"/>
      <c r="AD140" s="457"/>
      <c r="AE140" s="457"/>
      <c r="AF140" s="458"/>
      <c r="AG140" s="458"/>
      <c r="AH140" s="458"/>
      <c r="AI140" s="459"/>
      <c r="AJ140" s="459"/>
      <c r="AK140" s="459"/>
      <c r="AL140" s="460"/>
      <c r="AM140" s="461"/>
      <c r="AN140" s="460"/>
      <c r="AO140" s="458"/>
      <c r="AP140" s="459"/>
      <c r="AQ140" s="462"/>
      <c r="AR140" s="457"/>
      <c r="AS140" s="459"/>
      <c r="AT140" s="463"/>
      <c r="AU140" s="459"/>
      <c r="AV140" s="459"/>
      <c r="AW140" s="463"/>
      <c r="AX140" s="459"/>
      <c r="AZ140" s="455"/>
      <c r="BA140" s="456"/>
      <c r="BB140" s="455"/>
      <c r="BC140" s="459"/>
      <c r="BD140" s="459"/>
      <c r="BE140" s="458"/>
      <c r="BF140" s="458"/>
      <c r="BG140" s="458"/>
      <c r="BH140" s="459"/>
      <c r="BI140" s="459"/>
      <c r="BJ140" s="459"/>
      <c r="BK140" s="460"/>
      <c r="BL140" s="461"/>
      <c r="BM140" s="460"/>
      <c r="BN140" s="458"/>
      <c r="BO140" s="459"/>
      <c r="BP140" s="457"/>
      <c r="BQ140" s="457"/>
      <c r="BR140" s="459"/>
      <c r="BS140" s="463"/>
      <c r="BT140" s="459"/>
      <c r="BU140" s="459"/>
      <c r="BV140" s="463"/>
      <c r="BW140" s="459"/>
      <c r="BY140" s="455"/>
      <c r="BZ140" s="456"/>
      <c r="CA140" s="455"/>
      <c r="CB140" s="459"/>
      <c r="CC140" s="459"/>
      <c r="CD140" s="458"/>
      <c r="CE140" s="458"/>
      <c r="CF140" s="458"/>
      <c r="CG140" s="459"/>
      <c r="CH140" s="459"/>
      <c r="CI140" s="459"/>
      <c r="CJ140" s="460"/>
      <c r="CK140" s="461"/>
      <c r="CL140" s="460"/>
      <c r="CM140" s="458"/>
      <c r="CN140" s="459"/>
      <c r="CO140" s="457"/>
      <c r="CP140" s="457"/>
      <c r="CQ140" s="459"/>
      <c r="CR140" s="463"/>
      <c r="CS140" s="463"/>
      <c r="CT140" s="459"/>
      <c r="CU140" s="463"/>
      <c r="CV140" s="459"/>
    </row>
    <row r="141" spans="2:100" s="4" customFormat="1" x14ac:dyDescent="0.25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74"/>
      <c r="Z141" s="492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74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74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74"/>
    </row>
    <row r="142" spans="2:100" s="4" customFormat="1" x14ac:dyDescent="0.25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74"/>
      <c r="Z142" s="492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74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74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74"/>
    </row>
    <row r="143" spans="2:100" x14ac:dyDescent="0.25">
      <c r="E143" s="1"/>
      <c r="F143" s="1"/>
      <c r="G143" s="1"/>
      <c r="H143" s="1"/>
      <c r="I143" s="1"/>
      <c r="J143" s="1"/>
      <c r="K143" s="1"/>
      <c r="L143" s="1"/>
      <c r="M143" s="1" t="s">
        <v>140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454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 t="s">
        <v>140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2:100" ht="37.5" customHeight="1" x14ac:dyDescent="0.25">
      <c r="C144" s="89" t="s">
        <v>43</v>
      </c>
      <c r="D144" s="90" t="s">
        <v>58</v>
      </c>
      <c r="E144" s="86" t="s">
        <v>67</v>
      </c>
      <c r="F144" s="86" t="s">
        <v>34</v>
      </c>
      <c r="G144" s="88" t="s">
        <v>27</v>
      </c>
      <c r="H144" s="88" t="s">
        <v>16</v>
      </c>
      <c r="I144" s="88" t="s">
        <v>17</v>
      </c>
      <c r="J144" s="88" t="s">
        <v>18</v>
      </c>
      <c r="K144" s="88" t="s">
        <v>48</v>
      </c>
      <c r="L144" s="86" t="s">
        <v>72</v>
      </c>
      <c r="M144" s="86" t="s">
        <v>74</v>
      </c>
      <c r="N144" s="87" t="s">
        <v>49</v>
      </c>
      <c r="O144" s="87" t="s">
        <v>73</v>
      </c>
      <c r="P144" s="88" t="s">
        <v>9</v>
      </c>
      <c r="Q144" s="86" t="s">
        <v>75</v>
      </c>
      <c r="R144" s="86" t="s">
        <v>62</v>
      </c>
      <c r="S144" s="86" t="s">
        <v>50</v>
      </c>
      <c r="T144" s="86" t="s">
        <v>63</v>
      </c>
      <c r="U144" s="86" t="s">
        <v>64</v>
      </c>
      <c r="V144" s="88" t="s">
        <v>15</v>
      </c>
      <c r="W144" s="86" t="s">
        <v>65</v>
      </c>
      <c r="X144" s="86" t="s">
        <v>66</v>
      </c>
      <c r="Y144" s="88" t="s">
        <v>15</v>
      </c>
      <c r="Z144" s="488"/>
      <c r="AA144" s="1"/>
      <c r="AB144" s="89" t="s">
        <v>43</v>
      </c>
      <c r="AC144" s="90" t="s">
        <v>58</v>
      </c>
      <c r="AD144" s="86" t="s">
        <v>67</v>
      </c>
      <c r="AE144" s="86" t="s">
        <v>34</v>
      </c>
      <c r="AF144" s="88" t="s">
        <v>27</v>
      </c>
      <c r="AG144" s="88" t="s">
        <v>16</v>
      </c>
      <c r="AH144" s="88" t="s">
        <v>17</v>
      </c>
      <c r="AI144" s="88" t="s">
        <v>18</v>
      </c>
      <c r="AJ144" s="88" t="s">
        <v>48</v>
      </c>
      <c r="AK144" s="86" t="s">
        <v>72</v>
      </c>
      <c r="AL144" s="86" t="s">
        <v>74</v>
      </c>
      <c r="AM144" s="87" t="s">
        <v>49</v>
      </c>
      <c r="AN144" s="87" t="s">
        <v>73</v>
      </c>
      <c r="AO144" s="88" t="s">
        <v>9</v>
      </c>
      <c r="AP144" s="86" t="s">
        <v>75</v>
      </c>
      <c r="AQ144" s="86" t="s">
        <v>62</v>
      </c>
      <c r="AR144" s="86" t="s">
        <v>50</v>
      </c>
      <c r="AS144" s="86" t="s">
        <v>63</v>
      </c>
      <c r="AT144" s="86" t="s">
        <v>64</v>
      </c>
      <c r="AU144" s="88" t="s">
        <v>15</v>
      </c>
      <c r="AV144" s="86" t="s">
        <v>65</v>
      </c>
      <c r="AW144" s="86" t="s">
        <v>66</v>
      </c>
      <c r="AX144" s="88" t="s">
        <v>15</v>
      </c>
      <c r="AZ144" s="1"/>
      <c r="BA144" s="89" t="s">
        <v>43</v>
      </c>
      <c r="BB144" s="90" t="s">
        <v>58</v>
      </c>
      <c r="BC144" s="86" t="s">
        <v>67</v>
      </c>
      <c r="BD144" s="86" t="s">
        <v>34</v>
      </c>
      <c r="BE144" s="88" t="s">
        <v>27</v>
      </c>
      <c r="BF144" s="88" t="s">
        <v>16</v>
      </c>
      <c r="BG144" s="88" t="s">
        <v>17</v>
      </c>
      <c r="BH144" s="88" t="s">
        <v>18</v>
      </c>
      <c r="BI144" s="88" t="s">
        <v>48</v>
      </c>
      <c r="BJ144" s="86" t="s">
        <v>72</v>
      </c>
      <c r="BK144" s="86" t="s">
        <v>74</v>
      </c>
      <c r="BL144" s="87" t="s">
        <v>49</v>
      </c>
      <c r="BM144" s="87" t="s">
        <v>73</v>
      </c>
      <c r="BN144" s="88" t="s">
        <v>9</v>
      </c>
      <c r="BO144" s="86" t="s">
        <v>75</v>
      </c>
      <c r="BP144" s="86" t="s">
        <v>62</v>
      </c>
      <c r="BQ144" s="86" t="s">
        <v>50</v>
      </c>
      <c r="BR144" s="86" t="s">
        <v>63</v>
      </c>
      <c r="BS144" s="86" t="s">
        <v>64</v>
      </c>
      <c r="BT144" s="88" t="s">
        <v>15</v>
      </c>
      <c r="BU144" s="86" t="s">
        <v>65</v>
      </c>
      <c r="BV144" s="86" t="s">
        <v>66</v>
      </c>
      <c r="BW144" s="88" t="s">
        <v>15</v>
      </c>
      <c r="BY144" s="1"/>
      <c r="BZ144" s="89" t="s">
        <v>43</v>
      </c>
      <c r="CA144" s="90" t="s">
        <v>58</v>
      </c>
      <c r="CB144" s="86" t="s">
        <v>67</v>
      </c>
      <c r="CC144" s="86" t="s">
        <v>34</v>
      </c>
      <c r="CD144" s="88" t="s">
        <v>27</v>
      </c>
      <c r="CE144" s="88" t="s">
        <v>16</v>
      </c>
      <c r="CF144" s="88" t="s">
        <v>17</v>
      </c>
      <c r="CG144" s="88" t="s">
        <v>18</v>
      </c>
      <c r="CH144" s="88" t="s">
        <v>48</v>
      </c>
      <c r="CI144" s="86" t="s">
        <v>72</v>
      </c>
      <c r="CJ144" s="86" t="s">
        <v>74</v>
      </c>
      <c r="CK144" s="87" t="s">
        <v>49</v>
      </c>
      <c r="CL144" s="87" t="s">
        <v>73</v>
      </c>
      <c r="CM144" s="88" t="s">
        <v>9</v>
      </c>
      <c r="CN144" s="86" t="s">
        <v>75</v>
      </c>
      <c r="CO144" s="86" t="s">
        <v>62</v>
      </c>
      <c r="CP144" s="86" t="s">
        <v>50</v>
      </c>
      <c r="CQ144" s="86" t="s">
        <v>63</v>
      </c>
      <c r="CR144" s="86" t="s">
        <v>64</v>
      </c>
      <c r="CS144" s="88" t="s">
        <v>15</v>
      </c>
      <c r="CT144" s="86" t="s">
        <v>65</v>
      </c>
      <c r="CU144" s="86" t="s">
        <v>66</v>
      </c>
      <c r="CV144" s="88" t="s">
        <v>15</v>
      </c>
    </row>
    <row r="145" spans="3:100" ht="21" customHeight="1" x14ac:dyDescent="0.25">
      <c r="C145" s="90">
        <v>0</v>
      </c>
      <c r="D145" s="369" t="s">
        <v>52</v>
      </c>
      <c r="E145" s="26">
        <f>INDEX($C$6:$Y$138,8,2)</f>
        <v>191363</v>
      </c>
      <c r="F145" s="26">
        <f>INDEX($C$6:$Y$138,7,4)</f>
        <v>186187</v>
      </c>
      <c r="G145" s="23">
        <f>SUMIFS($G$6:$G$138,$C$6:$C$138,$C145)</f>
        <v>0</v>
      </c>
      <c r="H145" s="23">
        <f>SUMIFS($H$6:$H$138,$C$6:$C$138,$C145)</f>
        <v>5175</v>
      </c>
      <c r="I145" s="23">
        <f>SUMIFS($I$6:$I$138,$C$6:$C$138,$C145)</f>
        <v>1</v>
      </c>
      <c r="J145" s="88">
        <f>SUM(G145:I145)</f>
        <v>5176</v>
      </c>
      <c r="K145" s="26">
        <f>INDEX($C$6:$Y$138,7,9)</f>
        <v>5176</v>
      </c>
      <c r="L145" s="47">
        <f t="shared" ref="L145:L151" si="520">VLOOKUP($C145,LOHMANN,4,FALSE)</f>
        <v>0.7</v>
      </c>
      <c r="M145" s="28">
        <f>AVERAGEIFS($M$6:$M$138,$C$6:$C$138,$C145)</f>
        <v>0.45463596336434342</v>
      </c>
      <c r="N145" s="47">
        <f>VLOOKUP($C145,LOHMANN,5,FALSE)</f>
        <v>0.7</v>
      </c>
      <c r="O145" s="47">
        <f>IFERROR((K145*100)/E145,0)</f>
        <v>2.704807094370385</v>
      </c>
      <c r="P145" s="464">
        <f>SUMIFS($P$6:$P$138,$C$6:$C$138,$C145)</f>
        <v>12780</v>
      </c>
      <c r="Q145" s="14">
        <f>VLOOKUP($C145,LOHMANN,6,FALSE)</f>
        <v>10</v>
      </c>
      <c r="R145" s="23">
        <f>AVERAGEIFS($R$6:$R$138,$C$6:$C$138,$C145)</f>
        <v>14.131738033848137</v>
      </c>
      <c r="S145" s="30">
        <f>INDEX($C$6:$Y$138,7,17)</f>
        <v>98.92216623693696</v>
      </c>
      <c r="T145" s="14">
        <f>VLOOKUP($C145,LOHMANN,2,FALSE)</f>
        <v>40</v>
      </c>
      <c r="U145" s="349">
        <f>INDEX($C$6:$Y$138,7,19)</f>
        <v>36.64</v>
      </c>
      <c r="V145" s="415">
        <f t="shared" ref="V145:V154" si="521">T145-U145</f>
        <v>3.3599999999999994</v>
      </c>
      <c r="W145" s="14">
        <f t="shared" ref="W145:W152" si="522">VLOOKUP(C145,LOHMANN,3,FALSE)</f>
        <v>77</v>
      </c>
      <c r="X145" s="75">
        <f>INDEX($C$6:$Y$138,7,22)</f>
        <v>77</v>
      </c>
      <c r="Y145" s="609">
        <f t="shared" ref="Y145:Y152" si="523">W145-X145</f>
        <v>0</v>
      </c>
      <c r="Z145" s="489"/>
      <c r="AA145" s="1"/>
      <c r="AB145" s="90">
        <v>0</v>
      </c>
      <c r="AC145" s="369" t="s">
        <v>149</v>
      </c>
      <c r="AD145" s="26"/>
      <c r="AE145" s="26"/>
      <c r="AF145" s="23">
        <f>SUMIFS($AF$6:$AF$138,$AB$6:$AB$138,$AB145)</f>
        <v>0</v>
      </c>
      <c r="AG145" s="23">
        <f>SUMIFS($AG$6:$AG$138,$AB$6:$AB$138,$AB145)</f>
        <v>0</v>
      </c>
      <c r="AH145" s="23">
        <f>SUMIFS($AH$6:$AH$138,$AB$6:$AB$138,$AB145)</f>
        <v>0</v>
      </c>
      <c r="AI145" s="88">
        <f>SUM(AF145:AH145)</f>
        <v>0</v>
      </c>
      <c r="AJ145" s="26">
        <f>INDEX($AB$6:$AX$138,7,9)</f>
        <v>0</v>
      </c>
      <c r="AK145" s="47">
        <f>VLOOKUP($C145,LOHMANN,4,FALSE)</f>
        <v>0.7</v>
      </c>
      <c r="AL145" s="28">
        <f t="shared" ref="AL145:AL147" si="524">AVERAGEIFS($AL$6:$AL$138,$AB$6:$AB$138,$C145)</f>
        <v>0</v>
      </c>
      <c r="AM145" s="47">
        <f>VLOOKUP($C145,LOHMANN,5,FALSE)</f>
        <v>0.7</v>
      </c>
      <c r="AN145" s="47">
        <f t="shared" ref="AN145:AN147" si="525">IFERROR((AJ145*100)/AD145,0)</f>
        <v>0</v>
      </c>
      <c r="AO145" s="464">
        <f>SUMIFS($AO$6:$AO$138,$AB$6:$AB$138,$AB145)</f>
        <v>0</v>
      </c>
      <c r="AP145" s="14">
        <f>VLOOKUP($C145,LOHMANN,6,FALSE)</f>
        <v>10</v>
      </c>
      <c r="AQ145" s="23">
        <f>AVERAGEIFS($AQ$6:$AQ$138,$AB$6:$AB$138,$AB145)</f>
        <v>0</v>
      </c>
      <c r="AR145" s="30">
        <f>INDEX($AB$6:$AX$138,7,17)</f>
        <v>0</v>
      </c>
      <c r="AS145" s="14">
        <f>VLOOKUP($C145,LOHMANN,2,FALSE)</f>
        <v>40</v>
      </c>
      <c r="AT145" s="349">
        <f>INDEX($AB$6:$AX$138,7,19)</f>
        <v>0</v>
      </c>
      <c r="AU145" s="415">
        <f>AS145-AT145</f>
        <v>40</v>
      </c>
      <c r="AV145" s="14">
        <f>VLOOKUP(AB145,LOHMANN,3,FALSE)</f>
        <v>77</v>
      </c>
      <c r="AW145" s="75">
        <f>INDEX($AB$6:$AX$138,7,22)</f>
        <v>0</v>
      </c>
      <c r="AX145" s="609">
        <f t="shared" ref="AX145:AX163" si="526">AV145-AW145</f>
        <v>77</v>
      </c>
      <c r="AZ145" s="1"/>
      <c r="BA145" s="90">
        <v>0</v>
      </c>
      <c r="BB145" s="77" t="s">
        <v>53</v>
      </c>
      <c r="BC145" s="26">
        <f>INDEX($BA$6:$BW$138,1,3)</f>
        <v>0</v>
      </c>
      <c r="BD145" s="26">
        <f>INDEX($BA$6:$BW$138,7,4)</f>
        <v>0</v>
      </c>
      <c r="BE145" s="23">
        <f>SUMIFS($BE$6:$BE$138,$BA$6:$BA$138,$BA145)</f>
        <v>0</v>
      </c>
      <c r="BF145" s="23">
        <f>SUMIFS($BF$6:$BF$138,$BA$6:$BA$138,$BA145)</f>
        <v>0</v>
      </c>
      <c r="BG145" s="23">
        <f>SUMIFS($BG$6:$BG$138,$BA$6:$BA$138,$BA145)</f>
        <v>0</v>
      </c>
      <c r="BH145" s="88">
        <f>SUM(BE145:BG145)</f>
        <v>0</v>
      </c>
      <c r="BI145" s="26">
        <f>INDEX($BA$6:$BW$138,7,9)</f>
        <v>0</v>
      </c>
      <c r="BJ145" s="47">
        <f t="shared" ref="BJ145:BJ163" si="527">VLOOKUP($BA145,LOHMANN,4,FALSE)</f>
        <v>0.7</v>
      </c>
      <c r="BK145" s="28">
        <f>AVERAGEIFS($BK$6:$BK$138,$BA$6:$BA$138,$BA145)</f>
        <v>0</v>
      </c>
      <c r="BL145" s="47">
        <f t="shared" ref="BL145:BL163" si="528">VLOOKUP($BA145,LOHMANN,5,FALSE)</f>
        <v>0.7</v>
      </c>
      <c r="BM145" s="27">
        <f>INDEX($BA$6:$BW$138,7,13)</f>
        <v>0</v>
      </c>
      <c r="BN145" s="23">
        <f>SUMIFS($BN$6:$BN$138,$BA$6:$BA$138,$BA145)</f>
        <v>0</v>
      </c>
      <c r="BO145" s="14">
        <f t="shared" ref="BO145:BO163" si="529">VLOOKUP($BA145,LOHMANN,6,FALSE)</f>
        <v>10</v>
      </c>
      <c r="BP145" s="23">
        <f>AVERAGEIFS($BP$6:$BP$138,$BA$6:$BA$138,$BA145)</f>
        <v>0</v>
      </c>
      <c r="BQ145" s="27">
        <f>INDEX($BA$6:$BW$138,7,17)</f>
        <v>0</v>
      </c>
      <c r="BR145" s="14">
        <f t="shared" ref="BR145:BR163" si="530">VLOOKUP($BA145,LOHMANN,2,FALSE)</f>
        <v>40</v>
      </c>
      <c r="BS145" s="350">
        <f>INDEX($BA$6:$BW$138,7,19)</f>
        <v>0</v>
      </c>
      <c r="BT145" s="26">
        <f>BR145-BS145</f>
        <v>40</v>
      </c>
      <c r="BU145" s="194">
        <f t="shared" ref="BU145:BU163" si="531">VLOOKUP(BA145,LOHMANN,3,FALSE)</f>
        <v>77</v>
      </c>
      <c r="BV145" s="26">
        <f>INDEX($BA$6:$BW$138,7,22)</f>
        <v>0</v>
      </c>
      <c r="BW145" s="26">
        <f>BU145-BV145</f>
        <v>77</v>
      </c>
      <c r="BY145" s="1"/>
      <c r="BZ145" s="90">
        <v>0</v>
      </c>
      <c r="CA145" s="77" t="s">
        <v>55</v>
      </c>
      <c r="CB145" s="26">
        <f>INDEX($BZ$6:$CV$138,1,3)</f>
        <v>0</v>
      </c>
      <c r="CC145" s="26">
        <f>INDEX($BZ$6:$CV$138,7,4)</f>
        <v>0</v>
      </c>
      <c r="CD145" s="23">
        <f>SUMIFS($CD$6:$CD$138,$BZ$6:$BZ$138,$BZ145)</f>
        <v>0</v>
      </c>
      <c r="CE145" s="23">
        <f>SUMIFS($CE$6:$CE$138,$BZ$6:$BZ$138,$BZ145)</f>
        <v>0</v>
      </c>
      <c r="CF145" s="23">
        <f>SUMIFS($CF$6:$CF$138,$BZ$6:$BZ$138,$BZ145)</f>
        <v>0</v>
      </c>
      <c r="CG145" s="88">
        <f>SUM(CD145:CF145)</f>
        <v>0</v>
      </c>
      <c r="CH145" s="26">
        <f>INDEX($BZ$6:$CV$138,7,9)</f>
        <v>0</v>
      </c>
      <c r="CI145" s="47">
        <f>VLOOKUP($BZ145,LOHMANN,4,FALSE)</f>
        <v>0.7</v>
      </c>
      <c r="CJ145" s="23">
        <f>AVERAGEIFS($CJ$6:$CJ$138,$BZ$6:$BZ$138,$BZ145)</f>
        <v>0</v>
      </c>
      <c r="CK145" s="47">
        <f>VLOOKUP($BZ145,LOHMANN,5,FALSE)</f>
        <v>0.7</v>
      </c>
      <c r="CL145" s="27">
        <f>INDEX($BZ$6:$CV$138,7,13)</f>
        <v>0</v>
      </c>
      <c r="CM145" s="23">
        <f>SUMIFS($CM$6:$CM$138,$BZ$6:$BZ$138,$BZ145)</f>
        <v>0</v>
      </c>
      <c r="CN145" s="14">
        <f>VLOOKUP($BZ145,LOHMANN,6,FALSE)</f>
        <v>10</v>
      </c>
      <c r="CO145" s="23">
        <f>AVERAGEIFS($CO$6:$CO$131,$BZ$6:$BZ$131,$BZ145)</f>
        <v>0</v>
      </c>
      <c r="CP145" s="27">
        <f>INDEX($BZ$6:$CV$138,7,17)</f>
        <v>0</v>
      </c>
      <c r="CQ145" s="160">
        <f t="shared" ref="CQ145:CQ162" si="532">VLOOKUP($BZ145,LOHMANN,2,FALSE)</f>
        <v>40</v>
      </c>
      <c r="CR145" s="351">
        <f>INDEX($BZ$6:$CV$138,7,19)</f>
        <v>0</v>
      </c>
      <c r="CS145" s="416">
        <f>CQ145-CR145</f>
        <v>40</v>
      </c>
      <c r="CT145" s="50">
        <f>VLOOKUP(BZ145,LOHMANN,3,FALSE)</f>
        <v>77</v>
      </c>
      <c r="CU145" s="29">
        <f>INDEX($BZ$6:$CV$138,7,22)</f>
        <v>0</v>
      </c>
      <c r="CV145" s="417">
        <f>CT145-CU145</f>
        <v>77</v>
      </c>
    </row>
    <row r="146" spans="3:100" x14ac:dyDescent="0.25">
      <c r="C146" s="25">
        <v>1</v>
      </c>
      <c r="D146" s="23" t="str">
        <f>D145</f>
        <v>CASETA 1</v>
      </c>
      <c r="E146" s="26">
        <f>INDEX($C$6:$Y$138,8,3)</f>
        <v>186187</v>
      </c>
      <c r="F146" s="26">
        <f>INDEX($C$6:$Y$138,14,4)</f>
        <v>183045</v>
      </c>
      <c r="G146" s="23">
        <f>SUMIFS($G$6:$G$138,$C$6:$C$138,$C146)</f>
        <v>9</v>
      </c>
      <c r="H146" s="23">
        <f>SUMIFS($H$6:$H$138,$C$6:$C$138,$C146)</f>
        <v>3133</v>
      </c>
      <c r="I146" s="23">
        <f>SUMIFS($I$6:$I$138,$C$6:$C$138,$C146)</f>
        <v>0</v>
      </c>
      <c r="J146" s="88">
        <f t="shared" ref="J146:J162" si="533">SUM(G146:I146)</f>
        <v>3142</v>
      </c>
      <c r="K146" s="26">
        <f>INDEX($C$6:$Y$138,14,9)</f>
        <v>8318</v>
      </c>
      <c r="L146" s="47">
        <f t="shared" si="520"/>
        <v>0.7</v>
      </c>
      <c r="M146" s="28">
        <f>AVERAGEIFS($M$6:$M$138,$C$6:$C$138,$C146)</f>
        <v>0.24280007717913105</v>
      </c>
      <c r="N146" s="47">
        <f t="shared" ref="N146:N163" si="534">VLOOKUP($C146,LOHMANN,5,FALSE)</f>
        <v>0.7</v>
      </c>
      <c r="O146" s="47">
        <f>IFERROR((K146*100)/E146,0)</f>
        <v>4.4675514402187044</v>
      </c>
      <c r="P146" s="464">
        <f t="shared" ref="P146:P163" si="535">SUMIFS($P$6:$P$138,$C$6:$C$138,$C146)</f>
        <v>16560</v>
      </c>
      <c r="Q146" s="14">
        <f t="shared" ref="Q146:Q163" si="536">VLOOKUP($C146,LOHMANN,6,FALSE)</f>
        <v>10</v>
      </c>
      <c r="R146" s="23">
        <f>AVERAGEIFS($R$6:$R$138,$C$6:$C$138,$C146)</f>
        <v>12.811980544928717</v>
      </c>
      <c r="S146" s="30">
        <f>INDEX($C$6:$Y$138,14,17)</f>
        <v>188.60603005143798</v>
      </c>
      <c r="T146" s="14">
        <f t="shared" ref="T146:T163" si="537">VLOOKUP($C146,LOHMANN,2,FALSE)</f>
        <v>70</v>
      </c>
      <c r="U146" s="349">
        <f>INDEX($C$6:$Y$138,14,19)</f>
        <v>72.959999999999994</v>
      </c>
      <c r="V146" s="415">
        <f t="shared" si="521"/>
        <v>-2.9599999999999937</v>
      </c>
      <c r="W146" s="14">
        <f t="shared" si="522"/>
        <v>77</v>
      </c>
      <c r="X146" s="75">
        <f>INDEX($C$6:$Y$138,14,22)</f>
        <v>72</v>
      </c>
      <c r="Y146" s="609">
        <f t="shared" si="523"/>
        <v>5</v>
      </c>
      <c r="Z146" s="489"/>
      <c r="AA146" s="1"/>
      <c r="AB146" s="25">
        <v>1</v>
      </c>
      <c r="AC146" s="23" t="str">
        <f>AC145</f>
        <v>DESDOBLE C1</v>
      </c>
      <c r="AD146" s="26"/>
      <c r="AE146" s="26"/>
      <c r="AF146" s="23">
        <f t="shared" ref="AF146:AF163" si="538">SUMIFS($AF$6:$AF$138,$AB$6:$AB$138,$AB146)</f>
        <v>0</v>
      </c>
      <c r="AG146" s="23">
        <f t="shared" ref="AG146:AG163" si="539">SUMIFS($AG$6:$AG$138,$AB$6:$AB$138,$AB146)</f>
        <v>0</v>
      </c>
      <c r="AH146" s="23">
        <f t="shared" ref="AH146:AH163" si="540">SUMIFS($AH$6:$AH$138,$AB$6:$AB$138,$AB146)</f>
        <v>0</v>
      </c>
      <c r="AI146" s="88">
        <f t="shared" ref="AI146:AI163" si="541">SUM(AF146:AH146)</f>
        <v>0</v>
      </c>
      <c r="AJ146" s="26">
        <f>INDEX($AB$6:$AX$138,14,9)</f>
        <v>0</v>
      </c>
      <c r="AK146" s="47">
        <f t="shared" ref="AK146:AK163" si="542">VLOOKUP($C146,LOHMANN,4,FALSE)</f>
        <v>0.7</v>
      </c>
      <c r="AL146" s="28">
        <f t="shared" si="524"/>
        <v>0</v>
      </c>
      <c r="AM146" s="47">
        <f t="shared" ref="AM146:AM163" si="543">VLOOKUP($C146,LOHMANN,5,FALSE)</f>
        <v>0.7</v>
      </c>
      <c r="AN146" s="47">
        <f t="shared" si="525"/>
        <v>0</v>
      </c>
      <c r="AO146" s="464">
        <f t="shared" ref="AO146:AO163" si="544">SUMIFS($AO$6:$AO$138,$AB$6:$AB$138,$AB146)</f>
        <v>0</v>
      </c>
      <c r="AP146" s="14">
        <f t="shared" ref="AP146:AP163" si="545">VLOOKUP($C146,LOHMANN,6,FALSE)</f>
        <v>10</v>
      </c>
      <c r="AQ146" s="23">
        <f t="shared" ref="AQ146:AQ163" si="546">AVERAGEIFS($AQ$6:$AQ$138,$AB$6:$AB$138,$AB146)</f>
        <v>0</v>
      </c>
      <c r="AR146" s="30">
        <f>INDEX($AB$6:$AX$138,14,17)</f>
        <v>0</v>
      </c>
      <c r="AS146" s="14">
        <f t="shared" ref="AS146:AS163" si="547">VLOOKUP($C146,LOHMANN,2,FALSE)</f>
        <v>70</v>
      </c>
      <c r="AT146" s="349">
        <f>INDEX($AB$6:$AX$138,14,19)</f>
        <v>0</v>
      </c>
      <c r="AU146" s="415">
        <f t="shared" ref="AU146:AU163" si="548">AS146-AT146</f>
        <v>70</v>
      </c>
      <c r="AV146" s="14">
        <f t="shared" ref="AV146:AV163" si="549">VLOOKUP(AB146,LOHMANN,3,FALSE)</f>
        <v>77</v>
      </c>
      <c r="AW146" s="75">
        <f>INDEX($AB$6:$AX$138,14,22)</f>
        <v>0</v>
      </c>
      <c r="AX146" s="609">
        <f t="shared" si="526"/>
        <v>77</v>
      </c>
      <c r="AZ146" s="1"/>
      <c r="BA146" s="25">
        <v>1</v>
      </c>
      <c r="BB146" s="348" t="str">
        <f>BB145</f>
        <v>CASETA 2</v>
      </c>
      <c r="BC146" s="26">
        <f>INDEX($BA$6:$BW$138,8,3)</f>
        <v>0</v>
      </c>
      <c r="BD146" s="26">
        <f>INDEX($BA$6:$BW$138,14,4)</f>
        <v>0</v>
      </c>
      <c r="BE146" s="23">
        <f t="shared" ref="BE146:BE163" si="550">SUMIFS($BE$6:$BE$138,$BA$6:$BA$138,$BA146)</f>
        <v>0</v>
      </c>
      <c r="BF146" s="23">
        <f t="shared" ref="BF146:BF163" si="551">SUMIFS($BF$6:$BF$138,$BA$6:$BA$138,$BA146)</f>
        <v>0</v>
      </c>
      <c r="BG146" s="23">
        <f t="shared" ref="BG146:BG163" si="552">SUMIFS($BG$6:$BG$138,$BA$6:$BA$138,$BA146)</f>
        <v>0</v>
      </c>
      <c r="BH146" s="88">
        <f t="shared" ref="BH146:BH163" si="553">SUM(BE146:BG146)</f>
        <v>0</v>
      </c>
      <c r="BI146" s="26">
        <f>INDEX($BA$6:$BW$138,14,9)</f>
        <v>0</v>
      </c>
      <c r="BJ146" s="47">
        <f t="shared" si="527"/>
        <v>0.7</v>
      </c>
      <c r="BK146" s="28">
        <f t="shared" ref="BK146:BK163" si="554">AVERAGEIFS($BK$6:$BK$138,$BA$6:$BA$138,$BA146)</f>
        <v>0</v>
      </c>
      <c r="BL146" s="47">
        <f t="shared" si="528"/>
        <v>0.7</v>
      </c>
      <c r="BM146" s="27">
        <f>INDEX($BA$6:$BW$138,14,13)</f>
        <v>0</v>
      </c>
      <c r="BN146" s="23">
        <f t="shared" ref="BN146:BN163" si="555">SUMIFS($BN$6:$BN$138,$BA$6:$BA$138,$BA146)</f>
        <v>0</v>
      </c>
      <c r="BO146" s="14">
        <f t="shared" si="529"/>
        <v>10</v>
      </c>
      <c r="BP146" s="23">
        <f t="shared" ref="BP146:BP162" si="556">AVERAGEIFS($BP$6:$BP$138,$BA$6:$BA$138,$BA146)</f>
        <v>0</v>
      </c>
      <c r="BQ146" s="27">
        <f>INDEX($BA$6:$BW$138,14,17)</f>
        <v>0</v>
      </c>
      <c r="BR146" s="14">
        <f t="shared" si="530"/>
        <v>70</v>
      </c>
      <c r="BS146" s="350">
        <f>INDEX($BA$6:$BW$138,14,19)</f>
        <v>0</v>
      </c>
      <c r="BT146" s="26">
        <f>BR146-BS146</f>
        <v>70</v>
      </c>
      <c r="BU146" s="194">
        <f t="shared" si="531"/>
        <v>77</v>
      </c>
      <c r="BV146" s="26">
        <f>INDEX($BA$6:$BW$138,14,22)</f>
        <v>0</v>
      </c>
      <c r="BW146" s="26">
        <f>BU146-BV146</f>
        <v>77</v>
      </c>
      <c r="BY146" s="1"/>
      <c r="BZ146" s="25">
        <v>1</v>
      </c>
      <c r="CA146" s="348" t="str">
        <f>CA145</f>
        <v>CASETA 4</v>
      </c>
      <c r="CB146" s="26">
        <f>INDEX($BZ$6:$CV$138,8,3)</f>
        <v>0</v>
      </c>
      <c r="CC146" s="26">
        <f>INDEX($BZ$6:$CV$138,14,4)</f>
        <v>0</v>
      </c>
      <c r="CD146" s="23">
        <f t="shared" ref="CD146:CD162" si="557">SUMIFS($CD$6:$CD$138,$BZ$6:$BZ$138,$BZ146)</f>
        <v>0</v>
      </c>
      <c r="CE146" s="23">
        <f t="shared" ref="CE146:CE163" si="558">SUMIFS($CE$6:$CE$138,$BZ$6:$BZ$138,$BZ146)</f>
        <v>0</v>
      </c>
      <c r="CF146" s="23">
        <f t="shared" ref="CF146:CF163" si="559">SUMIFS($CF$6:$CF$138,$BZ$6:$BZ$138,$BZ146)</f>
        <v>0</v>
      </c>
      <c r="CG146" s="88">
        <f t="shared" ref="CG146:CG163" si="560">SUM(CD146:CF146)</f>
        <v>0</v>
      </c>
      <c r="CH146" s="26">
        <f>INDEX($BZ$6:$CV$138,14,9)</f>
        <v>0</v>
      </c>
      <c r="CI146" s="47">
        <f t="shared" ref="CI146:CI163" si="561">VLOOKUP($BZ146,LOHMANN,4,FALSE)</f>
        <v>0.7</v>
      </c>
      <c r="CJ146" s="23">
        <f>AVERAGEIFS($CJ$6:$CJ$138,$BZ$6:$BZ$138,$BZ146)</f>
        <v>0</v>
      </c>
      <c r="CK146" s="47">
        <f t="shared" ref="CK146:CK163" si="562">VLOOKUP($BZ146,LOHMANN,5,FALSE)</f>
        <v>0.7</v>
      </c>
      <c r="CL146" s="27">
        <f>INDEX($BZ$6:$CV$138,14,13)</f>
        <v>0</v>
      </c>
      <c r="CM146" s="23">
        <f t="shared" ref="CM146:CM163" si="563">SUMIFS($CM$6:$CM$138,$BZ$6:$BZ$138,$BZ146)</f>
        <v>0</v>
      </c>
      <c r="CN146" s="14">
        <f t="shared" ref="CN146:CN163" si="564">VLOOKUP($BZ146,LOHMANN,6,FALSE)</f>
        <v>10</v>
      </c>
      <c r="CO146" s="23">
        <f>AVERAGEIFS($CO$6:$CO$131,$BZ$6:$BZ$131,$BZ146)</f>
        <v>0</v>
      </c>
      <c r="CP146" s="27">
        <f>INDEX($BZ$6:$CV$138,14,17)</f>
        <v>0</v>
      </c>
      <c r="CQ146" s="160">
        <f t="shared" si="532"/>
        <v>70</v>
      </c>
      <c r="CR146" s="351">
        <f>INDEX($BZ$6:$CV$138,14,19)</f>
        <v>0</v>
      </c>
      <c r="CS146" s="416">
        <f t="shared" ref="CS146:CS163" si="565">CQ146-CR146</f>
        <v>70</v>
      </c>
      <c r="CT146" s="50">
        <f t="shared" ref="CT146:CT162" si="566">VLOOKUP(BZ146,LOHMANN,3,FALSE)</f>
        <v>77</v>
      </c>
      <c r="CU146" s="29">
        <f>INDEX($BZ$6:$CV$138,14,22)</f>
        <v>0</v>
      </c>
      <c r="CV146" s="417">
        <f t="shared" ref="CV146:CV163" si="567">CT146-CU146</f>
        <v>77</v>
      </c>
    </row>
    <row r="147" spans="3:100" x14ac:dyDescent="0.25">
      <c r="C147" s="25">
        <v>2</v>
      </c>
      <c r="D147" s="23" t="str">
        <f t="shared" ref="D147:D163" si="568">D146</f>
        <v>CASETA 1</v>
      </c>
      <c r="E147" s="26">
        <f>INDEX($C$6:$Y$138,15,3)</f>
        <v>183045</v>
      </c>
      <c r="F147" s="26">
        <f>INDEX($C$6:$Y$138,21,4)</f>
        <v>182176</v>
      </c>
      <c r="G147" s="23">
        <f t="shared" ref="G147:G163" si="569">SUMIFS($G$6:$G$138,$C$6:$C$138,$C147)</f>
        <v>0</v>
      </c>
      <c r="H147" s="23">
        <f t="shared" ref="H147:H163" si="570">SUMIFS($H$6:$H$138,$C$6:$C$138,$C147)</f>
        <v>869</v>
      </c>
      <c r="I147" s="23">
        <f t="shared" ref="I147:I163" si="571">SUMIFS($I$6:$I$138,$C$6:$C$138,$C147)</f>
        <v>0</v>
      </c>
      <c r="J147" s="88">
        <f t="shared" si="533"/>
        <v>869</v>
      </c>
      <c r="K147" s="26">
        <f>INDEX($C$6:$Y$138,21,9)</f>
        <v>9187</v>
      </c>
      <c r="L147" s="47">
        <f t="shared" si="520"/>
        <v>0.7</v>
      </c>
      <c r="M147" s="28">
        <f t="shared" ref="M147:M163" si="572">AVERAGEIFS($M$6:$M$138,$C$6:$C$138,$C147)</f>
        <v>6.7949243503371018E-2</v>
      </c>
      <c r="N147" s="47">
        <f t="shared" si="534"/>
        <v>1.4</v>
      </c>
      <c r="O147" s="47">
        <f t="shared" ref="O147:O163" si="573">IFERROR((K147*100)/E147,0)</f>
        <v>5.018984402742495</v>
      </c>
      <c r="P147" s="464">
        <f t="shared" si="535"/>
        <v>21780</v>
      </c>
      <c r="Q147" s="14">
        <f t="shared" si="536"/>
        <v>17</v>
      </c>
      <c r="R147" s="23">
        <f>AVERAGEIFS($R$6:$R$138,$C$6:$C$138,$C147)</f>
        <v>17.049925525191348</v>
      </c>
      <c r="S147" s="30">
        <f>INDEX($C$6:$Y$138,21,17)</f>
        <v>307.95550872777744</v>
      </c>
      <c r="T147" s="14">
        <f t="shared" si="537"/>
        <v>120</v>
      </c>
      <c r="U147" s="349">
        <f>INDEX($C$6:$Y$138,21,19)</f>
        <v>116</v>
      </c>
      <c r="V147" s="415">
        <f t="shared" si="521"/>
        <v>4</v>
      </c>
      <c r="W147" s="14">
        <f t="shared" si="522"/>
        <v>77</v>
      </c>
      <c r="X147" s="75">
        <f>INDEX($C$6:$Y$138,21,22)</f>
        <v>64</v>
      </c>
      <c r="Y147" s="609">
        <f t="shared" si="523"/>
        <v>13</v>
      </c>
      <c r="Z147" s="489"/>
      <c r="AA147" s="1"/>
      <c r="AB147" s="25">
        <v>2</v>
      </c>
      <c r="AC147" s="23" t="str">
        <f t="shared" ref="AC147:AC163" si="574">AC146</f>
        <v>DESDOBLE C1</v>
      </c>
      <c r="AD147" s="26"/>
      <c r="AE147" s="26"/>
      <c r="AF147" s="23">
        <f t="shared" si="538"/>
        <v>0</v>
      </c>
      <c r="AG147" s="23">
        <f t="shared" si="539"/>
        <v>0</v>
      </c>
      <c r="AH147" s="23">
        <f t="shared" si="540"/>
        <v>0</v>
      </c>
      <c r="AI147" s="88">
        <f t="shared" si="541"/>
        <v>0</v>
      </c>
      <c r="AJ147" s="26">
        <f>INDEX($AB$6:$AX$138,21,9)</f>
        <v>0</v>
      </c>
      <c r="AK147" s="47">
        <f t="shared" si="542"/>
        <v>0.7</v>
      </c>
      <c r="AL147" s="28">
        <f t="shared" si="524"/>
        <v>0</v>
      </c>
      <c r="AM147" s="47">
        <f t="shared" si="543"/>
        <v>1.4</v>
      </c>
      <c r="AN147" s="47">
        <f t="shared" si="525"/>
        <v>0</v>
      </c>
      <c r="AO147" s="464">
        <f t="shared" si="544"/>
        <v>0</v>
      </c>
      <c r="AP147" s="14">
        <f t="shared" si="545"/>
        <v>17</v>
      </c>
      <c r="AQ147" s="23">
        <f t="shared" si="546"/>
        <v>0</v>
      </c>
      <c r="AR147" s="30">
        <f>INDEX($AB$6:$AX$138,21,17)</f>
        <v>0</v>
      </c>
      <c r="AS147" s="14">
        <f t="shared" si="547"/>
        <v>120</v>
      </c>
      <c r="AT147" s="349">
        <f>INDEX($AB$6:$AX$138,21,19)</f>
        <v>0</v>
      </c>
      <c r="AU147" s="415">
        <f t="shared" si="548"/>
        <v>120</v>
      </c>
      <c r="AV147" s="14">
        <f t="shared" si="549"/>
        <v>77</v>
      </c>
      <c r="AW147" s="75">
        <f>INDEX($AB$6:$AX$138,21,22)</f>
        <v>0</v>
      </c>
      <c r="AX147" s="609">
        <f t="shared" si="526"/>
        <v>77</v>
      </c>
      <c r="AZ147" s="1"/>
      <c r="BA147" s="25">
        <v>2</v>
      </c>
      <c r="BB147" s="25" t="str">
        <f>BB146</f>
        <v>CASETA 2</v>
      </c>
      <c r="BC147" s="26">
        <f>INDEX($BA$6:$BW$138,15,3)</f>
        <v>0</v>
      </c>
      <c r="BD147" s="26">
        <f>INDEX($BA$6:$BW$138,21,4)</f>
        <v>0</v>
      </c>
      <c r="BE147" s="23">
        <f t="shared" si="550"/>
        <v>0</v>
      </c>
      <c r="BF147" s="23">
        <f>SUMIFS($BF$6:$BF$138,$BA$6:$BA$138,$BA147)</f>
        <v>0</v>
      </c>
      <c r="BG147" s="23">
        <f t="shared" si="552"/>
        <v>0</v>
      </c>
      <c r="BH147" s="88">
        <f t="shared" si="553"/>
        <v>0</v>
      </c>
      <c r="BI147" s="26">
        <f>INDEX($BA$6:$BW$138,21,9)</f>
        <v>0</v>
      </c>
      <c r="BJ147" s="47">
        <f t="shared" si="527"/>
        <v>0.7</v>
      </c>
      <c r="BK147" s="28">
        <f t="shared" si="554"/>
        <v>0</v>
      </c>
      <c r="BL147" s="47">
        <f t="shared" si="528"/>
        <v>1.4</v>
      </c>
      <c r="BM147" s="27">
        <f>INDEX($BA$6:$BW$138,21,13)</f>
        <v>0</v>
      </c>
      <c r="BN147" s="23">
        <f t="shared" si="555"/>
        <v>0</v>
      </c>
      <c r="BO147" s="14">
        <f t="shared" si="529"/>
        <v>17</v>
      </c>
      <c r="BP147" s="23">
        <f t="shared" si="556"/>
        <v>0</v>
      </c>
      <c r="BQ147" s="27">
        <f>INDEX($BA$6:$BW$138,21,17)</f>
        <v>0</v>
      </c>
      <c r="BR147" s="14">
        <f t="shared" si="530"/>
        <v>120</v>
      </c>
      <c r="BS147" s="350">
        <f>INDEX($BA$6:$BW$138,21,19)</f>
        <v>0</v>
      </c>
      <c r="BT147" s="26">
        <f t="shared" ref="BT147:BT163" si="575">BR147-BS147</f>
        <v>120</v>
      </c>
      <c r="BU147" s="194">
        <f t="shared" si="531"/>
        <v>77</v>
      </c>
      <c r="BV147" s="26">
        <f>INDEX($BA$6:$BW$138,21,22)</f>
        <v>0</v>
      </c>
      <c r="BW147" s="26">
        <f>BU147-BV147</f>
        <v>77</v>
      </c>
      <c r="BY147" s="1"/>
      <c r="BZ147" s="25">
        <v>2</v>
      </c>
      <c r="CA147" s="25" t="str">
        <f>CA146</f>
        <v>CASETA 4</v>
      </c>
      <c r="CB147" s="26">
        <f>INDEX($BZ$6:$CV$138,15,3)</f>
        <v>0</v>
      </c>
      <c r="CC147" s="26">
        <f>INDEX($BZ$6:$CV$138,21,4)</f>
        <v>0</v>
      </c>
      <c r="CD147" s="23">
        <f t="shared" si="557"/>
        <v>0</v>
      </c>
      <c r="CE147" s="23">
        <f t="shared" si="558"/>
        <v>0</v>
      </c>
      <c r="CF147" s="23">
        <f t="shared" si="559"/>
        <v>0</v>
      </c>
      <c r="CG147" s="88">
        <f t="shared" si="560"/>
        <v>0</v>
      </c>
      <c r="CH147" s="26">
        <f>INDEX($BZ$6:$CV$138,21,9)</f>
        <v>0</v>
      </c>
      <c r="CI147" s="47">
        <f t="shared" si="561"/>
        <v>0.7</v>
      </c>
      <c r="CJ147" s="23">
        <f t="shared" ref="CJ147:CJ163" si="576">AVERAGEIFS($CJ$6:$CJ$138,$BZ$6:$BZ$138,$BZ147)</f>
        <v>0</v>
      </c>
      <c r="CK147" s="47">
        <f t="shared" si="562"/>
        <v>1.4</v>
      </c>
      <c r="CL147" s="27">
        <f>INDEX($BZ$6:$CV$138,21,13)</f>
        <v>0</v>
      </c>
      <c r="CM147" s="23">
        <f t="shared" si="563"/>
        <v>0</v>
      </c>
      <c r="CN147" s="14">
        <f t="shared" si="564"/>
        <v>17</v>
      </c>
      <c r="CO147" s="23">
        <f t="shared" ref="CO147:CO162" si="577">AVERAGEIFS($CO$6:$CO$131,$BZ$6:$BZ$131,$BZ147)</f>
        <v>0</v>
      </c>
      <c r="CP147" s="27">
        <f>INDEX($BZ$6:$CV$138,21,17)</f>
        <v>0</v>
      </c>
      <c r="CQ147" s="160">
        <f t="shared" si="532"/>
        <v>120</v>
      </c>
      <c r="CR147" s="351">
        <f>INDEX($BZ$6:$CV$138,21,19)</f>
        <v>0</v>
      </c>
      <c r="CS147" s="416">
        <f t="shared" si="565"/>
        <v>120</v>
      </c>
      <c r="CT147" s="50">
        <f t="shared" si="566"/>
        <v>77</v>
      </c>
      <c r="CU147" s="29">
        <f>INDEX($BZ$6:$CV$138,21,22)</f>
        <v>0</v>
      </c>
      <c r="CV147" s="417">
        <f t="shared" si="567"/>
        <v>77</v>
      </c>
    </row>
    <row r="148" spans="3:100" x14ac:dyDescent="0.25">
      <c r="C148" s="25">
        <v>3</v>
      </c>
      <c r="D148" s="23" t="str">
        <f t="shared" si="568"/>
        <v>CASETA 1</v>
      </c>
      <c r="E148" s="26">
        <f>INDEX($C$6:$Y$138,22,3)</f>
        <v>0</v>
      </c>
      <c r="F148" s="26">
        <f>INDEX($C$6:$Y$138,28,4)</f>
        <v>0</v>
      </c>
      <c r="G148" s="23">
        <f t="shared" si="569"/>
        <v>0</v>
      </c>
      <c r="H148" s="23">
        <f t="shared" si="570"/>
        <v>171</v>
      </c>
      <c r="I148" s="23">
        <f t="shared" si="571"/>
        <v>0</v>
      </c>
      <c r="J148" s="88">
        <f t="shared" si="533"/>
        <v>171</v>
      </c>
      <c r="K148" s="26">
        <f>INDEX($C$6:$Y$138,28,9)</f>
        <v>9358</v>
      </c>
      <c r="L148" s="47">
        <f t="shared" si="520"/>
        <v>0.5</v>
      </c>
      <c r="M148" s="28">
        <f t="shared" si="572"/>
        <v>5.8065363397537635E-3</v>
      </c>
      <c r="N148" s="47">
        <f t="shared" si="534"/>
        <v>1.9</v>
      </c>
      <c r="O148" s="47">
        <f t="shared" si="573"/>
        <v>0</v>
      </c>
      <c r="P148" s="464">
        <f t="shared" si="535"/>
        <v>10980</v>
      </c>
      <c r="Q148" s="14">
        <f t="shared" si="536"/>
        <v>23</v>
      </c>
      <c r="R148" s="23">
        <f t="shared" ref="R148:R163" si="578">AVERAGEIFS($R$6:$R$138,$C$6:$C$138,$C148)</f>
        <v>8.6139978743344336</v>
      </c>
      <c r="S148" s="30">
        <f>INDEX($C$6:$Y$138,28,17)</f>
        <v>0</v>
      </c>
      <c r="T148" s="14">
        <f t="shared" si="537"/>
        <v>185</v>
      </c>
      <c r="U148" s="349">
        <f>INDEX($C$6:$Y$138,28,19)</f>
        <v>184</v>
      </c>
      <c r="V148" s="415">
        <f t="shared" si="521"/>
        <v>1</v>
      </c>
      <c r="W148" s="14">
        <f t="shared" si="522"/>
        <v>77</v>
      </c>
      <c r="X148" s="75">
        <f>INDEX($C$6:$Y$138,28,22)</f>
        <v>85</v>
      </c>
      <c r="Y148" s="609">
        <f t="shared" si="523"/>
        <v>-8</v>
      </c>
      <c r="Z148" s="489"/>
      <c r="AA148" s="1"/>
      <c r="AB148" s="25">
        <v>3</v>
      </c>
      <c r="AC148" s="23" t="str">
        <f t="shared" si="574"/>
        <v>DESDOBLE C1</v>
      </c>
      <c r="AD148" s="26">
        <f>INDEX($AB$6:$AX$138,28,3)</f>
        <v>112823</v>
      </c>
      <c r="AE148" s="26">
        <f>INDEX($AB$6:$AX$138,28,4)</f>
        <v>112778</v>
      </c>
      <c r="AF148" s="23">
        <f t="shared" si="538"/>
        <v>0</v>
      </c>
      <c r="AG148" s="23">
        <f t="shared" si="539"/>
        <v>109</v>
      </c>
      <c r="AH148" s="23">
        <f t="shared" si="540"/>
        <v>0</v>
      </c>
      <c r="AI148" s="88">
        <f>SUM(AF148:AH148)</f>
        <v>109</v>
      </c>
      <c r="AJ148" s="26">
        <f>INDEX($AB$6:$AX$138,28,9)</f>
        <v>109</v>
      </c>
      <c r="AK148" s="47">
        <f t="shared" si="542"/>
        <v>0.5</v>
      </c>
      <c r="AL148" s="28">
        <f>AVERAGEIFS($AL$6:$AL$138,$AB$6:$AB$138,$AB148)</f>
        <v>1.2576987500030562E-2</v>
      </c>
      <c r="AM148" s="47">
        <f t="shared" si="543"/>
        <v>1.9</v>
      </c>
      <c r="AN148" s="47">
        <f t="shared" ref="AN148:AN155" si="579">IFERROR((AJ148*100)/AD148,0)</f>
        <v>9.6611506519060836E-2</v>
      </c>
      <c r="AO148" s="464">
        <f t="shared" si="544"/>
        <v>11340</v>
      </c>
      <c r="AP148" s="14">
        <f t="shared" si="545"/>
        <v>23</v>
      </c>
      <c r="AQ148" s="23">
        <f t="shared" si="546"/>
        <v>12.303701359584172</v>
      </c>
      <c r="AR148" s="30">
        <f>INDEX($AB$6:$AX$138,28,17)</f>
        <v>86.125909517089212</v>
      </c>
      <c r="AS148" s="14">
        <f>VLOOKUP($C148,LOHMANN,2,FALSE)</f>
        <v>185</v>
      </c>
      <c r="AT148" s="349">
        <f>INDEX($AB$6:$AX$138,28,19)</f>
        <v>184</v>
      </c>
      <c r="AU148" s="415">
        <f t="shared" si="548"/>
        <v>1</v>
      </c>
      <c r="AV148" s="14">
        <f t="shared" si="549"/>
        <v>77</v>
      </c>
      <c r="AW148" s="75">
        <f>INDEX($AB$6:$AX$138,28,22)</f>
        <v>85</v>
      </c>
      <c r="AX148" s="609">
        <f t="shared" si="526"/>
        <v>-8</v>
      </c>
      <c r="AZ148" s="1"/>
      <c r="BA148" s="25">
        <v>3</v>
      </c>
      <c r="BB148" s="25" t="str">
        <f t="shared" ref="BB148:BB163" si="580">BB147</f>
        <v>CASETA 2</v>
      </c>
      <c r="BC148" s="26">
        <f>INDEX($BA$6:$BW$138,28,3)</f>
        <v>69066</v>
      </c>
      <c r="BD148" s="26">
        <f>INDEX($BA$6:$BW$138,28,4)</f>
        <v>69051</v>
      </c>
      <c r="BE148" s="23">
        <f t="shared" si="550"/>
        <v>0</v>
      </c>
      <c r="BF148" s="23">
        <f t="shared" si="551"/>
        <v>67</v>
      </c>
      <c r="BG148" s="23">
        <f t="shared" si="552"/>
        <v>0</v>
      </c>
      <c r="BH148" s="88">
        <f t="shared" si="553"/>
        <v>67</v>
      </c>
      <c r="BI148" s="26">
        <f>INDEX($BA$6:$BW$138,28,9)</f>
        <v>67</v>
      </c>
      <c r="BJ148" s="47">
        <f t="shared" si="527"/>
        <v>0.5</v>
      </c>
      <c r="BK148" s="28">
        <f t="shared" si="554"/>
        <v>2.8536049061203408E-2</v>
      </c>
      <c r="BL148" s="47">
        <f t="shared" si="528"/>
        <v>1.9</v>
      </c>
      <c r="BM148" s="27">
        <f>INDEX($BA$6:$BW$138,28,13)</f>
        <v>9.7008658384733437E-2</v>
      </c>
      <c r="BN148" s="23">
        <f t="shared" si="555"/>
        <v>11727</v>
      </c>
      <c r="BO148" s="14">
        <f t="shared" si="529"/>
        <v>23</v>
      </c>
      <c r="BP148" s="23">
        <f t="shared" si="556"/>
        <v>43.545892070787872</v>
      </c>
      <c r="BQ148" s="27">
        <f>INDEX($BA$6:$BW$138,28,17)</f>
        <v>304.82124449551509</v>
      </c>
      <c r="BR148" s="14">
        <f t="shared" si="530"/>
        <v>185</v>
      </c>
      <c r="BS148" s="350">
        <f>INDEX($BA$6:$BW$138,28,19)</f>
        <v>188</v>
      </c>
      <c r="BT148" s="26">
        <f t="shared" si="575"/>
        <v>-3</v>
      </c>
      <c r="BU148" s="194">
        <f t="shared" si="531"/>
        <v>77</v>
      </c>
      <c r="BV148" s="26">
        <f>INDEX($BA$6:$BW$138,28,22)</f>
        <v>71</v>
      </c>
      <c r="BW148" s="26">
        <f>BU148-BV148</f>
        <v>6</v>
      </c>
      <c r="BY148" s="1"/>
      <c r="BZ148" s="25">
        <v>3</v>
      </c>
      <c r="CA148" s="25" t="str">
        <f t="shared" ref="CA148:CA163" si="581">CA147</f>
        <v>CASETA 4</v>
      </c>
      <c r="CB148" s="26">
        <f>INDEX($BZ$6:$CV$138,22,3)</f>
        <v>0</v>
      </c>
      <c r="CC148" s="26">
        <f>INDEX($BZ$6:$CV$138,28,4)</f>
        <v>0</v>
      </c>
      <c r="CD148" s="23">
        <f t="shared" si="557"/>
        <v>0</v>
      </c>
      <c r="CE148" s="23">
        <f t="shared" si="558"/>
        <v>0</v>
      </c>
      <c r="CF148" s="23">
        <f t="shared" si="559"/>
        <v>0</v>
      </c>
      <c r="CG148" s="88">
        <f t="shared" si="560"/>
        <v>0</v>
      </c>
      <c r="CH148" s="26">
        <f>INDEX($BZ$6:$CV$138,28,9)</f>
        <v>0</v>
      </c>
      <c r="CI148" s="47">
        <f t="shared" si="561"/>
        <v>0.5</v>
      </c>
      <c r="CJ148" s="23">
        <f t="shared" si="576"/>
        <v>0</v>
      </c>
      <c r="CK148" s="47">
        <f t="shared" si="562"/>
        <v>1.9</v>
      </c>
      <c r="CL148" s="27">
        <f>INDEX($BZ$6:$CV$138,28,13)</f>
        <v>0</v>
      </c>
      <c r="CM148" s="23">
        <f t="shared" si="563"/>
        <v>0</v>
      </c>
      <c r="CN148" s="14">
        <f t="shared" si="564"/>
        <v>23</v>
      </c>
      <c r="CO148" s="23">
        <f t="shared" si="577"/>
        <v>0</v>
      </c>
      <c r="CP148" s="27">
        <f>INDEX($BZ$6:$CV$138,28,17)</f>
        <v>0</v>
      </c>
      <c r="CQ148" s="160">
        <f t="shared" si="532"/>
        <v>185</v>
      </c>
      <c r="CR148" s="351">
        <f>INDEX($BZ$6:$CV$138,28,19)</f>
        <v>0</v>
      </c>
      <c r="CS148" s="416">
        <f t="shared" si="565"/>
        <v>185</v>
      </c>
      <c r="CT148" s="50">
        <f t="shared" si="566"/>
        <v>77</v>
      </c>
      <c r="CU148" s="29">
        <f>INDEX($BZ$6:$CV$138,28,22)</f>
        <v>0</v>
      </c>
      <c r="CV148" s="417">
        <f t="shared" si="567"/>
        <v>77</v>
      </c>
    </row>
    <row r="149" spans="3:100" x14ac:dyDescent="0.25">
      <c r="C149" s="25">
        <v>4</v>
      </c>
      <c r="D149" s="23" t="str">
        <f t="shared" si="568"/>
        <v>CASETA 1</v>
      </c>
      <c r="E149" s="26">
        <f>INDEX($C$6:$Y$138,29,3)</f>
        <v>0</v>
      </c>
      <c r="F149" s="26">
        <f>INDEX($C$6:$Y$138,35,4)</f>
        <v>0</v>
      </c>
      <c r="G149" s="23">
        <f t="shared" si="569"/>
        <v>0</v>
      </c>
      <c r="H149" s="23">
        <f t="shared" si="570"/>
        <v>0</v>
      </c>
      <c r="I149" s="23">
        <f t="shared" si="571"/>
        <v>0</v>
      </c>
      <c r="J149" s="88">
        <f t="shared" si="533"/>
        <v>0</v>
      </c>
      <c r="K149" s="26">
        <f>INDEX($C$6:$Y$138,35,9)</f>
        <v>9358</v>
      </c>
      <c r="L149" s="47">
        <f t="shared" si="520"/>
        <v>0.3</v>
      </c>
      <c r="M149" s="28">
        <f t="shared" si="572"/>
        <v>0</v>
      </c>
      <c r="N149" s="47">
        <f t="shared" si="534"/>
        <v>2.1999999999999997</v>
      </c>
      <c r="O149" s="47">
        <f t="shared" si="573"/>
        <v>0</v>
      </c>
      <c r="P149" s="464">
        <f t="shared" si="535"/>
        <v>0</v>
      </c>
      <c r="Q149" s="14">
        <f t="shared" si="536"/>
        <v>29</v>
      </c>
      <c r="R149" s="23">
        <f t="shared" si="578"/>
        <v>0</v>
      </c>
      <c r="S149" s="30">
        <f>INDEX($C$6:$Y$138,35,17)</f>
        <v>0</v>
      </c>
      <c r="T149" s="14">
        <f t="shared" si="537"/>
        <v>255</v>
      </c>
      <c r="U149" s="349">
        <f>INDEX($C$6:$Y$138,35,19)</f>
        <v>0</v>
      </c>
      <c r="V149" s="415">
        <f t="shared" si="521"/>
        <v>255</v>
      </c>
      <c r="W149" s="14">
        <f t="shared" si="522"/>
        <v>79</v>
      </c>
      <c r="X149" s="75">
        <f>INDEX($C$6:$Y$138,35,22)</f>
        <v>0</v>
      </c>
      <c r="Y149" s="609">
        <f t="shared" si="523"/>
        <v>79</v>
      </c>
      <c r="Z149" s="489"/>
      <c r="AA149" s="1"/>
      <c r="AB149" s="25">
        <v>4</v>
      </c>
      <c r="AC149" s="23" t="str">
        <f t="shared" si="574"/>
        <v>DESDOBLE C1</v>
      </c>
      <c r="AD149" s="26">
        <f>INDEX($AB$6:$AX$138,35,3)</f>
        <v>83611</v>
      </c>
      <c r="AE149" s="26">
        <f>INDEX($AB$6:$AX$138,35,4)</f>
        <v>83597</v>
      </c>
      <c r="AF149" s="23">
        <f t="shared" si="538"/>
        <v>0</v>
      </c>
      <c r="AG149" s="23">
        <f t="shared" si="539"/>
        <v>155</v>
      </c>
      <c r="AH149" s="23">
        <f t="shared" si="540"/>
        <v>0</v>
      </c>
      <c r="AI149" s="88">
        <f t="shared" si="541"/>
        <v>155</v>
      </c>
      <c r="AJ149" s="26">
        <f>INDEX($AB$6:$AX$138,35,9)</f>
        <v>264</v>
      </c>
      <c r="AK149" s="47">
        <f t="shared" si="542"/>
        <v>0.3</v>
      </c>
      <c r="AL149" s="28">
        <f t="shared" ref="AL149:AL163" si="582">AVERAGEIFS($AL$6:$AL$138,$AB$6:$AB$138,$AB149)</f>
        <v>2.1993276744422429E-2</v>
      </c>
      <c r="AM149" s="47">
        <f t="shared" si="543"/>
        <v>2.1999999999999997</v>
      </c>
      <c r="AN149" s="47">
        <f t="shared" si="579"/>
        <v>0.31574792790422312</v>
      </c>
      <c r="AO149" s="464">
        <f t="shared" si="544"/>
        <v>15606</v>
      </c>
      <c r="AP149" s="14">
        <f t="shared" si="545"/>
        <v>29</v>
      </c>
      <c r="AQ149" s="23">
        <f t="shared" si="546"/>
        <v>21.832167057757399</v>
      </c>
      <c r="AR149" s="30">
        <f>INDEX($AB$6:$AX$138,35,17)</f>
        <v>238.951078921391</v>
      </c>
      <c r="AS149" s="14">
        <f t="shared" si="547"/>
        <v>255</v>
      </c>
      <c r="AT149" s="349">
        <f>INDEX($AB$6:$AX$138,35,19)</f>
        <v>234</v>
      </c>
      <c r="AU149" s="415">
        <f t="shared" si="548"/>
        <v>21</v>
      </c>
      <c r="AV149" s="14">
        <f t="shared" si="549"/>
        <v>79</v>
      </c>
      <c r="AW149" s="75">
        <f>INDEX($AB$6:$AX$138,35,22)</f>
        <v>66</v>
      </c>
      <c r="AX149" s="609">
        <f t="shared" si="526"/>
        <v>13</v>
      </c>
      <c r="AZ149" s="1"/>
      <c r="BA149" s="25">
        <v>4</v>
      </c>
      <c r="BB149" s="25" t="str">
        <f t="shared" si="580"/>
        <v>CASETA 2</v>
      </c>
      <c r="BC149" s="26">
        <f>INDEX($BA$6:$BW$138,29,3)</f>
        <v>69051</v>
      </c>
      <c r="BD149" s="26">
        <f>INDEX($BA$6:$BW$138,35,4)</f>
        <v>68615</v>
      </c>
      <c r="BE149" s="23">
        <f t="shared" si="550"/>
        <v>0</v>
      </c>
      <c r="BF149" s="23">
        <f t="shared" si="551"/>
        <v>436</v>
      </c>
      <c r="BG149" s="23">
        <f t="shared" si="552"/>
        <v>0</v>
      </c>
      <c r="BH149" s="88">
        <f>SUM(BE149:BG149)</f>
        <v>436</v>
      </c>
      <c r="BI149" s="26">
        <f>INDEX($BA$6:$BW$138,35,9)</f>
        <v>503</v>
      </c>
      <c r="BJ149" s="47">
        <f t="shared" si="527"/>
        <v>0.3</v>
      </c>
      <c r="BK149" s="28">
        <f>AVERAGEIFS($BK$6:$BK$138,$BA$6:$BA$138,$BA149)</f>
        <v>9.0431077461540291E-2</v>
      </c>
      <c r="BL149" s="47">
        <f t="shared" si="528"/>
        <v>2.1999999999999997</v>
      </c>
      <c r="BM149" s="27">
        <f>INDEX($BA$6:$BW$138,35,13)</f>
        <v>0.7282888830973272</v>
      </c>
      <c r="BN149" s="23">
        <f t="shared" si="555"/>
        <v>11556</v>
      </c>
      <c r="BO149" s="14">
        <f t="shared" si="529"/>
        <v>29</v>
      </c>
      <c r="BP149" s="23">
        <f t="shared" si="556"/>
        <v>23.943175846390613</v>
      </c>
      <c r="BQ149" s="27">
        <f>INDEX($BA$6:$BW$138,35,17)</f>
        <v>472.42347542024936</v>
      </c>
      <c r="BR149" s="14">
        <f t="shared" si="530"/>
        <v>255</v>
      </c>
      <c r="BS149" s="350">
        <f>INDEX($BA$6:$BW$138,35,19)</f>
        <v>209</v>
      </c>
      <c r="BT149" s="26">
        <f t="shared" si="575"/>
        <v>46</v>
      </c>
      <c r="BU149" s="194">
        <f t="shared" si="531"/>
        <v>79</v>
      </c>
      <c r="BV149" s="26">
        <f>INDEX($BA$6:$BW$138,35,22)</f>
        <v>59</v>
      </c>
      <c r="BW149" s="26">
        <f>BU149-BV149</f>
        <v>20</v>
      </c>
      <c r="BY149" s="1"/>
      <c r="BZ149" s="25">
        <v>4</v>
      </c>
      <c r="CA149" s="25" t="str">
        <f t="shared" si="581"/>
        <v>CASETA 4</v>
      </c>
      <c r="CB149" s="26">
        <f>INDEX($BZ$6:$CV$138,35,3)</f>
        <v>29014</v>
      </c>
      <c r="CC149" s="26">
        <f>INDEX($BZ$6:$CV$138,35,4)</f>
        <v>29010</v>
      </c>
      <c r="CD149" s="23">
        <f>SUMIFS($CD$6:$CD$138,$BZ$6:$BZ$138,$BZ149)</f>
        <v>0</v>
      </c>
      <c r="CE149" s="23">
        <f>SUMIFS($CE$6:$CE$138,$BZ$6:$BZ$138,$BZ149)</f>
        <v>16</v>
      </c>
      <c r="CF149" s="23">
        <f>SUMIFS($CF$6:$CF$138,$BZ$6:$BZ$138,$BZ149)</f>
        <v>0</v>
      </c>
      <c r="CG149" s="88">
        <f>SUM(CD149:CF149)</f>
        <v>16</v>
      </c>
      <c r="CH149" s="26">
        <f>INDEX($BZ$6:$CV$138,35,9)</f>
        <v>16</v>
      </c>
      <c r="CI149" s="47">
        <f t="shared" si="561"/>
        <v>0.3</v>
      </c>
      <c r="CJ149" s="23">
        <f t="shared" si="576"/>
        <v>0.18598898260341409</v>
      </c>
      <c r="CK149" s="47">
        <f t="shared" si="562"/>
        <v>2.1999999999999997</v>
      </c>
      <c r="CL149" s="27">
        <f>INDEX($BZ$6:$CV$138,35,13)</f>
        <v>5.5145791686771903E-2</v>
      </c>
      <c r="CM149" s="23">
        <f>SUMIFS($CM$6:$CM$138,$BZ$6:$BZ$138,$BZ149)</f>
        <v>7500</v>
      </c>
      <c r="CN149" s="14">
        <f>VLOOKUP($BZ149,LOHMANN,6,FALSE)</f>
        <v>29</v>
      </c>
      <c r="CO149" s="23">
        <f>AVERAGEIFS($CO$6:$CO$131,$BZ$6:$BZ$131,$BZ149)</f>
        <v>120.26006817517582</v>
      </c>
      <c r="CP149" s="27">
        <f>INDEX($BZ$6:$CV$138,35,17)</f>
        <v>841.82047722623076</v>
      </c>
      <c r="CQ149" s="160">
        <f t="shared" si="532"/>
        <v>255</v>
      </c>
      <c r="CR149" s="351">
        <f>INDEX($BZ$6:$CV$138,35,19)</f>
        <v>237</v>
      </c>
      <c r="CS149" s="416">
        <f t="shared" si="565"/>
        <v>18</v>
      </c>
      <c r="CT149" s="50">
        <f t="shared" si="566"/>
        <v>79</v>
      </c>
      <c r="CU149" s="29">
        <f>INDEX($BZ$6:$CV$138,35,22)</f>
        <v>68</v>
      </c>
      <c r="CV149" s="417">
        <f t="shared" si="567"/>
        <v>11</v>
      </c>
    </row>
    <row r="150" spans="3:100" x14ac:dyDescent="0.25">
      <c r="C150" s="25">
        <v>5</v>
      </c>
      <c r="D150" s="23" t="str">
        <f t="shared" si="568"/>
        <v>CASETA 1</v>
      </c>
      <c r="E150" s="26">
        <f>INDEX($C$6:$Y$138,36,3)</f>
        <v>0</v>
      </c>
      <c r="F150" s="26">
        <f>INDEX($C$6:$Y$138,42,4)</f>
        <v>0</v>
      </c>
      <c r="G150" s="23">
        <f t="shared" si="569"/>
        <v>0</v>
      </c>
      <c r="H150" s="23">
        <f>SUMIFS($H$6:$H$138,$C$6:$C$138,$C150)</f>
        <v>0</v>
      </c>
      <c r="I150" s="23">
        <f>SUMIFS($I$6:$I$138,$C$6:$C$138,$C150)</f>
        <v>0</v>
      </c>
      <c r="J150" s="88">
        <f t="shared" si="533"/>
        <v>0</v>
      </c>
      <c r="K150" s="26">
        <f>INDEX($C$6:$Y$138,42,9)</f>
        <v>9358</v>
      </c>
      <c r="L150" s="47">
        <f t="shared" si="520"/>
        <v>0.18</v>
      </c>
      <c r="M150" s="28">
        <f t="shared" si="572"/>
        <v>0</v>
      </c>
      <c r="N150" s="47">
        <f t="shared" si="534"/>
        <v>2.38</v>
      </c>
      <c r="O150" s="47">
        <f t="shared" si="573"/>
        <v>0</v>
      </c>
      <c r="P150" s="464">
        <f t="shared" si="535"/>
        <v>0</v>
      </c>
      <c r="Q150" s="14">
        <f t="shared" si="536"/>
        <v>34</v>
      </c>
      <c r="R150" s="23">
        <f>AVERAGEIFS($R$6:$R$138,$C$6:$C$138,$C150)</f>
        <v>0</v>
      </c>
      <c r="S150" s="30">
        <f>INDEX($C$6:$Y$138,42,17)</f>
        <v>0</v>
      </c>
      <c r="T150" s="14">
        <f t="shared" si="537"/>
        <v>334</v>
      </c>
      <c r="U150" s="349">
        <f>INDEX($C$6:$Y$138,42,19)</f>
        <v>0</v>
      </c>
      <c r="V150" s="415">
        <f t="shared" si="521"/>
        <v>334</v>
      </c>
      <c r="W150" s="14">
        <f t="shared" si="522"/>
        <v>79</v>
      </c>
      <c r="X150" s="75">
        <f>INDEX($C$6:$Y$138,42,22)</f>
        <v>0</v>
      </c>
      <c r="Y150" s="609">
        <f t="shared" si="523"/>
        <v>79</v>
      </c>
      <c r="Z150" s="489"/>
      <c r="AA150" s="1"/>
      <c r="AB150" s="25">
        <v>5</v>
      </c>
      <c r="AC150" s="23" t="str">
        <f t="shared" si="574"/>
        <v>DESDOBLE C1</v>
      </c>
      <c r="AD150" s="26">
        <f>INDEX($AB$6:$AX$138,42,3)</f>
        <v>60414</v>
      </c>
      <c r="AE150" s="26">
        <f>INDEX($AB$6:$AX$138,42,4)</f>
        <v>60383</v>
      </c>
      <c r="AF150" s="23">
        <f t="shared" si="538"/>
        <v>0</v>
      </c>
      <c r="AG150" s="23">
        <f t="shared" si="539"/>
        <v>160</v>
      </c>
      <c r="AH150" s="23">
        <f t="shared" si="540"/>
        <v>0</v>
      </c>
      <c r="AI150" s="88">
        <f>SUM(AF150:AH150)</f>
        <v>160</v>
      </c>
      <c r="AJ150" s="26">
        <f>INDEX($AB$6:$AX$138,42,9)</f>
        <v>424</v>
      </c>
      <c r="AK150" s="47">
        <f t="shared" si="542"/>
        <v>0.18</v>
      </c>
      <c r="AL150" s="28">
        <f t="shared" si="582"/>
        <v>3.4486769212311703E-2</v>
      </c>
      <c r="AM150" s="47">
        <f t="shared" si="543"/>
        <v>2.38</v>
      </c>
      <c r="AN150" s="47">
        <f t="shared" si="579"/>
        <v>0.70182408051113976</v>
      </c>
      <c r="AO150" s="464">
        <f t="shared" si="544"/>
        <v>18243</v>
      </c>
      <c r="AP150" s="14">
        <f t="shared" si="545"/>
        <v>34</v>
      </c>
      <c r="AQ150" s="23">
        <f>AVERAGEIFS($AQ$6:$AQ$138,$AB$6:$AB$138,$AB150)</f>
        <v>36.718311183480132</v>
      </c>
      <c r="AR150" s="30">
        <f>INDEX($AB$6:$AX$138,42,17)</f>
        <v>495.97925720575205</v>
      </c>
      <c r="AS150" s="14">
        <f t="shared" si="547"/>
        <v>334</v>
      </c>
      <c r="AT150" s="349">
        <f>INDEX($AB$6:$AX$138,42,19)</f>
        <v>312</v>
      </c>
      <c r="AU150" s="415">
        <f t="shared" si="548"/>
        <v>22</v>
      </c>
      <c r="AV150" s="14">
        <f t="shared" si="549"/>
        <v>79</v>
      </c>
      <c r="AW150" s="75">
        <f>INDEX($AB$6:$AX$138,42,22)</f>
        <v>64</v>
      </c>
      <c r="AX150" s="609">
        <f>AV150-AW150</f>
        <v>15</v>
      </c>
      <c r="AZ150" s="1"/>
      <c r="BA150" s="25">
        <v>5</v>
      </c>
      <c r="BB150" s="25" t="str">
        <f t="shared" si="580"/>
        <v>CASETA 2</v>
      </c>
      <c r="BC150" s="26">
        <f>INDEX($BA$6:$BW$138,36,3)</f>
        <v>68615</v>
      </c>
      <c r="BD150" s="26">
        <f>INDEX($BA$6:$BW$138,42,4)</f>
        <v>68275</v>
      </c>
      <c r="BE150" s="23">
        <f t="shared" si="550"/>
        <v>0</v>
      </c>
      <c r="BF150" s="23">
        <f t="shared" si="551"/>
        <v>340</v>
      </c>
      <c r="BG150" s="23">
        <f t="shared" si="552"/>
        <v>0</v>
      </c>
      <c r="BH150" s="88">
        <f t="shared" si="553"/>
        <v>340</v>
      </c>
      <c r="BI150" s="26">
        <f>INDEX($BA$6:$BW$138,42,9)</f>
        <v>843</v>
      </c>
      <c r="BJ150" s="47">
        <f t="shared" si="527"/>
        <v>0.18</v>
      </c>
      <c r="BK150" s="28">
        <f t="shared" si="554"/>
        <v>7.0930776668463605E-2</v>
      </c>
      <c r="BL150" s="47">
        <f t="shared" si="528"/>
        <v>2.38</v>
      </c>
      <c r="BM150" s="27">
        <f>INDEX($BA$6:$BW$138,42,13)</f>
        <v>1.2205716271392582</v>
      </c>
      <c r="BN150" s="23">
        <f t="shared" si="555"/>
        <v>18819</v>
      </c>
      <c r="BO150" s="14">
        <f t="shared" si="529"/>
        <v>34</v>
      </c>
      <c r="BP150" s="23">
        <f t="shared" si="556"/>
        <v>39.259865211028675</v>
      </c>
      <c r="BQ150" s="27">
        <f>INDEX($BA$6:$BW$138,42,17)</f>
        <v>747.24253189745002</v>
      </c>
      <c r="BR150" s="14">
        <f t="shared" si="530"/>
        <v>334</v>
      </c>
      <c r="BS150" s="350">
        <f>INDEX($BA$6:$BW$138,42,19)</f>
        <v>286</v>
      </c>
      <c r="BT150" s="26">
        <f t="shared" si="575"/>
        <v>48</v>
      </c>
      <c r="BU150" s="194">
        <f t="shared" si="531"/>
        <v>79</v>
      </c>
      <c r="BV150" s="26">
        <f>INDEX($BA$6:$BW$138,42,22)</f>
        <v>84</v>
      </c>
      <c r="BW150" s="26">
        <f t="shared" ref="BW150:BW163" si="583">BU150-BV150</f>
        <v>-5</v>
      </c>
      <c r="BY150" s="1"/>
      <c r="BZ150" s="25">
        <v>5</v>
      </c>
      <c r="CA150" s="25" t="str">
        <f t="shared" si="581"/>
        <v>CASETA 4</v>
      </c>
      <c r="CB150" s="26">
        <f>INDEX($BZ$6:$CV$138,42,3)</f>
        <v>51959</v>
      </c>
      <c r="CC150" s="26">
        <f>INDEX($BZ$6:$CV$138,42,4)</f>
        <v>51915</v>
      </c>
      <c r="CD150" s="23">
        <f t="shared" si="557"/>
        <v>0</v>
      </c>
      <c r="CE150" s="23">
        <f t="shared" si="558"/>
        <v>149</v>
      </c>
      <c r="CF150" s="23">
        <f t="shared" si="559"/>
        <v>0</v>
      </c>
      <c r="CG150" s="88">
        <f t="shared" si="560"/>
        <v>149</v>
      </c>
      <c r="CH150" s="26">
        <f>INDEX($BZ$6:$CV$138,42,9)</f>
        <v>165</v>
      </c>
      <c r="CI150" s="47">
        <f t="shared" si="561"/>
        <v>0.18</v>
      </c>
      <c r="CJ150" s="23">
        <f>AVERAGEIFS($CJ$6:$CJ$138,$BZ$6:$BZ$138,$BZ150)</f>
        <v>0.43509160297420502</v>
      </c>
      <c r="CK150" s="47">
        <f t="shared" si="562"/>
        <v>2.38</v>
      </c>
      <c r="CL150" s="27">
        <f>INDEX($BZ$6:$CV$138,42,13)</f>
        <v>0.31755807463577052</v>
      </c>
      <c r="CM150" s="23">
        <f t="shared" si="563"/>
        <v>6840</v>
      </c>
      <c r="CN150" s="14">
        <f t="shared" si="564"/>
        <v>34</v>
      </c>
      <c r="CO150" s="23">
        <f t="shared" si="577"/>
        <v>24.017597549050191</v>
      </c>
      <c r="CP150" s="27">
        <f>INDEX($BZ$6:$CV$138,42,17)</f>
        <v>1009.9436600695821</v>
      </c>
      <c r="CQ150" s="160">
        <f t="shared" si="532"/>
        <v>334</v>
      </c>
      <c r="CR150" s="351">
        <f>INDEX($BZ$6:$CV$138,42,19)</f>
        <v>352</v>
      </c>
      <c r="CS150" s="416">
        <f t="shared" si="565"/>
        <v>-18</v>
      </c>
      <c r="CT150" s="50">
        <f t="shared" si="566"/>
        <v>79</v>
      </c>
      <c r="CU150" s="29">
        <f>INDEX($BZ$6:$CV$138,42,22)</f>
        <v>48</v>
      </c>
      <c r="CV150" s="417">
        <f t="shared" si="567"/>
        <v>31</v>
      </c>
    </row>
    <row r="151" spans="3:100" x14ac:dyDescent="0.25">
      <c r="C151" s="25">
        <v>6</v>
      </c>
      <c r="D151" s="23" t="str">
        <f t="shared" si="568"/>
        <v>CASETA 1</v>
      </c>
      <c r="E151" s="26">
        <f>INDEX($C$6:$Y$138,43,3)</f>
        <v>0</v>
      </c>
      <c r="F151" s="26">
        <f>INDEX($C$6:$Y$138,49,4)</f>
        <v>0</v>
      </c>
      <c r="G151" s="23">
        <f t="shared" si="569"/>
        <v>0</v>
      </c>
      <c r="H151" s="23">
        <f t="shared" si="570"/>
        <v>0</v>
      </c>
      <c r="I151" s="23">
        <f t="shared" si="571"/>
        <v>0</v>
      </c>
      <c r="J151" s="88">
        <f t="shared" si="533"/>
        <v>0</v>
      </c>
      <c r="K151" s="26">
        <f>INDEX($C$6:$Y$138,49,9)</f>
        <v>9358</v>
      </c>
      <c r="L151" s="47">
        <f t="shared" si="520"/>
        <v>0.18</v>
      </c>
      <c r="M151" s="28">
        <f t="shared" si="572"/>
        <v>0</v>
      </c>
      <c r="N151" s="47">
        <f t="shared" si="534"/>
        <v>2.56</v>
      </c>
      <c r="O151" s="47">
        <f t="shared" si="573"/>
        <v>0</v>
      </c>
      <c r="P151" s="464">
        <f t="shared" si="535"/>
        <v>0</v>
      </c>
      <c r="Q151" s="14">
        <f t="shared" si="536"/>
        <v>38</v>
      </c>
      <c r="R151" s="23">
        <f t="shared" si="578"/>
        <v>0</v>
      </c>
      <c r="S151" s="30">
        <f>INDEX($C$6:$Y$138,49,17)</f>
        <v>0</v>
      </c>
      <c r="T151" s="14">
        <f t="shared" si="537"/>
        <v>425</v>
      </c>
      <c r="U151" s="349">
        <f>INDEX($C$6:$Y$138,49,19)</f>
        <v>0</v>
      </c>
      <c r="V151" s="415">
        <f t="shared" si="521"/>
        <v>425</v>
      </c>
      <c r="W151" s="14">
        <f t="shared" si="522"/>
        <v>79</v>
      </c>
      <c r="X151" s="75">
        <f>INDEX($C$6:$Y$138,49,22)</f>
        <v>0</v>
      </c>
      <c r="Y151" s="609">
        <f t="shared" si="523"/>
        <v>79</v>
      </c>
      <c r="Z151" s="489"/>
      <c r="AA151" s="1"/>
      <c r="AB151" s="25">
        <v>6</v>
      </c>
      <c r="AC151" s="23" t="str">
        <f t="shared" si="574"/>
        <v>DESDOBLE C1</v>
      </c>
      <c r="AD151" s="26">
        <f>INDEX($AB$6:$AX$138,43,3)</f>
        <v>60383</v>
      </c>
      <c r="AE151" s="26">
        <f>INDEX($AB$6:$AX$138,49,4)</f>
        <v>60297</v>
      </c>
      <c r="AF151" s="23">
        <f t="shared" si="538"/>
        <v>0</v>
      </c>
      <c r="AG151" s="23">
        <f t="shared" si="539"/>
        <v>86</v>
      </c>
      <c r="AH151" s="23">
        <f t="shared" si="540"/>
        <v>0</v>
      </c>
      <c r="AI151" s="88">
        <f t="shared" si="541"/>
        <v>86</v>
      </c>
      <c r="AJ151" s="26">
        <f>INDEX($AB$6:$AX$138,49,9)</f>
        <v>510</v>
      </c>
      <c r="AK151" s="47">
        <f t="shared" si="542"/>
        <v>0.18</v>
      </c>
      <c r="AL151" s="28">
        <f t="shared" si="582"/>
        <v>2.0357411587717134E-2</v>
      </c>
      <c r="AM151" s="47">
        <f t="shared" si="543"/>
        <v>2.56</v>
      </c>
      <c r="AN151" s="47">
        <f t="shared" si="579"/>
        <v>0.84460858188563004</v>
      </c>
      <c r="AO151" s="464">
        <f t="shared" si="544"/>
        <v>13563</v>
      </c>
      <c r="AP151" s="14">
        <f t="shared" si="545"/>
        <v>38</v>
      </c>
      <c r="AQ151" s="23">
        <f t="shared" si="546"/>
        <v>32.114414668548193</v>
      </c>
      <c r="AR151" s="30">
        <f>INDEX($AB$6:$AX$138,49,17)</f>
        <v>720.78015988558934</v>
      </c>
      <c r="AS151" s="14">
        <f t="shared" si="547"/>
        <v>425</v>
      </c>
      <c r="AT151" s="349">
        <f>INDEX($AB$6:$AX$138,49,19)</f>
        <v>392</v>
      </c>
      <c r="AU151" s="415">
        <f t="shared" si="548"/>
        <v>33</v>
      </c>
      <c r="AV151" s="14">
        <f t="shared" si="549"/>
        <v>79</v>
      </c>
      <c r="AW151" s="75">
        <f>INDEX($AB$6:$AX$138,49,22)</f>
        <v>64</v>
      </c>
      <c r="AX151" s="609">
        <f t="shared" si="526"/>
        <v>15</v>
      </c>
      <c r="AZ151" s="1"/>
      <c r="BA151" s="25">
        <v>6</v>
      </c>
      <c r="BB151" s="25" t="str">
        <f t="shared" si="580"/>
        <v>CASETA 2</v>
      </c>
      <c r="BC151" s="26">
        <f>INDEX($BA$6:$BW$138,43,3)</f>
        <v>68275</v>
      </c>
      <c r="BD151" s="26">
        <f>INDEX($BA$6:$BW$138,49,4)</f>
        <v>68006</v>
      </c>
      <c r="BE151" s="23">
        <f t="shared" si="550"/>
        <v>0</v>
      </c>
      <c r="BF151" s="23">
        <f t="shared" si="551"/>
        <v>269</v>
      </c>
      <c r="BG151" s="23">
        <f t="shared" si="552"/>
        <v>0</v>
      </c>
      <c r="BH151" s="88">
        <f t="shared" si="553"/>
        <v>269</v>
      </c>
      <c r="BI151" s="26">
        <f>INDEX($BA$6:$BW$138,49,9)</f>
        <v>1112</v>
      </c>
      <c r="BJ151" s="47">
        <f t="shared" si="527"/>
        <v>0.18</v>
      </c>
      <c r="BK151" s="28">
        <f t="shared" si="554"/>
        <v>5.6373994916426119E-2</v>
      </c>
      <c r="BL151" s="47">
        <f t="shared" si="528"/>
        <v>2.56</v>
      </c>
      <c r="BM151" s="27">
        <f>INDEX($BA$6:$BW$138,49,13)</f>
        <v>1.6100541511018447</v>
      </c>
      <c r="BN151" s="23">
        <f t="shared" si="555"/>
        <v>25596</v>
      </c>
      <c r="BO151" s="14">
        <f t="shared" si="529"/>
        <v>38</v>
      </c>
      <c r="BP151" s="23">
        <f t="shared" si="556"/>
        <v>53.656497592193325</v>
      </c>
      <c r="BQ151" s="27">
        <f>INDEX($BA$6:$BW$138,49,17)</f>
        <v>1122.8380150428034</v>
      </c>
      <c r="BR151" s="14">
        <f t="shared" si="530"/>
        <v>425</v>
      </c>
      <c r="BS151" s="350">
        <f>INDEX($BA$6:$BW$138,49,19)</f>
        <v>395</v>
      </c>
      <c r="BT151" s="26">
        <f t="shared" si="575"/>
        <v>30</v>
      </c>
      <c r="BU151" s="194">
        <f t="shared" si="531"/>
        <v>79</v>
      </c>
      <c r="BV151" s="26">
        <f>INDEX($BA$6:$BW$138,49,22)</f>
        <v>52</v>
      </c>
      <c r="BW151" s="26">
        <f t="shared" si="583"/>
        <v>27</v>
      </c>
      <c r="BY151" s="1"/>
      <c r="BZ151" s="25">
        <v>6</v>
      </c>
      <c r="CA151" s="25" t="str">
        <f t="shared" si="581"/>
        <v>CASETA 4</v>
      </c>
      <c r="CB151" s="26">
        <f>INDEX($BZ$6:$CV$138,43,3)</f>
        <v>51915</v>
      </c>
      <c r="CC151" s="26">
        <f>INDEX($BZ$6:$CV$138,49,4)</f>
        <v>51607</v>
      </c>
      <c r="CD151" s="23">
        <f t="shared" si="557"/>
        <v>0</v>
      </c>
      <c r="CE151" s="23">
        <f t="shared" si="558"/>
        <v>308</v>
      </c>
      <c r="CF151" s="23">
        <f t="shared" si="559"/>
        <v>0</v>
      </c>
      <c r="CG151" s="88">
        <f t="shared" si="560"/>
        <v>308</v>
      </c>
      <c r="CH151" s="26">
        <f>INDEX($BZ$6:$CV$138,49,9)</f>
        <v>473</v>
      </c>
      <c r="CI151" s="47">
        <f t="shared" si="561"/>
        <v>0.18</v>
      </c>
      <c r="CJ151" s="23">
        <f t="shared" si="576"/>
        <v>0.84937672202913483</v>
      </c>
      <c r="CK151" s="47">
        <f t="shared" si="562"/>
        <v>2.56</v>
      </c>
      <c r="CL151" s="27">
        <f>INDEX($BZ$6:$CV$138,49,13)</f>
        <v>0.91033314728920878</v>
      </c>
      <c r="CM151" s="23">
        <f t="shared" si="563"/>
        <v>13140</v>
      </c>
      <c r="CN151" s="14">
        <f t="shared" si="564"/>
        <v>38</v>
      </c>
      <c r="CO151" s="23">
        <f t="shared" si="577"/>
        <v>36.283777515115382</v>
      </c>
      <c r="CP151" s="27">
        <f>INDEX($BZ$6:$CV$138,49,17)</f>
        <v>1263.9301026753897</v>
      </c>
      <c r="CQ151" s="160">
        <f t="shared" si="532"/>
        <v>425</v>
      </c>
      <c r="CR151" s="351">
        <f>INDEX($BZ$6:$CV$138,49,19)</f>
        <v>415</v>
      </c>
      <c r="CS151" s="416">
        <f t="shared" si="565"/>
        <v>10</v>
      </c>
      <c r="CT151" s="50">
        <f t="shared" si="566"/>
        <v>79</v>
      </c>
      <c r="CU151" s="29">
        <f>INDEX($BZ$6:$CV$138,49,22)</f>
        <v>56</v>
      </c>
      <c r="CV151" s="417">
        <f t="shared" si="567"/>
        <v>23</v>
      </c>
    </row>
    <row r="152" spans="3:100" x14ac:dyDescent="0.25">
      <c r="C152" s="25">
        <v>7</v>
      </c>
      <c r="D152" s="23" t="str">
        <f t="shared" si="568"/>
        <v>CASETA 1</v>
      </c>
      <c r="E152" s="26">
        <f>INDEX($C$6:$Y$138,50,3)</f>
        <v>0</v>
      </c>
      <c r="F152" s="26">
        <f>INDEX($C$6:$Y$138,56,4)</f>
        <v>0</v>
      </c>
      <c r="G152" s="23">
        <f t="shared" si="569"/>
        <v>0</v>
      </c>
      <c r="H152" s="23">
        <f t="shared" si="570"/>
        <v>0</v>
      </c>
      <c r="I152" s="23">
        <f t="shared" si="571"/>
        <v>0</v>
      </c>
      <c r="J152" s="88">
        <f t="shared" si="533"/>
        <v>0</v>
      </c>
      <c r="K152" s="26">
        <f>INDEX($C$6:$Y$138,56,9)</f>
        <v>9358</v>
      </c>
      <c r="L152" s="47">
        <f t="shared" ref="L152:L163" si="584">VLOOKUP($C152,LOHMANN,4,FALSE)</f>
        <v>0.16</v>
      </c>
      <c r="M152" s="28">
        <f t="shared" si="572"/>
        <v>0</v>
      </c>
      <c r="N152" s="47">
        <f t="shared" si="534"/>
        <v>2.72</v>
      </c>
      <c r="O152" s="47">
        <f t="shared" si="573"/>
        <v>0</v>
      </c>
      <c r="P152" s="464">
        <f t="shared" si="535"/>
        <v>0</v>
      </c>
      <c r="Q152" s="14">
        <f t="shared" si="536"/>
        <v>42</v>
      </c>
      <c r="R152" s="23">
        <f t="shared" si="578"/>
        <v>0</v>
      </c>
      <c r="S152" s="30">
        <f>INDEX($C$6:$Y$138,56,17)</f>
        <v>0</v>
      </c>
      <c r="T152" s="14">
        <f t="shared" si="537"/>
        <v>524</v>
      </c>
      <c r="U152" s="349">
        <f>INDEX($C$6:$Y$138,56,19)</f>
        <v>0</v>
      </c>
      <c r="V152" s="415">
        <f t="shared" si="521"/>
        <v>524</v>
      </c>
      <c r="W152" s="14">
        <f t="shared" si="522"/>
        <v>79</v>
      </c>
      <c r="X152" s="75">
        <f>INDEX($C$6:$Y$138,56,22)</f>
        <v>0</v>
      </c>
      <c r="Y152" s="609">
        <f t="shared" si="523"/>
        <v>79</v>
      </c>
      <c r="Z152" s="489"/>
      <c r="AA152" s="1"/>
      <c r="AB152" s="25">
        <v>7</v>
      </c>
      <c r="AC152" s="23" t="str">
        <f t="shared" si="574"/>
        <v>DESDOBLE C1</v>
      </c>
      <c r="AD152" s="26">
        <f>INDEX($AB$6:$AX$138,50,3)</f>
        <v>60297</v>
      </c>
      <c r="AE152" s="26">
        <f>INDEX($AB$6:$AX$138,56,4)</f>
        <v>60203</v>
      </c>
      <c r="AF152" s="23">
        <f t="shared" si="538"/>
        <v>0</v>
      </c>
      <c r="AG152" s="23">
        <f t="shared" si="539"/>
        <v>94</v>
      </c>
      <c r="AH152" s="23">
        <f t="shared" si="540"/>
        <v>0</v>
      </c>
      <c r="AI152" s="88">
        <f t="shared" si="541"/>
        <v>94</v>
      </c>
      <c r="AJ152" s="26">
        <f>INDEX($AB$6:$AX$138,56,9)</f>
        <v>604</v>
      </c>
      <c r="AK152" s="47">
        <f t="shared" si="542"/>
        <v>0.16</v>
      </c>
      <c r="AL152" s="28">
        <f t="shared" si="582"/>
        <v>2.2283996503914726E-2</v>
      </c>
      <c r="AM152" s="47">
        <f t="shared" si="543"/>
        <v>2.72</v>
      </c>
      <c r="AN152" s="47">
        <f t="shared" si="579"/>
        <v>1.0017082110221072</v>
      </c>
      <c r="AO152" s="464">
        <f t="shared" si="544"/>
        <v>13302</v>
      </c>
      <c r="AP152" s="14">
        <f t="shared" si="545"/>
        <v>42</v>
      </c>
      <c r="AQ152" s="23">
        <f t="shared" si="546"/>
        <v>31.534531917411289</v>
      </c>
      <c r="AR152" s="30">
        <f>INDEX($AB$6:$AX$138,56,17)</f>
        <v>941.52188330746822</v>
      </c>
      <c r="AS152" s="14">
        <f t="shared" si="547"/>
        <v>524</v>
      </c>
      <c r="AT152" s="349">
        <f>INDEX($AB$6:$AX$138,56,19)</f>
        <v>497</v>
      </c>
      <c r="AU152" s="415">
        <f t="shared" si="548"/>
        <v>27</v>
      </c>
      <c r="AV152" s="14">
        <f t="shared" si="549"/>
        <v>79</v>
      </c>
      <c r="AW152" s="75">
        <f>INDEX($AB$6:$AX$138,56,22)</f>
        <v>76</v>
      </c>
      <c r="AX152" s="609">
        <f t="shared" si="526"/>
        <v>3</v>
      </c>
      <c r="AZ152" s="1"/>
      <c r="BA152" s="25">
        <v>7</v>
      </c>
      <c r="BB152" s="25" t="str">
        <f t="shared" si="580"/>
        <v>CASETA 2</v>
      </c>
      <c r="BC152" s="26">
        <f>INDEX($BA$6:$BW$138,50,3)</f>
        <v>68006</v>
      </c>
      <c r="BD152" s="26">
        <f>INDEX($BA$6:$BW$138,56,4)</f>
        <v>67912</v>
      </c>
      <c r="BE152" s="23">
        <f t="shared" si="550"/>
        <v>0</v>
      </c>
      <c r="BF152" s="23">
        <f t="shared" si="551"/>
        <v>94</v>
      </c>
      <c r="BG152" s="23">
        <f t="shared" si="552"/>
        <v>0</v>
      </c>
      <c r="BH152" s="88">
        <f t="shared" si="553"/>
        <v>94</v>
      </c>
      <c r="BI152" s="26">
        <f>INDEX($BA$6:$BW$138,56,9)</f>
        <v>1206</v>
      </c>
      <c r="BJ152" s="47">
        <f t="shared" si="527"/>
        <v>0.16</v>
      </c>
      <c r="BK152" s="28">
        <f t="shared" si="554"/>
        <v>1.9756661323000847E-2</v>
      </c>
      <c r="BL152" s="47">
        <f t="shared" si="528"/>
        <v>2.72</v>
      </c>
      <c r="BM152" s="27">
        <f>INDEX($BA$6:$BW$138,56,13)</f>
        <v>1.746155850925202</v>
      </c>
      <c r="BN152" s="23">
        <f t="shared" si="555"/>
        <v>21771</v>
      </c>
      <c r="BO152" s="14">
        <f t="shared" si="529"/>
        <v>42</v>
      </c>
      <c r="BP152" s="23">
        <f t="shared" si="556"/>
        <v>45.75438357963916</v>
      </c>
      <c r="BQ152" s="27">
        <f>INDEX($BA$6:$BW$138,56,17)</f>
        <v>1443.1187001002777</v>
      </c>
      <c r="BR152" s="14">
        <f t="shared" si="530"/>
        <v>524</v>
      </c>
      <c r="BS152" s="350">
        <f>INDEX($BA$6:$BW$138,56,19)</f>
        <v>488</v>
      </c>
      <c r="BT152" s="26">
        <f t="shared" si="575"/>
        <v>36</v>
      </c>
      <c r="BU152" s="194">
        <f t="shared" si="531"/>
        <v>79</v>
      </c>
      <c r="BV152" s="26">
        <f>INDEX($BA$6:$BW$138,56,22)</f>
        <v>66</v>
      </c>
      <c r="BW152" s="26">
        <f t="shared" si="583"/>
        <v>13</v>
      </c>
      <c r="BY152" s="1"/>
      <c r="BZ152" s="25">
        <v>7</v>
      </c>
      <c r="CA152" s="25" t="str">
        <f t="shared" si="581"/>
        <v>CASETA 4</v>
      </c>
      <c r="CB152" s="26">
        <f>INDEX($BZ$6:$CV$138,50,3)</f>
        <v>51607</v>
      </c>
      <c r="CC152" s="26">
        <f>INDEX($BZ$6:$CV$138,56,4)</f>
        <v>51424</v>
      </c>
      <c r="CD152" s="23">
        <f t="shared" si="557"/>
        <v>0</v>
      </c>
      <c r="CE152" s="23">
        <f t="shared" si="558"/>
        <v>183</v>
      </c>
      <c r="CF152" s="23">
        <f t="shared" si="559"/>
        <v>0</v>
      </c>
      <c r="CG152" s="88">
        <f t="shared" si="560"/>
        <v>183</v>
      </c>
      <c r="CH152" s="26">
        <f>INDEX($BZ$6:$CV$138,56,9)</f>
        <v>656</v>
      </c>
      <c r="CI152" s="47">
        <f t="shared" si="561"/>
        <v>0.16</v>
      </c>
      <c r="CJ152" s="23">
        <f t="shared" si="576"/>
        <v>0.50727846556116007</v>
      </c>
      <c r="CK152" s="47">
        <f t="shared" si="562"/>
        <v>2.72</v>
      </c>
      <c r="CL152" s="27">
        <f>INDEX($BZ$6:$CV$138,56,13)</f>
        <v>1.2625339209761544</v>
      </c>
      <c r="CM152" s="23">
        <f t="shared" si="563"/>
        <v>20754</v>
      </c>
      <c r="CN152" s="14">
        <f t="shared" si="564"/>
        <v>42</v>
      </c>
      <c r="CO152" s="23">
        <f t="shared" si="577"/>
        <v>57.517414233508347</v>
      </c>
      <c r="CP152" s="27">
        <f>INDEX($BZ$6:$CV$138,56,17)</f>
        <v>1666.552002309948</v>
      </c>
      <c r="CQ152" s="160">
        <f t="shared" si="532"/>
        <v>524</v>
      </c>
      <c r="CR152" s="351">
        <f>INDEX($BZ$6:$CV$138,56,19)</f>
        <v>540.4</v>
      </c>
      <c r="CS152" s="416">
        <f t="shared" si="565"/>
        <v>-16.399999999999977</v>
      </c>
      <c r="CT152" s="50">
        <f t="shared" si="566"/>
        <v>79</v>
      </c>
      <c r="CU152" s="29">
        <f>INDEX($BZ$6:$CV$138,56,22)</f>
        <v>70</v>
      </c>
      <c r="CV152" s="417">
        <f t="shared" si="567"/>
        <v>9</v>
      </c>
    </row>
    <row r="153" spans="3:100" x14ac:dyDescent="0.25">
      <c r="C153" s="25">
        <v>8</v>
      </c>
      <c r="D153" s="23" t="str">
        <f t="shared" si="568"/>
        <v>CASETA 1</v>
      </c>
      <c r="E153" s="26">
        <f>INDEX($C$6:$Y$138,57,3)</f>
        <v>0</v>
      </c>
      <c r="F153" s="26">
        <f>INDEX($C$6:$Y$138,63,4)</f>
        <v>0</v>
      </c>
      <c r="G153" s="23">
        <f t="shared" si="569"/>
        <v>0</v>
      </c>
      <c r="H153" s="23">
        <f t="shared" si="570"/>
        <v>0</v>
      </c>
      <c r="I153" s="23">
        <f t="shared" si="571"/>
        <v>0</v>
      </c>
      <c r="J153" s="88">
        <f t="shared" si="533"/>
        <v>0</v>
      </c>
      <c r="K153" s="26">
        <f>INDEX($C$6:$Y$138,63,9)</f>
        <v>9358</v>
      </c>
      <c r="L153" s="47">
        <f t="shared" si="584"/>
        <v>0.16</v>
      </c>
      <c r="M153" s="28">
        <f t="shared" si="572"/>
        <v>0</v>
      </c>
      <c r="N153" s="47">
        <f t="shared" si="534"/>
        <v>2.8800000000000003</v>
      </c>
      <c r="O153" s="47">
        <f t="shared" si="573"/>
        <v>0</v>
      </c>
      <c r="P153" s="464">
        <f t="shared" si="535"/>
        <v>0</v>
      </c>
      <c r="Q153" s="14">
        <f t="shared" si="536"/>
        <v>46</v>
      </c>
      <c r="R153" s="23">
        <f t="shared" si="578"/>
        <v>0</v>
      </c>
      <c r="S153" s="30">
        <f>INDEX($C$6:$Y$138,63,17)</f>
        <v>0</v>
      </c>
      <c r="T153" s="14">
        <f t="shared" si="537"/>
        <v>618</v>
      </c>
      <c r="U153" s="349">
        <f>INDEX($C$6:$Y$138,63,19)</f>
        <v>0</v>
      </c>
      <c r="V153" s="415">
        <f t="shared" si="521"/>
        <v>618</v>
      </c>
      <c r="W153" s="14">
        <f t="shared" ref="W153:W163" si="585">VLOOKUP(C153,LOHMANN,3,FALSE)</f>
        <v>79</v>
      </c>
      <c r="X153" s="75">
        <f>INDEX($C$6:$Y$138,63,22)</f>
        <v>0</v>
      </c>
      <c r="Y153" s="609">
        <f t="shared" ref="Y153:Y163" si="586">W153-X153</f>
        <v>79</v>
      </c>
      <c r="Z153" s="489"/>
      <c r="AA153" s="1"/>
      <c r="AB153" s="25">
        <v>8</v>
      </c>
      <c r="AC153" s="23" t="str">
        <f t="shared" si="574"/>
        <v>DESDOBLE C1</v>
      </c>
      <c r="AD153" s="26">
        <f>INDEX($AB$6:$AX$138,57,3)</f>
        <v>60203</v>
      </c>
      <c r="AE153" s="26">
        <f>INDEX($AB$6:$AX$138,63,4)</f>
        <v>60172</v>
      </c>
      <c r="AF153" s="23">
        <f t="shared" si="538"/>
        <v>0</v>
      </c>
      <c r="AG153" s="23">
        <f t="shared" si="539"/>
        <v>31</v>
      </c>
      <c r="AH153" s="23">
        <f t="shared" si="540"/>
        <v>0</v>
      </c>
      <c r="AI153" s="88">
        <f t="shared" si="541"/>
        <v>31</v>
      </c>
      <c r="AJ153" s="26">
        <f>INDEX($AB$6:$AX$138,63,9)</f>
        <v>635</v>
      </c>
      <c r="AK153" s="47">
        <f t="shared" si="542"/>
        <v>0.16</v>
      </c>
      <c r="AL153" s="28">
        <f t="shared" si="582"/>
        <v>7.3575507793521263E-3</v>
      </c>
      <c r="AM153" s="47">
        <f t="shared" si="543"/>
        <v>2.8800000000000003</v>
      </c>
      <c r="AN153" s="47">
        <f t="shared" si="579"/>
        <v>1.0547647127219575</v>
      </c>
      <c r="AO153" s="464">
        <f t="shared" si="544"/>
        <v>13203</v>
      </c>
      <c r="AP153" s="14">
        <f t="shared" si="545"/>
        <v>46</v>
      </c>
      <c r="AQ153" s="23">
        <f t="shared" si="546"/>
        <v>31.334804961728082</v>
      </c>
      <c r="AR153" s="30">
        <f>INDEX($AB$6:$AX$138,63,17)</f>
        <v>1160.8655180395647</v>
      </c>
      <c r="AS153" s="14">
        <f t="shared" si="547"/>
        <v>618</v>
      </c>
      <c r="AT153" s="349">
        <f>INDEX($AB$6:$AX$138,63,19)</f>
        <v>605</v>
      </c>
      <c r="AU153" s="415">
        <f t="shared" si="548"/>
        <v>13</v>
      </c>
      <c r="AV153" s="14">
        <f t="shared" si="549"/>
        <v>79</v>
      </c>
      <c r="AW153" s="75">
        <f>INDEX($AB$6:$AX$138,63,22)</f>
        <v>87</v>
      </c>
      <c r="AX153" s="609">
        <f t="shared" si="526"/>
        <v>-8</v>
      </c>
      <c r="AZ153" s="1"/>
      <c r="BA153" s="25">
        <v>8</v>
      </c>
      <c r="BB153" s="25" t="str">
        <f t="shared" si="580"/>
        <v>CASETA 2</v>
      </c>
      <c r="BC153" s="26">
        <f>INDEX($BA$6:$BW$138,57,3)</f>
        <v>67912</v>
      </c>
      <c r="BD153" s="26">
        <f>INDEX($BA$6:$BW$138,63,4)</f>
        <v>67877</v>
      </c>
      <c r="BE153" s="23">
        <f t="shared" si="550"/>
        <v>0</v>
      </c>
      <c r="BF153" s="23">
        <f t="shared" si="551"/>
        <v>35</v>
      </c>
      <c r="BG153" s="23">
        <f t="shared" si="552"/>
        <v>0</v>
      </c>
      <c r="BH153" s="88">
        <f t="shared" si="553"/>
        <v>35</v>
      </c>
      <c r="BI153" s="26">
        <f>INDEX($BA$6:$BW$138,63,9)</f>
        <v>1241</v>
      </c>
      <c r="BJ153" s="47">
        <f t="shared" si="527"/>
        <v>0.16</v>
      </c>
      <c r="BK153" s="28">
        <f t="shared" si="554"/>
        <v>7.3640275865439848E-3</v>
      </c>
      <c r="BL153" s="47">
        <f t="shared" si="528"/>
        <v>2.8800000000000003</v>
      </c>
      <c r="BM153" s="27">
        <f>INDEX($BA$6:$BW$138,63,13)</f>
        <v>1.7968320157530477</v>
      </c>
      <c r="BN153" s="23">
        <f t="shared" si="555"/>
        <v>20151</v>
      </c>
      <c r="BO153" s="14">
        <f t="shared" si="529"/>
        <v>46</v>
      </c>
      <c r="BP153" s="23">
        <f t="shared" si="556"/>
        <v>42.394588588581946</v>
      </c>
      <c r="BQ153" s="27">
        <f>INDEX($BA$6:$BW$138,63,17)</f>
        <v>1739.8808202203511</v>
      </c>
      <c r="BR153" s="14">
        <f t="shared" si="530"/>
        <v>618</v>
      </c>
      <c r="BS153" s="350">
        <f>INDEX($BA$6:$BW$138,63,19)</f>
        <v>613</v>
      </c>
      <c r="BT153" s="26">
        <f t="shared" si="575"/>
        <v>5</v>
      </c>
      <c r="BU153" s="194">
        <f t="shared" si="531"/>
        <v>79</v>
      </c>
      <c r="BV153" s="26">
        <f>INDEX($BA$6:$BW$138,63,22)</f>
        <v>78</v>
      </c>
      <c r="BW153" s="26">
        <f t="shared" si="583"/>
        <v>1</v>
      </c>
      <c r="BY153" s="1"/>
      <c r="BZ153" s="25">
        <v>8</v>
      </c>
      <c r="CA153" s="25" t="str">
        <f t="shared" si="581"/>
        <v>CASETA 4</v>
      </c>
      <c r="CB153" s="26">
        <f>INDEX($BZ$6:$CV$138,57,3)</f>
        <v>51424</v>
      </c>
      <c r="CC153" s="26">
        <f>INDEX($BZ$6:$CV$138,63,4)</f>
        <v>51349</v>
      </c>
      <c r="CD153" s="23">
        <f t="shared" si="557"/>
        <v>0</v>
      </c>
      <c r="CE153" s="23">
        <f t="shared" si="558"/>
        <v>75</v>
      </c>
      <c r="CF153" s="23">
        <f t="shared" si="559"/>
        <v>0</v>
      </c>
      <c r="CG153" s="88">
        <f t="shared" si="560"/>
        <v>75</v>
      </c>
      <c r="CH153" s="26">
        <f>INDEX($BZ$6:$CV$138,63,9)</f>
        <v>731</v>
      </c>
      <c r="CI153" s="47">
        <f t="shared" si="561"/>
        <v>0.16</v>
      </c>
      <c r="CJ153" s="23">
        <f t="shared" si="576"/>
        <v>0.2084591986437008</v>
      </c>
      <c r="CK153" s="47">
        <f t="shared" si="562"/>
        <v>2.8800000000000003</v>
      </c>
      <c r="CL153" s="27">
        <f>INDEX($BZ$6:$CV$138,63,13)</f>
        <v>1.40687850035605</v>
      </c>
      <c r="CM153" s="23">
        <f t="shared" si="563"/>
        <v>12600</v>
      </c>
      <c r="CN153" s="14">
        <f t="shared" si="564"/>
        <v>46</v>
      </c>
      <c r="CO153" s="23">
        <f t="shared" si="577"/>
        <v>35.032626452515011</v>
      </c>
      <c r="CP153" s="27">
        <f>INDEX($BZ$6:$CV$138,63,17)</f>
        <v>1911.7803874775529</v>
      </c>
      <c r="CQ153" s="160">
        <f t="shared" si="532"/>
        <v>618</v>
      </c>
      <c r="CR153" s="351">
        <f>INDEX($BZ$6:$CV$138,63,19)</f>
        <v>0</v>
      </c>
      <c r="CS153" s="416">
        <f t="shared" si="565"/>
        <v>618</v>
      </c>
      <c r="CT153" s="50">
        <f t="shared" si="566"/>
        <v>79</v>
      </c>
      <c r="CU153" s="29">
        <f>INDEX($BZ$6:$CV$138,63,22)</f>
        <v>0</v>
      </c>
      <c r="CV153" s="417">
        <f t="shared" si="567"/>
        <v>79</v>
      </c>
    </row>
    <row r="154" spans="3:100" x14ac:dyDescent="0.25">
      <c r="C154" s="25">
        <v>9</v>
      </c>
      <c r="D154" s="23" t="str">
        <f t="shared" si="568"/>
        <v>CASETA 1</v>
      </c>
      <c r="E154" s="26">
        <f>INDEX($C$6:$Y$138,64,3)</f>
        <v>0</v>
      </c>
      <c r="F154" s="26">
        <f>INDEX($C$6:$Y$138,70,4)</f>
        <v>0</v>
      </c>
      <c r="G154" s="23">
        <f t="shared" si="569"/>
        <v>0</v>
      </c>
      <c r="H154" s="23">
        <f t="shared" si="570"/>
        <v>0</v>
      </c>
      <c r="I154" s="23">
        <f t="shared" si="571"/>
        <v>0</v>
      </c>
      <c r="J154" s="88">
        <f t="shared" si="533"/>
        <v>0</v>
      </c>
      <c r="K154" s="26">
        <f>INDEX($C$6:$Y$138,70,9)</f>
        <v>9358</v>
      </c>
      <c r="L154" s="47">
        <f t="shared" si="584"/>
        <v>0.16</v>
      </c>
      <c r="M154" s="28">
        <f t="shared" si="572"/>
        <v>0</v>
      </c>
      <c r="N154" s="47">
        <f t="shared" si="534"/>
        <v>3.0400000000000005</v>
      </c>
      <c r="O154" s="47">
        <f t="shared" si="573"/>
        <v>0</v>
      </c>
      <c r="P154" s="464">
        <f t="shared" si="535"/>
        <v>0</v>
      </c>
      <c r="Q154" s="14">
        <f t="shared" si="536"/>
        <v>49</v>
      </c>
      <c r="R154" s="23">
        <f t="shared" si="578"/>
        <v>0</v>
      </c>
      <c r="S154" s="30">
        <f>INDEX($C$6:$Y$138,70,17)</f>
        <v>0</v>
      </c>
      <c r="T154" s="14">
        <f t="shared" si="537"/>
        <v>712</v>
      </c>
      <c r="U154" s="349">
        <f>INDEX($C$6:$Y$138,70,19)</f>
        <v>0</v>
      </c>
      <c r="V154" s="415">
        <f t="shared" si="521"/>
        <v>712</v>
      </c>
      <c r="W154" s="14">
        <f t="shared" si="585"/>
        <v>79</v>
      </c>
      <c r="X154" s="75">
        <f>INDEX($C$6:$Y$138,70,22)</f>
        <v>0</v>
      </c>
      <c r="Y154" s="609">
        <f t="shared" si="586"/>
        <v>79</v>
      </c>
      <c r="Z154" s="489"/>
      <c r="AA154" s="1"/>
      <c r="AB154" s="25">
        <v>9</v>
      </c>
      <c r="AC154" s="23" t="str">
        <f t="shared" si="574"/>
        <v>DESDOBLE C1</v>
      </c>
      <c r="AD154" s="26">
        <f>INDEX($AB$6:$AX$138,64,3)</f>
        <v>60172</v>
      </c>
      <c r="AE154" s="26">
        <f>INDEX($AB$6:$AX$138,70,4)</f>
        <v>60131</v>
      </c>
      <c r="AF154" s="23">
        <f t="shared" si="538"/>
        <v>0</v>
      </c>
      <c r="AG154" s="23">
        <f t="shared" si="539"/>
        <v>41</v>
      </c>
      <c r="AH154" s="23">
        <f t="shared" si="540"/>
        <v>0</v>
      </c>
      <c r="AI154" s="88">
        <f t="shared" si="541"/>
        <v>41</v>
      </c>
      <c r="AJ154" s="26">
        <f>INDEX($AB$6:$AX$138,70,9)</f>
        <v>676</v>
      </c>
      <c r="AK154" s="47">
        <f t="shared" si="542"/>
        <v>0.16</v>
      </c>
      <c r="AL154" s="28">
        <f t="shared" si="582"/>
        <v>9.7367439908473876E-3</v>
      </c>
      <c r="AM154" s="47">
        <f t="shared" si="543"/>
        <v>3.0400000000000005</v>
      </c>
      <c r="AN154" s="47">
        <f t="shared" si="579"/>
        <v>1.1234461211194575</v>
      </c>
      <c r="AO154" s="464">
        <f t="shared" si="544"/>
        <v>10161</v>
      </c>
      <c r="AP154" s="14">
        <f t="shared" si="545"/>
        <v>49</v>
      </c>
      <c r="AQ154" s="23">
        <f t="shared" si="546"/>
        <v>24.130962863750643</v>
      </c>
      <c r="AR154" s="30">
        <f>INDEX($AB$6:$AX$138,70,17)</f>
        <v>1329.7822580858192</v>
      </c>
      <c r="AS154" s="14">
        <f t="shared" si="547"/>
        <v>712</v>
      </c>
      <c r="AT154" s="349">
        <f>INDEX($AB$6:$AX$138,70,19)</f>
        <v>681</v>
      </c>
      <c r="AU154" s="415">
        <f t="shared" si="548"/>
        <v>31</v>
      </c>
      <c r="AV154" s="14">
        <f t="shared" si="549"/>
        <v>79</v>
      </c>
      <c r="AW154" s="75">
        <f>INDEX($AB$6:$AX$138,70,22)</f>
        <v>70</v>
      </c>
      <c r="AX154" s="609">
        <f t="shared" si="526"/>
        <v>9</v>
      </c>
      <c r="AZ154" s="1"/>
      <c r="BA154" s="25">
        <v>9</v>
      </c>
      <c r="BB154" s="25" t="str">
        <f t="shared" si="580"/>
        <v>CASETA 2</v>
      </c>
      <c r="BC154" s="26">
        <f>INDEX($BA$6:$BW$138,64,3)</f>
        <v>67877</v>
      </c>
      <c r="BD154" s="26">
        <f>INDEX($BA$6:$BW$138,70,4)</f>
        <v>67802</v>
      </c>
      <c r="BE154" s="23">
        <f t="shared" si="550"/>
        <v>0</v>
      </c>
      <c r="BF154" s="23">
        <f t="shared" si="551"/>
        <v>75</v>
      </c>
      <c r="BG154" s="23">
        <f t="shared" si="552"/>
        <v>0</v>
      </c>
      <c r="BH154" s="88">
        <f t="shared" si="553"/>
        <v>75</v>
      </c>
      <c r="BI154" s="26">
        <f>INDEX($BA$6:$BW$138,70,9)</f>
        <v>1316</v>
      </c>
      <c r="BJ154" s="47">
        <f t="shared" si="527"/>
        <v>0.16</v>
      </c>
      <c r="BK154" s="28">
        <f t="shared" si="554"/>
        <v>1.5792108747724028E-2</v>
      </c>
      <c r="BL154" s="47">
        <f t="shared" si="528"/>
        <v>3.0400000000000005</v>
      </c>
      <c r="BM154" s="27">
        <f>INDEX($BA$6:$BW$138,70,13)</f>
        <v>1.9054237975270032</v>
      </c>
      <c r="BN154" s="23">
        <f t="shared" si="555"/>
        <v>18738</v>
      </c>
      <c r="BO154" s="14">
        <f t="shared" si="529"/>
        <v>49</v>
      </c>
      <c r="BP154" s="23">
        <f t="shared" si="556"/>
        <v>39.457871892667995</v>
      </c>
      <c r="BQ154" s="27">
        <f>INDEX($BA$6:$BW$138,70,17)</f>
        <v>2016.085923469027</v>
      </c>
      <c r="BR154" s="14">
        <f t="shared" si="530"/>
        <v>712</v>
      </c>
      <c r="BS154" s="350">
        <f>INDEX($BA$6:$BW$138,70,19)</f>
        <v>712</v>
      </c>
      <c r="BT154" s="26">
        <f t="shared" si="575"/>
        <v>0</v>
      </c>
      <c r="BU154" s="194">
        <f t="shared" si="531"/>
        <v>79</v>
      </c>
      <c r="BV154" s="26">
        <f>INDEX($BA$6:$BW$138,70,22)</f>
        <v>71</v>
      </c>
      <c r="BW154" s="26">
        <f t="shared" si="583"/>
        <v>8</v>
      </c>
      <c r="BY154" s="1"/>
      <c r="BZ154" s="25">
        <v>9</v>
      </c>
      <c r="CA154" s="25" t="str">
        <f t="shared" si="581"/>
        <v>CASETA 4</v>
      </c>
      <c r="CB154" s="26">
        <f>INDEX($BZ$6:$CV$138,64,3)</f>
        <v>51349</v>
      </c>
      <c r="CC154" s="26">
        <f>INDEX($BZ$6:$CV$138,70,4)</f>
        <v>51312</v>
      </c>
      <c r="CD154" s="23">
        <f t="shared" si="557"/>
        <v>0</v>
      </c>
      <c r="CE154" s="23">
        <f t="shared" si="558"/>
        <v>37</v>
      </c>
      <c r="CF154" s="23">
        <f t="shared" si="559"/>
        <v>0</v>
      </c>
      <c r="CG154" s="88">
        <f t="shared" si="560"/>
        <v>37</v>
      </c>
      <c r="CH154" s="26">
        <f>INDEX($BZ$6:$CV$138,70,9)</f>
        <v>768</v>
      </c>
      <c r="CI154" s="47">
        <f t="shared" si="561"/>
        <v>0.16</v>
      </c>
      <c r="CJ154" s="23">
        <f t="shared" si="576"/>
        <v>0.10296626116651031</v>
      </c>
      <c r="CK154" s="47">
        <f t="shared" si="562"/>
        <v>3.0400000000000005</v>
      </c>
      <c r="CL154" s="27">
        <f>INDEX($BZ$6:$CV$138,70,13)</f>
        <v>1.4780884928501319</v>
      </c>
      <c r="CM154" s="23">
        <f t="shared" si="563"/>
        <v>16560</v>
      </c>
      <c r="CN154" s="14">
        <f t="shared" si="564"/>
        <v>49</v>
      </c>
      <c r="CO154" s="23">
        <f t="shared" si="577"/>
        <v>46.090816836674044</v>
      </c>
      <c r="CP154" s="27">
        <f>INDEX($BZ$6:$CV$138,70,17)</f>
        <v>2234.4161053342714</v>
      </c>
      <c r="CQ154" s="160">
        <f t="shared" si="532"/>
        <v>712</v>
      </c>
      <c r="CR154" s="351">
        <f>INDEX($BZ$6:$CV$138,70,19)</f>
        <v>701</v>
      </c>
      <c r="CS154" s="416">
        <f t="shared" si="565"/>
        <v>11</v>
      </c>
      <c r="CT154" s="50">
        <f t="shared" si="566"/>
        <v>79</v>
      </c>
      <c r="CU154" s="29">
        <f>INDEX($BZ$6:$CV$138,70,22)</f>
        <v>74</v>
      </c>
      <c r="CV154" s="417">
        <f t="shared" si="567"/>
        <v>5</v>
      </c>
    </row>
    <row r="155" spans="3:100" x14ac:dyDescent="0.25">
      <c r="C155" s="25">
        <v>10</v>
      </c>
      <c r="D155" s="23" t="str">
        <f t="shared" si="568"/>
        <v>CASETA 1</v>
      </c>
      <c r="E155" s="26">
        <f>INDEX($C$6:$Y$138,71,3)</f>
        <v>0</v>
      </c>
      <c r="F155" s="26">
        <f>INDEX($C$6:$Y$138,77,4)</f>
        <v>0</v>
      </c>
      <c r="G155" s="23">
        <f t="shared" si="569"/>
        <v>0</v>
      </c>
      <c r="H155" s="23">
        <f t="shared" si="570"/>
        <v>0</v>
      </c>
      <c r="I155" s="23">
        <f>SUMIFS($I$6:$I$138,$C$6:$C$138,$C155)</f>
        <v>0</v>
      </c>
      <c r="J155" s="88">
        <f t="shared" si="533"/>
        <v>0</v>
      </c>
      <c r="K155" s="26">
        <f>INDEX($C$6:$Y$138,77,9)</f>
        <v>9358</v>
      </c>
      <c r="L155" s="47">
        <f t="shared" si="584"/>
        <v>0.16</v>
      </c>
      <c r="M155" s="28">
        <f t="shared" si="572"/>
        <v>0</v>
      </c>
      <c r="N155" s="47">
        <f t="shared" si="534"/>
        <v>3.2000000000000006</v>
      </c>
      <c r="O155" s="47">
        <f t="shared" si="573"/>
        <v>0</v>
      </c>
      <c r="P155" s="464">
        <f t="shared" si="535"/>
        <v>0</v>
      </c>
      <c r="Q155" s="14">
        <f t="shared" si="536"/>
        <v>52</v>
      </c>
      <c r="R155" s="23">
        <f t="shared" si="578"/>
        <v>0</v>
      </c>
      <c r="S155" s="30">
        <f>INDEX($C$6:$Y$138,77,17)</f>
        <v>0</v>
      </c>
      <c r="T155" s="14">
        <f t="shared" si="537"/>
        <v>802</v>
      </c>
      <c r="U155" s="349">
        <f>INDEX($C$6:$Y$138,77,19)</f>
        <v>0</v>
      </c>
      <c r="V155" s="415">
        <f t="shared" ref="V155:V163" si="587">T155-U155</f>
        <v>802</v>
      </c>
      <c r="W155" s="14">
        <f t="shared" si="585"/>
        <v>80</v>
      </c>
      <c r="X155" s="75">
        <f>INDEX($C$6:$Y$138,77,22)</f>
        <v>0</v>
      </c>
      <c r="Y155" s="609">
        <f t="shared" si="586"/>
        <v>80</v>
      </c>
      <c r="Z155" s="489"/>
      <c r="AA155" s="1"/>
      <c r="AB155" s="25">
        <v>10</v>
      </c>
      <c r="AC155" s="23" t="str">
        <f t="shared" si="574"/>
        <v>DESDOBLE C1</v>
      </c>
      <c r="AD155" s="26">
        <f>INDEX($AB$6:$AX$138,71,3)</f>
        <v>60131</v>
      </c>
      <c r="AE155" s="26">
        <f>INDEX($AB$6:$AX$138,77,4)</f>
        <v>60078</v>
      </c>
      <c r="AF155" s="23">
        <f t="shared" si="538"/>
        <v>0</v>
      </c>
      <c r="AG155" s="23">
        <f t="shared" si="539"/>
        <v>53</v>
      </c>
      <c r="AH155" s="23">
        <f t="shared" si="540"/>
        <v>0</v>
      </c>
      <c r="AI155" s="88">
        <f t="shared" si="541"/>
        <v>53</v>
      </c>
      <c r="AJ155" s="26">
        <f>INDEX($AB$6:$AX$138,77,9)</f>
        <v>729</v>
      </c>
      <c r="AK155" s="47">
        <f t="shared" si="542"/>
        <v>0.16</v>
      </c>
      <c r="AL155" s="28">
        <f t="shared" si="582"/>
        <v>1.2595928258378493E-2</v>
      </c>
      <c r="AM155" s="47">
        <f t="shared" si="543"/>
        <v>3.2000000000000006</v>
      </c>
      <c r="AN155" s="47">
        <f t="shared" si="579"/>
        <v>1.2123530292195372</v>
      </c>
      <c r="AO155" s="464">
        <f t="shared" si="544"/>
        <v>18081</v>
      </c>
      <c r="AP155" s="14">
        <f t="shared" si="545"/>
        <v>52</v>
      </c>
      <c r="AQ155" s="23">
        <f t="shared" si="546"/>
        <v>42.97604832568333</v>
      </c>
      <c r="AR155" s="30">
        <f>INDEX($AB$6:$AX$138,77,17)</f>
        <v>1630.6145963656024</v>
      </c>
      <c r="AS155" s="14">
        <f t="shared" si="547"/>
        <v>802</v>
      </c>
      <c r="AT155" s="349">
        <f>INDEX($AB$6:$AX$138,77,19)</f>
        <v>785</v>
      </c>
      <c r="AU155" s="415">
        <f t="shared" si="548"/>
        <v>17</v>
      </c>
      <c r="AV155" s="14">
        <f t="shared" si="549"/>
        <v>80</v>
      </c>
      <c r="AW155" s="75">
        <f>INDEX($AB$6:$AX$138,77,22)</f>
        <v>87</v>
      </c>
      <c r="AX155" s="609">
        <f t="shared" si="526"/>
        <v>-7</v>
      </c>
      <c r="AZ155" s="1"/>
      <c r="BA155" s="25">
        <v>10</v>
      </c>
      <c r="BB155" s="25" t="str">
        <f t="shared" si="580"/>
        <v>CASETA 2</v>
      </c>
      <c r="BC155" s="26">
        <f>INDEX($BA$6:$BW$138,71,3)</f>
        <v>67802</v>
      </c>
      <c r="BD155" s="26">
        <f>INDEX($BA$6:$BW$138,77,4)</f>
        <v>67713</v>
      </c>
      <c r="BE155" s="23">
        <f t="shared" si="550"/>
        <v>0</v>
      </c>
      <c r="BF155" s="23">
        <f t="shared" si="551"/>
        <v>89</v>
      </c>
      <c r="BG155" s="23">
        <f t="shared" si="552"/>
        <v>0</v>
      </c>
      <c r="BH155" s="88">
        <f t="shared" si="553"/>
        <v>89</v>
      </c>
      <c r="BI155" s="26">
        <f>INDEX($BA$6:$BW$138,77,9)</f>
        <v>1405</v>
      </c>
      <c r="BJ155" s="47">
        <f t="shared" si="527"/>
        <v>0.16</v>
      </c>
      <c r="BK155" s="28">
        <f t="shared" si="554"/>
        <v>1.8761955033551991E-2</v>
      </c>
      <c r="BL155" s="47">
        <f t="shared" si="528"/>
        <v>3.2000000000000006</v>
      </c>
      <c r="BM155" s="27">
        <f>INDEX($BA$6:$BW$138,77,13)</f>
        <v>2.034286045232097</v>
      </c>
      <c r="BN155" s="23">
        <f t="shared" si="555"/>
        <v>18504</v>
      </c>
      <c r="BO155" s="14">
        <f t="shared" si="529"/>
        <v>52</v>
      </c>
      <c r="BP155" s="23">
        <f t="shared" si="556"/>
        <v>39.013045296097808</v>
      </c>
      <c r="BQ155" s="27">
        <f>INDEX($BA$6:$BW$138,77,17)</f>
        <v>2289.1772405417114</v>
      </c>
      <c r="BR155" s="14">
        <f t="shared" si="530"/>
        <v>802</v>
      </c>
      <c r="BS155" s="350">
        <f>INDEX($BA$6:$BW$138,77,19)</f>
        <v>730</v>
      </c>
      <c r="BT155" s="26">
        <f t="shared" si="575"/>
        <v>72</v>
      </c>
      <c r="BU155" s="194">
        <f t="shared" si="531"/>
        <v>80</v>
      </c>
      <c r="BV155" s="26">
        <f>INDEX($BA$6:$BW$138,77,22)</f>
        <v>68</v>
      </c>
      <c r="BW155" s="26">
        <f t="shared" si="583"/>
        <v>12</v>
      </c>
      <c r="BY155" s="1"/>
      <c r="BZ155" s="25">
        <v>10</v>
      </c>
      <c r="CA155" s="25" t="str">
        <f t="shared" si="581"/>
        <v>CASETA 4</v>
      </c>
      <c r="CB155" s="26">
        <f>INDEX($BZ$6:$CV$138,71,3)</f>
        <v>51312</v>
      </c>
      <c r="CC155" s="26">
        <f>INDEX($BZ$6:$CV$138,77,4)</f>
        <v>51255</v>
      </c>
      <c r="CD155" s="23">
        <f t="shared" si="557"/>
        <v>0</v>
      </c>
      <c r="CE155" s="23">
        <f t="shared" si="558"/>
        <v>57</v>
      </c>
      <c r="CF155" s="23">
        <f t="shared" si="559"/>
        <v>0</v>
      </c>
      <c r="CG155" s="88">
        <f t="shared" si="560"/>
        <v>57</v>
      </c>
      <c r="CH155" s="26">
        <f>INDEX($BZ$6:$CV$138,77,9)</f>
        <v>825</v>
      </c>
      <c r="CI155" s="47">
        <f t="shared" si="561"/>
        <v>0.16</v>
      </c>
      <c r="CJ155" s="23">
        <f t="shared" si="576"/>
        <v>0.1587666058971689</v>
      </c>
      <c r="CK155" s="47">
        <f t="shared" si="562"/>
        <v>3.2000000000000006</v>
      </c>
      <c r="CL155" s="27">
        <f>INDEX($BZ$6:$CV$138,77,13)</f>
        <v>1.5877903731788525</v>
      </c>
      <c r="CM155" s="23">
        <f t="shared" si="563"/>
        <v>15480</v>
      </c>
      <c r="CN155" s="14">
        <f t="shared" si="564"/>
        <v>52</v>
      </c>
      <c r="CO155" s="23">
        <f t="shared" si="577"/>
        <v>43.112679449752342</v>
      </c>
      <c r="CP155" s="27">
        <f>INDEX($BZ$6:$CV$138,77,17)</f>
        <v>2536.2048614825371</v>
      </c>
      <c r="CQ155" s="160">
        <f t="shared" si="532"/>
        <v>802</v>
      </c>
      <c r="CR155" s="351">
        <f>INDEX($BZ$6:$CV$138,77,19)</f>
        <v>800</v>
      </c>
      <c r="CS155" s="416">
        <f t="shared" si="565"/>
        <v>2</v>
      </c>
      <c r="CT155" s="50">
        <f t="shared" si="566"/>
        <v>80</v>
      </c>
      <c r="CU155" s="29">
        <f>INDEX($BZ$6:$CV$138,77,22)</f>
        <v>56</v>
      </c>
      <c r="CV155" s="417">
        <f t="shared" si="567"/>
        <v>24</v>
      </c>
    </row>
    <row r="156" spans="3:100" x14ac:dyDescent="0.25">
      <c r="C156" s="25">
        <v>11</v>
      </c>
      <c r="D156" s="23" t="str">
        <f t="shared" si="568"/>
        <v>CASETA 1</v>
      </c>
      <c r="E156" s="26">
        <f>INDEX($C$6:$Y$138,78,3)</f>
        <v>0</v>
      </c>
      <c r="F156" s="26">
        <f>INDEX($C$6:$Y$138,84,4)</f>
        <v>0</v>
      </c>
      <c r="G156" s="23">
        <f t="shared" si="569"/>
        <v>0</v>
      </c>
      <c r="H156" s="23">
        <f t="shared" si="570"/>
        <v>0</v>
      </c>
      <c r="I156" s="23">
        <f t="shared" si="571"/>
        <v>0</v>
      </c>
      <c r="J156" s="88">
        <f t="shared" si="533"/>
        <v>0</v>
      </c>
      <c r="K156" s="26">
        <f>INDEX($C$6:$Y$138,84,9)</f>
        <v>9358</v>
      </c>
      <c r="L156" s="47">
        <f t="shared" si="584"/>
        <v>0.16</v>
      </c>
      <c r="M156" s="28">
        <f t="shared" si="572"/>
        <v>0</v>
      </c>
      <c r="N156" s="47">
        <f t="shared" si="534"/>
        <v>3.3600000000000008</v>
      </c>
      <c r="O156" s="47">
        <f t="shared" si="573"/>
        <v>0</v>
      </c>
      <c r="P156" s="464">
        <f t="shared" si="535"/>
        <v>0</v>
      </c>
      <c r="Q156" s="14">
        <f t="shared" si="536"/>
        <v>55</v>
      </c>
      <c r="R156" s="23">
        <f t="shared" si="578"/>
        <v>0</v>
      </c>
      <c r="S156" s="30">
        <f>INDEX($C$6:$Y$138,84,17)</f>
        <v>0</v>
      </c>
      <c r="T156" s="14">
        <f t="shared" si="537"/>
        <v>880</v>
      </c>
      <c r="U156" s="349">
        <f>INDEX($C$6:$Y$138,84,19)</f>
        <v>0</v>
      </c>
      <c r="V156" s="415">
        <f t="shared" si="587"/>
        <v>880</v>
      </c>
      <c r="W156" s="14">
        <f t="shared" si="585"/>
        <v>80</v>
      </c>
      <c r="X156" s="75">
        <f>INDEX($C$6:$Y$138,84,22)</f>
        <v>0</v>
      </c>
      <c r="Y156" s="609">
        <f t="shared" si="586"/>
        <v>80</v>
      </c>
      <c r="Z156" s="489"/>
      <c r="AA156" s="1"/>
      <c r="AB156" s="25">
        <v>11</v>
      </c>
      <c r="AC156" s="23" t="str">
        <f t="shared" si="574"/>
        <v>DESDOBLE C1</v>
      </c>
      <c r="AD156" s="26">
        <f>INDEX($AB$6:$AX$138,78,3)</f>
        <v>60078</v>
      </c>
      <c r="AE156" s="26">
        <f>INDEX($AB$6:$AX$138,84,4)</f>
        <v>60032</v>
      </c>
      <c r="AF156" s="23">
        <f t="shared" si="538"/>
        <v>0</v>
      </c>
      <c r="AG156" s="23">
        <f t="shared" si="539"/>
        <v>46</v>
      </c>
      <c r="AH156" s="23">
        <f t="shared" si="540"/>
        <v>0</v>
      </c>
      <c r="AI156" s="88">
        <f t="shared" si="541"/>
        <v>46</v>
      </c>
      <c r="AJ156" s="26">
        <f>INDEX($AB$6:$AX$138,84,9)</f>
        <v>775</v>
      </c>
      <c r="AK156" s="47">
        <f t="shared" si="542"/>
        <v>0.16</v>
      </c>
      <c r="AL156" s="28">
        <f t="shared" si="582"/>
        <v>1.0941642023371797E-2</v>
      </c>
      <c r="AM156" s="47">
        <f t="shared" si="543"/>
        <v>3.3600000000000008</v>
      </c>
      <c r="AN156" s="47">
        <f t="shared" ref="AN156:AN163" si="588">IFERROR((AJ156*100)/AD156,0)</f>
        <v>1.2899896800825594</v>
      </c>
      <c r="AO156" s="464">
        <f t="shared" si="544"/>
        <v>18018</v>
      </c>
      <c r="AP156" s="14">
        <f t="shared" si="545"/>
        <v>55</v>
      </c>
      <c r="AQ156" s="23">
        <f t="shared" si="546"/>
        <v>42.860018011405671</v>
      </c>
      <c r="AR156" s="30">
        <f>INDEX($AB$6:$AX$138,84,17)</f>
        <v>1930.6347224454421</v>
      </c>
      <c r="AS156" s="14">
        <f t="shared" si="547"/>
        <v>880</v>
      </c>
      <c r="AT156" s="349">
        <f>INDEX($AB$6:$AX$138,84,19)</f>
        <v>867</v>
      </c>
      <c r="AU156" s="415">
        <f t="shared" si="548"/>
        <v>13</v>
      </c>
      <c r="AV156" s="14">
        <f t="shared" si="549"/>
        <v>80</v>
      </c>
      <c r="AW156" s="75">
        <f>INDEX($AB$6:$AX$138,84,22)</f>
        <v>86</v>
      </c>
      <c r="AX156" s="609">
        <f t="shared" si="526"/>
        <v>-6</v>
      </c>
      <c r="AZ156" s="1"/>
      <c r="BA156" s="25">
        <v>11</v>
      </c>
      <c r="BB156" s="25" t="str">
        <f t="shared" si="580"/>
        <v>CASETA 2</v>
      </c>
      <c r="BC156" s="26">
        <f>INDEX($BA$6:$BW$138,78,3)</f>
        <v>67713</v>
      </c>
      <c r="BD156" s="26">
        <f>INDEX($BA$6:$BW$138,84,4)</f>
        <v>67676</v>
      </c>
      <c r="BE156" s="23">
        <f t="shared" si="550"/>
        <v>0</v>
      </c>
      <c r="BF156" s="23">
        <f t="shared" si="551"/>
        <v>37</v>
      </c>
      <c r="BG156" s="23">
        <f t="shared" si="552"/>
        <v>0</v>
      </c>
      <c r="BH156" s="88">
        <f t="shared" si="553"/>
        <v>37</v>
      </c>
      <c r="BI156" s="26">
        <f>INDEX($BA$6:$BW$138,84,9)</f>
        <v>1442</v>
      </c>
      <c r="BJ156" s="47">
        <f t="shared" si="527"/>
        <v>0.16</v>
      </c>
      <c r="BK156" s="28">
        <f t="shared" si="554"/>
        <v>7.8078381928681139E-3</v>
      </c>
      <c r="BL156" s="47">
        <f t="shared" si="528"/>
        <v>3.3600000000000008</v>
      </c>
      <c r="BM156" s="27">
        <f>INDEX($BA$6:$BW$138,84,13)</f>
        <v>2.0878579909072483</v>
      </c>
      <c r="BN156" s="23">
        <f t="shared" si="555"/>
        <v>24885</v>
      </c>
      <c r="BO156" s="14">
        <f t="shared" si="529"/>
        <v>55</v>
      </c>
      <c r="BP156" s="23">
        <f t="shared" si="556"/>
        <v>52.51122935352813</v>
      </c>
      <c r="BQ156" s="27">
        <f>INDEX($BA$6:$BW$138,84,17)</f>
        <v>2656.7558460164078</v>
      </c>
      <c r="BR156" s="14">
        <f t="shared" si="530"/>
        <v>880</v>
      </c>
      <c r="BS156" s="350">
        <f>INDEX($BA$6:$BW$138,84,19)</f>
        <v>878</v>
      </c>
      <c r="BT156" s="26">
        <f t="shared" si="575"/>
        <v>2</v>
      </c>
      <c r="BU156" s="194">
        <f t="shared" si="531"/>
        <v>80</v>
      </c>
      <c r="BV156" s="26">
        <f>INDEX($BA$6:$BW$138,84,22)</f>
        <v>90</v>
      </c>
      <c r="BW156" s="26">
        <f t="shared" si="583"/>
        <v>-10</v>
      </c>
      <c r="BY156" s="1"/>
      <c r="BZ156" s="25">
        <v>11</v>
      </c>
      <c r="CA156" s="25" t="str">
        <f t="shared" si="581"/>
        <v>CASETA 4</v>
      </c>
      <c r="CB156" s="26">
        <f>INDEX($BZ$6:$CV$138,78,3)</f>
        <v>51255</v>
      </c>
      <c r="CC156" s="26">
        <f>INDEX($BZ$6:$CV$138,84,4)</f>
        <v>51197</v>
      </c>
      <c r="CD156" s="23">
        <f t="shared" si="557"/>
        <v>0</v>
      </c>
      <c r="CE156" s="23">
        <f t="shared" si="558"/>
        <v>58</v>
      </c>
      <c r="CF156" s="23">
        <f t="shared" si="559"/>
        <v>0</v>
      </c>
      <c r="CG156" s="88">
        <f t="shared" si="560"/>
        <v>58</v>
      </c>
      <c r="CH156" s="26">
        <f>INDEX($BZ$6:$CV$138,84,9)</f>
        <v>883</v>
      </c>
      <c r="CI156" s="47">
        <f t="shared" si="561"/>
        <v>0.16</v>
      </c>
      <c r="CJ156" s="23">
        <f t="shared" si="576"/>
        <v>0.16173392159107655</v>
      </c>
      <c r="CK156" s="47">
        <f t="shared" si="562"/>
        <v>3.3600000000000008</v>
      </c>
      <c r="CL156" s="27">
        <f>INDEX($BZ$6:$CV$138,84,13)</f>
        <v>1.6994168478993052</v>
      </c>
      <c r="CM156" s="23">
        <f t="shared" si="563"/>
        <v>14760</v>
      </c>
      <c r="CN156" s="14">
        <f t="shared" si="564"/>
        <v>55</v>
      </c>
      <c r="CO156" s="23">
        <f t="shared" si="577"/>
        <v>41.163471314978914</v>
      </c>
      <c r="CP156" s="27">
        <f>INDEX($BZ$6:$CV$138,84,17)</f>
        <v>2824.3491606873895</v>
      </c>
      <c r="CQ156" s="160">
        <f t="shared" si="532"/>
        <v>880</v>
      </c>
      <c r="CR156" s="351">
        <f>INDEX($BZ$6:$CV$138,84,19)</f>
        <v>878</v>
      </c>
      <c r="CS156" s="416">
        <f t="shared" si="565"/>
        <v>2</v>
      </c>
      <c r="CT156" s="50">
        <f t="shared" si="566"/>
        <v>80</v>
      </c>
      <c r="CU156" s="29">
        <f>INDEX($BZ$6:$CV$138,84,22)</f>
        <v>79</v>
      </c>
      <c r="CV156" s="417">
        <f t="shared" si="567"/>
        <v>1</v>
      </c>
    </row>
    <row r="157" spans="3:100" x14ac:dyDescent="0.25">
      <c r="C157" s="25">
        <v>12</v>
      </c>
      <c r="D157" s="23" t="str">
        <f t="shared" si="568"/>
        <v>CASETA 1</v>
      </c>
      <c r="E157" s="26">
        <f>INDEX($C$6:$Y$138,85,3)</f>
        <v>0</v>
      </c>
      <c r="F157" s="26">
        <f>INDEX($C$6:$Y$138,91,4)</f>
        <v>0</v>
      </c>
      <c r="G157" s="23">
        <f t="shared" si="569"/>
        <v>0</v>
      </c>
      <c r="H157" s="23">
        <f t="shared" si="570"/>
        <v>0</v>
      </c>
      <c r="I157" s="23">
        <f t="shared" si="571"/>
        <v>0</v>
      </c>
      <c r="J157" s="88">
        <f t="shared" si="533"/>
        <v>0</v>
      </c>
      <c r="K157" s="26">
        <f>INDEX($C$6:$Y$138,91,9)</f>
        <v>9358</v>
      </c>
      <c r="L157" s="47">
        <f t="shared" si="584"/>
        <v>0.16</v>
      </c>
      <c r="M157" s="28">
        <f t="shared" si="572"/>
        <v>0</v>
      </c>
      <c r="N157" s="47">
        <f t="shared" si="534"/>
        <v>3.5200000000000009</v>
      </c>
      <c r="O157" s="47">
        <f t="shared" si="573"/>
        <v>0</v>
      </c>
      <c r="P157" s="464">
        <f t="shared" si="535"/>
        <v>0</v>
      </c>
      <c r="Q157" s="14">
        <f t="shared" si="536"/>
        <v>58</v>
      </c>
      <c r="R157" s="23">
        <f t="shared" si="578"/>
        <v>0</v>
      </c>
      <c r="S157" s="30">
        <f>INDEX($C$6:$Y$138,91,17)</f>
        <v>0</v>
      </c>
      <c r="T157" s="14">
        <f t="shared" si="537"/>
        <v>950</v>
      </c>
      <c r="U157" s="349">
        <f>INDEX($C$6:$Y$138,91,19)</f>
        <v>0</v>
      </c>
      <c r="V157" s="415">
        <f t="shared" si="587"/>
        <v>950</v>
      </c>
      <c r="W157" s="14">
        <f t="shared" si="585"/>
        <v>82</v>
      </c>
      <c r="X157" s="75">
        <f>INDEX($C$6:$Y$138,91,22)</f>
        <v>0</v>
      </c>
      <c r="Y157" s="609">
        <f t="shared" si="586"/>
        <v>82</v>
      </c>
      <c r="Z157" s="489"/>
      <c r="AA157" s="1"/>
      <c r="AB157" s="25">
        <v>12</v>
      </c>
      <c r="AC157" s="23" t="str">
        <f t="shared" si="574"/>
        <v>DESDOBLE C1</v>
      </c>
      <c r="AD157" s="26">
        <f>INDEX($AB$6:$AX$138,85,3)</f>
        <v>60032</v>
      </c>
      <c r="AE157" s="26">
        <f>INDEX($AB$6:$AX$138,91,4)</f>
        <v>59999</v>
      </c>
      <c r="AF157" s="23">
        <f t="shared" si="538"/>
        <v>0</v>
      </c>
      <c r="AG157" s="23">
        <f t="shared" si="539"/>
        <v>33</v>
      </c>
      <c r="AH157" s="23">
        <f t="shared" si="540"/>
        <v>0</v>
      </c>
      <c r="AI157" s="88">
        <f t="shared" si="541"/>
        <v>33</v>
      </c>
      <c r="AJ157" s="26">
        <f>INDEX($AB$6:$AX$138,91,9)</f>
        <v>808</v>
      </c>
      <c r="AK157" s="47">
        <f t="shared" si="542"/>
        <v>0.16</v>
      </c>
      <c r="AL157" s="28">
        <f t="shared" si="582"/>
        <v>7.8547628259235114E-3</v>
      </c>
      <c r="AM157" s="47">
        <f t="shared" si="543"/>
        <v>3.5200000000000009</v>
      </c>
      <c r="AN157" s="47">
        <f t="shared" si="588"/>
        <v>1.345948827292111</v>
      </c>
      <c r="AO157" s="464">
        <f t="shared" si="544"/>
        <v>22267</v>
      </c>
      <c r="AP157" s="14">
        <f t="shared" si="545"/>
        <v>58</v>
      </c>
      <c r="AQ157" s="23">
        <f t="shared" si="546"/>
        <v>53.000491228233997</v>
      </c>
      <c r="AR157" s="30">
        <f>INDEX($AB$6:$AX$138,91,17)</f>
        <v>2301.6381610430803</v>
      </c>
      <c r="AS157" s="14">
        <f t="shared" si="547"/>
        <v>950</v>
      </c>
      <c r="AT157" s="349">
        <f>INDEX($AB$6:$AX$138,91,19)</f>
        <v>888</v>
      </c>
      <c r="AU157" s="415">
        <f t="shared" si="548"/>
        <v>62</v>
      </c>
      <c r="AV157" s="14">
        <f t="shared" si="549"/>
        <v>82</v>
      </c>
      <c r="AW157" s="75">
        <f>INDEX($AB$6:$AX$138,91,22)</f>
        <v>73</v>
      </c>
      <c r="AX157" s="609">
        <f t="shared" si="526"/>
        <v>9</v>
      </c>
      <c r="AZ157" s="1"/>
      <c r="BA157" s="25">
        <v>12</v>
      </c>
      <c r="BB157" s="25" t="str">
        <f t="shared" si="580"/>
        <v>CASETA 2</v>
      </c>
      <c r="BC157" s="26">
        <f>INDEX($BA$6:$BW$138,85,3)</f>
        <v>67676</v>
      </c>
      <c r="BD157" s="26">
        <f>INDEX($BA$6:$BW$138,91,4)</f>
        <v>67639</v>
      </c>
      <c r="BE157" s="23">
        <f t="shared" si="550"/>
        <v>0</v>
      </c>
      <c r="BF157" s="23">
        <f t="shared" si="551"/>
        <v>37</v>
      </c>
      <c r="BG157" s="23">
        <f t="shared" si="552"/>
        <v>0</v>
      </c>
      <c r="BH157" s="88">
        <f t="shared" si="553"/>
        <v>37</v>
      </c>
      <c r="BI157" s="26">
        <f>INDEX($BA$6:$BW$138,91,9)</f>
        <v>1479</v>
      </c>
      <c r="BJ157" s="47">
        <f t="shared" si="527"/>
        <v>0.16</v>
      </c>
      <c r="BK157" s="28">
        <f t="shared" si="554"/>
        <v>7.8121234627972855E-3</v>
      </c>
      <c r="BL157" s="47">
        <f t="shared" si="528"/>
        <v>3.5200000000000009</v>
      </c>
      <c r="BM157" s="27">
        <f>INDEX($BA$6:$BW$138,91,13)</f>
        <v>2.1414299365823997</v>
      </c>
      <c r="BN157" s="23">
        <f t="shared" si="555"/>
        <v>21573</v>
      </c>
      <c r="BO157" s="14">
        <f t="shared" si="529"/>
        <v>58</v>
      </c>
      <c r="BP157" s="23">
        <f t="shared" si="556"/>
        <v>45.550095217428442</v>
      </c>
      <c r="BQ157" s="27">
        <f>INDEX($BA$6:$BW$138,91,17)</f>
        <v>2975.6065125384071</v>
      </c>
      <c r="BR157" s="14">
        <f t="shared" si="530"/>
        <v>950</v>
      </c>
      <c r="BS157" s="350">
        <f>INDEX($BA$6:$BW$138,91,19)</f>
        <v>902</v>
      </c>
      <c r="BT157" s="26">
        <f t="shared" si="575"/>
        <v>48</v>
      </c>
      <c r="BU157" s="194">
        <f t="shared" si="531"/>
        <v>82</v>
      </c>
      <c r="BV157" s="26">
        <f>INDEX($BA$6:$BW$138,91,22)</f>
        <v>71</v>
      </c>
      <c r="BW157" s="26">
        <f t="shared" si="583"/>
        <v>11</v>
      </c>
      <c r="BY157" s="1"/>
      <c r="BZ157" s="25">
        <v>12</v>
      </c>
      <c r="CA157" s="25" t="str">
        <f t="shared" si="581"/>
        <v>CASETA 4</v>
      </c>
      <c r="CB157" s="26">
        <f>INDEX($BZ$6:$CV$138,85,3)</f>
        <v>51197</v>
      </c>
      <c r="CC157" s="26">
        <f>INDEX($BZ$6:$CV$138,91,4)</f>
        <v>51173</v>
      </c>
      <c r="CD157" s="23">
        <f t="shared" si="557"/>
        <v>0</v>
      </c>
      <c r="CE157" s="23">
        <f t="shared" si="558"/>
        <v>24</v>
      </c>
      <c r="CF157" s="23">
        <f t="shared" si="559"/>
        <v>0</v>
      </c>
      <c r="CG157" s="88">
        <f t="shared" si="560"/>
        <v>24</v>
      </c>
      <c r="CH157" s="26">
        <f>INDEX($BZ$6:$CV$138,91,9)</f>
        <v>907</v>
      </c>
      <c r="CI157" s="47">
        <f t="shared" si="561"/>
        <v>0.16</v>
      </c>
      <c r="CJ157" s="23">
        <f t="shared" si="576"/>
        <v>6.6981294023146648E-2</v>
      </c>
      <c r="CK157" s="47">
        <f t="shared" si="562"/>
        <v>3.5200000000000009</v>
      </c>
      <c r="CL157" s="27">
        <f>INDEX($BZ$6:$CV$138,91,13)</f>
        <v>1.7456071133008719</v>
      </c>
      <c r="CM157" s="23">
        <f t="shared" si="563"/>
        <v>20340</v>
      </c>
      <c r="CN157" s="14">
        <f t="shared" si="564"/>
        <v>58</v>
      </c>
      <c r="CO157" s="23">
        <f t="shared" si="577"/>
        <v>56.76963031351206</v>
      </c>
      <c r="CP157" s="27">
        <f>INDEX($BZ$6:$CV$138,91,17)</f>
        <v>3221.7365728819741</v>
      </c>
      <c r="CQ157" s="160">
        <f t="shared" si="532"/>
        <v>950</v>
      </c>
      <c r="CR157" s="351">
        <f>INDEX($BZ$6:$CV$138,91,19)</f>
        <v>946</v>
      </c>
      <c r="CS157" s="416">
        <f t="shared" si="565"/>
        <v>4</v>
      </c>
      <c r="CT157" s="50">
        <f t="shared" si="566"/>
        <v>82</v>
      </c>
      <c r="CU157" s="29">
        <f>INDEX($BZ$6:$CV$138,91,22)</f>
        <v>73</v>
      </c>
      <c r="CV157" s="417">
        <f t="shared" si="567"/>
        <v>9</v>
      </c>
    </row>
    <row r="158" spans="3:100" x14ac:dyDescent="0.25">
      <c r="C158" s="25">
        <v>13</v>
      </c>
      <c r="D158" s="23" t="str">
        <f t="shared" si="568"/>
        <v>CASETA 1</v>
      </c>
      <c r="E158" s="26">
        <f>INDEX($C$6:$Y$138,92,3)</f>
        <v>0</v>
      </c>
      <c r="F158" s="26">
        <f>INDEX($C$6:$Y$138,98,4)</f>
        <v>0</v>
      </c>
      <c r="G158" s="23">
        <f t="shared" si="569"/>
        <v>0</v>
      </c>
      <c r="H158" s="23">
        <f t="shared" si="570"/>
        <v>0</v>
      </c>
      <c r="I158" s="23">
        <f t="shared" si="571"/>
        <v>0</v>
      </c>
      <c r="J158" s="88">
        <f>SUM(G158:I158)</f>
        <v>0</v>
      </c>
      <c r="K158" s="26">
        <f>INDEX($C$6:$Y$138,98,9)</f>
        <v>9358</v>
      </c>
      <c r="L158" s="47">
        <f t="shared" si="584"/>
        <v>0.16</v>
      </c>
      <c r="M158" s="28">
        <f t="shared" si="572"/>
        <v>0</v>
      </c>
      <c r="N158" s="47">
        <f t="shared" si="534"/>
        <v>3.680000000000001</v>
      </c>
      <c r="O158" s="47">
        <f t="shared" si="573"/>
        <v>0</v>
      </c>
      <c r="P158" s="464">
        <f t="shared" si="535"/>
        <v>0</v>
      </c>
      <c r="Q158" s="14">
        <f t="shared" si="536"/>
        <v>61</v>
      </c>
      <c r="R158" s="23">
        <f t="shared" si="578"/>
        <v>0</v>
      </c>
      <c r="S158" s="30">
        <f>INDEX($C$6:$Y$138,98,17)</f>
        <v>0</v>
      </c>
      <c r="T158" s="14">
        <f t="shared" si="537"/>
        <v>1010</v>
      </c>
      <c r="U158" s="349">
        <f>INDEX($C$6:$Y$138,98,19)</f>
        <v>0</v>
      </c>
      <c r="V158" s="415">
        <f t="shared" si="587"/>
        <v>1010</v>
      </c>
      <c r="W158" s="14">
        <f t="shared" si="585"/>
        <v>82</v>
      </c>
      <c r="X158" s="75">
        <f>INDEX($C$6:$Y$138,98,22)</f>
        <v>0</v>
      </c>
      <c r="Y158" s="609">
        <f t="shared" si="586"/>
        <v>82</v>
      </c>
      <c r="Z158" s="489"/>
      <c r="AA158" s="1"/>
      <c r="AB158" s="25">
        <v>13</v>
      </c>
      <c r="AC158" s="23" t="str">
        <f t="shared" si="574"/>
        <v>DESDOBLE C1</v>
      </c>
      <c r="AD158" s="26">
        <f>INDEX($AB$6:$AX$138,92,3)</f>
        <v>59999</v>
      </c>
      <c r="AE158" s="26">
        <f>INDEX($AB$6:$AX$138,98,4)</f>
        <v>59972</v>
      </c>
      <c r="AF158" s="23">
        <f t="shared" si="538"/>
        <v>0</v>
      </c>
      <c r="AG158" s="23">
        <f t="shared" si="539"/>
        <v>27</v>
      </c>
      <c r="AH158" s="23">
        <f t="shared" si="540"/>
        <v>0</v>
      </c>
      <c r="AI158" s="88">
        <f t="shared" si="541"/>
        <v>27</v>
      </c>
      <c r="AJ158" s="26">
        <f>INDEX($AB$6:$AX$138,98,9)</f>
        <v>835</v>
      </c>
      <c r="AK158" s="47">
        <f t="shared" si="542"/>
        <v>0.16</v>
      </c>
      <c r="AL158" s="28">
        <f t="shared" si="582"/>
        <v>6.4298892579214848E-3</v>
      </c>
      <c r="AM158" s="47">
        <f t="shared" si="543"/>
        <v>3.680000000000001</v>
      </c>
      <c r="AN158" s="47">
        <f t="shared" si="588"/>
        <v>1.3916898614976916</v>
      </c>
      <c r="AO158" s="464">
        <f t="shared" si="544"/>
        <v>16431</v>
      </c>
      <c r="AP158" s="14">
        <f t="shared" si="545"/>
        <v>61</v>
      </c>
      <c r="AQ158" s="23">
        <f t="shared" si="546"/>
        <v>39.128345498242375</v>
      </c>
      <c r="AR158" s="30">
        <f>INDEX($AB$6:$AX$138,98,17)</f>
        <v>2575.5365795307771</v>
      </c>
      <c r="AS158" s="14">
        <f t="shared" si="547"/>
        <v>1010</v>
      </c>
      <c r="AT158" s="349">
        <f>INDEX($AB$6:$AX$138,98,19)</f>
        <v>982</v>
      </c>
      <c r="AU158" s="415">
        <f t="shared" si="548"/>
        <v>28</v>
      </c>
      <c r="AV158" s="14">
        <f t="shared" si="549"/>
        <v>82</v>
      </c>
      <c r="AW158" s="75">
        <f>INDEX($AB$6:$AX$138,98,22)</f>
        <v>69</v>
      </c>
      <c r="AX158" s="609">
        <f t="shared" si="526"/>
        <v>13</v>
      </c>
      <c r="AZ158" s="1"/>
      <c r="BA158" s="25">
        <v>13</v>
      </c>
      <c r="BB158" s="25" t="str">
        <f t="shared" si="580"/>
        <v>CASETA 2</v>
      </c>
      <c r="BC158" s="26">
        <f>INDEX($BA$6:$BW$138,92,3)</f>
        <v>67639</v>
      </c>
      <c r="BD158" s="26">
        <f>INDEX($BA$6:$BW$138,98,4)</f>
        <v>67567</v>
      </c>
      <c r="BE158" s="23">
        <f t="shared" si="550"/>
        <v>0</v>
      </c>
      <c r="BF158" s="23">
        <f t="shared" si="551"/>
        <v>72</v>
      </c>
      <c r="BG158" s="23">
        <f t="shared" si="552"/>
        <v>0</v>
      </c>
      <c r="BH158" s="88">
        <f t="shared" si="553"/>
        <v>72</v>
      </c>
      <c r="BI158" s="26">
        <f>INDEX($BA$6:$BW$138,98,9)</f>
        <v>1551</v>
      </c>
      <c r="BJ158" s="47">
        <f t="shared" si="527"/>
        <v>0.16</v>
      </c>
      <c r="BK158" s="28">
        <f t="shared" si="554"/>
        <v>1.5212154160529909E-2</v>
      </c>
      <c r="BL158" s="47">
        <f t="shared" si="528"/>
        <v>3.680000000000001</v>
      </c>
      <c r="BM158" s="27">
        <f>INDEX($BA$6:$BW$138,98,13)</f>
        <v>2.2456780470853968</v>
      </c>
      <c r="BN158" s="23">
        <f t="shared" si="555"/>
        <v>25101</v>
      </c>
      <c r="BO158" s="14">
        <f t="shared" si="529"/>
        <v>61</v>
      </c>
      <c r="BP158" s="23">
        <f>AVERAGEIFS($BP$6:$BP$138,$BA$6:$BA$138,$BA158)</f>
        <v>53.033878514308007</v>
      </c>
      <c r="BQ158" s="27">
        <f>INDEX($BA$6:$BW$138,98,17)</f>
        <v>3346.8436621385631</v>
      </c>
      <c r="BR158" s="14">
        <f t="shared" si="530"/>
        <v>1010</v>
      </c>
      <c r="BS158" s="350">
        <f>INDEX($BA$6:$BW$138,98,19)</f>
        <v>950</v>
      </c>
      <c r="BT158" s="26">
        <f t="shared" si="575"/>
        <v>60</v>
      </c>
      <c r="BU158" s="194">
        <f t="shared" si="531"/>
        <v>82</v>
      </c>
      <c r="BV158" s="26">
        <f>INDEX($BA$6:$BW$138,98,22)</f>
        <v>68</v>
      </c>
      <c r="BW158" s="26">
        <f t="shared" si="583"/>
        <v>14</v>
      </c>
      <c r="BY158" s="1"/>
      <c r="BZ158" s="25">
        <v>13</v>
      </c>
      <c r="CA158" s="25" t="str">
        <f t="shared" si="581"/>
        <v>CASETA 4</v>
      </c>
      <c r="CB158" s="26">
        <f>INDEX($BZ$6:$CV$138,92,3)</f>
        <v>51173</v>
      </c>
      <c r="CC158" s="26">
        <f>INDEX($BZ$6:$CV$138,98,4)</f>
        <v>51149</v>
      </c>
      <c r="CD158" s="23">
        <f t="shared" si="557"/>
        <v>0</v>
      </c>
      <c r="CE158" s="23">
        <f t="shared" si="558"/>
        <v>24</v>
      </c>
      <c r="CF158" s="23">
        <f t="shared" si="559"/>
        <v>0</v>
      </c>
      <c r="CG158" s="88">
        <f t="shared" si="560"/>
        <v>24</v>
      </c>
      <c r="CH158" s="26">
        <f>INDEX($BZ$6:$CV$138,98,9)</f>
        <v>931</v>
      </c>
      <c r="CI158" s="47">
        <f t="shared" si="561"/>
        <v>0.16</v>
      </c>
      <c r="CJ158" s="23">
        <f t="shared" si="576"/>
        <v>6.7009712993872705E-2</v>
      </c>
      <c r="CK158" s="47">
        <f t="shared" si="562"/>
        <v>3.680000000000001</v>
      </c>
      <c r="CL158" s="27">
        <f>INDEX($BZ$6:$CV$138,98,13)</f>
        <v>1.7917973787024384</v>
      </c>
      <c r="CM158" s="23">
        <f t="shared" si="563"/>
        <v>21060</v>
      </c>
      <c r="CN158" s="14">
        <f t="shared" si="564"/>
        <v>61</v>
      </c>
      <c r="CO158" s="23">
        <f t="shared" si="577"/>
        <v>58.804855521484271</v>
      </c>
      <c r="CP158" s="27">
        <f>INDEX($BZ$6:$CV$138,98,17)</f>
        <v>3633.3705615323638</v>
      </c>
      <c r="CQ158" s="160">
        <f t="shared" si="532"/>
        <v>1010</v>
      </c>
      <c r="CR158" s="351">
        <f>INDEX($BZ$6:$CV$138,98,19)</f>
        <v>1011</v>
      </c>
      <c r="CS158" s="416">
        <f t="shared" si="565"/>
        <v>-1</v>
      </c>
      <c r="CT158" s="50">
        <f t="shared" si="566"/>
        <v>82</v>
      </c>
      <c r="CU158" s="29">
        <f>INDEX($BZ$6:$CV$138,98,22)</f>
        <v>76</v>
      </c>
      <c r="CV158" s="417">
        <f t="shared" si="567"/>
        <v>6</v>
      </c>
    </row>
    <row r="159" spans="3:100" x14ac:dyDescent="0.25">
      <c r="C159" s="25">
        <v>14</v>
      </c>
      <c r="D159" s="23" t="str">
        <f t="shared" si="568"/>
        <v>CASETA 1</v>
      </c>
      <c r="E159" s="26">
        <f>INDEX($C$6:$Y$138,99,3)</f>
        <v>0</v>
      </c>
      <c r="F159" s="26">
        <f>INDEX($C$6:$Y$138,105,4)</f>
        <v>0</v>
      </c>
      <c r="G159" s="23">
        <f t="shared" si="569"/>
        <v>0</v>
      </c>
      <c r="H159" s="23">
        <f t="shared" si="570"/>
        <v>0</v>
      </c>
      <c r="I159" s="23">
        <f t="shared" si="571"/>
        <v>0</v>
      </c>
      <c r="J159" s="88">
        <f t="shared" si="533"/>
        <v>0</v>
      </c>
      <c r="K159" s="26">
        <f>INDEX($C$6:$Y$138,105,9)</f>
        <v>9358</v>
      </c>
      <c r="L159" s="47">
        <f t="shared" si="584"/>
        <v>0.16</v>
      </c>
      <c r="M159" s="28">
        <f t="shared" si="572"/>
        <v>0</v>
      </c>
      <c r="N159" s="47">
        <f t="shared" si="534"/>
        <v>3.8400000000000012</v>
      </c>
      <c r="O159" s="47">
        <f t="shared" si="573"/>
        <v>0</v>
      </c>
      <c r="P159" s="464">
        <f t="shared" si="535"/>
        <v>0</v>
      </c>
      <c r="Q159" s="14">
        <f t="shared" si="536"/>
        <v>64</v>
      </c>
      <c r="R159" s="23">
        <f t="shared" si="578"/>
        <v>0</v>
      </c>
      <c r="S159" s="30">
        <f>INDEX($C$6:$Y$138,105,17)</f>
        <v>0</v>
      </c>
      <c r="T159" s="14">
        <f t="shared" si="537"/>
        <v>1065</v>
      </c>
      <c r="U159" s="349">
        <f>INDEX($C$6:$Y$138,105,19)</f>
        <v>0</v>
      </c>
      <c r="V159" s="415">
        <f t="shared" si="587"/>
        <v>1065</v>
      </c>
      <c r="W159" s="14">
        <f t="shared" si="585"/>
        <v>84</v>
      </c>
      <c r="X159" s="75">
        <f>INDEX($C$6:$Y$138,105,22)</f>
        <v>0</v>
      </c>
      <c r="Y159" s="609">
        <f t="shared" si="586"/>
        <v>84</v>
      </c>
      <c r="Z159" s="489"/>
      <c r="AA159" s="1"/>
      <c r="AB159" s="25">
        <v>14</v>
      </c>
      <c r="AC159" s="23" t="str">
        <f t="shared" si="574"/>
        <v>DESDOBLE C1</v>
      </c>
      <c r="AD159" s="26">
        <f>INDEX($AB$6:$AX$138,99,3)</f>
        <v>59972</v>
      </c>
      <c r="AE159" s="26">
        <f>INDEX($AB$6:$AX$138,105,4)</f>
        <v>59803</v>
      </c>
      <c r="AF159" s="23">
        <f t="shared" si="538"/>
        <v>125</v>
      </c>
      <c r="AG159" s="23">
        <f t="shared" si="539"/>
        <v>44</v>
      </c>
      <c r="AH159" s="23">
        <f t="shared" si="540"/>
        <v>0</v>
      </c>
      <c r="AI159" s="88">
        <f t="shared" si="541"/>
        <v>169</v>
      </c>
      <c r="AJ159" s="26">
        <f>INDEX($AB$6:$AX$138,105,9)</f>
        <v>1004</v>
      </c>
      <c r="AK159" s="47">
        <f t="shared" si="542"/>
        <v>0.16</v>
      </c>
      <c r="AL159" s="28">
        <f t="shared" si="582"/>
        <v>4.0276322045188918E-2</v>
      </c>
      <c r="AM159" s="47">
        <f t="shared" si="543"/>
        <v>3.8400000000000012</v>
      </c>
      <c r="AN159" s="47">
        <f t="shared" si="588"/>
        <v>1.6741145868071767</v>
      </c>
      <c r="AO159" s="464">
        <f t="shared" si="544"/>
        <v>9900</v>
      </c>
      <c r="AP159" s="14">
        <f t="shared" si="545"/>
        <v>64</v>
      </c>
      <c r="AQ159" s="23">
        <f t="shared" si="546"/>
        <v>23.593250836941003</v>
      </c>
      <c r="AR159" s="30">
        <f>INDEX($AB$6:$AX$138,105,17)</f>
        <v>2740.6893353893638</v>
      </c>
      <c r="AS159" s="14">
        <f t="shared" si="547"/>
        <v>1065</v>
      </c>
      <c r="AT159" s="349">
        <f>INDEX($AB$6:$AX$138,105,19)</f>
        <v>1048</v>
      </c>
      <c r="AU159" s="415">
        <f t="shared" si="548"/>
        <v>17</v>
      </c>
      <c r="AV159" s="14">
        <f t="shared" si="549"/>
        <v>84</v>
      </c>
      <c r="AW159" s="75">
        <f>INDEX($AB$6:$AX$138,105,22)</f>
        <v>72</v>
      </c>
      <c r="AX159" s="609">
        <f t="shared" si="526"/>
        <v>12</v>
      </c>
      <c r="AZ159" s="1"/>
      <c r="BA159" s="25">
        <v>14</v>
      </c>
      <c r="BB159" s="25" t="str">
        <f t="shared" si="580"/>
        <v>CASETA 2</v>
      </c>
      <c r="BC159" s="26">
        <f>INDEX($BA$6:$BW$138,99,3)</f>
        <v>67567</v>
      </c>
      <c r="BD159" s="26">
        <f>INDEX($BA$6:$BW$138,105,4)</f>
        <v>13492</v>
      </c>
      <c r="BE159" s="23">
        <f t="shared" si="550"/>
        <v>67</v>
      </c>
      <c r="BF159" s="23">
        <f t="shared" si="551"/>
        <v>51</v>
      </c>
      <c r="BG159" s="23">
        <f t="shared" si="552"/>
        <v>0</v>
      </c>
      <c r="BH159" s="88">
        <f t="shared" si="553"/>
        <v>118</v>
      </c>
      <c r="BI159" s="26">
        <f>INDEX($BA$6:$BW$138,105,9)</f>
        <v>1669</v>
      </c>
      <c r="BJ159" s="47">
        <f t="shared" si="527"/>
        <v>0.16</v>
      </c>
      <c r="BK159" s="28">
        <f t="shared" si="554"/>
        <v>2.5829199851773326E-2</v>
      </c>
      <c r="BL159" s="47">
        <f t="shared" si="528"/>
        <v>3.8400000000000012</v>
      </c>
      <c r="BM159" s="27">
        <f>INDEX($BA$6:$BW$138,105,13)</f>
        <v>2.4165291170764198</v>
      </c>
      <c r="BN159" s="23">
        <f t="shared" si="555"/>
        <v>11389</v>
      </c>
      <c r="BO159" s="14">
        <f t="shared" si="529"/>
        <v>64</v>
      </c>
      <c r="BP159" s="23">
        <f t="shared" si="556"/>
        <v>24.084182941349798</v>
      </c>
      <c r="BQ159" s="27">
        <f>INDEX($BA$6:$BW$138,105,17)</f>
        <v>3515.4329427280113</v>
      </c>
      <c r="BR159" s="14">
        <f t="shared" si="530"/>
        <v>1065</v>
      </c>
      <c r="BS159" s="350">
        <f>INDEX($BA$6:$BW$138,105,19)</f>
        <v>1002</v>
      </c>
      <c r="BT159" s="26">
        <f t="shared" si="575"/>
        <v>63</v>
      </c>
      <c r="BU159" s="194">
        <f t="shared" si="531"/>
        <v>84</v>
      </c>
      <c r="BV159" s="26">
        <f>INDEX($BA$6:$BW$138,105,22)</f>
        <v>80</v>
      </c>
      <c r="BW159" s="26">
        <f t="shared" si="583"/>
        <v>4</v>
      </c>
      <c r="BY159" s="1"/>
      <c r="BZ159" s="25">
        <v>14</v>
      </c>
      <c r="CA159" s="25" t="str">
        <f t="shared" si="581"/>
        <v>CASETA 4</v>
      </c>
      <c r="CB159" s="26">
        <f>INDEX($BZ$6:$CV$138,99,3)</f>
        <v>51149</v>
      </c>
      <c r="CC159" s="26">
        <f>INDEX($BZ$6:$CV$138,105,4)</f>
        <v>51032</v>
      </c>
      <c r="CD159" s="23">
        <f t="shared" si="557"/>
        <v>99</v>
      </c>
      <c r="CE159" s="23">
        <f t="shared" si="558"/>
        <v>18</v>
      </c>
      <c r="CF159" s="23">
        <f t="shared" si="559"/>
        <v>0</v>
      </c>
      <c r="CG159" s="88">
        <f t="shared" si="560"/>
        <v>117</v>
      </c>
      <c r="CH159" s="26">
        <f>INDEX($BZ$6:$CV$138,105,9)</f>
        <v>1048</v>
      </c>
      <c r="CI159" s="47">
        <f t="shared" si="561"/>
        <v>0.16</v>
      </c>
      <c r="CJ159" s="23">
        <f t="shared" si="576"/>
        <v>0.32684239252490827</v>
      </c>
      <c r="CK159" s="47">
        <f t="shared" si="562"/>
        <v>3.8400000000000012</v>
      </c>
      <c r="CL159" s="27">
        <f>INDEX($BZ$6:$CV$138,105,13)</f>
        <v>2.0169749225350757</v>
      </c>
      <c r="CM159" s="23">
        <f t="shared" si="563"/>
        <v>17460</v>
      </c>
      <c r="CN159" s="14">
        <f t="shared" si="564"/>
        <v>64</v>
      </c>
      <c r="CO159" s="23">
        <f t="shared" si="577"/>
        <v>48.789494635785672</v>
      </c>
      <c r="CP159" s="27">
        <f>INDEX($BZ$6:$CV$138,105,17)</f>
        <v>3974.8970239828636</v>
      </c>
      <c r="CQ159" s="160">
        <f t="shared" si="532"/>
        <v>1065</v>
      </c>
      <c r="CR159" s="351">
        <f>INDEX($BZ$6:$CV$138,105,19)</f>
        <v>1060</v>
      </c>
      <c r="CS159" s="416">
        <f t="shared" si="565"/>
        <v>5</v>
      </c>
      <c r="CT159" s="50">
        <f t="shared" si="566"/>
        <v>84</v>
      </c>
      <c r="CU159" s="29">
        <f>INDEX($BZ$6:$CV$138,105,22)</f>
        <v>75</v>
      </c>
      <c r="CV159" s="417">
        <f t="shared" si="567"/>
        <v>9</v>
      </c>
    </row>
    <row r="160" spans="3:100" x14ac:dyDescent="0.25">
      <c r="C160" s="25">
        <v>15</v>
      </c>
      <c r="D160" s="23" t="str">
        <f t="shared" si="568"/>
        <v>CASETA 1</v>
      </c>
      <c r="E160" s="26">
        <f>INDEX($C$6:$Y$138,106,3)</f>
        <v>0</v>
      </c>
      <c r="F160" s="26">
        <f>INDEX($C$6:$Y$138,112,4)</f>
        <v>0</v>
      </c>
      <c r="G160" s="23">
        <f t="shared" si="569"/>
        <v>0</v>
      </c>
      <c r="H160" s="23">
        <f t="shared" si="570"/>
        <v>0</v>
      </c>
      <c r="I160" s="23">
        <f t="shared" si="571"/>
        <v>0</v>
      </c>
      <c r="J160" s="88">
        <f>SUM(G160:I160)</f>
        <v>0</v>
      </c>
      <c r="K160" s="26">
        <f>INDEX($C$6:$Y$138,112,9)</f>
        <v>9358</v>
      </c>
      <c r="L160" s="47">
        <f t="shared" si="584"/>
        <v>0.16</v>
      </c>
      <c r="M160" s="28">
        <f t="shared" si="572"/>
        <v>0</v>
      </c>
      <c r="N160" s="47">
        <f t="shared" si="534"/>
        <v>4.0000000000000009</v>
      </c>
      <c r="O160" s="47">
        <f t="shared" si="573"/>
        <v>0</v>
      </c>
      <c r="P160" s="464">
        <f t="shared" si="535"/>
        <v>0</v>
      </c>
      <c r="Q160" s="14">
        <f t="shared" si="536"/>
        <v>67</v>
      </c>
      <c r="R160" s="23">
        <f t="shared" si="578"/>
        <v>0</v>
      </c>
      <c r="S160" s="30">
        <f>INDEX($C$6:$Y$138,112,17)</f>
        <v>0</v>
      </c>
      <c r="T160" s="14">
        <f t="shared" si="537"/>
        <v>1115</v>
      </c>
      <c r="U160" s="349">
        <f>INDEX($C$6:$Y$138,112,19)</f>
        <v>0</v>
      </c>
      <c r="V160" s="415">
        <f t="shared" si="587"/>
        <v>1115</v>
      </c>
      <c r="W160" s="14">
        <f t="shared" si="585"/>
        <v>86</v>
      </c>
      <c r="X160" s="75">
        <f>INDEX($C$6:$Y$138,112,22)</f>
        <v>0</v>
      </c>
      <c r="Y160" s="609">
        <f t="shared" si="586"/>
        <v>86</v>
      </c>
      <c r="Z160" s="489"/>
      <c r="AA160" s="1"/>
      <c r="AB160" s="25">
        <v>15</v>
      </c>
      <c r="AC160" s="23" t="str">
        <f t="shared" si="574"/>
        <v>DESDOBLE C1</v>
      </c>
      <c r="AD160" s="26">
        <f>INDEX($AB$6:$AX$138,106,3)</f>
        <v>52683</v>
      </c>
      <c r="AE160" s="26">
        <f>INDEX($AB$6:$AX$138,112,4)</f>
        <v>0</v>
      </c>
      <c r="AF160" s="23">
        <f t="shared" si="538"/>
        <v>0</v>
      </c>
      <c r="AG160" s="23">
        <f t="shared" si="539"/>
        <v>0</v>
      </c>
      <c r="AH160" s="23">
        <f t="shared" si="540"/>
        <v>0</v>
      </c>
      <c r="AI160" s="88">
        <f t="shared" si="541"/>
        <v>0</v>
      </c>
      <c r="AJ160" s="26">
        <f>INDEX($AB$6:$AX$138,112,9)</f>
        <v>1004</v>
      </c>
      <c r="AK160" s="47">
        <f t="shared" si="542"/>
        <v>0.16</v>
      </c>
      <c r="AL160" s="28">
        <f t="shared" si="582"/>
        <v>0</v>
      </c>
      <c r="AM160" s="47">
        <f t="shared" si="543"/>
        <v>4.0000000000000009</v>
      </c>
      <c r="AN160" s="47">
        <f t="shared" si="588"/>
        <v>1.905738093882277</v>
      </c>
      <c r="AO160" s="464">
        <f t="shared" si="544"/>
        <v>1440</v>
      </c>
      <c r="AP160" s="14">
        <f t="shared" si="545"/>
        <v>67</v>
      </c>
      <c r="AQ160" s="23">
        <f t="shared" si="546"/>
        <v>3.9047564814890134</v>
      </c>
      <c r="AR160" s="30">
        <f>INDEX($AB$6:$AX$138,112,17)</f>
        <v>2768.0226307597868</v>
      </c>
      <c r="AS160" s="14">
        <f t="shared" si="547"/>
        <v>1115</v>
      </c>
      <c r="AT160" s="349">
        <f>INDEX($AB$6:$AX$138,112,19)</f>
        <v>0</v>
      </c>
      <c r="AU160" s="415">
        <f t="shared" si="548"/>
        <v>1115</v>
      </c>
      <c r="AV160" s="14">
        <f t="shared" si="549"/>
        <v>86</v>
      </c>
      <c r="AW160" s="75">
        <f>INDEX($AB$6:$AX$138,112,22)</f>
        <v>0</v>
      </c>
      <c r="AX160" s="609">
        <f t="shared" si="526"/>
        <v>86</v>
      </c>
      <c r="AZ160" s="1"/>
      <c r="BA160" s="25">
        <v>15</v>
      </c>
      <c r="BB160" s="25" t="str">
        <f t="shared" si="580"/>
        <v>CASETA 2</v>
      </c>
      <c r="BC160" s="26">
        <f>INDEX($BA$6:$BW$138,106,3)</f>
        <v>0</v>
      </c>
      <c r="BD160" s="26">
        <f>INDEX($BA$6:$BW$138,112,4)</f>
        <v>0</v>
      </c>
      <c r="BE160" s="23">
        <f>SUMIFS($BE$6:$BE$138,$BA$6:$BA$138,$BA160)</f>
        <v>0</v>
      </c>
      <c r="BF160" s="23">
        <f t="shared" si="551"/>
        <v>0</v>
      </c>
      <c r="BG160" s="23">
        <f t="shared" si="552"/>
        <v>0</v>
      </c>
      <c r="BH160" s="88">
        <f t="shared" si="553"/>
        <v>0</v>
      </c>
      <c r="BI160" s="26">
        <f>INDEX($BA$6:$BW$138,112,9)</f>
        <v>1669</v>
      </c>
      <c r="BJ160" s="47">
        <f t="shared" si="527"/>
        <v>0.16</v>
      </c>
      <c r="BK160" s="28">
        <f t="shared" si="554"/>
        <v>0</v>
      </c>
      <c r="BL160" s="47">
        <f t="shared" si="528"/>
        <v>4.0000000000000009</v>
      </c>
      <c r="BM160" s="27">
        <f>INDEX($BA$6:$BW$138,112,13)</f>
        <v>2.4165291170764198</v>
      </c>
      <c r="BN160" s="23">
        <f t="shared" si="555"/>
        <v>0</v>
      </c>
      <c r="BO160" s="14">
        <f t="shared" si="529"/>
        <v>67</v>
      </c>
      <c r="BP160" s="23">
        <f t="shared" si="556"/>
        <v>0</v>
      </c>
      <c r="BQ160" s="27">
        <f>INDEX($BA$6:$BW$138,112,17)</f>
        <v>3515.4329427280113</v>
      </c>
      <c r="BR160" s="14">
        <f t="shared" si="530"/>
        <v>1115</v>
      </c>
      <c r="BS160" s="350">
        <f>INDEX($BA$6:$BW$138,112,19)</f>
        <v>0</v>
      </c>
      <c r="BT160" s="26">
        <f t="shared" si="575"/>
        <v>1115</v>
      </c>
      <c r="BU160" s="194">
        <f t="shared" si="531"/>
        <v>86</v>
      </c>
      <c r="BV160" s="26">
        <f>INDEX($BA$6:$BW$138,112,22)</f>
        <v>0</v>
      </c>
      <c r="BW160" s="26">
        <f t="shared" si="583"/>
        <v>86</v>
      </c>
      <c r="BY160" s="1"/>
      <c r="BZ160" s="25">
        <v>15</v>
      </c>
      <c r="CA160" s="25" t="str">
        <f t="shared" si="581"/>
        <v>CASETA 4</v>
      </c>
      <c r="CB160" s="26">
        <f>INDEX($BZ$6:$CV$138,106,3)</f>
        <v>51032</v>
      </c>
      <c r="CC160" s="26">
        <f>INDEX($BZ$6:$CV$138,112,4)</f>
        <v>9300</v>
      </c>
      <c r="CD160" s="23">
        <f t="shared" si="557"/>
        <v>0</v>
      </c>
      <c r="CE160" s="23">
        <f t="shared" si="558"/>
        <v>0</v>
      </c>
      <c r="CF160" s="23">
        <f t="shared" si="559"/>
        <v>0</v>
      </c>
      <c r="CG160" s="88">
        <f t="shared" si="560"/>
        <v>0</v>
      </c>
      <c r="CH160" s="26">
        <f>INDEX($BZ$6:$CV$138,112,9)</f>
        <v>1048</v>
      </c>
      <c r="CI160" s="47">
        <f t="shared" si="561"/>
        <v>0.16</v>
      </c>
      <c r="CJ160" s="23">
        <f t="shared" si="576"/>
        <v>0</v>
      </c>
      <c r="CK160" s="47">
        <f t="shared" si="562"/>
        <v>4.0000000000000009</v>
      </c>
      <c r="CL160" s="27">
        <f>INDEX($BZ$6:$CV$138,112,13)</f>
        <v>2.0169749225350757</v>
      </c>
      <c r="CM160" s="23">
        <f t="shared" si="563"/>
        <v>1080</v>
      </c>
      <c r="CN160" s="14">
        <f t="shared" si="564"/>
        <v>67</v>
      </c>
      <c r="CO160" s="23">
        <f t="shared" si="577"/>
        <v>3.0233131032629386</v>
      </c>
      <c r="CP160" s="27">
        <f>INDEX($BZ$6:$CV$138,112,17)</f>
        <v>3996.0602157057042</v>
      </c>
      <c r="CQ160" s="160">
        <f t="shared" si="532"/>
        <v>1115</v>
      </c>
      <c r="CR160" s="351">
        <f>INDEX($BZ$6:$CV$138,112,19)</f>
        <v>0</v>
      </c>
      <c r="CS160" s="416">
        <f t="shared" si="565"/>
        <v>1115</v>
      </c>
      <c r="CT160" s="50">
        <f t="shared" si="566"/>
        <v>86</v>
      </c>
      <c r="CU160" s="29">
        <f>INDEX($BZ$6:$CV$138,112,22)</f>
        <v>0</v>
      </c>
      <c r="CV160" s="417">
        <f t="shared" si="567"/>
        <v>86</v>
      </c>
    </row>
    <row r="161" spans="3:100" x14ac:dyDescent="0.25">
      <c r="C161" s="25">
        <v>16</v>
      </c>
      <c r="D161" s="23" t="str">
        <f t="shared" si="568"/>
        <v>CASETA 1</v>
      </c>
      <c r="E161" s="26">
        <f>INDEX($C$6:$Y$138,113,3)</f>
        <v>0</v>
      </c>
      <c r="F161" s="26">
        <f>INDEX($C$6:$Y$138,119,4)</f>
        <v>0</v>
      </c>
      <c r="G161" s="23">
        <f t="shared" si="569"/>
        <v>0</v>
      </c>
      <c r="H161" s="23">
        <f t="shared" si="570"/>
        <v>0</v>
      </c>
      <c r="I161" s="23">
        <f t="shared" si="571"/>
        <v>0</v>
      </c>
      <c r="J161" s="88">
        <f>SUM(G161:I161)</f>
        <v>0</v>
      </c>
      <c r="K161" s="26">
        <f>INDEX($C$6:$Y$138,119,9)</f>
        <v>9358</v>
      </c>
      <c r="L161" s="47">
        <f t="shared" si="584"/>
        <v>0.16</v>
      </c>
      <c r="M161" s="28">
        <f t="shared" si="572"/>
        <v>0</v>
      </c>
      <c r="N161" s="47">
        <f t="shared" si="534"/>
        <v>4.160000000000001</v>
      </c>
      <c r="O161" s="47">
        <f t="shared" si="573"/>
        <v>0</v>
      </c>
      <c r="P161" s="464">
        <f t="shared" si="535"/>
        <v>0</v>
      </c>
      <c r="Q161" s="14">
        <f t="shared" si="536"/>
        <v>71</v>
      </c>
      <c r="R161" s="23">
        <f t="shared" si="578"/>
        <v>0</v>
      </c>
      <c r="S161" s="30">
        <f>INDEX($C$6:$Y$138,119,17)</f>
        <v>0</v>
      </c>
      <c r="T161" s="14">
        <f t="shared" si="537"/>
        <v>1160</v>
      </c>
      <c r="U161" s="349">
        <f>INDEX($C$6:$Y$138,119,19)</f>
        <v>0</v>
      </c>
      <c r="V161" s="415">
        <f t="shared" si="587"/>
        <v>1160</v>
      </c>
      <c r="W161" s="14">
        <f t="shared" si="585"/>
        <v>86</v>
      </c>
      <c r="X161" s="75">
        <f>INDEX($C$6:$Y$138,119,22)</f>
        <v>0</v>
      </c>
      <c r="Y161" s="609">
        <f t="shared" si="586"/>
        <v>86</v>
      </c>
      <c r="Z161" s="489"/>
      <c r="AA161" s="1"/>
      <c r="AB161" s="25">
        <v>16</v>
      </c>
      <c r="AC161" s="23" t="str">
        <f t="shared" si="574"/>
        <v>DESDOBLE C1</v>
      </c>
      <c r="AD161" s="26">
        <f>INDEX($AB$6:$AX$138,113,3)</f>
        <v>0</v>
      </c>
      <c r="AE161" s="26">
        <f>INDEX($AB$6:$AX$138,119,4)</f>
        <v>0</v>
      </c>
      <c r="AF161" s="23">
        <f t="shared" si="538"/>
        <v>0</v>
      </c>
      <c r="AG161" s="23">
        <f t="shared" si="539"/>
        <v>0</v>
      </c>
      <c r="AH161" s="23">
        <f t="shared" si="540"/>
        <v>0</v>
      </c>
      <c r="AI161" s="88">
        <f t="shared" si="541"/>
        <v>0</v>
      </c>
      <c r="AJ161" s="26">
        <f>INDEX($AB$6:$AX$138,119,9)</f>
        <v>1004</v>
      </c>
      <c r="AK161" s="47">
        <f t="shared" si="542"/>
        <v>0.16</v>
      </c>
      <c r="AL161" s="28">
        <f t="shared" si="582"/>
        <v>0</v>
      </c>
      <c r="AM161" s="47">
        <f t="shared" si="543"/>
        <v>4.160000000000001</v>
      </c>
      <c r="AN161" s="47">
        <f t="shared" si="588"/>
        <v>0</v>
      </c>
      <c r="AO161" s="464">
        <f t="shared" si="544"/>
        <v>0</v>
      </c>
      <c r="AP161" s="14">
        <f t="shared" si="545"/>
        <v>71</v>
      </c>
      <c r="AQ161" s="23">
        <f t="shared" si="546"/>
        <v>0</v>
      </c>
      <c r="AR161" s="30">
        <f>INDEX($AB$6:$AX$138,119,17)</f>
        <v>2768.0226307597868</v>
      </c>
      <c r="AS161" s="14">
        <f t="shared" si="547"/>
        <v>1160</v>
      </c>
      <c r="AT161" s="349">
        <f>INDEX($AB$6:$AX$138,119,19)</f>
        <v>0</v>
      </c>
      <c r="AU161" s="415">
        <f t="shared" si="548"/>
        <v>1160</v>
      </c>
      <c r="AV161" s="14">
        <f t="shared" si="549"/>
        <v>86</v>
      </c>
      <c r="AW161" s="75">
        <f>INDEX($AB$6:$AX$138,119,22)</f>
        <v>0</v>
      </c>
      <c r="AX161" s="609">
        <f t="shared" si="526"/>
        <v>86</v>
      </c>
      <c r="AZ161" s="1"/>
      <c r="BA161" s="25">
        <v>16</v>
      </c>
      <c r="BB161" s="25" t="str">
        <f t="shared" si="580"/>
        <v>CASETA 2</v>
      </c>
      <c r="BC161" s="26">
        <f>INDEX($BA$6:$BW$138,113,3)</f>
        <v>0</v>
      </c>
      <c r="BD161" s="26">
        <f>INDEX($BA$6:$BW$138,119,4)</f>
        <v>0</v>
      </c>
      <c r="BE161" s="23">
        <f t="shared" si="550"/>
        <v>0</v>
      </c>
      <c r="BF161" s="23">
        <f t="shared" si="551"/>
        <v>0</v>
      </c>
      <c r="BG161" s="23">
        <f t="shared" si="552"/>
        <v>0</v>
      </c>
      <c r="BH161" s="88">
        <f t="shared" si="553"/>
        <v>0</v>
      </c>
      <c r="BI161" s="26">
        <f>INDEX($BA$6:$BW$138,119,9)</f>
        <v>1669</v>
      </c>
      <c r="BJ161" s="47">
        <f t="shared" si="527"/>
        <v>0.16</v>
      </c>
      <c r="BK161" s="28">
        <f>AVERAGEIFS($BK$6:$BK$138,$BA$6:$BA$138,$BA161)</f>
        <v>0</v>
      </c>
      <c r="BL161" s="47">
        <f t="shared" si="528"/>
        <v>4.160000000000001</v>
      </c>
      <c r="BM161" s="27">
        <f>INDEX($BA$6:$BW$138,119,13)</f>
        <v>2.4165291170764198</v>
      </c>
      <c r="BN161" s="23">
        <f t="shared" si="555"/>
        <v>0</v>
      </c>
      <c r="BO161" s="14">
        <f t="shared" si="529"/>
        <v>71</v>
      </c>
      <c r="BP161" s="23">
        <f t="shared" si="556"/>
        <v>0</v>
      </c>
      <c r="BQ161" s="27">
        <f>INDEX($BA$6:$BW$138,119,17)</f>
        <v>3515.4329427280113</v>
      </c>
      <c r="BR161" s="14">
        <f t="shared" si="530"/>
        <v>1160</v>
      </c>
      <c r="BS161" s="350">
        <f>INDEX($BA$6:$BW$138,119,19)</f>
        <v>0</v>
      </c>
      <c r="BT161" s="26">
        <f t="shared" si="575"/>
        <v>1160</v>
      </c>
      <c r="BU161" s="194">
        <f t="shared" si="531"/>
        <v>86</v>
      </c>
      <c r="BV161" s="26">
        <f>INDEX($BA$6:$BW$138,119,22)</f>
        <v>0</v>
      </c>
      <c r="BW161" s="26">
        <f t="shared" si="583"/>
        <v>86</v>
      </c>
      <c r="BY161" s="1"/>
      <c r="BZ161" s="25">
        <v>16</v>
      </c>
      <c r="CA161" s="25" t="str">
        <f t="shared" si="581"/>
        <v>CASETA 4</v>
      </c>
      <c r="CB161" s="26">
        <f>INDEX($BZ$6:$CV$138,113,3)</f>
        <v>4025</v>
      </c>
      <c r="CC161" s="26">
        <f>INDEX($BZ$6:$CV$138,119,4)</f>
        <v>0</v>
      </c>
      <c r="CD161" s="23">
        <f t="shared" si="557"/>
        <v>0</v>
      </c>
      <c r="CE161" s="23">
        <f t="shared" si="558"/>
        <v>3616</v>
      </c>
      <c r="CF161" s="23">
        <f t="shared" si="559"/>
        <v>0</v>
      </c>
      <c r="CG161" s="88">
        <f t="shared" si="560"/>
        <v>3616</v>
      </c>
      <c r="CH161" s="26">
        <f>INDEX($BZ$6:$CV$138,119,9)</f>
        <v>4664</v>
      </c>
      <c r="CI161" s="47">
        <f t="shared" si="561"/>
        <v>0.16</v>
      </c>
      <c r="CJ161" s="23">
        <f t="shared" si="576"/>
        <v>142.85714285714286</v>
      </c>
      <c r="CK161" s="47">
        <f t="shared" si="562"/>
        <v>4.160000000000001</v>
      </c>
      <c r="CL161" s="27">
        <f>INDEX($BZ$6:$CV$138,119,13)</f>
        <v>8.9763082430377796</v>
      </c>
      <c r="CM161" s="23">
        <f t="shared" si="563"/>
        <v>0</v>
      </c>
      <c r="CN161" s="14">
        <f t="shared" si="564"/>
        <v>71</v>
      </c>
      <c r="CO161" s="23">
        <f t="shared" si="577"/>
        <v>0</v>
      </c>
      <c r="CP161" s="27">
        <f>INDEX($BZ$6:$CV$138,119,17)</f>
        <v>3996.0602157057042</v>
      </c>
      <c r="CQ161" s="160">
        <f t="shared" si="532"/>
        <v>1160</v>
      </c>
      <c r="CR161" s="351">
        <f>INDEX($BZ$6:$CV$138,119,19)</f>
        <v>0</v>
      </c>
      <c r="CS161" s="416">
        <f t="shared" si="565"/>
        <v>1160</v>
      </c>
      <c r="CT161" s="50">
        <f t="shared" si="566"/>
        <v>86</v>
      </c>
      <c r="CU161" s="29">
        <f>INDEX($BZ$6:$CV$138,119,22)</f>
        <v>0</v>
      </c>
      <c r="CV161" s="417">
        <f t="shared" si="567"/>
        <v>86</v>
      </c>
    </row>
    <row r="162" spans="3:100" x14ac:dyDescent="0.25">
      <c r="C162" s="25">
        <v>17</v>
      </c>
      <c r="D162" s="23" t="str">
        <f t="shared" si="568"/>
        <v>CASETA 1</v>
      </c>
      <c r="E162" s="26">
        <f>INDEX($C$6:$Y$138,120,3)</f>
        <v>0</v>
      </c>
      <c r="F162" s="26">
        <f>INDEX($C$6:$Y$138,126,4)</f>
        <v>0</v>
      </c>
      <c r="G162" s="23">
        <f t="shared" si="569"/>
        <v>0</v>
      </c>
      <c r="H162" s="23">
        <f t="shared" si="570"/>
        <v>0</v>
      </c>
      <c r="I162" s="23">
        <f t="shared" si="571"/>
        <v>0</v>
      </c>
      <c r="J162" s="88">
        <f t="shared" si="533"/>
        <v>0</v>
      </c>
      <c r="K162" s="26">
        <f>INDEX($C$6:$Y$138,126,9)</f>
        <v>9358</v>
      </c>
      <c r="L162" s="47">
        <f t="shared" si="584"/>
        <v>0.16</v>
      </c>
      <c r="M162" s="28">
        <f t="shared" si="572"/>
        <v>0</v>
      </c>
      <c r="N162" s="47">
        <f t="shared" si="534"/>
        <v>4.3200000000000012</v>
      </c>
      <c r="O162" s="47">
        <f t="shared" si="573"/>
        <v>0</v>
      </c>
      <c r="P162" s="464">
        <f t="shared" si="535"/>
        <v>0</v>
      </c>
      <c r="Q162" s="14">
        <f t="shared" si="536"/>
        <v>75</v>
      </c>
      <c r="R162" s="23">
        <f t="shared" si="578"/>
        <v>0</v>
      </c>
      <c r="S162" s="30">
        <f>INDEX($C$6:$Y$138,126,17)</f>
        <v>0</v>
      </c>
      <c r="T162" s="14">
        <f t="shared" si="537"/>
        <v>1207</v>
      </c>
      <c r="U162" s="349">
        <f>INDEX($C$6:$Y$138,126,19)</f>
        <v>0</v>
      </c>
      <c r="V162" s="415">
        <f t="shared" si="587"/>
        <v>1207</v>
      </c>
      <c r="W162" s="14">
        <f t="shared" si="585"/>
        <v>86</v>
      </c>
      <c r="X162" s="75">
        <f>INDEX($C$6:$Y$138,126,22)</f>
        <v>0</v>
      </c>
      <c r="Y162" s="609">
        <f t="shared" si="586"/>
        <v>86</v>
      </c>
      <c r="Z162" s="489"/>
      <c r="AA162" s="1"/>
      <c r="AB162" s="25">
        <v>17</v>
      </c>
      <c r="AC162" s="23" t="str">
        <f t="shared" si="574"/>
        <v>DESDOBLE C1</v>
      </c>
      <c r="AD162" s="26">
        <f>INDEX($AB$6:$AX$138,120,3)</f>
        <v>0</v>
      </c>
      <c r="AE162" s="26">
        <f>INDEX($AB$6:$AX$138,126,4)</f>
        <v>0</v>
      </c>
      <c r="AF162" s="23">
        <f t="shared" si="538"/>
        <v>0</v>
      </c>
      <c r="AG162" s="23">
        <f t="shared" si="539"/>
        <v>0</v>
      </c>
      <c r="AH162" s="23">
        <f t="shared" si="540"/>
        <v>0</v>
      </c>
      <c r="AI162" s="88">
        <f t="shared" si="541"/>
        <v>0</v>
      </c>
      <c r="AJ162" s="26">
        <f>INDEX($AB$6:$AX$138,126,9)</f>
        <v>1004</v>
      </c>
      <c r="AK162" s="47">
        <f t="shared" si="542"/>
        <v>0.16</v>
      </c>
      <c r="AL162" s="28">
        <f t="shared" si="582"/>
        <v>0</v>
      </c>
      <c r="AM162" s="47">
        <f t="shared" si="543"/>
        <v>4.3200000000000012</v>
      </c>
      <c r="AN162" s="47">
        <f t="shared" si="588"/>
        <v>0</v>
      </c>
      <c r="AO162" s="464">
        <f t="shared" si="544"/>
        <v>0</v>
      </c>
      <c r="AP162" s="14">
        <f t="shared" si="545"/>
        <v>75</v>
      </c>
      <c r="AQ162" s="23">
        <f t="shared" si="546"/>
        <v>0</v>
      </c>
      <c r="AR162" s="30">
        <f>INDEX($AB$6:$AX$138,126,17)</f>
        <v>2768.0226307597868</v>
      </c>
      <c r="AS162" s="14">
        <f t="shared" si="547"/>
        <v>1207</v>
      </c>
      <c r="AT162" s="349">
        <f>INDEX($AB$6:$AX$138,126,19)</f>
        <v>0</v>
      </c>
      <c r="AU162" s="415">
        <f t="shared" si="548"/>
        <v>1207</v>
      </c>
      <c r="AV162" s="14">
        <f t="shared" si="549"/>
        <v>86</v>
      </c>
      <c r="AW162" s="75">
        <f>INDEX($AB$6:$AX$138,126,22)</f>
        <v>0</v>
      </c>
      <c r="AX162" s="609">
        <f t="shared" si="526"/>
        <v>86</v>
      </c>
      <c r="AZ162" s="1"/>
      <c r="BA162" s="25">
        <v>17</v>
      </c>
      <c r="BB162" s="25" t="str">
        <f t="shared" si="580"/>
        <v>CASETA 2</v>
      </c>
      <c r="BC162" s="26">
        <f>INDEX($BA$6:$BW$138,120,3)</f>
        <v>0</v>
      </c>
      <c r="BD162" s="26">
        <f>INDEX($BA$6:$BW$138,126,4)</f>
        <v>0</v>
      </c>
      <c r="BE162" s="23">
        <f t="shared" si="550"/>
        <v>0</v>
      </c>
      <c r="BF162" s="23">
        <f t="shared" si="551"/>
        <v>0</v>
      </c>
      <c r="BG162" s="23">
        <f t="shared" si="552"/>
        <v>0</v>
      </c>
      <c r="BH162" s="88">
        <f t="shared" si="553"/>
        <v>0</v>
      </c>
      <c r="BI162" s="26">
        <f>INDEX($BA$6:$BW$138,126,9)</f>
        <v>1669</v>
      </c>
      <c r="BJ162" s="47">
        <f t="shared" si="527"/>
        <v>0.16</v>
      </c>
      <c r="BK162" s="28">
        <f t="shared" si="554"/>
        <v>0</v>
      </c>
      <c r="BL162" s="47">
        <f t="shared" si="528"/>
        <v>4.3200000000000012</v>
      </c>
      <c r="BM162" s="27">
        <f>INDEX($BA$6:$BW$138,126,13)</f>
        <v>2.4165291170764198</v>
      </c>
      <c r="BN162" s="23">
        <f>SUMIFS($BN$6:$BN$138,$BA$6:$BA$138,$BA162)</f>
        <v>0</v>
      </c>
      <c r="BO162" s="14">
        <f t="shared" si="529"/>
        <v>75</v>
      </c>
      <c r="BP162" s="23">
        <f t="shared" si="556"/>
        <v>0</v>
      </c>
      <c r="BQ162" s="27">
        <f>INDEX($BA$6:$BW$138,126,17)</f>
        <v>3515.4329427280113</v>
      </c>
      <c r="BR162" s="14">
        <f t="shared" si="530"/>
        <v>1207</v>
      </c>
      <c r="BS162" s="350">
        <f>INDEX($BA$6:$BW$138,126,19)</f>
        <v>0</v>
      </c>
      <c r="BT162" s="26">
        <f t="shared" si="575"/>
        <v>1207</v>
      </c>
      <c r="BU162" s="194">
        <f t="shared" si="531"/>
        <v>86</v>
      </c>
      <c r="BV162" s="26">
        <f>INDEX($BA$6:$BW$138,126,22)</f>
        <v>0</v>
      </c>
      <c r="BW162" s="26">
        <f t="shared" si="583"/>
        <v>86</v>
      </c>
      <c r="BY162" s="1"/>
      <c r="BZ162" s="25">
        <v>17</v>
      </c>
      <c r="CA162" s="25" t="str">
        <f t="shared" si="581"/>
        <v>CASETA 4</v>
      </c>
      <c r="CB162" s="26">
        <f>INDEX($BZ$6:$CV$138,120,3)</f>
        <v>0</v>
      </c>
      <c r="CC162" s="26">
        <f>INDEX($BZ$6:$CV$138,126,4)</f>
        <v>0</v>
      </c>
      <c r="CD162" s="23">
        <f t="shared" si="557"/>
        <v>0</v>
      </c>
      <c r="CE162" s="23">
        <f t="shared" si="558"/>
        <v>0</v>
      </c>
      <c r="CF162" s="23">
        <f t="shared" si="559"/>
        <v>0</v>
      </c>
      <c r="CG162" s="88">
        <f t="shared" si="560"/>
        <v>0</v>
      </c>
      <c r="CH162" s="26">
        <f>INDEX($BZ$6:$CV$138,126,9)</f>
        <v>4664</v>
      </c>
      <c r="CI162" s="47">
        <f t="shared" si="561"/>
        <v>0.16</v>
      </c>
      <c r="CJ162" s="23">
        <f t="shared" si="576"/>
        <v>0</v>
      </c>
      <c r="CK162" s="47">
        <f t="shared" si="562"/>
        <v>4.3200000000000012</v>
      </c>
      <c r="CL162" s="27">
        <f>INDEX($BZ$6:$CV$138,126,13)</f>
        <v>8.9763082430377796</v>
      </c>
      <c r="CM162" s="23">
        <f>SUMIFS($CM$6:$CM$138,$BZ$6:$BZ$138,$BZ162)</f>
        <v>0</v>
      </c>
      <c r="CN162" s="14">
        <f t="shared" si="564"/>
        <v>75</v>
      </c>
      <c r="CO162" s="23">
        <f t="shared" si="577"/>
        <v>0</v>
      </c>
      <c r="CP162" s="27">
        <f>INDEX($BZ$6:$CV$138,126,17)</f>
        <v>3996.0602157057042</v>
      </c>
      <c r="CQ162" s="160">
        <f t="shared" si="532"/>
        <v>1207</v>
      </c>
      <c r="CR162" s="351">
        <f>INDEX($BZ$6:$CV$138,126,19)</f>
        <v>0</v>
      </c>
      <c r="CS162" s="416">
        <f t="shared" si="565"/>
        <v>1207</v>
      </c>
      <c r="CT162" s="50">
        <f t="shared" si="566"/>
        <v>86</v>
      </c>
      <c r="CU162" s="29">
        <f>INDEX($BZ$6:$CV$138,126,22)</f>
        <v>0</v>
      </c>
      <c r="CV162" s="417">
        <f t="shared" si="567"/>
        <v>86</v>
      </c>
    </row>
    <row r="163" spans="3:100" x14ac:dyDescent="0.25">
      <c r="C163" s="25">
        <v>18</v>
      </c>
      <c r="D163" s="23" t="str">
        <f t="shared" si="568"/>
        <v>CASETA 1</v>
      </c>
      <c r="E163" s="26">
        <f>INDEX($C$6:$Y$138,127,3)</f>
        <v>0</v>
      </c>
      <c r="F163" s="26">
        <f>INDEX($C$6:$Y$138,133,4)</f>
        <v>0</v>
      </c>
      <c r="G163" s="23">
        <f t="shared" si="569"/>
        <v>0</v>
      </c>
      <c r="H163" s="23">
        <f t="shared" si="570"/>
        <v>0</v>
      </c>
      <c r="I163" s="23">
        <f t="shared" si="571"/>
        <v>0</v>
      </c>
      <c r="J163" s="88">
        <f>SUM(G163:I163)</f>
        <v>0</v>
      </c>
      <c r="K163" s="26">
        <f>INDEX($C$6:$Y$138,133,9)</f>
        <v>9358</v>
      </c>
      <c r="L163" s="47">
        <f t="shared" si="584"/>
        <v>0.16</v>
      </c>
      <c r="M163" s="28">
        <f t="shared" si="572"/>
        <v>0</v>
      </c>
      <c r="N163" s="47">
        <f t="shared" si="534"/>
        <v>4.4800000000000013</v>
      </c>
      <c r="O163" s="47">
        <f t="shared" si="573"/>
        <v>0</v>
      </c>
      <c r="P163" s="464">
        <f t="shared" si="535"/>
        <v>0</v>
      </c>
      <c r="Q163" s="14">
        <f t="shared" si="536"/>
        <v>79</v>
      </c>
      <c r="R163" s="23">
        <f t="shared" si="578"/>
        <v>0</v>
      </c>
      <c r="S163" s="30">
        <f>INDEX($C$6:$Y$138,126,17)</f>
        <v>0</v>
      </c>
      <c r="T163" s="14">
        <f t="shared" si="537"/>
        <v>1257</v>
      </c>
      <c r="U163" s="349">
        <f>INDEX($C$6:$Y$138,126,19)</f>
        <v>0</v>
      </c>
      <c r="V163" s="415">
        <f t="shared" si="587"/>
        <v>1257</v>
      </c>
      <c r="W163" s="14">
        <f t="shared" si="585"/>
        <v>86</v>
      </c>
      <c r="X163" s="75">
        <f>INDEX($C$6:$Y$138,126,22)</f>
        <v>0</v>
      </c>
      <c r="Y163" s="609">
        <f t="shared" si="586"/>
        <v>86</v>
      </c>
      <c r="Z163" s="489"/>
      <c r="AA163" s="1"/>
      <c r="AB163" s="25">
        <v>18</v>
      </c>
      <c r="AC163" s="23" t="str">
        <f t="shared" si="574"/>
        <v>DESDOBLE C1</v>
      </c>
      <c r="AD163" s="26">
        <f>INDEX($AB$6:$AX$138,127,3)</f>
        <v>0</v>
      </c>
      <c r="AE163" s="26">
        <f>INDEX($AB$6:$AX$138,133,4)</f>
        <v>0</v>
      </c>
      <c r="AF163" s="23">
        <f t="shared" si="538"/>
        <v>0</v>
      </c>
      <c r="AG163" s="23">
        <f t="shared" si="539"/>
        <v>0</v>
      </c>
      <c r="AH163" s="23">
        <f t="shared" si="540"/>
        <v>0</v>
      </c>
      <c r="AI163" s="88">
        <f t="shared" si="541"/>
        <v>0</v>
      </c>
      <c r="AJ163" s="26">
        <f>INDEX($AB$6:$AX$138,133,9)</f>
        <v>1004</v>
      </c>
      <c r="AK163" s="47">
        <f t="shared" si="542"/>
        <v>0.16</v>
      </c>
      <c r="AL163" s="28">
        <f t="shared" si="582"/>
        <v>0</v>
      </c>
      <c r="AM163" s="47">
        <f t="shared" si="543"/>
        <v>4.4800000000000013</v>
      </c>
      <c r="AN163" s="47">
        <f t="shared" si="588"/>
        <v>0</v>
      </c>
      <c r="AO163" s="464">
        <f t="shared" si="544"/>
        <v>0</v>
      </c>
      <c r="AP163" s="14">
        <f t="shared" si="545"/>
        <v>79</v>
      </c>
      <c r="AQ163" s="23">
        <f t="shared" si="546"/>
        <v>0</v>
      </c>
      <c r="AR163" s="30">
        <f>INDEX($AB$6:$AX$138,133,17)</f>
        <v>2768.0226307597868</v>
      </c>
      <c r="AS163" s="14">
        <f t="shared" si="547"/>
        <v>1257</v>
      </c>
      <c r="AT163" s="349">
        <f>INDEX($AB$6:$AX$138,133,19)</f>
        <v>0</v>
      </c>
      <c r="AU163" s="415">
        <f t="shared" si="548"/>
        <v>1257</v>
      </c>
      <c r="AV163" s="14">
        <f t="shared" si="549"/>
        <v>86</v>
      </c>
      <c r="AW163" s="75">
        <f>INDEX($AB$6:$AX$138,133,22)</f>
        <v>0</v>
      </c>
      <c r="AX163" s="609">
        <f t="shared" si="526"/>
        <v>86</v>
      </c>
      <c r="AZ163" s="1"/>
      <c r="BA163" s="25">
        <v>18</v>
      </c>
      <c r="BB163" s="25" t="str">
        <f t="shared" si="580"/>
        <v>CASETA 2</v>
      </c>
      <c r="BC163" s="26">
        <f>INDEX($BA$6:$BW$138,127,3)</f>
        <v>0</v>
      </c>
      <c r="BD163" s="26">
        <f>INDEX($BA$6:$BW$138,133,4)</f>
        <v>0</v>
      </c>
      <c r="BE163" s="23">
        <f t="shared" si="550"/>
        <v>0</v>
      </c>
      <c r="BF163" s="23">
        <f t="shared" si="551"/>
        <v>0</v>
      </c>
      <c r="BG163" s="23">
        <f t="shared" si="552"/>
        <v>0</v>
      </c>
      <c r="BH163" s="88">
        <f t="shared" si="553"/>
        <v>0</v>
      </c>
      <c r="BI163" s="26">
        <f>INDEX($BA$6:$BW$138,133,9)</f>
        <v>1669</v>
      </c>
      <c r="BJ163" s="47">
        <f t="shared" si="527"/>
        <v>0.16</v>
      </c>
      <c r="BK163" s="28">
        <f t="shared" si="554"/>
        <v>0</v>
      </c>
      <c r="BL163" s="47">
        <f t="shared" si="528"/>
        <v>4.4800000000000013</v>
      </c>
      <c r="BM163" s="27">
        <f>INDEX($BA$6:$BW$138,133,13)</f>
        <v>2.4165291170764198</v>
      </c>
      <c r="BN163" s="23">
        <f t="shared" si="555"/>
        <v>0</v>
      </c>
      <c r="BO163" s="14">
        <f t="shared" si="529"/>
        <v>79</v>
      </c>
      <c r="BP163" s="23">
        <f>AVERAGEIFS($BP$6:$BP$138,$BA$6:$BA$138,$BA163)</f>
        <v>0</v>
      </c>
      <c r="BQ163" s="27">
        <f>INDEX($BA$6:$BW$138,133,17)</f>
        <v>3515.4329427280113</v>
      </c>
      <c r="BR163" s="14">
        <f t="shared" si="530"/>
        <v>1257</v>
      </c>
      <c r="BS163" s="350">
        <f>INDEX($BA$6:$BW$138,133,19)</f>
        <v>0</v>
      </c>
      <c r="BT163" s="26">
        <f t="shared" si="575"/>
        <v>1257</v>
      </c>
      <c r="BU163" s="194">
        <f t="shared" si="531"/>
        <v>86</v>
      </c>
      <c r="BV163" s="26">
        <f>INDEX($BA$6:$BW$138,133,22)</f>
        <v>0</v>
      </c>
      <c r="BW163" s="26">
        <f t="shared" si="583"/>
        <v>86</v>
      </c>
      <c r="BY163" s="1"/>
      <c r="BZ163" s="25">
        <v>18</v>
      </c>
      <c r="CA163" s="25" t="str">
        <f t="shared" si="581"/>
        <v>CASETA 4</v>
      </c>
      <c r="CB163" s="26">
        <f>INDEX($BZ$6:$CV$138,127,3)</f>
        <v>0</v>
      </c>
      <c r="CC163" s="26">
        <f>INDEX($BZ$6:$CV$138,133,4)</f>
        <v>0</v>
      </c>
      <c r="CD163" s="23">
        <f>SUMIFS($CD$6:$CD$138,$BZ$6:$BZ$138,$BZ163)</f>
        <v>0</v>
      </c>
      <c r="CE163" s="23">
        <f t="shared" si="558"/>
        <v>0</v>
      </c>
      <c r="CF163" s="23">
        <f t="shared" si="559"/>
        <v>0</v>
      </c>
      <c r="CG163" s="88">
        <f t="shared" si="560"/>
        <v>0</v>
      </c>
      <c r="CH163" s="26">
        <f>INDEX($BZ$6:$CV$138,133,9)</f>
        <v>4664</v>
      </c>
      <c r="CI163" s="47">
        <f t="shared" si="561"/>
        <v>0.16</v>
      </c>
      <c r="CJ163" s="23">
        <f t="shared" si="576"/>
        <v>0</v>
      </c>
      <c r="CK163" s="47">
        <f t="shared" si="562"/>
        <v>4.4800000000000013</v>
      </c>
      <c r="CL163" s="27">
        <f>INDEX($BZ$6:$CV$138,133,13)</f>
        <v>8.9763082430377796</v>
      </c>
      <c r="CM163" s="23">
        <f t="shared" si="563"/>
        <v>0</v>
      </c>
      <c r="CN163" s="14">
        <f t="shared" si="564"/>
        <v>79</v>
      </c>
      <c r="CO163" s="23"/>
      <c r="CP163" s="27">
        <f>INDEX($BZ$6:$CV$138,133,17)</f>
        <v>3996.0602157057042</v>
      </c>
      <c r="CQ163" s="160">
        <f>VLOOKUP($BZ163,LOHMANN,2,FALSE)</f>
        <v>1257</v>
      </c>
      <c r="CR163" s="351">
        <f>INDEX($BZ$6:$CV$138,133,19)</f>
        <v>0</v>
      </c>
      <c r="CS163" s="416">
        <f t="shared" si="565"/>
        <v>1257</v>
      </c>
      <c r="CT163" s="50">
        <f>VLOOKUP(BZ163,LOHMANN,3,FALSE)</f>
        <v>86</v>
      </c>
      <c r="CU163" s="29">
        <f>INDEX($BZ$6:$CV$138,133,22)</f>
        <v>0</v>
      </c>
      <c r="CV163" s="417">
        <f t="shared" si="567"/>
        <v>86</v>
      </c>
    </row>
    <row r="164" spans="3:100" x14ac:dyDescent="0.25">
      <c r="O164" s="4"/>
    </row>
    <row r="168" spans="3:100" x14ac:dyDescent="0.25">
      <c r="E168" s="352">
        <v>0</v>
      </c>
      <c r="F168" s="76">
        <v>1</v>
      </c>
      <c r="G168" s="76">
        <v>2</v>
      </c>
      <c r="H168" s="76">
        <v>3</v>
      </c>
      <c r="I168" s="76">
        <v>4</v>
      </c>
      <c r="J168" s="76">
        <v>5</v>
      </c>
      <c r="K168" s="76">
        <v>6</v>
      </c>
      <c r="L168" s="76">
        <v>7</v>
      </c>
      <c r="M168" s="76">
        <v>8</v>
      </c>
      <c r="N168" s="76">
        <v>9</v>
      </c>
      <c r="O168" s="76">
        <v>10</v>
      </c>
      <c r="P168" s="76">
        <v>11</v>
      </c>
      <c r="Q168" s="76">
        <v>12</v>
      </c>
      <c r="R168" s="76">
        <v>13</v>
      </c>
      <c r="S168" s="76">
        <v>14</v>
      </c>
      <c r="T168" s="76">
        <v>15</v>
      </c>
      <c r="U168" s="76">
        <v>16</v>
      </c>
      <c r="V168" s="76">
        <v>17</v>
      </c>
      <c r="W168" s="76">
        <v>18</v>
      </c>
      <c r="X168" s="316"/>
    </row>
    <row r="169" spans="3:100" ht="22.5" customHeight="1" x14ac:dyDescent="0.25">
      <c r="C169" s="315" t="s">
        <v>52</v>
      </c>
      <c r="D169" s="24" t="s">
        <v>67</v>
      </c>
      <c r="E169" s="83">
        <f>VLOOKUP(E$168,CSTA1,3,0)</f>
        <v>191363</v>
      </c>
      <c r="F169" s="83">
        <f t="shared" ref="F169:K169" si="589">VLOOKUP(F$168,CSTA1,3,0)</f>
        <v>186187</v>
      </c>
      <c r="G169" s="83">
        <f t="shared" si="589"/>
        <v>183045</v>
      </c>
      <c r="H169" s="83">
        <f>VLOOKUP(H$168,CSTA1,3,0)</f>
        <v>0</v>
      </c>
      <c r="I169" s="83">
        <f t="shared" si="589"/>
        <v>0</v>
      </c>
      <c r="J169" s="83">
        <f>VLOOKUP(J$168,CSTA1,3,0)</f>
        <v>0</v>
      </c>
      <c r="K169" s="83">
        <f t="shared" si="589"/>
        <v>0</v>
      </c>
      <c r="L169" s="83">
        <f t="shared" ref="L169:W169" si="590">VLOOKUP(L$168,CSTA1,3,0)</f>
        <v>0</v>
      </c>
      <c r="M169" s="83">
        <f>VLOOKUP(M$168,CSTA1,3,0)</f>
        <v>0</v>
      </c>
      <c r="N169" s="83">
        <f t="shared" si="590"/>
        <v>0</v>
      </c>
      <c r="O169" s="83">
        <f t="shared" si="590"/>
        <v>0</v>
      </c>
      <c r="P169" s="83">
        <f t="shared" si="590"/>
        <v>0</v>
      </c>
      <c r="Q169" s="83">
        <f t="shared" si="590"/>
        <v>0</v>
      </c>
      <c r="R169" s="83">
        <f t="shared" si="590"/>
        <v>0</v>
      </c>
      <c r="S169" s="83">
        <f t="shared" si="590"/>
        <v>0</v>
      </c>
      <c r="T169" s="83">
        <f t="shared" si="590"/>
        <v>0</v>
      </c>
      <c r="U169" s="83">
        <f t="shared" si="590"/>
        <v>0</v>
      </c>
      <c r="V169" s="83">
        <f t="shared" si="590"/>
        <v>0</v>
      </c>
      <c r="W169" s="83">
        <f t="shared" si="590"/>
        <v>0</v>
      </c>
    </row>
    <row r="170" spans="3:100" ht="22.5" customHeight="1" x14ac:dyDescent="0.25">
      <c r="C170" s="77" t="str">
        <f>C169</f>
        <v>CASETA 1</v>
      </c>
      <c r="D170" s="24" t="s">
        <v>34</v>
      </c>
      <c r="E170" s="83">
        <f>VLOOKUP(E$168,CSTA1,4,0)</f>
        <v>186187</v>
      </c>
      <c r="F170" s="83">
        <f>VLOOKUP(F$168,CSTA1,4,0)</f>
        <v>183045</v>
      </c>
      <c r="G170" s="83">
        <f>VLOOKUP(G$168,CSTA1,4,0)</f>
        <v>182176</v>
      </c>
      <c r="H170" s="83">
        <f t="shared" ref="H170:W170" si="591">VLOOKUP(H$168,CSTA1,4,0)</f>
        <v>0</v>
      </c>
      <c r="I170" s="83">
        <f t="shared" si="591"/>
        <v>0</v>
      </c>
      <c r="J170" s="83">
        <f t="shared" si="591"/>
        <v>0</v>
      </c>
      <c r="K170" s="83">
        <f>VLOOKUP(K$168,CSTA1,4,0)</f>
        <v>0</v>
      </c>
      <c r="L170" s="83">
        <f t="shared" si="591"/>
        <v>0</v>
      </c>
      <c r="M170" s="83">
        <f t="shared" si="591"/>
        <v>0</v>
      </c>
      <c r="N170" s="83">
        <f t="shared" si="591"/>
        <v>0</v>
      </c>
      <c r="O170" s="83">
        <f t="shared" si="591"/>
        <v>0</v>
      </c>
      <c r="P170" s="83">
        <f t="shared" si="591"/>
        <v>0</v>
      </c>
      <c r="Q170" s="83">
        <f t="shared" si="591"/>
        <v>0</v>
      </c>
      <c r="R170" s="83">
        <f t="shared" si="591"/>
        <v>0</v>
      </c>
      <c r="S170" s="83">
        <f t="shared" si="591"/>
        <v>0</v>
      </c>
      <c r="T170" s="83">
        <f t="shared" si="591"/>
        <v>0</v>
      </c>
      <c r="U170" s="83">
        <f t="shared" si="591"/>
        <v>0</v>
      </c>
      <c r="V170" s="83">
        <f t="shared" si="591"/>
        <v>0</v>
      </c>
      <c r="W170" s="83">
        <f t="shared" si="591"/>
        <v>0</v>
      </c>
    </row>
    <row r="171" spans="3:100" ht="22.5" customHeight="1" x14ac:dyDescent="0.25">
      <c r="C171" s="77" t="str">
        <f t="shared" ref="C171:C189" si="592">C170</f>
        <v>CASETA 1</v>
      </c>
      <c r="D171" s="23" t="s">
        <v>27</v>
      </c>
      <c r="E171" s="83">
        <f>VLOOKUP(E$168,CSTA1,5,0)</f>
        <v>0</v>
      </c>
      <c r="F171" s="83">
        <f>VLOOKUP(F$168,CSTA1,5,0)</f>
        <v>9</v>
      </c>
      <c r="G171" s="83">
        <f>VLOOKUP(G$168,CSTA1,5,0)</f>
        <v>0</v>
      </c>
      <c r="H171" s="83">
        <f t="shared" ref="H171:W171" si="593">VLOOKUP(H$168,CSTA1,5,0)</f>
        <v>0</v>
      </c>
      <c r="I171" s="83">
        <f t="shared" si="593"/>
        <v>0</v>
      </c>
      <c r="J171" s="83">
        <f>VLOOKUP(J$168,CSTA1,5,0)</f>
        <v>0</v>
      </c>
      <c r="K171" s="83">
        <f t="shared" si="593"/>
        <v>0</v>
      </c>
      <c r="L171" s="83">
        <f t="shared" si="593"/>
        <v>0</v>
      </c>
      <c r="M171" s="83">
        <f t="shared" si="593"/>
        <v>0</v>
      </c>
      <c r="N171" s="83">
        <f t="shared" si="593"/>
        <v>0</v>
      </c>
      <c r="O171" s="83">
        <f t="shared" si="593"/>
        <v>0</v>
      </c>
      <c r="P171" s="83">
        <f t="shared" si="593"/>
        <v>0</v>
      </c>
      <c r="Q171" s="83">
        <f t="shared" si="593"/>
        <v>0</v>
      </c>
      <c r="R171" s="83">
        <f t="shared" si="593"/>
        <v>0</v>
      </c>
      <c r="S171" s="83">
        <f t="shared" si="593"/>
        <v>0</v>
      </c>
      <c r="T171" s="83">
        <f t="shared" si="593"/>
        <v>0</v>
      </c>
      <c r="U171" s="83">
        <f t="shared" si="593"/>
        <v>0</v>
      </c>
      <c r="V171" s="83">
        <f t="shared" si="593"/>
        <v>0</v>
      </c>
      <c r="W171" s="83">
        <f t="shared" si="593"/>
        <v>0</v>
      </c>
    </row>
    <row r="172" spans="3:100" ht="22.5" customHeight="1" x14ac:dyDescent="0.25">
      <c r="C172" s="77" t="str">
        <f t="shared" si="592"/>
        <v>CASETA 1</v>
      </c>
      <c r="D172" s="23" t="s">
        <v>16</v>
      </c>
      <c r="E172" s="83">
        <f>VLOOKUP(E$168,CSTA1,6,0)</f>
        <v>5175</v>
      </c>
      <c r="F172" s="83">
        <f>VLOOKUP(F$168,CSTA1,6,0)</f>
        <v>3133</v>
      </c>
      <c r="G172" s="83">
        <f t="shared" ref="G172:W172" si="594">VLOOKUP(G$168,CSTA1,6,0)</f>
        <v>869</v>
      </c>
      <c r="H172" s="83">
        <f t="shared" si="594"/>
        <v>171</v>
      </c>
      <c r="I172" s="83">
        <f t="shared" si="594"/>
        <v>0</v>
      </c>
      <c r="J172" s="83">
        <f t="shared" si="594"/>
        <v>0</v>
      </c>
      <c r="K172" s="83">
        <f t="shared" si="594"/>
        <v>0</v>
      </c>
      <c r="L172" s="83">
        <f t="shared" si="594"/>
        <v>0</v>
      </c>
      <c r="M172" s="83">
        <f t="shared" si="594"/>
        <v>0</v>
      </c>
      <c r="N172" s="83">
        <f t="shared" si="594"/>
        <v>0</v>
      </c>
      <c r="O172" s="83">
        <f t="shared" si="594"/>
        <v>0</v>
      </c>
      <c r="P172" s="83">
        <f t="shared" si="594"/>
        <v>0</v>
      </c>
      <c r="Q172" s="83">
        <f t="shared" si="594"/>
        <v>0</v>
      </c>
      <c r="R172" s="83">
        <f t="shared" si="594"/>
        <v>0</v>
      </c>
      <c r="S172" s="83">
        <f t="shared" si="594"/>
        <v>0</v>
      </c>
      <c r="T172" s="83">
        <f t="shared" si="594"/>
        <v>0</v>
      </c>
      <c r="U172" s="83">
        <f t="shared" si="594"/>
        <v>0</v>
      </c>
      <c r="V172" s="83">
        <f t="shared" si="594"/>
        <v>0</v>
      </c>
      <c r="W172" s="83">
        <f t="shared" si="594"/>
        <v>0</v>
      </c>
    </row>
    <row r="173" spans="3:100" ht="22.5" customHeight="1" x14ac:dyDescent="0.25">
      <c r="C173" s="77" t="str">
        <f t="shared" si="592"/>
        <v>CASETA 1</v>
      </c>
      <c r="D173" s="23" t="s">
        <v>17</v>
      </c>
      <c r="E173" s="83">
        <f>VLOOKUP(E$168,CSTA1,7,0)</f>
        <v>1</v>
      </c>
      <c r="F173" s="83">
        <f>VLOOKUP(F$168,CSTA1,7,0)</f>
        <v>0</v>
      </c>
      <c r="G173" s="83">
        <f t="shared" ref="G173:W173" si="595">VLOOKUP(G$168,CSTA1,7,0)</f>
        <v>0</v>
      </c>
      <c r="H173" s="83">
        <f t="shared" si="595"/>
        <v>0</v>
      </c>
      <c r="I173" s="83">
        <f t="shared" si="595"/>
        <v>0</v>
      </c>
      <c r="J173" s="83">
        <f t="shared" si="595"/>
        <v>0</v>
      </c>
      <c r="K173" s="83">
        <f t="shared" si="595"/>
        <v>0</v>
      </c>
      <c r="L173" s="83">
        <f t="shared" si="595"/>
        <v>0</v>
      </c>
      <c r="M173" s="83">
        <f t="shared" si="595"/>
        <v>0</v>
      </c>
      <c r="N173" s="83">
        <f t="shared" si="595"/>
        <v>0</v>
      </c>
      <c r="O173" s="83">
        <f t="shared" si="595"/>
        <v>0</v>
      </c>
      <c r="P173" s="83">
        <f t="shared" si="595"/>
        <v>0</v>
      </c>
      <c r="Q173" s="83">
        <f t="shared" si="595"/>
        <v>0</v>
      </c>
      <c r="R173" s="83">
        <f t="shared" si="595"/>
        <v>0</v>
      </c>
      <c r="S173" s="83">
        <f t="shared" si="595"/>
        <v>0</v>
      </c>
      <c r="T173" s="83">
        <f t="shared" si="595"/>
        <v>0</v>
      </c>
      <c r="U173" s="83">
        <f t="shared" si="595"/>
        <v>0</v>
      </c>
      <c r="V173" s="83">
        <f t="shared" si="595"/>
        <v>0</v>
      </c>
      <c r="W173" s="83">
        <f t="shared" si="595"/>
        <v>0</v>
      </c>
    </row>
    <row r="174" spans="3:100" ht="22.5" customHeight="1" x14ac:dyDescent="0.25">
      <c r="C174" s="77" t="str">
        <f t="shared" si="592"/>
        <v>CASETA 1</v>
      </c>
      <c r="D174" s="23" t="s">
        <v>18</v>
      </c>
      <c r="E174" s="83">
        <f>SUM(E171:E173)</f>
        <v>5176</v>
      </c>
      <c r="F174" s="83">
        <f t="shared" ref="F174:W174" si="596">SUM(F171:F173)</f>
        <v>3142</v>
      </c>
      <c r="G174" s="83">
        <f t="shared" si="596"/>
        <v>869</v>
      </c>
      <c r="H174" s="83">
        <f t="shared" si="596"/>
        <v>171</v>
      </c>
      <c r="I174" s="83">
        <f t="shared" si="596"/>
        <v>0</v>
      </c>
      <c r="J174" s="83">
        <f t="shared" si="596"/>
        <v>0</v>
      </c>
      <c r="K174" s="83">
        <f t="shared" si="596"/>
        <v>0</v>
      </c>
      <c r="L174" s="83">
        <f t="shared" si="596"/>
        <v>0</v>
      </c>
      <c r="M174" s="83">
        <f t="shared" si="596"/>
        <v>0</v>
      </c>
      <c r="N174" s="83">
        <f t="shared" si="596"/>
        <v>0</v>
      </c>
      <c r="O174" s="83">
        <f t="shared" si="596"/>
        <v>0</v>
      </c>
      <c r="P174" s="83">
        <f t="shared" si="596"/>
        <v>0</v>
      </c>
      <c r="Q174" s="83">
        <f t="shared" si="596"/>
        <v>0</v>
      </c>
      <c r="R174" s="83">
        <f t="shared" si="596"/>
        <v>0</v>
      </c>
      <c r="S174" s="83">
        <f t="shared" si="596"/>
        <v>0</v>
      </c>
      <c r="T174" s="83">
        <f t="shared" si="596"/>
        <v>0</v>
      </c>
      <c r="U174" s="83">
        <f t="shared" si="596"/>
        <v>0</v>
      </c>
      <c r="V174" s="83">
        <f t="shared" si="596"/>
        <v>0</v>
      </c>
      <c r="W174" s="83">
        <f t="shared" si="596"/>
        <v>0</v>
      </c>
    </row>
    <row r="175" spans="3:100" ht="22.5" customHeight="1" x14ac:dyDescent="0.25">
      <c r="C175" s="77" t="str">
        <f t="shared" si="592"/>
        <v>CASETA 1</v>
      </c>
      <c r="D175" s="23" t="s">
        <v>48</v>
      </c>
      <c r="E175" s="83">
        <f>VLOOKUP(E$168,CSTA1,9,0)</f>
        <v>5176</v>
      </c>
      <c r="F175" s="83">
        <f>VLOOKUP(F$168,CSTA1,9,0)</f>
        <v>8318</v>
      </c>
      <c r="G175" s="83">
        <f>VLOOKUP(G$168,CSTA1,9,0)</f>
        <v>9187</v>
      </c>
      <c r="H175" s="83">
        <f t="shared" ref="H175:W175" si="597">VLOOKUP(H$168,CSTA1,9,0)</f>
        <v>9358</v>
      </c>
      <c r="I175" s="83">
        <f t="shared" si="597"/>
        <v>9358</v>
      </c>
      <c r="J175" s="83">
        <f t="shared" si="597"/>
        <v>9358</v>
      </c>
      <c r="K175" s="83">
        <f t="shared" si="597"/>
        <v>9358</v>
      </c>
      <c r="L175" s="83">
        <f t="shared" si="597"/>
        <v>9358</v>
      </c>
      <c r="M175" s="83">
        <f t="shared" si="597"/>
        <v>9358</v>
      </c>
      <c r="N175" s="83">
        <f t="shared" si="597"/>
        <v>9358</v>
      </c>
      <c r="O175" s="83">
        <f t="shared" si="597"/>
        <v>9358</v>
      </c>
      <c r="P175" s="83">
        <f t="shared" si="597"/>
        <v>9358</v>
      </c>
      <c r="Q175" s="83">
        <f t="shared" si="597"/>
        <v>9358</v>
      </c>
      <c r="R175" s="83">
        <f t="shared" si="597"/>
        <v>9358</v>
      </c>
      <c r="S175" s="83">
        <f t="shared" si="597"/>
        <v>9358</v>
      </c>
      <c r="T175" s="83">
        <f t="shared" si="597"/>
        <v>9358</v>
      </c>
      <c r="U175" s="83">
        <f t="shared" si="597"/>
        <v>9358</v>
      </c>
      <c r="V175" s="83">
        <f t="shared" si="597"/>
        <v>9358</v>
      </c>
      <c r="W175" s="83">
        <f t="shared" si="597"/>
        <v>9358</v>
      </c>
    </row>
    <row r="176" spans="3:100" ht="22.5" customHeight="1" x14ac:dyDescent="0.25">
      <c r="C176" s="77" t="str">
        <f t="shared" si="592"/>
        <v>CASETA 1</v>
      </c>
      <c r="D176" s="86" t="s">
        <v>72</v>
      </c>
      <c r="E176" s="295">
        <f>VLOOKUP(E$168,CSTA1,10,0)</f>
        <v>0.7</v>
      </c>
      <c r="F176" s="295">
        <f>VLOOKUP(F$168,CSTA1,10,0)</f>
        <v>0.7</v>
      </c>
      <c r="G176" s="295">
        <f>VLOOKUP(G$168,CSTA1,10,0)</f>
        <v>0.7</v>
      </c>
      <c r="H176" s="295">
        <f t="shared" ref="H176:W176" si="598">VLOOKUP(H$168,CSTA1,10,0)</f>
        <v>0.5</v>
      </c>
      <c r="I176" s="295">
        <f t="shared" si="598"/>
        <v>0.3</v>
      </c>
      <c r="J176" s="295">
        <f t="shared" si="598"/>
        <v>0.18</v>
      </c>
      <c r="K176" s="295">
        <f t="shared" si="598"/>
        <v>0.18</v>
      </c>
      <c r="L176" s="295">
        <f t="shared" si="598"/>
        <v>0.16</v>
      </c>
      <c r="M176" s="295">
        <f t="shared" si="598"/>
        <v>0.16</v>
      </c>
      <c r="N176" s="295">
        <f t="shared" si="598"/>
        <v>0.16</v>
      </c>
      <c r="O176" s="295">
        <f t="shared" si="598"/>
        <v>0.16</v>
      </c>
      <c r="P176" s="295">
        <f t="shared" si="598"/>
        <v>0.16</v>
      </c>
      <c r="Q176" s="295">
        <f t="shared" si="598"/>
        <v>0.16</v>
      </c>
      <c r="R176" s="295">
        <f t="shared" si="598"/>
        <v>0.16</v>
      </c>
      <c r="S176" s="295">
        <f t="shared" si="598"/>
        <v>0.16</v>
      </c>
      <c r="T176" s="295">
        <f t="shared" si="598"/>
        <v>0.16</v>
      </c>
      <c r="U176" s="295">
        <f t="shared" si="598"/>
        <v>0.16</v>
      </c>
      <c r="V176" s="295">
        <f t="shared" si="598"/>
        <v>0.16</v>
      </c>
      <c r="W176" s="295">
        <f t="shared" si="598"/>
        <v>0.16</v>
      </c>
    </row>
    <row r="177" spans="3:23" ht="22.5" customHeight="1" x14ac:dyDescent="0.25">
      <c r="C177" s="77" t="str">
        <f t="shared" si="592"/>
        <v>CASETA 1</v>
      </c>
      <c r="D177" s="86" t="s">
        <v>74</v>
      </c>
      <c r="E177" s="214">
        <f>VLOOKUP(E$168,CSTA1,11,0)</f>
        <v>0.45463596336434342</v>
      </c>
      <c r="F177" s="214">
        <f>VLOOKUP(F$168,CSTA1,11,0)</f>
        <v>0.24280007717913105</v>
      </c>
      <c r="G177" s="214">
        <f t="shared" ref="G177:W177" si="599">VLOOKUP(G$168,CSTA1,11,0)</f>
        <v>6.7949243503371018E-2</v>
      </c>
      <c r="H177" s="214">
        <f t="shared" si="599"/>
        <v>5.8065363397537635E-3</v>
      </c>
      <c r="I177" s="214">
        <f t="shared" si="599"/>
        <v>0</v>
      </c>
      <c r="J177" s="214">
        <f t="shared" si="599"/>
        <v>0</v>
      </c>
      <c r="K177" s="214">
        <f>VLOOKUP(K$168,CSTA1,11,0)</f>
        <v>0</v>
      </c>
      <c r="L177" s="214">
        <f t="shared" si="599"/>
        <v>0</v>
      </c>
      <c r="M177" s="214">
        <f t="shared" si="599"/>
        <v>0</v>
      </c>
      <c r="N177" s="214">
        <f t="shared" si="599"/>
        <v>0</v>
      </c>
      <c r="O177" s="214">
        <f t="shared" si="599"/>
        <v>0</v>
      </c>
      <c r="P177" s="214">
        <f t="shared" si="599"/>
        <v>0</v>
      </c>
      <c r="Q177" s="214">
        <f t="shared" si="599"/>
        <v>0</v>
      </c>
      <c r="R177" s="214">
        <f t="shared" si="599"/>
        <v>0</v>
      </c>
      <c r="S177" s="214">
        <f t="shared" si="599"/>
        <v>0</v>
      </c>
      <c r="T177" s="214">
        <f t="shared" si="599"/>
        <v>0</v>
      </c>
      <c r="U177" s="214">
        <f t="shared" si="599"/>
        <v>0</v>
      </c>
      <c r="V177" s="214">
        <f t="shared" si="599"/>
        <v>0</v>
      </c>
      <c r="W177" s="214">
        <f t="shared" si="599"/>
        <v>0</v>
      </c>
    </row>
    <row r="178" spans="3:23" ht="22.5" customHeight="1" x14ac:dyDescent="0.25">
      <c r="C178" s="77" t="str">
        <f t="shared" si="592"/>
        <v>CASETA 1</v>
      </c>
      <c r="D178" s="87" t="s">
        <v>49</v>
      </c>
      <c r="E178" s="319">
        <f>VLOOKUP(E$168,CSTA1,12,0)</f>
        <v>0.7</v>
      </c>
      <c r="F178" s="319">
        <f>VLOOKUP(F$168,CSTA1,12,0)</f>
        <v>0.7</v>
      </c>
      <c r="G178" s="319">
        <f t="shared" ref="G178:W178" si="600">VLOOKUP(G$168,CSTA1,12,0)</f>
        <v>1.4</v>
      </c>
      <c r="H178" s="319">
        <f t="shared" si="600"/>
        <v>1.9</v>
      </c>
      <c r="I178" s="319">
        <f t="shared" si="600"/>
        <v>2.1999999999999997</v>
      </c>
      <c r="J178" s="319">
        <f t="shared" si="600"/>
        <v>2.38</v>
      </c>
      <c r="K178" s="319">
        <f t="shared" si="600"/>
        <v>2.56</v>
      </c>
      <c r="L178" s="319">
        <f t="shared" si="600"/>
        <v>2.72</v>
      </c>
      <c r="M178" s="319">
        <f t="shared" si="600"/>
        <v>2.8800000000000003</v>
      </c>
      <c r="N178" s="319">
        <f t="shared" si="600"/>
        <v>3.0400000000000005</v>
      </c>
      <c r="O178" s="319">
        <f t="shared" si="600"/>
        <v>3.2000000000000006</v>
      </c>
      <c r="P178" s="319">
        <f t="shared" si="600"/>
        <v>3.3600000000000008</v>
      </c>
      <c r="Q178" s="319">
        <f t="shared" si="600"/>
        <v>3.5200000000000009</v>
      </c>
      <c r="R178" s="319">
        <f t="shared" si="600"/>
        <v>3.680000000000001</v>
      </c>
      <c r="S178" s="319">
        <f t="shared" si="600"/>
        <v>3.8400000000000012</v>
      </c>
      <c r="T178" s="319">
        <f t="shared" si="600"/>
        <v>4.0000000000000009</v>
      </c>
      <c r="U178" s="319">
        <f t="shared" si="600"/>
        <v>4.160000000000001</v>
      </c>
      <c r="V178" s="319">
        <f t="shared" si="600"/>
        <v>4.3200000000000012</v>
      </c>
      <c r="W178" s="319">
        <f t="shared" si="600"/>
        <v>4.4800000000000013</v>
      </c>
    </row>
    <row r="179" spans="3:23" ht="22.5" customHeight="1" x14ac:dyDescent="0.25">
      <c r="C179" s="77" t="str">
        <f t="shared" si="592"/>
        <v>CASETA 1</v>
      </c>
      <c r="D179" s="87" t="s">
        <v>73</v>
      </c>
      <c r="E179" s="214">
        <f>VLOOKUP(E$168,CSTA1,13,0)</f>
        <v>2.704807094370385</v>
      </c>
      <c r="F179" s="214">
        <f>VLOOKUP(F$168,CSTA1,13,0)</f>
        <v>4.4675514402187044</v>
      </c>
      <c r="G179" s="214">
        <f t="shared" ref="G179:W179" si="601">VLOOKUP(G$168,CSTA1,13,0)</f>
        <v>5.018984402742495</v>
      </c>
      <c r="H179" s="214">
        <f t="shared" si="601"/>
        <v>0</v>
      </c>
      <c r="I179" s="214">
        <f t="shared" si="601"/>
        <v>0</v>
      </c>
      <c r="J179" s="214">
        <f t="shared" si="601"/>
        <v>0</v>
      </c>
      <c r="K179" s="214">
        <f t="shared" si="601"/>
        <v>0</v>
      </c>
      <c r="L179" s="214">
        <f t="shared" si="601"/>
        <v>0</v>
      </c>
      <c r="M179" s="214">
        <f t="shared" si="601"/>
        <v>0</v>
      </c>
      <c r="N179" s="214">
        <f t="shared" si="601"/>
        <v>0</v>
      </c>
      <c r="O179" s="214">
        <f t="shared" si="601"/>
        <v>0</v>
      </c>
      <c r="P179" s="214">
        <f t="shared" si="601"/>
        <v>0</v>
      </c>
      <c r="Q179" s="214">
        <f t="shared" si="601"/>
        <v>0</v>
      </c>
      <c r="R179" s="214">
        <f t="shared" si="601"/>
        <v>0</v>
      </c>
      <c r="S179" s="214">
        <f t="shared" si="601"/>
        <v>0</v>
      </c>
      <c r="T179" s="214">
        <f t="shared" si="601"/>
        <v>0</v>
      </c>
      <c r="U179" s="214">
        <f t="shared" si="601"/>
        <v>0</v>
      </c>
      <c r="V179" s="214">
        <f t="shared" si="601"/>
        <v>0</v>
      </c>
      <c r="W179" s="214">
        <f t="shared" si="601"/>
        <v>0</v>
      </c>
    </row>
    <row r="180" spans="3:23" ht="22.5" customHeight="1" x14ac:dyDescent="0.25">
      <c r="C180" s="77" t="str">
        <f t="shared" si="592"/>
        <v>CASETA 1</v>
      </c>
      <c r="D180" s="23" t="s">
        <v>9</v>
      </c>
      <c r="E180" s="83">
        <f>VLOOKUP(E$168,CSTA1,14,0)</f>
        <v>12780</v>
      </c>
      <c r="F180" s="83">
        <f>VLOOKUP(F$168,CSTA1,14,0)</f>
        <v>16560</v>
      </c>
      <c r="G180" s="83">
        <f t="shared" ref="G180:W180" si="602">VLOOKUP(G$168,CSTA1,14,0)</f>
        <v>21780</v>
      </c>
      <c r="H180" s="83">
        <f t="shared" si="602"/>
        <v>10980</v>
      </c>
      <c r="I180" s="83">
        <f t="shared" si="602"/>
        <v>0</v>
      </c>
      <c r="J180" s="83">
        <f t="shared" si="602"/>
        <v>0</v>
      </c>
      <c r="K180" s="83">
        <f t="shared" si="602"/>
        <v>0</v>
      </c>
      <c r="L180" s="83">
        <f t="shared" si="602"/>
        <v>0</v>
      </c>
      <c r="M180" s="83">
        <f t="shared" si="602"/>
        <v>0</v>
      </c>
      <c r="N180" s="83">
        <f t="shared" si="602"/>
        <v>0</v>
      </c>
      <c r="O180" s="83">
        <f t="shared" si="602"/>
        <v>0</v>
      </c>
      <c r="P180" s="83">
        <f t="shared" si="602"/>
        <v>0</v>
      </c>
      <c r="Q180" s="83">
        <f t="shared" si="602"/>
        <v>0</v>
      </c>
      <c r="R180" s="83">
        <f t="shared" si="602"/>
        <v>0</v>
      </c>
      <c r="S180" s="83">
        <f t="shared" si="602"/>
        <v>0</v>
      </c>
      <c r="T180" s="83">
        <f t="shared" si="602"/>
        <v>0</v>
      </c>
      <c r="U180" s="83">
        <f t="shared" si="602"/>
        <v>0</v>
      </c>
      <c r="V180" s="83">
        <f t="shared" si="602"/>
        <v>0</v>
      </c>
      <c r="W180" s="83">
        <f t="shared" si="602"/>
        <v>0</v>
      </c>
    </row>
    <row r="181" spans="3:23" ht="22.5" customHeight="1" x14ac:dyDescent="0.25">
      <c r="C181" s="77" t="str">
        <f t="shared" si="592"/>
        <v>CASETA 1</v>
      </c>
      <c r="D181" s="86" t="s">
        <v>75</v>
      </c>
      <c r="E181" s="83">
        <f>VLOOKUP(E$168,CSTA1,15,0)</f>
        <v>10</v>
      </c>
      <c r="F181" s="83">
        <f>VLOOKUP(F$168,CSTA1,15,0)</f>
        <v>10</v>
      </c>
      <c r="G181" s="83">
        <f t="shared" ref="G181:W181" si="603">VLOOKUP(G$168,CSTA1,15,0)</f>
        <v>17</v>
      </c>
      <c r="H181" s="83">
        <f t="shared" si="603"/>
        <v>23</v>
      </c>
      <c r="I181" s="83">
        <f>VLOOKUP(I$168,CSTA1,15,0)</f>
        <v>29</v>
      </c>
      <c r="J181" s="83">
        <f t="shared" si="603"/>
        <v>34</v>
      </c>
      <c r="K181" s="83">
        <f t="shared" si="603"/>
        <v>38</v>
      </c>
      <c r="L181" s="83">
        <f t="shared" si="603"/>
        <v>42</v>
      </c>
      <c r="M181" s="83">
        <f t="shared" si="603"/>
        <v>46</v>
      </c>
      <c r="N181" s="83">
        <f t="shared" si="603"/>
        <v>49</v>
      </c>
      <c r="O181" s="83">
        <f t="shared" si="603"/>
        <v>52</v>
      </c>
      <c r="P181" s="83">
        <f t="shared" si="603"/>
        <v>55</v>
      </c>
      <c r="Q181" s="83">
        <f t="shared" si="603"/>
        <v>58</v>
      </c>
      <c r="R181" s="83">
        <f t="shared" si="603"/>
        <v>61</v>
      </c>
      <c r="S181" s="83">
        <f t="shared" si="603"/>
        <v>64</v>
      </c>
      <c r="T181" s="83">
        <f t="shared" si="603"/>
        <v>67</v>
      </c>
      <c r="U181" s="83">
        <f t="shared" si="603"/>
        <v>71</v>
      </c>
      <c r="V181" s="83">
        <f t="shared" si="603"/>
        <v>75</v>
      </c>
      <c r="W181" s="83">
        <f t="shared" si="603"/>
        <v>79</v>
      </c>
    </row>
    <row r="182" spans="3:23" ht="22.5" customHeight="1" x14ac:dyDescent="0.25">
      <c r="C182" s="77" t="str">
        <f t="shared" si="592"/>
        <v>CASETA 1</v>
      </c>
      <c r="D182" s="86" t="s">
        <v>62</v>
      </c>
      <c r="E182" s="83">
        <f>VLOOKUP(E$168,CSTA1,16,0)</f>
        <v>14.131738033848137</v>
      </c>
      <c r="F182" s="83">
        <f>VLOOKUP(F$168,CSTA1,16,0)</f>
        <v>12.811980544928717</v>
      </c>
      <c r="G182" s="83">
        <f t="shared" ref="G182:W182" si="604">VLOOKUP(G$168,CSTA1,16,0)</f>
        <v>17.049925525191348</v>
      </c>
      <c r="H182" s="83">
        <f>VLOOKUP(H$168,CSTA1,16,0)</f>
        <v>8.6139978743344336</v>
      </c>
      <c r="I182" s="83">
        <f t="shared" si="604"/>
        <v>0</v>
      </c>
      <c r="J182" s="83">
        <f t="shared" si="604"/>
        <v>0</v>
      </c>
      <c r="K182" s="83">
        <f t="shared" si="604"/>
        <v>0</v>
      </c>
      <c r="L182" s="83">
        <f t="shared" si="604"/>
        <v>0</v>
      </c>
      <c r="M182" s="83">
        <f t="shared" si="604"/>
        <v>0</v>
      </c>
      <c r="N182" s="83">
        <f t="shared" si="604"/>
        <v>0</v>
      </c>
      <c r="O182" s="83">
        <f t="shared" si="604"/>
        <v>0</v>
      </c>
      <c r="P182" s="83">
        <f t="shared" si="604"/>
        <v>0</v>
      </c>
      <c r="Q182" s="83">
        <f t="shared" si="604"/>
        <v>0</v>
      </c>
      <c r="R182" s="83">
        <f t="shared" si="604"/>
        <v>0</v>
      </c>
      <c r="S182" s="83">
        <f t="shared" si="604"/>
        <v>0</v>
      </c>
      <c r="T182" s="83">
        <f t="shared" si="604"/>
        <v>0</v>
      </c>
      <c r="U182" s="83">
        <f t="shared" si="604"/>
        <v>0</v>
      </c>
      <c r="V182" s="83">
        <f t="shared" si="604"/>
        <v>0</v>
      </c>
      <c r="W182" s="83">
        <f t="shared" si="604"/>
        <v>0</v>
      </c>
    </row>
    <row r="183" spans="3:23" ht="22.5" customHeight="1" x14ac:dyDescent="0.25">
      <c r="C183" s="77" t="str">
        <f t="shared" si="592"/>
        <v>CASETA 1</v>
      </c>
      <c r="D183" s="24" t="s">
        <v>50</v>
      </c>
      <c r="E183" s="83">
        <f>VLOOKUP(E$168,CSTA1,17,0)</f>
        <v>98.92216623693696</v>
      </c>
      <c r="F183" s="83">
        <f>VLOOKUP(F$168,CSTA1,17,0)</f>
        <v>188.60603005143798</v>
      </c>
      <c r="G183" s="83">
        <f t="shared" ref="G183:W183" si="605">VLOOKUP(G$168,CSTA1,17,0)</f>
        <v>307.95550872777744</v>
      </c>
      <c r="H183" s="83">
        <f t="shared" si="605"/>
        <v>0</v>
      </c>
      <c r="I183" s="83">
        <f t="shared" si="605"/>
        <v>0</v>
      </c>
      <c r="J183" s="83">
        <f t="shared" si="605"/>
        <v>0</v>
      </c>
      <c r="K183" s="83">
        <f t="shared" si="605"/>
        <v>0</v>
      </c>
      <c r="L183" s="83">
        <f t="shared" si="605"/>
        <v>0</v>
      </c>
      <c r="M183" s="83">
        <f t="shared" si="605"/>
        <v>0</v>
      </c>
      <c r="N183" s="83">
        <f t="shared" si="605"/>
        <v>0</v>
      </c>
      <c r="O183" s="83">
        <f t="shared" si="605"/>
        <v>0</v>
      </c>
      <c r="P183" s="83">
        <f t="shared" si="605"/>
        <v>0</v>
      </c>
      <c r="Q183" s="83">
        <f t="shared" si="605"/>
        <v>0</v>
      </c>
      <c r="R183" s="83">
        <f t="shared" si="605"/>
        <v>0</v>
      </c>
      <c r="S183" s="83">
        <f t="shared" si="605"/>
        <v>0</v>
      </c>
      <c r="T183" s="83">
        <f t="shared" si="605"/>
        <v>0</v>
      </c>
      <c r="U183" s="83">
        <f t="shared" si="605"/>
        <v>0</v>
      </c>
      <c r="V183" s="83">
        <f t="shared" si="605"/>
        <v>0</v>
      </c>
      <c r="W183" s="83">
        <f t="shared" si="605"/>
        <v>0</v>
      </c>
    </row>
    <row r="184" spans="3:23" ht="22.5" customHeight="1" x14ac:dyDescent="0.25">
      <c r="C184" s="77" t="str">
        <f t="shared" si="592"/>
        <v>CASETA 1</v>
      </c>
      <c r="D184" s="86" t="s">
        <v>63</v>
      </c>
      <c r="E184" s="83">
        <f>VLOOKUP(E$168,CSTA1,18,0)</f>
        <v>40</v>
      </c>
      <c r="F184" s="83">
        <f>VLOOKUP(F$168,CSTA1,18,0)</f>
        <v>70</v>
      </c>
      <c r="G184" s="83">
        <f t="shared" ref="G184:W184" si="606">VLOOKUP(G$168,CSTA1,18,0)</f>
        <v>120</v>
      </c>
      <c r="H184" s="83">
        <f t="shared" si="606"/>
        <v>185</v>
      </c>
      <c r="I184" s="83">
        <f t="shared" si="606"/>
        <v>255</v>
      </c>
      <c r="J184" s="83">
        <f t="shared" si="606"/>
        <v>334</v>
      </c>
      <c r="K184" s="83">
        <f t="shared" si="606"/>
        <v>425</v>
      </c>
      <c r="L184" s="83">
        <f t="shared" si="606"/>
        <v>524</v>
      </c>
      <c r="M184" s="83">
        <f t="shared" si="606"/>
        <v>618</v>
      </c>
      <c r="N184" s="83">
        <f t="shared" si="606"/>
        <v>712</v>
      </c>
      <c r="O184" s="83">
        <f t="shared" si="606"/>
        <v>802</v>
      </c>
      <c r="P184" s="83">
        <f t="shared" si="606"/>
        <v>880</v>
      </c>
      <c r="Q184" s="83">
        <f t="shared" si="606"/>
        <v>950</v>
      </c>
      <c r="R184" s="83">
        <f t="shared" si="606"/>
        <v>1010</v>
      </c>
      <c r="S184" s="83">
        <f t="shared" si="606"/>
        <v>1065</v>
      </c>
      <c r="T184" s="83">
        <f t="shared" si="606"/>
        <v>1115</v>
      </c>
      <c r="U184" s="83">
        <f t="shared" si="606"/>
        <v>1160</v>
      </c>
      <c r="V184" s="83">
        <f t="shared" si="606"/>
        <v>1207</v>
      </c>
      <c r="W184" s="83">
        <f t="shared" si="606"/>
        <v>1257</v>
      </c>
    </row>
    <row r="185" spans="3:23" ht="22.5" customHeight="1" x14ac:dyDescent="0.25">
      <c r="C185" s="77" t="str">
        <f t="shared" si="592"/>
        <v>CASETA 1</v>
      </c>
      <c r="D185" s="86" t="s">
        <v>64</v>
      </c>
      <c r="E185" s="83">
        <f>VLOOKUP(E$168,CSTA1,19,0)</f>
        <v>36.64</v>
      </c>
      <c r="F185" s="83">
        <f>VLOOKUP(F$168,CSTA1,19,0)</f>
        <v>72.959999999999994</v>
      </c>
      <c r="G185" s="83">
        <f t="shared" ref="G185:W185" si="607">VLOOKUP(G$168,CSTA1,19,0)</f>
        <v>116</v>
      </c>
      <c r="H185" s="83">
        <f t="shared" si="607"/>
        <v>184</v>
      </c>
      <c r="I185" s="83">
        <f t="shared" si="607"/>
        <v>0</v>
      </c>
      <c r="J185" s="83">
        <f t="shared" si="607"/>
        <v>0</v>
      </c>
      <c r="K185" s="83">
        <f t="shared" si="607"/>
        <v>0</v>
      </c>
      <c r="L185" s="83">
        <f t="shared" si="607"/>
        <v>0</v>
      </c>
      <c r="M185" s="83">
        <f t="shared" si="607"/>
        <v>0</v>
      </c>
      <c r="N185" s="83">
        <f t="shared" si="607"/>
        <v>0</v>
      </c>
      <c r="O185" s="83">
        <f t="shared" si="607"/>
        <v>0</v>
      </c>
      <c r="P185" s="83">
        <f t="shared" si="607"/>
        <v>0</v>
      </c>
      <c r="Q185" s="83">
        <f t="shared" si="607"/>
        <v>0</v>
      </c>
      <c r="R185" s="83">
        <f t="shared" si="607"/>
        <v>0</v>
      </c>
      <c r="S185" s="83">
        <f t="shared" si="607"/>
        <v>0</v>
      </c>
      <c r="T185" s="83">
        <f t="shared" si="607"/>
        <v>0</v>
      </c>
      <c r="U185" s="83">
        <f t="shared" si="607"/>
        <v>0</v>
      </c>
      <c r="V185" s="83">
        <f t="shared" si="607"/>
        <v>0</v>
      </c>
      <c r="W185" s="83">
        <f t="shared" si="607"/>
        <v>0</v>
      </c>
    </row>
    <row r="186" spans="3:23" ht="22.5" customHeight="1" x14ac:dyDescent="0.25">
      <c r="C186" s="77" t="str">
        <f t="shared" si="592"/>
        <v>CASETA 1</v>
      </c>
      <c r="D186" s="23" t="s">
        <v>15</v>
      </c>
      <c r="E186" s="83">
        <f>VLOOKUP(E$168,CSTA1,20,0)</f>
        <v>3.3599999999999994</v>
      </c>
      <c r="F186" s="83">
        <f>VLOOKUP(F$168,CSTA1,20,0)</f>
        <v>-2.9599999999999937</v>
      </c>
      <c r="G186" s="83">
        <f t="shared" ref="G186:W186" si="608">VLOOKUP(G$168,CSTA1,20,0)</f>
        <v>4</v>
      </c>
      <c r="H186" s="83">
        <f t="shared" si="608"/>
        <v>1</v>
      </c>
      <c r="I186" s="83">
        <f t="shared" si="608"/>
        <v>255</v>
      </c>
      <c r="J186" s="83">
        <f t="shared" si="608"/>
        <v>334</v>
      </c>
      <c r="K186" s="83">
        <f t="shared" si="608"/>
        <v>425</v>
      </c>
      <c r="L186" s="83">
        <f t="shared" si="608"/>
        <v>524</v>
      </c>
      <c r="M186" s="83">
        <f t="shared" si="608"/>
        <v>618</v>
      </c>
      <c r="N186" s="83">
        <f t="shared" si="608"/>
        <v>712</v>
      </c>
      <c r="O186" s="83">
        <f t="shared" si="608"/>
        <v>802</v>
      </c>
      <c r="P186" s="83">
        <f t="shared" si="608"/>
        <v>880</v>
      </c>
      <c r="Q186" s="83">
        <f t="shared" si="608"/>
        <v>950</v>
      </c>
      <c r="R186" s="83">
        <f t="shared" si="608"/>
        <v>1010</v>
      </c>
      <c r="S186" s="83">
        <f t="shared" si="608"/>
        <v>1065</v>
      </c>
      <c r="T186" s="83">
        <f t="shared" si="608"/>
        <v>1115</v>
      </c>
      <c r="U186" s="83">
        <f t="shared" si="608"/>
        <v>1160</v>
      </c>
      <c r="V186" s="83">
        <f t="shared" si="608"/>
        <v>1207</v>
      </c>
      <c r="W186" s="83">
        <f t="shared" si="608"/>
        <v>1257</v>
      </c>
    </row>
    <row r="187" spans="3:23" ht="22.5" customHeight="1" x14ac:dyDescent="0.25">
      <c r="C187" s="77" t="str">
        <f t="shared" si="592"/>
        <v>CASETA 1</v>
      </c>
      <c r="D187" s="86" t="s">
        <v>65</v>
      </c>
      <c r="E187" s="83">
        <f>VLOOKUP(E$168,CSTA1,21,0)</f>
        <v>77</v>
      </c>
      <c r="F187" s="83">
        <f>VLOOKUP(F$168,CSTA1,21,0)</f>
        <v>77</v>
      </c>
      <c r="G187" s="83">
        <f t="shared" ref="G187:W187" si="609">VLOOKUP(G$168,CSTA1,21,0)</f>
        <v>77</v>
      </c>
      <c r="H187" s="83">
        <f t="shared" si="609"/>
        <v>77</v>
      </c>
      <c r="I187" s="83">
        <f t="shared" si="609"/>
        <v>79</v>
      </c>
      <c r="J187" s="83">
        <f t="shared" si="609"/>
        <v>79</v>
      </c>
      <c r="K187" s="83">
        <f t="shared" si="609"/>
        <v>79</v>
      </c>
      <c r="L187" s="83">
        <f t="shared" si="609"/>
        <v>79</v>
      </c>
      <c r="M187" s="83">
        <f t="shared" si="609"/>
        <v>79</v>
      </c>
      <c r="N187" s="83">
        <f t="shared" si="609"/>
        <v>79</v>
      </c>
      <c r="O187" s="83">
        <f t="shared" si="609"/>
        <v>80</v>
      </c>
      <c r="P187" s="83">
        <f t="shared" si="609"/>
        <v>80</v>
      </c>
      <c r="Q187" s="83">
        <f t="shared" si="609"/>
        <v>82</v>
      </c>
      <c r="R187" s="83">
        <f t="shared" si="609"/>
        <v>82</v>
      </c>
      <c r="S187" s="83">
        <f t="shared" si="609"/>
        <v>84</v>
      </c>
      <c r="T187" s="83">
        <f t="shared" si="609"/>
        <v>86</v>
      </c>
      <c r="U187" s="83">
        <f t="shared" si="609"/>
        <v>86</v>
      </c>
      <c r="V187" s="83">
        <f t="shared" si="609"/>
        <v>86</v>
      </c>
      <c r="W187" s="83">
        <f t="shared" si="609"/>
        <v>86</v>
      </c>
    </row>
    <row r="188" spans="3:23" ht="22.5" customHeight="1" x14ac:dyDescent="0.25">
      <c r="C188" s="77" t="str">
        <f t="shared" si="592"/>
        <v>CASETA 1</v>
      </c>
      <c r="D188" s="86" t="s">
        <v>66</v>
      </c>
      <c r="E188" s="83">
        <f t="shared" ref="E188:W188" si="610">VLOOKUP(E$168,CSTA1,22,0)</f>
        <v>77</v>
      </c>
      <c r="F188" s="83">
        <f t="shared" si="610"/>
        <v>72</v>
      </c>
      <c r="G188" s="83">
        <f t="shared" si="610"/>
        <v>64</v>
      </c>
      <c r="H188" s="83">
        <f t="shared" si="610"/>
        <v>85</v>
      </c>
      <c r="I188" s="83">
        <f t="shared" si="610"/>
        <v>0</v>
      </c>
      <c r="J188" s="83">
        <f t="shared" si="610"/>
        <v>0</v>
      </c>
      <c r="K188" s="83">
        <f t="shared" si="610"/>
        <v>0</v>
      </c>
      <c r="L188" s="83">
        <f t="shared" si="610"/>
        <v>0</v>
      </c>
      <c r="M188" s="83">
        <f t="shared" si="610"/>
        <v>0</v>
      </c>
      <c r="N188" s="83">
        <f t="shared" si="610"/>
        <v>0</v>
      </c>
      <c r="O188" s="83">
        <f t="shared" si="610"/>
        <v>0</v>
      </c>
      <c r="P188" s="83">
        <f t="shared" si="610"/>
        <v>0</v>
      </c>
      <c r="Q188" s="83">
        <f t="shared" si="610"/>
        <v>0</v>
      </c>
      <c r="R188" s="83">
        <f t="shared" si="610"/>
        <v>0</v>
      </c>
      <c r="S188" s="83">
        <f t="shared" si="610"/>
        <v>0</v>
      </c>
      <c r="T188" s="83">
        <f t="shared" si="610"/>
        <v>0</v>
      </c>
      <c r="U188" s="83">
        <f t="shared" si="610"/>
        <v>0</v>
      </c>
      <c r="V188" s="83">
        <f t="shared" si="610"/>
        <v>0</v>
      </c>
      <c r="W188" s="83">
        <f t="shared" si="610"/>
        <v>0</v>
      </c>
    </row>
    <row r="189" spans="3:23" ht="22.5" customHeight="1" x14ac:dyDescent="0.25">
      <c r="C189" s="77" t="str">
        <f t="shared" si="592"/>
        <v>CASETA 1</v>
      </c>
      <c r="D189" s="23" t="s">
        <v>15</v>
      </c>
      <c r="E189" s="83">
        <f t="shared" ref="E189:W189" si="611">VLOOKUP(E$168,CSTA1,23,0)</f>
        <v>0</v>
      </c>
      <c r="F189" s="83">
        <f t="shared" si="611"/>
        <v>5</v>
      </c>
      <c r="G189" s="83">
        <f t="shared" si="611"/>
        <v>13</v>
      </c>
      <c r="H189" s="83">
        <f t="shared" si="611"/>
        <v>-8</v>
      </c>
      <c r="I189" s="83">
        <f t="shared" si="611"/>
        <v>79</v>
      </c>
      <c r="J189" s="83">
        <f t="shared" si="611"/>
        <v>79</v>
      </c>
      <c r="K189" s="83">
        <f t="shared" si="611"/>
        <v>79</v>
      </c>
      <c r="L189" s="83">
        <f t="shared" si="611"/>
        <v>79</v>
      </c>
      <c r="M189" s="83">
        <f t="shared" si="611"/>
        <v>79</v>
      </c>
      <c r="N189" s="83">
        <f>VLOOKUP(N$168,CSTA1,23,0)</f>
        <v>79</v>
      </c>
      <c r="O189" s="83">
        <f t="shared" si="611"/>
        <v>80</v>
      </c>
      <c r="P189" s="83">
        <f t="shared" si="611"/>
        <v>80</v>
      </c>
      <c r="Q189" s="83">
        <f t="shared" si="611"/>
        <v>82</v>
      </c>
      <c r="R189" s="83">
        <f t="shared" si="611"/>
        <v>82</v>
      </c>
      <c r="S189" s="83">
        <f t="shared" si="611"/>
        <v>84</v>
      </c>
      <c r="T189" s="83">
        <f t="shared" si="611"/>
        <v>86</v>
      </c>
      <c r="U189" s="83">
        <f t="shared" si="611"/>
        <v>86</v>
      </c>
      <c r="V189" s="83">
        <f t="shared" si="611"/>
        <v>86</v>
      </c>
      <c r="W189" s="83">
        <f t="shared" si="611"/>
        <v>86</v>
      </c>
    </row>
    <row r="190" spans="3:23" ht="22.5" customHeight="1" x14ac:dyDescent="0.25">
      <c r="E190" s="1"/>
      <c r="F190" s="316"/>
      <c r="G190" s="316"/>
      <c r="H190" s="316"/>
      <c r="I190" s="316"/>
      <c r="J190" s="316"/>
      <c r="K190" s="316"/>
      <c r="L190" s="316"/>
      <c r="M190" s="316"/>
      <c r="N190" s="316"/>
      <c r="O190" s="316"/>
      <c r="P190" s="316"/>
      <c r="Q190" s="316"/>
      <c r="R190" s="316"/>
      <c r="S190" s="316"/>
      <c r="T190" s="316"/>
      <c r="U190" s="316"/>
      <c r="V190" s="316"/>
      <c r="W190" s="316"/>
    </row>
    <row r="191" spans="3:23" ht="22.5" customHeight="1" x14ac:dyDescent="0.25">
      <c r="E191" s="1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316"/>
      <c r="T191" s="316"/>
      <c r="U191" s="316"/>
      <c r="V191" s="316"/>
      <c r="W191" s="316"/>
    </row>
    <row r="192" spans="3:23" ht="22.5" customHeight="1" x14ac:dyDescent="0.25">
      <c r="C192" s="315" t="s">
        <v>149</v>
      </c>
      <c r="D192" s="24" t="s">
        <v>67</v>
      </c>
      <c r="E192" s="83">
        <f t="shared" ref="E192:W192" si="612">VLOOKUP(E$168,DESDOBLE,3,0)</f>
        <v>0</v>
      </c>
      <c r="F192" s="83">
        <f t="shared" si="612"/>
        <v>0</v>
      </c>
      <c r="G192" s="83">
        <f t="shared" si="612"/>
        <v>0</v>
      </c>
      <c r="H192" s="83">
        <f t="shared" si="612"/>
        <v>112823</v>
      </c>
      <c r="I192" s="83">
        <f t="shared" si="612"/>
        <v>83611</v>
      </c>
      <c r="J192" s="83">
        <f t="shared" si="612"/>
        <v>60414</v>
      </c>
      <c r="K192" s="83">
        <f t="shared" si="612"/>
        <v>60383</v>
      </c>
      <c r="L192" s="83">
        <f t="shared" si="612"/>
        <v>60297</v>
      </c>
      <c r="M192" s="83">
        <f t="shared" si="612"/>
        <v>60203</v>
      </c>
      <c r="N192" s="83">
        <f t="shared" si="612"/>
        <v>60172</v>
      </c>
      <c r="O192" s="83">
        <f t="shared" si="612"/>
        <v>60131</v>
      </c>
      <c r="P192" s="83">
        <f t="shared" si="612"/>
        <v>60078</v>
      </c>
      <c r="Q192" s="83">
        <f t="shared" si="612"/>
        <v>60032</v>
      </c>
      <c r="R192" s="83">
        <f t="shared" si="612"/>
        <v>59999</v>
      </c>
      <c r="S192" s="83">
        <f t="shared" si="612"/>
        <v>59972</v>
      </c>
      <c r="T192" s="83">
        <f t="shared" si="612"/>
        <v>52683</v>
      </c>
      <c r="U192" s="83">
        <f t="shared" si="612"/>
        <v>0</v>
      </c>
      <c r="V192" s="83">
        <f t="shared" si="612"/>
        <v>0</v>
      </c>
      <c r="W192" s="83">
        <f t="shared" si="612"/>
        <v>0</v>
      </c>
    </row>
    <row r="193" spans="3:23" ht="22.5" customHeight="1" x14ac:dyDescent="0.25">
      <c r="C193" s="77" t="str">
        <f>C192</f>
        <v>DESDOBLE C1</v>
      </c>
      <c r="D193" s="24" t="s">
        <v>34</v>
      </c>
      <c r="E193" s="83">
        <f t="shared" ref="E193:W193" si="613">VLOOKUP(E$168,DESDOBLE,4,0)</f>
        <v>0</v>
      </c>
      <c r="F193" s="83">
        <f t="shared" si="613"/>
        <v>0</v>
      </c>
      <c r="G193" s="83">
        <f t="shared" si="613"/>
        <v>0</v>
      </c>
      <c r="H193" s="83">
        <f t="shared" si="613"/>
        <v>112778</v>
      </c>
      <c r="I193" s="83">
        <f t="shared" si="613"/>
        <v>83597</v>
      </c>
      <c r="J193" s="83">
        <f t="shared" si="613"/>
        <v>60383</v>
      </c>
      <c r="K193" s="83">
        <f t="shared" si="613"/>
        <v>60297</v>
      </c>
      <c r="L193" s="83">
        <f t="shared" si="613"/>
        <v>60203</v>
      </c>
      <c r="M193" s="83">
        <f t="shared" si="613"/>
        <v>60172</v>
      </c>
      <c r="N193" s="83">
        <f t="shared" si="613"/>
        <v>60131</v>
      </c>
      <c r="O193" s="83">
        <f t="shared" si="613"/>
        <v>60078</v>
      </c>
      <c r="P193" s="83">
        <f t="shared" si="613"/>
        <v>60032</v>
      </c>
      <c r="Q193" s="83">
        <f t="shared" si="613"/>
        <v>59999</v>
      </c>
      <c r="R193" s="83">
        <f t="shared" si="613"/>
        <v>59972</v>
      </c>
      <c r="S193" s="83">
        <f t="shared" si="613"/>
        <v>59803</v>
      </c>
      <c r="T193" s="83">
        <f t="shared" si="613"/>
        <v>0</v>
      </c>
      <c r="U193" s="83">
        <f t="shared" si="613"/>
        <v>0</v>
      </c>
      <c r="V193" s="83">
        <f t="shared" si="613"/>
        <v>0</v>
      </c>
      <c r="W193" s="83">
        <f t="shared" si="613"/>
        <v>0</v>
      </c>
    </row>
    <row r="194" spans="3:23" ht="22.5" customHeight="1" x14ac:dyDescent="0.25">
      <c r="C194" s="77" t="str">
        <f t="shared" ref="C194:C212" si="614">C193</f>
        <v>DESDOBLE C1</v>
      </c>
      <c r="D194" s="23" t="s">
        <v>27</v>
      </c>
      <c r="E194" s="83">
        <f t="shared" ref="E194:W194" si="615">VLOOKUP(E$168,DESDOBLE,5,0)</f>
        <v>0</v>
      </c>
      <c r="F194" s="83">
        <f t="shared" si="615"/>
        <v>0</v>
      </c>
      <c r="G194" s="83">
        <f t="shared" si="615"/>
        <v>0</v>
      </c>
      <c r="H194" s="83">
        <f t="shared" si="615"/>
        <v>0</v>
      </c>
      <c r="I194" s="83">
        <f t="shared" si="615"/>
        <v>0</v>
      </c>
      <c r="J194" s="83">
        <f t="shared" si="615"/>
        <v>0</v>
      </c>
      <c r="K194" s="83">
        <f t="shared" si="615"/>
        <v>0</v>
      </c>
      <c r="L194" s="83">
        <f t="shared" si="615"/>
        <v>0</v>
      </c>
      <c r="M194" s="83">
        <f t="shared" si="615"/>
        <v>0</v>
      </c>
      <c r="N194" s="83">
        <f t="shared" si="615"/>
        <v>0</v>
      </c>
      <c r="O194" s="83">
        <f t="shared" si="615"/>
        <v>0</v>
      </c>
      <c r="P194" s="83">
        <f t="shared" si="615"/>
        <v>0</v>
      </c>
      <c r="Q194" s="83">
        <f t="shared" si="615"/>
        <v>0</v>
      </c>
      <c r="R194" s="83">
        <f t="shared" si="615"/>
        <v>0</v>
      </c>
      <c r="S194" s="83">
        <f t="shared" si="615"/>
        <v>125</v>
      </c>
      <c r="T194" s="83">
        <f t="shared" si="615"/>
        <v>0</v>
      </c>
      <c r="U194" s="83">
        <f t="shared" si="615"/>
        <v>0</v>
      </c>
      <c r="V194" s="83">
        <f t="shared" si="615"/>
        <v>0</v>
      </c>
      <c r="W194" s="83">
        <f t="shared" si="615"/>
        <v>0</v>
      </c>
    </row>
    <row r="195" spans="3:23" ht="22.5" customHeight="1" x14ac:dyDescent="0.25">
      <c r="C195" s="77" t="str">
        <f t="shared" si="614"/>
        <v>DESDOBLE C1</v>
      </c>
      <c r="D195" s="23" t="s">
        <v>16</v>
      </c>
      <c r="E195" s="83">
        <f t="shared" ref="E195:W195" si="616">VLOOKUP(E$168,DESDOBLE,6,0)</f>
        <v>0</v>
      </c>
      <c r="F195" s="83">
        <f t="shared" si="616"/>
        <v>0</v>
      </c>
      <c r="G195" s="83">
        <f t="shared" si="616"/>
        <v>0</v>
      </c>
      <c r="H195" s="83">
        <f t="shared" si="616"/>
        <v>109</v>
      </c>
      <c r="I195" s="83">
        <f t="shared" si="616"/>
        <v>155</v>
      </c>
      <c r="J195" s="83">
        <f t="shared" si="616"/>
        <v>160</v>
      </c>
      <c r="K195" s="83">
        <f t="shared" si="616"/>
        <v>86</v>
      </c>
      <c r="L195" s="83">
        <f t="shared" si="616"/>
        <v>94</v>
      </c>
      <c r="M195" s="83">
        <f t="shared" si="616"/>
        <v>31</v>
      </c>
      <c r="N195" s="83">
        <f t="shared" si="616"/>
        <v>41</v>
      </c>
      <c r="O195" s="83">
        <f t="shared" si="616"/>
        <v>53</v>
      </c>
      <c r="P195" s="83">
        <f t="shared" si="616"/>
        <v>46</v>
      </c>
      <c r="Q195" s="83">
        <f t="shared" si="616"/>
        <v>33</v>
      </c>
      <c r="R195" s="83">
        <f t="shared" si="616"/>
        <v>27</v>
      </c>
      <c r="S195" s="83">
        <f t="shared" si="616"/>
        <v>44</v>
      </c>
      <c r="T195" s="83">
        <f t="shared" si="616"/>
        <v>0</v>
      </c>
      <c r="U195" s="83">
        <f t="shared" si="616"/>
        <v>0</v>
      </c>
      <c r="V195" s="83">
        <f t="shared" si="616"/>
        <v>0</v>
      </c>
      <c r="W195" s="83">
        <f t="shared" si="616"/>
        <v>0</v>
      </c>
    </row>
    <row r="196" spans="3:23" ht="22.5" customHeight="1" x14ac:dyDescent="0.25">
      <c r="C196" s="77" t="str">
        <f t="shared" si="614"/>
        <v>DESDOBLE C1</v>
      </c>
      <c r="D196" s="23" t="s">
        <v>17</v>
      </c>
      <c r="E196" s="83">
        <f t="shared" ref="E196:W196" si="617">VLOOKUP(E$168,DESDOBLE,7,0)</f>
        <v>0</v>
      </c>
      <c r="F196" s="83">
        <f t="shared" si="617"/>
        <v>0</v>
      </c>
      <c r="G196" s="83">
        <f t="shared" si="617"/>
        <v>0</v>
      </c>
      <c r="H196" s="83">
        <f t="shared" si="617"/>
        <v>0</v>
      </c>
      <c r="I196" s="83">
        <f t="shared" si="617"/>
        <v>0</v>
      </c>
      <c r="J196" s="83">
        <f t="shared" si="617"/>
        <v>0</v>
      </c>
      <c r="K196" s="83">
        <f t="shared" si="617"/>
        <v>0</v>
      </c>
      <c r="L196" s="83">
        <f t="shared" si="617"/>
        <v>0</v>
      </c>
      <c r="M196" s="83">
        <f t="shared" si="617"/>
        <v>0</v>
      </c>
      <c r="N196" s="83">
        <f t="shared" si="617"/>
        <v>0</v>
      </c>
      <c r="O196" s="83">
        <f t="shared" si="617"/>
        <v>0</v>
      </c>
      <c r="P196" s="83">
        <f t="shared" si="617"/>
        <v>0</v>
      </c>
      <c r="Q196" s="83">
        <f t="shared" si="617"/>
        <v>0</v>
      </c>
      <c r="R196" s="83">
        <f t="shared" si="617"/>
        <v>0</v>
      </c>
      <c r="S196" s="83">
        <f t="shared" si="617"/>
        <v>0</v>
      </c>
      <c r="T196" s="83">
        <f t="shared" si="617"/>
        <v>0</v>
      </c>
      <c r="U196" s="83">
        <f t="shared" si="617"/>
        <v>0</v>
      </c>
      <c r="V196" s="83">
        <f t="shared" si="617"/>
        <v>0</v>
      </c>
      <c r="W196" s="83">
        <f t="shared" si="617"/>
        <v>0</v>
      </c>
    </row>
    <row r="197" spans="3:23" ht="22.5" customHeight="1" x14ac:dyDescent="0.25">
      <c r="C197" s="77" t="str">
        <f t="shared" si="614"/>
        <v>DESDOBLE C1</v>
      </c>
      <c r="D197" s="23" t="s">
        <v>18</v>
      </c>
      <c r="E197" s="83">
        <f>SUM(E194:E196)</f>
        <v>0</v>
      </c>
      <c r="F197" s="83">
        <f>SUM(F194:F196)</f>
        <v>0</v>
      </c>
      <c r="G197" s="83">
        <f t="shared" ref="G197:W197" si="618">SUM(G194:G196)</f>
        <v>0</v>
      </c>
      <c r="H197" s="83">
        <f t="shared" si="618"/>
        <v>109</v>
      </c>
      <c r="I197" s="83">
        <f t="shared" si="618"/>
        <v>155</v>
      </c>
      <c r="J197" s="83">
        <f t="shared" si="618"/>
        <v>160</v>
      </c>
      <c r="K197" s="83">
        <f t="shared" si="618"/>
        <v>86</v>
      </c>
      <c r="L197" s="83">
        <f t="shared" si="618"/>
        <v>94</v>
      </c>
      <c r="M197" s="83">
        <f t="shared" si="618"/>
        <v>31</v>
      </c>
      <c r="N197" s="83">
        <f t="shared" si="618"/>
        <v>41</v>
      </c>
      <c r="O197" s="83">
        <f t="shared" si="618"/>
        <v>53</v>
      </c>
      <c r="P197" s="83">
        <f t="shared" si="618"/>
        <v>46</v>
      </c>
      <c r="Q197" s="83">
        <f t="shared" si="618"/>
        <v>33</v>
      </c>
      <c r="R197" s="83">
        <f t="shared" si="618"/>
        <v>27</v>
      </c>
      <c r="S197" s="83">
        <f t="shared" si="618"/>
        <v>169</v>
      </c>
      <c r="T197" s="83">
        <f t="shared" si="618"/>
        <v>0</v>
      </c>
      <c r="U197" s="83">
        <f t="shared" si="618"/>
        <v>0</v>
      </c>
      <c r="V197" s="83">
        <f t="shared" si="618"/>
        <v>0</v>
      </c>
      <c r="W197" s="83">
        <f t="shared" si="618"/>
        <v>0</v>
      </c>
    </row>
    <row r="198" spans="3:23" ht="22.5" customHeight="1" x14ac:dyDescent="0.25">
      <c r="C198" s="77" t="str">
        <f t="shared" si="614"/>
        <v>DESDOBLE C1</v>
      </c>
      <c r="D198" s="23" t="s">
        <v>48</v>
      </c>
      <c r="E198" s="83">
        <f t="shared" ref="E198:W198" si="619">VLOOKUP(E$168,DESDOBLE,9,0)</f>
        <v>0</v>
      </c>
      <c r="F198" s="83">
        <f t="shared" si="619"/>
        <v>0</v>
      </c>
      <c r="G198" s="83">
        <f t="shared" si="619"/>
        <v>0</v>
      </c>
      <c r="H198" s="83">
        <f t="shared" si="619"/>
        <v>109</v>
      </c>
      <c r="I198" s="83">
        <f t="shared" si="619"/>
        <v>264</v>
      </c>
      <c r="J198" s="83">
        <f t="shared" si="619"/>
        <v>424</v>
      </c>
      <c r="K198" s="83">
        <f t="shared" si="619"/>
        <v>510</v>
      </c>
      <c r="L198" s="83">
        <f t="shared" si="619"/>
        <v>604</v>
      </c>
      <c r="M198" s="83">
        <f t="shared" si="619"/>
        <v>635</v>
      </c>
      <c r="N198" s="83">
        <f t="shared" si="619"/>
        <v>676</v>
      </c>
      <c r="O198" s="83">
        <f t="shared" si="619"/>
        <v>729</v>
      </c>
      <c r="P198" s="83">
        <f t="shared" si="619"/>
        <v>775</v>
      </c>
      <c r="Q198" s="83">
        <f t="shared" si="619"/>
        <v>808</v>
      </c>
      <c r="R198" s="83">
        <f t="shared" si="619"/>
        <v>835</v>
      </c>
      <c r="S198" s="83">
        <f t="shared" si="619"/>
        <v>1004</v>
      </c>
      <c r="T198" s="83">
        <f t="shared" si="619"/>
        <v>1004</v>
      </c>
      <c r="U198" s="83">
        <f t="shared" si="619"/>
        <v>1004</v>
      </c>
      <c r="V198" s="83">
        <f t="shared" si="619"/>
        <v>1004</v>
      </c>
      <c r="W198" s="83">
        <f t="shared" si="619"/>
        <v>1004</v>
      </c>
    </row>
    <row r="199" spans="3:23" ht="22.5" customHeight="1" x14ac:dyDescent="0.25">
      <c r="C199" s="77" t="str">
        <f t="shared" si="614"/>
        <v>DESDOBLE C1</v>
      </c>
      <c r="D199" s="86" t="s">
        <v>72</v>
      </c>
      <c r="E199" s="295">
        <f t="shared" ref="E199:W199" si="620">VLOOKUP(E$168,DESDOBLE,10,0)</f>
        <v>0.7</v>
      </c>
      <c r="F199" s="295">
        <f t="shared" si="620"/>
        <v>0.7</v>
      </c>
      <c r="G199" s="295">
        <f t="shared" si="620"/>
        <v>0.7</v>
      </c>
      <c r="H199" s="295">
        <f t="shared" si="620"/>
        <v>0.5</v>
      </c>
      <c r="I199" s="295">
        <f t="shared" si="620"/>
        <v>0.3</v>
      </c>
      <c r="J199" s="295">
        <f t="shared" si="620"/>
        <v>0.18</v>
      </c>
      <c r="K199" s="295">
        <f t="shared" si="620"/>
        <v>0.18</v>
      </c>
      <c r="L199" s="295">
        <f t="shared" si="620"/>
        <v>0.16</v>
      </c>
      <c r="M199" s="295">
        <f t="shared" si="620"/>
        <v>0.16</v>
      </c>
      <c r="N199" s="295">
        <f t="shared" si="620"/>
        <v>0.16</v>
      </c>
      <c r="O199" s="295">
        <f t="shared" si="620"/>
        <v>0.16</v>
      </c>
      <c r="P199" s="295">
        <f t="shared" si="620"/>
        <v>0.16</v>
      </c>
      <c r="Q199" s="295">
        <f t="shared" si="620"/>
        <v>0.16</v>
      </c>
      <c r="R199" s="295">
        <f t="shared" si="620"/>
        <v>0.16</v>
      </c>
      <c r="S199" s="295">
        <f t="shared" si="620"/>
        <v>0.16</v>
      </c>
      <c r="T199" s="295">
        <f t="shared" si="620"/>
        <v>0.16</v>
      </c>
      <c r="U199" s="295">
        <f t="shared" si="620"/>
        <v>0.16</v>
      </c>
      <c r="V199" s="295">
        <f t="shared" si="620"/>
        <v>0.16</v>
      </c>
      <c r="W199" s="295">
        <f t="shared" si="620"/>
        <v>0.16</v>
      </c>
    </row>
    <row r="200" spans="3:23" ht="22.5" customHeight="1" x14ac:dyDescent="0.25">
      <c r="C200" s="77" t="str">
        <f t="shared" si="614"/>
        <v>DESDOBLE C1</v>
      </c>
      <c r="D200" s="86" t="s">
        <v>74</v>
      </c>
      <c r="E200" s="214">
        <f t="shared" ref="E200:W200" si="621">VLOOKUP(E$168,DESDOBLE,11,0)</f>
        <v>0</v>
      </c>
      <c r="F200" s="214">
        <f t="shared" si="621"/>
        <v>0</v>
      </c>
      <c r="G200" s="214">
        <f t="shared" si="621"/>
        <v>0</v>
      </c>
      <c r="H200" s="214">
        <f t="shared" si="621"/>
        <v>1.2576987500030562E-2</v>
      </c>
      <c r="I200" s="214">
        <f t="shared" si="621"/>
        <v>2.1993276744422429E-2</v>
      </c>
      <c r="J200" s="214">
        <f t="shared" si="621"/>
        <v>3.4486769212311703E-2</v>
      </c>
      <c r="K200" s="214">
        <f t="shared" si="621"/>
        <v>2.0357411587717134E-2</v>
      </c>
      <c r="L200" s="214">
        <f t="shared" si="621"/>
        <v>2.2283996503914726E-2</v>
      </c>
      <c r="M200" s="214">
        <f t="shared" si="621"/>
        <v>7.3575507793521263E-3</v>
      </c>
      <c r="N200" s="214">
        <f t="shared" si="621"/>
        <v>9.7367439908473876E-3</v>
      </c>
      <c r="O200" s="214">
        <f t="shared" si="621"/>
        <v>1.2595928258378493E-2</v>
      </c>
      <c r="P200" s="214">
        <f t="shared" si="621"/>
        <v>1.0941642023371797E-2</v>
      </c>
      <c r="Q200" s="214">
        <f t="shared" si="621"/>
        <v>7.8547628259235114E-3</v>
      </c>
      <c r="R200" s="214">
        <f t="shared" si="621"/>
        <v>6.4298892579214848E-3</v>
      </c>
      <c r="S200" s="214">
        <f t="shared" si="621"/>
        <v>4.0276322045188918E-2</v>
      </c>
      <c r="T200" s="214">
        <f t="shared" si="621"/>
        <v>0</v>
      </c>
      <c r="U200" s="214">
        <f t="shared" si="621"/>
        <v>0</v>
      </c>
      <c r="V200" s="214">
        <f t="shared" si="621"/>
        <v>0</v>
      </c>
      <c r="W200" s="214">
        <f t="shared" si="621"/>
        <v>0</v>
      </c>
    </row>
    <row r="201" spans="3:23" ht="22.5" customHeight="1" x14ac:dyDescent="0.25">
      <c r="C201" s="77" t="str">
        <f t="shared" si="614"/>
        <v>DESDOBLE C1</v>
      </c>
      <c r="D201" s="87" t="s">
        <v>49</v>
      </c>
      <c r="E201" s="319">
        <f t="shared" ref="E201:W201" si="622">VLOOKUP(E$168,DESDOBLE,12,0)</f>
        <v>0.7</v>
      </c>
      <c r="F201" s="319">
        <f t="shared" si="622"/>
        <v>0.7</v>
      </c>
      <c r="G201" s="319">
        <f t="shared" si="622"/>
        <v>1.4</v>
      </c>
      <c r="H201" s="319">
        <f t="shared" si="622"/>
        <v>1.9</v>
      </c>
      <c r="I201" s="319">
        <f t="shared" si="622"/>
        <v>2.1999999999999997</v>
      </c>
      <c r="J201" s="319">
        <f t="shared" si="622"/>
        <v>2.38</v>
      </c>
      <c r="K201" s="319">
        <f t="shared" si="622"/>
        <v>2.56</v>
      </c>
      <c r="L201" s="319">
        <f t="shared" si="622"/>
        <v>2.72</v>
      </c>
      <c r="M201" s="319">
        <f t="shared" si="622"/>
        <v>2.8800000000000003</v>
      </c>
      <c r="N201" s="319">
        <f t="shared" si="622"/>
        <v>3.0400000000000005</v>
      </c>
      <c r="O201" s="319">
        <f t="shared" si="622"/>
        <v>3.2000000000000006</v>
      </c>
      <c r="P201" s="319">
        <f t="shared" si="622"/>
        <v>3.3600000000000008</v>
      </c>
      <c r="Q201" s="319">
        <f t="shared" si="622"/>
        <v>3.5200000000000009</v>
      </c>
      <c r="R201" s="319">
        <f t="shared" si="622"/>
        <v>3.680000000000001</v>
      </c>
      <c r="S201" s="319">
        <f t="shared" si="622"/>
        <v>3.8400000000000012</v>
      </c>
      <c r="T201" s="319">
        <f t="shared" si="622"/>
        <v>4.0000000000000009</v>
      </c>
      <c r="U201" s="319">
        <f t="shared" si="622"/>
        <v>4.160000000000001</v>
      </c>
      <c r="V201" s="319">
        <f t="shared" si="622"/>
        <v>4.3200000000000012</v>
      </c>
      <c r="W201" s="319">
        <f t="shared" si="622"/>
        <v>4.4800000000000013</v>
      </c>
    </row>
    <row r="202" spans="3:23" ht="22.5" customHeight="1" x14ac:dyDescent="0.25">
      <c r="C202" s="77" t="str">
        <f t="shared" si="614"/>
        <v>DESDOBLE C1</v>
      </c>
      <c r="D202" s="87" t="s">
        <v>73</v>
      </c>
      <c r="E202" s="214">
        <f t="shared" ref="E202:W202" si="623">VLOOKUP(E$168,DESDOBLE,13,0)</f>
        <v>0</v>
      </c>
      <c r="F202" s="214">
        <f t="shared" si="623"/>
        <v>0</v>
      </c>
      <c r="G202" s="214">
        <f t="shared" si="623"/>
        <v>0</v>
      </c>
      <c r="H202" s="214">
        <f t="shared" si="623"/>
        <v>9.6611506519060836E-2</v>
      </c>
      <c r="I202" s="214">
        <f t="shared" si="623"/>
        <v>0.31574792790422312</v>
      </c>
      <c r="J202" s="214">
        <f t="shared" si="623"/>
        <v>0.70182408051113976</v>
      </c>
      <c r="K202" s="214">
        <f t="shared" si="623"/>
        <v>0.84460858188563004</v>
      </c>
      <c r="L202" s="214">
        <f t="shared" si="623"/>
        <v>1.0017082110221072</v>
      </c>
      <c r="M202" s="214">
        <f t="shared" si="623"/>
        <v>1.0547647127219575</v>
      </c>
      <c r="N202" s="214">
        <f t="shared" si="623"/>
        <v>1.1234461211194575</v>
      </c>
      <c r="O202" s="214">
        <f t="shared" si="623"/>
        <v>1.2123530292195372</v>
      </c>
      <c r="P202" s="214">
        <f t="shared" si="623"/>
        <v>1.2899896800825594</v>
      </c>
      <c r="Q202" s="214">
        <f t="shared" si="623"/>
        <v>1.345948827292111</v>
      </c>
      <c r="R202" s="214">
        <f t="shared" si="623"/>
        <v>1.3916898614976916</v>
      </c>
      <c r="S202" s="214">
        <f t="shared" si="623"/>
        <v>1.6741145868071767</v>
      </c>
      <c r="T202" s="214">
        <f t="shared" si="623"/>
        <v>1.905738093882277</v>
      </c>
      <c r="U202" s="214">
        <f t="shared" si="623"/>
        <v>0</v>
      </c>
      <c r="V202" s="214">
        <f t="shared" si="623"/>
        <v>0</v>
      </c>
      <c r="W202" s="214">
        <f t="shared" si="623"/>
        <v>0</v>
      </c>
    </row>
    <row r="203" spans="3:23" ht="22.5" customHeight="1" x14ac:dyDescent="0.25">
      <c r="C203" s="77" t="str">
        <f t="shared" si="614"/>
        <v>DESDOBLE C1</v>
      </c>
      <c r="D203" s="23" t="s">
        <v>9</v>
      </c>
      <c r="E203" s="83">
        <f t="shared" ref="E203:W203" si="624">VLOOKUP(E$168,DESDOBLE,14,0)</f>
        <v>0</v>
      </c>
      <c r="F203" s="83">
        <f t="shared" si="624"/>
        <v>0</v>
      </c>
      <c r="G203" s="83">
        <f t="shared" si="624"/>
        <v>0</v>
      </c>
      <c r="H203" s="83">
        <f t="shared" si="624"/>
        <v>11340</v>
      </c>
      <c r="I203" s="83">
        <f t="shared" si="624"/>
        <v>15606</v>
      </c>
      <c r="J203" s="83">
        <f t="shared" si="624"/>
        <v>18243</v>
      </c>
      <c r="K203" s="83">
        <f t="shared" si="624"/>
        <v>13563</v>
      </c>
      <c r="L203" s="83">
        <f t="shared" si="624"/>
        <v>13302</v>
      </c>
      <c r="M203" s="83">
        <f t="shared" si="624"/>
        <v>13203</v>
      </c>
      <c r="N203" s="83">
        <f t="shared" si="624"/>
        <v>10161</v>
      </c>
      <c r="O203" s="83">
        <f t="shared" si="624"/>
        <v>18081</v>
      </c>
      <c r="P203" s="83">
        <f t="shared" si="624"/>
        <v>18018</v>
      </c>
      <c r="Q203" s="83">
        <f t="shared" si="624"/>
        <v>22267</v>
      </c>
      <c r="R203" s="83">
        <f t="shared" si="624"/>
        <v>16431</v>
      </c>
      <c r="S203" s="83">
        <f t="shared" si="624"/>
        <v>9900</v>
      </c>
      <c r="T203" s="83">
        <f t="shared" si="624"/>
        <v>1440</v>
      </c>
      <c r="U203" s="83">
        <f t="shared" si="624"/>
        <v>0</v>
      </c>
      <c r="V203" s="83">
        <f t="shared" si="624"/>
        <v>0</v>
      </c>
      <c r="W203" s="83">
        <f t="shared" si="624"/>
        <v>0</v>
      </c>
    </row>
    <row r="204" spans="3:23" ht="22.5" customHeight="1" x14ac:dyDescent="0.25">
      <c r="C204" s="77" t="str">
        <f t="shared" si="614"/>
        <v>DESDOBLE C1</v>
      </c>
      <c r="D204" s="86" t="s">
        <v>75</v>
      </c>
      <c r="E204" s="83">
        <f t="shared" ref="E204:W204" si="625">VLOOKUP(E$168,DESDOBLE,15,0)</f>
        <v>10</v>
      </c>
      <c r="F204" s="83">
        <f t="shared" si="625"/>
        <v>10</v>
      </c>
      <c r="G204" s="83">
        <f t="shared" si="625"/>
        <v>17</v>
      </c>
      <c r="H204" s="83">
        <f t="shared" si="625"/>
        <v>23</v>
      </c>
      <c r="I204" s="83">
        <f t="shared" si="625"/>
        <v>29</v>
      </c>
      <c r="J204" s="83">
        <f t="shared" si="625"/>
        <v>34</v>
      </c>
      <c r="K204" s="83">
        <f t="shared" si="625"/>
        <v>38</v>
      </c>
      <c r="L204" s="83">
        <f t="shared" si="625"/>
        <v>42</v>
      </c>
      <c r="M204" s="83">
        <f t="shared" si="625"/>
        <v>46</v>
      </c>
      <c r="N204" s="83">
        <f t="shared" si="625"/>
        <v>49</v>
      </c>
      <c r="O204" s="83">
        <f t="shared" si="625"/>
        <v>52</v>
      </c>
      <c r="P204" s="83">
        <f t="shared" si="625"/>
        <v>55</v>
      </c>
      <c r="Q204" s="83">
        <f t="shared" si="625"/>
        <v>58</v>
      </c>
      <c r="R204" s="83">
        <f t="shared" si="625"/>
        <v>61</v>
      </c>
      <c r="S204" s="83">
        <f t="shared" si="625"/>
        <v>64</v>
      </c>
      <c r="T204" s="83">
        <f t="shared" si="625"/>
        <v>67</v>
      </c>
      <c r="U204" s="83">
        <f t="shared" si="625"/>
        <v>71</v>
      </c>
      <c r="V204" s="83">
        <f t="shared" si="625"/>
        <v>75</v>
      </c>
      <c r="W204" s="83">
        <f t="shared" si="625"/>
        <v>79</v>
      </c>
    </row>
    <row r="205" spans="3:23" ht="22.5" customHeight="1" x14ac:dyDescent="0.25">
      <c r="C205" s="77" t="str">
        <f t="shared" si="614"/>
        <v>DESDOBLE C1</v>
      </c>
      <c r="D205" s="86" t="s">
        <v>62</v>
      </c>
      <c r="E205" s="83">
        <f t="shared" ref="E205:W205" si="626">VLOOKUP(E$168,DESDOBLE,16,0)</f>
        <v>0</v>
      </c>
      <c r="F205" s="83">
        <f t="shared" si="626"/>
        <v>0</v>
      </c>
      <c r="G205" s="83">
        <f t="shared" si="626"/>
        <v>0</v>
      </c>
      <c r="H205" s="83">
        <f t="shared" si="626"/>
        <v>12.303701359584172</v>
      </c>
      <c r="I205" s="83">
        <f t="shared" si="626"/>
        <v>21.832167057757399</v>
      </c>
      <c r="J205" s="83">
        <f t="shared" si="626"/>
        <v>36.718311183480132</v>
      </c>
      <c r="K205" s="83">
        <f t="shared" si="626"/>
        <v>32.114414668548193</v>
      </c>
      <c r="L205" s="83">
        <f t="shared" si="626"/>
        <v>31.534531917411289</v>
      </c>
      <c r="M205" s="83">
        <f t="shared" si="626"/>
        <v>31.334804961728082</v>
      </c>
      <c r="N205" s="83">
        <f t="shared" si="626"/>
        <v>24.130962863750643</v>
      </c>
      <c r="O205" s="83">
        <f t="shared" si="626"/>
        <v>42.97604832568333</v>
      </c>
      <c r="P205" s="83">
        <f t="shared" si="626"/>
        <v>42.860018011405671</v>
      </c>
      <c r="Q205" s="83">
        <f t="shared" si="626"/>
        <v>53.000491228233997</v>
      </c>
      <c r="R205" s="83">
        <f t="shared" si="626"/>
        <v>39.128345498242375</v>
      </c>
      <c r="S205" s="83">
        <f t="shared" si="626"/>
        <v>23.593250836941003</v>
      </c>
      <c r="T205" s="83">
        <f t="shared" si="626"/>
        <v>3.9047564814890134</v>
      </c>
      <c r="U205" s="83">
        <f t="shared" si="626"/>
        <v>0</v>
      </c>
      <c r="V205" s="83">
        <f t="shared" si="626"/>
        <v>0</v>
      </c>
      <c r="W205" s="83">
        <f t="shared" si="626"/>
        <v>0</v>
      </c>
    </row>
    <row r="206" spans="3:23" ht="22.5" customHeight="1" x14ac:dyDescent="0.25">
      <c r="C206" s="77" t="str">
        <f t="shared" si="614"/>
        <v>DESDOBLE C1</v>
      </c>
      <c r="D206" s="24" t="s">
        <v>50</v>
      </c>
      <c r="E206" s="83">
        <f t="shared" ref="E206:W206" si="627">VLOOKUP(E$168,DESDOBLE,17,0)</f>
        <v>0</v>
      </c>
      <c r="F206" s="83">
        <f t="shared" si="627"/>
        <v>0</v>
      </c>
      <c r="G206" s="83">
        <f t="shared" si="627"/>
        <v>0</v>
      </c>
      <c r="H206" s="83">
        <f t="shared" si="627"/>
        <v>86.125909517089212</v>
      </c>
      <c r="I206" s="83">
        <f t="shared" si="627"/>
        <v>238.951078921391</v>
      </c>
      <c r="J206" s="83">
        <f t="shared" si="627"/>
        <v>495.97925720575205</v>
      </c>
      <c r="K206" s="83">
        <f t="shared" si="627"/>
        <v>720.78015988558934</v>
      </c>
      <c r="L206" s="83">
        <f t="shared" si="627"/>
        <v>941.52188330746822</v>
      </c>
      <c r="M206" s="83">
        <f t="shared" si="627"/>
        <v>1160.8655180395647</v>
      </c>
      <c r="N206" s="83">
        <f t="shared" si="627"/>
        <v>1329.7822580858192</v>
      </c>
      <c r="O206" s="83">
        <f t="shared" si="627"/>
        <v>1630.6145963656024</v>
      </c>
      <c r="P206" s="83">
        <f t="shared" si="627"/>
        <v>1930.6347224454421</v>
      </c>
      <c r="Q206" s="83">
        <f t="shared" si="627"/>
        <v>2301.6381610430803</v>
      </c>
      <c r="R206" s="83">
        <f t="shared" si="627"/>
        <v>2575.5365795307771</v>
      </c>
      <c r="S206" s="83">
        <f t="shared" si="627"/>
        <v>2740.6893353893638</v>
      </c>
      <c r="T206" s="83">
        <f t="shared" si="627"/>
        <v>2768.0226307597868</v>
      </c>
      <c r="U206" s="83">
        <f t="shared" si="627"/>
        <v>2768.0226307597868</v>
      </c>
      <c r="V206" s="83">
        <f t="shared" si="627"/>
        <v>2768.0226307597868</v>
      </c>
      <c r="W206" s="83">
        <f t="shared" si="627"/>
        <v>2768.0226307597868</v>
      </c>
    </row>
    <row r="207" spans="3:23" ht="22.5" customHeight="1" x14ac:dyDescent="0.25">
      <c r="C207" s="77" t="str">
        <f t="shared" si="614"/>
        <v>DESDOBLE C1</v>
      </c>
      <c r="D207" s="86" t="s">
        <v>63</v>
      </c>
      <c r="E207" s="83">
        <f t="shared" ref="E207:W207" si="628">VLOOKUP(E$168,DESDOBLE,18,0)</f>
        <v>40</v>
      </c>
      <c r="F207" s="83">
        <f t="shared" si="628"/>
        <v>70</v>
      </c>
      <c r="G207" s="83">
        <f t="shared" si="628"/>
        <v>120</v>
      </c>
      <c r="H207" s="83">
        <f t="shared" si="628"/>
        <v>185</v>
      </c>
      <c r="I207" s="83">
        <f t="shared" si="628"/>
        <v>255</v>
      </c>
      <c r="J207" s="83">
        <f t="shared" si="628"/>
        <v>334</v>
      </c>
      <c r="K207" s="83">
        <f t="shared" si="628"/>
        <v>425</v>
      </c>
      <c r="L207" s="83">
        <f t="shared" si="628"/>
        <v>524</v>
      </c>
      <c r="M207" s="83">
        <f t="shared" si="628"/>
        <v>618</v>
      </c>
      <c r="N207" s="83">
        <f t="shared" si="628"/>
        <v>712</v>
      </c>
      <c r="O207" s="83">
        <f t="shared" si="628"/>
        <v>802</v>
      </c>
      <c r="P207" s="83">
        <f t="shared" si="628"/>
        <v>880</v>
      </c>
      <c r="Q207" s="83">
        <f t="shared" si="628"/>
        <v>950</v>
      </c>
      <c r="R207" s="83">
        <f t="shared" si="628"/>
        <v>1010</v>
      </c>
      <c r="S207" s="83">
        <f t="shared" si="628"/>
        <v>1065</v>
      </c>
      <c r="T207" s="83">
        <f t="shared" si="628"/>
        <v>1115</v>
      </c>
      <c r="U207" s="83">
        <f t="shared" si="628"/>
        <v>1160</v>
      </c>
      <c r="V207" s="83">
        <f t="shared" si="628"/>
        <v>1207</v>
      </c>
      <c r="W207" s="83">
        <f t="shared" si="628"/>
        <v>1257</v>
      </c>
    </row>
    <row r="208" spans="3:23" ht="22.5" customHeight="1" x14ac:dyDescent="0.25">
      <c r="C208" s="77" t="str">
        <f t="shared" si="614"/>
        <v>DESDOBLE C1</v>
      </c>
      <c r="D208" s="86" t="s">
        <v>64</v>
      </c>
      <c r="E208" s="83">
        <f t="shared" ref="E208:W208" si="629">VLOOKUP(E$168,DESDOBLE,19,0)</f>
        <v>0</v>
      </c>
      <c r="F208" s="83">
        <f t="shared" si="629"/>
        <v>0</v>
      </c>
      <c r="G208" s="83">
        <f t="shared" si="629"/>
        <v>0</v>
      </c>
      <c r="H208" s="83">
        <f t="shared" si="629"/>
        <v>184</v>
      </c>
      <c r="I208" s="83">
        <f t="shared" si="629"/>
        <v>234</v>
      </c>
      <c r="J208" s="83">
        <f t="shared" si="629"/>
        <v>312</v>
      </c>
      <c r="K208" s="83">
        <f t="shared" si="629"/>
        <v>392</v>
      </c>
      <c r="L208" s="83">
        <f t="shared" si="629"/>
        <v>497</v>
      </c>
      <c r="M208" s="83">
        <f t="shared" si="629"/>
        <v>605</v>
      </c>
      <c r="N208" s="83">
        <f t="shared" si="629"/>
        <v>681</v>
      </c>
      <c r="O208" s="83">
        <f t="shared" si="629"/>
        <v>785</v>
      </c>
      <c r="P208" s="83">
        <f t="shared" si="629"/>
        <v>867</v>
      </c>
      <c r="Q208" s="83">
        <f t="shared" si="629"/>
        <v>888</v>
      </c>
      <c r="R208" s="83">
        <f t="shared" si="629"/>
        <v>982</v>
      </c>
      <c r="S208" s="83">
        <f t="shared" si="629"/>
        <v>1048</v>
      </c>
      <c r="T208" s="83">
        <f t="shared" si="629"/>
        <v>0</v>
      </c>
      <c r="U208" s="83">
        <f t="shared" si="629"/>
        <v>0</v>
      </c>
      <c r="V208" s="83">
        <f t="shared" si="629"/>
        <v>0</v>
      </c>
      <c r="W208" s="83">
        <f t="shared" si="629"/>
        <v>0</v>
      </c>
    </row>
    <row r="209" spans="3:23" ht="22.5" customHeight="1" x14ac:dyDescent="0.25">
      <c r="C209" s="77" t="str">
        <f t="shared" si="614"/>
        <v>DESDOBLE C1</v>
      </c>
      <c r="D209" s="23" t="s">
        <v>15</v>
      </c>
      <c r="E209" s="83">
        <f t="shared" ref="E209:W209" si="630">VLOOKUP(E$168,DESDOBLE,20,0)</f>
        <v>40</v>
      </c>
      <c r="F209" s="83">
        <f t="shared" si="630"/>
        <v>70</v>
      </c>
      <c r="G209" s="83">
        <f t="shared" si="630"/>
        <v>120</v>
      </c>
      <c r="H209" s="83">
        <f t="shared" si="630"/>
        <v>1</v>
      </c>
      <c r="I209" s="83">
        <f t="shared" si="630"/>
        <v>21</v>
      </c>
      <c r="J209" s="83">
        <f t="shared" si="630"/>
        <v>22</v>
      </c>
      <c r="K209" s="83">
        <f t="shared" si="630"/>
        <v>33</v>
      </c>
      <c r="L209" s="83">
        <f t="shared" si="630"/>
        <v>27</v>
      </c>
      <c r="M209" s="83">
        <f t="shared" si="630"/>
        <v>13</v>
      </c>
      <c r="N209" s="83">
        <f t="shared" si="630"/>
        <v>31</v>
      </c>
      <c r="O209" s="83">
        <f t="shared" si="630"/>
        <v>17</v>
      </c>
      <c r="P209" s="83">
        <f t="shared" si="630"/>
        <v>13</v>
      </c>
      <c r="Q209" s="83">
        <f t="shared" si="630"/>
        <v>62</v>
      </c>
      <c r="R209" s="83">
        <f t="shared" si="630"/>
        <v>28</v>
      </c>
      <c r="S209" s="83">
        <f t="shared" si="630"/>
        <v>17</v>
      </c>
      <c r="T209" s="83">
        <f t="shared" si="630"/>
        <v>1115</v>
      </c>
      <c r="U209" s="83">
        <f t="shared" si="630"/>
        <v>1160</v>
      </c>
      <c r="V209" s="83">
        <f t="shared" si="630"/>
        <v>1207</v>
      </c>
      <c r="W209" s="83">
        <f t="shared" si="630"/>
        <v>1257</v>
      </c>
    </row>
    <row r="210" spans="3:23" ht="22.5" customHeight="1" x14ac:dyDescent="0.25">
      <c r="C210" s="77" t="str">
        <f t="shared" si="614"/>
        <v>DESDOBLE C1</v>
      </c>
      <c r="D210" s="86" t="s">
        <v>65</v>
      </c>
      <c r="E210" s="83">
        <f t="shared" ref="E210:W210" si="631">VLOOKUP(E$168,DESDOBLE,21,0)</f>
        <v>77</v>
      </c>
      <c r="F210" s="83">
        <f t="shared" si="631"/>
        <v>77</v>
      </c>
      <c r="G210" s="83">
        <f t="shared" si="631"/>
        <v>77</v>
      </c>
      <c r="H210" s="83">
        <f t="shared" si="631"/>
        <v>77</v>
      </c>
      <c r="I210" s="83">
        <f t="shared" si="631"/>
        <v>79</v>
      </c>
      <c r="J210" s="83">
        <f t="shared" si="631"/>
        <v>79</v>
      </c>
      <c r="K210" s="83">
        <f t="shared" si="631"/>
        <v>79</v>
      </c>
      <c r="L210" s="83">
        <f t="shared" si="631"/>
        <v>79</v>
      </c>
      <c r="M210" s="83">
        <f t="shared" si="631"/>
        <v>79</v>
      </c>
      <c r="N210" s="83">
        <f t="shared" si="631"/>
        <v>79</v>
      </c>
      <c r="O210" s="83">
        <f t="shared" si="631"/>
        <v>80</v>
      </c>
      <c r="P210" s="83">
        <f t="shared" si="631"/>
        <v>80</v>
      </c>
      <c r="Q210" s="83">
        <f t="shared" si="631"/>
        <v>82</v>
      </c>
      <c r="R210" s="83">
        <f t="shared" si="631"/>
        <v>82</v>
      </c>
      <c r="S210" s="83">
        <f t="shared" si="631"/>
        <v>84</v>
      </c>
      <c r="T210" s="83">
        <f t="shared" si="631"/>
        <v>86</v>
      </c>
      <c r="U210" s="83">
        <f t="shared" si="631"/>
        <v>86</v>
      </c>
      <c r="V210" s="83">
        <f t="shared" si="631"/>
        <v>86</v>
      </c>
      <c r="W210" s="83">
        <f t="shared" si="631"/>
        <v>86</v>
      </c>
    </row>
    <row r="211" spans="3:23" ht="22.5" customHeight="1" x14ac:dyDescent="0.25">
      <c r="C211" s="77" t="str">
        <f t="shared" si="614"/>
        <v>DESDOBLE C1</v>
      </c>
      <c r="D211" s="86" t="s">
        <v>66</v>
      </c>
      <c r="E211" s="83">
        <f t="shared" ref="E211:W211" si="632">VLOOKUP(E$168,DESDOBLE,22,0)</f>
        <v>0</v>
      </c>
      <c r="F211" s="83">
        <f t="shared" si="632"/>
        <v>0</v>
      </c>
      <c r="G211" s="83">
        <f t="shared" si="632"/>
        <v>0</v>
      </c>
      <c r="H211" s="83">
        <f t="shared" si="632"/>
        <v>85</v>
      </c>
      <c r="I211" s="83">
        <f t="shared" si="632"/>
        <v>66</v>
      </c>
      <c r="J211" s="83">
        <f t="shared" si="632"/>
        <v>64</v>
      </c>
      <c r="K211" s="83">
        <f t="shared" si="632"/>
        <v>64</v>
      </c>
      <c r="L211" s="83">
        <f t="shared" si="632"/>
        <v>76</v>
      </c>
      <c r="M211" s="83">
        <f t="shared" si="632"/>
        <v>87</v>
      </c>
      <c r="N211" s="83">
        <f t="shared" si="632"/>
        <v>70</v>
      </c>
      <c r="O211" s="83">
        <f t="shared" si="632"/>
        <v>87</v>
      </c>
      <c r="P211" s="83">
        <f t="shared" si="632"/>
        <v>86</v>
      </c>
      <c r="Q211" s="83">
        <f t="shared" si="632"/>
        <v>73</v>
      </c>
      <c r="R211" s="83">
        <f t="shared" si="632"/>
        <v>69</v>
      </c>
      <c r="S211" s="83">
        <f t="shared" si="632"/>
        <v>72</v>
      </c>
      <c r="T211" s="83">
        <f t="shared" si="632"/>
        <v>0</v>
      </c>
      <c r="U211" s="83">
        <f t="shared" si="632"/>
        <v>0</v>
      </c>
      <c r="V211" s="83">
        <f t="shared" si="632"/>
        <v>0</v>
      </c>
      <c r="W211" s="83">
        <f t="shared" si="632"/>
        <v>0</v>
      </c>
    </row>
    <row r="212" spans="3:23" ht="22.5" customHeight="1" x14ac:dyDescent="0.25">
      <c r="C212" s="77" t="str">
        <f t="shared" si="614"/>
        <v>DESDOBLE C1</v>
      </c>
      <c r="D212" s="23" t="s">
        <v>15</v>
      </c>
      <c r="E212" s="83">
        <f t="shared" ref="E212:W212" si="633">VLOOKUP(E$168,DESDOBLE,23,0)</f>
        <v>77</v>
      </c>
      <c r="F212" s="83">
        <f t="shared" si="633"/>
        <v>77</v>
      </c>
      <c r="G212" s="83">
        <f t="shared" si="633"/>
        <v>77</v>
      </c>
      <c r="H212" s="83">
        <f t="shared" si="633"/>
        <v>-8</v>
      </c>
      <c r="I212" s="83">
        <f t="shared" si="633"/>
        <v>13</v>
      </c>
      <c r="J212" s="83">
        <f t="shared" si="633"/>
        <v>15</v>
      </c>
      <c r="K212" s="83">
        <f t="shared" si="633"/>
        <v>15</v>
      </c>
      <c r="L212" s="83">
        <f t="shared" si="633"/>
        <v>3</v>
      </c>
      <c r="M212" s="83">
        <f t="shared" si="633"/>
        <v>-8</v>
      </c>
      <c r="N212" s="83">
        <f t="shared" si="633"/>
        <v>9</v>
      </c>
      <c r="O212" s="83">
        <f t="shared" si="633"/>
        <v>-7</v>
      </c>
      <c r="P212" s="83">
        <f t="shared" si="633"/>
        <v>-6</v>
      </c>
      <c r="Q212" s="83">
        <f t="shared" si="633"/>
        <v>9</v>
      </c>
      <c r="R212" s="83">
        <f t="shared" si="633"/>
        <v>13</v>
      </c>
      <c r="S212" s="83">
        <f t="shared" si="633"/>
        <v>12</v>
      </c>
      <c r="T212" s="83">
        <f t="shared" si="633"/>
        <v>86</v>
      </c>
      <c r="U212" s="83">
        <f t="shared" si="633"/>
        <v>86</v>
      </c>
      <c r="V212" s="83">
        <f t="shared" si="633"/>
        <v>86</v>
      </c>
      <c r="W212" s="83">
        <f t="shared" si="633"/>
        <v>86</v>
      </c>
    </row>
    <row r="213" spans="3:23" ht="22.5" customHeight="1" x14ac:dyDescent="0.25">
      <c r="E213" s="1"/>
      <c r="F213" s="316"/>
      <c r="G213" s="316"/>
      <c r="H213" s="316"/>
      <c r="I213" s="316"/>
      <c r="J213" s="316"/>
      <c r="K213" s="316"/>
      <c r="L213" s="316"/>
      <c r="M213" s="316"/>
      <c r="N213" s="316"/>
      <c r="O213" s="316"/>
      <c r="P213" s="316"/>
      <c r="Q213" s="316"/>
      <c r="R213" s="316"/>
      <c r="S213" s="316"/>
      <c r="T213" s="316"/>
      <c r="U213" s="316"/>
      <c r="V213" s="316"/>
      <c r="W213" s="316"/>
    </row>
    <row r="214" spans="3:23" ht="22.5" customHeight="1" x14ac:dyDescent="0.25">
      <c r="E214" s="1"/>
      <c r="F214" s="316"/>
      <c r="G214" s="316"/>
      <c r="H214" s="316"/>
      <c r="I214" s="316"/>
      <c r="J214" s="316"/>
      <c r="K214" s="316"/>
      <c r="L214" s="316"/>
      <c r="M214" s="316"/>
      <c r="N214" s="316"/>
      <c r="O214" s="316"/>
      <c r="P214" s="316"/>
      <c r="Q214" s="316"/>
      <c r="R214" s="316"/>
      <c r="S214" s="316"/>
      <c r="T214" s="316"/>
      <c r="U214" s="316"/>
      <c r="V214" s="316"/>
      <c r="W214" s="316"/>
    </row>
    <row r="215" spans="3:23" ht="22.5" customHeight="1" x14ac:dyDescent="0.25">
      <c r="E215" s="1"/>
      <c r="F215" s="316"/>
      <c r="G215" s="316"/>
      <c r="H215" s="316"/>
      <c r="I215" s="316"/>
      <c r="J215" s="316"/>
      <c r="K215" s="316"/>
      <c r="L215" s="316"/>
      <c r="M215" s="316"/>
      <c r="N215" s="316"/>
      <c r="O215" s="316"/>
      <c r="P215" s="316"/>
      <c r="Q215" s="316"/>
      <c r="R215" s="316"/>
      <c r="S215" s="316"/>
      <c r="T215" s="316"/>
      <c r="U215" s="316"/>
      <c r="V215" s="316"/>
      <c r="W215" s="316"/>
    </row>
    <row r="216" spans="3:23" ht="22.5" customHeight="1" x14ac:dyDescent="0.25">
      <c r="E216" s="1"/>
      <c r="F216" s="316"/>
      <c r="G216" s="316"/>
      <c r="H216" s="316"/>
      <c r="I216" s="316"/>
      <c r="J216" s="316"/>
      <c r="K216" s="316"/>
      <c r="L216" s="316"/>
      <c r="M216" s="316"/>
      <c r="N216" s="316"/>
      <c r="O216" s="316"/>
      <c r="P216" s="316"/>
      <c r="Q216" s="316"/>
      <c r="R216" s="316"/>
      <c r="S216" s="316"/>
      <c r="T216" s="316"/>
      <c r="U216" s="316"/>
      <c r="V216" s="316"/>
      <c r="W216" s="316"/>
    </row>
    <row r="217" spans="3:23" ht="22.5" customHeight="1" x14ac:dyDescent="0.25">
      <c r="C217" s="77" t="s">
        <v>53</v>
      </c>
      <c r="D217" s="24" t="s">
        <v>67</v>
      </c>
      <c r="E217" s="83">
        <f>VLOOKUP(E$168,CSTA2,3,0)</f>
        <v>0</v>
      </c>
      <c r="F217" s="83">
        <f t="shared" ref="F217:W217" si="634">VLOOKUP(F$168,CSTA2,3,0)</f>
        <v>0</v>
      </c>
      <c r="G217" s="83">
        <f t="shared" si="634"/>
        <v>0</v>
      </c>
      <c r="H217" s="83">
        <f t="shared" si="634"/>
        <v>69066</v>
      </c>
      <c r="I217" s="83">
        <f t="shared" si="634"/>
        <v>69051</v>
      </c>
      <c r="J217" s="83">
        <f t="shared" si="634"/>
        <v>68615</v>
      </c>
      <c r="K217" s="83">
        <f t="shared" si="634"/>
        <v>68275</v>
      </c>
      <c r="L217" s="83">
        <f t="shared" si="634"/>
        <v>68006</v>
      </c>
      <c r="M217" s="83">
        <f t="shared" si="634"/>
        <v>67912</v>
      </c>
      <c r="N217" s="83">
        <f t="shared" si="634"/>
        <v>67877</v>
      </c>
      <c r="O217" s="83">
        <f t="shared" si="634"/>
        <v>67802</v>
      </c>
      <c r="P217" s="83">
        <f t="shared" si="634"/>
        <v>67713</v>
      </c>
      <c r="Q217" s="83">
        <f t="shared" si="634"/>
        <v>67676</v>
      </c>
      <c r="R217" s="83">
        <f t="shared" si="634"/>
        <v>67639</v>
      </c>
      <c r="S217" s="83">
        <f t="shared" si="634"/>
        <v>67567</v>
      </c>
      <c r="T217" s="83">
        <f t="shared" si="634"/>
        <v>0</v>
      </c>
      <c r="U217" s="83">
        <f t="shared" si="634"/>
        <v>0</v>
      </c>
      <c r="V217" s="83">
        <f t="shared" si="634"/>
        <v>0</v>
      </c>
      <c r="W217" s="83">
        <f t="shared" si="634"/>
        <v>0</v>
      </c>
    </row>
    <row r="218" spans="3:23" ht="22.5" customHeight="1" x14ac:dyDescent="0.25">
      <c r="C218" s="78" t="str">
        <f>C217</f>
        <v>CASETA 2</v>
      </c>
      <c r="D218" s="24" t="s">
        <v>34</v>
      </c>
      <c r="E218" s="83">
        <f t="shared" ref="E218:W218" si="635">VLOOKUP(E$168,CSTA2,4,0)</f>
        <v>0</v>
      </c>
      <c r="F218" s="83">
        <f t="shared" si="635"/>
        <v>0</v>
      </c>
      <c r="G218" s="83">
        <f t="shared" si="635"/>
        <v>0</v>
      </c>
      <c r="H218" s="83">
        <f t="shared" si="635"/>
        <v>69051</v>
      </c>
      <c r="I218" s="83">
        <f t="shared" si="635"/>
        <v>68615</v>
      </c>
      <c r="J218" s="83">
        <f t="shared" si="635"/>
        <v>68275</v>
      </c>
      <c r="K218" s="83">
        <f t="shared" si="635"/>
        <v>68006</v>
      </c>
      <c r="L218" s="83">
        <f t="shared" si="635"/>
        <v>67912</v>
      </c>
      <c r="M218" s="83">
        <f t="shared" si="635"/>
        <v>67877</v>
      </c>
      <c r="N218" s="83">
        <f t="shared" si="635"/>
        <v>67802</v>
      </c>
      <c r="O218" s="83">
        <f t="shared" si="635"/>
        <v>67713</v>
      </c>
      <c r="P218" s="83">
        <f t="shared" si="635"/>
        <v>67676</v>
      </c>
      <c r="Q218" s="83">
        <f t="shared" si="635"/>
        <v>67639</v>
      </c>
      <c r="R218" s="83">
        <f t="shared" si="635"/>
        <v>67567</v>
      </c>
      <c r="S218" s="83">
        <f t="shared" si="635"/>
        <v>13492</v>
      </c>
      <c r="T218" s="83">
        <f t="shared" si="635"/>
        <v>0</v>
      </c>
      <c r="U218" s="83">
        <f t="shared" si="635"/>
        <v>0</v>
      </c>
      <c r="V218" s="83">
        <f t="shared" si="635"/>
        <v>0</v>
      </c>
      <c r="W218" s="83">
        <f t="shared" si="635"/>
        <v>0</v>
      </c>
    </row>
    <row r="219" spans="3:23" ht="22.5" customHeight="1" x14ac:dyDescent="0.25">
      <c r="C219" s="78" t="str">
        <f t="shared" ref="C219:C236" si="636">C218</f>
        <v>CASETA 2</v>
      </c>
      <c r="D219" s="23" t="s">
        <v>27</v>
      </c>
      <c r="E219" s="83">
        <f t="shared" ref="E219:W219" si="637">VLOOKUP(E$168,CSTA2,5,0)</f>
        <v>0</v>
      </c>
      <c r="F219" s="83">
        <f t="shared" si="637"/>
        <v>0</v>
      </c>
      <c r="G219" s="83">
        <f t="shared" si="637"/>
        <v>0</v>
      </c>
      <c r="H219" s="83">
        <f t="shared" si="637"/>
        <v>0</v>
      </c>
      <c r="I219" s="83">
        <f t="shared" si="637"/>
        <v>0</v>
      </c>
      <c r="J219" s="83">
        <f t="shared" si="637"/>
        <v>0</v>
      </c>
      <c r="K219" s="83">
        <f t="shared" si="637"/>
        <v>0</v>
      </c>
      <c r="L219" s="83">
        <f t="shared" si="637"/>
        <v>0</v>
      </c>
      <c r="M219" s="83">
        <f t="shared" si="637"/>
        <v>0</v>
      </c>
      <c r="N219" s="83">
        <f t="shared" si="637"/>
        <v>0</v>
      </c>
      <c r="O219" s="83">
        <f t="shared" si="637"/>
        <v>0</v>
      </c>
      <c r="P219" s="83">
        <f t="shared" si="637"/>
        <v>0</v>
      </c>
      <c r="Q219" s="83">
        <f t="shared" si="637"/>
        <v>0</v>
      </c>
      <c r="R219" s="83">
        <f t="shared" si="637"/>
        <v>0</v>
      </c>
      <c r="S219" s="83">
        <f t="shared" si="637"/>
        <v>67</v>
      </c>
      <c r="T219" s="83">
        <f t="shared" si="637"/>
        <v>0</v>
      </c>
      <c r="U219" s="83">
        <f t="shared" si="637"/>
        <v>0</v>
      </c>
      <c r="V219" s="83">
        <f t="shared" si="637"/>
        <v>0</v>
      </c>
      <c r="W219" s="83">
        <f t="shared" si="637"/>
        <v>0</v>
      </c>
    </row>
    <row r="220" spans="3:23" ht="22.5" customHeight="1" x14ac:dyDescent="0.25">
      <c r="C220" s="78" t="str">
        <f t="shared" si="636"/>
        <v>CASETA 2</v>
      </c>
      <c r="D220" s="23" t="s">
        <v>16</v>
      </c>
      <c r="E220" s="83">
        <f t="shared" ref="E220:W220" si="638">VLOOKUP(E$168,CSTA2,6,0)</f>
        <v>0</v>
      </c>
      <c r="F220" s="83">
        <f t="shared" si="638"/>
        <v>0</v>
      </c>
      <c r="G220" s="83">
        <f t="shared" si="638"/>
        <v>0</v>
      </c>
      <c r="H220" s="83">
        <f t="shared" si="638"/>
        <v>67</v>
      </c>
      <c r="I220" s="83">
        <f t="shared" si="638"/>
        <v>436</v>
      </c>
      <c r="J220" s="83">
        <f t="shared" si="638"/>
        <v>340</v>
      </c>
      <c r="K220" s="83">
        <f t="shared" si="638"/>
        <v>269</v>
      </c>
      <c r="L220" s="83">
        <f t="shared" si="638"/>
        <v>94</v>
      </c>
      <c r="M220" s="83">
        <f t="shared" si="638"/>
        <v>35</v>
      </c>
      <c r="N220" s="83">
        <f t="shared" si="638"/>
        <v>75</v>
      </c>
      <c r="O220" s="83">
        <f t="shared" si="638"/>
        <v>89</v>
      </c>
      <c r="P220" s="83">
        <f t="shared" si="638"/>
        <v>37</v>
      </c>
      <c r="Q220" s="83">
        <f t="shared" si="638"/>
        <v>37</v>
      </c>
      <c r="R220" s="83">
        <f t="shared" si="638"/>
        <v>72</v>
      </c>
      <c r="S220" s="83">
        <f t="shared" si="638"/>
        <v>51</v>
      </c>
      <c r="T220" s="83">
        <f t="shared" si="638"/>
        <v>0</v>
      </c>
      <c r="U220" s="83">
        <f t="shared" si="638"/>
        <v>0</v>
      </c>
      <c r="V220" s="83">
        <f t="shared" si="638"/>
        <v>0</v>
      </c>
      <c r="W220" s="83">
        <f t="shared" si="638"/>
        <v>0</v>
      </c>
    </row>
    <row r="221" spans="3:23" ht="22.5" customHeight="1" x14ac:dyDescent="0.25">
      <c r="C221" s="78" t="str">
        <f t="shared" si="636"/>
        <v>CASETA 2</v>
      </c>
      <c r="D221" s="23" t="s">
        <v>17</v>
      </c>
      <c r="E221" s="83">
        <f t="shared" ref="E221:W221" si="639">VLOOKUP(E$168,CSTA2,7,0)</f>
        <v>0</v>
      </c>
      <c r="F221" s="83">
        <f t="shared" si="639"/>
        <v>0</v>
      </c>
      <c r="G221" s="83">
        <f t="shared" si="639"/>
        <v>0</v>
      </c>
      <c r="H221" s="83">
        <f t="shared" si="639"/>
        <v>0</v>
      </c>
      <c r="I221" s="83">
        <f t="shared" si="639"/>
        <v>0</v>
      </c>
      <c r="J221" s="83">
        <f t="shared" si="639"/>
        <v>0</v>
      </c>
      <c r="K221" s="83">
        <f t="shared" si="639"/>
        <v>0</v>
      </c>
      <c r="L221" s="83">
        <f t="shared" si="639"/>
        <v>0</v>
      </c>
      <c r="M221" s="83">
        <f t="shared" si="639"/>
        <v>0</v>
      </c>
      <c r="N221" s="83">
        <f t="shared" si="639"/>
        <v>0</v>
      </c>
      <c r="O221" s="83">
        <f t="shared" si="639"/>
        <v>0</v>
      </c>
      <c r="P221" s="83">
        <f t="shared" si="639"/>
        <v>0</v>
      </c>
      <c r="Q221" s="83">
        <f t="shared" si="639"/>
        <v>0</v>
      </c>
      <c r="R221" s="83">
        <f t="shared" si="639"/>
        <v>0</v>
      </c>
      <c r="S221" s="83">
        <f t="shared" si="639"/>
        <v>0</v>
      </c>
      <c r="T221" s="83">
        <f t="shared" si="639"/>
        <v>0</v>
      </c>
      <c r="U221" s="83">
        <f t="shared" si="639"/>
        <v>0</v>
      </c>
      <c r="V221" s="83">
        <f t="shared" si="639"/>
        <v>0</v>
      </c>
      <c r="W221" s="83">
        <f t="shared" si="639"/>
        <v>0</v>
      </c>
    </row>
    <row r="222" spans="3:23" ht="22.5" customHeight="1" x14ac:dyDescent="0.25">
      <c r="C222" s="78" t="str">
        <f t="shared" si="636"/>
        <v>CASETA 2</v>
      </c>
      <c r="D222" s="23" t="s">
        <v>18</v>
      </c>
      <c r="E222" s="85">
        <f>SUM(E219:E221)</f>
        <v>0</v>
      </c>
      <c r="F222" s="85">
        <f t="shared" ref="F222:W222" si="640">SUM(F219:F221)</f>
        <v>0</v>
      </c>
      <c r="G222" s="85">
        <f t="shared" si="640"/>
        <v>0</v>
      </c>
      <c r="H222" s="85">
        <f t="shared" si="640"/>
        <v>67</v>
      </c>
      <c r="I222" s="85">
        <f t="shared" si="640"/>
        <v>436</v>
      </c>
      <c r="J222" s="85">
        <f t="shared" si="640"/>
        <v>340</v>
      </c>
      <c r="K222" s="85">
        <f t="shared" si="640"/>
        <v>269</v>
      </c>
      <c r="L222" s="85">
        <f t="shared" si="640"/>
        <v>94</v>
      </c>
      <c r="M222" s="85">
        <f t="shared" si="640"/>
        <v>35</v>
      </c>
      <c r="N222" s="85">
        <f t="shared" si="640"/>
        <v>75</v>
      </c>
      <c r="O222" s="85">
        <f t="shared" si="640"/>
        <v>89</v>
      </c>
      <c r="P222" s="85">
        <f t="shared" si="640"/>
        <v>37</v>
      </c>
      <c r="Q222" s="85">
        <f t="shared" si="640"/>
        <v>37</v>
      </c>
      <c r="R222" s="85">
        <f t="shared" si="640"/>
        <v>72</v>
      </c>
      <c r="S222" s="85">
        <f t="shared" si="640"/>
        <v>118</v>
      </c>
      <c r="T222" s="85">
        <f t="shared" si="640"/>
        <v>0</v>
      </c>
      <c r="U222" s="85">
        <f t="shared" si="640"/>
        <v>0</v>
      </c>
      <c r="V222" s="85">
        <f t="shared" si="640"/>
        <v>0</v>
      </c>
      <c r="W222" s="85">
        <f t="shared" si="640"/>
        <v>0</v>
      </c>
    </row>
    <row r="223" spans="3:23" ht="22.5" customHeight="1" x14ac:dyDescent="0.25">
      <c r="C223" s="78" t="str">
        <f t="shared" si="636"/>
        <v>CASETA 2</v>
      </c>
      <c r="D223" s="23" t="s">
        <v>48</v>
      </c>
      <c r="E223" s="83">
        <f t="shared" ref="E223:W223" si="641">VLOOKUP(E$168,CSTA2,9,0)</f>
        <v>0</v>
      </c>
      <c r="F223" s="83">
        <f t="shared" si="641"/>
        <v>0</v>
      </c>
      <c r="G223" s="83">
        <f t="shared" si="641"/>
        <v>0</v>
      </c>
      <c r="H223" s="83">
        <f t="shared" si="641"/>
        <v>67</v>
      </c>
      <c r="I223" s="83">
        <f t="shared" si="641"/>
        <v>503</v>
      </c>
      <c r="J223" s="83">
        <f t="shared" si="641"/>
        <v>843</v>
      </c>
      <c r="K223" s="83">
        <f t="shared" si="641"/>
        <v>1112</v>
      </c>
      <c r="L223" s="83">
        <f t="shared" si="641"/>
        <v>1206</v>
      </c>
      <c r="M223" s="83">
        <f t="shared" si="641"/>
        <v>1241</v>
      </c>
      <c r="N223" s="83">
        <f t="shared" si="641"/>
        <v>1316</v>
      </c>
      <c r="O223" s="83">
        <f t="shared" si="641"/>
        <v>1405</v>
      </c>
      <c r="P223" s="83">
        <f t="shared" si="641"/>
        <v>1442</v>
      </c>
      <c r="Q223" s="83">
        <f t="shared" si="641"/>
        <v>1479</v>
      </c>
      <c r="R223" s="83">
        <f t="shared" si="641"/>
        <v>1551</v>
      </c>
      <c r="S223" s="83">
        <f t="shared" si="641"/>
        <v>1669</v>
      </c>
      <c r="T223" s="83">
        <f t="shared" si="641"/>
        <v>1669</v>
      </c>
      <c r="U223" s="83">
        <f t="shared" si="641"/>
        <v>1669</v>
      </c>
      <c r="V223" s="83">
        <f t="shared" si="641"/>
        <v>1669</v>
      </c>
      <c r="W223" s="83">
        <f t="shared" si="641"/>
        <v>1669</v>
      </c>
    </row>
    <row r="224" spans="3:23" ht="22.5" customHeight="1" x14ac:dyDescent="0.25">
      <c r="C224" s="78" t="str">
        <f t="shared" si="636"/>
        <v>CASETA 2</v>
      </c>
      <c r="D224" s="86" t="s">
        <v>72</v>
      </c>
      <c r="E224" s="222"/>
      <c r="F224" s="83">
        <f t="shared" ref="F224:W224" si="642">VLOOKUP(F$168,DESDOBLE,10,0)</f>
        <v>0.7</v>
      </c>
      <c r="G224" s="83">
        <f t="shared" si="642"/>
        <v>0.7</v>
      </c>
      <c r="H224" s="83">
        <f t="shared" si="642"/>
        <v>0.5</v>
      </c>
      <c r="I224" s="83">
        <f t="shared" si="642"/>
        <v>0.3</v>
      </c>
      <c r="J224" s="83">
        <f t="shared" si="642"/>
        <v>0.18</v>
      </c>
      <c r="K224" s="83">
        <f t="shared" si="642"/>
        <v>0.18</v>
      </c>
      <c r="L224" s="83">
        <f t="shared" si="642"/>
        <v>0.16</v>
      </c>
      <c r="M224" s="83">
        <f t="shared" si="642"/>
        <v>0.16</v>
      </c>
      <c r="N224" s="83">
        <f t="shared" si="642"/>
        <v>0.16</v>
      </c>
      <c r="O224" s="83">
        <f t="shared" si="642"/>
        <v>0.16</v>
      </c>
      <c r="P224" s="83">
        <f t="shared" si="642"/>
        <v>0.16</v>
      </c>
      <c r="Q224" s="83">
        <f t="shared" si="642"/>
        <v>0.16</v>
      </c>
      <c r="R224" s="83">
        <f t="shared" si="642"/>
        <v>0.16</v>
      </c>
      <c r="S224" s="83">
        <f t="shared" si="642"/>
        <v>0.16</v>
      </c>
      <c r="T224" s="83">
        <f t="shared" si="642"/>
        <v>0.16</v>
      </c>
      <c r="U224" s="83">
        <f t="shared" si="642"/>
        <v>0.16</v>
      </c>
      <c r="V224" s="83">
        <f t="shared" si="642"/>
        <v>0.16</v>
      </c>
      <c r="W224" s="83">
        <f t="shared" si="642"/>
        <v>0.16</v>
      </c>
    </row>
    <row r="225" spans="3:23" ht="22.5" customHeight="1" x14ac:dyDescent="0.25">
      <c r="C225" s="78" t="str">
        <f t="shared" si="636"/>
        <v>CASETA 2</v>
      </c>
      <c r="D225" s="86" t="s">
        <v>74</v>
      </c>
      <c r="E225" s="222"/>
      <c r="F225" s="83">
        <f t="shared" ref="F225:W225" si="643">VLOOKUP(F$168,DESDOBLE,11,0)</f>
        <v>0</v>
      </c>
      <c r="G225" s="83">
        <f t="shared" si="643"/>
        <v>0</v>
      </c>
      <c r="H225" s="83">
        <f t="shared" si="643"/>
        <v>1.2576987500030562E-2</v>
      </c>
      <c r="I225" s="83">
        <f t="shared" si="643"/>
        <v>2.1993276744422429E-2</v>
      </c>
      <c r="J225" s="83">
        <f t="shared" si="643"/>
        <v>3.4486769212311703E-2</v>
      </c>
      <c r="K225" s="83">
        <f t="shared" si="643"/>
        <v>2.0357411587717134E-2</v>
      </c>
      <c r="L225" s="83">
        <f t="shared" si="643"/>
        <v>2.2283996503914726E-2</v>
      </c>
      <c r="M225" s="83">
        <f t="shared" si="643"/>
        <v>7.3575507793521263E-3</v>
      </c>
      <c r="N225" s="83">
        <f t="shared" si="643"/>
        <v>9.7367439908473876E-3</v>
      </c>
      <c r="O225" s="83">
        <f t="shared" si="643"/>
        <v>1.2595928258378493E-2</v>
      </c>
      <c r="P225" s="83">
        <f t="shared" si="643"/>
        <v>1.0941642023371797E-2</v>
      </c>
      <c r="Q225" s="83">
        <f t="shared" si="643"/>
        <v>7.8547628259235114E-3</v>
      </c>
      <c r="R225" s="83">
        <f t="shared" si="643"/>
        <v>6.4298892579214848E-3</v>
      </c>
      <c r="S225" s="83">
        <f t="shared" si="643"/>
        <v>4.0276322045188918E-2</v>
      </c>
      <c r="T225" s="83">
        <f t="shared" si="643"/>
        <v>0</v>
      </c>
      <c r="U225" s="83">
        <f t="shared" si="643"/>
        <v>0</v>
      </c>
      <c r="V225" s="83">
        <f t="shared" si="643"/>
        <v>0</v>
      </c>
      <c r="W225" s="83">
        <f t="shared" si="643"/>
        <v>0</v>
      </c>
    </row>
    <row r="226" spans="3:23" ht="22.5" customHeight="1" x14ac:dyDescent="0.25">
      <c r="C226" s="78" t="str">
        <f t="shared" si="636"/>
        <v>CASETA 2</v>
      </c>
      <c r="D226" s="87" t="s">
        <v>49</v>
      </c>
      <c r="E226" s="223"/>
      <c r="F226" s="83">
        <f t="shared" ref="F226:W226" si="644">VLOOKUP(F$168,DESDOBLE,12,0)</f>
        <v>0.7</v>
      </c>
      <c r="G226" s="83">
        <f>VLOOKUP(G$168,DESDOBLE,12,0)</f>
        <v>1.4</v>
      </c>
      <c r="H226" s="83">
        <f t="shared" si="644"/>
        <v>1.9</v>
      </c>
      <c r="I226" s="83">
        <f t="shared" si="644"/>
        <v>2.1999999999999997</v>
      </c>
      <c r="J226" s="83">
        <f t="shared" si="644"/>
        <v>2.38</v>
      </c>
      <c r="K226" s="83">
        <f t="shared" si="644"/>
        <v>2.56</v>
      </c>
      <c r="L226" s="83">
        <f t="shared" si="644"/>
        <v>2.72</v>
      </c>
      <c r="M226" s="83">
        <f t="shared" si="644"/>
        <v>2.8800000000000003</v>
      </c>
      <c r="N226" s="83">
        <f t="shared" si="644"/>
        <v>3.0400000000000005</v>
      </c>
      <c r="O226" s="83">
        <f t="shared" si="644"/>
        <v>3.2000000000000006</v>
      </c>
      <c r="P226" s="83">
        <f t="shared" si="644"/>
        <v>3.3600000000000008</v>
      </c>
      <c r="Q226" s="83">
        <f t="shared" si="644"/>
        <v>3.5200000000000009</v>
      </c>
      <c r="R226" s="83">
        <f t="shared" si="644"/>
        <v>3.680000000000001</v>
      </c>
      <c r="S226" s="83">
        <f t="shared" si="644"/>
        <v>3.8400000000000012</v>
      </c>
      <c r="T226" s="83">
        <f t="shared" si="644"/>
        <v>4.0000000000000009</v>
      </c>
      <c r="U226" s="83">
        <f t="shared" si="644"/>
        <v>4.160000000000001</v>
      </c>
      <c r="V226" s="83">
        <f t="shared" si="644"/>
        <v>4.3200000000000012</v>
      </c>
      <c r="W226" s="83">
        <f t="shared" si="644"/>
        <v>4.4800000000000013</v>
      </c>
    </row>
    <row r="227" spans="3:23" ht="22.5" customHeight="1" x14ac:dyDescent="0.25">
      <c r="C227" s="78" t="str">
        <f t="shared" si="636"/>
        <v>CASETA 2</v>
      </c>
      <c r="D227" s="87" t="s">
        <v>73</v>
      </c>
      <c r="E227" s="223"/>
      <c r="F227" s="83">
        <f t="shared" ref="F227:W227" si="645">VLOOKUP(F$168,DESDOBLE,13,0)</f>
        <v>0</v>
      </c>
      <c r="G227" s="83">
        <f t="shared" si="645"/>
        <v>0</v>
      </c>
      <c r="H227" s="83">
        <f t="shared" si="645"/>
        <v>9.6611506519060836E-2</v>
      </c>
      <c r="I227" s="83">
        <f t="shared" si="645"/>
        <v>0.31574792790422312</v>
      </c>
      <c r="J227" s="83">
        <f t="shared" si="645"/>
        <v>0.70182408051113976</v>
      </c>
      <c r="K227" s="83">
        <f t="shared" si="645"/>
        <v>0.84460858188563004</v>
      </c>
      <c r="L227" s="83">
        <f t="shared" si="645"/>
        <v>1.0017082110221072</v>
      </c>
      <c r="M227" s="83">
        <f t="shared" si="645"/>
        <v>1.0547647127219575</v>
      </c>
      <c r="N227" s="83">
        <f t="shared" si="645"/>
        <v>1.1234461211194575</v>
      </c>
      <c r="O227" s="83">
        <f t="shared" si="645"/>
        <v>1.2123530292195372</v>
      </c>
      <c r="P227" s="83">
        <f t="shared" si="645"/>
        <v>1.2899896800825594</v>
      </c>
      <c r="Q227" s="83">
        <f t="shared" si="645"/>
        <v>1.345948827292111</v>
      </c>
      <c r="R227" s="83">
        <f t="shared" si="645"/>
        <v>1.3916898614976916</v>
      </c>
      <c r="S227" s="83">
        <f t="shared" si="645"/>
        <v>1.6741145868071767</v>
      </c>
      <c r="T227" s="83">
        <f t="shared" si="645"/>
        <v>1.905738093882277</v>
      </c>
      <c r="U227" s="83">
        <f t="shared" si="645"/>
        <v>0</v>
      </c>
      <c r="V227" s="83">
        <f t="shared" si="645"/>
        <v>0</v>
      </c>
      <c r="W227" s="83">
        <f t="shared" si="645"/>
        <v>0</v>
      </c>
    </row>
    <row r="228" spans="3:23" ht="22.5" customHeight="1" x14ac:dyDescent="0.25">
      <c r="C228" s="78" t="str">
        <f t="shared" si="636"/>
        <v>CASETA 2</v>
      </c>
      <c r="D228" s="23" t="s">
        <v>9</v>
      </c>
      <c r="E228" s="85"/>
      <c r="F228" s="83">
        <f t="shared" ref="F228:W228" si="646">VLOOKUP(F$168,DESDOBLE,14,0)</f>
        <v>0</v>
      </c>
      <c r="G228" s="83">
        <f t="shared" si="646"/>
        <v>0</v>
      </c>
      <c r="H228" s="83">
        <f t="shared" si="646"/>
        <v>11340</v>
      </c>
      <c r="I228" s="83">
        <f t="shared" si="646"/>
        <v>15606</v>
      </c>
      <c r="J228" s="83">
        <f t="shared" si="646"/>
        <v>18243</v>
      </c>
      <c r="K228" s="83">
        <f t="shared" si="646"/>
        <v>13563</v>
      </c>
      <c r="L228" s="83">
        <f t="shared" si="646"/>
        <v>13302</v>
      </c>
      <c r="M228" s="83">
        <f t="shared" si="646"/>
        <v>13203</v>
      </c>
      <c r="N228" s="83">
        <f t="shared" si="646"/>
        <v>10161</v>
      </c>
      <c r="O228" s="83">
        <f t="shared" si="646"/>
        <v>18081</v>
      </c>
      <c r="P228" s="83">
        <f t="shared" si="646"/>
        <v>18018</v>
      </c>
      <c r="Q228" s="83">
        <f t="shared" si="646"/>
        <v>22267</v>
      </c>
      <c r="R228" s="83">
        <f t="shared" si="646"/>
        <v>16431</v>
      </c>
      <c r="S228" s="83">
        <f t="shared" si="646"/>
        <v>9900</v>
      </c>
      <c r="T228" s="83">
        <f t="shared" si="646"/>
        <v>1440</v>
      </c>
      <c r="U228" s="83">
        <f t="shared" si="646"/>
        <v>0</v>
      </c>
      <c r="V228" s="83">
        <f t="shared" si="646"/>
        <v>0</v>
      </c>
      <c r="W228" s="83">
        <f t="shared" si="646"/>
        <v>0</v>
      </c>
    </row>
    <row r="229" spans="3:23" ht="22.5" customHeight="1" x14ac:dyDescent="0.25">
      <c r="C229" s="78" t="str">
        <f t="shared" si="636"/>
        <v>CASETA 2</v>
      </c>
      <c r="D229" s="86" t="s">
        <v>75</v>
      </c>
      <c r="E229" s="222"/>
      <c r="F229" s="83">
        <f t="shared" ref="F229:W229" si="647">VLOOKUP(F$168,DESDOBLE,15,0)</f>
        <v>10</v>
      </c>
      <c r="G229" s="83">
        <f t="shared" si="647"/>
        <v>17</v>
      </c>
      <c r="H229" s="83">
        <f t="shared" si="647"/>
        <v>23</v>
      </c>
      <c r="I229" s="83">
        <f t="shared" si="647"/>
        <v>29</v>
      </c>
      <c r="J229" s="83">
        <f t="shared" si="647"/>
        <v>34</v>
      </c>
      <c r="K229" s="83">
        <f t="shared" si="647"/>
        <v>38</v>
      </c>
      <c r="L229" s="83">
        <f t="shared" si="647"/>
        <v>42</v>
      </c>
      <c r="M229" s="83">
        <f t="shared" si="647"/>
        <v>46</v>
      </c>
      <c r="N229" s="83">
        <f t="shared" si="647"/>
        <v>49</v>
      </c>
      <c r="O229" s="83">
        <f t="shared" si="647"/>
        <v>52</v>
      </c>
      <c r="P229" s="83">
        <f t="shared" si="647"/>
        <v>55</v>
      </c>
      <c r="Q229" s="83">
        <f t="shared" si="647"/>
        <v>58</v>
      </c>
      <c r="R229" s="83">
        <f t="shared" si="647"/>
        <v>61</v>
      </c>
      <c r="S229" s="83">
        <f t="shared" si="647"/>
        <v>64</v>
      </c>
      <c r="T229" s="83">
        <f t="shared" si="647"/>
        <v>67</v>
      </c>
      <c r="U229" s="83">
        <f t="shared" si="647"/>
        <v>71</v>
      </c>
      <c r="V229" s="83">
        <f t="shared" si="647"/>
        <v>75</v>
      </c>
      <c r="W229" s="83">
        <f t="shared" si="647"/>
        <v>79</v>
      </c>
    </row>
    <row r="230" spans="3:23" ht="22.5" customHeight="1" x14ac:dyDescent="0.25">
      <c r="C230" s="78" t="str">
        <f t="shared" si="636"/>
        <v>CASETA 2</v>
      </c>
      <c r="D230" s="86" t="s">
        <v>62</v>
      </c>
      <c r="E230" s="222"/>
      <c r="F230" s="83">
        <f t="shared" ref="F230:W230" si="648">VLOOKUP(F$168,DESDOBLE,16,0)</f>
        <v>0</v>
      </c>
      <c r="G230" s="83">
        <f t="shared" si="648"/>
        <v>0</v>
      </c>
      <c r="H230" s="83">
        <f t="shared" si="648"/>
        <v>12.303701359584172</v>
      </c>
      <c r="I230" s="83">
        <f t="shared" si="648"/>
        <v>21.832167057757399</v>
      </c>
      <c r="J230" s="83">
        <f t="shared" si="648"/>
        <v>36.718311183480132</v>
      </c>
      <c r="K230" s="83">
        <f t="shared" si="648"/>
        <v>32.114414668548193</v>
      </c>
      <c r="L230" s="83">
        <f t="shared" si="648"/>
        <v>31.534531917411289</v>
      </c>
      <c r="M230" s="83">
        <f t="shared" si="648"/>
        <v>31.334804961728082</v>
      </c>
      <c r="N230" s="83">
        <f t="shared" si="648"/>
        <v>24.130962863750643</v>
      </c>
      <c r="O230" s="83">
        <f t="shared" si="648"/>
        <v>42.97604832568333</v>
      </c>
      <c r="P230" s="83">
        <f t="shared" si="648"/>
        <v>42.860018011405671</v>
      </c>
      <c r="Q230" s="83">
        <f t="shared" si="648"/>
        <v>53.000491228233997</v>
      </c>
      <c r="R230" s="83">
        <f t="shared" si="648"/>
        <v>39.128345498242375</v>
      </c>
      <c r="S230" s="83">
        <f t="shared" si="648"/>
        <v>23.593250836941003</v>
      </c>
      <c r="T230" s="83">
        <f t="shared" si="648"/>
        <v>3.9047564814890134</v>
      </c>
      <c r="U230" s="83">
        <f t="shared" si="648"/>
        <v>0</v>
      </c>
      <c r="V230" s="83">
        <f t="shared" si="648"/>
        <v>0</v>
      </c>
      <c r="W230" s="83">
        <f t="shared" si="648"/>
        <v>0</v>
      </c>
    </row>
    <row r="231" spans="3:23" ht="22.5" customHeight="1" x14ac:dyDescent="0.25">
      <c r="C231" s="78" t="str">
        <f t="shared" si="636"/>
        <v>CASETA 2</v>
      </c>
      <c r="D231" s="24" t="s">
        <v>50</v>
      </c>
      <c r="E231" s="207"/>
      <c r="F231" s="83">
        <f t="shared" ref="F231:W231" si="649">VLOOKUP(F$168,DESDOBLE,17,0)</f>
        <v>0</v>
      </c>
      <c r="G231" s="83">
        <f t="shared" si="649"/>
        <v>0</v>
      </c>
      <c r="H231" s="83">
        <f t="shared" si="649"/>
        <v>86.125909517089212</v>
      </c>
      <c r="I231" s="83">
        <f t="shared" si="649"/>
        <v>238.951078921391</v>
      </c>
      <c r="J231" s="83">
        <f t="shared" si="649"/>
        <v>495.97925720575205</v>
      </c>
      <c r="K231" s="83">
        <f t="shared" si="649"/>
        <v>720.78015988558934</v>
      </c>
      <c r="L231" s="83">
        <f t="shared" si="649"/>
        <v>941.52188330746822</v>
      </c>
      <c r="M231" s="83">
        <f t="shared" si="649"/>
        <v>1160.8655180395647</v>
      </c>
      <c r="N231" s="83">
        <f t="shared" si="649"/>
        <v>1329.7822580858192</v>
      </c>
      <c r="O231" s="83">
        <f t="shared" si="649"/>
        <v>1630.6145963656024</v>
      </c>
      <c r="P231" s="83">
        <f t="shared" si="649"/>
        <v>1930.6347224454421</v>
      </c>
      <c r="Q231" s="83">
        <f t="shared" si="649"/>
        <v>2301.6381610430803</v>
      </c>
      <c r="R231" s="83">
        <f t="shared" si="649"/>
        <v>2575.5365795307771</v>
      </c>
      <c r="S231" s="83">
        <f t="shared" si="649"/>
        <v>2740.6893353893638</v>
      </c>
      <c r="T231" s="83">
        <f t="shared" si="649"/>
        <v>2768.0226307597868</v>
      </c>
      <c r="U231" s="83">
        <f t="shared" si="649"/>
        <v>2768.0226307597868</v>
      </c>
      <c r="V231" s="83">
        <f t="shared" si="649"/>
        <v>2768.0226307597868</v>
      </c>
      <c r="W231" s="83">
        <f t="shared" si="649"/>
        <v>2768.0226307597868</v>
      </c>
    </row>
    <row r="232" spans="3:23" ht="22.5" customHeight="1" x14ac:dyDescent="0.25">
      <c r="C232" s="78" t="str">
        <f t="shared" si="636"/>
        <v>CASETA 2</v>
      </c>
      <c r="D232" s="86" t="s">
        <v>63</v>
      </c>
      <c r="E232" s="222">
        <v>64</v>
      </c>
      <c r="F232" s="83">
        <f t="shared" ref="F232:W232" si="650">VLOOKUP(F$168,DESDOBLE,18,0)</f>
        <v>70</v>
      </c>
      <c r="G232" s="83">
        <f t="shared" si="650"/>
        <v>120</v>
      </c>
      <c r="H232" s="83">
        <f t="shared" si="650"/>
        <v>185</v>
      </c>
      <c r="I232" s="83">
        <f t="shared" si="650"/>
        <v>255</v>
      </c>
      <c r="J232" s="83">
        <f t="shared" si="650"/>
        <v>334</v>
      </c>
      <c r="K232" s="83">
        <f t="shared" si="650"/>
        <v>425</v>
      </c>
      <c r="L232" s="83">
        <f t="shared" si="650"/>
        <v>524</v>
      </c>
      <c r="M232" s="83">
        <f t="shared" si="650"/>
        <v>618</v>
      </c>
      <c r="N232" s="83">
        <f t="shared" si="650"/>
        <v>712</v>
      </c>
      <c r="O232" s="83">
        <f t="shared" si="650"/>
        <v>802</v>
      </c>
      <c r="P232" s="83">
        <f t="shared" si="650"/>
        <v>880</v>
      </c>
      <c r="Q232" s="83">
        <f t="shared" si="650"/>
        <v>950</v>
      </c>
      <c r="R232" s="83">
        <f t="shared" si="650"/>
        <v>1010</v>
      </c>
      <c r="S232" s="83">
        <f t="shared" si="650"/>
        <v>1065</v>
      </c>
      <c r="T232" s="83">
        <f t="shared" si="650"/>
        <v>1115</v>
      </c>
      <c r="U232" s="83">
        <f t="shared" si="650"/>
        <v>1160</v>
      </c>
      <c r="V232" s="83">
        <f t="shared" si="650"/>
        <v>1207</v>
      </c>
      <c r="W232" s="83">
        <f t="shared" si="650"/>
        <v>1257</v>
      </c>
    </row>
    <row r="233" spans="3:23" ht="22.5" customHeight="1" x14ac:dyDescent="0.25">
      <c r="C233" s="78" t="str">
        <f t="shared" si="636"/>
        <v>CASETA 2</v>
      </c>
      <c r="D233" s="86" t="s">
        <v>64</v>
      </c>
      <c r="E233" s="83">
        <f t="shared" ref="E233:W233" si="651">VLOOKUP(E$168,DESDOBLE,19,0)</f>
        <v>0</v>
      </c>
      <c r="F233" s="83">
        <f t="shared" si="651"/>
        <v>0</v>
      </c>
      <c r="G233" s="83">
        <f t="shared" si="651"/>
        <v>0</v>
      </c>
      <c r="H233" s="83">
        <f t="shared" si="651"/>
        <v>184</v>
      </c>
      <c r="I233" s="83">
        <f t="shared" si="651"/>
        <v>234</v>
      </c>
      <c r="J233" s="83">
        <f t="shared" si="651"/>
        <v>312</v>
      </c>
      <c r="K233" s="83">
        <f t="shared" si="651"/>
        <v>392</v>
      </c>
      <c r="L233" s="83">
        <f t="shared" si="651"/>
        <v>497</v>
      </c>
      <c r="M233" s="83">
        <f t="shared" si="651"/>
        <v>605</v>
      </c>
      <c r="N233" s="83">
        <f t="shared" si="651"/>
        <v>681</v>
      </c>
      <c r="O233" s="83">
        <f t="shared" si="651"/>
        <v>785</v>
      </c>
      <c r="P233" s="83">
        <f t="shared" si="651"/>
        <v>867</v>
      </c>
      <c r="Q233" s="83">
        <f t="shared" si="651"/>
        <v>888</v>
      </c>
      <c r="R233" s="83">
        <f t="shared" si="651"/>
        <v>982</v>
      </c>
      <c r="S233" s="83">
        <f t="shared" si="651"/>
        <v>1048</v>
      </c>
      <c r="T233" s="83">
        <f t="shared" si="651"/>
        <v>0</v>
      </c>
      <c r="U233" s="83">
        <f t="shared" si="651"/>
        <v>0</v>
      </c>
      <c r="V233" s="83">
        <f t="shared" si="651"/>
        <v>0</v>
      </c>
      <c r="W233" s="83">
        <f t="shared" si="651"/>
        <v>0</v>
      </c>
    </row>
    <row r="234" spans="3:23" ht="22.5" customHeight="1" x14ac:dyDescent="0.25">
      <c r="C234" s="78" t="str">
        <f t="shared" si="636"/>
        <v>CASETA 2</v>
      </c>
      <c r="D234" s="23" t="s">
        <v>15</v>
      </c>
      <c r="E234" s="85"/>
      <c r="F234" s="83">
        <f t="shared" ref="F234:W234" si="652">VLOOKUP(F$168,DESDOBLE,20,0)</f>
        <v>70</v>
      </c>
      <c r="G234" s="83">
        <f t="shared" si="652"/>
        <v>120</v>
      </c>
      <c r="H234" s="83">
        <f t="shared" si="652"/>
        <v>1</v>
      </c>
      <c r="I234" s="83">
        <f t="shared" si="652"/>
        <v>21</v>
      </c>
      <c r="J234" s="83">
        <f t="shared" si="652"/>
        <v>22</v>
      </c>
      <c r="K234" s="83">
        <f t="shared" si="652"/>
        <v>33</v>
      </c>
      <c r="L234" s="83">
        <f t="shared" si="652"/>
        <v>27</v>
      </c>
      <c r="M234" s="83">
        <f t="shared" si="652"/>
        <v>13</v>
      </c>
      <c r="N234" s="83">
        <f t="shared" si="652"/>
        <v>31</v>
      </c>
      <c r="O234" s="83">
        <f t="shared" si="652"/>
        <v>17</v>
      </c>
      <c r="P234" s="83">
        <f t="shared" si="652"/>
        <v>13</v>
      </c>
      <c r="Q234" s="83">
        <f t="shared" si="652"/>
        <v>62</v>
      </c>
      <c r="R234" s="83">
        <f t="shared" si="652"/>
        <v>28</v>
      </c>
      <c r="S234" s="83">
        <f t="shared" si="652"/>
        <v>17</v>
      </c>
      <c r="T234" s="83">
        <f t="shared" si="652"/>
        <v>1115</v>
      </c>
      <c r="U234" s="83">
        <f t="shared" si="652"/>
        <v>1160</v>
      </c>
      <c r="V234" s="83">
        <f t="shared" si="652"/>
        <v>1207</v>
      </c>
      <c r="W234" s="83">
        <f t="shared" si="652"/>
        <v>1257</v>
      </c>
    </row>
    <row r="235" spans="3:23" ht="22.5" customHeight="1" x14ac:dyDescent="0.25">
      <c r="C235" s="78" t="str">
        <f t="shared" si="636"/>
        <v>CASETA 2</v>
      </c>
      <c r="D235" s="86" t="s">
        <v>65</v>
      </c>
      <c r="E235" s="222"/>
      <c r="F235" s="83">
        <f t="shared" ref="F235:W235" si="653">VLOOKUP(F$168,DESDOBLE,21,0)</f>
        <v>77</v>
      </c>
      <c r="G235" s="83">
        <f t="shared" si="653"/>
        <v>77</v>
      </c>
      <c r="H235" s="83">
        <f t="shared" si="653"/>
        <v>77</v>
      </c>
      <c r="I235" s="83">
        <f t="shared" si="653"/>
        <v>79</v>
      </c>
      <c r="J235" s="83">
        <f t="shared" si="653"/>
        <v>79</v>
      </c>
      <c r="K235" s="83">
        <f t="shared" si="653"/>
        <v>79</v>
      </c>
      <c r="L235" s="83">
        <f t="shared" si="653"/>
        <v>79</v>
      </c>
      <c r="M235" s="83">
        <f t="shared" si="653"/>
        <v>79</v>
      </c>
      <c r="N235" s="83">
        <f t="shared" si="653"/>
        <v>79</v>
      </c>
      <c r="O235" s="83">
        <f t="shared" si="653"/>
        <v>80</v>
      </c>
      <c r="P235" s="83">
        <f t="shared" si="653"/>
        <v>80</v>
      </c>
      <c r="Q235" s="83">
        <f t="shared" si="653"/>
        <v>82</v>
      </c>
      <c r="R235" s="83">
        <f t="shared" si="653"/>
        <v>82</v>
      </c>
      <c r="S235" s="83">
        <f t="shared" si="653"/>
        <v>84</v>
      </c>
      <c r="T235" s="83">
        <f t="shared" si="653"/>
        <v>86</v>
      </c>
      <c r="U235" s="83">
        <f t="shared" si="653"/>
        <v>86</v>
      </c>
      <c r="V235" s="83">
        <f t="shared" si="653"/>
        <v>86</v>
      </c>
      <c r="W235" s="83">
        <f t="shared" si="653"/>
        <v>86</v>
      </c>
    </row>
    <row r="236" spans="3:23" ht="22.5" customHeight="1" x14ac:dyDescent="0.25">
      <c r="C236" s="78" t="str">
        <f t="shared" si="636"/>
        <v>CASETA 2</v>
      </c>
      <c r="D236" s="86" t="s">
        <v>66</v>
      </c>
      <c r="E236" s="222"/>
      <c r="F236" s="83">
        <f t="shared" ref="F236:W236" si="654">VLOOKUP(F$168,DESDOBLE,22,0)</f>
        <v>0</v>
      </c>
      <c r="G236" s="83">
        <f t="shared" si="654"/>
        <v>0</v>
      </c>
      <c r="H236" s="83">
        <f t="shared" si="654"/>
        <v>85</v>
      </c>
      <c r="I236" s="83">
        <f t="shared" si="654"/>
        <v>66</v>
      </c>
      <c r="J236" s="83">
        <f t="shared" si="654"/>
        <v>64</v>
      </c>
      <c r="K236" s="83">
        <f t="shared" si="654"/>
        <v>64</v>
      </c>
      <c r="L236" s="83">
        <f t="shared" si="654"/>
        <v>76</v>
      </c>
      <c r="M236" s="83">
        <f t="shared" si="654"/>
        <v>87</v>
      </c>
      <c r="N236" s="83">
        <f t="shared" si="654"/>
        <v>70</v>
      </c>
      <c r="O236" s="83">
        <f t="shared" si="654"/>
        <v>87</v>
      </c>
      <c r="P236" s="83">
        <f t="shared" si="654"/>
        <v>86</v>
      </c>
      <c r="Q236" s="83">
        <f t="shared" si="654"/>
        <v>73</v>
      </c>
      <c r="R236" s="83">
        <f t="shared" si="654"/>
        <v>69</v>
      </c>
      <c r="S236" s="83">
        <f t="shared" si="654"/>
        <v>72</v>
      </c>
      <c r="T236" s="83">
        <f t="shared" si="654"/>
        <v>0</v>
      </c>
      <c r="U236" s="83">
        <f t="shared" si="654"/>
        <v>0</v>
      </c>
      <c r="V236" s="83">
        <f t="shared" si="654"/>
        <v>0</v>
      </c>
      <c r="W236" s="83">
        <f t="shared" si="654"/>
        <v>0</v>
      </c>
    </row>
    <row r="237" spans="3:23" ht="22.5" customHeight="1" x14ac:dyDescent="0.25">
      <c r="C237" s="78" t="str">
        <f>C236</f>
        <v>CASETA 2</v>
      </c>
      <c r="D237" s="23" t="s">
        <v>15</v>
      </c>
      <c r="E237" s="85"/>
      <c r="F237" s="83">
        <f t="shared" ref="F237:W237" si="655">VLOOKUP(F$168,DESDOBLE,23,0)</f>
        <v>77</v>
      </c>
      <c r="G237" s="83">
        <f t="shared" si="655"/>
        <v>77</v>
      </c>
      <c r="H237" s="83">
        <f t="shared" si="655"/>
        <v>-8</v>
      </c>
      <c r="I237" s="83">
        <f t="shared" si="655"/>
        <v>13</v>
      </c>
      <c r="J237" s="83">
        <f t="shared" si="655"/>
        <v>15</v>
      </c>
      <c r="K237" s="83">
        <f t="shared" si="655"/>
        <v>15</v>
      </c>
      <c r="L237" s="83">
        <f t="shared" si="655"/>
        <v>3</v>
      </c>
      <c r="M237" s="83">
        <f t="shared" si="655"/>
        <v>-8</v>
      </c>
      <c r="N237" s="83">
        <f t="shared" si="655"/>
        <v>9</v>
      </c>
      <c r="O237" s="83">
        <f t="shared" si="655"/>
        <v>-7</v>
      </c>
      <c r="P237" s="83">
        <f t="shared" si="655"/>
        <v>-6</v>
      </c>
      <c r="Q237" s="83">
        <f t="shared" si="655"/>
        <v>9</v>
      </c>
      <c r="R237" s="83">
        <f t="shared" si="655"/>
        <v>13</v>
      </c>
      <c r="S237" s="83">
        <f t="shared" si="655"/>
        <v>12</v>
      </c>
      <c r="T237" s="83">
        <f t="shared" si="655"/>
        <v>86</v>
      </c>
      <c r="U237" s="83">
        <f t="shared" si="655"/>
        <v>86</v>
      </c>
      <c r="V237" s="83">
        <f t="shared" si="655"/>
        <v>86</v>
      </c>
      <c r="W237" s="83">
        <f t="shared" si="655"/>
        <v>86</v>
      </c>
    </row>
    <row r="238" spans="3:23" ht="22.5" customHeight="1" x14ac:dyDescent="0.25">
      <c r="E238" s="1"/>
      <c r="F238" s="316"/>
      <c r="G238" s="316"/>
      <c r="H238" s="316"/>
      <c r="I238" s="316"/>
      <c r="J238" s="316"/>
      <c r="K238" s="316"/>
      <c r="L238" s="316"/>
      <c r="M238" s="316"/>
      <c r="N238" s="316"/>
      <c r="O238" s="316"/>
      <c r="P238" s="316"/>
      <c r="Q238" s="316"/>
      <c r="R238" s="316"/>
      <c r="S238" s="316"/>
      <c r="T238" s="316"/>
      <c r="U238" s="316"/>
      <c r="V238" s="316"/>
      <c r="W238" s="316"/>
    </row>
    <row r="239" spans="3:23" ht="22.5" customHeight="1" x14ac:dyDescent="0.25">
      <c r="E239" s="1"/>
      <c r="F239" s="316"/>
      <c r="G239" s="316"/>
      <c r="H239" s="316"/>
      <c r="I239" s="316"/>
      <c r="J239" s="316"/>
      <c r="K239" s="316"/>
      <c r="L239" s="316"/>
      <c r="M239" s="316"/>
      <c r="N239" s="316"/>
      <c r="O239" s="316"/>
      <c r="P239" s="316"/>
      <c r="Q239" s="316"/>
      <c r="R239" s="316"/>
      <c r="S239" s="316"/>
      <c r="T239" s="316"/>
      <c r="U239" s="316"/>
      <c r="V239" s="316"/>
      <c r="W239" s="316"/>
    </row>
    <row r="240" spans="3:23" ht="22.5" customHeight="1" x14ac:dyDescent="0.25">
      <c r="E240" s="1"/>
      <c r="F240" s="316"/>
      <c r="G240" s="316"/>
      <c r="H240" s="316"/>
      <c r="I240" s="316"/>
      <c r="J240" s="316"/>
      <c r="K240" s="316"/>
      <c r="L240" s="316"/>
      <c r="M240" s="316"/>
      <c r="N240" s="316"/>
      <c r="O240" s="316"/>
      <c r="P240" s="316"/>
      <c r="Q240" s="316"/>
      <c r="R240" s="316"/>
      <c r="S240" s="316"/>
      <c r="T240" s="316"/>
      <c r="U240" s="316"/>
      <c r="V240" s="316"/>
      <c r="W240" s="316"/>
    </row>
    <row r="241" spans="3:23" ht="22.5" customHeight="1" x14ac:dyDescent="0.25">
      <c r="C241" s="77" t="s">
        <v>55</v>
      </c>
      <c r="D241" s="24" t="s">
        <v>67</v>
      </c>
      <c r="E241" s="83">
        <f t="shared" ref="E241:W241" si="656">VLOOKUP(E$168,CSTA4,3,0)</f>
        <v>0</v>
      </c>
      <c r="F241" s="83">
        <f t="shared" si="656"/>
        <v>0</v>
      </c>
      <c r="G241" s="83">
        <f t="shared" si="656"/>
        <v>0</v>
      </c>
      <c r="H241" s="83">
        <f t="shared" si="656"/>
        <v>0</v>
      </c>
      <c r="I241" s="83">
        <f t="shared" si="656"/>
        <v>29014</v>
      </c>
      <c r="J241" s="83">
        <f t="shared" si="656"/>
        <v>51959</v>
      </c>
      <c r="K241" s="83">
        <f t="shared" si="656"/>
        <v>51915</v>
      </c>
      <c r="L241" s="83">
        <f t="shared" si="656"/>
        <v>51607</v>
      </c>
      <c r="M241" s="83">
        <f t="shared" si="656"/>
        <v>51424</v>
      </c>
      <c r="N241" s="83">
        <f t="shared" si="656"/>
        <v>51349</v>
      </c>
      <c r="O241" s="83">
        <f t="shared" si="656"/>
        <v>51312</v>
      </c>
      <c r="P241" s="83">
        <f t="shared" si="656"/>
        <v>51255</v>
      </c>
      <c r="Q241" s="83">
        <f t="shared" si="656"/>
        <v>51197</v>
      </c>
      <c r="R241" s="83">
        <f t="shared" si="656"/>
        <v>51173</v>
      </c>
      <c r="S241" s="83">
        <f t="shared" si="656"/>
        <v>51149</v>
      </c>
      <c r="T241" s="83">
        <f t="shared" si="656"/>
        <v>51032</v>
      </c>
      <c r="U241" s="83">
        <f t="shared" si="656"/>
        <v>4025</v>
      </c>
      <c r="V241" s="83">
        <f t="shared" si="656"/>
        <v>0</v>
      </c>
      <c r="W241" s="83">
        <f t="shared" si="656"/>
        <v>0</v>
      </c>
    </row>
    <row r="242" spans="3:23" ht="22.5" customHeight="1" x14ac:dyDescent="0.25">
      <c r="C242" s="78" t="str">
        <f>C241</f>
        <v>CASETA 4</v>
      </c>
      <c r="D242" s="24" t="s">
        <v>34</v>
      </c>
      <c r="E242" s="83">
        <f t="shared" ref="E242:W242" si="657">VLOOKUP(E$168,CSTA4,4,0)</f>
        <v>0</v>
      </c>
      <c r="F242" s="83">
        <f t="shared" si="657"/>
        <v>0</v>
      </c>
      <c r="G242" s="83">
        <f t="shared" si="657"/>
        <v>0</v>
      </c>
      <c r="H242" s="83">
        <f t="shared" si="657"/>
        <v>0</v>
      </c>
      <c r="I242" s="83">
        <f t="shared" si="657"/>
        <v>29010</v>
      </c>
      <c r="J242" s="83">
        <f t="shared" si="657"/>
        <v>51915</v>
      </c>
      <c r="K242" s="83">
        <f t="shared" si="657"/>
        <v>51607</v>
      </c>
      <c r="L242" s="83">
        <f t="shared" si="657"/>
        <v>51424</v>
      </c>
      <c r="M242" s="83">
        <f t="shared" si="657"/>
        <v>51349</v>
      </c>
      <c r="N242" s="83">
        <f t="shared" si="657"/>
        <v>51312</v>
      </c>
      <c r="O242" s="83">
        <f t="shared" si="657"/>
        <v>51255</v>
      </c>
      <c r="P242" s="83">
        <f t="shared" si="657"/>
        <v>51197</v>
      </c>
      <c r="Q242" s="83">
        <f t="shared" si="657"/>
        <v>51173</v>
      </c>
      <c r="R242" s="83">
        <f t="shared" si="657"/>
        <v>51149</v>
      </c>
      <c r="S242" s="83">
        <f t="shared" si="657"/>
        <v>51032</v>
      </c>
      <c r="T242" s="83">
        <f t="shared" si="657"/>
        <v>9300</v>
      </c>
      <c r="U242" s="83">
        <f t="shared" si="657"/>
        <v>0</v>
      </c>
      <c r="V242" s="83">
        <f t="shared" si="657"/>
        <v>0</v>
      </c>
      <c r="W242" s="83">
        <f t="shared" si="657"/>
        <v>0</v>
      </c>
    </row>
    <row r="243" spans="3:23" ht="22.5" customHeight="1" x14ac:dyDescent="0.25">
      <c r="C243" s="78" t="str">
        <f t="shared" ref="C243:C261" si="658">C242</f>
        <v>CASETA 4</v>
      </c>
      <c r="D243" s="23" t="s">
        <v>27</v>
      </c>
      <c r="E243" s="83">
        <f t="shared" ref="E243:W243" si="659">VLOOKUP(E$168,CSTA4,5,0)</f>
        <v>0</v>
      </c>
      <c r="F243" s="83">
        <f t="shared" si="659"/>
        <v>0</v>
      </c>
      <c r="G243" s="83">
        <f t="shared" si="659"/>
        <v>0</v>
      </c>
      <c r="H243" s="83">
        <f t="shared" si="659"/>
        <v>0</v>
      </c>
      <c r="I243" s="83">
        <f t="shared" si="659"/>
        <v>0</v>
      </c>
      <c r="J243" s="83">
        <f t="shared" si="659"/>
        <v>0</v>
      </c>
      <c r="K243" s="83">
        <f t="shared" si="659"/>
        <v>0</v>
      </c>
      <c r="L243" s="83">
        <f t="shared" si="659"/>
        <v>0</v>
      </c>
      <c r="M243" s="83">
        <f t="shared" si="659"/>
        <v>0</v>
      </c>
      <c r="N243" s="83">
        <f t="shared" si="659"/>
        <v>0</v>
      </c>
      <c r="O243" s="83">
        <f t="shared" si="659"/>
        <v>0</v>
      </c>
      <c r="P243" s="83">
        <f t="shared" si="659"/>
        <v>0</v>
      </c>
      <c r="Q243" s="83">
        <f t="shared" si="659"/>
        <v>0</v>
      </c>
      <c r="R243" s="83">
        <f t="shared" si="659"/>
        <v>0</v>
      </c>
      <c r="S243" s="83">
        <f t="shared" si="659"/>
        <v>99</v>
      </c>
      <c r="T243" s="83">
        <f t="shared" si="659"/>
        <v>0</v>
      </c>
      <c r="U243" s="83">
        <f t="shared" si="659"/>
        <v>0</v>
      </c>
      <c r="V243" s="83">
        <f t="shared" si="659"/>
        <v>0</v>
      </c>
      <c r="W243" s="83">
        <f t="shared" si="659"/>
        <v>0</v>
      </c>
    </row>
    <row r="244" spans="3:23" ht="22.5" customHeight="1" x14ac:dyDescent="0.25">
      <c r="C244" s="78" t="str">
        <f t="shared" si="658"/>
        <v>CASETA 4</v>
      </c>
      <c r="D244" s="23" t="s">
        <v>16</v>
      </c>
      <c r="E244" s="83">
        <f t="shared" ref="E244:W244" si="660">VLOOKUP(E$168,CSTA4,6,0)</f>
        <v>0</v>
      </c>
      <c r="F244" s="83">
        <f t="shared" si="660"/>
        <v>0</v>
      </c>
      <c r="G244" s="83">
        <f t="shared" si="660"/>
        <v>0</v>
      </c>
      <c r="H244" s="83">
        <f t="shared" si="660"/>
        <v>0</v>
      </c>
      <c r="I244" s="83">
        <f t="shared" si="660"/>
        <v>16</v>
      </c>
      <c r="J244" s="83">
        <f t="shared" si="660"/>
        <v>149</v>
      </c>
      <c r="K244" s="83">
        <f t="shared" si="660"/>
        <v>308</v>
      </c>
      <c r="L244" s="83">
        <f t="shared" si="660"/>
        <v>183</v>
      </c>
      <c r="M244" s="83">
        <f t="shared" si="660"/>
        <v>75</v>
      </c>
      <c r="N244" s="83">
        <f t="shared" si="660"/>
        <v>37</v>
      </c>
      <c r="O244" s="83">
        <f t="shared" si="660"/>
        <v>57</v>
      </c>
      <c r="P244" s="83">
        <f t="shared" si="660"/>
        <v>58</v>
      </c>
      <c r="Q244" s="83">
        <f t="shared" si="660"/>
        <v>24</v>
      </c>
      <c r="R244" s="83">
        <f t="shared" si="660"/>
        <v>24</v>
      </c>
      <c r="S244" s="83">
        <f t="shared" si="660"/>
        <v>18</v>
      </c>
      <c r="T244" s="83">
        <f t="shared" si="660"/>
        <v>0</v>
      </c>
      <c r="U244" s="83">
        <f t="shared" si="660"/>
        <v>3616</v>
      </c>
      <c r="V244" s="83">
        <f t="shared" si="660"/>
        <v>0</v>
      </c>
      <c r="W244" s="83">
        <f t="shared" si="660"/>
        <v>0</v>
      </c>
    </row>
    <row r="245" spans="3:23" ht="22.5" customHeight="1" x14ac:dyDescent="0.25">
      <c r="C245" s="78" t="str">
        <f t="shared" si="658"/>
        <v>CASETA 4</v>
      </c>
      <c r="D245" s="23" t="s">
        <v>17</v>
      </c>
      <c r="E245" s="83">
        <f t="shared" ref="E245:W245" si="661">VLOOKUP(E$168,CSTA4,7,0)</f>
        <v>0</v>
      </c>
      <c r="F245" s="83">
        <f t="shared" si="661"/>
        <v>0</v>
      </c>
      <c r="G245" s="83">
        <f t="shared" si="661"/>
        <v>0</v>
      </c>
      <c r="H245" s="83">
        <f t="shared" si="661"/>
        <v>0</v>
      </c>
      <c r="I245" s="83">
        <f t="shared" si="661"/>
        <v>0</v>
      </c>
      <c r="J245" s="83">
        <f t="shared" si="661"/>
        <v>0</v>
      </c>
      <c r="K245" s="83">
        <f t="shared" si="661"/>
        <v>0</v>
      </c>
      <c r="L245" s="83">
        <f t="shared" si="661"/>
        <v>0</v>
      </c>
      <c r="M245" s="83">
        <f t="shared" si="661"/>
        <v>0</v>
      </c>
      <c r="N245" s="83">
        <f t="shared" si="661"/>
        <v>0</v>
      </c>
      <c r="O245" s="83">
        <f t="shared" si="661"/>
        <v>0</v>
      </c>
      <c r="P245" s="83">
        <f t="shared" si="661"/>
        <v>0</v>
      </c>
      <c r="Q245" s="83">
        <f t="shared" si="661"/>
        <v>0</v>
      </c>
      <c r="R245" s="83">
        <f t="shared" si="661"/>
        <v>0</v>
      </c>
      <c r="S245" s="83">
        <f t="shared" si="661"/>
        <v>0</v>
      </c>
      <c r="T245" s="83">
        <f t="shared" si="661"/>
        <v>0</v>
      </c>
      <c r="U245" s="83">
        <f t="shared" si="661"/>
        <v>0</v>
      </c>
      <c r="V245" s="83">
        <f t="shared" si="661"/>
        <v>0</v>
      </c>
      <c r="W245" s="83">
        <f t="shared" si="661"/>
        <v>0</v>
      </c>
    </row>
    <row r="246" spans="3:23" ht="22.5" customHeight="1" x14ac:dyDescent="0.25">
      <c r="C246" s="78" t="str">
        <f t="shared" si="658"/>
        <v>CASETA 4</v>
      </c>
      <c r="D246" s="23" t="s">
        <v>18</v>
      </c>
      <c r="E246" s="83">
        <f t="shared" ref="E246:W246" si="662">VLOOKUP(E$168,CSTA4,8,0)</f>
        <v>0</v>
      </c>
      <c r="F246" s="83">
        <f t="shared" si="662"/>
        <v>0</v>
      </c>
      <c r="G246" s="83">
        <f t="shared" si="662"/>
        <v>0</v>
      </c>
      <c r="H246" s="83">
        <f t="shared" si="662"/>
        <v>0</v>
      </c>
      <c r="I246" s="83">
        <f t="shared" si="662"/>
        <v>16</v>
      </c>
      <c r="J246" s="83">
        <f t="shared" si="662"/>
        <v>149</v>
      </c>
      <c r="K246" s="83">
        <f t="shared" si="662"/>
        <v>308</v>
      </c>
      <c r="L246" s="83">
        <f t="shared" si="662"/>
        <v>183</v>
      </c>
      <c r="M246" s="83">
        <f t="shared" si="662"/>
        <v>75</v>
      </c>
      <c r="N246" s="83">
        <f t="shared" si="662"/>
        <v>37</v>
      </c>
      <c r="O246" s="83">
        <f t="shared" si="662"/>
        <v>57</v>
      </c>
      <c r="P246" s="83">
        <f t="shared" si="662"/>
        <v>58</v>
      </c>
      <c r="Q246" s="83">
        <f t="shared" si="662"/>
        <v>24</v>
      </c>
      <c r="R246" s="83">
        <f t="shared" si="662"/>
        <v>24</v>
      </c>
      <c r="S246" s="83">
        <f t="shared" si="662"/>
        <v>117</v>
      </c>
      <c r="T246" s="83">
        <f t="shared" si="662"/>
        <v>0</v>
      </c>
      <c r="U246" s="83">
        <f t="shared" si="662"/>
        <v>3616</v>
      </c>
      <c r="V246" s="83">
        <f t="shared" si="662"/>
        <v>0</v>
      </c>
      <c r="W246" s="83">
        <f t="shared" si="662"/>
        <v>0</v>
      </c>
    </row>
    <row r="247" spans="3:23" ht="22.5" customHeight="1" x14ac:dyDescent="0.25">
      <c r="C247" s="78" t="str">
        <f t="shared" si="658"/>
        <v>CASETA 4</v>
      </c>
      <c r="D247" s="23" t="s">
        <v>48</v>
      </c>
      <c r="E247" s="83">
        <f t="shared" ref="E247:W247" si="663">VLOOKUP(E$168,CSTA4,9,0)</f>
        <v>0</v>
      </c>
      <c r="F247" s="83">
        <f t="shared" si="663"/>
        <v>0</v>
      </c>
      <c r="G247" s="83">
        <f t="shared" si="663"/>
        <v>0</v>
      </c>
      <c r="H247" s="83">
        <f t="shared" si="663"/>
        <v>0</v>
      </c>
      <c r="I247" s="83">
        <f t="shared" si="663"/>
        <v>16</v>
      </c>
      <c r="J247" s="83">
        <f t="shared" si="663"/>
        <v>165</v>
      </c>
      <c r="K247" s="83">
        <f t="shared" si="663"/>
        <v>473</v>
      </c>
      <c r="L247" s="83">
        <f t="shared" si="663"/>
        <v>656</v>
      </c>
      <c r="M247" s="83">
        <f t="shared" si="663"/>
        <v>731</v>
      </c>
      <c r="N247" s="83">
        <f t="shared" si="663"/>
        <v>768</v>
      </c>
      <c r="O247" s="83">
        <f t="shared" si="663"/>
        <v>825</v>
      </c>
      <c r="P247" s="83">
        <f t="shared" si="663"/>
        <v>883</v>
      </c>
      <c r="Q247" s="83">
        <f t="shared" si="663"/>
        <v>907</v>
      </c>
      <c r="R247" s="83">
        <f t="shared" si="663"/>
        <v>931</v>
      </c>
      <c r="S247" s="83">
        <f t="shared" si="663"/>
        <v>1048</v>
      </c>
      <c r="T247" s="83">
        <f t="shared" si="663"/>
        <v>1048</v>
      </c>
      <c r="U247" s="83">
        <f t="shared" si="663"/>
        <v>4664</v>
      </c>
      <c r="V247" s="83">
        <f t="shared" si="663"/>
        <v>4664</v>
      </c>
      <c r="W247" s="83">
        <f t="shared" si="663"/>
        <v>4664</v>
      </c>
    </row>
    <row r="248" spans="3:23" ht="22.5" customHeight="1" x14ac:dyDescent="0.25">
      <c r="C248" s="78" t="str">
        <f t="shared" si="658"/>
        <v>CASETA 4</v>
      </c>
      <c r="D248" s="86" t="s">
        <v>72</v>
      </c>
      <c r="E248" s="83">
        <f t="shared" ref="E248:W248" si="664">VLOOKUP(E$168,CSTA4,10,0)</f>
        <v>0.7</v>
      </c>
      <c r="F248" s="83">
        <f t="shared" si="664"/>
        <v>0.7</v>
      </c>
      <c r="G248" s="83">
        <f t="shared" si="664"/>
        <v>0.7</v>
      </c>
      <c r="H248" s="83">
        <f t="shared" si="664"/>
        <v>0.5</v>
      </c>
      <c r="I248" s="83">
        <f t="shared" si="664"/>
        <v>0.3</v>
      </c>
      <c r="J248" s="83">
        <f t="shared" si="664"/>
        <v>0.18</v>
      </c>
      <c r="K248" s="83">
        <f t="shared" si="664"/>
        <v>0.18</v>
      </c>
      <c r="L248" s="83">
        <f t="shared" si="664"/>
        <v>0.16</v>
      </c>
      <c r="M248" s="83">
        <f t="shared" si="664"/>
        <v>0.16</v>
      </c>
      <c r="N248" s="83">
        <f t="shared" si="664"/>
        <v>0.16</v>
      </c>
      <c r="O248" s="83">
        <f t="shared" si="664"/>
        <v>0.16</v>
      </c>
      <c r="P248" s="83">
        <f t="shared" si="664"/>
        <v>0.16</v>
      </c>
      <c r="Q248" s="83">
        <f t="shared" si="664"/>
        <v>0.16</v>
      </c>
      <c r="R248" s="83">
        <f t="shared" si="664"/>
        <v>0.16</v>
      </c>
      <c r="S248" s="83">
        <f t="shared" si="664"/>
        <v>0.16</v>
      </c>
      <c r="T248" s="83">
        <f t="shared" si="664"/>
        <v>0.16</v>
      </c>
      <c r="U248" s="83">
        <f t="shared" si="664"/>
        <v>0.16</v>
      </c>
      <c r="V248" s="83">
        <f t="shared" si="664"/>
        <v>0.16</v>
      </c>
      <c r="W248" s="83">
        <f t="shared" si="664"/>
        <v>0.16</v>
      </c>
    </row>
    <row r="249" spans="3:23" ht="22.5" customHeight="1" x14ac:dyDescent="0.25">
      <c r="C249" s="78" t="str">
        <f t="shared" si="658"/>
        <v>CASETA 4</v>
      </c>
      <c r="D249" s="86" t="s">
        <v>74</v>
      </c>
      <c r="E249" s="83">
        <f t="shared" ref="E249:W249" si="665">VLOOKUP(E$168,CSTA4,11,0)</f>
        <v>0</v>
      </c>
      <c r="F249" s="83">
        <f t="shared" si="665"/>
        <v>0</v>
      </c>
      <c r="G249" s="83">
        <f t="shared" si="665"/>
        <v>0</v>
      </c>
      <c r="H249" s="83">
        <f t="shared" si="665"/>
        <v>0</v>
      </c>
      <c r="I249" s="83">
        <f t="shared" si="665"/>
        <v>0.18598898260341409</v>
      </c>
      <c r="J249" s="83">
        <f t="shared" si="665"/>
        <v>0.43509160297420502</v>
      </c>
      <c r="K249" s="83">
        <f t="shared" si="665"/>
        <v>0.84937672202913483</v>
      </c>
      <c r="L249" s="83">
        <f t="shared" si="665"/>
        <v>0.50727846556116007</v>
      </c>
      <c r="M249" s="83">
        <f t="shared" si="665"/>
        <v>0.2084591986437008</v>
      </c>
      <c r="N249" s="83">
        <f t="shared" si="665"/>
        <v>0.10296626116651031</v>
      </c>
      <c r="O249" s="83">
        <f t="shared" si="665"/>
        <v>0.1587666058971689</v>
      </c>
      <c r="P249" s="83">
        <f t="shared" si="665"/>
        <v>0.16173392159107655</v>
      </c>
      <c r="Q249" s="83">
        <f t="shared" si="665"/>
        <v>6.6981294023146648E-2</v>
      </c>
      <c r="R249" s="83">
        <f t="shared" si="665"/>
        <v>6.7009712993872705E-2</v>
      </c>
      <c r="S249" s="83">
        <f t="shared" si="665"/>
        <v>0.32684239252490827</v>
      </c>
      <c r="T249" s="83">
        <f t="shared" si="665"/>
        <v>0</v>
      </c>
      <c r="U249" s="83">
        <f t="shared" si="665"/>
        <v>142.85714285714286</v>
      </c>
      <c r="V249" s="83">
        <f t="shared" si="665"/>
        <v>0</v>
      </c>
      <c r="W249" s="83">
        <f t="shared" si="665"/>
        <v>0</v>
      </c>
    </row>
    <row r="250" spans="3:23" ht="22.5" customHeight="1" x14ac:dyDescent="0.25">
      <c r="C250" s="78" t="str">
        <f t="shared" si="658"/>
        <v>CASETA 4</v>
      </c>
      <c r="D250" s="87" t="s">
        <v>49</v>
      </c>
      <c r="E250" s="83">
        <f t="shared" ref="E250:W250" si="666">VLOOKUP(E$168,CSTA4,12,0)</f>
        <v>0.7</v>
      </c>
      <c r="F250" s="83">
        <f t="shared" si="666"/>
        <v>0.7</v>
      </c>
      <c r="G250" s="83">
        <f t="shared" si="666"/>
        <v>1.4</v>
      </c>
      <c r="H250" s="83">
        <f t="shared" si="666"/>
        <v>1.9</v>
      </c>
      <c r="I250" s="83">
        <f t="shared" si="666"/>
        <v>2.1999999999999997</v>
      </c>
      <c r="J250" s="83">
        <f t="shared" si="666"/>
        <v>2.38</v>
      </c>
      <c r="K250" s="83">
        <f t="shared" si="666"/>
        <v>2.56</v>
      </c>
      <c r="L250" s="83">
        <f t="shared" si="666"/>
        <v>2.72</v>
      </c>
      <c r="M250" s="83">
        <f t="shared" si="666"/>
        <v>2.8800000000000003</v>
      </c>
      <c r="N250" s="83">
        <f t="shared" si="666"/>
        <v>3.0400000000000005</v>
      </c>
      <c r="O250" s="83">
        <f t="shared" si="666"/>
        <v>3.2000000000000006</v>
      </c>
      <c r="P250" s="83">
        <f t="shared" si="666"/>
        <v>3.3600000000000008</v>
      </c>
      <c r="Q250" s="83">
        <f t="shared" si="666"/>
        <v>3.5200000000000009</v>
      </c>
      <c r="R250" s="83">
        <f t="shared" si="666"/>
        <v>3.680000000000001</v>
      </c>
      <c r="S250" s="83">
        <f t="shared" si="666"/>
        <v>3.8400000000000012</v>
      </c>
      <c r="T250" s="83">
        <f t="shared" si="666"/>
        <v>4.0000000000000009</v>
      </c>
      <c r="U250" s="83">
        <f t="shared" si="666"/>
        <v>4.160000000000001</v>
      </c>
      <c r="V250" s="83">
        <f t="shared" si="666"/>
        <v>4.3200000000000012</v>
      </c>
      <c r="W250" s="83">
        <f t="shared" si="666"/>
        <v>4.4800000000000013</v>
      </c>
    </row>
    <row r="251" spans="3:23" ht="22.5" customHeight="1" x14ac:dyDescent="0.25">
      <c r="C251" s="78" t="str">
        <f t="shared" si="658"/>
        <v>CASETA 4</v>
      </c>
      <c r="D251" s="87" t="s">
        <v>73</v>
      </c>
      <c r="E251" s="83">
        <f t="shared" ref="E251:W251" si="667">VLOOKUP(E$168,CSTA4,13,0)</f>
        <v>0</v>
      </c>
      <c r="F251" s="83">
        <f t="shared" si="667"/>
        <v>0</v>
      </c>
      <c r="G251" s="83">
        <f t="shared" si="667"/>
        <v>0</v>
      </c>
      <c r="H251" s="83">
        <f t="shared" si="667"/>
        <v>0</v>
      </c>
      <c r="I251" s="83">
        <f t="shared" si="667"/>
        <v>5.5145791686771903E-2</v>
      </c>
      <c r="J251" s="83">
        <f t="shared" si="667"/>
        <v>0.31755807463577052</v>
      </c>
      <c r="K251" s="83">
        <f t="shared" si="667"/>
        <v>0.91033314728920878</v>
      </c>
      <c r="L251" s="83">
        <f t="shared" si="667"/>
        <v>1.2625339209761544</v>
      </c>
      <c r="M251" s="83">
        <f t="shared" si="667"/>
        <v>1.40687850035605</v>
      </c>
      <c r="N251" s="83">
        <f t="shared" si="667"/>
        <v>1.4780884928501319</v>
      </c>
      <c r="O251" s="83">
        <f t="shared" si="667"/>
        <v>1.5877903731788525</v>
      </c>
      <c r="P251" s="83">
        <f t="shared" si="667"/>
        <v>1.6994168478993052</v>
      </c>
      <c r="Q251" s="83">
        <f t="shared" si="667"/>
        <v>1.7456071133008719</v>
      </c>
      <c r="R251" s="83">
        <f t="shared" si="667"/>
        <v>1.7917973787024384</v>
      </c>
      <c r="S251" s="83">
        <f t="shared" si="667"/>
        <v>2.0169749225350757</v>
      </c>
      <c r="T251" s="83">
        <f t="shared" si="667"/>
        <v>2.0169749225350757</v>
      </c>
      <c r="U251" s="83">
        <f t="shared" si="667"/>
        <v>8.9763082430377796</v>
      </c>
      <c r="V251" s="83">
        <f t="shared" si="667"/>
        <v>8.9763082430377796</v>
      </c>
      <c r="W251" s="83">
        <f t="shared" si="667"/>
        <v>8.9763082430377796</v>
      </c>
    </row>
    <row r="252" spans="3:23" ht="22.5" customHeight="1" x14ac:dyDescent="0.25">
      <c r="C252" s="78" t="str">
        <f t="shared" si="658"/>
        <v>CASETA 4</v>
      </c>
      <c r="D252" s="23" t="s">
        <v>9</v>
      </c>
      <c r="E252" s="83">
        <f t="shared" ref="E252:W252" si="668">VLOOKUP(E$168,CSTA4,14,0)</f>
        <v>0</v>
      </c>
      <c r="F252" s="83">
        <f t="shared" si="668"/>
        <v>0</v>
      </c>
      <c r="G252" s="83">
        <f t="shared" si="668"/>
        <v>0</v>
      </c>
      <c r="H252" s="83">
        <f t="shared" si="668"/>
        <v>0</v>
      </c>
      <c r="I252" s="83">
        <f t="shared" si="668"/>
        <v>7500</v>
      </c>
      <c r="J252" s="83">
        <f t="shared" si="668"/>
        <v>6840</v>
      </c>
      <c r="K252" s="83">
        <f t="shared" si="668"/>
        <v>13140</v>
      </c>
      <c r="L252" s="83">
        <f t="shared" si="668"/>
        <v>20754</v>
      </c>
      <c r="M252" s="83">
        <f t="shared" si="668"/>
        <v>12600</v>
      </c>
      <c r="N252" s="83">
        <f t="shared" si="668"/>
        <v>16560</v>
      </c>
      <c r="O252" s="83">
        <f t="shared" si="668"/>
        <v>15480</v>
      </c>
      <c r="P252" s="83">
        <f t="shared" si="668"/>
        <v>14760</v>
      </c>
      <c r="Q252" s="83">
        <f t="shared" si="668"/>
        <v>20340</v>
      </c>
      <c r="R252" s="83">
        <f t="shared" si="668"/>
        <v>21060</v>
      </c>
      <c r="S252" s="83">
        <f t="shared" si="668"/>
        <v>17460</v>
      </c>
      <c r="T252" s="83">
        <f t="shared" si="668"/>
        <v>1080</v>
      </c>
      <c r="U252" s="83">
        <f t="shared" si="668"/>
        <v>0</v>
      </c>
      <c r="V252" s="83">
        <f t="shared" si="668"/>
        <v>0</v>
      </c>
      <c r="W252" s="83">
        <f t="shared" si="668"/>
        <v>0</v>
      </c>
    </row>
    <row r="253" spans="3:23" ht="22.5" customHeight="1" x14ac:dyDescent="0.25">
      <c r="C253" s="78" t="str">
        <f t="shared" si="658"/>
        <v>CASETA 4</v>
      </c>
      <c r="D253" s="86" t="s">
        <v>75</v>
      </c>
      <c r="E253" s="83">
        <f t="shared" ref="E253:W253" si="669">VLOOKUP(E$168,CSTA4,15,0)</f>
        <v>10</v>
      </c>
      <c r="F253" s="83">
        <f t="shared" si="669"/>
        <v>10</v>
      </c>
      <c r="G253" s="83">
        <f t="shared" si="669"/>
        <v>17</v>
      </c>
      <c r="H253" s="83">
        <f t="shared" si="669"/>
        <v>23</v>
      </c>
      <c r="I253" s="83">
        <f t="shared" si="669"/>
        <v>29</v>
      </c>
      <c r="J253" s="83">
        <f t="shared" si="669"/>
        <v>34</v>
      </c>
      <c r="K253" s="83">
        <f t="shared" si="669"/>
        <v>38</v>
      </c>
      <c r="L253" s="83">
        <f t="shared" si="669"/>
        <v>42</v>
      </c>
      <c r="M253" s="83">
        <f t="shared" si="669"/>
        <v>46</v>
      </c>
      <c r="N253" s="83">
        <f t="shared" si="669"/>
        <v>49</v>
      </c>
      <c r="O253" s="83">
        <f t="shared" si="669"/>
        <v>52</v>
      </c>
      <c r="P253" s="83">
        <f t="shared" si="669"/>
        <v>55</v>
      </c>
      <c r="Q253" s="83">
        <f t="shared" si="669"/>
        <v>58</v>
      </c>
      <c r="R253" s="83">
        <f t="shared" si="669"/>
        <v>61</v>
      </c>
      <c r="S253" s="83">
        <f t="shared" si="669"/>
        <v>64</v>
      </c>
      <c r="T253" s="83">
        <f t="shared" si="669"/>
        <v>67</v>
      </c>
      <c r="U253" s="83">
        <f t="shared" si="669"/>
        <v>71</v>
      </c>
      <c r="V253" s="83">
        <f t="shared" si="669"/>
        <v>75</v>
      </c>
      <c r="W253" s="83">
        <f t="shared" si="669"/>
        <v>79</v>
      </c>
    </row>
    <row r="254" spans="3:23" ht="22.5" customHeight="1" x14ac:dyDescent="0.25">
      <c r="C254" s="78" t="str">
        <f t="shared" si="658"/>
        <v>CASETA 4</v>
      </c>
      <c r="D254" s="86" t="s">
        <v>62</v>
      </c>
      <c r="E254" s="83">
        <f t="shared" ref="E254:W254" si="670">VLOOKUP(E$168,CSTA4,16,0)</f>
        <v>0</v>
      </c>
      <c r="F254" s="83">
        <f t="shared" si="670"/>
        <v>0</v>
      </c>
      <c r="G254" s="83">
        <f t="shared" si="670"/>
        <v>0</v>
      </c>
      <c r="H254" s="83">
        <f t="shared" si="670"/>
        <v>0</v>
      </c>
      <c r="I254" s="212">
        <f t="shared" si="670"/>
        <v>120.26006817517582</v>
      </c>
      <c r="J254" s="83">
        <f t="shared" si="670"/>
        <v>24.017597549050191</v>
      </c>
      <c r="K254" s="83">
        <f t="shared" si="670"/>
        <v>36.283777515115382</v>
      </c>
      <c r="L254" s="83">
        <f t="shared" si="670"/>
        <v>57.517414233508347</v>
      </c>
      <c r="M254" s="83">
        <f t="shared" si="670"/>
        <v>35.032626452515011</v>
      </c>
      <c r="N254" s="83">
        <f t="shared" si="670"/>
        <v>46.090816836674044</v>
      </c>
      <c r="O254" s="83">
        <f t="shared" si="670"/>
        <v>43.112679449752342</v>
      </c>
      <c r="P254" s="83">
        <f t="shared" si="670"/>
        <v>41.163471314978914</v>
      </c>
      <c r="Q254" s="83">
        <f t="shared" si="670"/>
        <v>56.76963031351206</v>
      </c>
      <c r="R254" s="83">
        <f t="shared" si="670"/>
        <v>58.804855521484271</v>
      </c>
      <c r="S254" s="83">
        <f t="shared" si="670"/>
        <v>48.789494635785672</v>
      </c>
      <c r="T254" s="83">
        <f t="shared" si="670"/>
        <v>3.0233131032629386</v>
      </c>
      <c r="U254" s="83">
        <f t="shared" si="670"/>
        <v>0</v>
      </c>
      <c r="V254" s="83">
        <f t="shared" si="670"/>
        <v>0</v>
      </c>
      <c r="W254" s="83">
        <f t="shared" si="670"/>
        <v>0</v>
      </c>
    </row>
    <row r="255" spans="3:23" ht="22.5" customHeight="1" x14ac:dyDescent="0.25">
      <c r="C255" s="78" t="str">
        <f t="shared" si="658"/>
        <v>CASETA 4</v>
      </c>
      <c r="D255" s="24" t="s">
        <v>50</v>
      </c>
      <c r="E255" s="83">
        <f t="shared" ref="E255:W255" si="671">VLOOKUP(E$168,CSTA4,17,0)</f>
        <v>0</v>
      </c>
      <c r="F255" s="83">
        <f t="shared" si="671"/>
        <v>0</v>
      </c>
      <c r="G255" s="83">
        <f t="shared" si="671"/>
        <v>0</v>
      </c>
      <c r="H255" s="83">
        <f t="shared" si="671"/>
        <v>0</v>
      </c>
      <c r="I255" s="83">
        <f t="shared" si="671"/>
        <v>841.82047722623076</v>
      </c>
      <c r="J255" s="83">
        <f t="shared" si="671"/>
        <v>1009.9436600695821</v>
      </c>
      <c r="K255" s="83">
        <f t="shared" si="671"/>
        <v>1263.9301026753897</v>
      </c>
      <c r="L255" s="83">
        <f t="shared" si="671"/>
        <v>1666.552002309948</v>
      </c>
      <c r="M255" s="83">
        <f t="shared" si="671"/>
        <v>1911.7803874775529</v>
      </c>
      <c r="N255" s="83">
        <f t="shared" si="671"/>
        <v>2234.4161053342714</v>
      </c>
      <c r="O255" s="83">
        <f t="shared" si="671"/>
        <v>2536.2048614825371</v>
      </c>
      <c r="P255" s="83">
        <f t="shared" si="671"/>
        <v>2824.3491606873895</v>
      </c>
      <c r="Q255" s="83">
        <f t="shared" si="671"/>
        <v>3221.7365728819741</v>
      </c>
      <c r="R255" s="83">
        <f t="shared" si="671"/>
        <v>3633.3705615323638</v>
      </c>
      <c r="S255" s="83">
        <f t="shared" si="671"/>
        <v>3974.8970239828636</v>
      </c>
      <c r="T255" s="83">
        <f t="shared" si="671"/>
        <v>3996.0602157057042</v>
      </c>
      <c r="U255" s="83">
        <f t="shared" si="671"/>
        <v>3996.0602157057042</v>
      </c>
      <c r="V255" s="83">
        <f t="shared" si="671"/>
        <v>3996.0602157057042</v>
      </c>
      <c r="W255" s="83">
        <f t="shared" si="671"/>
        <v>3996.0602157057042</v>
      </c>
    </row>
    <row r="256" spans="3:23" ht="22.5" customHeight="1" x14ac:dyDescent="0.25">
      <c r="C256" s="78" t="str">
        <f t="shared" si="658"/>
        <v>CASETA 4</v>
      </c>
      <c r="D256" s="86" t="s">
        <v>63</v>
      </c>
      <c r="E256" s="83">
        <f t="shared" ref="E256:W256" si="672">VLOOKUP(E$168,CSTA4,18,0)</f>
        <v>40</v>
      </c>
      <c r="F256" s="83">
        <f t="shared" si="672"/>
        <v>70</v>
      </c>
      <c r="G256" s="83">
        <f t="shared" si="672"/>
        <v>120</v>
      </c>
      <c r="H256" s="83">
        <f t="shared" si="672"/>
        <v>185</v>
      </c>
      <c r="I256" s="83">
        <f t="shared" si="672"/>
        <v>255</v>
      </c>
      <c r="J256" s="83">
        <f t="shared" si="672"/>
        <v>334</v>
      </c>
      <c r="K256" s="83">
        <f t="shared" si="672"/>
        <v>425</v>
      </c>
      <c r="L256" s="83">
        <f t="shared" si="672"/>
        <v>524</v>
      </c>
      <c r="M256" s="83">
        <f t="shared" si="672"/>
        <v>618</v>
      </c>
      <c r="N256" s="83">
        <f t="shared" si="672"/>
        <v>712</v>
      </c>
      <c r="O256" s="83">
        <f t="shared" si="672"/>
        <v>802</v>
      </c>
      <c r="P256" s="83">
        <f t="shared" si="672"/>
        <v>880</v>
      </c>
      <c r="Q256" s="83">
        <f t="shared" si="672"/>
        <v>950</v>
      </c>
      <c r="R256" s="83">
        <f t="shared" si="672"/>
        <v>1010</v>
      </c>
      <c r="S256" s="83">
        <f t="shared" si="672"/>
        <v>1065</v>
      </c>
      <c r="T256" s="83">
        <f t="shared" si="672"/>
        <v>1115</v>
      </c>
      <c r="U256" s="83">
        <f t="shared" si="672"/>
        <v>1160</v>
      </c>
      <c r="V256" s="83">
        <f t="shared" si="672"/>
        <v>1207</v>
      </c>
      <c r="W256" s="83">
        <f t="shared" si="672"/>
        <v>1257</v>
      </c>
    </row>
    <row r="257" spans="2:50" ht="22.5" customHeight="1" x14ac:dyDescent="0.25">
      <c r="C257" s="78" t="str">
        <f t="shared" si="658"/>
        <v>CASETA 4</v>
      </c>
      <c r="D257" s="86" t="s">
        <v>64</v>
      </c>
      <c r="E257" s="83">
        <f t="shared" ref="E257:W257" si="673">VLOOKUP(E$168,CSTA4,19,0)</f>
        <v>0</v>
      </c>
      <c r="F257" s="83">
        <f t="shared" si="673"/>
        <v>0</v>
      </c>
      <c r="G257" s="83">
        <f t="shared" si="673"/>
        <v>0</v>
      </c>
      <c r="H257" s="83">
        <f t="shared" si="673"/>
        <v>0</v>
      </c>
      <c r="I257" s="83">
        <f t="shared" si="673"/>
        <v>237</v>
      </c>
      <c r="J257" s="83">
        <f t="shared" si="673"/>
        <v>352</v>
      </c>
      <c r="K257" s="83">
        <f t="shared" si="673"/>
        <v>415</v>
      </c>
      <c r="L257" s="83">
        <f t="shared" si="673"/>
        <v>540.4</v>
      </c>
      <c r="M257" s="83">
        <f t="shared" si="673"/>
        <v>0</v>
      </c>
      <c r="N257" s="83">
        <f t="shared" si="673"/>
        <v>701</v>
      </c>
      <c r="O257" s="83">
        <f t="shared" si="673"/>
        <v>800</v>
      </c>
      <c r="P257" s="83">
        <f t="shared" si="673"/>
        <v>878</v>
      </c>
      <c r="Q257" s="83">
        <f t="shared" si="673"/>
        <v>946</v>
      </c>
      <c r="R257" s="83">
        <f t="shared" si="673"/>
        <v>1011</v>
      </c>
      <c r="S257" s="83">
        <f t="shared" si="673"/>
        <v>1060</v>
      </c>
      <c r="T257" s="83">
        <f t="shared" si="673"/>
        <v>0</v>
      </c>
      <c r="U257" s="83">
        <f t="shared" si="673"/>
        <v>0</v>
      </c>
      <c r="V257" s="83">
        <f t="shared" si="673"/>
        <v>0</v>
      </c>
      <c r="W257" s="83">
        <f t="shared" si="673"/>
        <v>0</v>
      </c>
    </row>
    <row r="258" spans="2:50" ht="22.5" customHeight="1" x14ac:dyDescent="0.25">
      <c r="C258" s="78" t="str">
        <f t="shared" si="658"/>
        <v>CASETA 4</v>
      </c>
      <c r="D258" s="23" t="s">
        <v>15</v>
      </c>
      <c r="E258" s="83">
        <f t="shared" ref="E258:W258" si="674">VLOOKUP(E$168,CSTA4,20,0)</f>
        <v>40</v>
      </c>
      <c r="F258" s="83">
        <f t="shared" si="674"/>
        <v>70</v>
      </c>
      <c r="G258" s="83">
        <f t="shared" si="674"/>
        <v>120</v>
      </c>
      <c r="H258" s="83">
        <f t="shared" si="674"/>
        <v>185</v>
      </c>
      <c r="I258" s="83">
        <f t="shared" si="674"/>
        <v>18</v>
      </c>
      <c r="J258" s="83">
        <f t="shared" si="674"/>
        <v>-18</v>
      </c>
      <c r="K258" s="83">
        <f t="shared" si="674"/>
        <v>10</v>
      </c>
      <c r="L258" s="83">
        <f t="shared" si="674"/>
        <v>-16.399999999999977</v>
      </c>
      <c r="M258" s="83">
        <f t="shared" si="674"/>
        <v>618</v>
      </c>
      <c r="N258" s="83">
        <f t="shared" si="674"/>
        <v>11</v>
      </c>
      <c r="O258" s="83">
        <f t="shared" si="674"/>
        <v>2</v>
      </c>
      <c r="P258" s="83">
        <f t="shared" si="674"/>
        <v>2</v>
      </c>
      <c r="Q258" s="83">
        <f t="shared" si="674"/>
        <v>4</v>
      </c>
      <c r="R258" s="83">
        <f t="shared" si="674"/>
        <v>-1</v>
      </c>
      <c r="S258" s="83">
        <f t="shared" si="674"/>
        <v>5</v>
      </c>
      <c r="T258" s="83">
        <f t="shared" si="674"/>
        <v>1115</v>
      </c>
      <c r="U258" s="83">
        <f t="shared" si="674"/>
        <v>1160</v>
      </c>
      <c r="V258" s="83">
        <f t="shared" si="674"/>
        <v>1207</v>
      </c>
      <c r="W258" s="83">
        <f t="shared" si="674"/>
        <v>1257</v>
      </c>
      <c r="X258" s="83"/>
    </row>
    <row r="259" spans="2:50" ht="22.5" customHeight="1" x14ac:dyDescent="0.25">
      <c r="C259" s="78" t="str">
        <f t="shared" si="658"/>
        <v>CASETA 4</v>
      </c>
      <c r="D259" s="86" t="s">
        <v>65</v>
      </c>
      <c r="E259" s="83">
        <f t="shared" ref="E259:W259" si="675">VLOOKUP(E$168,CSTA4,21,0)</f>
        <v>77</v>
      </c>
      <c r="F259" s="83">
        <f t="shared" si="675"/>
        <v>77</v>
      </c>
      <c r="G259" s="83">
        <f t="shared" si="675"/>
        <v>77</v>
      </c>
      <c r="H259" s="83">
        <f t="shared" si="675"/>
        <v>77</v>
      </c>
      <c r="I259" s="83">
        <f t="shared" si="675"/>
        <v>79</v>
      </c>
      <c r="J259" s="83">
        <f t="shared" si="675"/>
        <v>79</v>
      </c>
      <c r="K259" s="83">
        <f t="shared" si="675"/>
        <v>79</v>
      </c>
      <c r="L259" s="83">
        <f t="shared" si="675"/>
        <v>79</v>
      </c>
      <c r="M259" s="83">
        <f t="shared" si="675"/>
        <v>79</v>
      </c>
      <c r="N259" s="83">
        <f t="shared" si="675"/>
        <v>79</v>
      </c>
      <c r="O259" s="83">
        <f t="shared" si="675"/>
        <v>80</v>
      </c>
      <c r="P259" s="83">
        <f t="shared" si="675"/>
        <v>80</v>
      </c>
      <c r="Q259" s="83">
        <f t="shared" si="675"/>
        <v>82</v>
      </c>
      <c r="R259" s="83">
        <f t="shared" si="675"/>
        <v>82</v>
      </c>
      <c r="S259" s="83">
        <f t="shared" si="675"/>
        <v>84</v>
      </c>
      <c r="T259" s="83">
        <f t="shared" si="675"/>
        <v>86</v>
      </c>
      <c r="U259" s="83">
        <f t="shared" si="675"/>
        <v>86</v>
      </c>
      <c r="V259" s="83">
        <f t="shared" si="675"/>
        <v>86</v>
      </c>
      <c r="W259" s="83">
        <f t="shared" si="675"/>
        <v>86</v>
      </c>
    </row>
    <row r="260" spans="2:50" ht="22.5" customHeight="1" x14ac:dyDescent="0.25">
      <c r="C260" s="78" t="str">
        <f t="shared" si="658"/>
        <v>CASETA 4</v>
      </c>
      <c r="D260" s="86" t="s">
        <v>66</v>
      </c>
      <c r="E260" s="83">
        <f t="shared" ref="E260:W260" si="676">VLOOKUP(E$168,CSTA4,22,0)</f>
        <v>0</v>
      </c>
      <c r="F260" s="83">
        <f t="shared" si="676"/>
        <v>0</v>
      </c>
      <c r="G260" s="83">
        <f t="shared" si="676"/>
        <v>0</v>
      </c>
      <c r="H260" s="83">
        <f t="shared" si="676"/>
        <v>0</v>
      </c>
      <c r="I260" s="83">
        <f t="shared" si="676"/>
        <v>68</v>
      </c>
      <c r="J260" s="83">
        <f t="shared" si="676"/>
        <v>48</v>
      </c>
      <c r="K260" s="83">
        <f t="shared" si="676"/>
        <v>56</v>
      </c>
      <c r="L260" s="83">
        <f t="shared" si="676"/>
        <v>70</v>
      </c>
      <c r="M260" s="83">
        <f t="shared" si="676"/>
        <v>0</v>
      </c>
      <c r="N260" s="83">
        <f t="shared" si="676"/>
        <v>74</v>
      </c>
      <c r="O260" s="83">
        <f t="shared" si="676"/>
        <v>56</v>
      </c>
      <c r="P260" s="83">
        <f t="shared" si="676"/>
        <v>79</v>
      </c>
      <c r="Q260" s="83">
        <f t="shared" si="676"/>
        <v>73</v>
      </c>
      <c r="R260" s="83">
        <f t="shared" si="676"/>
        <v>76</v>
      </c>
      <c r="S260" s="83">
        <f t="shared" si="676"/>
        <v>75</v>
      </c>
      <c r="T260" s="83">
        <f t="shared" si="676"/>
        <v>0</v>
      </c>
      <c r="U260" s="83">
        <f t="shared" si="676"/>
        <v>0</v>
      </c>
      <c r="V260" s="83">
        <f t="shared" si="676"/>
        <v>0</v>
      </c>
      <c r="W260" s="83">
        <f t="shared" si="676"/>
        <v>0</v>
      </c>
    </row>
    <row r="261" spans="2:50" ht="22.5" customHeight="1" x14ac:dyDescent="0.25">
      <c r="C261" s="78" t="str">
        <f t="shared" si="658"/>
        <v>CASETA 4</v>
      </c>
      <c r="D261" s="23" t="s">
        <v>15</v>
      </c>
      <c r="E261" s="83">
        <f t="shared" ref="E261:W261" si="677">VLOOKUP(E$168,CSTA4,23,0)</f>
        <v>77</v>
      </c>
      <c r="F261" s="83">
        <f t="shared" si="677"/>
        <v>77</v>
      </c>
      <c r="G261" s="83">
        <f t="shared" si="677"/>
        <v>77</v>
      </c>
      <c r="H261" s="83">
        <f t="shared" si="677"/>
        <v>77</v>
      </c>
      <c r="I261" s="83">
        <f t="shared" si="677"/>
        <v>11</v>
      </c>
      <c r="J261" s="83">
        <f t="shared" si="677"/>
        <v>31</v>
      </c>
      <c r="K261" s="83">
        <f t="shared" si="677"/>
        <v>23</v>
      </c>
      <c r="L261" s="83">
        <f t="shared" si="677"/>
        <v>9</v>
      </c>
      <c r="M261" s="83">
        <f t="shared" si="677"/>
        <v>79</v>
      </c>
      <c r="N261" s="83">
        <f t="shared" si="677"/>
        <v>5</v>
      </c>
      <c r="O261" s="83">
        <f t="shared" si="677"/>
        <v>24</v>
      </c>
      <c r="P261" s="83">
        <f t="shared" si="677"/>
        <v>1</v>
      </c>
      <c r="Q261" s="83">
        <f t="shared" si="677"/>
        <v>9</v>
      </c>
      <c r="R261" s="83">
        <f t="shared" si="677"/>
        <v>6</v>
      </c>
      <c r="S261" s="83">
        <f t="shared" si="677"/>
        <v>9</v>
      </c>
      <c r="T261" s="83">
        <f t="shared" si="677"/>
        <v>86</v>
      </c>
      <c r="U261" s="83">
        <f t="shared" si="677"/>
        <v>86</v>
      </c>
      <c r="V261" s="83">
        <f t="shared" si="677"/>
        <v>86</v>
      </c>
      <c r="W261" s="83">
        <f t="shared" si="677"/>
        <v>86</v>
      </c>
    </row>
    <row r="262" spans="2:50" x14ac:dyDescent="0.25">
      <c r="E262" s="1"/>
      <c r="F262" s="316"/>
      <c r="G262" s="316"/>
      <c r="H262" s="316"/>
      <c r="I262" s="316"/>
      <c r="J262" s="316"/>
      <c r="K262" s="316"/>
      <c r="L262" s="316"/>
      <c r="M262" s="316"/>
      <c r="N262" s="316"/>
      <c r="O262" s="316"/>
      <c r="P262" s="316"/>
      <c r="Q262" s="316"/>
      <c r="R262" s="316"/>
      <c r="S262" s="316"/>
      <c r="T262" s="316"/>
      <c r="U262" s="316"/>
      <c r="V262" s="316"/>
      <c r="W262" s="316"/>
    </row>
    <row r="263" spans="2:50" x14ac:dyDescent="0.25">
      <c r="E263" s="1"/>
      <c r="F263" s="316"/>
      <c r="G263" s="316"/>
      <c r="H263" s="316"/>
      <c r="I263" s="316"/>
      <c r="J263" s="316"/>
      <c r="K263" s="316"/>
      <c r="L263" s="316"/>
      <c r="M263" s="316"/>
      <c r="N263" s="316"/>
      <c r="O263" s="316"/>
      <c r="P263" s="316"/>
      <c r="Q263" s="316"/>
      <c r="R263" s="316"/>
      <c r="S263" s="316"/>
      <c r="T263" s="316"/>
      <c r="U263" s="316"/>
      <c r="V263" s="316"/>
      <c r="W263" s="316"/>
    </row>
    <row r="264" spans="2:50" x14ac:dyDescent="0.25">
      <c r="E264" s="1"/>
      <c r="F264" s="316"/>
      <c r="G264" s="316"/>
      <c r="H264" s="316"/>
      <c r="I264" s="316"/>
      <c r="J264" s="316"/>
      <c r="K264" s="316"/>
      <c r="L264" s="316"/>
      <c r="M264" s="316"/>
      <c r="N264" s="316"/>
      <c r="O264" s="316"/>
      <c r="P264" s="316"/>
      <c r="Q264" s="316"/>
      <c r="R264" s="316"/>
      <c r="S264" s="316"/>
      <c r="T264" s="316"/>
      <c r="U264" s="316"/>
      <c r="V264" s="316"/>
      <c r="W264" s="316"/>
    </row>
    <row r="265" spans="2:50" s="81" customFormat="1" x14ac:dyDescent="0.25">
      <c r="B265" s="80"/>
      <c r="C265" s="80"/>
      <c r="D265" s="80"/>
      <c r="E265" s="80"/>
      <c r="F265" s="318"/>
      <c r="G265" s="318"/>
      <c r="H265" s="318"/>
      <c r="I265" s="318"/>
      <c r="J265" s="318"/>
      <c r="K265" s="318"/>
      <c r="L265" s="318"/>
      <c r="M265" s="318"/>
      <c r="N265" s="318"/>
      <c r="O265" s="318"/>
      <c r="P265" s="318"/>
      <c r="Q265" s="318"/>
      <c r="R265" s="318"/>
      <c r="S265" s="318"/>
      <c r="T265" s="318"/>
      <c r="U265" s="318"/>
      <c r="V265" s="318"/>
      <c r="W265" s="318"/>
      <c r="Z265" s="362"/>
      <c r="AA265" s="362"/>
      <c r="AB265" s="362"/>
      <c r="AC265" s="362"/>
      <c r="AD265" s="362"/>
      <c r="AE265" s="362"/>
      <c r="AF265" s="362"/>
      <c r="AG265" s="362"/>
      <c r="AH265" s="362"/>
      <c r="AI265" s="362"/>
      <c r="AJ265" s="362"/>
      <c r="AK265" s="362"/>
      <c r="AL265" s="362"/>
      <c r="AM265" s="362"/>
      <c r="AN265" s="362"/>
      <c r="AO265" s="362"/>
      <c r="AP265" s="362"/>
      <c r="AQ265" s="362"/>
      <c r="AR265" s="362"/>
      <c r="AS265" s="362"/>
      <c r="AT265" s="362"/>
      <c r="AU265" s="362"/>
      <c r="AV265" s="362"/>
      <c r="AW265" s="362"/>
      <c r="AX265" s="362"/>
    </row>
    <row r="266" spans="2:50" x14ac:dyDescent="0.25">
      <c r="E266" s="320">
        <v>0</v>
      </c>
      <c r="F266" s="320">
        <v>1</v>
      </c>
      <c r="G266" s="320">
        <v>2</v>
      </c>
      <c r="H266" s="320">
        <v>3</v>
      </c>
      <c r="I266" s="320">
        <v>4</v>
      </c>
      <c r="J266" s="320">
        <v>5</v>
      </c>
      <c r="K266" s="320">
        <v>6</v>
      </c>
      <c r="L266" s="320">
        <v>7</v>
      </c>
      <c r="M266" s="320">
        <v>8</v>
      </c>
      <c r="N266" s="320">
        <v>9</v>
      </c>
      <c r="O266" s="320">
        <v>10</v>
      </c>
      <c r="P266" s="320">
        <v>11</v>
      </c>
      <c r="Q266" s="320">
        <v>12</v>
      </c>
      <c r="R266" s="320">
        <v>13</v>
      </c>
      <c r="S266" s="320">
        <v>14</v>
      </c>
      <c r="T266" s="320">
        <v>15</v>
      </c>
      <c r="U266" s="320">
        <v>16</v>
      </c>
      <c r="V266" s="320">
        <v>17</v>
      </c>
      <c r="W266" s="320">
        <v>18</v>
      </c>
    </row>
    <row r="267" spans="2:50" ht="28.5" customHeight="1" x14ac:dyDescent="0.25">
      <c r="C267" s="78" t="str">
        <f>VLOOKUP(TABLERO!$M$48,TABLERO!$K$48:$L$55,2,FALSE)</f>
        <v>GENERAL</v>
      </c>
      <c r="D267" s="24" t="s">
        <v>67</v>
      </c>
      <c r="E267" s="83">
        <f>IF($C267="GENERAL",SUMIFS(E$169:E$263,$D$169:$D$263,$D267),SUMIFS(E$169:E$263,$C$169:$C$263,$C267,$D$169:$D$263,$D267))</f>
        <v>191363</v>
      </c>
      <c r="F267" s="83">
        <f t="shared" ref="F267:W268" si="678">IF($C267="GENERAL",SUMIFS(F$169:F$263,$D$169:$D$263,$D267),SUMIFS(F$169:F$263,$C$169:$C$263,$C267,$D$169:$D$263,$D267))</f>
        <v>186187</v>
      </c>
      <c r="G267" s="83">
        <f t="shared" si="678"/>
        <v>183045</v>
      </c>
      <c r="H267" s="83">
        <f>IF($C267="GENERAL",SUMIFS(H$169:H$263,$D$169:$D$263,$D267),SUMIFS(H$169:H$263,$C$169:$C$263,$C267,$D$169:$D$263,$D267))</f>
        <v>181889</v>
      </c>
      <c r="I267" s="83">
        <f t="shared" si="678"/>
        <v>181676</v>
      </c>
      <c r="J267" s="83">
        <f t="shared" si="678"/>
        <v>180988</v>
      </c>
      <c r="K267" s="83">
        <f t="shared" si="678"/>
        <v>180573</v>
      </c>
      <c r="L267" s="83">
        <f t="shared" si="678"/>
        <v>179910</v>
      </c>
      <c r="M267" s="83">
        <f t="shared" si="678"/>
        <v>179539</v>
      </c>
      <c r="N267" s="83">
        <f t="shared" si="678"/>
        <v>179398</v>
      </c>
      <c r="O267" s="83">
        <f t="shared" si="678"/>
        <v>179245</v>
      </c>
      <c r="P267" s="83">
        <f t="shared" si="678"/>
        <v>179046</v>
      </c>
      <c r="Q267" s="83">
        <f t="shared" si="678"/>
        <v>178905</v>
      </c>
      <c r="R267" s="83">
        <f t="shared" si="678"/>
        <v>178811</v>
      </c>
      <c r="S267" s="83">
        <f t="shared" si="678"/>
        <v>178688</v>
      </c>
      <c r="T267" s="83">
        <f t="shared" si="678"/>
        <v>103715</v>
      </c>
      <c r="U267" s="83">
        <f t="shared" si="678"/>
        <v>4025</v>
      </c>
      <c r="V267" s="83">
        <f t="shared" si="678"/>
        <v>0</v>
      </c>
      <c r="W267" s="83">
        <f t="shared" si="678"/>
        <v>0</v>
      </c>
    </row>
    <row r="268" spans="2:50" ht="28.5" customHeight="1" x14ac:dyDescent="0.25">
      <c r="C268" s="78" t="str">
        <f>C267</f>
        <v>GENERAL</v>
      </c>
      <c r="D268" s="24" t="s">
        <v>34</v>
      </c>
      <c r="E268" s="83">
        <f>IF($C268="GENERAL",SUMIFS(E$169:E$263,$D$169:$D$263,$D268),SUMIFS(E$169:E$263,$C$169:$C$263,$C268,$D$169:$D$263,$D268))</f>
        <v>186187</v>
      </c>
      <c r="F268" s="83">
        <f t="shared" si="678"/>
        <v>183045</v>
      </c>
      <c r="G268" s="83">
        <f t="shared" si="678"/>
        <v>182176</v>
      </c>
      <c r="H268" s="83">
        <f t="shared" si="678"/>
        <v>181829</v>
      </c>
      <c r="I268" s="83">
        <f t="shared" si="678"/>
        <v>181222</v>
      </c>
      <c r="J268" s="83">
        <f t="shared" si="678"/>
        <v>180573</v>
      </c>
      <c r="K268" s="83">
        <f t="shared" si="678"/>
        <v>179910</v>
      </c>
      <c r="L268" s="83">
        <f t="shared" si="678"/>
        <v>179539</v>
      </c>
      <c r="M268" s="83">
        <f t="shared" si="678"/>
        <v>179398</v>
      </c>
      <c r="N268" s="83">
        <f t="shared" si="678"/>
        <v>179245</v>
      </c>
      <c r="O268" s="83">
        <f t="shared" si="678"/>
        <v>179046</v>
      </c>
      <c r="P268" s="83">
        <f t="shared" si="678"/>
        <v>178905</v>
      </c>
      <c r="Q268" s="83">
        <f t="shared" si="678"/>
        <v>178811</v>
      </c>
      <c r="R268" s="83">
        <f t="shared" si="678"/>
        <v>178688</v>
      </c>
      <c r="S268" s="83">
        <f t="shared" si="678"/>
        <v>124327</v>
      </c>
      <c r="T268" s="83">
        <f t="shared" si="678"/>
        <v>9300</v>
      </c>
      <c r="U268" s="83">
        <f t="shared" si="678"/>
        <v>0</v>
      </c>
      <c r="V268" s="83">
        <f t="shared" si="678"/>
        <v>0</v>
      </c>
      <c r="W268" s="83">
        <f t="shared" si="678"/>
        <v>0</v>
      </c>
    </row>
    <row r="269" spans="2:50" ht="28.5" customHeight="1" x14ac:dyDescent="0.25">
      <c r="C269" s="78" t="str">
        <f t="shared" ref="C269:C288" si="679">C268</f>
        <v>GENERAL</v>
      </c>
      <c r="D269" s="23" t="s">
        <v>27</v>
      </c>
      <c r="E269" s="83">
        <f t="shared" ref="E269:N273" si="680">IF($C269="GENERAL",SUMIFS(E$169:E$263,$D$169:$D$263,$D269),SUMIFS(E$169:E$263,$C$169:$C$263,$C269,$D$169:$D$263,$D269))</f>
        <v>0</v>
      </c>
      <c r="F269" s="83">
        <f t="shared" si="680"/>
        <v>9</v>
      </c>
      <c r="G269" s="83">
        <f t="shared" si="680"/>
        <v>0</v>
      </c>
      <c r="H269" s="83">
        <f t="shared" si="680"/>
        <v>0</v>
      </c>
      <c r="I269" s="83">
        <f t="shared" si="680"/>
        <v>0</v>
      </c>
      <c r="J269" s="83">
        <f t="shared" si="680"/>
        <v>0</v>
      </c>
      <c r="K269" s="83">
        <f t="shared" si="680"/>
        <v>0</v>
      </c>
      <c r="L269" s="83">
        <f t="shared" si="680"/>
        <v>0</v>
      </c>
      <c r="M269" s="83">
        <f t="shared" si="680"/>
        <v>0</v>
      </c>
      <c r="N269" s="83">
        <f t="shared" si="680"/>
        <v>0</v>
      </c>
      <c r="O269" s="83">
        <f t="shared" ref="O269:W273" si="681">IF($C269="GENERAL",SUMIFS(O$169:O$263,$D$169:$D$263,$D269),SUMIFS(O$169:O$263,$C$169:$C$263,$C269,$D$169:$D$263,$D269))</f>
        <v>0</v>
      </c>
      <c r="P269" s="83">
        <f t="shared" si="681"/>
        <v>0</v>
      </c>
      <c r="Q269" s="83">
        <f t="shared" si="681"/>
        <v>0</v>
      </c>
      <c r="R269" s="83">
        <f t="shared" si="681"/>
        <v>0</v>
      </c>
      <c r="S269" s="83">
        <f t="shared" si="681"/>
        <v>291</v>
      </c>
      <c r="T269" s="83">
        <f t="shared" si="681"/>
        <v>0</v>
      </c>
      <c r="U269" s="83">
        <f t="shared" si="681"/>
        <v>0</v>
      </c>
      <c r="V269" s="83">
        <f t="shared" si="681"/>
        <v>0</v>
      </c>
      <c r="W269" s="83">
        <f t="shared" si="681"/>
        <v>0</v>
      </c>
    </row>
    <row r="270" spans="2:50" ht="28.5" customHeight="1" x14ac:dyDescent="0.25">
      <c r="C270" s="78" t="str">
        <f t="shared" si="679"/>
        <v>GENERAL</v>
      </c>
      <c r="D270" s="23" t="s">
        <v>16</v>
      </c>
      <c r="E270" s="83">
        <f>IF($C270="GENERAL",SUMIFS(E$169:E$263,$D$169:$D$263,$D270),SUMIFS(E$169:E$263,$C$169:$C$263,$C270,$D$169:$D$263,$D270))</f>
        <v>5175</v>
      </c>
      <c r="F270" s="83">
        <f t="shared" si="680"/>
        <v>3133</v>
      </c>
      <c r="G270" s="83">
        <f t="shared" si="680"/>
        <v>869</v>
      </c>
      <c r="H270" s="83">
        <f t="shared" si="680"/>
        <v>347</v>
      </c>
      <c r="I270" s="83">
        <f t="shared" si="680"/>
        <v>607</v>
      </c>
      <c r="J270" s="83">
        <f t="shared" si="680"/>
        <v>649</v>
      </c>
      <c r="K270" s="83">
        <f t="shared" si="680"/>
        <v>663</v>
      </c>
      <c r="L270" s="83">
        <f>IF($C270="GENERAL",SUMIFS(L$169:L$263,$D$169:$D$263,$D270),SUMIFS(L$169:L$263,$C$169:$C$263,$C270,$D$169:$D$263,$D270))</f>
        <v>371</v>
      </c>
      <c r="M270" s="83">
        <f t="shared" si="680"/>
        <v>141</v>
      </c>
      <c r="N270" s="83">
        <f t="shared" si="680"/>
        <v>153</v>
      </c>
      <c r="O270" s="83">
        <f t="shared" si="681"/>
        <v>199</v>
      </c>
      <c r="P270" s="83">
        <f t="shared" si="681"/>
        <v>141</v>
      </c>
      <c r="Q270" s="83">
        <f t="shared" si="681"/>
        <v>94</v>
      </c>
      <c r="R270" s="83">
        <f t="shared" si="681"/>
        <v>123</v>
      </c>
      <c r="S270" s="83">
        <f t="shared" si="681"/>
        <v>113</v>
      </c>
      <c r="T270" s="83">
        <f t="shared" si="681"/>
        <v>0</v>
      </c>
      <c r="U270" s="83">
        <f t="shared" si="681"/>
        <v>3616</v>
      </c>
      <c r="V270" s="83">
        <f t="shared" si="681"/>
        <v>0</v>
      </c>
      <c r="W270" s="83">
        <f t="shared" si="681"/>
        <v>0</v>
      </c>
    </row>
    <row r="271" spans="2:50" ht="28.5" customHeight="1" x14ac:dyDescent="0.25">
      <c r="C271" s="78" t="str">
        <f t="shared" si="679"/>
        <v>GENERAL</v>
      </c>
      <c r="D271" s="23" t="s">
        <v>17</v>
      </c>
      <c r="E271" s="83">
        <f t="shared" si="680"/>
        <v>1</v>
      </c>
      <c r="F271" s="83">
        <f t="shared" si="680"/>
        <v>0</v>
      </c>
      <c r="G271" s="83">
        <f t="shared" si="680"/>
        <v>0</v>
      </c>
      <c r="H271" s="83">
        <f t="shared" si="680"/>
        <v>0</v>
      </c>
      <c r="I271" s="83">
        <f t="shared" si="680"/>
        <v>0</v>
      </c>
      <c r="J271" s="83">
        <f t="shared" si="680"/>
        <v>0</v>
      </c>
      <c r="K271" s="83">
        <f t="shared" si="680"/>
        <v>0</v>
      </c>
      <c r="L271" s="83">
        <f t="shared" si="680"/>
        <v>0</v>
      </c>
      <c r="M271" s="83">
        <f t="shared" si="680"/>
        <v>0</v>
      </c>
      <c r="N271" s="83">
        <f t="shared" si="680"/>
        <v>0</v>
      </c>
      <c r="O271" s="83">
        <f t="shared" si="681"/>
        <v>0</v>
      </c>
      <c r="P271" s="83">
        <f t="shared" si="681"/>
        <v>0</v>
      </c>
      <c r="Q271" s="83">
        <f t="shared" si="681"/>
        <v>0</v>
      </c>
      <c r="R271" s="83">
        <f t="shared" si="681"/>
        <v>0</v>
      </c>
      <c r="S271" s="83">
        <f t="shared" si="681"/>
        <v>0</v>
      </c>
      <c r="T271" s="83">
        <f t="shared" si="681"/>
        <v>0</v>
      </c>
      <c r="U271" s="83">
        <f t="shared" si="681"/>
        <v>0</v>
      </c>
      <c r="V271" s="83">
        <f t="shared" si="681"/>
        <v>0</v>
      </c>
      <c r="W271" s="83">
        <f t="shared" si="681"/>
        <v>0</v>
      </c>
    </row>
    <row r="272" spans="2:50" ht="28.5" customHeight="1" x14ac:dyDescent="0.25">
      <c r="C272" s="78" t="str">
        <f t="shared" si="679"/>
        <v>GENERAL</v>
      </c>
      <c r="D272" s="23" t="s">
        <v>18</v>
      </c>
      <c r="E272" s="83">
        <f>IF($C272="GENERAL",SUMIFS(E$169:E$263,$D$169:$D$263,$D272),SUMIFS(E$169:E$263,$C$169:$C$263,$C272,$D$169:$D$263,$D272))</f>
        <v>5176</v>
      </c>
      <c r="F272" s="83">
        <f>IF($C272="GENERAL",SUMIFS(F$169:F$263,$D$169:$D$263,$D272),SUMIFS(F$169:F$263,$C$169:$C$263,$C272,$D$169:$D$263,$D272))</f>
        <v>3142</v>
      </c>
      <c r="G272" s="83">
        <f t="shared" si="680"/>
        <v>869</v>
      </c>
      <c r="H272" s="83">
        <f t="shared" si="680"/>
        <v>347</v>
      </c>
      <c r="I272" s="83">
        <f t="shared" si="680"/>
        <v>607</v>
      </c>
      <c r="J272" s="83">
        <f t="shared" si="680"/>
        <v>649</v>
      </c>
      <c r="K272" s="83">
        <f t="shared" si="680"/>
        <v>663</v>
      </c>
      <c r="L272" s="83">
        <f t="shared" si="680"/>
        <v>371</v>
      </c>
      <c r="M272" s="83">
        <f t="shared" si="680"/>
        <v>141</v>
      </c>
      <c r="N272" s="83">
        <f t="shared" si="680"/>
        <v>153</v>
      </c>
      <c r="O272" s="83">
        <f t="shared" si="681"/>
        <v>199</v>
      </c>
      <c r="P272" s="83">
        <f t="shared" si="681"/>
        <v>141</v>
      </c>
      <c r="Q272" s="83">
        <f t="shared" si="681"/>
        <v>94</v>
      </c>
      <c r="R272" s="83">
        <f t="shared" si="681"/>
        <v>123</v>
      </c>
      <c r="S272" s="83">
        <f t="shared" si="681"/>
        <v>404</v>
      </c>
      <c r="T272" s="83">
        <f t="shared" si="681"/>
        <v>0</v>
      </c>
      <c r="U272" s="83">
        <f t="shared" si="681"/>
        <v>3616</v>
      </c>
      <c r="V272" s="83">
        <f t="shared" si="681"/>
        <v>0</v>
      </c>
      <c r="W272" s="83">
        <f t="shared" si="681"/>
        <v>0</v>
      </c>
    </row>
    <row r="273" spans="3:26" ht="28.5" customHeight="1" x14ac:dyDescent="0.25">
      <c r="C273" s="78" t="str">
        <f t="shared" si="679"/>
        <v>GENERAL</v>
      </c>
      <c r="D273" s="23" t="s">
        <v>48</v>
      </c>
      <c r="E273" s="83">
        <f>IF($C273="GENERAL",SUMIFS(E$169:E$263,$D$169:$D$263,$D273),SUMIFS(E$169:E$263,$C$169:$C$263,$C273,$D$169:$D$263,$D273))</f>
        <v>5176</v>
      </c>
      <c r="F273" s="83">
        <f t="shared" si="680"/>
        <v>8318</v>
      </c>
      <c r="G273" s="83">
        <f t="shared" si="680"/>
        <v>9187</v>
      </c>
      <c r="H273" s="83">
        <f>IF($C273="GENERAL",SUMIFS(H$169:H$263,$D$169:$D$263,$D273),SUMIFS(H$169:H$263,$C$169:$C$263,$C273,$D$169:$D$263,$D273))</f>
        <v>9534</v>
      </c>
      <c r="I273" s="83">
        <f>IF($C273="GENERAL",SUMIFS(I$169:I$263,$D$169:$D$263,$D273),SUMIFS(I$169:I$263,$C$169:$C$263,$C273,$D$169:$D$263,$D273))</f>
        <v>10141</v>
      </c>
      <c r="J273" s="83">
        <f>IF($C273="GENERAL",SUMIFS(J$169:J$263,$D$169:$D$263,$D273),SUMIFS(J$169:J$263,$C$169:$C$263,$C273,$D$169:$D$263,$D273))</f>
        <v>10790</v>
      </c>
      <c r="K273" s="83">
        <f t="shared" si="680"/>
        <v>11453</v>
      </c>
      <c r="L273" s="83">
        <f>IF($C273="GENERAL",SUMIFS(L$169:L$263,$D$169:$D$263,$D273),SUMIFS(L$169:L$263,$C$169:$C$263,$C273,$D$169:$D$263,$D273))</f>
        <v>11824</v>
      </c>
      <c r="M273" s="83">
        <f t="shared" si="680"/>
        <v>11965</v>
      </c>
      <c r="N273" s="83">
        <f t="shared" si="680"/>
        <v>12118</v>
      </c>
      <c r="O273" s="83">
        <f t="shared" si="681"/>
        <v>12317</v>
      </c>
      <c r="P273" s="83">
        <f t="shared" si="681"/>
        <v>12458</v>
      </c>
      <c r="Q273" s="83">
        <f t="shared" si="681"/>
        <v>12552</v>
      </c>
      <c r="R273" s="83">
        <f t="shared" si="681"/>
        <v>12675</v>
      </c>
      <c r="S273" s="83">
        <f t="shared" si="681"/>
        <v>13079</v>
      </c>
      <c r="T273" s="83">
        <f t="shared" si="681"/>
        <v>13079</v>
      </c>
      <c r="U273" s="83">
        <f t="shared" si="681"/>
        <v>16695</v>
      </c>
      <c r="V273" s="83">
        <f t="shared" si="681"/>
        <v>16695</v>
      </c>
      <c r="W273" s="83">
        <f t="shared" si="681"/>
        <v>16695</v>
      </c>
    </row>
    <row r="274" spans="3:26" ht="28.5" customHeight="1" x14ac:dyDescent="0.25">
      <c r="C274" s="78" t="str">
        <f t="shared" si="679"/>
        <v>GENERAL</v>
      </c>
      <c r="D274" s="86" t="s">
        <v>72</v>
      </c>
      <c r="E274" s="83">
        <f>VLOOKUP(E$266,LOHMANN,4,0)</f>
        <v>0.7</v>
      </c>
      <c r="F274" s="83">
        <f t="shared" ref="F274:W274" si="682">VLOOKUP(F$266,LOHMANN,4,0)</f>
        <v>0.7</v>
      </c>
      <c r="G274" s="83">
        <f t="shared" si="682"/>
        <v>0.7</v>
      </c>
      <c r="H274" s="83">
        <f t="shared" si="682"/>
        <v>0.5</v>
      </c>
      <c r="I274" s="83">
        <f t="shared" si="682"/>
        <v>0.3</v>
      </c>
      <c r="J274" s="83">
        <f t="shared" si="682"/>
        <v>0.18</v>
      </c>
      <c r="K274" s="83">
        <f t="shared" si="682"/>
        <v>0.18</v>
      </c>
      <c r="L274" s="83">
        <f t="shared" si="682"/>
        <v>0.16</v>
      </c>
      <c r="M274" s="83">
        <f t="shared" si="682"/>
        <v>0.16</v>
      </c>
      <c r="N274" s="83">
        <f t="shared" si="682"/>
        <v>0.16</v>
      </c>
      <c r="O274" s="83">
        <f t="shared" si="682"/>
        <v>0.16</v>
      </c>
      <c r="P274" s="83">
        <f t="shared" si="682"/>
        <v>0.16</v>
      </c>
      <c r="Q274" s="83">
        <f t="shared" si="682"/>
        <v>0.16</v>
      </c>
      <c r="R274" s="83">
        <f t="shared" si="682"/>
        <v>0.16</v>
      </c>
      <c r="S274" s="83">
        <f t="shared" si="682"/>
        <v>0.16</v>
      </c>
      <c r="T274" s="83">
        <f t="shared" si="682"/>
        <v>0.16</v>
      </c>
      <c r="U274" s="83">
        <f t="shared" si="682"/>
        <v>0.16</v>
      </c>
      <c r="V274" s="83">
        <f t="shared" si="682"/>
        <v>0.16</v>
      </c>
      <c r="W274" s="83">
        <f t="shared" si="682"/>
        <v>0.16</v>
      </c>
    </row>
    <row r="275" spans="3:26" ht="28.5" customHeight="1" x14ac:dyDescent="0.25">
      <c r="C275" s="78" t="str">
        <f t="shared" si="679"/>
        <v>GENERAL</v>
      </c>
      <c r="D275" s="308" t="s">
        <v>74</v>
      </c>
      <c r="E275" s="213">
        <f>IFERROR((E272/E267)*100,0)</f>
        <v>2.704807094370385</v>
      </c>
      <c r="F275" s="213">
        <f>IFERROR((F272/F267)*100,0)</f>
        <v>1.6875506882865079</v>
      </c>
      <c r="G275" s="213">
        <f>IFERROR((G272/G267)*100,0)</f>
        <v>0.47474664699937175</v>
      </c>
      <c r="H275" s="213">
        <f t="shared" ref="H275:W275" si="683">IFERROR((H272/H267)*100,0)</f>
        <v>0.19077569286762808</v>
      </c>
      <c r="I275" s="213">
        <f>IFERROR((I272/I267)*100,0)</f>
        <v>0.33411127501706334</v>
      </c>
      <c r="J275" s="213">
        <f t="shared" si="683"/>
        <v>0.35858730965588881</v>
      </c>
      <c r="K275" s="213">
        <f t="shared" si="683"/>
        <v>0.36716452625807849</v>
      </c>
      <c r="L275" s="213">
        <f t="shared" si="683"/>
        <v>0.20621421822022123</v>
      </c>
      <c r="M275" s="213">
        <f>IFERROR((M272/M267)*100,0)</f>
        <v>7.8534468834069476E-2</v>
      </c>
      <c r="N275" s="213">
        <f t="shared" si="683"/>
        <v>8.5285231719417168E-2</v>
      </c>
      <c r="O275" s="213">
        <f t="shared" si="683"/>
        <v>0.11102122792825463</v>
      </c>
      <c r="P275" s="213">
        <f t="shared" si="683"/>
        <v>7.8750712107503104E-2</v>
      </c>
      <c r="Q275" s="213">
        <f t="shared" si="683"/>
        <v>5.2541851820798749E-2</v>
      </c>
      <c r="R275" s="213">
        <f t="shared" si="683"/>
        <v>6.87877144023578E-2</v>
      </c>
      <c r="S275" s="213">
        <f t="shared" si="683"/>
        <v>0.2260924068767908</v>
      </c>
      <c r="T275" s="213">
        <f t="shared" si="683"/>
        <v>0</v>
      </c>
      <c r="U275" s="213">
        <f t="shared" si="683"/>
        <v>89.838509316770185</v>
      </c>
      <c r="V275" s="213">
        <f t="shared" si="683"/>
        <v>0</v>
      </c>
      <c r="W275" s="213">
        <f t="shared" si="683"/>
        <v>0</v>
      </c>
    </row>
    <row r="276" spans="3:26" ht="28.5" customHeight="1" x14ac:dyDescent="0.25">
      <c r="C276" s="78" t="str">
        <f t="shared" si="679"/>
        <v>GENERAL</v>
      </c>
      <c r="D276" s="87" t="s">
        <v>49</v>
      </c>
      <c r="E276" s="83">
        <f>VLOOKUP(E$266,LOHMANN,5,0)</f>
        <v>0.7</v>
      </c>
      <c r="F276" s="83">
        <f t="shared" ref="F276:W276" si="684">VLOOKUP(F$266,LOHMANN,5,0)</f>
        <v>0.7</v>
      </c>
      <c r="G276" s="83">
        <f t="shared" si="684"/>
        <v>1.4</v>
      </c>
      <c r="H276" s="83">
        <f t="shared" si="684"/>
        <v>1.9</v>
      </c>
      <c r="I276" s="83">
        <f t="shared" si="684"/>
        <v>2.1999999999999997</v>
      </c>
      <c r="J276" s="83">
        <f t="shared" si="684"/>
        <v>2.38</v>
      </c>
      <c r="K276" s="83">
        <f t="shared" si="684"/>
        <v>2.56</v>
      </c>
      <c r="L276" s="83">
        <f t="shared" si="684"/>
        <v>2.72</v>
      </c>
      <c r="M276" s="83">
        <f t="shared" si="684"/>
        <v>2.8800000000000003</v>
      </c>
      <c r="N276" s="83">
        <f t="shared" si="684"/>
        <v>3.0400000000000005</v>
      </c>
      <c r="O276" s="83">
        <f t="shared" si="684"/>
        <v>3.2000000000000006</v>
      </c>
      <c r="P276" s="83">
        <f t="shared" si="684"/>
        <v>3.3600000000000008</v>
      </c>
      <c r="Q276" s="83">
        <f t="shared" si="684"/>
        <v>3.5200000000000009</v>
      </c>
      <c r="R276" s="83">
        <f t="shared" si="684"/>
        <v>3.680000000000001</v>
      </c>
      <c r="S276" s="83">
        <f t="shared" si="684"/>
        <v>3.8400000000000012</v>
      </c>
      <c r="T276" s="83">
        <f t="shared" si="684"/>
        <v>4.0000000000000009</v>
      </c>
      <c r="U276" s="83">
        <f t="shared" si="684"/>
        <v>4.160000000000001</v>
      </c>
      <c r="V276" s="83">
        <f t="shared" si="684"/>
        <v>4.3200000000000012</v>
      </c>
      <c r="W276" s="83">
        <f t="shared" si="684"/>
        <v>4.4800000000000013</v>
      </c>
    </row>
    <row r="277" spans="3:26" ht="28.5" customHeight="1" x14ac:dyDescent="0.25">
      <c r="C277" s="78" t="str">
        <f t="shared" si="679"/>
        <v>GENERAL</v>
      </c>
      <c r="D277" s="309" t="s">
        <v>73</v>
      </c>
      <c r="E277" s="213">
        <f t="shared" ref="E277:J277" si="685">IFERROR((E273/E267)*100,0)</f>
        <v>2.704807094370385</v>
      </c>
      <c r="F277" s="213">
        <f t="shared" si="685"/>
        <v>4.4675514402187044</v>
      </c>
      <c r="G277" s="213">
        <f t="shared" si="685"/>
        <v>5.018984402742495</v>
      </c>
      <c r="H277" s="213">
        <f t="shared" si="685"/>
        <v>5.2416583740633023</v>
      </c>
      <c r="I277" s="213">
        <f t="shared" si="685"/>
        <v>5.5819150575750234</v>
      </c>
      <c r="J277" s="213">
        <f t="shared" si="685"/>
        <v>5.961721219086348</v>
      </c>
      <c r="K277" s="213">
        <f>IFERROR((K273/K267)*100,0)</f>
        <v>6.3425872084973935</v>
      </c>
      <c r="L277" s="213">
        <f t="shared" ref="L277:W277" si="686">IFERROR((L273/L267)*100,0)</f>
        <v>6.5721749763770783</v>
      </c>
      <c r="M277" s="213">
        <f t="shared" si="686"/>
        <v>6.6642902099265333</v>
      </c>
      <c r="N277" s="213">
        <f t="shared" si="686"/>
        <v>6.7548133201039029</v>
      </c>
      <c r="O277" s="213">
        <f t="shared" si="686"/>
        <v>6.8716003235794574</v>
      </c>
      <c r="P277" s="213">
        <f t="shared" si="686"/>
        <v>6.9579884498955575</v>
      </c>
      <c r="Q277" s="213">
        <f t="shared" si="686"/>
        <v>7.0160140856879352</v>
      </c>
      <c r="R277" s="213">
        <f t="shared" si="686"/>
        <v>7.0884900817063832</v>
      </c>
      <c r="S277" s="213">
        <f t="shared" si="686"/>
        <v>7.3194618553008599</v>
      </c>
      <c r="T277" s="213">
        <f t="shared" si="686"/>
        <v>12.610519211300197</v>
      </c>
      <c r="U277" s="213">
        <f t="shared" si="686"/>
        <v>414.78260869565213</v>
      </c>
      <c r="V277" s="213">
        <f t="shared" si="686"/>
        <v>0</v>
      </c>
      <c r="W277" s="213">
        <f t="shared" si="686"/>
        <v>0</v>
      </c>
    </row>
    <row r="278" spans="3:26" ht="28.5" customHeight="1" x14ac:dyDescent="0.25">
      <c r="C278" s="78" t="str">
        <f t="shared" si="679"/>
        <v>GENERAL</v>
      </c>
      <c r="D278" s="23" t="s">
        <v>9</v>
      </c>
      <c r="E278" s="83">
        <f t="shared" ref="E278:W278" si="687">IF($C278="GENERAL",SUMIFS(E$169:E$263,$D$169:$D$263,$D278),SUMIFS(E$169:E$263,$C$169:$C$263,$C278,$D$169:$D$263,$D278))</f>
        <v>12780</v>
      </c>
      <c r="F278" s="83">
        <f t="shared" si="687"/>
        <v>16560</v>
      </c>
      <c r="G278" s="83">
        <f t="shared" si="687"/>
        <v>21780</v>
      </c>
      <c r="H278" s="83">
        <f t="shared" si="687"/>
        <v>33660</v>
      </c>
      <c r="I278" s="83">
        <f t="shared" si="687"/>
        <v>38712</v>
      </c>
      <c r="J278" s="83">
        <f t="shared" si="687"/>
        <v>43326</v>
      </c>
      <c r="K278" s="83">
        <f t="shared" si="687"/>
        <v>40266</v>
      </c>
      <c r="L278" s="83">
        <f t="shared" si="687"/>
        <v>47358</v>
      </c>
      <c r="M278" s="83">
        <f t="shared" si="687"/>
        <v>39006</v>
      </c>
      <c r="N278" s="83">
        <f t="shared" si="687"/>
        <v>36882</v>
      </c>
      <c r="O278" s="83">
        <f t="shared" si="687"/>
        <v>51642</v>
      </c>
      <c r="P278" s="83">
        <f t="shared" si="687"/>
        <v>50796</v>
      </c>
      <c r="Q278" s="83">
        <f t="shared" si="687"/>
        <v>64874</v>
      </c>
      <c r="R278" s="83">
        <f t="shared" si="687"/>
        <v>53922</v>
      </c>
      <c r="S278" s="83">
        <f t="shared" si="687"/>
        <v>37260</v>
      </c>
      <c r="T278" s="83">
        <f t="shared" si="687"/>
        <v>3960</v>
      </c>
      <c r="U278" s="83">
        <f t="shared" si="687"/>
        <v>0</v>
      </c>
      <c r="V278" s="83">
        <f t="shared" si="687"/>
        <v>0</v>
      </c>
      <c r="W278" s="83">
        <f t="shared" si="687"/>
        <v>0</v>
      </c>
    </row>
    <row r="279" spans="3:26" ht="28.5" customHeight="1" x14ac:dyDescent="0.25">
      <c r="C279" s="78" t="str">
        <f t="shared" si="679"/>
        <v>GENERAL</v>
      </c>
      <c r="D279" s="86" t="s">
        <v>75</v>
      </c>
      <c r="E279" s="83">
        <f>VLOOKUP(E$266,LOHMANN,6,0)</f>
        <v>10</v>
      </c>
      <c r="F279" s="83">
        <f t="shared" ref="F279:W279" si="688">VLOOKUP(F$266,LOHMANN,6,0)</f>
        <v>10</v>
      </c>
      <c r="G279" s="83">
        <f t="shared" si="688"/>
        <v>17</v>
      </c>
      <c r="H279" s="83">
        <f t="shared" si="688"/>
        <v>23</v>
      </c>
      <c r="I279" s="83">
        <f t="shared" si="688"/>
        <v>29</v>
      </c>
      <c r="J279" s="83">
        <f t="shared" si="688"/>
        <v>34</v>
      </c>
      <c r="K279" s="83">
        <f t="shared" si="688"/>
        <v>38</v>
      </c>
      <c r="L279" s="83">
        <f t="shared" si="688"/>
        <v>42</v>
      </c>
      <c r="M279" s="83">
        <f t="shared" si="688"/>
        <v>46</v>
      </c>
      <c r="N279" s="83">
        <f t="shared" si="688"/>
        <v>49</v>
      </c>
      <c r="O279" s="83">
        <f t="shared" si="688"/>
        <v>52</v>
      </c>
      <c r="P279" s="83">
        <f t="shared" si="688"/>
        <v>55</v>
      </c>
      <c r="Q279" s="83">
        <f t="shared" si="688"/>
        <v>58</v>
      </c>
      <c r="R279" s="83">
        <f t="shared" si="688"/>
        <v>61</v>
      </c>
      <c r="S279" s="83">
        <f t="shared" si="688"/>
        <v>64</v>
      </c>
      <c r="T279" s="83">
        <f t="shared" si="688"/>
        <v>67</v>
      </c>
      <c r="U279" s="83">
        <f t="shared" si="688"/>
        <v>71</v>
      </c>
      <c r="V279" s="83">
        <f t="shared" si="688"/>
        <v>75</v>
      </c>
      <c r="W279" s="83">
        <f t="shared" si="688"/>
        <v>79</v>
      </c>
    </row>
    <row r="280" spans="3:26" ht="28.5" customHeight="1" x14ac:dyDescent="0.25">
      <c r="C280" s="78" t="str">
        <f t="shared" si="679"/>
        <v>GENERAL</v>
      </c>
      <c r="D280" s="308" t="s">
        <v>62</v>
      </c>
      <c r="E280" s="212">
        <f>IF($C280="GENERAL",SUMIFS(E$169:E$263,$D$169:$D$263,$D280),SUMIFS(E$169:E$263,$C$169:$C$263,$C280,$D$169:$D$263,$D280))</f>
        <v>14.131738033848137</v>
      </c>
      <c r="F280" s="212">
        <f t="shared" ref="F280:W280" si="689">IF($C280="GENERAL",SUMIFS(F$169:F$263,$D$169:$D$263,$D280),SUMIFS(F$169:F$263,$C$169:$C$263,$C280,$D$169:$D$263,$D280))</f>
        <v>12.811980544928717</v>
      </c>
      <c r="G280" s="212">
        <f t="shared" si="689"/>
        <v>17.049925525191348</v>
      </c>
      <c r="H280" s="212">
        <f t="shared" si="689"/>
        <v>33.221400593502779</v>
      </c>
      <c r="I280" s="212">
        <f t="shared" si="689"/>
        <v>163.92440229069061</v>
      </c>
      <c r="J280" s="212">
        <f t="shared" si="689"/>
        <v>97.454219916010459</v>
      </c>
      <c r="K280" s="212">
        <f t="shared" si="689"/>
        <v>100.51260685221177</v>
      </c>
      <c r="L280" s="212">
        <f t="shared" si="689"/>
        <v>120.58647806833093</v>
      </c>
      <c r="M280" s="212">
        <f t="shared" si="689"/>
        <v>97.702236375971182</v>
      </c>
      <c r="N280" s="212">
        <f t="shared" si="689"/>
        <v>94.35274256417533</v>
      </c>
      <c r="O280" s="212">
        <f t="shared" si="689"/>
        <v>129.06477610111901</v>
      </c>
      <c r="P280" s="212">
        <f t="shared" si="689"/>
        <v>126.88350733779026</v>
      </c>
      <c r="Q280" s="212">
        <f t="shared" si="689"/>
        <v>162.77061276998006</v>
      </c>
      <c r="R280" s="212">
        <f t="shared" si="689"/>
        <v>137.06154651796902</v>
      </c>
      <c r="S280" s="212">
        <f t="shared" si="689"/>
        <v>95.975996309667678</v>
      </c>
      <c r="T280" s="212">
        <f t="shared" si="689"/>
        <v>10.832826066240965</v>
      </c>
      <c r="U280" s="212">
        <f t="shared" si="689"/>
        <v>0</v>
      </c>
      <c r="V280" s="212">
        <f t="shared" si="689"/>
        <v>0</v>
      </c>
      <c r="W280" s="212">
        <f t="shared" si="689"/>
        <v>0</v>
      </c>
    </row>
    <row r="281" spans="3:26" ht="28.5" customHeight="1" x14ac:dyDescent="0.25">
      <c r="C281" s="78" t="str">
        <f t="shared" si="679"/>
        <v>GENERAL</v>
      </c>
      <c r="D281" s="86" t="s">
        <v>142</v>
      </c>
      <c r="E281" s="83">
        <f t="shared" ref="E281:W281" si="690">VLOOKUP(E$266,LOHMANN,7,0)</f>
        <v>70</v>
      </c>
      <c r="F281" s="83">
        <f t="shared" si="690"/>
        <v>70</v>
      </c>
      <c r="G281" s="83">
        <f t="shared" si="690"/>
        <v>189</v>
      </c>
      <c r="H281" s="83">
        <f t="shared" si="690"/>
        <v>350</v>
      </c>
      <c r="I281" s="83">
        <f t="shared" si="690"/>
        <v>553</v>
      </c>
      <c r="J281" s="83">
        <f t="shared" si="690"/>
        <v>791</v>
      </c>
      <c r="K281" s="83">
        <f t="shared" si="690"/>
        <v>1057</v>
      </c>
      <c r="L281" s="83">
        <f t="shared" si="690"/>
        <v>1351</v>
      </c>
      <c r="M281" s="83">
        <f t="shared" si="690"/>
        <v>1673</v>
      </c>
      <c r="N281" s="83">
        <f t="shared" si="690"/>
        <v>2016</v>
      </c>
      <c r="O281" s="83">
        <f t="shared" si="690"/>
        <v>2380</v>
      </c>
      <c r="P281" s="83">
        <f t="shared" si="690"/>
        <v>2765</v>
      </c>
      <c r="Q281" s="83">
        <f t="shared" si="690"/>
        <v>3171</v>
      </c>
      <c r="R281" s="83">
        <f t="shared" si="690"/>
        <v>3598</v>
      </c>
      <c r="S281" s="83">
        <f t="shared" si="690"/>
        <v>4046</v>
      </c>
      <c r="T281" s="83">
        <f t="shared" si="690"/>
        <v>4515</v>
      </c>
      <c r="U281" s="83">
        <f t="shared" si="690"/>
        <v>5012</v>
      </c>
      <c r="V281" s="83">
        <f t="shared" si="690"/>
        <v>5537</v>
      </c>
      <c r="W281" s="83">
        <f t="shared" si="690"/>
        <v>6090</v>
      </c>
    </row>
    <row r="282" spans="3:26" ht="28.5" customHeight="1" x14ac:dyDescent="0.25">
      <c r="C282" s="78" t="str">
        <f t="shared" si="679"/>
        <v>GENERAL</v>
      </c>
      <c r="D282" s="24" t="s">
        <v>50</v>
      </c>
      <c r="E282" s="83">
        <f>IF($C282="GENERAL",AVERAGEIFS(E$169:E$263,$D$169:$D$263,$D282),SUMIFS(E$169:E$263,$C$169:$C$263,$C282,$D$169:$D$263,$D282))</f>
        <v>32.974055412312318</v>
      </c>
      <c r="F282" s="83">
        <f>IF($C282="GENERAL",(F278/F267*1000)+E282,SUMIFS(F$169:F$263,$C$169:$C$263,$C282,$D$169:$D$263,$D282))</f>
        <v>121.91689245249236</v>
      </c>
      <c r="G282" s="83">
        <f>IF($C282="GENERAL",(G278/G267*1000)+F282,SUMIFS(G$169:G$263,$C$169:$C$263,$C282,$D$169:$D$263,$D282))</f>
        <v>240.9040267637273</v>
      </c>
      <c r="H282" s="83">
        <f t="shared" ref="H282:W282" si="691">IF($C282="GENERAL",(H278/H267*1000)+G282,SUMIFS(H$169:H$263,$C$169:$C$263,$C282,$D$169:$D$263,$D282))</f>
        <v>425.9619467039106</v>
      </c>
      <c r="I282" s="83">
        <f t="shared" si="691"/>
        <v>639.04457732105323</v>
      </c>
      <c r="J282" s="83">
        <f t="shared" si="691"/>
        <v>878.43061396436656</v>
      </c>
      <c r="K282" s="83">
        <f t="shared" si="691"/>
        <v>1101.4207619931417</v>
      </c>
      <c r="L282" s="83">
        <f t="shared" si="691"/>
        <v>1364.6523778010455</v>
      </c>
      <c r="M282" s="83">
        <f t="shared" si="691"/>
        <v>1581.908795626699</v>
      </c>
      <c r="N282" s="83">
        <f t="shared" si="691"/>
        <v>1787.4963718538588</v>
      </c>
      <c r="O282" s="83">
        <f t="shared" si="691"/>
        <v>2075.6048267619453</v>
      </c>
      <c r="P282" s="83">
        <f t="shared" si="691"/>
        <v>2359.3084559968906</v>
      </c>
      <c r="Q282" s="83">
        <f t="shared" si="691"/>
        <v>2721.9254873822629</v>
      </c>
      <c r="R282" s="83">
        <f t="shared" si="691"/>
        <v>3023.4841163256724</v>
      </c>
      <c r="S282" s="83">
        <f t="shared" si="691"/>
        <v>3232.0039945491681</v>
      </c>
      <c r="T282" s="83">
        <f t="shared" si="691"/>
        <v>3270.1855497726169</v>
      </c>
      <c r="U282" s="83">
        <f t="shared" si="691"/>
        <v>3270.1855497726169</v>
      </c>
      <c r="V282" s="83" t="e">
        <f t="shared" si="691"/>
        <v>#DIV/0!</v>
      </c>
      <c r="W282" s="83" t="e">
        <f t="shared" si="691"/>
        <v>#DIV/0!</v>
      </c>
    </row>
    <row r="283" spans="3:26" ht="28.5" customHeight="1" x14ac:dyDescent="0.25">
      <c r="C283" s="78" t="str">
        <f t="shared" si="679"/>
        <v>GENERAL</v>
      </c>
      <c r="D283" s="86" t="s">
        <v>63</v>
      </c>
      <c r="E283" s="83">
        <f t="shared" ref="E283:W283" si="692">VLOOKUP(E$266,LOHMANN,2,0)</f>
        <v>40</v>
      </c>
      <c r="F283" s="83">
        <f t="shared" si="692"/>
        <v>70</v>
      </c>
      <c r="G283" s="83">
        <f t="shared" si="692"/>
        <v>120</v>
      </c>
      <c r="H283" s="83">
        <f t="shared" si="692"/>
        <v>185</v>
      </c>
      <c r="I283" s="83">
        <f t="shared" si="692"/>
        <v>255</v>
      </c>
      <c r="J283" s="83">
        <f t="shared" si="692"/>
        <v>334</v>
      </c>
      <c r="K283" s="83">
        <f t="shared" si="692"/>
        <v>425</v>
      </c>
      <c r="L283" s="83">
        <f t="shared" si="692"/>
        <v>524</v>
      </c>
      <c r="M283" s="83">
        <f t="shared" si="692"/>
        <v>618</v>
      </c>
      <c r="N283" s="83">
        <f t="shared" si="692"/>
        <v>712</v>
      </c>
      <c r="O283" s="83">
        <f t="shared" si="692"/>
        <v>802</v>
      </c>
      <c r="P283" s="83">
        <f t="shared" si="692"/>
        <v>880</v>
      </c>
      <c r="Q283" s="83">
        <f t="shared" si="692"/>
        <v>950</v>
      </c>
      <c r="R283" s="83">
        <f t="shared" si="692"/>
        <v>1010</v>
      </c>
      <c r="S283" s="83">
        <f t="shared" si="692"/>
        <v>1065</v>
      </c>
      <c r="T283" s="83">
        <f t="shared" si="692"/>
        <v>1115</v>
      </c>
      <c r="U283" s="83">
        <f t="shared" si="692"/>
        <v>1160</v>
      </c>
      <c r="V283" s="83">
        <f t="shared" si="692"/>
        <v>1207</v>
      </c>
      <c r="W283" s="83">
        <f t="shared" si="692"/>
        <v>1257</v>
      </c>
    </row>
    <row r="284" spans="3:26" ht="28.5" customHeight="1" x14ac:dyDescent="0.25">
      <c r="C284" s="78" t="str">
        <f t="shared" si="679"/>
        <v>GENERAL</v>
      </c>
      <c r="D284" s="308" t="s">
        <v>64</v>
      </c>
      <c r="E284" s="294">
        <f>IF($C284="GENERAL",SUM(E185),SUMIFS(E$169:E$263,$C$169:$C$263,$C284,$D$169:$D$263,$D284))</f>
        <v>36.64</v>
      </c>
      <c r="F284" s="294">
        <f>IF($C284="GENERAL",SUM(F185),SUMIFS(F$169:F$263,$C$169:$C$263,$C284,$D$169:$D$263,$D284))</f>
        <v>72.959999999999994</v>
      </c>
      <c r="G284" s="294">
        <f>IF($C284="GENERAL",SUM(G185),SUMIFS(G$169:G$263,$C$169:$C$263,$C284,$D$169:$D$263,$D284))</f>
        <v>116</v>
      </c>
      <c r="H284" s="294">
        <f>IF($C284="GENERAL",SUM(H185+H233+H208)/3,SUMIFS(H$169:H$263,$C$169:$C$263,$C284,$D$169:$D$263,$D284))</f>
        <v>184</v>
      </c>
      <c r="I284" s="294">
        <f>IF($C284="GENERAL",SUM(I208+I257+I233)/3,SUMIFS(I$169:I$263,$C$169:$C$263,$C284,$D$169:$D$263,$D284))</f>
        <v>235</v>
      </c>
      <c r="J284" s="294">
        <f>IF($C284="GENERAL",SUM(J208+J257+J233)/3,SUMIFS(J$169:J$263,$C$169:$C$263,$C284,$D$169:$D$263,$D284))</f>
        <v>325.33333333333331</v>
      </c>
      <c r="K284" s="294">
        <f>IF($C284="GENERAL",SUM(K208+K257+K233)/3,SUMIFS(K$169:K$263,$C$169:$C$263,$C284,$D$169:$D$263,$D284))</f>
        <v>399.66666666666669</v>
      </c>
      <c r="L284" s="294">
        <f t="shared" ref="L284:W284" si="693">IF($C284="GENERAL",SUM(L208+L257+L233)/3,SUMIFS(L$169:L$263,$C$169:$C$263,$C284,$D$169:$D$263,$D284))</f>
        <v>511.4666666666667</v>
      </c>
      <c r="M284" s="294">
        <f t="shared" si="693"/>
        <v>403.33333333333331</v>
      </c>
      <c r="N284" s="294">
        <f t="shared" si="693"/>
        <v>687.66666666666663</v>
      </c>
      <c r="O284" s="294">
        <f t="shared" si="693"/>
        <v>790</v>
      </c>
      <c r="P284" s="294">
        <f t="shared" si="693"/>
        <v>870.66666666666663</v>
      </c>
      <c r="Q284" s="294">
        <f t="shared" si="693"/>
        <v>907.33333333333337</v>
      </c>
      <c r="R284" s="294">
        <f t="shared" si="693"/>
        <v>991.66666666666663</v>
      </c>
      <c r="S284" s="294">
        <f>IF($C284="GENERAL",SUM(S208+S257+S233)/3,SUMIFS(S$169:S$263,$C$169:$C$263,$C284,$D$169:$D$263,$D284))</f>
        <v>1052</v>
      </c>
      <c r="T284" s="294">
        <f t="shared" si="693"/>
        <v>0</v>
      </c>
      <c r="U284" s="294">
        <f t="shared" si="693"/>
        <v>0</v>
      </c>
      <c r="V284" s="294">
        <f t="shared" si="693"/>
        <v>0</v>
      </c>
      <c r="W284" s="294">
        <f t="shared" si="693"/>
        <v>0</v>
      </c>
      <c r="X284" s="884" t="s">
        <v>164</v>
      </c>
      <c r="Y284" s="884"/>
      <c r="Z284" s="884"/>
    </row>
    <row r="285" spans="3:26" ht="28.5" customHeight="1" x14ac:dyDescent="0.25">
      <c r="C285" s="78" t="str">
        <f t="shared" si="679"/>
        <v>GENERAL</v>
      </c>
      <c r="D285" s="23" t="s">
        <v>15</v>
      </c>
      <c r="E285" s="295">
        <f>E283-E284</f>
        <v>3.3599999999999994</v>
      </c>
      <c r="F285" s="295">
        <f>F283-F284</f>
        <v>-2.9599999999999937</v>
      </c>
      <c r="G285" s="295">
        <f t="shared" ref="G285:W285" si="694">G283-G284</f>
        <v>4</v>
      </c>
      <c r="H285" s="295">
        <f t="shared" si="694"/>
        <v>1</v>
      </c>
      <c r="I285" s="295">
        <f t="shared" si="694"/>
        <v>20</v>
      </c>
      <c r="J285" s="295">
        <f t="shared" si="694"/>
        <v>8.6666666666666856</v>
      </c>
      <c r="K285" s="295">
        <f t="shared" si="694"/>
        <v>25.333333333333314</v>
      </c>
      <c r="L285" s="295">
        <f t="shared" si="694"/>
        <v>12.533333333333303</v>
      </c>
      <c r="M285" s="295">
        <f t="shared" si="694"/>
        <v>214.66666666666669</v>
      </c>
      <c r="N285" s="295">
        <f t="shared" si="694"/>
        <v>24.333333333333371</v>
      </c>
      <c r="O285" s="295">
        <f t="shared" si="694"/>
        <v>12</v>
      </c>
      <c r="P285" s="295">
        <f t="shared" si="694"/>
        <v>9.3333333333333712</v>
      </c>
      <c r="Q285" s="295">
        <f t="shared" si="694"/>
        <v>42.666666666666629</v>
      </c>
      <c r="R285" s="295">
        <f t="shared" si="694"/>
        <v>18.333333333333371</v>
      </c>
      <c r="S285" s="295">
        <f t="shared" si="694"/>
        <v>13</v>
      </c>
      <c r="T285" s="295">
        <f t="shared" si="694"/>
        <v>1115</v>
      </c>
      <c r="U285" s="295">
        <f t="shared" si="694"/>
        <v>1160</v>
      </c>
      <c r="V285" s="295">
        <f t="shared" si="694"/>
        <v>1207</v>
      </c>
      <c r="W285" s="295">
        <f t="shared" si="694"/>
        <v>1257</v>
      </c>
    </row>
    <row r="286" spans="3:26" ht="28.5" customHeight="1" x14ac:dyDescent="0.25">
      <c r="C286" s="78" t="str">
        <f t="shared" si="679"/>
        <v>GENERAL</v>
      </c>
      <c r="D286" s="86" t="s">
        <v>65</v>
      </c>
      <c r="E286" s="83">
        <f>VLOOKUP(E$266,LOHMANN,3,0)</f>
        <v>77</v>
      </c>
      <c r="F286" s="83">
        <f t="shared" ref="F286:W286" si="695">VLOOKUP(F$266,LOHMANN,3,0)</f>
        <v>77</v>
      </c>
      <c r="G286" s="83">
        <f t="shared" si="695"/>
        <v>77</v>
      </c>
      <c r="H286" s="83">
        <f t="shared" si="695"/>
        <v>77</v>
      </c>
      <c r="I286" s="83">
        <f t="shared" si="695"/>
        <v>79</v>
      </c>
      <c r="J286" s="83">
        <f t="shared" si="695"/>
        <v>79</v>
      </c>
      <c r="K286" s="83">
        <f t="shared" si="695"/>
        <v>79</v>
      </c>
      <c r="L286" s="83">
        <f t="shared" si="695"/>
        <v>79</v>
      </c>
      <c r="M286" s="83">
        <f t="shared" si="695"/>
        <v>79</v>
      </c>
      <c r="N286" s="83">
        <f t="shared" si="695"/>
        <v>79</v>
      </c>
      <c r="O286" s="83">
        <f t="shared" si="695"/>
        <v>80</v>
      </c>
      <c r="P286" s="83">
        <f t="shared" si="695"/>
        <v>80</v>
      </c>
      <c r="Q286" s="83">
        <f t="shared" si="695"/>
        <v>82</v>
      </c>
      <c r="R286" s="83">
        <f t="shared" si="695"/>
        <v>82</v>
      </c>
      <c r="S286" s="83">
        <f t="shared" si="695"/>
        <v>84</v>
      </c>
      <c r="T286" s="83">
        <f t="shared" si="695"/>
        <v>86</v>
      </c>
      <c r="U286" s="83">
        <f t="shared" si="695"/>
        <v>86</v>
      </c>
      <c r="V286" s="83">
        <f t="shared" si="695"/>
        <v>86</v>
      </c>
      <c r="W286" s="83">
        <f t="shared" si="695"/>
        <v>86</v>
      </c>
    </row>
    <row r="287" spans="3:26" ht="28.5" customHeight="1" x14ac:dyDescent="0.25">
      <c r="C287" s="78" t="str">
        <f t="shared" si="679"/>
        <v>GENERAL</v>
      </c>
      <c r="D287" s="308" t="s">
        <v>66</v>
      </c>
      <c r="E287" s="294">
        <f>IF($C287="GENERAL",SUM(E188),SUMIFS(E$169:E$263,$C$169:$C$263,$C287,$D$169:$D$263,$D287))</f>
        <v>77</v>
      </c>
      <c r="F287" s="294">
        <f>IF($C287="GENERAL",SUM(F188),SUMIFS(F$169:F$263,$C$169:$C$263,$C287,$D$169:$D$263,$D287))</f>
        <v>72</v>
      </c>
      <c r="G287" s="294">
        <f>IF($C287="GENERAL",SUM(G188),SUMIFS(G$169:G$263,$C$169:$C$263,$C287,$D$169:$D$263,$D287))</f>
        <v>64</v>
      </c>
      <c r="H287" s="294">
        <f>IF($C287="GENERAL",SUM(H188+H211+H236)/3,SUMIFS(H$169:H$263,$C$169:$C$263,$C287,$D$169:$D$263,$D287))</f>
        <v>85</v>
      </c>
      <c r="I287" s="294">
        <f>IF($C287="GENERAL",SUM(I211+I236+I260)/3,SUMIFS(I$169:I$263,$C$169:$C$263,$C287,$D$169:$D$263,$D287))</f>
        <v>66.666666666666671</v>
      </c>
      <c r="J287" s="294">
        <f>IF($C287="GENERAL",SUM(J211+J236+J260)/3,SUMIFS(J$169:J$263,$C$169:$C$263,$C287,$D$169:$D$263,$D287))</f>
        <v>58.666666666666664</v>
      </c>
      <c r="K287" s="294">
        <f>IF($C287="GENERAL",SUM(K211+K236+K260)/3,SUMIFS(K$169:K$263,$C$169:$C$263,$C287,$D$169:$D$263,$D287))</f>
        <v>61.333333333333336</v>
      </c>
      <c r="L287" s="294">
        <f>IF($C287="GENERAL",SUM(L211+L236+L260)/3,SUMIFS(L$169:L$263,$C$169:$C$263,$C287,$D$169:$D$263,$D287))</f>
        <v>74</v>
      </c>
      <c r="M287" s="294">
        <f>IF($C287="GENERAL",SUM(M211+M236+M260)/3,SUMIFS(M$169:M$263,$C$169:$C$263,$C287,$D$169:$D$263,$D287))</f>
        <v>58</v>
      </c>
      <c r="N287" s="294">
        <f t="shared" ref="N287:W287" si="696">IF($C287="GENERAL",SUM(N211+N236+N260)/3,SUMIFS(N$169:N$263,$C$169:$C$263,$C287,$D$169:$D$263,$D287))</f>
        <v>71.333333333333329</v>
      </c>
      <c r="O287" s="294">
        <f t="shared" si="696"/>
        <v>76.666666666666671</v>
      </c>
      <c r="P287" s="294">
        <f t="shared" si="696"/>
        <v>83.666666666666671</v>
      </c>
      <c r="Q287" s="294">
        <f t="shared" si="696"/>
        <v>73</v>
      </c>
      <c r="R287" s="294">
        <f t="shared" si="696"/>
        <v>71.333333333333329</v>
      </c>
      <c r="S287" s="294">
        <f>IF($C287="GENERAL",SUM(S211+S236+S260)/3,SUMIFS(S$169:S$263,$C$169:$C$263,$C287,$D$169:$D$263,$D287))</f>
        <v>73</v>
      </c>
      <c r="T287" s="294">
        <f t="shared" si="696"/>
        <v>0</v>
      </c>
      <c r="U287" s="294">
        <f t="shared" si="696"/>
        <v>0</v>
      </c>
      <c r="V287" s="294">
        <f t="shared" si="696"/>
        <v>0</v>
      </c>
      <c r="W287" s="294">
        <f t="shared" si="696"/>
        <v>0</v>
      </c>
      <c r="X287" s="884" t="s">
        <v>164</v>
      </c>
      <c r="Y287" s="884"/>
      <c r="Z287" s="884"/>
    </row>
    <row r="288" spans="3:26" ht="28.5" customHeight="1" x14ac:dyDescent="0.25">
      <c r="C288" s="78" t="str">
        <f t="shared" si="679"/>
        <v>GENERAL</v>
      </c>
      <c r="D288" s="23" t="s">
        <v>15</v>
      </c>
      <c r="E288" s="295">
        <f>E286-E287</f>
        <v>0</v>
      </c>
      <c r="F288" s="295">
        <f>F286-F287</f>
        <v>5</v>
      </c>
      <c r="G288" s="295">
        <f t="shared" ref="G288:W288" si="697">G286-G287</f>
        <v>13</v>
      </c>
      <c r="H288" s="295">
        <f t="shared" si="697"/>
        <v>-8</v>
      </c>
      <c r="I288" s="295">
        <f t="shared" si="697"/>
        <v>12.333333333333329</v>
      </c>
      <c r="J288" s="295">
        <f t="shared" si="697"/>
        <v>20.333333333333336</v>
      </c>
      <c r="K288" s="295">
        <f>K286-K287</f>
        <v>17.666666666666664</v>
      </c>
      <c r="L288" s="295">
        <f t="shared" si="697"/>
        <v>5</v>
      </c>
      <c r="M288" s="295">
        <f t="shared" si="697"/>
        <v>21</v>
      </c>
      <c r="N288" s="295">
        <f t="shared" si="697"/>
        <v>7.6666666666666714</v>
      </c>
      <c r="O288" s="295">
        <f t="shared" si="697"/>
        <v>3.3333333333333286</v>
      </c>
      <c r="P288" s="295">
        <f t="shared" si="697"/>
        <v>-3.6666666666666714</v>
      </c>
      <c r="Q288" s="295">
        <f t="shared" si="697"/>
        <v>9</v>
      </c>
      <c r="R288" s="295">
        <f t="shared" si="697"/>
        <v>10.666666666666671</v>
      </c>
      <c r="S288" s="295">
        <f t="shared" si="697"/>
        <v>11</v>
      </c>
      <c r="T288" s="295">
        <f t="shared" si="697"/>
        <v>86</v>
      </c>
      <c r="U288" s="295">
        <f t="shared" si="697"/>
        <v>86</v>
      </c>
      <c r="V288" s="295">
        <f t="shared" si="697"/>
        <v>86</v>
      </c>
      <c r="W288" s="295">
        <f t="shared" si="697"/>
        <v>86</v>
      </c>
    </row>
    <row r="289" spans="1:23" x14ac:dyDescent="0.25">
      <c r="D289" s="85"/>
      <c r="E289" s="85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</row>
    <row r="290" spans="1:23" x14ac:dyDescent="0.25">
      <c r="D290" s="85"/>
      <c r="E290" s="320">
        <v>0</v>
      </c>
      <c r="F290" s="320">
        <v>1</v>
      </c>
      <c r="G290" s="320">
        <v>2</v>
      </c>
      <c r="H290" s="320">
        <v>3</v>
      </c>
      <c r="I290" s="320">
        <v>4</v>
      </c>
      <c r="J290" s="320">
        <v>5</v>
      </c>
      <c r="K290" s="320">
        <v>6</v>
      </c>
      <c r="L290" s="320">
        <v>7</v>
      </c>
      <c r="M290" s="320">
        <v>8</v>
      </c>
      <c r="N290" s="320">
        <v>9</v>
      </c>
      <c r="O290" s="320">
        <v>10</v>
      </c>
      <c r="P290" s="320">
        <v>11</v>
      </c>
      <c r="Q290" s="320">
        <v>12</v>
      </c>
      <c r="R290" s="320">
        <v>13</v>
      </c>
      <c r="S290" s="320">
        <v>14</v>
      </c>
      <c r="T290" s="320">
        <v>15</v>
      </c>
      <c r="U290" s="320">
        <v>16</v>
      </c>
      <c r="V290" s="320">
        <v>17</v>
      </c>
      <c r="W290" s="320">
        <v>18</v>
      </c>
    </row>
    <row r="291" spans="1:23" ht="25.5" customHeight="1" x14ac:dyDescent="0.25">
      <c r="A291" s="10" t="s">
        <v>86</v>
      </c>
      <c r="B291" s="883" t="s">
        <v>42</v>
      </c>
      <c r="C291" s="317" t="str">
        <f>C288</f>
        <v>GENERAL</v>
      </c>
      <c r="D291" s="24" t="s">
        <v>67</v>
      </c>
      <c r="E291" s="83">
        <f t="shared" ref="E291:W291" si="698">IF($C291="GENERAL",SUMIFS(E$169:E$263,$D$169:$D$263,$D291),SUMIFS(E$169:E$263,$C$169:$C$263,$C291,$D$169:$D$263,$D291))</f>
        <v>191363</v>
      </c>
      <c r="F291" s="83">
        <f t="shared" si="698"/>
        <v>186187</v>
      </c>
      <c r="G291" s="83">
        <f t="shared" si="698"/>
        <v>183045</v>
      </c>
      <c r="H291" s="83">
        <f t="shared" si="698"/>
        <v>181889</v>
      </c>
      <c r="I291" s="83">
        <f t="shared" si="698"/>
        <v>181676</v>
      </c>
      <c r="J291" s="83">
        <f t="shared" si="698"/>
        <v>180988</v>
      </c>
      <c r="K291" s="83">
        <f t="shared" si="698"/>
        <v>180573</v>
      </c>
      <c r="L291" s="83">
        <f t="shared" si="698"/>
        <v>179910</v>
      </c>
      <c r="M291" s="83">
        <f t="shared" si="698"/>
        <v>179539</v>
      </c>
      <c r="N291" s="83">
        <f t="shared" si="698"/>
        <v>179398</v>
      </c>
      <c r="O291" s="83">
        <f t="shared" si="698"/>
        <v>179245</v>
      </c>
      <c r="P291" s="83">
        <f t="shared" si="698"/>
        <v>179046</v>
      </c>
      <c r="Q291" s="83">
        <f t="shared" si="698"/>
        <v>178905</v>
      </c>
      <c r="R291" s="83">
        <f t="shared" si="698"/>
        <v>178811</v>
      </c>
      <c r="S291" s="83">
        <f t="shared" si="698"/>
        <v>178688</v>
      </c>
      <c r="T291" s="83">
        <f t="shared" si="698"/>
        <v>103715</v>
      </c>
      <c r="U291" s="83">
        <f t="shared" si="698"/>
        <v>4025</v>
      </c>
      <c r="V291" s="83">
        <f t="shared" si="698"/>
        <v>0</v>
      </c>
      <c r="W291" s="83">
        <f t="shared" si="698"/>
        <v>0</v>
      </c>
    </row>
    <row r="292" spans="1:23" ht="25.5" customHeight="1" x14ac:dyDescent="0.25">
      <c r="A292" s="10" t="s">
        <v>68</v>
      </c>
      <c r="B292" s="883"/>
      <c r="C292" s="317" t="str">
        <f>C288</f>
        <v>GENERAL</v>
      </c>
      <c r="D292" s="86" t="s">
        <v>72</v>
      </c>
      <c r="E292" s="83">
        <f>E274</f>
        <v>0.7</v>
      </c>
      <c r="F292" s="83">
        <f>F274</f>
        <v>0.7</v>
      </c>
      <c r="G292" s="83">
        <f t="shared" ref="G292:W292" si="699">G274</f>
        <v>0.7</v>
      </c>
      <c r="H292" s="83">
        <f t="shared" si="699"/>
        <v>0.5</v>
      </c>
      <c r="I292" s="83">
        <f t="shared" si="699"/>
        <v>0.3</v>
      </c>
      <c r="J292" s="83">
        <f t="shared" si="699"/>
        <v>0.18</v>
      </c>
      <c r="K292" s="83">
        <f t="shared" si="699"/>
        <v>0.18</v>
      </c>
      <c r="L292" s="83">
        <f t="shared" si="699"/>
        <v>0.16</v>
      </c>
      <c r="M292" s="83">
        <f t="shared" si="699"/>
        <v>0.16</v>
      </c>
      <c r="N292" s="83">
        <f t="shared" si="699"/>
        <v>0.16</v>
      </c>
      <c r="O292" s="83">
        <f t="shared" si="699"/>
        <v>0.16</v>
      </c>
      <c r="P292" s="83">
        <f t="shared" si="699"/>
        <v>0.16</v>
      </c>
      <c r="Q292" s="83">
        <f t="shared" si="699"/>
        <v>0.16</v>
      </c>
      <c r="R292" s="83">
        <f t="shared" si="699"/>
        <v>0.16</v>
      </c>
      <c r="S292" s="83">
        <f t="shared" si="699"/>
        <v>0.16</v>
      </c>
      <c r="T292" s="83">
        <f t="shared" si="699"/>
        <v>0.16</v>
      </c>
      <c r="U292" s="83">
        <f t="shared" si="699"/>
        <v>0.16</v>
      </c>
      <c r="V292" s="83">
        <f t="shared" si="699"/>
        <v>0.16</v>
      </c>
      <c r="W292" s="83">
        <f t="shared" si="699"/>
        <v>0.16</v>
      </c>
    </row>
    <row r="293" spans="1:23" ht="25.5" customHeight="1" x14ac:dyDescent="0.25">
      <c r="A293" s="10" t="s">
        <v>70</v>
      </c>
      <c r="B293" s="883"/>
      <c r="C293" s="317" t="str">
        <f>C292</f>
        <v>GENERAL</v>
      </c>
      <c r="D293" s="87" t="s">
        <v>49</v>
      </c>
      <c r="E293" s="83">
        <f>E276</f>
        <v>0.7</v>
      </c>
      <c r="F293" s="83">
        <f>F276</f>
        <v>0.7</v>
      </c>
      <c r="G293" s="83">
        <f t="shared" ref="G293:W293" si="700">G276</f>
        <v>1.4</v>
      </c>
      <c r="H293" s="83">
        <f t="shared" si="700"/>
        <v>1.9</v>
      </c>
      <c r="I293" s="83">
        <f t="shared" si="700"/>
        <v>2.1999999999999997</v>
      </c>
      <c r="J293" s="83">
        <f t="shared" si="700"/>
        <v>2.38</v>
      </c>
      <c r="K293" s="83">
        <f t="shared" si="700"/>
        <v>2.56</v>
      </c>
      <c r="L293" s="83">
        <f t="shared" si="700"/>
        <v>2.72</v>
      </c>
      <c r="M293" s="83">
        <f t="shared" si="700"/>
        <v>2.8800000000000003</v>
      </c>
      <c r="N293" s="83">
        <f>N276</f>
        <v>3.0400000000000005</v>
      </c>
      <c r="O293" s="83">
        <f t="shared" si="700"/>
        <v>3.2000000000000006</v>
      </c>
      <c r="P293" s="83">
        <f t="shared" si="700"/>
        <v>3.3600000000000008</v>
      </c>
      <c r="Q293" s="83">
        <f t="shared" si="700"/>
        <v>3.5200000000000009</v>
      </c>
      <c r="R293" s="83">
        <f t="shared" si="700"/>
        <v>3.680000000000001</v>
      </c>
      <c r="S293" s="83">
        <f t="shared" si="700"/>
        <v>3.8400000000000012</v>
      </c>
      <c r="T293" s="83">
        <f t="shared" si="700"/>
        <v>4.0000000000000009</v>
      </c>
      <c r="U293" s="83">
        <f t="shared" si="700"/>
        <v>4.160000000000001</v>
      </c>
      <c r="V293" s="83">
        <f t="shared" si="700"/>
        <v>4.3200000000000012</v>
      </c>
      <c r="W293" s="83">
        <f t="shared" si="700"/>
        <v>4.4800000000000013</v>
      </c>
    </row>
    <row r="294" spans="1:23" ht="25.5" customHeight="1" x14ac:dyDescent="0.25">
      <c r="A294" s="10" t="s">
        <v>71</v>
      </c>
      <c r="B294" s="883"/>
      <c r="C294" s="317" t="str">
        <f>C293</f>
        <v>GENERAL</v>
      </c>
      <c r="D294" s="86" t="s">
        <v>75</v>
      </c>
      <c r="E294" s="83">
        <f>E279</f>
        <v>10</v>
      </c>
      <c r="F294" s="83">
        <f>F279</f>
        <v>10</v>
      </c>
      <c r="G294" s="83">
        <f t="shared" ref="G294:W294" si="701">G279</f>
        <v>17</v>
      </c>
      <c r="H294" s="83">
        <f t="shared" si="701"/>
        <v>23</v>
      </c>
      <c r="I294" s="83">
        <f t="shared" si="701"/>
        <v>29</v>
      </c>
      <c r="J294" s="83">
        <f t="shared" si="701"/>
        <v>34</v>
      </c>
      <c r="K294" s="83">
        <f t="shared" si="701"/>
        <v>38</v>
      </c>
      <c r="L294" s="83">
        <f t="shared" si="701"/>
        <v>42</v>
      </c>
      <c r="M294" s="83">
        <f t="shared" si="701"/>
        <v>46</v>
      </c>
      <c r="N294" s="83">
        <f t="shared" si="701"/>
        <v>49</v>
      </c>
      <c r="O294" s="83">
        <f t="shared" si="701"/>
        <v>52</v>
      </c>
      <c r="P294" s="83">
        <f t="shared" si="701"/>
        <v>55</v>
      </c>
      <c r="Q294" s="83">
        <f t="shared" si="701"/>
        <v>58</v>
      </c>
      <c r="R294" s="83">
        <f t="shared" si="701"/>
        <v>61</v>
      </c>
      <c r="S294" s="83">
        <f t="shared" si="701"/>
        <v>64</v>
      </c>
      <c r="T294" s="83">
        <f t="shared" si="701"/>
        <v>67</v>
      </c>
      <c r="U294" s="83">
        <f t="shared" si="701"/>
        <v>71</v>
      </c>
      <c r="V294" s="83">
        <f t="shared" si="701"/>
        <v>75</v>
      </c>
      <c r="W294" s="83">
        <f t="shared" si="701"/>
        <v>79</v>
      </c>
    </row>
    <row r="295" spans="1:23" ht="25.5" customHeight="1" x14ac:dyDescent="0.25">
      <c r="A295" s="10" t="s">
        <v>142</v>
      </c>
      <c r="B295" s="883"/>
      <c r="C295" s="317" t="str">
        <f t="shared" ref="C295:C297" si="702">C294</f>
        <v>GENERAL</v>
      </c>
      <c r="D295" s="86" t="s">
        <v>142</v>
      </c>
      <c r="E295" s="83">
        <f>E281</f>
        <v>70</v>
      </c>
      <c r="F295" s="83">
        <f>F281</f>
        <v>70</v>
      </c>
      <c r="G295" s="83">
        <f t="shared" ref="G295:W295" si="703">G281</f>
        <v>189</v>
      </c>
      <c r="H295" s="83">
        <f t="shared" si="703"/>
        <v>350</v>
      </c>
      <c r="I295" s="83">
        <f t="shared" si="703"/>
        <v>553</v>
      </c>
      <c r="J295" s="83">
        <f t="shared" si="703"/>
        <v>791</v>
      </c>
      <c r="K295" s="83">
        <f t="shared" si="703"/>
        <v>1057</v>
      </c>
      <c r="L295" s="83">
        <f t="shared" si="703"/>
        <v>1351</v>
      </c>
      <c r="M295" s="83">
        <f t="shared" si="703"/>
        <v>1673</v>
      </c>
      <c r="N295" s="83">
        <f t="shared" si="703"/>
        <v>2016</v>
      </c>
      <c r="O295" s="83">
        <f t="shared" si="703"/>
        <v>2380</v>
      </c>
      <c r="P295" s="83">
        <f t="shared" si="703"/>
        <v>2765</v>
      </c>
      <c r="Q295" s="83">
        <f t="shared" si="703"/>
        <v>3171</v>
      </c>
      <c r="R295" s="83">
        <f t="shared" si="703"/>
        <v>3598</v>
      </c>
      <c r="S295" s="83">
        <f t="shared" si="703"/>
        <v>4046</v>
      </c>
      <c r="T295" s="83">
        <f t="shared" si="703"/>
        <v>4515</v>
      </c>
      <c r="U295" s="83">
        <f t="shared" si="703"/>
        <v>5012</v>
      </c>
      <c r="V295" s="83">
        <f t="shared" si="703"/>
        <v>5537</v>
      </c>
      <c r="W295" s="83">
        <f t="shared" si="703"/>
        <v>6090</v>
      </c>
    </row>
    <row r="296" spans="1:23" ht="25.5" customHeight="1" x14ac:dyDescent="0.25">
      <c r="A296" s="10" t="s">
        <v>11</v>
      </c>
      <c r="B296" s="883"/>
      <c r="C296" s="317" t="str">
        <f t="shared" si="702"/>
        <v>GENERAL</v>
      </c>
      <c r="D296" s="86" t="s">
        <v>63</v>
      </c>
      <c r="E296" s="83">
        <f>E283</f>
        <v>40</v>
      </c>
      <c r="F296" s="83">
        <f>F283</f>
        <v>70</v>
      </c>
      <c r="G296" s="83">
        <f t="shared" ref="G296:W296" si="704">G283</f>
        <v>120</v>
      </c>
      <c r="H296" s="83">
        <f t="shared" si="704"/>
        <v>185</v>
      </c>
      <c r="I296" s="83">
        <f t="shared" si="704"/>
        <v>255</v>
      </c>
      <c r="J296" s="83">
        <f t="shared" si="704"/>
        <v>334</v>
      </c>
      <c r="K296" s="83">
        <f t="shared" si="704"/>
        <v>425</v>
      </c>
      <c r="L296" s="83">
        <f t="shared" si="704"/>
        <v>524</v>
      </c>
      <c r="M296" s="83">
        <f t="shared" si="704"/>
        <v>618</v>
      </c>
      <c r="N296" s="83">
        <f t="shared" si="704"/>
        <v>712</v>
      </c>
      <c r="O296" s="83">
        <f t="shared" si="704"/>
        <v>802</v>
      </c>
      <c r="P296" s="83">
        <f t="shared" si="704"/>
        <v>880</v>
      </c>
      <c r="Q296" s="83">
        <f t="shared" si="704"/>
        <v>950</v>
      </c>
      <c r="R296" s="83">
        <f t="shared" si="704"/>
        <v>1010</v>
      </c>
      <c r="S296" s="83">
        <f t="shared" si="704"/>
        <v>1065</v>
      </c>
      <c r="T296" s="83">
        <f t="shared" si="704"/>
        <v>1115</v>
      </c>
      <c r="U296" s="83">
        <f t="shared" si="704"/>
        <v>1160</v>
      </c>
      <c r="V296" s="83">
        <f t="shared" si="704"/>
        <v>1207</v>
      </c>
      <c r="W296" s="83">
        <f t="shared" si="704"/>
        <v>1257</v>
      </c>
    </row>
    <row r="297" spans="1:23" ht="25.5" customHeight="1" x14ac:dyDescent="0.25">
      <c r="A297" s="10" t="s">
        <v>69</v>
      </c>
      <c r="B297" s="883"/>
      <c r="C297" s="317" t="str">
        <f t="shared" si="702"/>
        <v>GENERAL</v>
      </c>
      <c r="D297" s="86" t="s">
        <v>65</v>
      </c>
      <c r="E297" s="83">
        <f>E286</f>
        <v>77</v>
      </c>
      <c r="F297" s="83">
        <f>F286</f>
        <v>77</v>
      </c>
      <c r="G297" s="83">
        <f t="shared" ref="G297:W297" si="705">G286</f>
        <v>77</v>
      </c>
      <c r="H297" s="83">
        <f t="shared" si="705"/>
        <v>77</v>
      </c>
      <c r="I297" s="83">
        <f t="shared" si="705"/>
        <v>79</v>
      </c>
      <c r="J297" s="83">
        <f t="shared" si="705"/>
        <v>79</v>
      </c>
      <c r="K297" s="83">
        <f t="shared" si="705"/>
        <v>79</v>
      </c>
      <c r="L297" s="83">
        <f t="shared" si="705"/>
        <v>79</v>
      </c>
      <c r="M297" s="83">
        <f t="shared" si="705"/>
        <v>79</v>
      </c>
      <c r="N297" s="83">
        <f t="shared" si="705"/>
        <v>79</v>
      </c>
      <c r="O297" s="83">
        <f t="shared" si="705"/>
        <v>80</v>
      </c>
      <c r="P297" s="83">
        <f t="shared" si="705"/>
        <v>80</v>
      </c>
      <c r="Q297" s="83">
        <f t="shared" si="705"/>
        <v>82</v>
      </c>
      <c r="R297" s="83">
        <f t="shared" si="705"/>
        <v>82</v>
      </c>
      <c r="S297" s="83">
        <f t="shared" si="705"/>
        <v>84</v>
      </c>
      <c r="T297" s="83">
        <f t="shared" si="705"/>
        <v>86</v>
      </c>
      <c r="U297" s="83">
        <f t="shared" si="705"/>
        <v>86</v>
      </c>
      <c r="V297" s="83">
        <f t="shared" si="705"/>
        <v>86</v>
      </c>
      <c r="W297" s="83">
        <f t="shared" si="705"/>
        <v>86</v>
      </c>
    </row>
    <row r="298" spans="1:23" x14ac:dyDescent="0.25">
      <c r="C298" s="317"/>
      <c r="D298" s="85"/>
      <c r="E298" s="85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</row>
    <row r="299" spans="1:23" x14ac:dyDescent="0.25">
      <c r="C299" s="317"/>
      <c r="D299" s="85"/>
      <c r="E299" s="85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</row>
    <row r="300" spans="1:23" x14ac:dyDescent="0.25">
      <c r="C300" s="317"/>
      <c r="D300" s="85"/>
      <c r="E300" s="320">
        <v>0</v>
      </c>
      <c r="F300" s="320">
        <v>1</v>
      </c>
      <c r="G300" s="320">
        <v>2</v>
      </c>
      <c r="H300" s="320">
        <v>3</v>
      </c>
      <c r="I300" s="320">
        <v>4</v>
      </c>
      <c r="J300" s="320">
        <v>5</v>
      </c>
      <c r="K300" s="320">
        <v>6</v>
      </c>
      <c r="L300" s="320">
        <v>7</v>
      </c>
      <c r="M300" s="320">
        <v>8</v>
      </c>
      <c r="N300" s="320">
        <v>9</v>
      </c>
      <c r="O300" s="320">
        <v>10</v>
      </c>
      <c r="P300" s="320">
        <v>11</v>
      </c>
      <c r="Q300" s="320">
        <v>12</v>
      </c>
      <c r="R300" s="320">
        <v>13</v>
      </c>
      <c r="S300" s="320">
        <v>14</v>
      </c>
      <c r="T300" s="320">
        <v>15</v>
      </c>
      <c r="U300" s="320">
        <v>16</v>
      </c>
      <c r="V300" s="320">
        <v>17</v>
      </c>
      <c r="W300" s="320">
        <v>18</v>
      </c>
    </row>
    <row r="301" spans="1:23" x14ac:dyDescent="0.25">
      <c r="A301" s="2" t="s">
        <v>86</v>
      </c>
      <c r="B301" s="883" t="s">
        <v>38</v>
      </c>
      <c r="C301" s="317" t="str">
        <f>C297</f>
        <v>GENERAL</v>
      </c>
      <c r="D301" s="24" t="s">
        <v>34</v>
      </c>
      <c r="E301" s="83">
        <f t="shared" ref="E301:W301" si="706">IF($C301="GENERAL",SUMIFS(E$169:E$263,$D$169:$D$263,$D301),SUMIFS(E$169:E$263,$C$169:$C$263,$C301,$D$169:$D$263,$D301))</f>
        <v>186187</v>
      </c>
      <c r="F301" s="83">
        <f t="shared" si="706"/>
        <v>183045</v>
      </c>
      <c r="G301" s="83">
        <f t="shared" si="706"/>
        <v>182176</v>
      </c>
      <c r="H301" s="83">
        <f t="shared" si="706"/>
        <v>181829</v>
      </c>
      <c r="I301" s="83">
        <f t="shared" si="706"/>
        <v>181222</v>
      </c>
      <c r="J301" s="83">
        <f t="shared" si="706"/>
        <v>180573</v>
      </c>
      <c r="K301" s="83">
        <f t="shared" si="706"/>
        <v>179910</v>
      </c>
      <c r="L301" s="83">
        <f t="shared" si="706"/>
        <v>179539</v>
      </c>
      <c r="M301" s="83">
        <f t="shared" si="706"/>
        <v>179398</v>
      </c>
      <c r="N301" s="83">
        <f t="shared" si="706"/>
        <v>179245</v>
      </c>
      <c r="O301" s="83">
        <f t="shared" si="706"/>
        <v>179046</v>
      </c>
      <c r="P301" s="83">
        <f t="shared" si="706"/>
        <v>178905</v>
      </c>
      <c r="Q301" s="83">
        <f t="shared" si="706"/>
        <v>178811</v>
      </c>
      <c r="R301" s="83">
        <f t="shared" si="706"/>
        <v>178688</v>
      </c>
      <c r="S301" s="83">
        <f t="shared" si="706"/>
        <v>124327</v>
      </c>
      <c r="T301" s="83">
        <f t="shared" si="706"/>
        <v>9300</v>
      </c>
      <c r="U301" s="83">
        <f t="shared" si="706"/>
        <v>0</v>
      </c>
      <c r="V301" s="83">
        <f t="shared" si="706"/>
        <v>0</v>
      </c>
      <c r="W301" s="83">
        <f t="shared" si="706"/>
        <v>0</v>
      </c>
    </row>
    <row r="302" spans="1:23" ht="27.75" customHeight="1" x14ac:dyDescent="0.25">
      <c r="A302" s="10" t="s">
        <v>68</v>
      </c>
      <c r="B302" s="883"/>
      <c r="C302" s="317" t="str">
        <f>C301</f>
        <v>GENERAL</v>
      </c>
      <c r="D302" s="86" t="s">
        <v>74</v>
      </c>
      <c r="E302" s="214">
        <f>E275</f>
        <v>2.704807094370385</v>
      </c>
      <c r="F302" s="214">
        <f>F275</f>
        <v>1.6875506882865079</v>
      </c>
      <c r="G302" s="214">
        <f>G275</f>
        <v>0.47474664699937175</v>
      </c>
      <c r="H302" s="214">
        <f t="shared" ref="H302:W302" si="707">H275</f>
        <v>0.19077569286762808</v>
      </c>
      <c r="I302" s="214">
        <f>I275</f>
        <v>0.33411127501706334</v>
      </c>
      <c r="J302" s="214">
        <f t="shared" si="707"/>
        <v>0.35858730965588881</v>
      </c>
      <c r="K302" s="214">
        <f t="shared" si="707"/>
        <v>0.36716452625807849</v>
      </c>
      <c r="L302" s="214">
        <f t="shared" si="707"/>
        <v>0.20621421822022123</v>
      </c>
      <c r="M302" s="214">
        <f t="shared" si="707"/>
        <v>7.8534468834069476E-2</v>
      </c>
      <c r="N302" s="214">
        <f t="shared" si="707"/>
        <v>8.5285231719417168E-2</v>
      </c>
      <c r="O302" s="214">
        <f t="shared" si="707"/>
        <v>0.11102122792825463</v>
      </c>
      <c r="P302" s="214">
        <f t="shared" si="707"/>
        <v>7.8750712107503104E-2</v>
      </c>
      <c r="Q302" s="214">
        <f t="shared" si="707"/>
        <v>5.2541851820798749E-2</v>
      </c>
      <c r="R302" s="214">
        <f t="shared" si="707"/>
        <v>6.87877144023578E-2</v>
      </c>
      <c r="S302" s="214">
        <f t="shared" si="707"/>
        <v>0.2260924068767908</v>
      </c>
      <c r="T302" s="214">
        <f t="shared" si="707"/>
        <v>0</v>
      </c>
      <c r="U302" s="214">
        <f t="shared" si="707"/>
        <v>89.838509316770185</v>
      </c>
      <c r="V302" s="214">
        <f t="shared" si="707"/>
        <v>0</v>
      </c>
      <c r="W302" s="214">
        <f t="shared" si="707"/>
        <v>0</v>
      </c>
    </row>
    <row r="303" spans="1:23" ht="27.75" customHeight="1" x14ac:dyDescent="0.25">
      <c r="A303" s="10" t="s">
        <v>70</v>
      </c>
      <c r="B303" s="883"/>
      <c r="C303" s="317" t="str">
        <f t="shared" ref="C303:C307" si="708">C302</f>
        <v>GENERAL</v>
      </c>
      <c r="D303" s="87" t="s">
        <v>73</v>
      </c>
      <c r="E303" s="214">
        <f>E277</f>
        <v>2.704807094370385</v>
      </c>
      <c r="F303" s="214">
        <f>F277</f>
        <v>4.4675514402187044</v>
      </c>
      <c r="G303" s="214">
        <f t="shared" ref="G303:W303" si="709">G277</f>
        <v>5.018984402742495</v>
      </c>
      <c r="H303" s="214">
        <f t="shared" si="709"/>
        <v>5.2416583740633023</v>
      </c>
      <c r="I303" s="214">
        <f>I277</f>
        <v>5.5819150575750234</v>
      </c>
      <c r="J303" s="214">
        <f t="shared" si="709"/>
        <v>5.961721219086348</v>
      </c>
      <c r="K303" s="214">
        <f t="shared" si="709"/>
        <v>6.3425872084973935</v>
      </c>
      <c r="L303" s="214">
        <f t="shared" si="709"/>
        <v>6.5721749763770783</v>
      </c>
      <c r="M303" s="214">
        <f t="shared" si="709"/>
        <v>6.6642902099265333</v>
      </c>
      <c r="N303" s="214">
        <f t="shared" si="709"/>
        <v>6.7548133201039029</v>
      </c>
      <c r="O303" s="214">
        <f t="shared" si="709"/>
        <v>6.8716003235794574</v>
      </c>
      <c r="P303" s="214">
        <f t="shared" si="709"/>
        <v>6.9579884498955575</v>
      </c>
      <c r="Q303" s="214">
        <f t="shared" si="709"/>
        <v>7.0160140856879352</v>
      </c>
      <c r="R303" s="214">
        <f t="shared" si="709"/>
        <v>7.0884900817063832</v>
      </c>
      <c r="S303" s="214">
        <f t="shared" si="709"/>
        <v>7.3194618553008599</v>
      </c>
      <c r="T303" s="214">
        <f t="shared" si="709"/>
        <v>12.610519211300197</v>
      </c>
      <c r="U303" s="214">
        <f t="shared" si="709"/>
        <v>414.78260869565213</v>
      </c>
      <c r="V303" s="214">
        <f t="shared" si="709"/>
        <v>0</v>
      </c>
      <c r="W303" s="214">
        <f t="shared" si="709"/>
        <v>0</v>
      </c>
    </row>
    <row r="304" spans="1:23" ht="27.75" customHeight="1" x14ac:dyDescent="0.25">
      <c r="A304" s="10" t="s">
        <v>71</v>
      </c>
      <c r="B304" s="883"/>
      <c r="C304" s="317" t="str">
        <f t="shared" si="708"/>
        <v>GENERAL</v>
      </c>
      <c r="D304" s="86" t="s">
        <v>62</v>
      </c>
      <c r="E304" s="83">
        <f>E280</f>
        <v>14.131738033848137</v>
      </c>
      <c r="F304" s="83">
        <f>F280</f>
        <v>12.811980544928717</v>
      </c>
      <c r="G304" s="83">
        <f t="shared" ref="G304:W304" si="710">G280</f>
        <v>17.049925525191348</v>
      </c>
      <c r="H304" s="83">
        <f>H280</f>
        <v>33.221400593502779</v>
      </c>
      <c r="I304" s="83">
        <f t="shared" si="710"/>
        <v>163.92440229069061</v>
      </c>
      <c r="J304" s="83">
        <f t="shared" si="710"/>
        <v>97.454219916010459</v>
      </c>
      <c r="K304" s="83">
        <f t="shared" si="710"/>
        <v>100.51260685221177</v>
      </c>
      <c r="L304" s="83">
        <f t="shared" si="710"/>
        <v>120.58647806833093</v>
      </c>
      <c r="M304" s="83">
        <f t="shared" si="710"/>
        <v>97.702236375971182</v>
      </c>
      <c r="N304" s="83">
        <f t="shared" si="710"/>
        <v>94.35274256417533</v>
      </c>
      <c r="O304" s="83">
        <f t="shared" si="710"/>
        <v>129.06477610111901</v>
      </c>
      <c r="P304" s="83">
        <f t="shared" si="710"/>
        <v>126.88350733779026</v>
      </c>
      <c r="Q304" s="83">
        <f t="shared" si="710"/>
        <v>162.77061276998006</v>
      </c>
      <c r="R304" s="83">
        <f t="shared" si="710"/>
        <v>137.06154651796902</v>
      </c>
      <c r="S304" s="83">
        <f t="shared" si="710"/>
        <v>95.975996309667678</v>
      </c>
      <c r="T304" s="83">
        <f t="shared" si="710"/>
        <v>10.832826066240965</v>
      </c>
      <c r="U304" s="83">
        <f t="shared" si="710"/>
        <v>0</v>
      </c>
      <c r="V304" s="83">
        <f t="shared" si="710"/>
        <v>0</v>
      </c>
      <c r="W304" s="83">
        <f t="shared" si="710"/>
        <v>0</v>
      </c>
    </row>
    <row r="305" spans="1:23" ht="27.75" customHeight="1" x14ac:dyDescent="0.25">
      <c r="A305" s="10" t="s">
        <v>142</v>
      </c>
      <c r="B305" s="883"/>
      <c r="C305" s="317" t="str">
        <f t="shared" si="708"/>
        <v>GENERAL</v>
      </c>
      <c r="D305" s="86" t="s">
        <v>142</v>
      </c>
      <c r="E305" s="83">
        <f>E282</f>
        <v>32.974055412312318</v>
      </c>
      <c r="F305" s="83">
        <f>F282</f>
        <v>121.91689245249236</v>
      </c>
      <c r="G305" s="83">
        <f t="shared" ref="G305:W305" si="711">G282</f>
        <v>240.9040267637273</v>
      </c>
      <c r="H305" s="83">
        <f t="shared" si="711"/>
        <v>425.9619467039106</v>
      </c>
      <c r="I305" s="83">
        <f t="shared" si="711"/>
        <v>639.04457732105323</v>
      </c>
      <c r="J305" s="83">
        <f t="shared" si="711"/>
        <v>878.43061396436656</v>
      </c>
      <c r="K305" s="83">
        <f t="shared" si="711"/>
        <v>1101.4207619931417</v>
      </c>
      <c r="L305" s="83">
        <f t="shared" si="711"/>
        <v>1364.6523778010455</v>
      </c>
      <c r="M305" s="83">
        <f t="shared" si="711"/>
        <v>1581.908795626699</v>
      </c>
      <c r="N305" s="83">
        <f t="shared" si="711"/>
        <v>1787.4963718538588</v>
      </c>
      <c r="O305" s="83">
        <f t="shared" si="711"/>
        <v>2075.6048267619453</v>
      </c>
      <c r="P305" s="83">
        <f t="shared" si="711"/>
        <v>2359.3084559968906</v>
      </c>
      <c r="Q305" s="83">
        <f t="shared" si="711"/>
        <v>2721.9254873822629</v>
      </c>
      <c r="R305" s="83">
        <f t="shared" si="711"/>
        <v>3023.4841163256724</v>
      </c>
      <c r="S305" s="83">
        <f t="shared" si="711"/>
        <v>3232.0039945491681</v>
      </c>
      <c r="T305" s="83">
        <f t="shared" si="711"/>
        <v>3270.1855497726169</v>
      </c>
      <c r="U305" s="83">
        <f t="shared" si="711"/>
        <v>3270.1855497726169</v>
      </c>
      <c r="V305" s="83" t="e">
        <f t="shared" si="711"/>
        <v>#DIV/0!</v>
      </c>
      <c r="W305" s="83" t="e">
        <f t="shared" si="711"/>
        <v>#DIV/0!</v>
      </c>
    </row>
    <row r="306" spans="1:23" ht="27.75" customHeight="1" x14ac:dyDescent="0.25">
      <c r="A306" s="10" t="s">
        <v>11</v>
      </c>
      <c r="B306" s="883"/>
      <c r="C306" s="317" t="str">
        <f t="shared" si="708"/>
        <v>GENERAL</v>
      </c>
      <c r="D306" s="86" t="s">
        <v>64</v>
      </c>
      <c r="E306" s="83">
        <f t="shared" ref="E306:W306" si="712">E284</f>
        <v>36.64</v>
      </c>
      <c r="F306" s="83">
        <f t="shared" si="712"/>
        <v>72.959999999999994</v>
      </c>
      <c r="G306" s="83">
        <f t="shared" si="712"/>
        <v>116</v>
      </c>
      <c r="H306" s="83">
        <f t="shared" si="712"/>
        <v>184</v>
      </c>
      <c r="I306" s="83">
        <f t="shared" si="712"/>
        <v>235</v>
      </c>
      <c r="J306" s="83">
        <f t="shared" si="712"/>
        <v>325.33333333333331</v>
      </c>
      <c r="K306" s="83">
        <f t="shared" si="712"/>
        <v>399.66666666666669</v>
      </c>
      <c r="L306" s="83">
        <f t="shared" si="712"/>
        <v>511.4666666666667</v>
      </c>
      <c r="M306" s="83">
        <f t="shared" si="712"/>
        <v>403.33333333333331</v>
      </c>
      <c r="N306" s="83">
        <f t="shared" si="712"/>
        <v>687.66666666666663</v>
      </c>
      <c r="O306" s="83">
        <f t="shared" si="712"/>
        <v>790</v>
      </c>
      <c r="P306" s="83">
        <f t="shared" si="712"/>
        <v>870.66666666666663</v>
      </c>
      <c r="Q306" s="83">
        <f t="shared" si="712"/>
        <v>907.33333333333337</v>
      </c>
      <c r="R306" s="83">
        <f t="shared" si="712"/>
        <v>991.66666666666663</v>
      </c>
      <c r="S306" s="83">
        <f t="shared" si="712"/>
        <v>1052</v>
      </c>
      <c r="T306" s="83">
        <f t="shared" si="712"/>
        <v>0</v>
      </c>
      <c r="U306" s="83">
        <f t="shared" si="712"/>
        <v>0</v>
      </c>
      <c r="V306" s="83">
        <f t="shared" si="712"/>
        <v>0</v>
      </c>
      <c r="W306" s="83">
        <f t="shared" si="712"/>
        <v>0</v>
      </c>
    </row>
    <row r="307" spans="1:23" ht="27.75" customHeight="1" x14ac:dyDescent="0.25">
      <c r="A307" s="10" t="s">
        <v>69</v>
      </c>
      <c r="B307" s="883"/>
      <c r="C307" s="317" t="str">
        <f t="shared" si="708"/>
        <v>GENERAL</v>
      </c>
      <c r="D307" s="86" t="s">
        <v>66</v>
      </c>
      <c r="E307" s="83">
        <f>E287</f>
        <v>77</v>
      </c>
      <c r="F307" s="83">
        <f>F287</f>
        <v>72</v>
      </c>
      <c r="G307" s="83">
        <f t="shared" ref="G307:W307" si="713">G287</f>
        <v>64</v>
      </c>
      <c r="H307" s="83">
        <f t="shared" si="713"/>
        <v>85</v>
      </c>
      <c r="I307" s="83">
        <f t="shared" si="713"/>
        <v>66.666666666666671</v>
      </c>
      <c r="J307" s="83">
        <f t="shared" si="713"/>
        <v>58.666666666666664</v>
      </c>
      <c r="K307" s="83">
        <f t="shared" si="713"/>
        <v>61.333333333333336</v>
      </c>
      <c r="L307" s="83">
        <f t="shared" si="713"/>
        <v>74</v>
      </c>
      <c r="M307" s="83">
        <f t="shared" si="713"/>
        <v>58</v>
      </c>
      <c r="N307" s="83">
        <f t="shared" si="713"/>
        <v>71.333333333333329</v>
      </c>
      <c r="O307" s="83">
        <f t="shared" si="713"/>
        <v>76.666666666666671</v>
      </c>
      <c r="P307" s="83">
        <f t="shared" si="713"/>
        <v>83.666666666666671</v>
      </c>
      <c r="Q307" s="83">
        <f t="shared" si="713"/>
        <v>73</v>
      </c>
      <c r="R307" s="83">
        <f t="shared" si="713"/>
        <v>71.333333333333329</v>
      </c>
      <c r="S307" s="83">
        <f t="shared" si="713"/>
        <v>73</v>
      </c>
      <c r="T307" s="83">
        <f t="shared" si="713"/>
        <v>0</v>
      </c>
      <c r="U307" s="83">
        <f t="shared" si="713"/>
        <v>0</v>
      </c>
      <c r="V307" s="83">
        <f t="shared" si="713"/>
        <v>0</v>
      </c>
      <c r="W307" s="83">
        <f t="shared" si="713"/>
        <v>0</v>
      </c>
    </row>
    <row r="308" spans="1:23" x14ac:dyDescent="0.25">
      <c r="D308" s="85" t="s">
        <v>48</v>
      </c>
      <c r="E308" s="83">
        <f>E273</f>
        <v>5176</v>
      </c>
      <c r="F308" s="83">
        <f>F273</f>
        <v>8318</v>
      </c>
      <c r="G308" s="83">
        <f t="shared" ref="G308:W308" si="714">G273</f>
        <v>9187</v>
      </c>
      <c r="H308" s="83">
        <f t="shared" si="714"/>
        <v>9534</v>
      </c>
      <c r="I308" s="83">
        <f t="shared" si="714"/>
        <v>10141</v>
      </c>
      <c r="J308" s="83">
        <f>J273</f>
        <v>10790</v>
      </c>
      <c r="K308" s="83">
        <f t="shared" si="714"/>
        <v>11453</v>
      </c>
      <c r="L308" s="83">
        <f>L273</f>
        <v>11824</v>
      </c>
      <c r="M308" s="83">
        <f t="shared" si="714"/>
        <v>11965</v>
      </c>
      <c r="N308" s="83">
        <f t="shared" si="714"/>
        <v>12118</v>
      </c>
      <c r="O308" s="83">
        <f t="shared" si="714"/>
        <v>12317</v>
      </c>
      <c r="P308" s="83">
        <f t="shared" si="714"/>
        <v>12458</v>
      </c>
      <c r="Q308" s="83">
        <f t="shared" si="714"/>
        <v>12552</v>
      </c>
      <c r="R308" s="83">
        <f t="shared" si="714"/>
        <v>12675</v>
      </c>
      <c r="S308" s="83">
        <f t="shared" si="714"/>
        <v>13079</v>
      </c>
      <c r="T308" s="83">
        <f t="shared" si="714"/>
        <v>13079</v>
      </c>
      <c r="U308" s="83">
        <f t="shared" si="714"/>
        <v>16695</v>
      </c>
      <c r="V308" s="83">
        <f t="shared" si="714"/>
        <v>16695</v>
      </c>
      <c r="W308" s="83">
        <f t="shared" si="714"/>
        <v>16695</v>
      </c>
    </row>
    <row r="309" spans="1:23" x14ac:dyDescent="0.25">
      <c r="D309" s="85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</row>
    <row r="310" spans="1:23" x14ac:dyDescent="0.25">
      <c r="D310" s="85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</row>
    <row r="311" spans="1:23" x14ac:dyDescent="0.25">
      <c r="E311" s="316"/>
      <c r="F311" s="316"/>
      <c r="G311" s="316"/>
      <c r="H311" s="316"/>
      <c r="I311" s="316"/>
      <c r="J311" s="316"/>
      <c r="K311" s="316"/>
      <c r="L311" s="316"/>
      <c r="M311" s="316"/>
      <c r="N311" s="316"/>
      <c r="O311" s="316"/>
      <c r="P311" s="316"/>
      <c r="Q311" s="316"/>
      <c r="R311" s="316"/>
      <c r="S311" s="316"/>
      <c r="T311" s="316"/>
      <c r="U311" s="316"/>
      <c r="V311" s="316"/>
    </row>
    <row r="312" spans="1:23" x14ac:dyDescent="0.25">
      <c r="E312" s="316"/>
      <c r="F312" s="316"/>
      <c r="G312" s="316"/>
      <c r="H312" s="316"/>
      <c r="I312" s="316"/>
      <c r="J312" s="316"/>
      <c r="K312" s="316"/>
      <c r="L312" s="316"/>
      <c r="M312" s="316"/>
      <c r="N312" s="316"/>
      <c r="O312" s="316"/>
      <c r="P312" s="316"/>
      <c r="Q312" s="316"/>
      <c r="R312" s="316"/>
      <c r="S312" s="316"/>
      <c r="T312" s="316"/>
      <c r="U312" s="316"/>
      <c r="V312" s="316"/>
    </row>
    <row r="313" spans="1:23" x14ac:dyDescent="0.25">
      <c r="B313" s="84" t="s">
        <v>61</v>
      </c>
      <c r="D313" s="1" t="s">
        <v>31</v>
      </c>
      <c r="E313" s="316"/>
      <c r="F313" s="316"/>
      <c r="G313" s="316"/>
      <c r="H313" s="316"/>
      <c r="I313" s="316"/>
      <c r="J313" s="316"/>
      <c r="K313" s="316"/>
      <c r="L313" s="316"/>
      <c r="M313" s="316"/>
      <c r="N313" s="316"/>
      <c r="O313" s="316"/>
      <c r="P313" s="316"/>
      <c r="Q313" s="316"/>
      <c r="R313" s="316"/>
      <c r="S313" s="316"/>
      <c r="T313" s="316"/>
      <c r="U313" s="316"/>
      <c r="V313" s="316"/>
    </row>
    <row r="314" spans="1:23" x14ac:dyDescent="0.25">
      <c r="B314" s="84"/>
      <c r="E314" s="316"/>
      <c r="F314" s="316"/>
      <c r="G314" s="316"/>
      <c r="H314" s="316"/>
      <c r="I314" s="316"/>
      <c r="J314" s="316"/>
      <c r="K314" s="316"/>
      <c r="L314" s="316"/>
      <c r="M314" s="316"/>
      <c r="N314" s="316"/>
      <c r="O314" s="316"/>
      <c r="P314" s="316"/>
      <c r="Q314" s="316"/>
      <c r="R314" s="316"/>
      <c r="S314" s="316"/>
      <c r="T314" s="316"/>
      <c r="U314" s="316"/>
      <c r="V314" s="316"/>
    </row>
    <row r="315" spans="1:23" x14ac:dyDescent="0.25">
      <c r="B315" s="84"/>
      <c r="E315" s="316"/>
      <c r="F315" s="316"/>
      <c r="G315" s="316"/>
      <c r="H315" s="316"/>
      <c r="I315" s="316"/>
      <c r="J315" s="316"/>
      <c r="K315" s="316"/>
      <c r="L315" s="316"/>
      <c r="M315" s="316"/>
      <c r="N315" s="316"/>
      <c r="O315" s="316"/>
      <c r="P315" s="316"/>
      <c r="Q315" s="316"/>
      <c r="R315" s="316"/>
      <c r="S315" s="316"/>
      <c r="T315" s="316"/>
      <c r="U315" s="316"/>
      <c r="V315" s="316"/>
    </row>
    <row r="316" spans="1:23" x14ac:dyDescent="0.25">
      <c r="B316" s="84"/>
      <c r="D316" s="1" t="s">
        <v>57</v>
      </c>
      <c r="E316" s="320">
        <v>0</v>
      </c>
      <c r="F316" s="320">
        <v>1</v>
      </c>
      <c r="G316" s="320">
        <v>2</v>
      </c>
      <c r="H316" s="320">
        <v>3</v>
      </c>
      <c r="I316" s="320">
        <v>4</v>
      </c>
      <c r="J316" s="320">
        <v>5</v>
      </c>
      <c r="K316" s="320">
        <v>6</v>
      </c>
      <c r="L316" s="320">
        <v>7</v>
      </c>
      <c r="M316" s="320">
        <v>8</v>
      </c>
      <c r="N316" s="320">
        <v>9</v>
      </c>
      <c r="O316" s="320">
        <v>10</v>
      </c>
      <c r="P316" s="320">
        <v>11</v>
      </c>
      <c r="Q316" s="320">
        <v>12</v>
      </c>
      <c r="R316" s="320">
        <v>13</v>
      </c>
      <c r="S316" s="320">
        <v>14</v>
      </c>
      <c r="T316" s="320">
        <v>15</v>
      </c>
      <c r="U316" s="320">
        <v>16</v>
      </c>
      <c r="V316" s="320">
        <v>17</v>
      </c>
      <c r="W316" s="320">
        <v>18</v>
      </c>
    </row>
    <row r="317" spans="1:23" x14ac:dyDescent="0.25">
      <c r="B317" s="84" t="b">
        <v>1</v>
      </c>
      <c r="D317" s="1" t="str">
        <f>IF(TABLERO!$Q$4=TRUE,VLOOKUP(TABLERO!$J$48,TABLERO!$H$48:$I$54,2,FALSE),"")</f>
        <v>%MORT. ACUMULADA</v>
      </c>
      <c r="E317" s="319">
        <f>SUMIFS(E$291:E$297,$A$291:$A$297,$D$317)</f>
        <v>0.7</v>
      </c>
      <c r="F317" s="319">
        <f t="shared" ref="F317:W317" si="715">SUMIFS(F$291:F$297,$A$291:$A$297,$D$317)</f>
        <v>0.7</v>
      </c>
      <c r="G317" s="319">
        <f>SUMIFS(G$291:G$297,$A$291:$A$297,$D$317)</f>
        <v>1.4</v>
      </c>
      <c r="H317" s="319">
        <f t="shared" si="715"/>
        <v>1.9</v>
      </c>
      <c r="I317" s="319">
        <f t="shared" si="715"/>
        <v>2.1999999999999997</v>
      </c>
      <c r="J317" s="319">
        <f t="shared" si="715"/>
        <v>2.38</v>
      </c>
      <c r="K317" s="319">
        <f t="shared" si="715"/>
        <v>2.56</v>
      </c>
      <c r="L317" s="319">
        <f t="shared" si="715"/>
        <v>2.72</v>
      </c>
      <c r="M317" s="319">
        <f t="shared" si="715"/>
        <v>2.8800000000000003</v>
      </c>
      <c r="N317" s="319">
        <f t="shared" si="715"/>
        <v>3.0400000000000005</v>
      </c>
      <c r="O317" s="319">
        <f t="shared" si="715"/>
        <v>3.2000000000000006</v>
      </c>
      <c r="P317" s="319">
        <f t="shared" si="715"/>
        <v>3.3600000000000008</v>
      </c>
      <c r="Q317" s="319">
        <f t="shared" si="715"/>
        <v>3.5200000000000009</v>
      </c>
      <c r="R317" s="319">
        <f t="shared" si="715"/>
        <v>3.680000000000001</v>
      </c>
      <c r="S317" s="319">
        <f t="shared" si="715"/>
        <v>3.8400000000000012</v>
      </c>
      <c r="T317" s="319">
        <f t="shared" si="715"/>
        <v>4.0000000000000009</v>
      </c>
      <c r="U317" s="319">
        <f t="shared" si="715"/>
        <v>4.160000000000001</v>
      </c>
      <c r="V317" s="319">
        <f t="shared" si="715"/>
        <v>4.3200000000000012</v>
      </c>
      <c r="W317" s="319">
        <f t="shared" si="715"/>
        <v>4.4800000000000013</v>
      </c>
    </row>
    <row r="318" spans="1:23" x14ac:dyDescent="0.25">
      <c r="B318" s="84"/>
      <c r="D318" s="1" t="str">
        <f>IF(B317=FALSE,"",IF(TABLERO!$Q$5=TRUE,VLOOKUP(TABLERO!$J$48,TABLERO!$H$48:$I$54,2,FALSE),""))</f>
        <v>%MORT. ACUMULADA</v>
      </c>
      <c r="E318" s="319">
        <f>SUMIFS(E$301:E$307,$A$301:$A$307,$D$318)</f>
        <v>2.704807094370385</v>
      </c>
      <c r="F318" s="319">
        <f t="shared" ref="F318:W318" si="716">SUMIFS(F$301:F$307,$A$301:$A$307,$D$318)</f>
        <v>4.4675514402187044</v>
      </c>
      <c r="G318" s="319">
        <f t="shared" si="716"/>
        <v>5.018984402742495</v>
      </c>
      <c r="H318" s="319">
        <f t="shared" si="716"/>
        <v>5.2416583740633023</v>
      </c>
      <c r="I318" s="319">
        <f t="shared" si="716"/>
        <v>5.5819150575750234</v>
      </c>
      <c r="J318" s="319">
        <f t="shared" si="716"/>
        <v>5.961721219086348</v>
      </c>
      <c r="K318" s="319">
        <f t="shared" si="716"/>
        <v>6.3425872084973935</v>
      </c>
      <c r="L318" s="319">
        <f t="shared" si="716"/>
        <v>6.5721749763770783</v>
      </c>
      <c r="M318" s="319">
        <f t="shared" si="716"/>
        <v>6.6642902099265333</v>
      </c>
      <c r="N318" s="319">
        <f t="shared" si="716"/>
        <v>6.7548133201039029</v>
      </c>
      <c r="O318" s="319">
        <f t="shared" si="716"/>
        <v>6.8716003235794574</v>
      </c>
      <c r="P318" s="319">
        <f t="shared" si="716"/>
        <v>6.9579884498955575</v>
      </c>
      <c r="Q318" s="319">
        <f t="shared" si="716"/>
        <v>7.0160140856879352</v>
      </c>
      <c r="R318" s="319">
        <f t="shared" si="716"/>
        <v>7.0884900817063832</v>
      </c>
      <c r="S318" s="319">
        <f t="shared" si="716"/>
        <v>7.3194618553008599</v>
      </c>
      <c r="T318" s="319">
        <f t="shared" si="716"/>
        <v>12.610519211300197</v>
      </c>
      <c r="U318" s="319">
        <f t="shared" si="716"/>
        <v>414.78260869565213</v>
      </c>
      <c r="V318" s="319">
        <f t="shared" si="716"/>
        <v>0</v>
      </c>
      <c r="W318" s="319">
        <f t="shared" si="716"/>
        <v>0</v>
      </c>
    </row>
    <row r="319" spans="1:23" x14ac:dyDescent="0.25">
      <c r="B319" s="84"/>
      <c r="C319" s="1" t="str">
        <f>CONCATENATE($D$313,"                                    ",$C$267,"                                      ",$D$317)</f>
        <v>CUARTELES                                     GENERAL                                      %MORT. ACUMULADA</v>
      </c>
      <c r="E319" s="316"/>
      <c r="F319" s="316"/>
      <c r="G319" s="316"/>
      <c r="H319" s="316"/>
      <c r="I319" s="316"/>
      <c r="J319" s="316"/>
      <c r="K319" s="316"/>
      <c r="L319" s="316"/>
      <c r="M319" s="316"/>
      <c r="N319" s="316"/>
      <c r="O319" s="316"/>
      <c r="P319" s="316"/>
      <c r="Q319" s="316"/>
      <c r="R319" s="316"/>
      <c r="S319" s="316"/>
      <c r="T319" s="316"/>
      <c r="U319" s="316"/>
      <c r="V319" s="316"/>
    </row>
    <row r="320" spans="1:23" x14ac:dyDescent="0.25">
      <c r="B320" s="84"/>
      <c r="E320" s="316"/>
      <c r="F320" s="316"/>
      <c r="G320" s="316"/>
      <c r="H320" s="316"/>
      <c r="I320" s="316"/>
      <c r="J320" s="316"/>
      <c r="K320" s="316"/>
      <c r="L320" s="316"/>
      <c r="M320" s="316"/>
      <c r="N320" s="316"/>
      <c r="O320" s="316"/>
      <c r="P320" s="316"/>
      <c r="Q320" s="316"/>
      <c r="R320" s="316"/>
      <c r="S320" s="316"/>
      <c r="T320" s="316"/>
      <c r="U320" s="316"/>
      <c r="V320" s="316"/>
    </row>
    <row r="321" spans="2:22" x14ac:dyDescent="0.25">
      <c r="B321" s="84"/>
      <c r="E321" s="316"/>
      <c r="F321" s="316"/>
      <c r="G321" s="316"/>
      <c r="H321" s="316"/>
      <c r="I321" s="316"/>
      <c r="J321" s="316"/>
      <c r="K321" s="316"/>
      <c r="L321" s="316"/>
      <c r="M321" s="316"/>
      <c r="N321" s="316"/>
      <c r="O321" s="316"/>
      <c r="P321" s="316"/>
      <c r="Q321" s="316"/>
      <c r="R321" s="316"/>
      <c r="S321" s="316"/>
      <c r="T321" s="316"/>
      <c r="U321" s="316"/>
      <c r="V321" s="316"/>
    </row>
    <row r="322" spans="2:22" x14ac:dyDescent="0.3">
      <c r="D322" s="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</row>
    <row r="323" spans="2:22" x14ac:dyDescent="0.25">
      <c r="D323" s="2"/>
    </row>
    <row r="324" spans="2:22" x14ac:dyDescent="0.25">
      <c r="D324" s="2"/>
    </row>
  </sheetData>
  <mergeCells count="35">
    <mergeCell ref="BR4:BT4"/>
    <mergeCell ref="BU4:BW4"/>
    <mergeCell ref="BY4:BY5"/>
    <mergeCell ref="BZ4:BZ5"/>
    <mergeCell ref="CA4:CC4"/>
    <mergeCell ref="AZ4:AZ5"/>
    <mergeCell ref="BA4:BA5"/>
    <mergeCell ref="BB4:BD4"/>
    <mergeCell ref="BE4:BM4"/>
    <mergeCell ref="BN4:BQ4"/>
    <mergeCell ref="B301:B307"/>
    <mergeCell ref="T4:V4"/>
    <mergeCell ref="W4:Y4"/>
    <mergeCell ref="B4:B5"/>
    <mergeCell ref="G4:O4"/>
    <mergeCell ref="P4:S4"/>
    <mergeCell ref="D4:F4"/>
    <mergeCell ref="C4:C5"/>
    <mergeCell ref="B291:B297"/>
    <mergeCell ref="X284:Z284"/>
    <mergeCell ref="X287:Z287"/>
    <mergeCell ref="BU3:BW3"/>
    <mergeCell ref="CT3:CV3"/>
    <mergeCell ref="CM4:CP4"/>
    <mergeCell ref="CQ4:CS4"/>
    <mergeCell ref="CT4:CV4"/>
    <mergeCell ref="CD4:CL4"/>
    <mergeCell ref="AY109:AY111"/>
    <mergeCell ref="AS4:AU4"/>
    <mergeCell ref="AV4:AX4"/>
    <mergeCell ref="AA4:AA5"/>
    <mergeCell ref="AB4:AB5"/>
    <mergeCell ref="AC4:AE4"/>
    <mergeCell ref="AF4:AN4"/>
    <mergeCell ref="AO4:AR4"/>
  </mergeCells>
  <printOptions horizontalCentered="1"/>
  <pageMargins left="0" right="0" top="0" bottom="0" header="0.31496062992125984" footer="0.31496062992125984"/>
  <pageSetup paperSize="9" scale="10" orientation="landscape" r:id="rId1"/>
  <ignoredErrors>
    <ignoredError sqref="BY7:BY12 B7:B12 B21:B31 B14:B19 B35:B40 B49:B54 B56:B59 B63:B68 B70:B74 B75 B77:B82 B84:B89 B98:B103 B105:B110 B112:B117 BY14:BY16 BY21:BY26 BY28:BY31 B119:B122 U7 U14:U15 U21:U26 U28:U33 U35:U40 U42:U47 U49:U54 U56:U61 U63:U68 U70:U75 U77:U82 U84:U89 U91:U96 U98:U103 U105:U110 U112:U117 U119:U124 U126:U131 X7:X12 X18:X19 X35:X40 X50:X54 X59:X61 X71:X75 X84:X89 X95:X96 X110:X124 X126:X131 BY17:BY19 BY46:BY47 BY49:BY54 BY56:BY59 BY63:BY68 BY70:BY74 BY77:BY82 BY84:BY89 BY92:BY96 BY98:BY103 BY105:BY110 BY112:BY117 BY119:BY121 BY126:BY131 U9:U12 X14:X15 X21:X26 X28:X33 X56:X58 X63:X68 X49 X70 X77:X82 X42:X47 X91:X94 X98:X109 B42:B47 B93:B96 B124 B126:B131 B133:B138 AZ139 AZ7:AZ103 U17:U19 X17 BY38:BY40 BY61 BY75 AZ105:AZ110 AZ112:AZ117 AZ119:AZ121 AZ123:AZ124 BY42:BY45 AA7:AA103 BY133:BY138 BY123:BY124 AZ126:AZ131 AZ133:AZ138 AA105:AA110 AA112:AA138" unlockedFormula="1"/>
    <ignoredError sqref="F279 G279:W279 E42 AD42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Check Box 1">
              <controlPr defaultSize="0" autoFill="0" autoLine="0" autoPict="0">
                <anchor moveWithCells="1">
                  <from>
                    <xdr:col>1</xdr:col>
                    <xdr:colOff>85725</xdr:colOff>
                    <xdr:row>313</xdr:row>
                    <xdr:rowOff>133350</xdr:rowOff>
                  </from>
                  <to>
                    <xdr:col>1</xdr:col>
                    <xdr:colOff>742950</xdr:colOff>
                    <xdr:row>314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HQ442"/>
  <sheetViews>
    <sheetView showGridLines="0" zoomScale="85" zoomScaleNormal="85" zoomScaleSheetLayoutView="96" workbookViewId="0">
      <pane xSplit="1" ySplit="5" topLeftCell="AX96" activePane="bottomRight" state="frozen"/>
      <selection pane="topRight" activeCell="B1" sqref="B1"/>
      <selection pane="bottomLeft" activeCell="A6" sqref="A6"/>
      <selection pane="bottomRight" activeCell="BX111" sqref="BX111"/>
    </sheetView>
  </sheetViews>
  <sheetFormatPr baseColWidth="10" defaultColWidth="11.42578125" defaultRowHeight="16.5" x14ac:dyDescent="0.25"/>
  <cols>
    <col min="1" max="1" width="16.7109375" style="2" customWidth="1"/>
    <col min="2" max="2" width="6.140625" style="1" customWidth="1"/>
    <col min="3" max="3" width="10.28515625" style="1" customWidth="1"/>
    <col min="4" max="4" width="10.42578125" style="1" customWidth="1"/>
    <col min="5" max="6" width="12.140625" style="2" customWidth="1"/>
    <col min="7" max="8" width="5.7109375" style="2" customWidth="1"/>
    <col min="9" max="10" width="6.85546875" style="2" customWidth="1"/>
    <col min="11" max="11" width="6.28515625" style="2" customWidth="1"/>
    <col min="12" max="12" width="5.85546875" style="2" customWidth="1"/>
    <col min="13" max="13" width="8" style="2" customWidth="1"/>
    <col min="14" max="14" width="10" style="2" customWidth="1"/>
    <col min="15" max="15" width="6.85546875" style="2" customWidth="1"/>
    <col min="16" max="17" width="7.85546875" style="2" customWidth="1"/>
    <col min="18" max="18" width="8.5703125" style="2" customWidth="1"/>
    <col min="19" max="19" width="9" style="2" customWidth="1"/>
    <col min="20" max="20" width="7.28515625" style="2" customWidth="1"/>
    <col min="21" max="21" width="6.85546875" style="2" customWidth="1"/>
    <col min="22" max="22" width="6.28515625" style="2" customWidth="1"/>
    <col min="23" max="23" width="6.140625" style="2" customWidth="1"/>
    <col min="24" max="24" width="5.42578125" style="2" customWidth="1"/>
    <col min="25" max="25" width="5.140625" style="2" customWidth="1"/>
    <col min="26" max="26" width="14.85546875" style="362" customWidth="1"/>
    <col min="27" max="28" width="5.140625" style="362" customWidth="1"/>
    <col min="29" max="29" width="11.85546875" style="362" customWidth="1"/>
    <col min="30" max="30" width="9.28515625" style="362" customWidth="1"/>
    <col min="31" max="31" width="8.140625" style="362" customWidth="1"/>
    <col min="32" max="35" width="5.140625" style="362" customWidth="1"/>
    <col min="36" max="38" width="7.28515625" style="362" customWidth="1"/>
    <col min="39" max="39" width="8.140625" style="362" customWidth="1"/>
    <col min="40" max="40" width="7.28515625" style="362" customWidth="1"/>
    <col min="41" max="41" width="8" style="362" customWidth="1"/>
    <col min="42" max="42" width="6.7109375" style="362" customWidth="1"/>
    <col min="43" max="43" width="8.140625" style="362" customWidth="1"/>
    <col min="44" max="44" width="9" style="362" customWidth="1"/>
    <col min="45" max="45" width="5.7109375" style="362" customWidth="1"/>
    <col min="46" max="46" width="7.140625" style="362" customWidth="1"/>
    <col min="47" max="47" width="6.28515625" style="362" customWidth="1"/>
    <col min="48" max="50" width="5.140625" style="362" customWidth="1"/>
    <col min="51" max="51" width="16.85546875" style="2" customWidth="1"/>
    <col min="52" max="53" width="4.85546875" style="2" customWidth="1"/>
    <col min="54" max="54" width="11.140625" style="2" customWidth="1"/>
    <col min="55" max="56" width="10.140625" style="2" customWidth="1"/>
    <col min="57" max="60" width="5.42578125" style="2" customWidth="1"/>
    <col min="61" max="63" width="7" style="2" customWidth="1"/>
    <col min="64" max="64" width="9.85546875" style="2" customWidth="1"/>
    <col min="65" max="65" width="7.85546875" style="2" customWidth="1"/>
    <col min="66" max="68" width="7.42578125" style="2" customWidth="1"/>
    <col min="69" max="69" width="8.28515625" style="2" customWidth="1"/>
    <col min="70" max="70" width="5.42578125" style="2" customWidth="1"/>
    <col min="71" max="71" width="5.7109375" style="2" customWidth="1"/>
    <col min="72" max="72" width="5.42578125" style="2" customWidth="1"/>
    <col min="73" max="73" width="7.28515625" style="2" customWidth="1"/>
    <col min="74" max="74" width="6.28515625" style="2" customWidth="1"/>
    <col min="75" max="75" width="7.28515625" style="2" customWidth="1"/>
    <col min="76" max="76" width="11.42578125" style="2" customWidth="1"/>
    <col min="77" max="78" width="5.85546875" style="2" customWidth="1"/>
    <col min="79" max="79" width="10.140625" style="2" customWidth="1"/>
    <col min="80" max="81" width="9.140625" style="2" customWidth="1"/>
    <col min="82" max="85" width="5.7109375" style="2" customWidth="1"/>
    <col min="86" max="90" width="7.28515625" style="2" customWidth="1"/>
    <col min="91" max="91" width="8.85546875" style="2" customWidth="1"/>
    <col min="92" max="94" width="7.5703125" style="2" customWidth="1"/>
    <col min="95" max="96" width="5.140625" style="2" customWidth="1"/>
    <col min="97" max="97" width="6.28515625" style="2" customWidth="1"/>
    <col min="98" max="100" width="5.140625" style="2" customWidth="1"/>
    <col min="101" max="101" width="11.42578125" style="2"/>
    <col min="102" max="103" width="6.5703125" style="2" customWidth="1"/>
    <col min="104" max="106" width="10.140625" style="2" customWidth="1"/>
    <col min="107" max="109" width="6.28515625" style="2" customWidth="1"/>
    <col min="110" max="110" width="7" style="2" customWidth="1"/>
    <col min="111" max="113" width="9.140625" style="2" customWidth="1"/>
    <col min="114" max="114" width="10.85546875" style="2" customWidth="1"/>
    <col min="115" max="115" width="9.140625" style="2" customWidth="1"/>
    <col min="116" max="116" width="11.42578125" style="2"/>
    <col min="117" max="119" width="7.28515625" style="2" customWidth="1"/>
    <col min="120" max="122" width="7.7109375" style="2" customWidth="1"/>
    <col min="123" max="125" width="8.7109375" style="2" customWidth="1"/>
    <col min="126" max="126" width="11.42578125" style="2"/>
    <col min="127" max="128" width="7.85546875" style="2" customWidth="1"/>
    <col min="129" max="129" width="10" style="2" customWidth="1"/>
    <col min="130" max="131" width="9.85546875" style="2" customWidth="1"/>
    <col min="132" max="135" width="7.140625" style="2" customWidth="1"/>
    <col min="136" max="136" width="7.85546875" style="2" customWidth="1"/>
    <col min="137" max="140" width="8.85546875" style="2" customWidth="1"/>
    <col min="141" max="141" width="8.5703125" style="2" customWidth="1"/>
    <col min="142" max="142" width="8.42578125" style="2" customWidth="1"/>
    <col min="143" max="143" width="9.7109375" style="2" customWidth="1"/>
    <col min="144" max="144" width="10.140625" style="2" customWidth="1"/>
    <col min="145" max="145" width="9.85546875" style="2" customWidth="1"/>
    <col min="146" max="146" width="10.28515625" style="2" customWidth="1"/>
    <col min="147" max="147" width="8.7109375" style="2" customWidth="1"/>
    <col min="148" max="150" width="7.28515625" style="2" customWidth="1"/>
    <col min="151" max="151" width="11.42578125" style="2"/>
    <col min="152" max="153" width="6.42578125" style="2" customWidth="1"/>
    <col min="154" max="154" width="10.5703125" style="2" customWidth="1"/>
    <col min="155" max="155" width="9.7109375" style="2" customWidth="1"/>
    <col min="156" max="156" width="9.42578125" style="2" customWidth="1"/>
    <col min="157" max="160" width="6.85546875" style="2" customWidth="1"/>
    <col min="161" max="161" width="8.7109375" style="2" customWidth="1"/>
    <col min="162" max="165" width="9.7109375" style="2" customWidth="1"/>
    <col min="166" max="166" width="8.5703125" style="2" customWidth="1"/>
    <col min="167" max="167" width="8" style="2" customWidth="1"/>
    <col min="168" max="169" width="10.28515625" style="2" customWidth="1"/>
    <col min="170" max="172" width="9.85546875" style="2" customWidth="1"/>
    <col min="173" max="175" width="7.85546875" style="2" customWidth="1"/>
    <col min="176" max="176" width="11.42578125" style="2"/>
    <col min="177" max="178" width="6.7109375" style="2" customWidth="1"/>
    <col min="179" max="181" width="9.7109375" style="2" customWidth="1"/>
    <col min="182" max="184" width="6.7109375" style="2" customWidth="1"/>
    <col min="185" max="185" width="8.140625" style="2" customWidth="1"/>
    <col min="186" max="186" width="9.7109375" style="2" customWidth="1"/>
    <col min="187" max="190" width="9.42578125" style="2" customWidth="1"/>
    <col min="191" max="191" width="8.85546875" style="2" customWidth="1"/>
    <col min="192" max="192" width="7.85546875" style="2" customWidth="1"/>
    <col min="193" max="194" width="9.140625" style="2" customWidth="1"/>
    <col min="195" max="197" width="7.85546875" style="2" customWidth="1"/>
    <col min="198" max="201" width="11.42578125" style="2"/>
    <col min="202" max="203" width="6.5703125" style="2" customWidth="1"/>
    <col min="204" max="206" width="11.42578125" style="2"/>
    <col min="207" max="209" width="5.85546875" style="2" customWidth="1"/>
    <col min="210" max="215" width="8.28515625" style="2" customWidth="1"/>
    <col min="216" max="219" width="9.5703125" style="2" customWidth="1"/>
    <col min="220" max="222" width="8.7109375" style="2" customWidth="1"/>
    <col min="223" max="225" width="8.140625" style="2" customWidth="1"/>
    <col min="226" max="16384" width="11.42578125" style="2"/>
  </cols>
  <sheetData>
    <row r="1" spans="1:225" ht="17.25" thickBot="1" x14ac:dyDescent="0.3">
      <c r="AZ1" s="392"/>
      <c r="BA1" s="392"/>
      <c r="BB1" s="392"/>
      <c r="BC1" s="392"/>
      <c r="BD1" s="392"/>
      <c r="BE1" s="392"/>
      <c r="BF1" s="392"/>
      <c r="BG1" s="392"/>
      <c r="BH1" s="392"/>
      <c r="BI1" s="392"/>
      <c r="BJ1" s="392"/>
      <c r="BK1" s="392"/>
      <c r="BL1" s="392"/>
      <c r="BM1" s="392"/>
      <c r="BN1" s="392"/>
      <c r="BO1" s="392"/>
      <c r="BP1" s="392"/>
      <c r="BQ1" s="392"/>
      <c r="BR1" s="392"/>
      <c r="BS1" s="392"/>
      <c r="BT1" s="392"/>
      <c r="BU1" s="392"/>
      <c r="BV1" s="392"/>
      <c r="BW1" s="392"/>
    </row>
    <row r="2" spans="1:225" ht="36.75" customHeight="1" x14ac:dyDescent="0.25">
      <c r="A2" s="4"/>
      <c r="B2" s="539"/>
      <c r="C2" s="540"/>
      <c r="D2" s="540"/>
      <c r="E2" s="885" t="s">
        <v>160</v>
      </c>
      <c r="F2" s="885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542"/>
      <c r="S2" s="543" t="s">
        <v>30</v>
      </c>
      <c r="T2" s="612" t="s">
        <v>163</v>
      </c>
      <c r="U2" s="543"/>
      <c r="V2" s="543"/>
      <c r="W2" s="543" t="s">
        <v>155</v>
      </c>
      <c r="X2" s="541"/>
      <c r="Y2" s="558"/>
      <c r="Z2" s="490"/>
      <c r="AA2" s="539"/>
      <c r="AB2" s="540"/>
      <c r="AC2" s="540"/>
      <c r="AD2" s="885" t="s">
        <v>161</v>
      </c>
      <c r="AE2" s="885"/>
      <c r="AF2" s="885"/>
      <c r="AG2" s="885"/>
      <c r="AH2" s="885"/>
      <c r="AI2" s="885"/>
      <c r="AJ2" s="885"/>
      <c r="AK2" s="885"/>
      <c r="AL2" s="885"/>
      <c r="AM2" s="885"/>
      <c r="AN2" s="885"/>
      <c r="AO2" s="885"/>
      <c r="AP2" s="885"/>
      <c r="AQ2" s="885"/>
      <c r="AR2" s="540" t="s">
        <v>158</v>
      </c>
      <c r="AS2" s="543"/>
      <c r="AT2" s="543"/>
      <c r="AU2" s="543"/>
      <c r="AV2" s="543" t="s">
        <v>153</v>
      </c>
      <c r="AW2" s="541"/>
      <c r="AX2" s="558"/>
      <c r="AZ2" s="539"/>
      <c r="BA2" s="540"/>
      <c r="BB2" s="540"/>
      <c r="BC2" s="893" t="s">
        <v>160</v>
      </c>
      <c r="BD2" s="893"/>
      <c r="BE2" s="893"/>
      <c r="BF2" s="893"/>
      <c r="BG2" s="893"/>
      <c r="BH2" s="893"/>
      <c r="BI2" s="893"/>
      <c r="BJ2" s="893"/>
      <c r="BK2" s="893"/>
      <c r="BL2" s="893"/>
      <c r="BM2" s="893"/>
      <c r="BN2" s="893"/>
      <c r="BO2" s="893"/>
      <c r="BP2" s="893"/>
      <c r="BQ2" s="540" t="s">
        <v>159</v>
      </c>
      <c r="BR2" s="556"/>
      <c r="BS2" s="543"/>
      <c r="BT2" s="543"/>
      <c r="BU2" s="543" t="s">
        <v>14</v>
      </c>
      <c r="BV2" s="556"/>
      <c r="BW2" s="558"/>
      <c r="BY2" s="539"/>
      <c r="BZ2" s="540"/>
      <c r="CA2" s="540"/>
      <c r="CB2" s="885" t="s">
        <v>180</v>
      </c>
      <c r="CC2" s="885"/>
      <c r="CD2" s="885"/>
      <c r="CE2" s="885"/>
      <c r="CF2" s="885"/>
      <c r="CG2" s="885"/>
      <c r="CH2" s="885"/>
      <c r="CI2" s="885"/>
      <c r="CJ2" s="885"/>
      <c r="CK2" s="885"/>
      <c r="CL2" s="885"/>
      <c r="CM2" s="885"/>
      <c r="CN2" s="885"/>
      <c r="CO2" s="885"/>
      <c r="CP2" s="543" t="s">
        <v>129</v>
      </c>
      <c r="CQ2" s="557">
        <v>1</v>
      </c>
      <c r="CR2" s="543"/>
      <c r="CS2" s="543"/>
      <c r="CT2" s="543" t="s">
        <v>131</v>
      </c>
      <c r="CU2" s="541" t="s">
        <v>80</v>
      </c>
      <c r="CV2" s="558"/>
      <c r="CX2" s="539"/>
      <c r="CY2" s="540"/>
      <c r="CZ2" s="540"/>
      <c r="DA2" s="885" t="s">
        <v>180</v>
      </c>
      <c r="DB2" s="885"/>
      <c r="DC2" s="885"/>
      <c r="DD2" s="885"/>
      <c r="DE2" s="885"/>
      <c r="DF2" s="885"/>
      <c r="DG2" s="885"/>
      <c r="DH2" s="885"/>
      <c r="DI2" s="885"/>
      <c r="DJ2" s="885"/>
      <c r="DK2" s="885"/>
      <c r="DL2" s="885"/>
      <c r="DM2" s="885"/>
      <c r="DN2" s="885"/>
      <c r="DO2" s="543" t="s">
        <v>129</v>
      </c>
      <c r="DP2" s="557">
        <v>2</v>
      </c>
      <c r="DQ2" s="543"/>
      <c r="DR2" s="543"/>
      <c r="DS2" s="543" t="s">
        <v>131</v>
      </c>
      <c r="DT2" s="541" t="s">
        <v>80</v>
      </c>
      <c r="DU2" s="558"/>
      <c r="DW2" s="539"/>
      <c r="DX2" s="540"/>
      <c r="DY2" s="540"/>
      <c r="DZ2" s="885" t="s">
        <v>180</v>
      </c>
      <c r="EA2" s="885"/>
      <c r="EB2" s="885"/>
      <c r="EC2" s="885"/>
      <c r="ED2" s="885"/>
      <c r="EE2" s="885"/>
      <c r="EF2" s="885"/>
      <c r="EG2" s="885"/>
      <c r="EH2" s="885"/>
      <c r="EI2" s="885"/>
      <c r="EJ2" s="885"/>
      <c r="EK2" s="885"/>
      <c r="EL2" s="885"/>
      <c r="EM2" s="885"/>
      <c r="EN2" s="543" t="s">
        <v>129</v>
      </c>
      <c r="EO2" s="557">
        <v>3</v>
      </c>
      <c r="EP2" s="543"/>
      <c r="EQ2" s="543"/>
      <c r="ER2" s="543" t="s">
        <v>131</v>
      </c>
      <c r="ES2" s="541" t="s">
        <v>80</v>
      </c>
      <c r="ET2" s="558"/>
      <c r="EV2" s="539"/>
      <c r="EW2" s="540"/>
      <c r="EX2" s="540"/>
      <c r="EY2" s="885" t="s">
        <v>180</v>
      </c>
      <c r="EZ2" s="885"/>
      <c r="FA2" s="885"/>
      <c r="FB2" s="885"/>
      <c r="FC2" s="885"/>
      <c r="FD2" s="885"/>
      <c r="FE2" s="885"/>
      <c r="FF2" s="885"/>
      <c r="FG2" s="885"/>
      <c r="FH2" s="885"/>
      <c r="FI2" s="885"/>
      <c r="FJ2" s="885"/>
      <c r="FK2" s="885"/>
      <c r="FL2" s="885"/>
      <c r="FM2" s="543" t="s">
        <v>129</v>
      </c>
      <c r="FN2" s="557">
        <v>4</v>
      </c>
      <c r="FO2" s="543"/>
      <c r="FP2" s="543"/>
      <c r="FQ2" s="543" t="s">
        <v>131</v>
      </c>
      <c r="FR2" s="541" t="s">
        <v>80</v>
      </c>
      <c r="FS2" s="558"/>
      <c r="FU2" s="539"/>
      <c r="FV2" s="540"/>
      <c r="FW2" s="540"/>
      <c r="FX2" s="885" t="s">
        <v>180</v>
      </c>
      <c r="FY2" s="885"/>
      <c r="FZ2" s="885"/>
      <c r="GA2" s="885"/>
      <c r="GB2" s="885"/>
      <c r="GC2" s="885"/>
      <c r="GD2" s="885"/>
      <c r="GE2" s="885"/>
      <c r="GF2" s="885"/>
      <c r="GG2" s="885"/>
      <c r="GH2" s="885"/>
      <c r="GI2" s="885"/>
      <c r="GJ2" s="885"/>
      <c r="GK2" s="885"/>
      <c r="GL2" s="543" t="s">
        <v>129</v>
      </c>
      <c r="GM2" s="557">
        <v>5</v>
      </c>
      <c r="GN2" s="543"/>
      <c r="GO2" s="543"/>
      <c r="GP2" s="543" t="s">
        <v>131</v>
      </c>
      <c r="GQ2" s="541" t="s">
        <v>80</v>
      </c>
      <c r="GR2" s="558"/>
      <c r="GT2" s="539"/>
      <c r="GU2" s="540"/>
      <c r="GV2" s="540"/>
      <c r="GW2" s="885" t="s">
        <v>180</v>
      </c>
      <c r="GX2" s="885"/>
      <c r="GY2" s="885"/>
      <c r="GZ2" s="885"/>
      <c r="HA2" s="885"/>
      <c r="HB2" s="885"/>
      <c r="HC2" s="885"/>
      <c r="HD2" s="885"/>
      <c r="HE2" s="885"/>
      <c r="HF2" s="885"/>
      <c r="HG2" s="885"/>
      <c r="HH2" s="885"/>
      <c r="HI2" s="885"/>
      <c r="HJ2" s="885"/>
      <c r="HK2" s="543" t="s">
        <v>129</v>
      </c>
      <c r="HL2" s="557">
        <v>6</v>
      </c>
      <c r="HM2" s="543"/>
      <c r="HN2" s="543"/>
      <c r="HO2" s="543" t="s">
        <v>131</v>
      </c>
      <c r="HP2" s="541" t="s">
        <v>80</v>
      </c>
      <c r="HQ2" s="558"/>
    </row>
    <row r="3" spans="1:225" ht="36.75" customHeight="1" thickBot="1" x14ac:dyDescent="0.3">
      <c r="A3" s="4"/>
      <c r="B3" s="544" t="s">
        <v>166</v>
      </c>
      <c r="C3" s="545"/>
      <c r="D3" s="545"/>
      <c r="E3" s="545"/>
      <c r="F3" s="545"/>
      <c r="G3" s="545" t="s">
        <v>130</v>
      </c>
      <c r="H3" s="545"/>
      <c r="I3" s="545"/>
      <c r="J3" s="545"/>
      <c r="K3" s="545"/>
      <c r="L3" s="545"/>
      <c r="M3" s="545" t="s">
        <v>152</v>
      </c>
      <c r="N3" s="545"/>
      <c r="O3" s="545"/>
      <c r="P3" s="546"/>
      <c r="Q3" s="546"/>
      <c r="R3" s="546"/>
      <c r="S3" s="546"/>
      <c r="T3" s="547" t="s">
        <v>12</v>
      </c>
      <c r="U3" s="546"/>
      <c r="V3" s="546"/>
      <c r="W3" s="545"/>
      <c r="X3" s="545"/>
      <c r="Y3" s="559"/>
      <c r="Z3" s="490"/>
      <c r="AA3" s="596" t="s">
        <v>151</v>
      </c>
      <c r="AB3" s="597"/>
      <c r="AC3" s="597"/>
      <c r="AD3" s="597"/>
      <c r="AE3" s="597"/>
      <c r="AF3" s="597" t="s">
        <v>130</v>
      </c>
      <c r="AG3" s="597"/>
      <c r="AH3" s="597"/>
      <c r="AI3" s="597"/>
      <c r="AJ3" s="597"/>
      <c r="AK3" s="597"/>
      <c r="AL3" s="597" t="s">
        <v>152</v>
      </c>
      <c r="AM3" s="597"/>
      <c r="AN3" s="597"/>
      <c r="AO3" s="598"/>
      <c r="AP3" s="598"/>
      <c r="AQ3" s="598"/>
      <c r="AR3" s="598"/>
      <c r="AS3" s="599" t="s">
        <v>12</v>
      </c>
      <c r="AT3" s="598"/>
      <c r="AU3" s="598"/>
      <c r="AV3" s="597"/>
      <c r="AW3" s="597"/>
      <c r="AX3" s="600"/>
      <c r="AZ3" s="544" t="s">
        <v>13</v>
      </c>
      <c r="BA3" s="545"/>
      <c r="BB3" s="545"/>
      <c r="BC3" s="545"/>
      <c r="BD3" s="545"/>
      <c r="BE3" s="545" t="s">
        <v>0</v>
      </c>
      <c r="BF3" s="545"/>
      <c r="BG3" s="545" t="s">
        <v>145</v>
      </c>
      <c r="BH3" s="545"/>
      <c r="BI3" s="545"/>
      <c r="BJ3" s="545"/>
      <c r="BK3" s="545" t="s">
        <v>152</v>
      </c>
      <c r="BL3" s="545"/>
      <c r="BM3" s="601"/>
      <c r="BN3" s="546"/>
      <c r="BO3" s="546"/>
      <c r="BP3" s="546"/>
      <c r="BQ3" s="546"/>
      <c r="BR3" s="547" t="s">
        <v>12</v>
      </c>
      <c r="BS3" s="546"/>
      <c r="BT3" s="546"/>
      <c r="BU3" s="894"/>
      <c r="BV3" s="894"/>
      <c r="BW3" s="895"/>
      <c r="BY3" s="544" t="s">
        <v>13</v>
      </c>
      <c r="BZ3" s="545"/>
      <c r="CA3" s="545"/>
      <c r="CB3" s="545"/>
      <c r="CC3" s="545"/>
      <c r="CD3" s="545" t="s">
        <v>130</v>
      </c>
      <c r="CE3" s="545"/>
      <c r="CF3" s="545"/>
      <c r="CG3" s="545"/>
      <c r="CH3" s="545"/>
      <c r="CI3" s="545"/>
      <c r="CJ3" s="545" t="s">
        <v>152</v>
      </c>
      <c r="CK3" s="545"/>
      <c r="CL3" s="545"/>
      <c r="CM3" s="607"/>
      <c r="CN3" s="546"/>
      <c r="CO3" s="546"/>
      <c r="CP3" s="546"/>
      <c r="CQ3" s="547" t="s">
        <v>12</v>
      </c>
      <c r="CR3" s="546"/>
      <c r="CS3" s="546"/>
      <c r="CT3" s="886"/>
      <c r="CU3" s="886"/>
      <c r="CV3" s="887"/>
      <c r="CX3" s="544" t="s">
        <v>13</v>
      </c>
      <c r="CY3" s="545"/>
      <c r="CZ3" s="545"/>
      <c r="DA3" s="545"/>
      <c r="DB3" s="545"/>
      <c r="DC3" s="545" t="s">
        <v>130</v>
      </c>
      <c r="DD3" s="545"/>
      <c r="DE3" s="545"/>
      <c r="DF3" s="545"/>
      <c r="DG3" s="545"/>
      <c r="DH3" s="545"/>
      <c r="DI3" s="545" t="s">
        <v>152</v>
      </c>
      <c r="DJ3" s="545"/>
      <c r="DK3" s="545"/>
      <c r="DL3" s="607"/>
      <c r="DM3" s="546"/>
      <c r="DN3" s="546"/>
      <c r="DO3" s="546"/>
      <c r="DP3" s="547" t="s">
        <v>12</v>
      </c>
      <c r="DQ3" s="546"/>
      <c r="DR3" s="546"/>
      <c r="DS3" s="886"/>
      <c r="DT3" s="886"/>
      <c r="DU3" s="887"/>
      <c r="DW3" s="544" t="s">
        <v>13</v>
      </c>
      <c r="DX3" s="545"/>
      <c r="DY3" s="545"/>
      <c r="DZ3" s="545"/>
      <c r="EA3" s="545"/>
      <c r="EB3" s="545" t="s">
        <v>130</v>
      </c>
      <c r="EC3" s="545"/>
      <c r="ED3" s="545"/>
      <c r="EE3" s="545"/>
      <c r="EF3" s="545"/>
      <c r="EG3" s="545"/>
      <c r="EH3" s="545" t="s">
        <v>152</v>
      </c>
      <c r="EI3" s="545"/>
      <c r="EJ3" s="545"/>
      <c r="EK3" s="607"/>
      <c r="EL3" s="546"/>
      <c r="EM3" s="546"/>
      <c r="EN3" s="546"/>
      <c r="EO3" s="547" t="s">
        <v>12</v>
      </c>
      <c r="EP3" s="546"/>
      <c r="EQ3" s="546"/>
      <c r="ER3" s="886"/>
      <c r="ES3" s="886"/>
      <c r="ET3" s="887"/>
      <c r="EV3" s="544" t="s">
        <v>13</v>
      </c>
      <c r="EW3" s="545"/>
      <c r="EX3" s="545"/>
      <c r="EY3" s="545"/>
      <c r="EZ3" s="545"/>
      <c r="FA3" s="545" t="s">
        <v>130</v>
      </c>
      <c r="FB3" s="545"/>
      <c r="FC3" s="545"/>
      <c r="FD3" s="545"/>
      <c r="FE3" s="545"/>
      <c r="FF3" s="545"/>
      <c r="FG3" s="545" t="s">
        <v>152</v>
      </c>
      <c r="FH3" s="545"/>
      <c r="FI3" s="545"/>
      <c r="FJ3" s="607"/>
      <c r="FK3" s="546"/>
      <c r="FL3" s="546"/>
      <c r="FM3" s="546"/>
      <c r="FN3" s="547" t="s">
        <v>12</v>
      </c>
      <c r="FO3" s="546"/>
      <c r="FP3" s="546"/>
      <c r="FQ3" s="886"/>
      <c r="FR3" s="886"/>
      <c r="FS3" s="887"/>
      <c r="FU3" s="544" t="s">
        <v>13</v>
      </c>
      <c r="FV3" s="545"/>
      <c r="FW3" s="545"/>
      <c r="FX3" s="545"/>
      <c r="FY3" s="545"/>
      <c r="FZ3" s="545" t="s">
        <v>130</v>
      </c>
      <c r="GA3" s="545"/>
      <c r="GB3" s="545"/>
      <c r="GC3" s="545"/>
      <c r="GD3" s="545"/>
      <c r="GE3" s="545"/>
      <c r="GF3" s="545" t="s">
        <v>152</v>
      </c>
      <c r="GG3" s="545"/>
      <c r="GH3" s="545"/>
      <c r="GI3" s="607"/>
      <c r="GJ3" s="546"/>
      <c r="GK3" s="546"/>
      <c r="GL3" s="546"/>
      <c r="GM3" s="547" t="s">
        <v>12</v>
      </c>
      <c r="GN3" s="546"/>
      <c r="GO3" s="546"/>
      <c r="GP3" s="886"/>
      <c r="GQ3" s="886"/>
      <c r="GR3" s="887"/>
      <c r="GT3" s="544" t="s">
        <v>13</v>
      </c>
      <c r="GU3" s="545"/>
      <c r="GV3" s="545"/>
      <c r="GW3" s="545"/>
      <c r="GX3" s="545"/>
      <c r="GY3" s="545" t="s">
        <v>130</v>
      </c>
      <c r="GZ3" s="545"/>
      <c r="HA3" s="545"/>
      <c r="HB3" s="545"/>
      <c r="HC3" s="545"/>
      <c r="HD3" s="545"/>
      <c r="HE3" s="545" t="s">
        <v>152</v>
      </c>
      <c r="HF3" s="545"/>
      <c r="HG3" s="545"/>
      <c r="HH3" s="607"/>
      <c r="HI3" s="546"/>
      <c r="HJ3" s="546"/>
      <c r="HK3" s="546"/>
      <c r="HL3" s="547" t="s">
        <v>12</v>
      </c>
      <c r="HM3" s="546"/>
      <c r="HN3" s="546"/>
      <c r="HO3" s="886"/>
      <c r="HP3" s="886"/>
      <c r="HQ3" s="887"/>
    </row>
    <row r="4" spans="1:225" ht="27.75" customHeight="1" x14ac:dyDescent="0.25">
      <c r="A4" s="4"/>
      <c r="B4" s="888" t="s">
        <v>4</v>
      </c>
      <c r="C4" s="888" t="s">
        <v>41</v>
      </c>
      <c r="D4" s="890" t="s">
        <v>5</v>
      </c>
      <c r="E4" s="891"/>
      <c r="F4" s="892"/>
      <c r="G4" s="890" t="s">
        <v>3</v>
      </c>
      <c r="H4" s="891"/>
      <c r="I4" s="891"/>
      <c r="J4" s="891"/>
      <c r="K4" s="891"/>
      <c r="L4" s="891"/>
      <c r="M4" s="891"/>
      <c r="N4" s="891"/>
      <c r="O4" s="892"/>
      <c r="P4" s="890" t="s">
        <v>8</v>
      </c>
      <c r="Q4" s="891"/>
      <c r="R4" s="891"/>
      <c r="S4" s="892"/>
      <c r="T4" s="890" t="s">
        <v>11</v>
      </c>
      <c r="U4" s="891"/>
      <c r="V4" s="892"/>
      <c r="W4" s="890" t="s">
        <v>2</v>
      </c>
      <c r="X4" s="891"/>
      <c r="Y4" s="892"/>
      <c r="Z4" s="491"/>
      <c r="AA4" s="888" t="s">
        <v>4</v>
      </c>
      <c r="AB4" s="888" t="s">
        <v>41</v>
      </c>
      <c r="AC4" s="890" t="s">
        <v>5</v>
      </c>
      <c r="AD4" s="891"/>
      <c r="AE4" s="892"/>
      <c r="AF4" s="890" t="s">
        <v>3</v>
      </c>
      <c r="AG4" s="891"/>
      <c r="AH4" s="891"/>
      <c r="AI4" s="891"/>
      <c r="AJ4" s="891"/>
      <c r="AK4" s="891"/>
      <c r="AL4" s="891"/>
      <c r="AM4" s="891"/>
      <c r="AN4" s="892"/>
      <c r="AO4" s="890" t="s">
        <v>8</v>
      </c>
      <c r="AP4" s="891"/>
      <c r="AQ4" s="891"/>
      <c r="AR4" s="892"/>
      <c r="AS4" s="890" t="s">
        <v>11</v>
      </c>
      <c r="AT4" s="891"/>
      <c r="AU4" s="892"/>
      <c r="AV4" s="890" t="s">
        <v>2</v>
      </c>
      <c r="AW4" s="891"/>
      <c r="AX4" s="892"/>
      <c r="AZ4" s="888" t="s">
        <v>4</v>
      </c>
      <c r="BA4" s="888" t="s">
        <v>41</v>
      </c>
      <c r="BB4" s="890" t="s">
        <v>5</v>
      </c>
      <c r="BC4" s="891"/>
      <c r="BD4" s="892"/>
      <c r="BE4" s="890" t="s">
        <v>3</v>
      </c>
      <c r="BF4" s="891"/>
      <c r="BG4" s="891"/>
      <c r="BH4" s="891"/>
      <c r="BI4" s="891"/>
      <c r="BJ4" s="891"/>
      <c r="BK4" s="891"/>
      <c r="BL4" s="891"/>
      <c r="BM4" s="892"/>
      <c r="BN4" s="890" t="s">
        <v>8</v>
      </c>
      <c r="BO4" s="891"/>
      <c r="BP4" s="891"/>
      <c r="BQ4" s="892"/>
      <c r="BR4" s="890" t="s">
        <v>11</v>
      </c>
      <c r="BS4" s="891"/>
      <c r="BT4" s="892"/>
      <c r="BU4" s="890" t="s">
        <v>2</v>
      </c>
      <c r="BV4" s="891"/>
      <c r="BW4" s="892"/>
      <c r="BY4" s="888" t="s">
        <v>4</v>
      </c>
      <c r="BZ4" s="888" t="s">
        <v>41</v>
      </c>
      <c r="CA4" s="890" t="s">
        <v>5</v>
      </c>
      <c r="CB4" s="891"/>
      <c r="CC4" s="892"/>
      <c r="CD4" s="890" t="s">
        <v>3</v>
      </c>
      <c r="CE4" s="891"/>
      <c r="CF4" s="891"/>
      <c r="CG4" s="891"/>
      <c r="CH4" s="891"/>
      <c r="CI4" s="891"/>
      <c r="CJ4" s="891"/>
      <c r="CK4" s="891"/>
      <c r="CL4" s="892"/>
      <c r="CM4" s="890" t="s">
        <v>8</v>
      </c>
      <c r="CN4" s="891"/>
      <c r="CO4" s="891"/>
      <c r="CP4" s="892"/>
      <c r="CQ4" s="890" t="s">
        <v>11</v>
      </c>
      <c r="CR4" s="891"/>
      <c r="CS4" s="892"/>
      <c r="CT4" s="890" t="s">
        <v>2</v>
      </c>
      <c r="CU4" s="891"/>
      <c r="CV4" s="892"/>
      <c r="CX4" s="888" t="s">
        <v>4</v>
      </c>
      <c r="CY4" s="888" t="s">
        <v>41</v>
      </c>
      <c r="CZ4" s="890" t="s">
        <v>5</v>
      </c>
      <c r="DA4" s="891"/>
      <c r="DB4" s="892"/>
      <c r="DC4" s="890" t="s">
        <v>3</v>
      </c>
      <c r="DD4" s="891"/>
      <c r="DE4" s="891"/>
      <c r="DF4" s="891"/>
      <c r="DG4" s="891"/>
      <c r="DH4" s="891"/>
      <c r="DI4" s="891"/>
      <c r="DJ4" s="891"/>
      <c r="DK4" s="892"/>
      <c r="DL4" s="890" t="s">
        <v>8</v>
      </c>
      <c r="DM4" s="891"/>
      <c r="DN4" s="891"/>
      <c r="DO4" s="892"/>
      <c r="DP4" s="890" t="s">
        <v>11</v>
      </c>
      <c r="DQ4" s="891"/>
      <c r="DR4" s="892"/>
      <c r="DS4" s="890" t="s">
        <v>2</v>
      </c>
      <c r="DT4" s="891"/>
      <c r="DU4" s="892"/>
      <c r="DW4" s="888" t="s">
        <v>4</v>
      </c>
      <c r="DX4" s="888" t="s">
        <v>41</v>
      </c>
      <c r="DY4" s="890" t="s">
        <v>5</v>
      </c>
      <c r="DZ4" s="891"/>
      <c r="EA4" s="892"/>
      <c r="EB4" s="890" t="s">
        <v>3</v>
      </c>
      <c r="EC4" s="891"/>
      <c r="ED4" s="891"/>
      <c r="EE4" s="891"/>
      <c r="EF4" s="891"/>
      <c r="EG4" s="891"/>
      <c r="EH4" s="891"/>
      <c r="EI4" s="891"/>
      <c r="EJ4" s="892"/>
      <c r="EK4" s="890" t="s">
        <v>8</v>
      </c>
      <c r="EL4" s="891"/>
      <c r="EM4" s="891"/>
      <c r="EN4" s="892"/>
      <c r="EO4" s="890" t="s">
        <v>11</v>
      </c>
      <c r="EP4" s="891"/>
      <c r="EQ4" s="892"/>
      <c r="ER4" s="890" t="s">
        <v>2</v>
      </c>
      <c r="ES4" s="891"/>
      <c r="ET4" s="892"/>
      <c r="EV4" s="888" t="s">
        <v>4</v>
      </c>
      <c r="EW4" s="888" t="s">
        <v>41</v>
      </c>
      <c r="EX4" s="890" t="s">
        <v>5</v>
      </c>
      <c r="EY4" s="891"/>
      <c r="EZ4" s="892"/>
      <c r="FA4" s="890" t="s">
        <v>3</v>
      </c>
      <c r="FB4" s="891"/>
      <c r="FC4" s="891"/>
      <c r="FD4" s="891"/>
      <c r="FE4" s="891"/>
      <c r="FF4" s="891"/>
      <c r="FG4" s="891"/>
      <c r="FH4" s="891"/>
      <c r="FI4" s="892"/>
      <c r="FJ4" s="890" t="s">
        <v>8</v>
      </c>
      <c r="FK4" s="891"/>
      <c r="FL4" s="891"/>
      <c r="FM4" s="892"/>
      <c r="FN4" s="890" t="s">
        <v>11</v>
      </c>
      <c r="FO4" s="891"/>
      <c r="FP4" s="892"/>
      <c r="FQ4" s="890" t="s">
        <v>2</v>
      </c>
      <c r="FR4" s="891"/>
      <c r="FS4" s="892"/>
      <c r="FU4" s="888" t="s">
        <v>4</v>
      </c>
      <c r="FV4" s="888" t="s">
        <v>41</v>
      </c>
      <c r="FW4" s="890" t="s">
        <v>5</v>
      </c>
      <c r="FX4" s="891"/>
      <c r="FY4" s="892"/>
      <c r="FZ4" s="890" t="s">
        <v>3</v>
      </c>
      <c r="GA4" s="891"/>
      <c r="GB4" s="891"/>
      <c r="GC4" s="891"/>
      <c r="GD4" s="891"/>
      <c r="GE4" s="891"/>
      <c r="GF4" s="891"/>
      <c r="GG4" s="891"/>
      <c r="GH4" s="892"/>
      <c r="GI4" s="890" t="s">
        <v>8</v>
      </c>
      <c r="GJ4" s="891"/>
      <c r="GK4" s="891"/>
      <c r="GL4" s="892"/>
      <c r="GM4" s="890" t="s">
        <v>11</v>
      </c>
      <c r="GN4" s="891"/>
      <c r="GO4" s="892"/>
      <c r="GP4" s="890" t="s">
        <v>2</v>
      </c>
      <c r="GQ4" s="891"/>
      <c r="GR4" s="892"/>
      <c r="GT4" s="888" t="s">
        <v>4</v>
      </c>
      <c r="GU4" s="888" t="s">
        <v>41</v>
      </c>
      <c r="GV4" s="890" t="s">
        <v>5</v>
      </c>
      <c r="GW4" s="891"/>
      <c r="GX4" s="892"/>
      <c r="GY4" s="890" t="s">
        <v>3</v>
      </c>
      <c r="GZ4" s="891"/>
      <c r="HA4" s="891"/>
      <c r="HB4" s="891"/>
      <c r="HC4" s="891"/>
      <c r="HD4" s="891"/>
      <c r="HE4" s="891"/>
      <c r="HF4" s="891"/>
      <c r="HG4" s="892"/>
      <c r="HH4" s="890" t="s">
        <v>8</v>
      </c>
      <c r="HI4" s="891"/>
      <c r="HJ4" s="891"/>
      <c r="HK4" s="892"/>
      <c r="HL4" s="890" t="s">
        <v>11</v>
      </c>
      <c r="HM4" s="891"/>
      <c r="HN4" s="892"/>
      <c r="HO4" s="890" t="s">
        <v>2</v>
      </c>
      <c r="HP4" s="891"/>
      <c r="HQ4" s="892"/>
    </row>
    <row r="5" spans="1:225" ht="42" customHeight="1" thickBot="1" x14ac:dyDescent="0.3">
      <c r="A5" s="4"/>
      <c r="B5" s="889"/>
      <c r="C5" s="889"/>
      <c r="D5" s="579" t="s">
        <v>167</v>
      </c>
      <c r="E5" s="580" t="s">
        <v>6</v>
      </c>
      <c r="F5" s="581" t="s">
        <v>7</v>
      </c>
      <c r="G5" s="548" t="s">
        <v>27</v>
      </c>
      <c r="H5" s="549" t="s">
        <v>16</v>
      </c>
      <c r="I5" s="551" t="s">
        <v>17</v>
      </c>
      <c r="J5" s="551" t="s">
        <v>18</v>
      </c>
      <c r="K5" s="551" t="s">
        <v>24</v>
      </c>
      <c r="L5" s="551" t="s">
        <v>46</v>
      </c>
      <c r="M5" s="551" t="s">
        <v>22</v>
      </c>
      <c r="N5" s="549" t="s">
        <v>47</v>
      </c>
      <c r="O5" s="550" t="s">
        <v>23</v>
      </c>
      <c r="P5" s="548" t="s">
        <v>187</v>
      </c>
      <c r="Q5" s="552" t="s">
        <v>42</v>
      </c>
      <c r="R5" s="553" t="s">
        <v>170</v>
      </c>
      <c r="S5" s="554" t="s">
        <v>21</v>
      </c>
      <c r="T5" s="548" t="s">
        <v>25</v>
      </c>
      <c r="U5" s="555" t="s">
        <v>26</v>
      </c>
      <c r="V5" s="554" t="s">
        <v>15</v>
      </c>
      <c r="W5" s="548" t="s">
        <v>19</v>
      </c>
      <c r="X5" s="549" t="s">
        <v>20</v>
      </c>
      <c r="Y5" s="550" t="s">
        <v>15</v>
      </c>
      <c r="Z5" s="361"/>
      <c r="AA5" s="889"/>
      <c r="AB5" s="889"/>
      <c r="AC5" s="548" t="s">
        <v>28</v>
      </c>
      <c r="AD5" s="549" t="s">
        <v>6</v>
      </c>
      <c r="AE5" s="550" t="s">
        <v>7</v>
      </c>
      <c r="AF5" s="548" t="s">
        <v>27</v>
      </c>
      <c r="AG5" s="549" t="s">
        <v>16</v>
      </c>
      <c r="AH5" s="551" t="s">
        <v>17</v>
      </c>
      <c r="AI5" s="551" t="s">
        <v>18</v>
      </c>
      <c r="AJ5" s="551" t="s">
        <v>24</v>
      </c>
      <c r="AK5" s="551" t="s">
        <v>46</v>
      </c>
      <c r="AL5" s="551" t="s">
        <v>22</v>
      </c>
      <c r="AM5" s="549" t="s">
        <v>47</v>
      </c>
      <c r="AN5" s="550" t="s">
        <v>23</v>
      </c>
      <c r="AO5" s="548" t="s">
        <v>187</v>
      </c>
      <c r="AP5" s="552" t="s">
        <v>42</v>
      </c>
      <c r="AQ5" s="553" t="s">
        <v>10</v>
      </c>
      <c r="AR5" s="554" t="s">
        <v>21</v>
      </c>
      <c r="AS5" s="548" t="s">
        <v>25</v>
      </c>
      <c r="AT5" s="555" t="s">
        <v>26</v>
      </c>
      <c r="AU5" s="554" t="s">
        <v>15</v>
      </c>
      <c r="AV5" s="548" t="s">
        <v>19</v>
      </c>
      <c r="AW5" s="549" t="s">
        <v>20</v>
      </c>
      <c r="AX5" s="550" t="s">
        <v>15</v>
      </c>
      <c r="AZ5" s="889"/>
      <c r="BA5" s="889"/>
      <c r="BB5" s="548" t="s">
        <v>28</v>
      </c>
      <c r="BC5" s="549" t="s">
        <v>6</v>
      </c>
      <c r="BD5" s="550" t="s">
        <v>7</v>
      </c>
      <c r="BE5" s="548" t="s">
        <v>27</v>
      </c>
      <c r="BF5" s="549" t="s">
        <v>16</v>
      </c>
      <c r="BG5" s="551" t="s">
        <v>17</v>
      </c>
      <c r="BH5" s="551" t="s">
        <v>18</v>
      </c>
      <c r="BI5" s="551" t="s">
        <v>24</v>
      </c>
      <c r="BJ5" s="551" t="s">
        <v>46</v>
      </c>
      <c r="BK5" s="551" t="s">
        <v>22</v>
      </c>
      <c r="BL5" s="549" t="s">
        <v>47</v>
      </c>
      <c r="BM5" s="550" t="s">
        <v>23</v>
      </c>
      <c r="BN5" s="548" t="s">
        <v>187</v>
      </c>
      <c r="BO5" s="552" t="s">
        <v>42</v>
      </c>
      <c r="BP5" s="553" t="s">
        <v>10</v>
      </c>
      <c r="BQ5" s="554" t="s">
        <v>21</v>
      </c>
      <c r="BR5" s="548" t="s">
        <v>25</v>
      </c>
      <c r="BS5" s="555" t="s">
        <v>26</v>
      </c>
      <c r="BT5" s="554" t="s">
        <v>15</v>
      </c>
      <c r="BU5" s="548" t="s">
        <v>19</v>
      </c>
      <c r="BV5" s="549" t="s">
        <v>20</v>
      </c>
      <c r="BW5" s="550" t="s">
        <v>15</v>
      </c>
      <c r="BY5" s="889"/>
      <c r="BZ5" s="889"/>
      <c r="CA5" s="548" t="s">
        <v>28</v>
      </c>
      <c r="CB5" s="549" t="s">
        <v>6</v>
      </c>
      <c r="CC5" s="550" t="s">
        <v>7</v>
      </c>
      <c r="CD5" s="548" t="s">
        <v>27</v>
      </c>
      <c r="CE5" s="549" t="s">
        <v>16</v>
      </c>
      <c r="CF5" s="551" t="s">
        <v>17</v>
      </c>
      <c r="CG5" s="551" t="s">
        <v>18</v>
      </c>
      <c r="CH5" s="551" t="s">
        <v>24</v>
      </c>
      <c r="CI5" s="551" t="s">
        <v>46</v>
      </c>
      <c r="CJ5" s="551" t="s">
        <v>22</v>
      </c>
      <c r="CK5" s="549" t="s">
        <v>47</v>
      </c>
      <c r="CL5" s="550" t="s">
        <v>23</v>
      </c>
      <c r="CM5" s="548" t="s">
        <v>187</v>
      </c>
      <c r="CN5" s="552" t="s">
        <v>42</v>
      </c>
      <c r="CO5" s="553" t="s">
        <v>10</v>
      </c>
      <c r="CP5" s="554" t="s">
        <v>21</v>
      </c>
      <c r="CQ5" s="548" t="s">
        <v>25</v>
      </c>
      <c r="CR5" s="555" t="s">
        <v>26</v>
      </c>
      <c r="CS5" s="554" t="s">
        <v>15</v>
      </c>
      <c r="CT5" s="548" t="s">
        <v>19</v>
      </c>
      <c r="CU5" s="549" t="s">
        <v>20</v>
      </c>
      <c r="CV5" s="550" t="s">
        <v>15</v>
      </c>
      <c r="CX5" s="889"/>
      <c r="CY5" s="889"/>
      <c r="CZ5" s="548" t="s">
        <v>28</v>
      </c>
      <c r="DA5" s="549" t="s">
        <v>6</v>
      </c>
      <c r="DB5" s="550" t="s">
        <v>7</v>
      </c>
      <c r="DC5" s="548" t="s">
        <v>27</v>
      </c>
      <c r="DD5" s="549" t="s">
        <v>16</v>
      </c>
      <c r="DE5" s="551" t="s">
        <v>17</v>
      </c>
      <c r="DF5" s="551" t="s">
        <v>18</v>
      </c>
      <c r="DG5" s="551" t="s">
        <v>24</v>
      </c>
      <c r="DH5" s="551" t="s">
        <v>46</v>
      </c>
      <c r="DI5" s="551" t="s">
        <v>22</v>
      </c>
      <c r="DJ5" s="549" t="s">
        <v>47</v>
      </c>
      <c r="DK5" s="550" t="s">
        <v>23</v>
      </c>
      <c r="DL5" s="548" t="s">
        <v>187</v>
      </c>
      <c r="DM5" s="552" t="s">
        <v>42</v>
      </c>
      <c r="DN5" s="553" t="s">
        <v>10</v>
      </c>
      <c r="DO5" s="554" t="s">
        <v>21</v>
      </c>
      <c r="DP5" s="548" t="s">
        <v>25</v>
      </c>
      <c r="DQ5" s="555" t="s">
        <v>26</v>
      </c>
      <c r="DR5" s="554" t="s">
        <v>15</v>
      </c>
      <c r="DS5" s="548" t="s">
        <v>19</v>
      </c>
      <c r="DT5" s="549" t="s">
        <v>20</v>
      </c>
      <c r="DU5" s="550" t="s">
        <v>15</v>
      </c>
      <c r="DW5" s="889"/>
      <c r="DX5" s="889"/>
      <c r="DY5" s="548" t="s">
        <v>28</v>
      </c>
      <c r="DZ5" s="549" t="s">
        <v>6</v>
      </c>
      <c r="EA5" s="550" t="s">
        <v>7</v>
      </c>
      <c r="EB5" s="548" t="s">
        <v>27</v>
      </c>
      <c r="EC5" s="549" t="s">
        <v>16</v>
      </c>
      <c r="ED5" s="551" t="s">
        <v>17</v>
      </c>
      <c r="EE5" s="551" t="s">
        <v>18</v>
      </c>
      <c r="EF5" s="551" t="s">
        <v>24</v>
      </c>
      <c r="EG5" s="551" t="s">
        <v>46</v>
      </c>
      <c r="EH5" s="551" t="s">
        <v>22</v>
      </c>
      <c r="EI5" s="549" t="s">
        <v>47</v>
      </c>
      <c r="EJ5" s="550" t="s">
        <v>23</v>
      </c>
      <c r="EK5" s="548" t="s">
        <v>187</v>
      </c>
      <c r="EL5" s="552" t="s">
        <v>42</v>
      </c>
      <c r="EM5" s="553" t="s">
        <v>10</v>
      </c>
      <c r="EN5" s="554" t="s">
        <v>21</v>
      </c>
      <c r="EO5" s="548" t="s">
        <v>25</v>
      </c>
      <c r="EP5" s="555" t="s">
        <v>26</v>
      </c>
      <c r="EQ5" s="554" t="s">
        <v>15</v>
      </c>
      <c r="ER5" s="548" t="s">
        <v>19</v>
      </c>
      <c r="ES5" s="549" t="s">
        <v>20</v>
      </c>
      <c r="ET5" s="550" t="s">
        <v>15</v>
      </c>
      <c r="EV5" s="889"/>
      <c r="EW5" s="889"/>
      <c r="EX5" s="548" t="s">
        <v>28</v>
      </c>
      <c r="EY5" s="549" t="s">
        <v>6</v>
      </c>
      <c r="EZ5" s="550" t="s">
        <v>7</v>
      </c>
      <c r="FA5" s="548" t="s">
        <v>27</v>
      </c>
      <c r="FB5" s="549" t="s">
        <v>16</v>
      </c>
      <c r="FC5" s="551" t="s">
        <v>17</v>
      </c>
      <c r="FD5" s="551" t="s">
        <v>18</v>
      </c>
      <c r="FE5" s="551" t="s">
        <v>24</v>
      </c>
      <c r="FF5" s="551" t="s">
        <v>46</v>
      </c>
      <c r="FG5" s="551" t="s">
        <v>22</v>
      </c>
      <c r="FH5" s="549" t="s">
        <v>47</v>
      </c>
      <c r="FI5" s="550" t="s">
        <v>23</v>
      </c>
      <c r="FJ5" s="548" t="s">
        <v>187</v>
      </c>
      <c r="FK5" s="552" t="s">
        <v>42</v>
      </c>
      <c r="FL5" s="553" t="s">
        <v>10</v>
      </c>
      <c r="FM5" s="554" t="s">
        <v>21</v>
      </c>
      <c r="FN5" s="548" t="s">
        <v>25</v>
      </c>
      <c r="FO5" s="555" t="s">
        <v>26</v>
      </c>
      <c r="FP5" s="554" t="s">
        <v>15</v>
      </c>
      <c r="FQ5" s="548" t="s">
        <v>19</v>
      </c>
      <c r="FR5" s="549" t="s">
        <v>20</v>
      </c>
      <c r="FS5" s="550" t="s">
        <v>15</v>
      </c>
      <c r="FU5" s="889"/>
      <c r="FV5" s="889"/>
      <c r="FW5" s="548" t="s">
        <v>28</v>
      </c>
      <c r="FX5" s="549" t="s">
        <v>6</v>
      </c>
      <c r="FY5" s="550" t="s">
        <v>7</v>
      </c>
      <c r="FZ5" s="548" t="s">
        <v>27</v>
      </c>
      <c r="GA5" s="549" t="s">
        <v>16</v>
      </c>
      <c r="GB5" s="551" t="s">
        <v>17</v>
      </c>
      <c r="GC5" s="551" t="s">
        <v>18</v>
      </c>
      <c r="GD5" s="551" t="s">
        <v>24</v>
      </c>
      <c r="GE5" s="551" t="s">
        <v>46</v>
      </c>
      <c r="GF5" s="551" t="s">
        <v>22</v>
      </c>
      <c r="GG5" s="549" t="s">
        <v>47</v>
      </c>
      <c r="GH5" s="550" t="s">
        <v>23</v>
      </c>
      <c r="GI5" s="548" t="s">
        <v>187</v>
      </c>
      <c r="GJ5" s="552" t="s">
        <v>42</v>
      </c>
      <c r="GK5" s="553" t="s">
        <v>10</v>
      </c>
      <c r="GL5" s="554" t="s">
        <v>21</v>
      </c>
      <c r="GM5" s="548" t="s">
        <v>25</v>
      </c>
      <c r="GN5" s="555" t="s">
        <v>26</v>
      </c>
      <c r="GO5" s="554" t="s">
        <v>15</v>
      </c>
      <c r="GP5" s="548" t="s">
        <v>19</v>
      </c>
      <c r="GQ5" s="549" t="s">
        <v>20</v>
      </c>
      <c r="GR5" s="550" t="s">
        <v>15</v>
      </c>
      <c r="GT5" s="889"/>
      <c r="GU5" s="889"/>
      <c r="GV5" s="548" t="s">
        <v>28</v>
      </c>
      <c r="GW5" s="549" t="s">
        <v>6</v>
      </c>
      <c r="GX5" s="550" t="s">
        <v>7</v>
      </c>
      <c r="GY5" s="548" t="s">
        <v>27</v>
      </c>
      <c r="GZ5" s="549" t="s">
        <v>16</v>
      </c>
      <c r="HA5" s="551" t="s">
        <v>17</v>
      </c>
      <c r="HB5" s="551" t="s">
        <v>18</v>
      </c>
      <c r="HC5" s="551" t="s">
        <v>24</v>
      </c>
      <c r="HD5" s="551" t="s">
        <v>46</v>
      </c>
      <c r="HE5" s="551" t="s">
        <v>22</v>
      </c>
      <c r="HF5" s="549" t="s">
        <v>47</v>
      </c>
      <c r="HG5" s="550" t="s">
        <v>23</v>
      </c>
      <c r="HH5" s="548" t="s">
        <v>187</v>
      </c>
      <c r="HI5" s="552" t="s">
        <v>42</v>
      </c>
      <c r="HJ5" s="553" t="s">
        <v>10</v>
      </c>
      <c r="HK5" s="554" t="s">
        <v>21</v>
      </c>
      <c r="HL5" s="548" t="s">
        <v>25</v>
      </c>
      <c r="HM5" s="555" t="s">
        <v>26</v>
      </c>
      <c r="HN5" s="554" t="s">
        <v>15</v>
      </c>
      <c r="HO5" s="548" t="s">
        <v>19</v>
      </c>
      <c r="HP5" s="549" t="s">
        <v>20</v>
      </c>
      <c r="HQ5" s="550" t="s">
        <v>15</v>
      </c>
    </row>
    <row r="6" spans="1:225" ht="17.25" thickBot="1" x14ac:dyDescent="0.3">
      <c r="A6" s="465" t="s">
        <v>107</v>
      </c>
      <c r="B6" s="466">
        <v>23</v>
      </c>
      <c r="C6" s="569">
        <v>0</v>
      </c>
      <c r="D6" s="500">
        <v>91033</v>
      </c>
      <c r="E6" s="444">
        <f>D6</f>
        <v>91033</v>
      </c>
      <c r="F6" s="44">
        <f t="shared" ref="F6:F69" si="0">IFERROR(E6-J6,0)</f>
        <v>91020</v>
      </c>
      <c r="G6" s="130"/>
      <c r="H6" s="131">
        <v>13</v>
      </c>
      <c r="I6" s="131"/>
      <c r="J6" s="11">
        <f>SUM(G6:I6)</f>
        <v>13</v>
      </c>
      <c r="K6" s="11">
        <f>J6</f>
        <v>13</v>
      </c>
      <c r="L6" s="16">
        <f t="shared" ref="L6:L69" si="1">VLOOKUP($C6,LOHMANN,4,FALSE)</f>
        <v>0.7</v>
      </c>
      <c r="M6" s="42">
        <f>IFERROR((J6*100)/E6,0)</f>
        <v>1.4280535629936397E-2</v>
      </c>
      <c r="N6" s="154">
        <f t="shared" ref="N6:N69" si="2">VLOOKUP($C6,LOHMANN,5,FALSE)</f>
        <v>0.7</v>
      </c>
      <c r="O6" s="132">
        <f>IFERROR((K6*100)/$D$12,0)</f>
        <v>9.6386971447213303E-3</v>
      </c>
      <c r="P6" s="158">
        <v>1640</v>
      </c>
      <c r="Q6" s="16">
        <f t="shared" ref="Q6:Q69" si="3">VLOOKUP($C6,LOHMANN,6,FALSE)</f>
        <v>10</v>
      </c>
      <c r="R6" s="441">
        <f t="shared" ref="R6:R37" si="4">IFERROR((P6/E6)*1000,0)</f>
        <v>18.015444948535148</v>
      </c>
      <c r="S6" s="469">
        <f>R6</f>
        <v>18.015444948535148</v>
      </c>
      <c r="T6" s="45">
        <f t="shared" ref="T6:T69" si="5">VLOOKUP($C6,LOHMANN,2,FALSE)</f>
        <v>40</v>
      </c>
      <c r="U6" s="131">
        <v>39</v>
      </c>
      <c r="V6" s="57">
        <f>T6-U6</f>
        <v>1</v>
      </c>
      <c r="W6" s="58">
        <f t="shared" ref="W6:W37" si="6">VLOOKUP(C6,LOHMANN,3,FALSE)</f>
        <v>77</v>
      </c>
      <c r="X6" s="131">
        <v>80</v>
      </c>
      <c r="Y6" s="57">
        <f>W6-X6</f>
        <v>-3</v>
      </c>
      <c r="Z6" s="487"/>
      <c r="AA6" s="394">
        <v>23</v>
      </c>
      <c r="AB6" s="395">
        <v>0</v>
      </c>
      <c r="AC6" s="468"/>
      <c r="AD6" s="444">
        <f>AC6</f>
        <v>0</v>
      </c>
      <c r="AE6" s="44">
        <f t="shared" ref="AE6:AE24" si="7">IFERROR(AD6-AI6,0)</f>
        <v>0</v>
      </c>
      <c r="AF6" s="130"/>
      <c r="AG6" s="131"/>
      <c r="AH6" s="131"/>
      <c r="AI6" s="11">
        <f>SUM(AF6:AH6)</f>
        <v>0</v>
      </c>
      <c r="AJ6" s="11">
        <f>AI6</f>
        <v>0</v>
      </c>
      <c r="AK6" s="16">
        <f t="shared" ref="AK6:AK69" si="8">VLOOKUP($C6,LOHMANN,4,FALSE)</f>
        <v>0.7</v>
      </c>
      <c r="AL6" s="42">
        <f>IFERROR((AI6*100)/AD6,0)</f>
        <v>0</v>
      </c>
      <c r="AM6" s="154">
        <f t="shared" ref="AM6:AM69" si="9">VLOOKUP($C6,LOHMANN,5,FALSE)</f>
        <v>0.7</v>
      </c>
      <c r="AN6" s="132">
        <f>IFERROR((AJ6*100)/AD6,0)</f>
        <v>0</v>
      </c>
      <c r="AO6" s="130"/>
      <c r="AP6" s="16">
        <f t="shared" ref="AP6:AP69" si="10">VLOOKUP($C6,LOHMANN,6,FALSE)</f>
        <v>10</v>
      </c>
      <c r="AQ6" s="441">
        <f>IFERROR((AO6/AD6)*1000,0)</f>
        <v>0</v>
      </c>
      <c r="AR6" s="469">
        <f>AQ6</f>
        <v>0</v>
      </c>
      <c r="AS6" s="45">
        <f t="shared" ref="AS6:AS69" si="11">VLOOKUP($C6,LOHMANN,2,FALSE)</f>
        <v>40</v>
      </c>
      <c r="AT6" s="131">
        <v>39</v>
      </c>
      <c r="AU6" s="57">
        <f>AS6-AT6</f>
        <v>1</v>
      </c>
      <c r="AV6" s="58">
        <f t="shared" ref="AV6:AV69" si="12">VLOOKUP(AB6,LOHMANN,3,FALSE)</f>
        <v>77</v>
      </c>
      <c r="AW6" s="131">
        <v>80</v>
      </c>
      <c r="AX6" s="57">
        <f>AV6-AW6</f>
        <v>-3</v>
      </c>
      <c r="AY6" s="84"/>
      <c r="AZ6" s="394">
        <v>23</v>
      </c>
      <c r="BA6" s="395">
        <v>0</v>
      </c>
      <c r="BB6" s="468"/>
      <c r="BC6" s="444">
        <f>BB6</f>
        <v>0</v>
      </c>
      <c r="BD6" s="44">
        <f t="shared" ref="BD6:BD24" si="13">IFERROR(BC6-BH6,0)</f>
        <v>0</v>
      </c>
      <c r="BE6" s="130"/>
      <c r="BF6" s="131"/>
      <c r="BG6" s="131"/>
      <c r="BH6" s="11">
        <f>SUM(BE6:BG6)</f>
        <v>0</v>
      </c>
      <c r="BI6" s="11">
        <f>BH6</f>
        <v>0</v>
      </c>
      <c r="BJ6" s="16">
        <f t="shared" ref="BJ6:BJ69" si="14">VLOOKUP($C6,LOHMANN,4,FALSE)</f>
        <v>0.7</v>
      </c>
      <c r="BK6" s="153">
        <f>IFERROR((BH6*100)/BC6,0)</f>
        <v>0</v>
      </c>
      <c r="BL6" s="154">
        <f t="shared" ref="BL6:BL69" si="15">VLOOKUP($C6,LOHMANN,5,FALSE)</f>
        <v>0.7</v>
      </c>
      <c r="BM6" s="132">
        <f t="shared" ref="BM6:BM26" si="16">IFERROR((BI6*100)/BC6,0)</f>
        <v>0</v>
      </c>
      <c r="BN6" s="130"/>
      <c r="BO6" s="16">
        <f t="shared" ref="BO6:BO69" si="17">VLOOKUP($C6,LOHMANN,6,FALSE)</f>
        <v>10</v>
      </c>
      <c r="BP6" s="481">
        <f>IFERROR((BN6/BC6)*1000,0)</f>
        <v>0</v>
      </c>
      <c r="BQ6" s="746">
        <f>BP6</f>
        <v>0</v>
      </c>
      <c r="BR6" s="45">
        <f t="shared" ref="BR6:BR69" si="18">VLOOKUP($C6,LOHMANN,2,FALSE)</f>
        <v>40</v>
      </c>
      <c r="BS6" s="131"/>
      <c r="BT6" s="57">
        <f t="shared" ref="BT6:BT15" si="19">BR6-BS6</f>
        <v>40</v>
      </c>
      <c r="BU6" s="58">
        <f t="shared" ref="BU6:BU69" si="20">VLOOKUP(BA6,LOHMANN,3,FALSE)</f>
        <v>77</v>
      </c>
      <c r="BV6" s="131"/>
      <c r="BW6" s="57">
        <f>BU6-BV6</f>
        <v>77</v>
      </c>
      <c r="BY6" s="118">
        <v>25</v>
      </c>
      <c r="BZ6" s="9">
        <v>0</v>
      </c>
      <c r="CA6" s="340"/>
      <c r="CB6" s="11">
        <f>CA6</f>
        <v>0</v>
      </c>
      <c r="CC6" s="41">
        <f>IFERROR(CB6-CG6,0)</f>
        <v>0</v>
      </c>
      <c r="CD6" s="398"/>
      <c r="CE6" s="399"/>
      <c r="CF6" s="399"/>
      <c r="CG6" s="11">
        <f>SUM(CD6:CF6)</f>
        <v>0</v>
      </c>
      <c r="CH6" s="11">
        <f>CG6</f>
        <v>0</v>
      </c>
      <c r="CI6" s="16">
        <f t="shared" ref="CI6:CI69" si="21">VLOOKUP($C6,LOHMANN,4,FALSE)</f>
        <v>0.7</v>
      </c>
      <c r="CJ6" s="153">
        <f>IFERROR((CG6*1000)/CB6,0)</f>
        <v>0</v>
      </c>
      <c r="CK6" s="154">
        <f t="shared" ref="CK6:CK69" si="22">VLOOKUP($C6,LOHMANN,5,FALSE)</f>
        <v>0.7</v>
      </c>
      <c r="CL6" s="132">
        <f>IFERROR((CH6*100)/CB6,0)</f>
        <v>0</v>
      </c>
      <c r="CM6" s="130"/>
      <c r="CN6" s="16">
        <f t="shared" ref="CN6:CN69" si="23">VLOOKUP($C6,LOHMANN,6,FALSE)</f>
        <v>10</v>
      </c>
      <c r="CO6" s="43">
        <f>IFERROR(CM6/CB6,0)</f>
        <v>0</v>
      </c>
      <c r="CP6" s="377">
        <f>CO6</f>
        <v>0</v>
      </c>
      <c r="CQ6" s="45">
        <f t="shared" ref="CQ6:CQ69" si="24">VLOOKUP($C6,LOHMANN,2,FALSE)</f>
        <v>40</v>
      </c>
      <c r="CR6" s="131"/>
      <c r="CS6" s="57">
        <f>CQ6-CR6</f>
        <v>40</v>
      </c>
      <c r="CT6" s="58">
        <f t="shared" ref="CT6:CT69" si="25">VLOOKUP(BZ6,LOHMANN,3,FALSE)</f>
        <v>77</v>
      </c>
      <c r="CU6" s="131"/>
      <c r="CV6" s="57">
        <f>CT6-CU6</f>
        <v>77</v>
      </c>
      <c r="CX6" s="118">
        <v>25</v>
      </c>
      <c r="CY6" s="9">
        <v>0</v>
      </c>
      <c r="CZ6" s="340"/>
      <c r="DA6" s="11">
        <f>CZ6</f>
        <v>0</v>
      </c>
      <c r="DB6" s="41">
        <f>IFERROR(DA6-DF6,0)</f>
        <v>0</v>
      </c>
      <c r="DC6" s="398"/>
      <c r="DD6" s="399"/>
      <c r="DE6" s="399"/>
      <c r="DF6" s="11">
        <f>SUM(DC6:DE6)</f>
        <v>0</v>
      </c>
      <c r="DG6" s="11">
        <f>DF6</f>
        <v>0</v>
      </c>
      <c r="DH6" s="16">
        <f t="shared" ref="DH6:DH69" si="26">VLOOKUP($C6,LOHMANN,4,FALSE)</f>
        <v>0.7</v>
      </c>
      <c r="DI6" s="153">
        <f>IFERROR((DF6*1000)/DA6,0)</f>
        <v>0</v>
      </c>
      <c r="DJ6" s="154">
        <f t="shared" ref="DJ6:DJ69" si="27">VLOOKUP($C6,LOHMANN,5,FALSE)</f>
        <v>0.7</v>
      </c>
      <c r="DK6" s="132">
        <f>IFERROR((DG6*100)/DA6,0)</f>
        <v>0</v>
      </c>
      <c r="DL6" s="130"/>
      <c r="DM6" s="16">
        <f t="shared" ref="DM6:DM69" si="28">VLOOKUP($C6,LOHMANN,6,FALSE)</f>
        <v>10</v>
      </c>
      <c r="DN6" s="43">
        <f>IFERROR(DL6/DA6,0)</f>
        <v>0</v>
      </c>
      <c r="DO6" s="377">
        <f>DN6</f>
        <v>0</v>
      </c>
      <c r="DP6" s="45">
        <f t="shared" ref="DP6:DP69" si="29">VLOOKUP($C6,LOHMANN,2,FALSE)</f>
        <v>40</v>
      </c>
      <c r="DQ6" s="131"/>
      <c r="DR6" s="57">
        <f>DP6-DQ6</f>
        <v>40</v>
      </c>
      <c r="DS6" s="58">
        <f t="shared" ref="DS6:DS69" si="30">VLOOKUP(CY6,LOHMANN,3,FALSE)</f>
        <v>77</v>
      </c>
      <c r="DT6" s="131"/>
      <c r="DU6" s="57">
        <f>DS6-DT6</f>
        <v>77</v>
      </c>
      <c r="DW6" s="118">
        <v>25</v>
      </c>
      <c r="DX6" s="9">
        <v>0</v>
      </c>
      <c r="DY6" s="340"/>
      <c r="DZ6" s="11">
        <f>DY6</f>
        <v>0</v>
      </c>
      <c r="EA6" s="41">
        <f>IFERROR(DZ6-EE6,0)</f>
        <v>0</v>
      </c>
      <c r="EB6" s="398"/>
      <c r="EC6" s="399"/>
      <c r="ED6" s="399"/>
      <c r="EE6" s="11">
        <f>SUM(EB6:ED6)</f>
        <v>0</v>
      </c>
      <c r="EF6" s="11">
        <f>EE6</f>
        <v>0</v>
      </c>
      <c r="EG6" s="16">
        <f t="shared" ref="EG6:EG69" si="31">VLOOKUP($C6,LOHMANN,4,FALSE)</f>
        <v>0.7</v>
      </c>
      <c r="EH6" s="153">
        <f>IFERROR((EE6*1000)/DZ6,0)</f>
        <v>0</v>
      </c>
      <c r="EI6" s="154">
        <f t="shared" ref="EI6:EI69" si="32">VLOOKUP($C6,LOHMANN,5,FALSE)</f>
        <v>0.7</v>
      </c>
      <c r="EJ6" s="132">
        <f>IFERROR((EF6*100)/DZ6,0)</f>
        <v>0</v>
      </c>
      <c r="EK6" s="130"/>
      <c r="EL6" s="16">
        <f t="shared" ref="EL6:EL69" si="33">VLOOKUP($C6,LOHMANN,6,FALSE)</f>
        <v>10</v>
      </c>
      <c r="EM6" s="43">
        <f>IFERROR(EK6/DZ6,0)</f>
        <v>0</v>
      </c>
      <c r="EN6" s="377">
        <f>EM6</f>
        <v>0</v>
      </c>
      <c r="EO6" s="45">
        <f t="shared" ref="EO6:EO69" si="34">VLOOKUP($C6,LOHMANN,2,FALSE)</f>
        <v>40</v>
      </c>
      <c r="EP6" s="131"/>
      <c r="EQ6" s="57">
        <f>EO6-EP6</f>
        <v>40</v>
      </c>
      <c r="ER6" s="58">
        <f t="shared" ref="ER6:ER69" si="35">VLOOKUP(DX6,LOHMANN,3,FALSE)</f>
        <v>77</v>
      </c>
      <c r="ES6" s="131"/>
      <c r="ET6" s="57">
        <f>ER6-ES6</f>
        <v>77</v>
      </c>
      <c r="EV6" s="118">
        <v>25</v>
      </c>
      <c r="EW6" s="9">
        <v>0</v>
      </c>
      <c r="EX6" s="340"/>
      <c r="EY6" s="11">
        <f>EX6</f>
        <v>0</v>
      </c>
      <c r="EZ6" s="41">
        <f>IFERROR(EY6-FD6,0)</f>
        <v>0</v>
      </c>
      <c r="FA6" s="398"/>
      <c r="FB6" s="399"/>
      <c r="FC6" s="399"/>
      <c r="FD6" s="11">
        <f>SUM(FA6:FC6)</f>
        <v>0</v>
      </c>
      <c r="FE6" s="11">
        <f>FD6</f>
        <v>0</v>
      </c>
      <c r="FF6" s="16">
        <f t="shared" ref="FF6:FF69" si="36">VLOOKUP($C6,LOHMANN,4,FALSE)</f>
        <v>0.7</v>
      </c>
      <c r="FG6" s="153">
        <f>IFERROR((FD6*1000)/EY6,0)</f>
        <v>0</v>
      </c>
      <c r="FH6" s="154">
        <f t="shared" ref="FH6:FH69" si="37">VLOOKUP($C6,LOHMANN,5,FALSE)</f>
        <v>0.7</v>
      </c>
      <c r="FI6" s="132">
        <f>IFERROR((FE6*100)/EY6,0)</f>
        <v>0</v>
      </c>
      <c r="FJ6" s="130"/>
      <c r="FK6" s="16">
        <f t="shared" ref="FK6:FK69" si="38">VLOOKUP($C6,LOHMANN,6,FALSE)</f>
        <v>10</v>
      </c>
      <c r="FL6" s="43">
        <f>IFERROR(FJ6/EY6,0)</f>
        <v>0</v>
      </c>
      <c r="FM6" s="377">
        <f>FL6</f>
        <v>0</v>
      </c>
      <c r="FN6" s="45">
        <f t="shared" ref="FN6:FN69" si="39">VLOOKUP($C6,LOHMANN,2,FALSE)</f>
        <v>40</v>
      </c>
      <c r="FO6" s="131"/>
      <c r="FP6" s="57">
        <f>FN6-FO6</f>
        <v>40</v>
      </c>
      <c r="FQ6" s="58">
        <f t="shared" ref="FQ6:FQ69" si="40">VLOOKUP(EW6,LOHMANN,3,FALSE)</f>
        <v>77</v>
      </c>
      <c r="FR6" s="131"/>
      <c r="FS6" s="57">
        <f>FQ6-FR6</f>
        <v>77</v>
      </c>
      <c r="FU6" s="118">
        <v>25</v>
      </c>
      <c r="FV6" s="9">
        <v>0</v>
      </c>
      <c r="FW6" s="340"/>
      <c r="FX6" s="11">
        <f>FW6</f>
        <v>0</v>
      </c>
      <c r="FY6" s="41">
        <f>IFERROR(FX6-GC6,0)</f>
        <v>0</v>
      </c>
      <c r="FZ6" s="398"/>
      <c r="GA6" s="399"/>
      <c r="GB6" s="399"/>
      <c r="GC6" s="11">
        <f>SUM(FZ6:GB6)</f>
        <v>0</v>
      </c>
      <c r="GD6" s="11">
        <f>GC6</f>
        <v>0</v>
      </c>
      <c r="GE6" s="16">
        <f t="shared" ref="GE6:GE69" si="41">VLOOKUP($C6,LOHMANN,4,FALSE)</f>
        <v>0.7</v>
      </c>
      <c r="GF6" s="153">
        <f>IFERROR((GC6*1000)/FX6,0)</f>
        <v>0</v>
      </c>
      <c r="GG6" s="154">
        <f t="shared" ref="GG6:GG69" si="42">VLOOKUP($C6,LOHMANN,5,FALSE)</f>
        <v>0.7</v>
      </c>
      <c r="GH6" s="132">
        <f>IFERROR((GD6*100)/FX6,0)</f>
        <v>0</v>
      </c>
      <c r="GI6" s="130"/>
      <c r="GJ6" s="16">
        <f t="shared" ref="GJ6:GJ69" si="43">VLOOKUP($C6,LOHMANN,6,FALSE)</f>
        <v>10</v>
      </c>
      <c r="GK6" s="43">
        <f>IFERROR(GI6/FX6,0)</f>
        <v>0</v>
      </c>
      <c r="GL6" s="377">
        <f>GK6</f>
        <v>0</v>
      </c>
      <c r="GM6" s="45">
        <f t="shared" ref="GM6:GM69" si="44">VLOOKUP($C6,LOHMANN,2,FALSE)</f>
        <v>40</v>
      </c>
      <c r="GN6" s="131"/>
      <c r="GO6" s="57">
        <f>GM6-GN6</f>
        <v>40</v>
      </c>
      <c r="GP6" s="58">
        <f t="shared" ref="GP6:GP69" si="45">VLOOKUP(FV6,LOHMANN,3,FALSE)</f>
        <v>77</v>
      </c>
      <c r="GQ6" s="131"/>
      <c r="GR6" s="57">
        <f>GP6-GQ6</f>
        <v>77</v>
      </c>
      <c r="GT6" s="118">
        <v>25</v>
      </c>
      <c r="GU6" s="9">
        <v>0</v>
      </c>
      <c r="GV6" s="340"/>
      <c r="GW6" s="11">
        <f>GV6</f>
        <v>0</v>
      </c>
      <c r="GX6" s="41">
        <f>IFERROR(GW6-HB6,0)</f>
        <v>0</v>
      </c>
      <c r="GY6" s="398"/>
      <c r="GZ6" s="399"/>
      <c r="HA6" s="399"/>
      <c r="HB6" s="11">
        <f>SUM(GY6:HA6)</f>
        <v>0</v>
      </c>
      <c r="HC6" s="11">
        <f>HB6</f>
        <v>0</v>
      </c>
      <c r="HD6" s="16">
        <f t="shared" ref="HD6:HD69" si="46">VLOOKUP($C6,LOHMANN,4,FALSE)</f>
        <v>0.7</v>
      </c>
      <c r="HE6" s="153">
        <f>IFERROR((HB6*1000)/GW6,0)</f>
        <v>0</v>
      </c>
      <c r="HF6" s="154">
        <f t="shared" ref="HF6:HF69" si="47">VLOOKUP($C6,LOHMANN,5,FALSE)</f>
        <v>0.7</v>
      </c>
      <c r="HG6" s="132">
        <f>IFERROR((HC6*100)/GW6,0)</f>
        <v>0</v>
      </c>
      <c r="HH6" s="130"/>
      <c r="HI6" s="16">
        <f t="shared" ref="HI6:HI69" si="48">VLOOKUP($C6,LOHMANN,6,FALSE)</f>
        <v>10</v>
      </c>
      <c r="HJ6" s="43">
        <f>IFERROR(HH6/GW6,0)</f>
        <v>0</v>
      </c>
      <c r="HK6" s="377">
        <f>HJ6</f>
        <v>0</v>
      </c>
      <c r="HL6" s="45">
        <f t="shared" ref="HL6:HL69" si="49">VLOOKUP($C6,LOHMANN,2,FALSE)</f>
        <v>40</v>
      </c>
      <c r="HM6" s="131"/>
      <c r="HN6" s="57">
        <f>HL6-HM6</f>
        <v>40</v>
      </c>
      <c r="HO6" s="58">
        <f t="shared" ref="HO6:HO69" si="50">VLOOKUP(GU6,LOHMANN,3,FALSE)</f>
        <v>77</v>
      </c>
      <c r="HP6" s="131"/>
      <c r="HQ6" s="57">
        <f>HO6-HP6</f>
        <v>77</v>
      </c>
    </row>
    <row r="7" spans="1:225" ht="17.25" thickBot="1" x14ac:dyDescent="0.3">
      <c r="B7" s="120">
        <f>B6+1</f>
        <v>24</v>
      </c>
      <c r="C7" s="570">
        <f>C6</f>
        <v>0</v>
      </c>
      <c r="D7" s="133"/>
      <c r="E7" s="445">
        <f t="shared" ref="E7:E13" si="51">IFERROR(F6+D7,0)</f>
        <v>91020</v>
      </c>
      <c r="F7" s="49">
        <f t="shared" si="0"/>
        <v>90949</v>
      </c>
      <c r="G7" s="134"/>
      <c r="H7" s="135">
        <v>71</v>
      </c>
      <c r="I7" s="135"/>
      <c r="J7" s="14">
        <f>SUM(G7:I7)</f>
        <v>71</v>
      </c>
      <c r="K7" s="14">
        <f t="shared" ref="K7:K70" si="52">K6+J7</f>
        <v>84</v>
      </c>
      <c r="L7" s="14">
        <f t="shared" si="1"/>
        <v>0.7</v>
      </c>
      <c r="M7" s="47">
        <f>IFERROR((J7*100)/E7,0)</f>
        <v>7.8004834102395074E-2</v>
      </c>
      <c r="N7" s="35">
        <f t="shared" si="2"/>
        <v>0.7</v>
      </c>
      <c r="O7" s="132">
        <f t="shared" ref="O7:O70" si="53">IFERROR((K7*100)/$D$12,0)</f>
        <v>6.2280812319737824E-2</v>
      </c>
      <c r="P7" s="593">
        <v>400</v>
      </c>
      <c r="Q7" s="14">
        <f t="shared" si="3"/>
        <v>10</v>
      </c>
      <c r="R7" s="442">
        <f t="shared" si="4"/>
        <v>4.3946385409800044</v>
      </c>
      <c r="S7" s="470">
        <f t="shared" ref="S7:S12" si="54">S6+R7</f>
        <v>22.410083489515152</v>
      </c>
      <c r="T7" s="51">
        <f t="shared" si="5"/>
        <v>40</v>
      </c>
      <c r="U7" s="103">
        <f>U6</f>
        <v>39</v>
      </c>
      <c r="V7" s="59">
        <f t="shared" ref="V7:V70" si="55">T7-U7</f>
        <v>1</v>
      </c>
      <c r="W7" s="51">
        <f t="shared" si="6"/>
        <v>77</v>
      </c>
      <c r="X7" s="103">
        <f>X6</f>
        <v>80</v>
      </c>
      <c r="Y7" s="46">
        <f t="shared" ref="Y7:Y70" si="56">W7-X7</f>
        <v>-3</v>
      </c>
      <c r="Z7" s="487"/>
      <c r="AA7" s="403">
        <f>AA6+1</f>
        <v>24</v>
      </c>
      <c r="AB7" s="404">
        <f>AB6</f>
        <v>0</v>
      </c>
      <c r="AC7" s="229"/>
      <c r="AD7" s="445">
        <f>IFERROR(AE6+AC7,0)</f>
        <v>0</v>
      </c>
      <c r="AE7" s="49">
        <f t="shared" si="7"/>
        <v>0</v>
      </c>
      <c r="AF7" s="134"/>
      <c r="AG7" s="135"/>
      <c r="AH7" s="135"/>
      <c r="AI7" s="14">
        <f>SUM(AF7:AH7)</f>
        <v>0</v>
      </c>
      <c r="AJ7" s="14">
        <f t="shared" ref="AJ7:AJ20" si="57">AJ6+AI7</f>
        <v>0</v>
      </c>
      <c r="AK7" s="14">
        <f t="shared" si="8"/>
        <v>0.7</v>
      </c>
      <c r="AL7" s="47">
        <f t="shared" ref="AL7:AL70" si="58">IFERROR((AI7*100)/AD7,0)</f>
        <v>0</v>
      </c>
      <c r="AM7" s="35">
        <f t="shared" si="9"/>
        <v>0.7</v>
      </c>
      <c r="AN7" s="157">
        <f>IFERROR((AJ7*100)/AD7,0)</f>
        <v>0</v>
      </c>
      <c r="AO7" s="476"/>
      <c r="AP7" s="14">
        <f t="shared" si="10"/>
        <v>10</v>
      </c>
      <c r="AQ7" s="442">
        <f t="shared" ref="AQ7:AQ70" si="59">IFERROR((AO7/AD7)*1000,0)</f>
        <v>0</v>
      </c>
      <c r="AR7" s="470">
        <f>AR6+AQ7</f>
        <v>0</v>
      </c>
      <c r="AS7" s="51">
        <f t="shared" si="11"/>
        <v>40</v>
      </c>
      <c r="AT7" s="103">
        <f>AT6</f>
        <v>39</v>
      </c>
      <c r="AU7" s="59">
        <f t="shared" ref="AU7:AU8" si="60">AS7-AT7</f>
        <v>1</v>
      </c>
      <c r="AV7" s="51">
        <f t="shared" si="12"/>
        <v>77</v>
      </c>
      <c r="AW7" s="103">
        <f>AW6</f>
        <v>80</v>
      </c>
      <c r="AX7" s="46">
        <f t="shared" ref="AX7:AX9" si="61">AV7-AW7</f>
        <v>-3</v>
      </c>
      <c r="AZ7" s="120">
        <f>AZ6+1</f>
        <v>24</v>
      </c>
      <c r="BA7" s="7">
        <f>BA6</f>
        <v>0</v>
      </c>
      <c r="BB7" s="133"/>
      <c r="BC7" s="445">
        <f t="shared" ref="BC7:BC38" si="62">IFERROR(BD6+BB7,0)</f>
        <v>0</v>
      </c>
      <c r="BD7" s="49">
        <f t="shared" si="13"/>
        <v>0</v>
      </c>
      <c r="BE7" s="134"/>
      <c r="BF7" s="135"/>
      <c r="BG7" s="135"/>
      <c r="BH7" s="14">
        <f>SUM(BE7:BG7)</f>
        <v>0</v>
      </c>
      <c r="BI7" s="14">
        <f t="shared" ref="BI7:BI20" si="63">BI6+BH7</f>
        <v>0</v>
      </c>
      <c r="BJ7" s="14">
        <f t="shared" si="14"/>
        <v>0.7</v>
      </c>
      <c r="BK7" s="47">
        <f>IFERROR((BH7*100)/BC7,0)</f>
        <v>0</v>
      </c>
      <c r="BL7" s="35">
        <f t="shared" si="15"/>
        <v>0.7</v>
      </c>
      <c r="BM7" s="157">
        <f t="shared" si="16"/>
        <v>0</v>
      </c>
      <c r="BN7" s="438"/>
      <c r="BO7" s="14">
        <f t="shared" si="17"/>
        <v>10</v>
      </c>
      <c r="BP7" s="442">
        <f>IFERROR((BN7/BC7)*1000,0)</f>
        <v>0</v>
      </c>
      <c r="BQ7" s="747">
        <f>BQ6+BP7</f>
        <v>0</v>
      </c>
      <c r="BR7" s="51">
        <f t="shared" si="18"/>
        <v>40</v>
      </c>
      <c r="BS7" s="103">
        <f>BS6</f>
        <v>0</v>
      </c>
      <c r="BT7" s="59">
        <f t="shared" si="19"/>
        <v>40</v>
      </c>
      <c r="BU7" s="51">
        <f t="shared" si="20"/>
        <v>77</v>
      </c>
      <c r="BV7" s="103">
        <f>BV6</f>
        <v>0</v>
      </c>
      <c r="BW7" s="46">
        <f t="shared" ref="BW7:BW9" si="64">BU7-BV7</f>
        <v>77</v>
      </c>
      <c r="BY7" s="120">
        <f>BY6+1</f>
        <v>26</v>
      </c>
      <c r="BZ7" s="7">
        <f>BZ6</f>
        <v>0</v>
      </c>
      <c r="CA7" s="133"/>
      <c r="CB7" s="14">
        <f>IFERROR(CC6+CA7,0)</f>
        <v>0</v>
      </c>
      <c r="CC7" s="46">
        <f t="shared" ref="CC7:CC10" si="65">IFERROR(CB7-CG7,0)</f>
        <v>0</v>
      </c>
      <c r="CD7" s="405"/>
      <c r="CE7" s="406"/>
      <c r="CF7" s="406"/>
      <c r="CG7" s="14">
        <f>SUM(CD7:CF7)</f>
        <v>0</v>
      </c>
      <c r="CH7" s="14">
        <f>CH6+CG7</f>
        <v>0</v>
      </c>
      <c r="CI7" s="14">
        <f t="shared" si="21"/>
        <v>0.7</v>
      </c>
      <c r="CJ7" s="47">
        <f>IFERROR((CG7*1000)/CB7,0)</f>
        <v>0</v>
      </c>
      <c r="CK7" s="35">
        <f t="shared" si="22"/>
        <v>0.7</v>
      </c>
      <c r="CL7" s="157">
        <f>IFERROR((CH7*100)/CB7,0)</f>
        <v>0</v>
      </c>
      <c r="CM7" s="134"/>
      <c r="CN7" s="14">
        <f t="shared" si="23"/>
        <v>10</v>
      </c>
      <c r="CO7" s="48">
        <f>IFERROR(CM7/CB7,0)</f>
        <v>0</v>
      </c>
      <c r="CP7" s="68">
        <f>CP6+CO7</f>
        <v>0</v>
      </c>
      <c r="CQ7" s="51">
        <f t="shared" si="24"/>
        <v>40</v>
      </c>
      <c r="CR7" s="103">
        <f>CR6</f>
        <v>0</v>
      </c>
      <c r="CS7" s="59">
        <f t="shared" ref="CS7:CS15" si="66">CQ7-CR7</f>
        <v>40</v>
      </c>
      <c r="CT7" s="51">
        <f t="shared" si="25"/>
        <v>77</v>
      </c>
      <c r="CU7" s="103">
        <f>CU6</f>
        <v>0</v>
      </c>
      <c r="CV7" s="46">
        <f t="shared" ref="CV7:CV70" si="67">CT7-CU7</f>
        <v>77</v>
      </c>
      <c r="CX7" s="120">
        <f>CX6+1</f>
        <v>26</v>
      </c>
      <c r="CY7" s="7">
        <f>CY6</f>
        <v>0</v>
      </c>
      <c r="CZ7" s="133"/>
      <c r="DA7" s="14">
        <f>IFERROR(DB6+CZ7,0)</f>
        <v>0</v>
      </c>
      <c r="DB7" s="46">
        <f t="shared" ref="DB7:DB10" si="68">IFERROR(DA7-DF7,0)</f>
        <v>0</v>
      </c>
      <c r="DC7" s="405"/>
      <c r="DD7" s="406"/>
      <c r="DE7" s="406"/>
      <c r="DF7" s="14">
        <f>SUM(DC7:DE7)</f>
        <v>0</v>
      </c>
      <c r="DG7" s="14">
        <f>DG6+DF7</f>
        <v>0</v>
      </c>
      <c r="DH7" s="14">
        <f t="shared" si="26"/>
        <v>0.7</v>
      </c>
      <c r="DI7" s="47">
        <f>IFERROR((DF7*1000)/DA7,0)</f>
        <v>0</v>
      </c>
      <c r="DJ7" s="35">
        <f t="shared" si="27"/>
        <v>0.7</v>
      </c>
      <c r="DK7" s="157">
        <f>IFERROR((DG7*100)/DA7,0)</f>
        <v>0</v>
      </c>
      <c r="DL7" s="134"/>
      <c r="DM7" s="14">
        <f t="shared" si="28"/>
        <v>10</v>
      </c>
      <c r="DN7" s="48">
        <f>IFERROR(DL7/DA7,0)</f>
        <v>0</v>
      </c>
      <c r="DO7" s="68">
        <f>DO6+DN7</f>
        <v>0</v>
      </c>
      <c r="DP7" s="51">
        <f t="shared" si="29"/>
        <v>40</v>
      </c>
      <c r="DQ7" s="103">
        <f>DQ6</f>
        <v>0</v>
      </c>
      <c r="DR7" s="59">
        <f t="shared" ref="DR7" si="69">DP7-DQ7</f>
        <v>40</v>
      </c>
      <c r="DS7" s="51">
        <f t="shared" si="30"/>
        <v>77</v>
      </c>
      <c r="DT7" s="103">
        <f>DT6</f>
        <v>0</v>
      </c>
      <c r="DU7" s="46">
        <f t="shared" ref="DU7:DU8" si="70">DS7-DT7</f>
        <v>77</v>
      </c>
      <c r="DW7" s="120">
        <f>DW6+1</f>
        <v>26</v>
      </c>
      <c r="DX7" s="7">
        <f>DX6</f>
        <v>0</v>
      </c>
      <c r="DY7" s="133"/>
      <c r="DZ7" s="14">
        <f>IFERROR(EA6+DY7,0)</f>
        <v>0</v>
      </c>
      <c r="EA7" s="46">
        <f t="shared" ref="EA7:EA10" si="71">IFERROR(DZ7-EE7,0)</f>
        <v>0</v>
      </c>
      <c r="EB7" s="405"/>
      <c r="EC7" s="406"/>
      <c r="ED7" s="406"/>
      <c r="EE7" s="14">
        <f>SUM(EB7:ED7)</f>
        <v>0</v>
      </c>
      <c r="EF7" s="14">
        <f>EF6+EE7</f>
        <v>0</v>
      </c>
      <c r="EG7" s="14">
        <f t="shared" si="31"/>
        <v>0.7</v>
      </c>
      <c r="EH7" s="47">
        <f>IFERROR((EE7*1000)/DZ7,0)</f>
        <v>0</v>
      </c>
      <c r="EI7" s="35">
        <f t="shared" si="32"/>
        <v>0.7</v>
      </c>
      <c r="EJ7" s="157">
        <f>IFERROR((EF7*100)/DZ7,0)</f>
        <v>0</v>
      </c>
      <c r="EK7" s="134"/>
      <c r="EL7" s="14">
        <f t="shared" si="33"/>
        <v>10</v>
      </c>
      <c r="EM7" s="48">
        <f>IFERROR(EK7/DZ7,0)</f>
        <v>0</v>
      </c>
      <c r="EN7" s="68">
        <f>EN6+EM7</f>
        <v>0</v>
      </c>
      <c r="EO7" s="51">
        <f t="shared" si="34"/>
        <v>40</v>
      </c>
      <c r="EP7" s="103">
        <f>EP6</f>
        <v>0</v>
      </c>
      <c r="EQ7" s="59">
        <f t="shared" ref="EQ7" si="72">EO7-EP7</f>
        <v>40</v>
      </c>
      <c r="ER7" s="51">
        <f t="shared" si="35"/>
        <v>77</v>
      </c>
      <c r="ES7" s="103">
        <f>ES6</f>
        <v>0</v>
      </c>
      <c r="ET7" s="46">
        <f t="shared" ref="ET7:ET8" si="73">ER7-ES7</f>
        <v>77</v>
      </c>
      <c r="EV7" s="120">
        <f>EV6+1</f>
        <v>26</v>
      </c>
      <c r="EW7" s="7">
        <f>EW6</f>
        <v>0</v>
      </c>
      <c r="EX7" s="133"/>
      <c r="EY7" s="14">
        <f>IFERROR(EZ6+EX7,0)</f>
        <v>0</v>
      </c>
      <c r="EZ7" s="46">
        <f t="shared" ref="EZ7:EZ10" si="74">IFERROR(EY7-FD7,0)</f>
        <v>0</v>
      </c>
      <c r="FA7" s="405"/>
      <c r="FB7" s="406"/>
      <c r="FC7" s="406"/>
      <c r="FD7" s="14">
        <f>SUM(FA7:FC7)</f>
        <v>0</v>
      </c>
      <c r="FE7" s="14">
        <f>FE6+FD7</f>
        <v>0</v>
      </c>
      <c r="FF7" s="14">
        <f t="shared" si="36"/>
        <v>0.7</v>
      </c>
      <c r="FG7" s="47">
        <f>IFERROR((FD7*1000)/EY7,0)</f>
        <v>0</v>
      </c>
      <c r="FH7" s="35">
        <f t="shared" si="37"/>
        <v>0.7</v>
      </c>
      <c r="FI7" s="157">
        <f>IFERROR((FE7*100)/EY7,0)</f>
        <v>0</v>
      </c>
      <c r="FJ7" s="134"/>
      <c r="FK7" s="14">
        <f t="shared" si="38"/>
        <v>10</v>
      </c>
      <c r="FL7" s="48">
        <f>IFERROR(FJ7/EY7,0)</f>
        <v>0</v>
      </c>
      <c r="FM7" s="68">
        <f>FM6+FL7</f>
        <v>0</v>
      </c>
      <c r="FN7" s="51">
        <f t="shared" si="39"/>
        <v>40</v>
      </c>
      <c r="FO7" s="103">
        <f>FO6</f>
        <v>0</v>
      </c>
      <c r="FP7" s="59">
        <f t="shared" ref="FP7" si="75">FN7-FO7</f>
        <v>40</v>
      </c>
      <c r="FQ7" s="51">
        <f t="shared" si="40"/>
        <v>77</v>
      </c>
      <c r="FR7" s="103">
        <f>FR6</f>
        <v>0</v>
      </c>
      <c r="FS7" s="46">
        <f t="shared" ref="FS7:FS8" si="76">FQ7-FR7</f>
        <v>77</v>
      </c>
      <c r="FU7" s="120">
        <f>FU6+1</f>
        <v>26</v>
      </c>
      <c r="FV7" s="7">
        <f>FV6</f>
        <v>0</v>
      </c>
      <c r="FW7" s="133"/>
      <c r="FX7" s="14">
        <f>IFERROR(FY6+FW7,0)</f>
        <v>0</v>
      </c>
      <c r="FY7" s="46">
        <f t="shared" ref="FY7:FY10" si="77">IFERROR(FX7-GC7,0)</f>
        <v>0</v>
      </c>
      <c r="FZ7" s="405"/>
      <c r="GA7" s="406"/>
      <c r="GB7" s="406"/>
      <c r="GC7" s="14">
        <f>SUM(FZ7:GB7)</f>
        <v>0</v>
      </c>
      <c r="GD7" s="14">
        <f>GD6+GC7</f>
        <v>0</v>
      </c>
      <c r="GE7" s="14">
        <f t="shared" si="41"/>
        <v>0.7</v>
      </c>
      <c r="GF7" s="47">
        <f>IFERROR((GC7*1000)/FX7,0)</f>
        <v>0</v>
      </c>
      <c r="GG7" s="35">
        <f t="shared" si="42"/>
        <v>0.7</v>
      </c>
      <c r="GH7" s="157">
        <f>IFERROR((GD7*100)/FX7,0)</f>
        <v>0</v>
      </c>
      <c r="GI7" s="134"/>
      <c r="GJ7" s="14">
        <f t="shared" si="43"/>
        <v>10</v>
      </c>
      <c r="GK7" s="48">
        <f>IFERROR(GI7/FX7,0)</f>
        <v>0</v>
      </c>
      <c r="GL7" s="68">
        <f>GL6+GK7</f>
        <v>0</v>
      </c>
      <c r="GM7" s="51">
        <f t="shared" si="44"/>
        <v>40</v>
      </c>
      <c r="GN7" s="103">
        <f>GN6</f>
        <v>0</v>
      </c>
      <c r="GO7" s="59">
        <f t="shared" ref="GO7" si="78">GM7-GN7</f>
        <v>40</v>
      </c>
      <c r="GP7" s="51">
        <f t="shared" si="45"/>
        <v>77</v>
      </c>
      <c r="GQ7" s="103">
        <f>GQ6</f>
        <v>0</v>
      </c>
      <c r="GR7" s="46">
        <f t="shared" ref="GR7:GR8" si="79">GP7-GQ7</f>
        <v>77</v>
      </c>
      <c r="GT7" s="120">
        <f>GT6+1</f>
        <v>26</v>
      </c>
      <c r="GU7" s="7">
        <f>GU6</f>
        <v>0</v>
      </c>
      <c r="GV7" s="133"/>
      <c r="GW7" s="14">
        <f>IFERROR(GX6+GV7,0)</f>
        <v>0</v>
      </c>
      <c r="GX7" s="46">
        <f t="shared" ref="GX7:GX10" si="80">IFERROR(GW7-HB7,0)</f>
        <v>0</v>
      </c>
      <c r="GY7" s="405"/>
      <c r="GZ7" s="406"/>
      <c r="HA7" s="406"/>
      <c r="HB7" s="14">
        <f>SUM(GY7:HA7)</f>
        <v>0</v>
      </c>
      <c r="HC7" s="14">
        <f>HC6+HB7</f>
        <v>0</v>
      </c>
      <c r="HD7" s="14">
        <f t="shared" si="46"/>
        <v>0.7</v>
      </c>
      <c r="HE7" s="47">
        <f>IFERROR((HB7*1000)/GW7,0)</f>
        <v>0</v>
      </c>
      <c r="HF7" s="35">
        <f t="shared" si="47"/>
        <v>0.7</v>
      </c>
      <c r="HG7" s="157">
        <f>IFERROR((HC7*100)/GW7,0)</f>
        <v>0</v>
      </c>
      <c r="HH7" s="134"/>
      <c r="HI7" s="14">
        <f t="shared" si="48"/>
        <v>10</v>
      </c>
      <c r="HJ7" s="48">
        <f>IFERROR(HH7/GW7,0)</f>
        <v>0</v>
      </c>
      <c r="HK7" s="68">
        <f>HK6+HJ7</f>
        <v>0</v>
      </c>
      <c r="HL7" s="51">
        <f t="shared" si="49"/>
        <v>40</v>
      </c>
      <c r="HM7" s="103">
        <f>HM6</f>
        <v>0</v>
      </c>
      <c r="HN7" s="59">
        <f t="shared" ref="HN7" si="81">HL7-HM7</f>
        <v>40</v>
      </c>
      <c r="HO7" s="51">
        <f t="shared" si="50"/>
        <v>77</v>
      </c>
      <c r="HP7" s="103">
        <f>HP6</f>
        <v>0</v>
      </c>
      <c r="HQ7" s="46">
        <f t="shared" ref="HQ7:HQ8" si="82">HO7-HP7</f>
        <v>77</v>
      </c>
    </row>
    <row r="8" spans="1:225" ht="17.25" thickBot="1" x14ac:dyDescent="0.3">
      <c r="A8" s="84"/>
      <c r="B8" s="120">
        <f t="shared" ref="B8:B11" si="83">B7+1</f>
        <v>25</v>
      </c>
      <c r="C8" s="570">
        <f t="shared" ref="C8:C12" si="84">C7</f>
        <v>0</v>
      </c>
      <c r="D8" s="341"/>
      <c r="E8" s="445">
        <f t="shared" si="51"/>
        <v>90949</v>
      </c>
      <c r="F8" s="49">
        <f t="shared" si="0"/>
        <v>90843</v>
      </c>
      <c r="G8" s="134"/>
      <c r="H8" s="135">
        <v>106</v>
      </c>
      <c r="I8" s="135"/>
      <c r="J8" s="14">
        <f>SUM(G8:I8)</f>
        <v>106</v>
      </c>
      <c r="K8" s="14">
        <f t="shared" si="52"/>
        <v>190</v>
      </c>
      <c r="L8" s="14">
        <f t="shared" si="1"/>
        <v>0.7</v>
      </c>
      <c r="M8" s="47">
        <f t="shared" ref="M8:M70" si="85">IFERROR((J8*100)/E8,0)</f>
        <v>0.11654883506140805</v>
      </c>
      <c r="N8" s="35">
        <f t="shared" si="2"/>
        <v>0.7</v>
      </c>
      <c r="O8" s="132">
        <f t="shared" si="53"/>
        <v>0.14087326596131175</v>
      </c>
      <c r="P8" s="593">
        <v>400</v>
      </c>
      <c r="Q8" s="14">
        <f t="shared" si="3"/>
        <v>10</v>
      </c>
      <c r="R8" s="442">
        <f t="shared" si="4"/>
        <v>4.3980692476003034</v>
      </c>
      <c r="S8" s="470">
        <f t="shared" si="54"/>
        <v>26.808152737115456</v>
      </c>
      <c r="T8" s="51">
        <f t="shared" si="5"/>
        <v>40</v>
      </c>
      <c r="U8" s="103">
        <f>U7</f>
        <v>39</v>
      </c>
      <c r="V8" s="59">
        <f t="shared" si="55"/>
        <v>1</v>
      </c>
      <c r="W8" s="12">
        <f t="shared" si="6"/>
        <v>77</v>
      </c>
      <c r="X8" s="103">
        <f t="shared" ref="X8:X12" si="86">X7</f>
        <v>80</v>
      </c>
      <c r="Y8" s="46">
        <f t="shared" si="56"/>
        <v>-3</v>
      </c>
      <c r="Z8" s="487"/>
      <c r="AA8" s="403">
        <f t="shared" ref="AA8:AA11" si="87">AA7+1</f>
        <v>25</v>
      </c>
      <c r="AB8" s="404">
        <f t="shared" ref="AB8:AB12" si="88">AB7</f>
        <v>0</v>
      </c>
      <c r="AC8" s="493"/>
      <c r="AD8" s="445">
        <f>IFERROR(AE7+AC8,0)</f>
        <v>0</v>
      </c>
      <c r="AE8" s="49">
        <f t="shared" si="7"/>
        <v>0</v>
      </c>
      <c r="AF8" s="134"/>
      <c r="AG8" s="135"/>
      <c r="AH8" s="135"/>
      <c r="AI8" s="14">
        <f>SUM(AF8:AH8)</f>
        <v>0</v>
      </c>
      <c r="AJ8" s="14">
        <f t="shared" si="57"/>
        <v>0</v>
      </c>
      <c r="AK8" s="14">
        <f t="shared" si="8"/>
        <v>0.7</v>
      </c>
      <c r="AL8" s="231">
        <f t="shared" si="58"/>
        <v>0</v>
      </c>
      <c r="AM8" s="35">
        <f t="shared" si="9"/>
        <v>0.7</v>
      </c>
      <c r="AN8" s="157">
        <f>IFERROR((AJ8*100)/AD8,0)</f>
        <v>0</v>
      </c>
      <c r="AO8" s="476"/>
      <c r="AP8" s="14">
        <f t="shared" si="10"/>
        <v>10</v>
      </c>
      <c r="AQ8" s="442">
        <f t="shared" si="59"/>
        <v>0</v>
      </c>
      <c r="AR8" s="470">
        <f>AR7+AQ8</f>
        <v>0</v>
      </c>
      <c r="AS8" s="51">
        <f t="shared" si="11"/>
        <v>40</v>
      </c>
      <c r="AT8" s="103">
        <f>AT7</f>
        <v>39</v>
      </c>
      <c r="AU8" s="59">
        <f t="shared" si="60"/>
        <v>1</v>
      </c>
      <c r="AV8" s="12">
        <f t="shared" si="12"/>
        <v>77</v>
      </c>
      <c r="AW8" s="103">
        <f t="shared" ref="AW8:AW12" si="89">AW7</f>
        <v>80</v>
      </c>
      <c r="AX8" s="46">
        <f t="shared" si="61"/>
        <v>-3</v>
      </c>
      <c r="AZ8" s="120">
        <f t="shared" ref="AZ8:AZ11" si="90">AZ7+1</f>
        <v>25</v>
      </c>
      <c r="BA8" s="7">
        <f t="shared" ref="BA8:BA12" si="91">BA7</f>
        <v>0</v>
      </c>
      <c r="BB8" s="341"/>
      <c r="BC8" s="445">
        <f t="shared" si="62"/>
        <v>0</v>
      </c>
      <c r="BD8" s="49">
        <f t="shared" si="13"/>
        <v>0</v>
      </c>
      <c r="BE8" s="134"/>
      <c r="BF8" s="135"/>
      <c r="BG8" s="135"/>
      <c r="BH8" s="14">
        <f>SUM(BE8:BG8)</f>
        <v>0</v>
      </c>
      <c r="BI8" s="14">
        <f t="shared" si="63"/>
        <v>0</v>
      </c>
      <c r="BJ8" s="14">
        <f t="shared" si="14"/>
        <v>0.7</v>
      </c>
      <c r="BK8" s="47">
        <f t="shared" ref="BK8:BK71" si="92">IFERROR((BH8*100)/BC8,0)</f>
        <v>0</v>
      </c>
      <c r="BL8" s="35">
        <f t="shared" si="15"/>
        <v>0.7</v>
      </c>
      <c r="BM8" s="157">
        <f t="shared" si="16"/>
        <v>0</v>
      </c>
      <c r="BN8" s="438"/>
      <c r="BO8" s="14">
        <f t="shared" si="17"/>
        <v>10</v>
      </c>
      <c r="BP8" s="442">
        <f t="shared" ref="BP8:BP71" si="93">IFERROR((BN8/BC8)*1000,0)</f>
        <v>0</v>
      </c>
      <c r="BQ8" s="747">
        <f>BQ7+BP8</f>
        <v>0</v>
      </c>
      <c r="BR8" s="51">
        <f t="shared" si="18"/>
        <v>40</v>
      </c>
      <c r="BS8" s="103">
        <f>BS7</f>
        <v>0</v>
      </c>
      <c r="BT8" s="59">
        <f t="shared" si="19"/>
        <v>40</v>
      </c>
      <c r="BU8" s="12">
        <f t="shared" si="20"/>
        <v>77</v>
      </c>
      <c r="BV8" s="103">
        <f t="shared" ref="BV8:BV12" si="94">BV7</f>
        <v>0</v>
      </c>
      <c r="BW8" s="46">
        <f t="shared" si="64"/>
        <v>77</v>
      </c>
      <c r="BY8" s="120">
        <f t="shared" ref="BY8:BY11" si="95">BY7+1</f>
        <v>27</v>
      </c>
      <c r="BZ8" s="7">
        <f t="shared" ref="BZ8:BZ12" si="96">BZ7</f>
        <v>0</v>
      </c>
      <c r="CA8" s="133"/>
      <c r="CB8" s="14">
        <f>IFERROR(CC7+CA8,0)</f>
        <v>0</v>
      </c>
      <c r="CC8" s="46">
        <f t="shared" si="65"/>
        <v>0</v>
      </c>
      <c r="CD8" s="405"/>
      <c r="CE8" s="406"/>
      <c r="CF8" s="406"/>
      <c r="CG8" s="14">
        <f>SUM(CD8:CF8)</f>
        <v>0</v>
      </c>
      <c r="CH8" s="14">
        <f>CH7+CG8</f>
        <v>0</v>
      </c>
      <c r="CI8" s="14">
        <f t="shared" si="21"/>
        <v>0.7</v>
      </c>
      <c r="CJ8" s="47">
        <f t="shared" ref="CJ8:CJ71" si="97">IFERROR((CG8*1000)/CB8,0)</f>
        <v>0</v>
      </c>
      <c r="CK8" s="35">
        <f t="shared" si="22"/>
        <v>0.7</v>
      </c>
      <c r="CL8" s="157">
        <f>IFERROR((CH8*100)/CB8,0)</f>
        <v>0</v>
      </c>
      <c r="CM8" s="134"/>
      <c r="CN8" s="14">
        <f t="shared" si="23"/>
        <v>10</v>
      </c>
      <c r="CO8" s="48">
        <f>IFERROR(CM8/CB8,0)</f>
        <v>0</v>
      </c>
      <c r="CP8" s="68">
        <f t="shared" ref="CP8:CP71" si="98">CP7+CO8</f>
        <v>0</v>
      </c>
      <c r="CQ8" s="51">
        <f t="shared" si="24"/>
        <v>40</v>
      </c>
      <c r="CR8" s="103">
        <f t="shared" ref="CR8:CR12" si="99">CR7</f>
        <v>0</v>
      </c>
      <c r="CS8" s="59">
        <f>CQ8-CR8</f>
        <v>40</v>
      </c>
      <c r="CT8" s="50">
        <f t="shared" si="25"/>
        <v>77</v>
      </c>
      <c r="CU8" s="103">
        <f t="shared" ref="CU8:CU12" si="100">CU7</f>
        <v>0</v>
      </c>
      <c r="CV8" s="46">
        <f t="shared" si="67"/>
        <v>77</v>
      </c>
      <c r="CX8" s="120">
        <f t="shared" ref="CX8:CX11" si="101">CX7+1</f>
        <v>27</v>
      </c>
      <c r="CY8" s="7">
        <f t="shared" ref="CY8:CY12" si="102">CY7</f>
        <v>0</v>
      </c>
      <c r="CZ8" s="133"/>
      <c r="DA8" s="14">
        <f>IFERROR(DB7+CZ8,0)</f>
        <v>0</v>
      </c>
      <c r="DB8" s="46">
        <f t="shared" si="68"/>
        <v>0</v>
      </c>
      <c r="DC8" s="405"/>
      <c r="DD8" s="406"/>
      <c r="DE8" s="406"/>
      <c r="DF8" s="14">
        <f>SUM(DC8:DE8)</f>
        <v>0</v>
      </c>
      <c r="DG8" s="14">
        <f>DG7+DF8</f>
        <v>0</v>
      </c>
      <c r="DH8" s="14">
        <f t="shared" si="26"/>
        <v>0.7</v>
      </c>
      <c r="DI8" s="47">
        <f t="shared" ref="DI8:DI9" si="103">IFERROR((DF8*1000)/DA8,0)</f>
        <v>0</v>
      </c>
      <c r="DJ8" s="35">
        <f t="shared" si="27"/>
        <v>0.7</v>
      </c>
      <c r="DK8" s="157">
        <f>IFERROR((DG8*100)/DA8,0)</f>
        <v>0</v>
      </c>
      <c r="DL8" s="134"/>
      <c r="DM8" s="14">
        <f t="shared" si="28"/>
        <v>10</v>
      </c>
      <c r="DN8" s="48">
        <f>IFERROR(DL8/DA8,0)</f>
        <v>0</v>
      </c>
      <c r="DO8" s="68">
        <f t="shared" ref="DO8:DO9" si="104">DO7+DN8</f>
        <v>0</v>
      </c>
      <c r="DP8" s="51">
        <f t="shared" si="29"/>
        <v>40</v>
      </c>
      <c r="DQ8" s="103">
        <f t="shared" ref="DQ8:DQ12" si="105">DQ7</f>
        <v>0</v>
      </c>
      <c r="DR8" s="59">
        <f>DP8-DQ8</f>
        <v>40</v>
      </c>
      <c r="DS8" s="50">
        <f t="shared" si="30"/>
        <v>77</v>
      </c>
      <c r="DT8" s="103">
        <f t="shared" ref="DT8:DT12" si="106">DT7</f>
        <v>0</v>
      </c>
      <c r="DU8" s="46">
        <f t="shared" si="70"/>
        <v>77</v>
      </c>
      <c r="DW8" s="120">
        <f t="shared" ref="DW8:DW11" si="107">DW7+1</f>
        <v>27</v>
      </c>
      <c r="DX8" s="7">
        <f t="shared" ref="DX8:DX12" si="108">DX7</f>
        <v>0</v>
      </c>
      <c r="DY8" s="133"/>
      <c r="DZ8" s="14">
        <f>IFERROR(EA7+DY8,0)</f>
        <v>0</v>
      </c>
      <c r="EA8" s="46">
        <f t="shared" si="71"/>
        <v>0</v>
      </c>
      <c r="EB8" s="405"/>
      <c r="EC8" s="406"/>
      <c r="ED8" s="406"/>
      <c r="EE8" s="14">
        <f>SUM(EB8:ED8)</f>
        <v>0</v>
      </c>
      <c r="EF8" s="14">
        <f>EF7+EE8</f>
        <v>0</v>
      </c>
      <c r="EG8" s="14">
        <f t="shared" si="31"/>
        <v>0.7</v>
      </c>
      <c r="EH8" s="47">
        <f t="shared" ref="EH8:EH9" si="109">IFERROR((EE8*1000)/DZ8,0)</f>
        <v>0</v>
      </c>
      <c r="EI8" s="35">
        <f t="shared" si="32"/>
        <v>0.7</v>
      </c>
      <c r="EJ8" s="157">
        <f>IFERROR((EF8*100)/DZ8,0)</f>
        <v>0</v>
      </c>
      <c r="EK8" s="134"/>
      <c r="EL8" s="14">
        <f t="shared" si="33"/>
        <v>10</v>
      </c>
      <c r="EM8" s="48">
        <f>IFERROR(EK8/DZ8,0)</f>
        <v>0</v>
      </c>
      <c r="EN8" s="68">
        <f t="shared" ref="EN8:EN9" si="110">EN7+EM8</f>
        <v>0</v>
      </c>
      <c r="EO8" s="51">
        <f t="shared" si="34"/>
        <v>40</v>
      </c>
      <c r="EP8" s="103">
        <f t="shared" ref="EP8:EP12" si="111">EP7</f>
        <v>0</v>
      </c>
      <c r="EQ8" s="59">
        <f>EO8-EP8</f>
        <v>40</v>
      </c>
      <c r="ER8" s="50">
        <f t="shared" si="35"/>
        <v>77</v>
      </c>
      <c r="ES8" s="103">
        <f t="shared" ref="ES8:ES12" si="112">ES7</f>
        <v>0</v>
      </c>
      <c r="ET8" s="46">
        <f t="shared" si="73"/>
        <v>77</v>
      </c>
      <c r="EV8" s="120">
        <f t="shared" ref="EV8:EV11" si="113">EV7+1</f>
        <v>27</v>
      </c>
      <c r="EW8" s="7">
        <f t="shared" ref="EW8:EW12" si="114">EW7</f>
        <v>0</v>
      </c>
      <c r="EX8" s="133"/>
      <c r="EY8" s="14">
        <f>IFERROR(EZ7+EX8,0)</f>
        <v>0</v>
      </c>
      <c r="EZ8" s="46">
        <f t="shared" si="74"/>
        <v>0</v>
      </c>
      <c r="FA8" s="405"/>
      <c r="FB8" s="406"/>
      <c r="FC8" s="406"/>
      <c r="FD8" s="14">
        <f>SUM(FA8:FC8)</f>
        <v>0</v>
      </c>
      <c r="FE8" s="14">
        <f>FE7+FD8</f>
        <v>0</v>
      </c>
      <c r="FF8" s="14">
        <f t="shared" si="36"/>
        <v>0.7</v>
      </c>
      <c r="FG8" s="47">
        <f t="shared" ref="FG8:FG9" si="115">IFERROR((FD8*1000)/EY8,0)</f>
        <v>0</v>
      </c>
      <c r="FH8" s="35">
        <f t="shared" si="37"/>
        <v>0.7</v>
      </c>
      <c r="FI8" s="157">
        <f>IFERROR((FE8*100)/EY8,0)</f>
        <v>0</v>
      </c>
      <c r="FJ8" s="134"/>
      <c r="FK8" s="14">
        <f t="shared" si="38"/>
        <v>10</v>
      </c>
      <c r="FL8" s="48">
        <f>IFERROR(FJ8/EY8,0)</f>
        <v>0</v>
      </c>
      <c r="FM8" s="68">
        <f t="shared" ref="FM8:FM9" si="116">FM7+FL8</f>
        <v>0</v>
      </c>
      <c r="FN8" s="51">
        <f t="shared" si="39"/>
        <v>40</v>
      </c>
      <c r="FO8" s="103">
        <f t="shared" ref="FO8:FO12" si="117">FO7</f>
        <v>0</v>
      </c>
      <c r="FP8" s="59">
        <f>FN8-FO8</f>
        <v>40</v>
      </c>
      <c r="FQ8" s="50">
        <f t="shared" si="40"/>
        <v>77</v>
      </c>
      <c r="FR8" s="103">
        <f t="shared" ref="FR8:FR12" si="118">FR7</f>
        <v>0</v>
      </c>
      <c r="FS8" s="46">
        <f t="shared" si="76"/>
        <v>77</v>
      </c>
      <c r="FU8" s="120">
        <f t="shared" ref="FU8:FU11" si="119">FU7+1</f>
        <v>27</v>
      </c>
      <c r="FV8" s="7">
        <f t="shared" ref="FV8:FV12" si="120">FV7</f>
        <v>0</v>
      </c>
      <c r="FW8" s="133"/>
      <c r="FX8" s="14">
        <f>IFERROR(FY7+FW8,0)</f>
        <v>0</v>
      </c>
      <c r="FY8" s="46">
        <f t="shared" si="77"/>
        <v>0</v>
      </c>
      <c r="FZ8" s="405"/>
      <c r="GA8" s="406"/>
      <c r="GB8" s="406"/>
      <c r="GC8" s="14">
        <f>SUM(FZ8:GB8)</f>
        <v>0</v>
      </c>
      <c r="GD8" s="14">
        <f>GD7+GC8</f>
        <v>0</v>
      </c>
      <c r="GE8" s="14">
        <f t="shared" si="41"/>
        <v>0.7</v>
      </c>
      <c r="GF8" s="47">
        <f t="shared" ref="GF8:GF9" si="121">IFERROR((GC8*1000)/FX8,0)</f>
        <v>0</v>
      </c>
      <c r="GG8" s="35">
        <f t="shared" si="42"/>
        <v>0.7</v>
      </c>
      <c r="GH8" s="157">
        <f>IFERROR((GD8*100)/FX8,0)</f>
        <v>0</v>
      </c>
      <c r="GI8" s="134"/>
      <c r="GJ8" s="14">
        <f t="shared" si="43"/>
        <v>10</v>
      </c>
      <c r="GK8" s="48">
        <f>IFERROR(GI8/FX8,0)</f>
        <v>0</v>
      </c>
      <c r="GL8" s="68">
        <f t="shared" ref="GL8:GL9" si="122">GL7+GK8</f>
        <v>0</v>
      </c>
      <c r="GM8" s="51">
        <f t="shared" si="44"/>
        <v>40</v>
      </c>
      <c r="GN8" s="103">
        <f t="shared" ref="GN8:GN12" si="123">GN7</f>
        <v>0</v>
      </c>
      <c r="GO8" s="59">
        <f>GM8-GN8</f>
        <v>40</v>
      </c>
      <c r="GP8" s="50">
        <f t="shared" si="45"/>
        <v>77</v>
      </c>
      <c r="GQ8" s="103">
        <f t="shared" ref="GQ8:GQ12" si="124">GQ7</f>
        <v>0</v>
      </c>
      <c r="GR8" s="46">
        <f t="shared" si="79"/>
        <v>77</v>
      </c>
      <c r="GT8" s="120">
        <f t="shared" ref="GT8:GT11" si="125">GT7+1</f>
        <v>27</v>
      </c>
      <c r="GU8" s="7">
        <f t="shared" ref="GU8:GU12" si="126">GU7</f>
        <v>0</v>
      </c>
      <c r="GV8" s="133"/>
      <c r="GW8" s="14">
        <f>IFERROR(GX7+GV8,0)</f>
        <v>0</v>
      </c>
      <c r="GX8" s="46">
        <f t="shared" si="80"/>
        <v>0</v>
      </c>
      <c r="GY8" s="405"/>
      <c r="GZ8" s="406"/>
      <c r="HA8" s="406"/>
      <c r="HB8" s="14">
        <f>SUM(GY8:HA8)</f>
        <v>0</v>
      </c>
      <c r="HC8" s="14">
        <f>HC7+HB8</f>
        <v>0</v>
      </c>
      <c r="HD8" s="14">
        <f t="shared" si="46"/>
        <v>0.7</v>
      </c>
      <c r="HE8" s="47">
        <f t="shared" ref="HE8:HE9" si="127">IFERROR((HB8*1000)/GW8,0)</f>
        <v>0</v>
      </c>
      <c r="HF8" s="35">
        <f t="shared" si="47"/>
        <v>0.7</v>
      </c>
      <c r="HG8" s="157">
        <f>IFERROR((HC8*100)/GW8,0)</f>
        <v>0</v>
      </c>
      <c r="HH8" s="134"/>
      <c r="HI8" s="14">
        <f t="shared" si="48"/>
        <v>10</v>
      </c>
      <c r="HJ8" s="48">
        <f>IFERROR(HH8/GW8,0)</f>
        <v>0</v>
      </c>
      <c r="HK8" s="68">
        <f t="shared" ref="HK8:HK9" si="128">HK7+HJ8</f>
        <v>0</v>
      </c>
      <c r="HL8" s="51">
        <f t="shared" si="49"/>
        <v>40</v>
      </c>
      <c r="HM8" s="103">
        <f t="shared" ref="HM8:HM12" si="129">HM7</f>
        <v>0</v>
      </c>
      <c r="HN8" s="59">
        <f>HL8-HM8</f>
        <v>40</v>
      </c>
      <c r="HO8" s="50">
        <f t="shared" si="50"/>
        <v>77</v>
      </c>
      <c r="HP8" s="103">
        <f t="shared" ref="HP8:HP12" si="130">HP7</f>
        <v>0</v>
      </c>
      <c r="HQ8" s="46">
        <f t="shared" si="82"/>
        <v>77</v>
      </c>
    </row>
    <row r="9" spans="1:225" ht="17.25" thickBot="1" x14ac:dyDescent="0.3">
      <c r="A9" s="499"/>
      <c r="B9" s="403">
        <f t="shared" si="83"/>
        <v>26</v>
      </c>
      <c r="C9" s="571">
        <f t="shared" si="84"/>
        <v>0</v>
      </c>
      <c r="D9" s="494"/>
      <c r="E9" s="445">
        <f t="shared" si="51"/>
        <v>90843</v>
      </c>
      <c r="F9" s="49">
        <f t="shared" si="0"/>
        <v>90672</v>
      </c>
      <c r="G9" s="134"/>
      <c r="H9" s="135">
        <v>171</v>
      </c>
      <c r="I9" s="135"/>
      <c r="J9" s="14">
        <f t="shared" ref="J9:J11" si="131">SUM(G9:I9)</f>
        <v>171</v>
      </c>
      <c r="K9" s="14">
        <f t="shared" si="52"/>
        <v>361</v>
      </c>
      <c r="L9" s="14">
        <f t="shared" si="1"/>
        <v>0.7</v>
      </c>
      <c r="M9" s="47">
        <f t="shared" si="85"/>
        <v>0.18823684818863315</v>
      </c>
      <c r="N9" s="35">
        <f t="shared" si="2"/>
        <v>0.7</v>
      </c>
      <c r="O9" s="132">
        <f t="shared" si="53"/>
        <v>0.26765920532649234</v>
      </c>
      <c r="P9" s="594">
        <v>1200</v>
      </c>
      <c r="Q9" s="14">
        <f t="shared" si="3"/>
        <v>10</v>
      </c>
      <c r="R9" s="442">
        <f t="shared" si="4"/>
        <v>13.209603381658466</v>
      </c>
      <c r="S9" s="470">
        <f t="shared" si="54"/>
        <v>40.017756118773924</v>
      </c>
      <c r="T9" s="51">
        <f t="shared" si="5"/>
        <v>40</v>
      </c>
      <c r="U9" s="103">
        <f t="shared" ref="U9:U12" si="132">U8</f>
        <v>39</v>
      </c>
      <c r="V9" s="59">
        <f>T9-U9</f>
        <v>1</v>
      </c>
      <c r="W9" s="50">
        <f t="shared" si="6"/>
        <v>77</v>
      </c>
      <c r="X9" s="103">
        <f t="shared" si="86"/>
        <v>80</v>
      </c>
      <c r="Y9" s="62">
        <f t="shared" si="56"/>
        <v>-3</v>
      </c>
      <c r="Z9" s="487"/>
      <c r="AA9" s="403">
        <f t="shared" si="87"/>
        <v>26</v>
      </c>
      <c r="AB9" s="404">
        <f t="shared" si="88"/>
        <v>0</v>
      </c>
      <c r="AC9" s="494"/>
      <c r="AD9" s="445">
        <f>IFERROR(AE8+AC9,0)</f>
        <v>0</v>
      </c>
      <c r="AE9" s="49">
        <f t="shared" si="7"/>
        <v>0</v>
      </c>
      <c r="AF9" s="134"/>
      <c r="AG9" s="135"/>
      <c r="AH9" s="135"/>
      <c r="AI9" s="14">
        <f t="shared" ref="AI9:AI11" si="133">SUM(AF9:AH9)</f>
        <v>0</v>
      </c>
      <c r="AJ9" s="14">
        <f t="shared" si="57"/>
        <v>0</v>
      </c>
      <c r="AK9" s="14">
        <f t="shared" si="8"/>
        <v>0.7</v>
      </c>
      <c r="AL9" s="47">
        <f t="shared" si="58"/>
        <v>0</v>
      </c>
      <c r="AM9" s="35">
        <f t="shared" si="9"/>
        <v>0.7</v>
      </c>
      <c r="AN9" s="157">
        <f>IFERROR((AJ9*100)/AD9,0)</f>
        <v>0</v>
      </c>
      <c r="AO9" s="478"/>
      <c r="AP9" s="14">
        <f t="shared" si="10"/>
        <v>10</v>
      </c>
      <c r="AQ9" s="480">
        <f t="shared" si="59"/>
        <v>0</v>
      </c>
      <c r="AR9" s="470">
        <f t="shared" ref="AR9:AR23" si="134">AR8+AQ9</f>
        <v>0</v>
      </c>
      <c r="AS9" s="51">
        <f t="shared" si="11"/>
        <v>40</v>
      </c>
      <c r="AT9" s="103">
        <f t="shared" ref="AT9:AT12" si="135">AT8</f>
        <v>39</v>
      </c>
      <c r="AU9" s="59">
        <f>AS9-AT9</f>
        <v>1</v>
      </c>
      <c r="AV9" s="50">
        <f t="shared" si="12"/>
        <v>77</v>
      </c>
      <c r="AW9" s="103">
        <f t="shared" si="89"/>
        <v>80</v>
      </c>
      <c r="AX9" s="62">
        <f t="shared" si="61"/>
        <v>-3</v>
      </c>
      <c r="AZ9" s="120">
        <f t="shared" si="90"/>
        <v>26</v>
      </c>
      <c r="BA9" s="7">
        <f t="shared" si="91"/>
        <v>0</v>
      </c>
      <c r="BB9" s="133"/>
      <c r="BC9" s="445">
        <f t="shared" si="62"/>
        <v>0</v>
      </c>
      <c r="BD9" s="49">
        <f t="shared" si="13"/>
        <v>0</v>
      </c>
      <c r="BE9" s="134"/>
      <c r="BF9" s="135"/>
      <c r="BG9" s="135"/>
      <c r="BH9" s="14">
        <f t="shared" ref="BH9:BH11" si="136">SUM(BE9:BG9)</f>
        <v>0</v>
      </c>
      <c r="BI9" s="14">
        <f t="shared" si="63"/>
        <v>0</v>
      </c>
      <c r="BJ9" s="14">
        <f t="shared" si="14"/>
        <v>0.7</v>
      </c>
      <c r="BK9" s="47">
        <f t="shared" si="92"/>
        <v>0</v>
      </c>
      <c r="BL9" s="35">
        <f t="shared" si="15"/>
        <v>0.7</v>
      </c>
      <c r="BM9" s="157">
        <f t="shared" si="16"/>
        <v>0</v>
      </c>
      <c r="BN9" s="438"/>
      <c r="BO9" s="14">
        <f t="shared" si="17"/>
        <v>10</v>
      </c>
      <c r="BP9" s="442">
        <f t="shared" si="93"/>
        <v>0</v>
      </c>
      <c r="BQ9" s="747">
        <f t="shared" ref="BQ9:BQ72" si="137">BQ8+BP9</f>
        <v>0</v>
      </c>
      <c r="BR9" s="51">
        <f t="shared" si="18"/>
        <v>40</v>
      </c>
      <c r="BS9" s="103">
        <f t="shared" ref="BS9:BS12" si="138">BS8</f>
        <v>0</v>
      </c>
      <c r="BT9" s="59">
        <f t="shared" si="19"/>
        <v>40</v>
      </c>
      <c r="BU9" s="50">
        <f t="shared" si="20"/>
        <v>77</v>
      </c>
      <c r="BV9" s="103">
        <f t="shared" si="94"/>
        <v>0</v>
      </c>
      <c r="BW9" s="62">
        <f t="shared" si="64"/>
        <v>77</v>
      </c>
      <c r="BY9" s="120">
        <f t="shared" si="95"/>
        <v>28</v>
      </c>
      <c r="BZ9" s="7">
        <f t="shared" si="96"/>
        <v>0</v>
      </c>
      <c r="CA9" s="133"/>
      <c r="CB9" s="14">
        <f>IFERROR(CC8+CA9,0)</f>
        <v>0</v>
      </c>
      <c r="CC9" s="46">
        <f t="shared" si="65"/>
        <v>0</v>
      </c>
      <c r="CD9" s="405"/>
      <c r="CE9" s="406"/>
      <c r="CF9" s="406"/>
      <c r="CG9" s="14">
        <f t="shared" ref="CG9:CG11" si="139">SUM(CD9:CF9)</f>
        <v>0</v>
      </c>
      <c r="CH9" s="14">
        <f>CH8+CG9</f>
        <v>0</v>
      </c>
      <c r="CI9" s="14">
        <f t="shared" si="21"/>
        <v>0.7</v>
      </c>
      <c r="CJ9" s="47">
        <f t="shared" si="97"/>
        <v>0</v>
      </c>
      <c r="CK9" s="35">
        <f t="shared" si="22"/>
        <v>0.7</v>
      </c>
      <c r="CL9" s="157">
        <f t="shared" ref="CL9:CL72" si="140">IFERROR((CH9*100)/CB9,0)</f>
        <v>0</v>
      </c>
      <c r="CM9" s="134"/>
      <c r="CN9" s="14">
        <f t="shared" si="23"/>
        <v>10</v>
      </c>
      <c r="CO9" s="48">
        <f t="shared" ref="CO9:CO72" si="141">IFERROR(CM9/CB9,0)</f>
        <v>0</v>
      </c>
      <c r="CP9" s="68">
        <f t="shared" si="98"/>
        <v>0</v>
      </c>
      <c r="CQ9" s="51">
        <f t="shared" si="24"/>
        <v>40</v>
      </c>
      <c r="CR9" s="103">
        <f t="shared" si="99"/>
        <v>0</v>
      </c>
      <c r="CS9" s="59">
        <f t="shared" si="66"/>
        <v>40</v>
      </c>
      <c r="CT9" s="50">
        <f t="shared" si="25"/>
        <v>77</v>
      </c>
      <c r="CU9" s="103">
        <f t="shared" si="100"/>
        <v>0</v>
      </c>
      <c r="CV9" s="62">
        <f>CT9-CU9</f>
        <v>77</v>
      </c>
      <c r="CX9" s="120">
        <f t="shared" si="101"/>
        <v>28</v>
      </c>
      <c r="CY9" s="7">
        <f t="shared" si="102"/>
        <v>0</v>
      </c>
      <c r="CZ9" s="133"/>
      <c r="DA9" s="14">
        <f>IFERROR(DB8+CZ9,0)</f>
        <v>0</v>
      </c>
      <c r="DB9" s="46">
        <f t="shared" si="68"/>
        <v>0</v>
      </c>
      <c r="DC9" s="405"/>
      <c r="DD9" s="406"/>
      <c r="DE9" s="406"/>
      <c r="DF9" s="14">
        <f t="shared" ref="DF9:DF11" si="142">SUM(DC9:DE9)</f>
        <v>0</v>
      </c>
      <c r="DG9" s="14">
        <f>DG8+DF9</f>
        <v>0</v>
      </c>
      <c r="DH9" s="14">
        <f t="shared" si="26"/>
        <v>0.7</v>
      </c>
      <c r="DI9" s="47">
        <f t="shared" si="103"/>
        <v>0</v>
      </c>
      <c r="DJ9" s="35">
        <f t="shared" si="27"/>
        <v>0.7</v>
      </c>
      <c r="DK9" s="157">
        <f t="shared" ref="DK9" si="143">IFERROR((DG9*100)/DA9,0)</f>
        <v>0</v>
      </c>
      <c r="DL9" s="134"/>
      <c r="DM9" s="14">
        <f t="shared" si="28"/>
        <v>10</v>
      </c>
      <c r="DN9" s="48">
        <f t="shared" ref="DN9:DN15" si="144">IFERROR(DL9/DA9,0)</f>
        <v>0</v>
      </c>
      <c r="DO9" s="68">
        <f t="shared" si="104"/>
        <v>0</v>
      </c>
      <c r="DP9" s="51">
        <f t="shared" si="29"/>
        <v>40</v>
      </c>
      <c r="DQ9" s="103">
        <f t="shared" si="105"/>
        <v>0</v>
      </c>
      <c r="DR9" s="59">
        <f t="shared" ref="DR9:DR15" si="145">DP9-DQ9</f>
        <v>40</v>
      </c>
      <c r="DS9" s="50">
        <f t="shared" si="30"/>
        <v>77</v>
      </c>
      <c r="DT9" s="103">
        <f t="shared" si="106"/>
        <v>0</v>
      </c>
      <c r="DU9" s="62">
        <f>DS9-DT9</f>
        <v>77</v>
      </c>
      <c r="DW9" s="120">
        <f t="shared" si="107"/>
        <v>28</v>
      </c>
      <c r="DX9" s="7">
        <f t="shared" si="108"/>
        <v>0</v>
      </c>
      <c r="DY9" s="133"/>
      <c r="DZ9" s="14">
        <f>IFERROR(EA8+DY9,0)</f>
        <v>0</v>
      </c>
      <c r="EA9" s="46">
        <f t="shared" si="71"/>
        <v>0</v>
      </c>
      <c r="EB9" s="405"/>
      <c r="EC9" s="406"/>
      <c r="ED9" s="406"/>
      <c r="EE9" s="14">
        <f t="shared" ref="EE9:EE11" si="146">SUM(EB9:ED9)</f>
        <v>0</v>
      </c>
      <c r="EF9" s="14">
        <f>EF8+EE9</f>
        <v>0</v>
      </c>
      <c r="EG9" s="14">
        <f t="shared" si="31"/>
        <v>0.7</v>
      </c>
      <c r="EH9" s="47">
        <f t="shared" si="109"/>
        <v>0</v>
      </c>
      <c r="EI9" s="35">
        <f t="shared" si="32"/>
        <v>0.7</v>
      </c>
      <c r="EJ9" s="157">
        <f t="shared" ref="EJ9" si="147">IFERROR((EF9*100)/DZ9,0)</f>
        <v>0</v>
      </c>
      <c r="EK9" s="134"/>
      <c r="EL9" s="14">
        <f t="shared" si="33"/>
        <v>10</v>
      </c>
      <c r="EM9" s="48">
        <f t="shared" ref="EM9:EM15" si="148">IFERROR(EK9/DZ9,0)</f>
        <v>0</v>
      </c>
      <c r="EN9" s="68">
        <f t="shared" si="110"/>
        <v>0</v>
      </c>
      <c r="EO9" s="51">
        <f t="shared" si="34"/>
        <v>40</v>
      </c>
      <c r="EP9" s="103">
        <f t="shared" si="111"/>
        <v>0</v>
      </c>
      <c r="EQ9" s="59">
        <f t="shared" ref="EQ9:EQ15" si="149">EO9-EP9</f>
        <v>40</v>
      </c>
      <c r="ER9" s="50">
        <f t="shared" si="35"/>
        <v>77</v>
      </c>
      <c r="ES9" s="103">
        <f t="shared" si="112"/>
        <v>0</v>
      </c>
      <c r="ET9" s="62">
        <f>ER9-ES9</f>
        <v>77</v>
      </c>
      <c r="EV9" s="120">
        <f t="shared" si="113"/>
        <v>28</v>
      </c>
      <c r="EW9" s="7">
        <f t="shared" si="114"/>
        <v>0</v>
      </c>
      <c r="EX9" s="133"/>
      <c r="EY9" s="14">
        <f>IFERROR(EZ8+EX9,0)</f>
        <v>0</v>
      </c>
      <c r="EZ9" s="46">
        <f t="shared" si="74"/>
        <v>0</v>
      </c>
      <c r="FA9" s="405"/>
      <c r="FB9" s="406"/>
      <c r="FC9" s="406"/>
      <c r="FD9" s="14">
        <f t="shared" ref="FD9:FD11" si="150">SUM(FA9:FC9)</f>
        <v>0</v>
      </c>
      <c r="FE9" s="14">
        <f>FE8+FD9</f>
        <v>0</v>
      </c>
      <c r="FF9" s="14">
        <f t="shared" si="36"/>
        <v>0.7</v>
      </c>
      <c r="FG9" s="47">
        <f t="shared" si="115"/>
        <v>0</v>
      </c>
      <c r="FH9" s="35">
        <f t="shared" si="37"/>
        <v>0.7</v>
      </c>
      <c r="FI9" s="157">
        <f t="shared" ref="FI9" si="151">IFERROR((FE9*100)/EY9,0)</f>
        <v>0</v>
      </c>
      <c r="FJ9" s="134"/>
      <c r="FK9" s="14">
        <f t="shared" si="38"/>
        <v>10</v>
      </c>
      <c r="FL9" s="48">
        <f t="shared" ref="FL9:FL15" si="152">IFERROR(FJ9/EY9,0)</f>
        <v>0</v>
      </c>
      <c r="FM9" s="68">
        <f t="shared" si="116"/>
        <v>0</v>
      </c>
      <c r="FN9" s="51">
        <f t="shared" si="39"/>
        <v>40</v>
      </c>
      <c r="FO9" s="103">
        <f t="shared" si="117"/>
        <v>0</v>
      </c>
      <c r="FP9" s="59">
        <f t="shared" ref="FP9:FP15" si="153">FN9-FO9</f>
        <v>40</v>
      </c>
      <c r="FQ9" s="50">
        <f t="shared" si="40"/>
        <v>77</v>
      </c>
      <c r="FR9" s="103">
        <f t="shared" si="118"/>
        <v>0</v>
      </c>
      <c r="FS9" s="62">
        <f>FQ9-FR9</f>
        <v>77</v>
      </c>
      <c r="FU9" s="120">
        <f t="shared" si="119"/>
        <v>28</v>
      </c>
      <c r="FV9" s="7">
        <f t="shared" si="120"/>
        <v>0</v>
      </c>
      <c r="FW9" s="133"/>
      <c r="FX9" s="14">
        <f>IFERROR(FY8+FW9,0)</f>
        <v>0</v>
      </c>
      <c r="FY9" s="46">
        <f t="shared" si="77"/>
        <v>0</v>
      </c>
      <c r="FZ9" s="405"/>
      <c r="GA9" s="406"/>
      <c r="GB9" s="406"/>
      <c r="GC9" s="14">
        <f t="shared" ref="GC9:GC11" si="154">SUM(FZ9:GB9)</f>
        <v>0</v>
      </c>
      <c r="GD9" s="14">
        <f>GD8+GC9</f>
        <v>0</v>
      </c>
      <c r="GE9" s="14">
        <f t="shared" si="41"/>
        <v>0.7</v>
      </c>
      <c r="GF9" s="47">
        <f t="shared" si="121"/>
        <v>0</v>
      </c>
      <c r="GG9" s="35">
        <f t="shared" si="42"/>
        <v>0.7</v>
      </c>
      <c r="GH9" s="157">
        <f t="shared" ref="GH9" si="155">IFERROR((GD9*100)/FX9,0)</f>
        <v>0</v>
      </c>
      <c r="GI9" s="134"/>
      <c r="GJ9" s="14">
        <f t="shared" si="43"/>
        <v>10</v>
      </c>
      <c r="GK9" s="48">
        <f t="shared" ref="GK9:GK15" si="156">IFERROR(GI9/FX9,0)</f>
        <v>0</v>
      </c>
      <c r="GL9" s="68">
        <f t="shared" si="122"/>
        <v>0</v>
      </c>
      <c r="GM9" s="51">
        <f t="shared" si="44"/>
        <v>40</v>
      </c>
      <c r="GN9" s="103">
        <f t="shared" si="123"/>
        <v>0</v>
      </c>
      <c r="GO9" s="59">
        <f t="shared" ref="GO9:GO15" si="157">GM9-GN9</f>
        <v>40</v>
      </c>
      <c r="GP9" s="50">
        <f t="shared" si="45"/>
        <v>77</v>
      </c>
      <c r="GQ9" s="103">
        <f t="shared" si="124"/>
        <v>0</v>
      </c>
      <c r="GR9" s="62">
        <f>GP9-GQ9</f>
        <v>77</v>
      </c>
      <c r="GT9" s="120">
        <f t="shared" si="125"/>
        <v>28</v>
      </c>
      <c r="GU9" s="7">
        <f t="shared" si="126"/>
        <v>0</v>
      </c>
      <c r="GV9" s="133"/>
      <c r="GW9" s="14">
        <f>IFERROR(GX8+GV9,0)</f>
        <v>0</v>
      </c>
      <c r="GX9" s="46">
        <f t="shared" si="80"/>
        <v>0</v>
      </c>
      <c r="GY9" s="405"/>
      <c r="GZ9" s="406"/>
      <c r="HA9" s="406"/>
      <c r="HB9" s="14">
        <f t="shared" ref="HB9:HB11" si="158">SUM(GY9:HA9)</f>
        <v>0</v>
      </c>
      <c r="HC9" s="14">
        <f>HC8+HB9</f>
        <v>0</v>
      </c>
      <c r="HD9" s="14">
        <f t="shared" si="46"/>
        <v>0.7</v>
      </c>
      <c r="HE9" s="47">
        <f t="shared" si="127"/>
        <v>0</v>
      </c>
      <c r="HF9" s="35">
        <f t="shared" si="47"/>
        <v>0.7</v>
      </c>
      <c r="HG9" s="157">
        <f t="shared" ref="HG9" si="159">IFERROR((HC9*100)/GW9,0)</f>
        <v>0</v>
      </c>
      <c r="HH9" s="134"/>
      <c r="HI9" s="14">
        <f t="shared" si="48"/>
        <v>10</v>
      </c>
      <c r="HJ9" s="48">
        <f t="shared" ref="HJ9:HJ15" si="160">IFERROR(HH9/GW9,0)</f>
        <v>0</v>
      </c>
      <c r="HK9" s="68">
        <f t="shared" si="128"/>
        <v>0</v>
      </c>
      <c r="HL9" s="51">
        <f t="shared" si="49"/>
        <v>40</v>
      </c>
      <c r="HM9" s="103">
        <f t="shared" si="129"/>
        <v>0</v>
      </c>
      <c r="HN9" s="59">
        <f t="shared" ref="HN9:HN15" si="161">HL9-HM9</f>
        <v>40</v>
      </c>
      <c r="HO9" s="50">
        <f t="shared" si="50"/>
        <v>77</v>
      </c>
      <c r="HP9" s="103">
        <f t="shared" si="130"/>
        <v>0</v>
      </c>
      <c r="HQ9" s="62">
        <f>HO9-HP9</f>
        <v>77</v>
      </c>
    </row>
    <row r="10" spans="1:225" ht="17.25" thickBot="1" x14ac:dyDescent="0.3">
      <c r="A10" s="465" t="s">
        <v>107</v>
      </c>
      <c r="B10" s="324">
        <f t="shared" si="83"/>
        <v>27</v>
      </c>
      <c r="C10" s="572">
        <f t="shared" si="84"/>
        <v>0</v>
      </c>
      <c r="D10" s="484">
        <v>43840</v>
      </c>
      <c r="E10" s="445">
        <f t="shared" si="51"/>
        <v>134512</v>
      </c>
      <c r="F10" s="49">
        <f t="shared" si="0"/>
        <v>134309</v>
      </c>
      <c r="G10" s="134"/>
      <c r="H10" s="135">
        <v>203</v>
      </c>
      <c r="I10" s="135"/>
      <c r="J10" s="14">
        <f t="shared" si="131"/>
        <v>203</v>
      </c>
      <c r="K10" s="14">
        <f t="shared" si="52"/>
        <v>564</v>
      </c>
      <c r="L10" s="14">
        <f t="shared" si="1"/>
        <v>0.7</v>
      </c>
      <c r="M10" s="47">
        <f t="shared" si="85"/>
        <v>0.15091590341382183</v>
      </c>
      <c r="N10" s="35">
        <f t="shared" si="2"/>
        <v>0.7</v>
      </c>
      <c r="O10" s="132">
        <f t="shared" si="53"/>
        <v>0.41817116843252539</v>
      </c>
      <c r="P10" s="595">
        <v>0</v>
      </c>
      <c r="Q10" s="14">
        <f t="shared" si="3"/>
        <v>10</v>
      </c>
      <c r="R10" s="442">
        <f t="shared" si="4"/>
        <v>0</v>
      </c>
      <c r="S10" s="470">
        <f t="shared" si="54"/>
        <v>40.017756118773924</v>
      </c>
      <c r="T10" s="51">
        <f t="shared" si="5"/>
        <v>40</v>
      </c>
      <c r="U10" s="103">
        <f t="shared" si="132"/>
        <v>39</v>
      </c>
      <c r="V10" s="46">
        <f t="shared" si="55"/>
        <v>1</v>
      </c>
      <c r="W10" s="50">
        <f t="shared" si="6"/>
        <v>77</v>
      </c>
      <c r="X10" s="103">
        <f t="shared" si="86"/>
        <v>80</v>
      </c>
      <c r="Y10" s="46">
        <f>W10-X10</f>
        <v>-3</v>
      </c>
      <c r="Z10" s="685" t="s">
        <v>165</v>
      </c>
      <c r="AA10" s="324">
        <f t="shared" si="87"/>
        <v>27</v>
      </c>
      <c r="AB10" s="477">
        <f t="shared" si="88"/>
        <v>0</v>
      </c>
      <c r="AC10" s="684">
        <v>55260</v>
      </c>
      <c r="AD10" s="445">
        <f t="shared" ref="AD10:AD11" si="162">IFERROR(AE9+AC10,0)</f>
        <v>55260</v>
      </c>
      <c r="AE10" s="49">
        <f t="shared" si="7"/>
        <v>55260</v>
      </c>
      <c r="AF10" s="134"/>
      <c r="AG10" s="135">
        <v>0</v>
      </c>
      <c r="AH10" s="135"/>
      <c r="AI10" s="14">
        <f t="shared" si="133"/>
        <v>0</v>
      </c>
      <c r="AJ10" s="14">
        <f t="shared" si="57"/>
        <v>0</v>
      </c>
      <c r="AK10" s="14">
        <f t="shared" si="8"/>
        <v>0.7</v>
      </c>
      <c r="AL10" s="231">
        <f t="shared" si="58"/>
        <v>0</v>
      </c>
      <c r="AM10" s="35">
        <f t="shared" si="9"/>
        <v>0.7</v>
      </c>
      <c r="AN10" s="157">
        <f>IFERROR((AJ10*100)/$AC$19,0)</f>
        <v>0</v>
      </c>
      <c r="AO10" s="438">
        <v>3600</v>
      </c>
      <c r="AP10" s="14">
        <f t="shared" si="10"/>
        <v>10</v>
      </c>
      <c r="AQ10" s="442">
        <f t="shared" si="59"/>
        <v>65.146579804560261</v>
      </c>
      <c r="AR10" s="470">
        <f>AR9+AQ10</f>
        <v>65.146579804560261</v>
      </c>
      <c r="AS10" s="51">
        <f t="shared" si="11"/>
        <v>40</v>
      </c>
      <c r="AT10" s="103">
        <f t="shared" si="135"/>
        <v>39</v>
      </c>
      <c r="AU10" s="46">
        <f t="shared" ref="AU10:AU15" si="163">AS10-AT10</f>
        <v>1</v>
      </c>
      <c r="AV10" s="50">
        <f t="shared" si="12"/>
        <v>77</v>
      </c>
      <c r="AW10" s="103">
        <f t="shared" si="89"/>
        <v>80</v>
      </c>
      <c r="AX10" s="46">
        <f>AV10-AW10</f>
        <v>-3</v>
      </c>
      <c r="AZ10" s="120">
        <f t="shared" si="90"/>
        <v>27</v>
      </c>
      <c r="BA10" s="7">
        <f t="shared" si="91"/>
        <v>0</v>
      </c>
      <c r="BB10" s="133"/>
      <c r="BC10" s="445">
        <f t="shared" si="62"/>
        <v>0</v>
      </c>
      <c r="BD10" s="49">
        <f t="shared" si="13"/>
        <v>0</v>
      </c>
      <c r="BE10" s="134"/>
      <c r="BF10" s="135"/>
      <c r="BG10" s="135"/>
      <c r="BH10" s="14">
        <f t="shared" si="136"/>
        <v>0</v>
      </c>
      <c r="BI10" s="14">
        <f t="shared" si="63"/>
        <v>0</v>
      </c>
      <c r="BJ10" s="14">
        <f t="shared" si="14"/>
        <v>0.7</v>
      </c>
      <c r="BK10" s="47">
        <f t="shared" si="92"/>
        <v>0</v>
      </c>
      <c r="BL10" s="35">
        <f t="shared" si="15"/>
        <v>0.7</v>
      </c>
      <c r="BM10" s="157">
        <f t="shared" si="16"/>
        <v>0</v>
      </c>
      <c r="BN10" s="438"/>
      <c r="BO10" s="14">
        <f t="shared" si="17"/>
        <v>10</v>
      </c>
      <c r="BP10" s="442">
        <f t="shared" si="93"/>
        <v>0</v>
      </c>
      <c r="BQ10" s="747">
        <f t="shared" si="137"/>
        <v>0</v>
      </c>
      <c r="BR10" s="51">
        <f t="shared" si="18"/>
        <v>40</v>
      </c>
      <c r="BS10" s="103">
        <f t="shared" si="138"/>
        <v>0</v>
      </c>
      <c r="BT10" s="46">
        <f t="shared" si="19"/>
        <v>40</v>
      </c>
      <c r="BU10" s="50">
        <f t="shared" si="20"/>
        <v>77</v>
      </c>
      <c r="BV10" s="103">
        <f t="shared" si="94"/>
        <v>0</v>
      </c>
      <c r="BW10" s="46">
        <f>BU10-BV10</f>
        <v>77</v>
      </c>
      <c r="BY10" s="120">
        <f t="shared" si="95"/>
        <v>29</v>
      </c>
      <c r="BZ10" s="7">
        <f t="shared" si="96"/>
        <v>0</v>
      </c>
      <c r="CA10" s="133"/>
      <c r="CB10" s="14">
        <f>IFERROR(CC9+CA10,0)</f>
        <v>0</v>
      </c>
      <c r="CC10" s="46">
        <f t="shared" si="65"/>
        <v>0</v>
      </c>
      <c r="CD10" s="405"/>
      <c r="CE10" s="406"/>
      <c r="CF10" s="406"/>
      <c r="CG10" s="14">
        <f t="shared" si="139"/>
        <v>0</v>
      </c>
      <c r="CH10" s="14">
        <f>CH9+CG10</f>
        <v>0</v>
      </c>
      <c r="CI10" s="14">
        <f t="shared" si="21"/>
        <v>0.7</v>
      </c>
      <c r="CJ10" s="47">
        <f>IFERROR((CG10*1000)/CB10,0)</f>
        <v>0</v>
      </c>
      <c r="CK10" s="35">
        <f t="shared" si="22"/>
        <v>0.7</v>
      </c>
      <c r="CL10" s="157">
        <f>IFERROR((CH10*100)/CB10,0)</f>
        <v>0</v>
      </c>
      <c r="CM10" s="134"/>
      <c r="CN10" s="14">
        <f t="shared" si="23"/>
        <v>10</v>
      </c>
      <c r="CO10" s="48">
        <f t="shared" si="141"/>
        <v>0</v>
      </c>
      <c r="CP10" s="68">
        <f>CP9+CO10</f>
        <v>0</v>
      </c>
      <c r="CQ10" s="51">
        <f t="shared" si="24"/>
        <v>40</v>
      </c>
      <c r="CR10" s="103">
        <f t="shared" si="99"/>
        <v>0</v>
      </c>
      <c r="CS10" s="46">
        <f t="shared" si="66"/>
        <v>40</v>
      </c>
      <c r="CT10" s="50">
        <f t="shared" si="25"/>
        <v>77</v>
      </c>
      <c r="CU10" s="103">
        <f t="shared" si="100"/>
        <v>0</v>
      </c>
      <c r="CV10" s="46">
        <f t="shared" si="67"/>
        <v>77</v>
      </c>
      <c r="CX10" s="120">
        <f t="shared" si="101"/>
        <v>29</v>
      </c>
      <c r="CY10" s="7">
        <f t="shared" si="102"/>
        <v>0</v>
      </c>
      <c r="CZ10" s="133"/>
      <c r="DA10" s="14">
        <f>IFERROR(DB9+CZ10,0)</f>
        <v>0</v>
      </c>
      <c r="DB10" s="46">
        <f t="shared" si="68"/>
        <v>0</v>
      </c>
      <c r="DC10" s="405"/>
      <c r="DD10" s="406"/>
      <c r="DE10" s="406"/>
      <c r="DF10" s="14">
        <f t="shared" si="142"/>
        <v>0</v>
      </c>
      <c r="DG10" s="14">
        <f>DG9+DF10</f>
        <v>0</v>
      </c>
      <c r="DH10" s="14">
        <f t="shared" si="26"/>
        <v>0.7</v>
      </c>
      <c r="DI10" s="47">
        <f>IFERROR((DF10*1000)/DA10,0)</f>
        <v>0</v>
      </c>
      <c r="DJ10" s="35">
        <f t="shared" si="27"/>
        <v>0.7</v>
      </c>
      <c r="DK10" s="157">
        <f>IFERROR((DG10*100)/DA10,0)</f>
        <v>0</v>
      </c>
      <c r="DL10" s="134"/>
      <c r="DM10" s="14">
        <f t="shared" si="28"/>
        <v>10</v>
      </c>
      <c r="DN10" s="48">
        <f t="shared" si="144"/>
        <v>0</v>
      </c>
      <c r="DO10" s="68">
        <f>DO9+DN10</f>
        <v>0</v>
      </c>
      <c r="DP10" s="51">
        <f t="shared" si="29"/>
        <v>40</v>
      </c>
      <c r="DQ10" s="103">
        <f t="shared" si="105"/>
        <v>0</v>
      </c>
      <c r="DR10" s="46">
        <f t="shared" si="145"/>
        <v>40</v>
      </c>
      <c r="DS10" s="50">
        <f t="shared" si="30"/>
        <v>77</v>
      </c>
      <c r="DT10" s="103">
        <f t="shared" si="106"/>
        <v>0</v>
      </c>
      <c r="DU10" s="46">
        <f t="shared" ref="DU10:DU73" si="164">DS10-DT10</f>
        <v>77</v>
      </c>
      <c r="DW10" s="120">
        <f t="shared" si="107"/>
        <v>29</v>
      </c>
      <c r="DX10" s="7">
        <f t="shared" si="108"/>
        <v>0</v>
      </c>
      <c r="DY10" s="133"/>
      <c r="DZ10" s="14">
        <f>IFERROR(EA9+DY10,0)</f>
        <v>0</v>
      </c>
      <c r="EA10" s="46">
        <f t="shared" si="71"/>
        <v>0</v>
      </c>
      <c r="EB10" s="405"/>
      <c r="EC10" s="406"/>
      <c r="ED10" s="406"/>
      <c r="EE10" s="14">
        <f t="shared" si="146"/>
        <v>0</v>
      </c>
      <c r="EF10" s="14">
        <f>EF9+EE10</f>
        <v>0</v>
      </c>
      <c r="EG10" s="14">
        <f t="shared" si="31"/>
        <v>0.7</v>
      </c>
      <c r="EH10" s="47">
        <f>IFERROR((EE10*1000)/DZ10,0)</f>
        <v>0</v>
      </c>
      <c r="EI10" s="35">
        <f t="shared" si="32"/>
        <v>0.7</v>
      </c>
      <c r="EJ10" s="157">
        <f>IFERROR((EF10*100)/DZ10,0)</f>
        <v>0</v>
      </c>
      <c r="EK10" s="134"/>
      <c r="EL10" s="14">
        <f t="shared" si="33"/>
        <v>10</v>
      </c>
      <c r="EM10" s="48">
        <f t="shared" si="148"/>
        <v>0</v>
      </c>
      <c r="EN10" s="68">
        <f>EN9+EM10</f>
        <v>0</v>
      </c>
      <c r="EO10" s="51">
        <f t="shared" si="34"/>
        <v>40</v>
      </c>
      <c r="EP10" s="103">
        <f t="shared" si="111"/>
        <v>0</v>
      </c>
      <c r="EQ10" s="46">
        <f t="shared" si="149"/>
        <v>40</v>
      </c>
      <c r="ER10" s="50">
        <f t="shared" si="35"/>
        <v>77</v>
      </c>
      <c r="ES10" s="103">
        <f t="shared" si="112"/>
        <v>0</v>
      </c>
      <c r="ET10" s="46">
        <f t="shared" ref="ET10:ET73" si="165">ER10-ES10</f>
        <v>77</v>
      </c>
      <c r="EV10" s="120">
        <f t="shared" si="113"/>
        <v>29</v>
      </c>
      <c r="EW10" s="7">
        <f t="shared" si="114"/>
        <v>0</v>
      </c>
      <c r="EX10" s="133"/>
      <c r="EY10" s="14">
        <f>IFERROR(EZ9+EX10,0)</f>
        <v>0</v>
      </c>
      <c r="EZ10" s="46">
        <f t="shared" si="74"/>
        <v>0</v>
      </c>
      <c r="FA10" s="405"/>
      <c r="FB10" s="406"/>
      <c r="FC10" s="406"/>
      <c r="FD10" s="14">
        <f t="shared" si="150"/>
        <v>0</v>
      </c>
      <c r="FE10" s="14">
        <f>FE9+FD10</f>
        <v>0</v>
      </c>
      <c r="FF10" s="14">
        <f t="shared" si="36"/>
        <v>0.7</v>
      </c>
      <c r="FG10" s="47">
        <f>IFERROR((FD10*1000)/EY10,0)</f>
        <v>0</v>
      </c>
      <c r="FH10" s="35">
        <f t="shared" si="37"/>
        <v>0.7</v>
      </c>
      <c r="FI10" s="157">
        <f>IFERROR((FE10*100)/EY10,0)</f>
        <v>0</v>
      </c>
      <c r="FJ10" s="134"/>
      <c r="FK10" s="14">
        <f t="shared" si="38"/>
        <v>10</v>
      </c>
      <c r="FL10" s="48">
        <f t="shared" si="152"/>
        <v>0</v>
      </c>
      <c r="FM10" s="68">
        <f>FM9+FL10</f>
        <v>0</v>
      </c>
      <c r="FN10" s="51">
        <f t="shared" si="39"/>
        <v>40</v>
      </c>
      <c r="FO10" s="103">
        <f t="shared" si="117"/>
        <v>0</v>
      </c>
      <c r="FP10" s="46">
        <f t="shared" si="153"/>
        <v>40</v>
      </c>
      <c r="FQ10" s="50">
        <f t="shared" si="40"/>
        <v>77</v>
      </c>
      <c r="FR10" s="103">
        <f t="shared" si="118"/>
        <v>0</v>
      </c>
      <c r="FS10" s="46">
        <f t="shared" ref="FS10:FS73" si="166">FQ10-FR10</f>
        <v>77</v>
      </c>
      <c r="FU10" s="120">
        <f t="shared" si="119"/>
        <v>29</v>
      </c>
      <c r="FV10" s="7">
        <f t="shared" si="120"/>
        <v>0</v>
      </c>
      <c r="FW10" s="133"/>
      <c r="FX10" s="14">
        <f>IFERROR(FY9+FW10,0)</f>
        <v>0</v>
      </c>
      <c r="FY10" s="46">
        <f t="shared" si="77"/>
        <v>0</v>
      </c>
      <c r="FZ10" s="405"/>
      <c r="GA10" s="406"/>
      <c r="GB10" s="406"/>
      <c r="GC10" s="14">
        <f t="shared" si="154"/>
        <v>0</v>
      </c>
      <c r="GD10" s="14">
        <f>GD9+GC10</f>
        <v>0</v>
      </c>
      <c r="GE10" s="14">
        <f t="shared" si="41"/>
        <v>0.7</v>
      </c>
      <c r="GF10" s="47">
        <f>IFERROR((GC10*1000)/FX10,0)</f>
        <v>0</v>
      </c>
      <c r="GG10" s="35">
        <f t="shared" si="42"/>
        <v>0.7</v>
      </c>
      <c r="GH10" s="157">
        <f>IFERROR((GD10*100)/FX10,0)</f>
        <v>0</v>
      </c>
      <c r="GI10" s="134"/>
      <c r="GJ10" s="14">
        <f t="shared" si="43"/>
        <v>10</v>
      </c>
      <c r="GK10" s="48">
        <f t="shared" si="156"/>
        <v>0</v>
      </c>
      <c r="GL10" s="68">
        <f>GL9+GK10</f>
        <v>0</v>
      </c>
      <c r="GM10" s="51">
        <f t="shared" si="44"/>
        <v>40</v>
      </c>
      <c r="GN10" s="103">
        <f t="shared" si="123"/>
        <v>0</v>
      </c>
      <c r="GO10" s="46">
        <f t="shared" si="157"/>
        <v>40</v>
      </c>
      <c r="GP10" s="50">
        <f t="shared" si="45"/>
        <v>77</v>
      </c>
      <c r="GQ10" s="103">
        <f t="shared" si="124"/>
        <v>0</v>
      </c>
      <c r="GR10" s="46">
        <f t="shared" ref="GR10:GR73" si="167">GP10-GQ10</f>
        <v>77</v>
      </c>
      <c r="GT10" s="120">
        <f t="shared" si="125"/>
        <v>29</v>
      </c>
      <c r="GU10" s="7">
        <f t="shared" si="126"/>
        <v>0</v>
      </c>
      <c r="GV10" s="133"/>
      <c r="GW10" s="14">
        <f>IFERROR(GX9+GV10,0)</f>
        <v>0</v>
      </c>
      <c r="GX10" s="46">
        <f t="shared" si="80"/>
        <v>0</v>
      </c>
      <c r="GY10" s="405"/>
      <c r="GZ10" s="406"/>
      <c r="HA10" s="406"/>
      <c r="HB10" s="14">
        <f t="shared" si="158"/>
        <v>0</v>
      </c>
      <c r="HC10" s="14">
        <f>HC9+HB10</f>
        <v>0</v>
      </c>
      <c r="HD10" s="14">
        <f t="shared" si="46"/>
        <v>0.7</v>
      </c>
      <c r="HE10" s="47">
        <f>IFERROR((HB10*1000)/GW10,0)</f>
        <v>0</v>
      </c>
      <c r="HF10" s="35">
        <f t="shared" si="47"/>
        <v>0.7</v>
      </c>
      <c r="HG10" s="157">
        <f>IFERROR((HC10*100)/GW10,0)</f>
        <v>0</v>
      </c>
      <c r="HH10" s="134"/>
      <c r="HI10" s="14">
        <f t="shared" si="48"/>
        <v>10</v>
      </c>
      <c r="HJ10" s="48">
        <f t="shared" si="160"/>
        <v>0</v>
      </c>
      <c r="HK10" s="68">
        <f>HK9+HJ10</f>
        <v>0</v>
      </c>
      <c r="HL10" s="51">
        <f t="shared" si="49"/>
        <v>40</v>
      </c>
      <c r="HM10" s="103">
        <f t="shared" si="129"/>
        <v>0</v>
      </c>
      <c r="HN10" s="46">
        <f t="shared" si="161"/>
        <v>40</v>
      </c>
      <c r="HO10" s="50">
        <f t="shared" si="50"/>
        <v>77</v>
      </c>
      <c r="HP10" s="103">
        <f t="shared" si="130"/>
        <v>0</v>
      </c>
      <c r="HQ10" s="46">
        <f t="shared" ref="HQ10:HQ73" si="168">HO10-HP10</f>
        <v>77</v>
      </c>
    </row>
    <row r="11" spans="1:225" ht="17.25" thickBot="1" x14ac:dyDescent="0.3">
      <c r="B11" s="120">
        <f t="shared" si="83"/>
        <v>28</v>
      </c>
      <c r="C11" s="570">
        <f t="shared" si="84"/>
        <v>0</v>
      </c>
      <c r="D11" s="133"/>
      <c r="E11" s="445">
        <f t="shared" si="51"/>
        <v>134309</v>
      </c>
      <c r="F11" s="49">
        <f t="shared" si="0"/>
        <v>133989</v>
      </c>
      <c r="G11" s="134"/>
      <c r="H11" s="135">
        <v>320</v>
      </c>
      <c r="I11" s="135"/>
      <c r="J11" s="14">
        <f t="shared" si="131"/>
        <v>320</v>
      </c>
      <c r="K11" s="14">
        <f t="shared" si="52"/>
        <v>884</v>
      </c>
      <c r="L11" s="14">
        <f t="shared" si="1"/>
        <v>0.7</v>
      </c>
      <c r="M11" s="47">
        <f t="shared" si="85"/>
        <v>0.23825655763947315</v>
      </c>
      <c r="N11" s="35">
        <f t="shared" si="2"/>
        <v>0.7</v>
      </c>
      <c r="O11" s="132">
        <f t="shared" si="53"/>
        <v>0.65543140584105042</v>
      </c>
      <c r="P11" s="593">
        <v>1600</v>
      </c>
      <c r="Q11" s="14">
        <f t="shared" si="3"/>
        <v>10</v>
      </c>
      <c r="R11" s="442">
        <f t="shared" si="4"/>
        <v>11.912827881973659</v>
      </c>
      <c r="S11" s="470">
        <f t="shared" si="54"/>
        <v>51.930584000747587</v>
      </c>
      <c r="T11" s="51">
        <f t="shared" si="5"/>
        <v>40</v>
      </c>
      <c r="U11" s="103">
        <f t="shared" si="132"/>
        <v>39</v>
      </c>
      <c r="V11" s="62">
        <f t="shared" si="55"/>
        <v>1</v>
      </c>
      <c r="W11" s="50">
        <f t="shared" si="6"/>
        <v>77</v>
      </c>
      <c r="X11" s="103">
        <f t="shared" si="86"/>
        <v>80</v>
      </c>
      <c r="Y11" s="62">
        <f t="shared" si="56"/>
        <v>-3</v>
      </c>
      <c r="Z11" s="487"/>
      <c r="AA11" s="403">
        <f t="shared" si="87"/>
        <v>28</v>
      </c>
      <c r="AB11" s="404">
        <f t="shared" si="88"/>
        <v>0</v>
      </c>
      <c r="AC11" s="229"/>
      <c r="AD11" s="445">
        <f t="shared" si="162"/>
        <v>55260</v>
      </c>
      <c r="AE11" s="49">
        <f t="shared" si="7"/>
        <v>55228</v>
      </c>
      <c r="AF11" s="134"/>
      <c r="AG11" s="135">
        <v>32</v>
      </c>
      <c r="AH11" s="135"/>
      <c r="AI11" s="14">
        <f t="shared" si="133"/>
        <v>32</v>
      </c>
      <c r="AJ11" s="14">
        <f t="shared" si="57"/>
        <v>32</v>
      </c>
      <c r="AK11" s="14">
        <f t="shared" si="8"/>
        <v>0.7</v>
      </c>
      <c r="AL11" s="47">
        <f t="shared" si="58"/>
        <v>5.7908070937386896E-2</v>
      </c>
      <c r="AM11" s="35">
        <f t="shared" si="9"/>
        <v>0.7</v>
      </c>
      <c r="AN11" s="157">
        <f t="shared" ref="AN11:AN74" si="169">IFERROR((AJ11*100)/$AC$19,0)</f>
        <v>2.0891001201232568E-2</v>
      </c>
      <c r="AO11" s="438">
        <v>800</v>
      </c>
      <c r="AP11" s="14">
        <f t="shared" si="10"/>
        <v>10</v>
      </c>
      <c r="AQ11" s="480">
        <f>IFERROR((AO11/AD11)*1000,0)</f>
        <v>14.477017734346724</v>
      </c>
      <c r="AR11" s="470">
        <f>AR10+AQ11</f>
        <v>79.623597538906978</v>
      </c>
      <c r="AS11" s="51">
        <f t="shared" si="11"/>
        <v>40</v>
      </c>
      <c r="AT11" s="103">
        <f t="shared" si="135"/>
        <v>39</v>
      </c>
      <c r="AU11" s="62">
        <f t="shared" si="163"/>
        <v>1</v>
      </c>
      <c r="AV11" s="50">
        <f t="shared" si="12"/>
        <v>77</v>
      </c>
      <c r="AW11" s="103">
        <f t="shared" si="89"/>
        <v>80</v>
      </c>
      <c r="AX11" s="62">
        <f t="shared" ref="AX11:AX74" si="170">AV11-AW11</f>
        <v>-3</v>
      </c>
      <c r="AZ11" s="120">
        <f t="shared" si="90"/>
        <v>28</v>
      </c>
      <c r="BA11" s="7">
        <f t="shared" si="91"/>
        <v>0</v>
      </c>
      <c r="BB11" s="133"/>
      <c r="BC11" s="445">
        <f t="shared" si="62"/>
        <v>0</v>
      </c>
      <c r="BD11" s="49">
        <f t="shared" si="13"/>
        <v>0</v>
      </c>
      <c r="BE11" s="134"/>
      <c r="BF11" s="135"/>
      <c r="BG11" s="135"/>
      <c r="BH11" s="14">
        <f t="shared" si="136"/>
        <v>0</v>
      </c>
      <c r="BI11" s="14">
        <f t="shared" si="63"/>
        <v>0</v>
      </c>
      <c r="BJ11" s="14">
        <f t="shared" si="14"/>
        <v>0.7</v>
      </c>
      <c r="BK11" s="47">
        <f t="shared" si="92"/>
        <v>0</v>
      </c>
      <c r="BL11" s="35">
        <f t="shared" si="15"/>
        <v>0.7</v>
      </c>
      <c r="BM11" s="157">
        <f t="shared" si="16"/>
        <v>0</v>
      </c>
      <c r="BN11" s="438"/>
      <c r="BO11" s="14">
        <f t="shared" si="17"/>
        <v>10</v>
      </c>
      <c r="BP11" s="442">
        <f t="shared" si="93"/>
        <v>0</v>
      </c>
      <c r="BQ11" s="747">
        <f t="shared" si="137"/>
        <v>0</v>
      </c>
      <c r="BR11" s="51">
        <f t="shared" si="18"/>
        <v>40</v>
      </c>
      <c r="BS11" s="103">
        <f t="shared" si="138"/>
        <v>0</v>
      </c>
      <c r="BT11" s="62">
        <f t="shared" si="19"/>
        <v>40</v>
      </c>
      <c r="BU11" s="50">
        <f t="shared" si="20"/>
        <v>77</v>
      </c>
      <c r="BV11" s="103">
        <f t="shared" si="94"/>
        <v>0</v>
      </c>
      <c r="BW11" s="62">
        <f t="shared" ref="BW11:BW74" si="171">BU11-BV11</f>
        <v>77</v>
      </c>
      <c r="BY11" s="120">
        <f t="shared" si="95"/>
        <v>30</v>
      </c>
      <c r="BZ11" s="7">
        <f t="shared" si="96"/>
        <v>0</v>
      </c>
      <c r="CA11" s="133"/>
      <c r="CB11" s="14">
        <f t="shared" ref="CB11:CB74" si="172">IFERROR(CC10+CA11,0)</f>
        <v>0</v>
      </c>
      <c r="CC11" s="46">
        <f>IFERROR(CB11-CG11,0)</f>
        <v>0</v>
      </c>
      <c r="CD11" s="405"/>
      <c r="CE11" s="406"/>
      <c r="CF11" s="406"/>
      <c r="CG11" s="14">
        <f t="shared" si="139"/>
        <v>0</v>
      </c>
      <c r="CH11" s="14">
        <f t="shared" ref="CH11:CH74" si="173">CH10+CG11</f>
        <v>0</v>
      </c>
      <c r="CI11" s="14">
        <f t="shared" si="21"/>
        <v>0.7</v>
      </c>
      <c r="CJ11" s="47">
        <f t="shared" si="97"/>
        <v>0</v>
      </c>
      <c r="CK11" s="35">
        <f t="shared" si="22"/>
        <v>0.7</v>
      </c>
      <c r="CL11" s="157">
        <f t="shared" si="140"/>
        <v>0</v>
      </c>
      <c r="CM11" s="134"/>
      <c r="CN11" s="14">
        <f t="shared" si="23"/>
        <v>10</v>
      </c>
      <c r="CO11" s="48">
        <f t="shared" si="141"/>
        <v>0</v>
      </c>
      <c r="CP11" s="68">
        <f t="shared" si="98"/>
        <v>0</v>
      </c>
      <c r="CQ11" s="51">
        <f t="shared" si="24"/>
        <v>40</v>
      </c>
      <c r="CR11" s="103">
        <f t="shared" si="99"/>
        <v>0</v>
      </c>
      <c r="CS11" s="62">
        <f t="shared" si="66"/>
        <v>40</v>
      </c>
      <c r="CT11" s="51">
        <f t="shared" si="25"/>
        <v>77</v>
      </c>
      <c r="CU11" s="103">
        <f t="shared" si="100"/>
        <v>0</v>
      </c>
      <c r="CV11" s="62">
        <f t="shared" si="67"/>
        <v>77</v>
      </c>
      <c r="CX11" s="120">
        <f t="shared" si="101"/>
        <v>30</v>
      </c>
      <c r="CY11" s="7">
        <f t="shared" si="102"/>
        <v>0</v>
      </c>
      <c r="CZ11" s="133"/>
      <c r="DA11" s="14">
        <f t="shared" ref="DA11:DA43" si="174">IFERROR(DB10+CZ11,0)</f>
        <v>0</v>
      </c>
      <c r="DB11" s="46">
        <f>IFERROR(DA11-DF11,0)</f>
        <v>0</v>
      </c>
      <c r="DC11" s="405"/>
      <c r="DD11" s="406"/>
      <c r="DE11" s="406"/>
      <c r="DF11" s="14">
        <f t="shared" si="142"/>
        <v>0</v>
      </c>
      <c r="DG11" s="14">
        <f t="shared" ref="DG11:DG74" si="175">DG10+DF11</f>
        <v>0</v>
      </c>
      <c r="DH11" s="14">
        <f t="shared" si="26"/>
        <v>0.7</v>
      </c>
      <c r="DI11" s="47">
        <f t="shared" ref="DI11" si="176">IFERROR((DF11*1000)/DA11,0)</f>
        <v>0</v>
      </c>
      <c r="DJ11" s="35">
        <f t="shared" si="27"/>
        <v>0.7</v>
      </c>
      <c r="DK11" s="157">
        <f t="shared" ref="DK11:DK74" si="177">IFERROR((DG11*100)/DA11,0)</f>
        <v>0</v>
      </c>
      <c r="DL11" s="134"/>
      <c r="DM11" s="14">
        <f t="shared" si="28"/>
        <v>10</v>
      </c>
      <c r="DN11" s="48">
        <f t="shared" si="144"/>
        <v>0</v>
      </c>
      <c r="DO11" s="68">
        <f t="shared" ref="DO11:DO74" si="178">DO10+DN11</f>
        <v>0</v>
      </c>
      <c r="DP11" s="51">
        <f t="shared" si="29"/>
        <v>40</v>
      </c>
      <c r="DQ11" s="103">
        <f t="shared" si="105"/>
        <v>0</v>
      </c>
      <c r="DR11" s="62">
        <f t="shared" si="145"/>
        <v>40</v>
      </c>
      <c r="DS11" s="51">
        <f t="shared" si="30"/>
        <v>77</v>
      </c>
      <c r="DT11" s="103">
        <f t="shared" si="106"/>
        <v>0</v>
      </c>
      <c r="DU11" s="62">
        <f t="shared" si="164"/>
        <v>77</v>
      </c>
      <c r="DW11" s="120">
        <f t="shared" si="107"/>
        <v>30</v>
      </c>
      <c r="DX11" s="7">
        <f t="shared" si="108"/>
        <v>0</v>
      </c>
      <c r="DY11" s="133"/>
      <c r="DZ11" s="14">
        <f t="shared" ref="DZ11:DZ43" si="179">IFERROR(EA10+DY11,0)</f>
        <v>0</v>
      </c>
      <c r="EA11" s="46">
        <f>IFERROR(DZ11-EE11,0)</f>
        <v>0</v>
      </c>
      <c r="EB11" s="405"/>
      <c r="EC11" s="406"/>
      <c r="ED11" s="406"/>
      <c r="EE11" s="14">
        <f t="shared" si="146"/>
        <v>0</v>
      </c>
      <c r="EF11" s="14">
        <f t="shared" ref="EF11:EF74" si="180">EF10+EE11</f>
        <v>0</v>
      </c>
      <c r="EG11" s="14">
        <f t="shared" si="31"/>
        <v>0.7</v>
      </c>
      <c r="EH11" s="47">
        <f t="shared" ref="EH11" si="181">IFERROR((EE11*1000)/DZ11,0)</f>
        <v>0</v>
      </c>
      <c r="EI11" s="35">
        <f t="shared" si="32"/>
        <v>0.7</v>
      </c>
      <c r="EJ11" s="157">
        <f t="shared" ref="EJ11:EJ74" si="182">IFERROR((EF11*100)/DZ11,0)</f>
        <v>0</v>
      </c>
      <c r="EK11" s="134"/>
      <c r="EL11" s="14">
        <f t="shared" si="33"/>
        <v>10</v>
      </c>
      <c r="EM11" s="48">
        <f t="shared" si="148"/>
        <v>0</v>
      </c>
      <c r="EN11" s="68">
        <f t="shared" ref="EN11:EN74" si="183">EN10+EM11</f>
        <v>0</v>
      </c>
      <c r="EO11" s="51">
        <f t="shared" si="34"/>
        <v>40</v>
      </c>
      <c r="EP11" s="103">
        <f t="shared" si="111"/>
        <v>0</v>
      </c>
      <c r="EQ11" s="62">
        <f t="shared" si="149"/>
        <v>40</v>
      </c>
      <c r="ER11" s="51">
        <f t="shared" si="35"/>
        <v>77</v>
      </c>
      <c r="ES11" s="103">
        <f t="shared" si="112"/>
        <v>0</v>
      </c>
      <c r="ET11" s="62">
        <f t="shared" si="165"/>
        <v>77</v>
      </c>
      <c r="EV11" s="120">
        <f t="shared" si="113"/>
        <v>30</v>
      </c>
      <c r="EW11" s="7">
        <f t="shared" si="114"/>
        <v>0</v>
      </c>
      <c r="EX11" s="133"/>
      <c r="EY11" s="14">
        <f t="shared" ref="EY11:EY43" si="184">IFERROR(EZ10+EX11,0)</f>
        <v>0</v>
      </c>
      <c r="EZ11" s="46">
        <f>IFERROR(EY11-FD11,0)</f>
        <v>0</v>
      </c>
      <c r="FA11" s="405"/>
      <c r="FB11" s="406"/>
      <c r="FC11" s="406"/>
      <c r="FD11" s="14">
        <f t="shared" si="150"/>
        <v>0</v>
      </c>
      <c r="FE11" s="14">
        <f t="shared" ref="FE11:FE74" si="185">FE10+FD11</f>
        <v>0</v>
      </c>
      <c r="FF11" s="14">
        <f t="shared" si="36"/>
        <v>0.7</v>
      </c>
      <c r="FG11" s="47">
        <f t="shared" ref="FG11" si="186">IFERROR((FD11*1000)/EY11,0)</f>
        <v>0</v>
      </c>
      <c r="FH11" s="35">
        <f t="shared" si="37"/>
        <v>0.7</v>
      </c>
      <c r="FI11" s="157">
        <f t="shared" ref="FI11:FI74" si="187">IFERROR((FE11*100)/EY11,0)</f>
        <v>0</v>
      </c>
      <c r="FJ11" s="134"/>
      <c r="FK11" s="14">
        <f t="shared" si="38"/>
        <v>10</v>
      </c>
      <c r="FL11" s="48">
        <f t="shared" si="152"/>
        <v>0</v>
      </c>
      <c r="FM11" s="68">
        <f t="shared" ref="FM11:FM74" si="188">FM10+FL11</f>
        <v>0</v>
      </c>
      <c r="FN11" s="51">
        <f t="shared" si="39"/>
        <v>40</v>
      </c>
      <c r="FO11" s="103">
        <f t="shared" si="117"/>
        <v>0</v>
      </c>
      <c r="FP11" s="62">
        <f t="shared" si="153"/>
        <v>40</v>
      </c>
      <c r="FQ11" s="51">
        <f t="shared" si="40"/>
        <v>77</v>
      </c>
      <c r="FR11" s="103">
        <f t="shared" si="118"/>
        <v>0</v>
      </c>
      <c r="FS11" s="62">
        <f t="shared" si="166"/>
        <v>77</v>
      </c>
      <c r="FU11" s="120">
        <f t="shared" si="119"/>
        <v>30</v>
      </c>
      <c r="FV11" s="7">
        <f t="shared" si="120"/>
        <v>0</v>
      </c>
      <c r="FW11" s="133"/>
      <c r="FX11" s="14">
        <f t="shared" ref="FX11:FX43" si="189">IFERROR(FY10+FW11,0)</f>
        <v>0</v>
      </c>
      <c r="FY11" s="46">
        <f>IFERROR(FX11-GC11,0)</f>
        <v>0</v>
      </c>
      <c r="FZ11" s="405"/>
      <c r="GA11" s="406"/>
      <c r="GB11" s="406"/>
      <c r="GC11" s="14">
        <f t="shared" si="154"/>
        <v>0</v>
      </c>
      <c r="GD11" s="14">
        <f t="shared" ref="GD11:GD74" si="190">GD10+GC11</f>
        <v>0</v>
      </c>
      <c r="GE11" s="14">
        <f t="shared" si="41"/>
        <v>0.7</v>
      </c>
      <c r="GF11" s="47">
        <f t="shared" ref="GF11" si="191">IFERROR((GC11*1000)/FX11,0)</f>
        <v>0</v>
      </c>
      <c r="GG11" s="35">
        <f t="shared" si="42"/>
        <v>0.7</v>
      </c>
      <c r="GH11" s="157">
        <f t="shared" ref="GH11:GH74" si="192">IFERROR((GD11*100)/FX11,0)</f>
        <v>0</v>
      </c>
      <c r="GI11" s="134"/>
      <c r="GJ11" s="14">
        <f t="shared" si="43"/>
        <v>10</v>
      </c>
      <c r="GK11" s="48">
        <f t="shared" si="156"/>
        <v>0</v>
      </c>
      <c r="GL11" s="68">
        <f t="shared" ref="GL11:GL74" si="193">GL10+GK11</f>
        <v>0</v>
      </c>
      <c r="GM11" s="51">
        <f t="shared" si="44"/>
        <v>40</v>
      </c>
      <c r="GN11" s="103">
        <f t="shared" si="123"/>
        <v>0</v>
      </c>
      <c r="GO11" s="62">
        <f t="shared" si="157"/>
        <v>40</v>
      </c>
      <c r="GP11" s="51">
        <f t="shared" si="45"/>
        <v>77</v>
      </c>
      <c r="GQ11" s="103">
        <f t="shared" si="124"/>
        <v>0</v>
      </c>
      <c r="GR11" s="62">
        <f t="shared" si="167"/>
        <v>77</v>
      </c>
      <c r="GT11" s="120">
        <f t="shared" si="125"/>
        <v>30</v>
      </c>
      <c r="GU11" s="7">
        <f t="shared" si="126"/>
        <v>0</v>
      </c>
      <c r="GV11" s="133"/>
      <c r="GW11" s="14">
        <f t="shared" ref="GW11:GW43" si="194">IFERROR(GX10+GV11,0)</f>
        <v>0</v>
      </c>
      <c r="GX11" s="46">
        <f>IFERROR(GW11-HB11,0)</f>
        <v>0</v>
      </c>
      <c r="GY11" s="405"/>
      <c r="GZ11" s="406"/>
      <c r="HA11" s="406"/>
      <c r="HB11" s="14">
        <f t="shared" si="158"/>
        <v>0</v>
      </c>
      <c r="HC11" s="14">
        <f t="shared" ref="HC11:HC74" si="195">HC10+HB11</f>
        <v>0</v>
      </c>
      <c r="HD11" s="14">
        <f t="shared" si="46"/>
        <v>0.7</v>
      </c>
      <c r="HE11" s="47">
        <f t="shared" ref="HE11" si="196">IFERROR((HB11*1000)/GW11,0)</f>
        <v>0</v>
      </c>
      <c r="HF11" s="35">
        <f t="shared" si="47"/>
        <v>0.7</v>
      </c>
      <c r="HG11" s="157">
        <f t="shared" ref="HG11:HG74" si="197">IFERROR((HC11*100)/GW11,0)</f>
        <v>0</v>
      </c>
      <c r="HH11" s="134"/>
      <c r="HI11" s="14">
        <f t="shared" si="48"/>
        <v>10</v>
      </c>
      <c r="HJ11" s="48">
        <f t="shared" si="160"/>
        <v>0</v>
      </c>
      <c r="HK11" s="68">
        <f t="shared" ref="HK11:HK74" si="198">HK10+HJ11</f>
        <v>0</v>
      </c>
      <c r="HL11" s="51">
        <f t="shared" si="49"/>
        <v>40</v>
      </c>
      <c r="HM11" s="103">
        <f t="shared" si="129"/>
        <v>0</v>
      </c>
      <c r="HN11" s="62">
        <f t="shared" si="161"/>
        <v>40</v>
      </c>
      <c r="HO11" s="51">
        <f t="shared" si="50"/>
        <v>77</v>
      </c>
      <c r="HP11" s="103">
        <f t="shared" si="130"/>
        <v>0</v>
      </c>
      <c r="HQ11" s="62">
        <f t="shared" si="168"/>
        <v>77</v>
      </c>
    </row>
    <row r="12" spans="1:225" ht="18.75" thickBot="1" x14ac:dyDescent="0.3">
      <c r="A12" s="534" t="s">
        <v>156</v>
      </c>
      <c r="B12" s="586">
        <v>1</v>
      </c>
      <c r="C12" s="573">
        <f t="shared" si="84"/>
        <v>0</v>
      </c>
      <c r="D12" s="745">
        <f>SUM(D6:D11)</f>
        <v>134873</v>
      </c>
      <c r="E12" s="504">
        <f>IFERROR(F11+D13,0)</f>
        <v>133989</v>
      </c>
      <c r="F12" s="505">
        <f t="shared" si="0"/>
        <v>133882</v>
      </c>
      <c r="G12" s="506"/>
      <c r="H12" s="507">
        <v>107</v>
      </c>
      <c r="I12" s="507"/>
      <c r="J12" s="508">
        <f>SUM(G12:I12)</f>
        <v>107</v>
      </c>
      <c r="K12" s="508">
        <f t="shared" si="52"/>
        <v>991</v>
      </c>
      <c r="L12" s="508">
        <f t="shared" si="1"/>
        <v>0.7</v>
      </c>
      <c r="M12" s="587">
        <f>IFERROR((J12*100)/E12,0)</f>
        <v>7.9857301718797818E-2</v>
      </c>
      <c r="N12" s="588">
        <f t="shared" si="2"/>
        <v>0.7</v>
      </c>
      <c r="O12" s="132">
        <f t="shared" si="53"/>
        <v>0.73476529772452603</v>
      </c>
      <c r="P12" s="686">
        <v>1600</v>
      </c>
      <c r="Q12" s="508">
        <f t="shared" si="3"/>
        <v>10</v>
      </c>
      <c r="R12" s="511">
        <f t="shared" si="4"/>
        <v>11.941278761689391</v>
      </c>
      <c r="S12" s="512">
        <f t="shared" si="54"/>
        <v>63.871862762436976</v>
      </c>
      <c r="T12" s="516">
        <f t="shared" si="5"/>
        <v>40</v>
      </c>
      <c r="U12" s="589">
        <f t="shared" si="132"/>
        <v>39</v>
      </c>
      <c r="V12" s="515">
        <f t="shared" si="55"/>
        <v>1</v>
      </c>
      <c r="W12" s="516">
        <f t="shared" si="6"/>
        <v>77</v>
      </c>
      <c r="X12" s="589">
        <f t="shared" si="86"/>
        <v>80</v>
      </c>
      <c r="Y12" s="515">
        <f t="shared" si="56"/>
        <v>-3</v>
      </c>
      <c r="Z12" s="534" t="s">
        <v>156</v>
      </c>
      <c r="AA12" s="502">
        <v>1</v>
      </c>
      <c r="AB12" s="690">
        <f t="shared" si="88"/>
        <v>0</v>
      </c>
      <c r="AC12" s="503"/>
      <c r="AD12" s="504">
        <f>IFERROR(AE11+AC12,0)</f>
        <v>55228</v>
      </c>
      <c r="AE12" s="505">
        <f t="shared" si="7"/>
        <v>55196</v>
      </c>
      <c r="AF12" s="506"/>
      <c r="AG12" s="507">
        <v>32</v>
      </c>
      <c r="AH12" s="507"/>
      <c r="AI12" s="508">
        <f>SUM(AF12:AH12)</f>
        <v>32</v>
      </c>
      <c r="AJ12" s="508">
        <f t="shared" ref="AJ12:AJ19" si="199">AJ11+AI12</f>
        <v>64</v>
      </c>
      <c r="AK12" s="691">
        <f t="shared" si="8"/>
        <v>0.7</v>
      </c>
      <c r="AL12" s="509">
        <f t="shared" si="58"/>
        <v>5.7941623814007387E-2</v>
      </c>
      <c r="AM12" s="692">
        <f t="shared" si="9"/>
        <v>0.7</v>
      </c>
      <c r="AN12" s="157">
        <f>IFERROR((AJ12*100)/$AC$19,0)</f>
        <v>4.1782002402465136E-2</v>
      </c>
      <c r="AO12" s="693">
        <v>600</v>
      </c>
      <c r="AP12" s="510">
        <f t="shared" si="10"/>
        <v>10</v>
      </c>
      <c r="AQ12" s="511">
        <f t="shared" si="59"/>
        <v>10.864054465126385</v>
      </c>
      <c r="AR12" s="512">
        <f t="shared" si="134"/>
        <v>90.487652004033365</v>
      </c>
      <c r="AS12" s="513">
        <f t="shared" si="11"/>
        <v>40</v>
      </c>
      <c r="AT12" s="514">
        <f t="shared" si="135"/>
        <v>39</v>
      </c>
      <c r="AU12" s="515">
        <f t="shared" si="163"/>
        <v>1</v>
      </c>
      <c r="AV12" s="516">
        <f t="shared" si="12"/>
        <v>77</v>
      </c>
      <c r="AW12" s="514">
        <f t="shared" si="89"/>
        <v>80</v>
      </c>
      <c r="AX12" s="515">
        <f t="shared" si="170"/>
        <v>-3</v>
      </c>
      <c r="AY12" s="534" t="s">
        <v>156</v>
      </c>
      <c r="AZ12" s="718">
        <v>1</v>
      </c>
      <c r="BA12" s="719">
        <f t="shared" si="91"/>
        <v>0</v>
      </c>
      <c r="BB12" s="720"/>
      <c r="BC12" s="721">
        <f t="shared" si="62"/>
        <v>0</v>
      </c>
      <c r="BD12" s="695">
        <f t="shared" si="13"/>
        <v>0</v>
      </c>
      <c r="BE12" s="722"/>
      <c r="BF12" s="723"/>
      <c r="BG12" s="723"/>
      <c r="BH12" s="510">
        <f>SUM(BE12:BG12)</f>
        <v>0</v>
      </c>
      <c r="BI12" s="510">
        <f t="shared" si="63"/>
        <v>0</v>
      </c>
      <c r="BJ12" s="724">
        <f t="shared" si="14"/>
        <v>0.7</v>
      </c>
      <c r="BK12" s="725">
        <f t="shared" si="92"/>
        <v>0</v>
      </c>
      <c r="BL12" s="726">
        <f t="shared" si="15"/>
        <v>0.7</v>
      </c>
      <c r="BM12" s="523">
        <f t="shared" si="16"/>
        <v>0</v>
      </c>
      <c r="BN12" s="727"/>
      <c r="BO12" s="510">
        <f t="shared" si="17"/>
        <v>10</v>
      </c>
      <c r="BP12" s="696">
        <f t="shared" si="93"/>
        <v>0</v>
      </c>
      <c r="BQ12" s="748">
        <f t="shared" si="137"/>
        <v>0</v>
      </c>
      <c r="BR12" s="513">
        <f t="shared" si="18"/>
        <v>40</v>
      </c>
      <c r="BS12" s="538">
        <f t="shared" si="138"/>
        <v>0</v>
      </c>
      <c r="BT12" s="728">
        <f t="shared" si="19"/>
        <v>40</v>
      </c>
      <c r="BU12" s="513">
        <f t="shared" si="20"/>
        <v>77</v>
      </c>
      <c r="BV12" s="538">
        <f t="shared" si="94"/>
        <v>0</v>
      </c>
      <c r="BW12" s="728">
        <f t="shared" si="171"/>
        <v>77</v>
      </c>
      <c r="BY12" s="197">
        <f>BY11+1</f>
        <v>31</v>
      </c>
      <c r="BZ12" s="8">
        <f t="shared" si="96"/>
        <v>0</v>
      </c>
      <c r="CA12" s="136"/>
      <c r="CB12" s="14">
        <f t="shared" si="172"/>
        <v>0</v>
      </c>
      <c r="CC12" s="53">
        <f>IFERROR(CB12-CG12,0)</f>
        <v>0</v>
      </c>
      <c r="CD12" s="421"/>
      <c r="CE12" s="426"/>
      <c r="CF12" s="426"/>
      <c r="CG12" s="32">
        <f>SUM(CD12:CF12)</f>
        <v>0</v>
      </c>
      <c r="CH12" s="32">
        <f t="shared" si="173"/>
        <v>0</v>
      </c>
      <c r="CI12" s="17">
        <f t="shared" si="21"/>
        <v>0.7</v>
      </c>
      <c r="CJ12" s="166">
        <f>IFERROR((CG12*1000)/CB12,0)</f>
        <v>0</v>
      </c>
      <c r="CK12" s="33">
        <f t="shared" si="22"/>
        <v>0.7</v>
      </c>
      <c r="CL12" s="156">
        <f t="shared" si="140"/>
        <v>0</v>
      </c>
      <c r="CM12" s="137"/>
      <c r="CN12" s="13">
        <f t="shared" si="23"/>
        <v>10</v>
      </c>
      <c r="CO12" s="54">
        <f t="shared" si="141"/>
        <v>0</v>
      </c>
      <c r="CP12" s="70">
        <f t="shared" si="98"/>
        <v>0</v>
      </c>
      <c r="CQ12" s="50">
        <f t="shared" si="24"/>
        <v>40</v>
      </c>
      <c r="CR12" s="103">
        <f t="shared" si="99"/>
        <v>0</v>
      </c>
      <c r="CS12" s="53">
        <f t="shared" si="66"/>
        <v>40</v>
      </c>
      <c r="CT12" s="12">
        <f t="shared" si="25"/>
        <v>77</v>
      </c>
      <c r="CU12" s="103">
        <f t="shared" si="100"/>
        <v>0</v>
      </c>
      <c r="CV12" s="53">
        <f t="shared" si="67"/>
        <v>77</v>
      </c>
      <c r="CX12" s="197">
        <f>CX11+1</f>
        <v>31</v>
      </c>
      <c r="CY12" s="8">
        <f t="shared" si="102"/>
        <v>0</v>
      </c>
      <c r="CZ12" s="136"/>
      <c r="DA12" s="14">
        <f t="shared" si="174"/>
        <v>0</v>
      </c>
      <c r="DB12" s="53">
        <f>IFERROR(DA12-DF12,0)</f>
        <v>0</v>
      </c>
      <c r="DC12" s="421"/>
      <c r="DD12" s="426"/>
      <c r="DE12" s="426"/>
      <c r="DF12" s="32">
        <f>SUM(DC12:DE12)</f>
        <v>0</v>
      </c>
      <c r="DG12" s="32">
        <f t="shared" si="175"/>
        <v>0</v>
      </c>
      <c r="DH12" s="17">
        <f t="shared" si="26"/>
        <v>0.7</v>
      </c>
      <c r="DI12" s="166">
        <f>IFERROR((DF12*1000)/DA12,0)</f>
        <v>0</v>
      </c>
      <c r="DJ12" s="33">
        <f t="shared" si="27"/>
        <v>0.7</v>
      </c>
      <c r="DK12" s="156">
        <f t="shared" si="177"/>
        <v>0</v>
      </c>
      <c r="DL12" s="137"/>
      <c r="DM12" s="13">
        <f t="shared" si="28"/>
        <v>10</v>
      </c>
      <c r="DN12" s="54">
        <f t="shared" si="144"/>
        <v>0</v>
      </c>
      <c r="DO12" s="70">
        <f t="shared" si="178"/>
        <v>0</v>
      </c>
      <c r="DP12" s="50">
        <f t="shared" si="29"/>
        <v>40</v>
      </c>
      <c r="DQ12" s="103">
        <f t="shared" si="105"/>
        <v>0</v>
      </c>
      <c r="DR12" s="53">
        <f t="shared" si="145"/>
        <v>40</v>
      </c>
      <c r="DS12" s="12">
        <f t="shared" si="30"/>
        <v>77</v>
      </c>
      <c r="DT12" s="103">
        <f t="shared" si="106"/>
        <v>0</v>
      </c>
      <c r="DU12" s="53">
        <f t="shared" si="164"/>
        <v>77</v>
      </c>
      <c r="DW12" s="197">
        <f>DW11+1</f>
        <v>31</v>
      </c>
      <c r="DX12" s="8">
        <f t="shared" si="108"/>
        <v>0</v>
      </c>
      <c r="DY12" s="136"/>
      <c r="DZ12" s="14">
        <f t="shared" si="179"/>
        <v>0</v>
      </c>
      <c r="EA12" s="53">
        <f>IFERROR(DZ12-EE12,0)</f>
        <v>0</v>
      </c>
      <c r="EB12" s="421"/>
      <c r="EC12" s="426"/>
      <c r="ED12" s="426"/>
      <c r="EE12" s="32">
        <f>SUM(EB12:ED12)</f>
        <v>0</v>
      </c>
      <c r="EF12" s="32">
        <f t="shared" si="180"/>
        <v>0</v>
      </c>
      <c r="EG12" s="17">
        <f t="shared" si="31"/>
        <v>0.7</v>
      </c>
      <c r="EH12" s="166">
        <f>IFERROR((EE12*1000)/DZ12,0)</f>
        <v>0</v>
      </c>
      <c r="EI12" s="33">
        <f t="shared" si="32"/>
        <v>0.7</v>
      </c>
      <c r="EJ12" s="156">
        <f t="shared" si="182"/>
        <v>0</v>
      </c>
      <c r="EK12" s="137"/>
      <c r="EL12" s="13">
        <f t="shared" si="33"/>
        <v>10</v>
      </c>
      <c r="EM12" s="54">
        <f t="shared" si="148"/>
        <v>0</v>
      </c>
      <c r="EN12" s="70">
        <f t="shared" si="183"/>
        <v>0</v>
      </c>
      <c r="EO12" s="50">
        <f t="shared" si="34"/>
        <v>40</v>
      </c>
      <c r="EP12" s="103">
        <f t="shared" si="111"/>
        <v>0</v>
      </c>
      <c r="EQ12" s="53">
        <f t="shared" si="149"/>
        <v>40</v>
      </c>
      <c r="ER12" s="12">
        <f t="shared" si="35"/>
        <v>77</v>
      </c>
      <c r="ES12" s="103">
        <f t="shared" si="112"/>
        <v>0</v>
      </c>
      <c r="ET12" s="53">
        <f t="shared" si="165"/>
        <v>77</v>
      </c>
      <c r="EV12" s="197">
        <f>EV11+1</f>
        <v>31</v>
      </c>
      <c r="EW12" s="8">
        <f t="shared" si="114"/>
        <v>0</v>
      </c>
      <c r="EX12" s="136"/>
      <c r="EY12" s="14">
        <f t="shared" si="184"/>
        <v>0</v>
      </c>
      <c r="EZ12" s="53">
        <f>IFERROR(EY12-FD12,0)</f>
        <v>0</v>
      </c>
      <c r="FA12" s="421"/>
      <c r="FB12" s="426"/>
      <c r="FC12" s="426"/>
      <c r="FD12" s="32">
        <f>SUM(FA12:FC12)</f>
        <v>0</v>
      </c>
      <c r="FE12" s="32">
        <f t="shared" si="185"/>
        <v>0</v>
      </c>
      <c r="FF12" s="17">
        <f t="shared" si="36"/>
        <v>0.7</v>
      </c>
      <c r="FG12" s="166">
        <f>IFERROR((FD12*1000)/EY12,0)</f>
        <v>0</v>
      </c>
      <c r="FH12" s="33">
        <f t="shared" si="37"/>
        <v>0.7</v>
      </c>
      <c r="FI12" s="156">
        <f t="shared" si="187"/>
        <v>0</v>
      </c>
      <c r="FJ12" s="137"/>
      <c r="FK12" s="13">
        <f t="shared" si="38"/>
        <v>10</v>
      </c>
      <c r="FL12" s="54">
        <f t="shared" si="152"/>
        <v>0</v>
      </c>
      <c r="FM12" s="70">
        <f t="shared" si="188"/>
        <v>0</v>
      </c>
      <c r="FN12" s="50">
        <f t="shared" si="39"/>
        <v>40</v>
      </c>
      <c r="FO12" s="103">
        <f t="shared" si="117"/>
        <v>0</v>
      </c>
      <c r="FP12" s="53">
        <f t="shared" si="153"/>
        <v>40</v>
      </c>
      <c r="FQ12" s="12">
        <f t="shared" si="40"/>
        <v>77</v>
      </c>
      <c r="FR12" s="103">
        <f t="shared" si="118"/>
        <v>0</v>
      </c>
      <c r="FS12" s="53">
        <f t="shared" si="166"/>
        <v>77</v>
      </c>
      <c r="FU12" s="197">
        <f>FU11+1</f>
        <v>31</v>
      </c>
      <c r="FV12" s="8">
        <f t="shared" si="120"/>
        <v>0</v>
      </c>
      <c r="FW12" s="136"/>
      <c r="FX12" s="14">
        <f t="shared" si="189"/>
        <v>0</v>
      </c>
      <c r="FY12" s="53">
        <f>IFERROR(FX12-GC12,0)</f>
        <v>0</v>
      </c>
      <c r="FZ12" s="421"/>
      <c r="GA12" s="426"/>
      <c r="GB12" s="426"/>
      <c r="GC12" s="32">
        <f>SUM(FZ12:GB12)</f>
        <v>0</v>
      </c>
      <c r="GD12" s="32">
        <f t="shared" si="190"/>
        <v>0</v>
      </c>
      <c r="GE12" s="17">
        <f t="shared" si="41"/>
        <v>0.7</v>
      </c>
      <c r="GF12" s="166">
        <f>IFERROR((GC12*1000)/FX12,0)</f>
        <v>0</v>
      </c>
      <c r="GG12" s="33">
        <f t="shared" si="42"/>
        <v>0.7</v>
      </c>
      <c r="GH12" s="156">
        <f t="shared" si="192"/>
        <v>0</v>
      </c>
      <c r="GI12" s="137"/>
      <c r="GJ12" s="13">
        <f t="shared" si="43"/>
        <v>10</v>
      </c>
      <c r="GK12" s="54">
        <f t="shared" si="156"/>
        <v>0</v>
      </c>
      <c r="GL12" s="70">
        <f t="shared" si="193"/>
        <v>0</v>
      </c>
      <c r="GM12" s="50">
        <f t="shared" si="44"/>
        <v>40</v>
      </c>
      <c r="GN12" s="103">
        <f t="shared" si="123"/>
        <v>0</v>
      </c>
      <c r="GO12" s="53">
        <f t="shared" si="157"/>
        <v>40</v>
      </c>
      <c r="GP12" s="12">
        <f t="shared" si="45"/>
        <v>77</v>
      </c>
      <c r="GQ12" s="103">
        <f t="shared" si="124"/>
        <v>0</v>
      </c>
      <c r="GR12" s="53">
        <f t="shared" si="167"/>
        <v>77</v>
      </c>
      <c r="GT12" s="197">
        <f>GT11+1</f>
        <v>31</v>
      </c>
      <c r="GU12" s="8">
        <f t="shared" si="126"/>
        <v>0</v>
      </c>
      <c r="GV12" s="136"/>
      <c r="GW12" s="14">
        <f t="shared" si="194"/>
        <v>0</v>
      </c>
      <c r="GX12" s="53">
        <f>IFERROR(GW12-HB12,0)</f>
        <v>0</v>
      </c>
      <c r="GY12" s="421"/>
      <c r="GZ12" s="426"/>
      <c r="HA12" s="426"/>
      <c r="HB12" s="32">
        <f>SUM(GY12:HA12)</f>
        <v>0</v>
      </c>
      <c r="HC12" s="32">
        <f t="shared" si="195"/>
        <v>0</v>
      </c>
      <c r="HD12" s="17">
        <f t="shared" si="46"/>
        <v>0.7</v>
      </c>
      <c r="HE12" s="166">
        <f>IFERROR((HB12*1000)/GW12,0)</f>
        <v>0</v>
      </c>
      <c r="HF12" s="33">
        <f t="shared" si="47"/>
        <v>0.7</v>
      </c>
      <c r="HG12" s="156">
        <f t="shared" si="197"/>
        <v>0</v>
      </c>
      <c r="HH12" s="137"/>
      <c r="HI12" s="13">
        <f t="shared" si="48"/>
        <v>10</v>
      </c>
      <c r="HJ12" s="54">
        <f t="shared" si="160"/>
        <v>0</v>
      </c>
      <c r="HK12" s="70">
        <f t="shared" si="198"/>
        <v>0</v>
      </c>
      <c r="HL12" s="50">
        <f t="shared" si="49"/>
        <v>40</v>
      </c>
      <c r="HM12" s="103">
        <f t="shared" si="129"/>
        <v>0</v>
      </c>
      <c r="HN12" s="53">
        <f t="shared" si="161"/>
        <v>40</v>
      </c>
      <c r="HO12" s="12">
        <f t="shared" si="50"/>
        <v>77</v>
      </c>
      <c r="HP12" s="103">
        <f t="shared" si="130"/>
        <v>0</v>
      </c>
      <c r="HQ12" s="53">
        <f t="shared" si="168"/>
        <v>77</v>
      </c>
    </row>
    <row r="13" spans="1:225" ht="17.25" thickBot="1" x14ac:dyDescent="0.3">
      <c r="A13" s="412"/>
      <c r="B13" s="584">
        <v>2</v>
      </c>
      <c r="C13" s="585">
        <v>1</v>
      </c>
      <c r="D13" s="396"/>
      <c r="E13" s="400">
        <f t="shared" si="51"/>
        <v>133882</v>
      </c>
      <c r="F13" s="561">
        <f>IFERROR(E13-J13,0)</f>
        <v>133724</v>
      </c>
      <c r="G13" s="398">
        <v>30</v>
      </c>
      <c r="H13" s="399">
        <v>128</v>
      </c>
      <c r="I13" s="399"/>
      <c r="J13" s="379">
        <f t="shared" ref="J13:J76" si="200">SUM(G13:I13)</f>
        <v>158</v>
      </c>
      <c r="K13" s="379">
        <f t="shared" si="52"/>
        <v>1149</v>
      </c>
      <c r="L13" s="379">
        <f t="shared" si="1"/>
        <v>0.7</v>
      </c>
      <c r="M13" s="42">
        <f t="shared" si="85"/>
        <v>0.11801437086389507</v>
      </c>
      <c r="N13" s="590">
        <f t="shared" si="2"/>
        <v>0.7</v>
      </c>
      <c r="O13" s="132">
        <f>IFERROR((K13*100)/$D$12,0)</f>
        <v>0.85191253994498528</v>
      </c>
      <c r="P13" s="687">
        <v>2000</v>
      </c>
      <c r="Q13" s="379">
        <f t="shared" si="3"/>
        <v>10</v>
      </c>
      <c r="R13" s="441">
        <f t="shared" si="4"/>
        <v>14.938527957455072</v>
      </c>
      <c r="S13" s="472">
        <f t="shared" ref="S13:S72" si="201">S12+R13</f>
        <v>78.810390719892041</v>
      </c>
      <c r="T13" s="386">
        <f t="shared" si="5"/>
        <v>70</v>
      </c>
      <c r="U13" s="399">
        <v>69</v>
      </c>
      <c r="V13" s="402">
        <f t="shared" si="55"/>
        <v>1</v>
      </c>
      <c r="W13" s="414">
        <f t="shared" si="6"/>
        <v>77</v>
      </c>
      <c r="X13" s="399">
        <v>63</v>
      </c>
      <c r="Y13" s="402">
        <f t="shared" si="56"/>
        <v>14</v>
      </c>
      <c r="Z13" s="487"/>
      <c r="AA13" s="394">
        <v>2</v>
      </c>
      <c r="AB13" s="395">
        <v>1</v>
      </c>
      <c r="AC13" s="396"/>
      <c r="AD13" s="400">
        <f t="shared" ref="AD13" si="202">IFERROR(AE12+AC13,0)</f>
        <v>55196</v>
      </c>
      <c r="AE13" s="446">
        <f t="shared" si="7"/>
        <v>55162</v>
      </c>
      <c r="AF13" s="398"/>
      <c r="AG13" s="399">
        <v>34</v>
      </c>
      <c r="AH13" s="399"/>
      <c r="AI13" s="379">
        <f t="shared" ref="AI13:AI76" si="203">SUM(AF13:AH13)</f>
        <v>34</v>
      </c>
      <c r="AJ13" s="379">
        <f t="shared" si="199"/>
        <v>98</v>
      </c>
      <c r="AK13" s="413">
        <f t="shared" si="8"/>
        <v>0.7</v>
      </c>
      <c r="AL13" s="42">
        <f t="shared" si="58"/>
        <v>6.1598666570041309E-2</v>
      </c>
      <c r="AM13" s="418">
        <f t="shared" si="9"/>
        <v>0.7</v>
      </c>
      <c r="AN13" s="157">
        <f t="shared" si="169"/>
        <v>6.3978691178774749E-2</v>
      </c>
      <c r="AO13" s="440">
        <v>2400</v>
      </c>
      <c r="AP13" s="379">
        <f t="shared" si="10"/>
        <v>10</v>
      </c>
      <c r="AQ13" s="481">
        <f t="shared" si="59"/>
        <v>43.481411696499741</v>
      </c>
      <c r="AR13" s="472">
        <f t="shared" si="134"/>
        <v>133.9690637005331</v>
      </c>
      <c r="AS13" s="386">
        <f t="shared" si="11"/>
        <v>70</v>
      </c>
      <c r="AT13" s="399">
        <v>63</v>
      </c>
      <c r="AU13" s="402">
        <f t="shared" si="163"/>
        <v>7</v>
      </c>
      <c r="AV13" s="414">
        <f t="shared" si="12"/>
        <v>77</v>
      </c>
      <c r="AW13" s="399">
        <v>47</v>
      </c>
      <c r="AX13" s="402">
        <f t="shared" si="170"/>
        <v>30</v>
      </c>
      <c r="AY13" s="393"/>
      <c r="AZ13" s="394">
        <v>2</v>
      </c>
      <c r="BA13" s="395">
        <v>1</v>
      </c>
      <c r="BB13" s="396"/>
      <c r="BC13" s="400">
        <f t="shared" si="62"/>
        <v>0</v>
      </c>
      <c r="BD13" s="446">
        <f t="shared" si="13"/>
        <v>0</v>
      </c>
      <c r="BE13" s="398"/>
      <c r="BF13" s="399"/>
      <c r="BG13" s="399"/>
      <c r="BH13" s="379">
        <f t="shared" ref="BH13:BH76" si="204">SUM(BE13:BG13)</f>
        <v>0</v>
      </c>
      <c r="BI13" s="379">
        <f t="shared" si="63"/>
        <v>0</v>
      </c>
      <c r="BJ13" s="413">
        <f t="shared" si="14"/>
        <v>0.7</v>
      </c>
      <c r="BK13" s="42">
        <f t="shared" si="92"/>
        <v>0</v>
      </c>
      <c r="BL13" s="418">
        <f t="shared" si="15"/>
        <v>0.7</v>
      </c>
      <c r="BM13" s="602">
        <f t="shared" si="16"/>
        <v>0</v>
      </c>
      <c r="BN13" s="440"/>
      <c r="BO13" s="379">
        <f t="shared" si="17"/>
        <v>10</v>
      </c>
      <c r="BP13" s="441">
        <f t="shared" si="93"/>
        <v>0</v>
      </c>
      <c r="BQ13" s="749">
        <f t="shared" si="137"/>
        <v>0</v>
      </c>
      <c r="BR13" s="386">
        <f t="shared" si="18"/>
        <v>70</v>
      </c>
      <c r="BS13" s="399"/>
      <c r="BT13" s="402">
        <f t="shared" si="19"/>
        <v>70</v>
      </c>
      <c r="BU13" s="414">
        <f t="shared" si="20"/>
        <v>77</v>
      </c>
      <c r="BV13" s="399"/>
      <c r="BW13" s="402">
        <f t="shared" si="171"/>
        <v>77</v>
      </c>
      <c r="BX13" s="412"/>
      <c r="BY13" s="394">
        <v>1</v>
      </c>
      <c r="BZ13" s="395">
        <v>1</v>
      </c>
      <c r="CA13" s="396"/>
      <c r="CB13" s="379">
        <f t="shared" si="172"/>
        <v>0</v>
      </c>
      <c r="CC13" s="397">
        <f t="shared" ref="CC13:CC76" si="205">IFERROR(CB13-CG13,0)</f>
        <v>0</v>
      </c>
      <c r="CD13" s="398"/>
      <c r="CE13" s="399"/>
      <c r="CF13" s="399"/>
      <c r="CG13" s="379">
        <f t="shared" ref="CG13:CG76" si="206">SUM(CD13:CF13)</f>
        <v>0</v>
      </c>
      <c r="CH13" s="379">
        <f t="shared" si="173"/>
        <v>0</v>
      </c>
      <c r="CI13" s="413">
        <f t="shared" si="21"/>
        <v>0.7</v>
      </c>
      <c r="CJ13" s="429">
        <f t="shared" si="97"/>
        <v>0</v>
      </c>
      <c r="CK13" s="418">
        <f t="shared" si="22"/>
        <v>0.7</v>
      </c>
      <c r="CL13" s="422">
        <f t="shared" si="140"/>
        <v>0</v>
      </c>
      <c r="CM13" s="398"/>
      <c r="CN13" s="379">
        <f t="shared" si="23"/>
        <v>10</v>
      </c>
      <c r="CO13" s="430">
        <f t="shared" si="141"/>
        <v>0</v>
      </c>
      <c r="CP13" s="401">
        <f t="shared" si="98"/>
        <v>0</v>
      </c>
      <c r="CQ13" s="386">
        <f t="shared" si="24"/>
        <v>70</v>
      </c>
      <c r="CR13" s="399"/>
      <c r="CS13" s="402">
        <f t="shared" si="66"/>
        <v>70</v>
      </c>
      <c r="CT13" s="386">
        <f t="shared" si="25"/>
        <v>77</v>
      </c>
      <c r="CU13" s="399"/>
      <c r="CV13" s="402">
        <f t="shared" si="67"/>
        <v>77</v>
      </c>
      <c r="CX13" s="394">
        <v>1</v>
      </c>
      <c r="CY13" s="395">
        <v>1</v>
      </c>
      <c r="CZ13" s="396"/>
      <c r="DA13" s="379">
        <f t="shared" si="174"/>
        <v>0</v>
      </c>
      <c r="DB13" s="397">
        <f t="shared" ref="DB13:DB14" si="207">IFERROR(DA13-DF13,0)</f>
        <v>0</v>
      </c>
      <c r="DC13" s="398"/>
      <c r="DD13" s="399"/>
      <c r="DE13" s="399"/>
      <c r="DF13" s="379">
        <f t="shared" ref="DF13:DF76" si="208">SUM(DC13:DE13)</f>
        <v>0</v>
      </c>
      <c r="DG13" s="379">
        <f t="shared" si="175"/>
        <v>0</v>
      </c>
      <c r="DH13" s="413">
        <f t="shared" si="26"/>
        <v>0.7</v>
      </c>
      <c r="DI13" s="429">
        <f t="shared" ref="DI13:DI76" si="209">IFERROR((DF13*1000)/DA13,0)</f>
        <v>0</v>
      </c>
      <c r="DJ13" s="418">
        <f t="shared" si="27"/>
        <v>0.7</v>
      </c>
      <c r="DK13" s="422">
        <f t="shared" si="177"/>
        <v>0</v>
      </c>
      <c r="DL13" s="398"/>
      <c r="DM13" s="379">
        <f t="shared" si="28"/>
        <v>10</v>
      </c>
      <c r="DN13" s="430">
        <f t="shared" si="144"/>
        <v>0</v>
      </c>
      <c r="DO13" s="401">
        <f t="shared" si="178"/>
        <v>0</v>
      </c>
      <c r="DP13" s="386">
        <f t="shared" si="29"/>
        <v>70</v>
      </c>
      <c r="DQ13" s="399"/>
      <c r="DR13" s="402">
        <f t="shared" si="145"/>
        <v>70</v>
      </c>
      <c r="DS13" s="386">
        <f t="shared" si="30"/>
        <v>77</v>
      </c>
      <c r="DT13" s="399"/>
      <c r="DU13" s="402">
        <f t="shared" si="164"/>
        <v>77</v>
      </c>
      <c r="DW13" s="394">
        <v>1</v>
      </c>
      <c r="DX13" s="395">
        <v>1</v>
      </c>
      <c r="DY13" s="396"/>
      <c r="DZ13" s="379">
        <f t="shared" si="179"/>
        <v>0</v>
      </c>
      <c r="EA13" s="397">
        <f t="shared" ref="EA13:EA14" si="210">IFERROR(DZ13-EE13,0)</f>
        <v>0</v>
      </c>
      <c r="EB13" s="398"/>
      <c r="EC13" s="399"/>
      <c r="ED13" s="399"/>
      <c r="EE13" s="379">
        <f t="shared" ref="EE13:EE76" si="211">SUM(EB13:ED13)</f>
        <v>0</v>
      </c>
      <c r="EF13" s="379">
        <f t="shared" si="180"/>
        <v>0</v>
      </c>
      <c r="EG13" s="413">
        <f t="shared" si="31"/>
        <v>0.7</v>
      </c>
      <c r="EH13" s="429">
        <f t="shared" ref="EH13:EH76" si="212">IFERROR((EE13*1000)/DZ13,0)</f>
        <v>0</v>
      </c>
      <c r="EI13" s="418">
        <f t="shared" si="32"/>
        <v>0.7</v>
      </c>
      <c r="EJ13" s="422">
        <f t="shared" si="182"/>
        <v>0</v>
      </c>
      <c r="EK13" s="398"/>
      <c r="EL13" s="379">
        <f t="shared" si="33"/>
        <v>10</v>
      </c>
      <c r="EM13" s="430">
        <f t="shared" si="148"/>
        <v>0</v>
      </c>
      <c r="EN13" s="401">
        <f t="shared" si="183"/>
        <v>0</v>
      </c>
      <c r="EO13" s="386">
        <f t="shared" si="34"/>
        <v>70</v>
      </c>
      <c r="EP13" s="399"/>
      <c r="EQ13" s="402">
        <f t="shared" si="149"/>
        <v>70</v>
      </c>
      <c r="ER13" s="386">
        <f t="shared" si="35"/>
        <v>77</v>
      </c>
      <c r="ES13" s="399"/>
      <c r="ET13" s="402">
        <f t="shared" si="165"/>
        <v>77</v>
      </c>
      <c r="EV13" s="394">
        <v>1</v>
      </c>
      <c r="EW13" s="395">
        <v>1</v>
      </c>
      <c r="EX13" s="396"/>
      <c r="EY13" s="379">
        <f t="shared" si="184"/>
        <v>0</v>
      </c>
      <c r="EZ13" s="397">
        <f t="shared" ref="EZ13:EZ14" si="213">IFERROR(EY13-FD13,0)</f>
        <v>0</v>
      </c>
      <c r="FA13" s="398"/>
      <c r="FB13" s="399"/>
      <c r="FC13" s="399"/>
      <c r="FD13" s="379">
        <f t="shared" ref="FD13:FD76" si="214">SUM(FA13:FC13)</f>
        <v>0</v>
      </c>
      <c r="FE13" s="379">
        <f t="shared" si="185"/>
        <v>0</v>
      </c>
      <c r="FF13" s="413">
        <f t="shared" si="36"/>
        <v>0.7</v>
      </c>
      <c r="FG13" s="429">
        <f t="shared" ref="FG13:FG76" si="215">IFERROR((FD13*1000)/EY13,0)</f>
        <v>0</v>
      </c>
      <c r="FH13" s="418">
        <f t="shared" si="37"/>
        <v>0.7</v>
      </c>
      <c r="FI13" s="422">
        <f t="shared" si="187"/>
        <v>0</v>
      </c>
      <c r="FJ13" s="398"/>
      <c r="FK13" s="379">
        <f t="shared" si="38"/>
        <v>10</v>
      </c>
      <c r="FL13" s="430">
        <f t="shared" si="152"/>
        <v>0</v>
      </c>
      <c r="FM13" s="401">
        <f t="shared" si="188"/>
        <v>0</v>
      </c>
      <c r="FN13" s="386">
        <f t="shared" si="39"/>
        <v>70</v>
      </c>
      <c r="FO13" s="399"/>
      <c r="FP13" s="402">
        <f t="shared" si="153"/>
        <v>70</v>
      </c>
      <c r="FQ13" s="386">
        <f t="shared" si="40"/>
        <v>77</v>
      </c>
      <c r="FR13" s="399"/>
      <c r="FS13" s="402">
        <f t="shared" si="166"/>
        <v>77</v>
      </c>
      <c r="FU13" s="394">
        <v>1</v>
      </c>
      <c r="FV13" s="395">
        <v>1</v>
      </c>
      <c r="FW13" s="396"/>
      <c r="FX13" s="379">
        <f t="shared" si="189"/>
        <v>0</v>
      </c>
      <c r="FY13" s="397">
        <f t="shared" ref="FY13:FY14" si="216">IFERROR(FX13-GC13,0)</f>
        <v>0</v>
      </c>
      <c r="FZ13" s="398"/>
      <c r="GA13" s="399"/>
      <c r="GB13" s="399"/>
      <c r="GC13" s="379">
        <f t="shared" ref="GC13:GC76" si="217">SUM(FZ13:GB13)</f>
        <v>0</v>
      </c>
      <c r="GD13" s="379">
        <f t="shared" si="190"/>
        <v>0</v>
      </c>
      <c r="GE13" s="413">
        <f t="shared" si="41"/>
        <v>0.7</v>
      </c>
      <c r="GF13" s="429">
        <f t="shared" ref="GF13:GF76" si="218">IFERROR((GC13*1000)/FX13,0)</f>
        <v>0</v>
      </c>
      <c r="GG13" s="418">
        <f t="shared" si="42"/>
        <v>0.7</v>
      </c>
      <c r="GH13" s="422">
        <f t="shared" si="192"/>
        <v>0</v>
      </c>
      <c r="GI13" s="398"/>
      <c r="GJ13" s="379">
        <f t="shared" si="43"/>
        <v>10</v>
      </c>
      <c r="GK13" s="430">
        <f t="shared" si="156"/>
        <v>0</v>
      </c>
      <c r="GL13" s="401">
        <f t="shared" si="193"/>
        <v>0</v>
      </c>
      <c r="GM13" s="386">
        <f t="shared" si="44"/>
        <v>70</v>
      </c>
      <c r="GN13" s="399"/>
      <c r="GO13" s="402">
        <f t="shared" si="157"/>
        <v>70</v>
      </c>
      <c r="GP13" s="386">
        <f t="shared" si="45"/>
        <v>77</v>
      </c>
      <c r="GQ13" s="399"/>
      <c r="GR13" s="402">
        <f t="shared" si="167"/>
        <v>77</v>
      </c>
      <c r="GT13" s="394">
        <v>1</v>
      </c>
      <c r="GU13" s="395">
        <v>1</v>
      </c>
      <c r="GV13" s="396"/>
      <c r="GW13" s="379">
        <f t="shared" si="194"/>
        <v>0</v>
      </c>
      <c r="GX13" s="397">
        <f t="shared" ref="GX13:GX14" si="219">IFERROR(GW13-HB13,0)</f>
        <v>0</v>
      </c>
      <c r="GY13" s="398"/>
      <c r="GZ13" s="399"/>
      <c r="HA13" s="399"/>
      <c r="HB13" s="379">
        <f t="shared" ref="HB13:HB76" si="220">SUM(GY13:HA13)</f>
        <v>0</v>
      </c>
      <c r="HC13" s="379">
        <f t="shared" si="195"/>
        <v>0</v>
      </c>
      <c r="HD13" s="413">
        <f t="shared" si="46"/>
        <v>0.7</v>
      </c>
      <c r="HE13" s="429">
        <f t="shared" ref="HE13:HE76" si="221">IFERROR((HB13*1000)/GW13,0)</f>
        <v>0</v>
      </c>
      <c r="HF13" s="418">
        <f t="shared" si="47"/>
        <v>0.7</v>
      </c>
      <c r="HG13" s="422">
        <f t="shared" si="197"/>
        <v>0</v>
      </c>
      <c r="HH13" s="398"/>
      <c r="HI13" s="379">
        <f t="shared" si="48"/>
        <v>10</v>
      </c>
      <c r="HJ13" s="430">
        <f t="shared" si="160"/>
        <v>0</v>
      </c>
      <c r="HK13" s="401">
        <f t="shared" si="198"/>
        <v>0</v>
      </c>
      <c r="HL13" s="386">
        <f t="shared" si="49"/>
        <v>70</v>
      </c>
      <c r="HM13" s="399"/>
      <c r="HN13" s="402">
        <f t="shared" si="161"/>
        <v>70</v>
      </c>
      <c r="HO13" s="386">
        <f t="shared" si="50"/>
        <v>77</v>
      </c>
      <c r="HP13" s="399"/>
      <c r="HQ13" s="402">
        <f t="shared" si="168"/>
        <v>77</v>
      </c>
    </row>
    <row r="14" spans="1:225" ht="17.25" thickBot="1" x14ac:dyDescent="0.3">
      <c r="B14" s="120">
        <f t="shared" ref="B14:B19" si="222">B13+1</f>
        <v>3</v>
      </c>
      <c r="C14" s="570">
        <f>C13</f>
        <v>1</v>
      </c>
      <c r="D14" s="133"/>
      <c r="E14" s="408">
        <f t="shared" ref="E14:E77" si="223">IFERROR(F13+D14,0)</f>
        <v>133724</v>
      </c>
      <c r="F14" s="562">
        <f>IFERROR(E14-J14,0)</f>
        <v>133326</v>
      </c>
      <c r="G14" s="134"/>
      <c r="H14" s="135">
        <v>398</v>
      </c>
      <c r="I14" s="135"/>
      <c r="J14" s="14">
        <f t="shared" si="200"/>
        <v>398</v>
      </c>
      <c r="K14" s="14">
        <f t="shared" si="52"/>
        <v>1547</v>
      </c>
      <c r="L14" s="14">
        <f t="shared" si="1"/>
        <v>0.7</v>
      </c>
      <c r="M14" s="47">
        <f t="shared" si="85"/>
        <v>0.29762795010618887</v>
      </c>
      <c r="N14" s="35">
        <f t="shared" si="2"/>
        <v>0.7</v>
      </c>
      <c r="O14" s="132">
        <f t="shared" si="53"/>
        <v>1.1470049602218384</v>
      </c>
      <c r="P14" s="142">
        <v>1600</v>
      </c>
      <c r="Q14" s="14">
        <f t="shared" si="3"/>
        <v>10</v>
      </c>
      <c r="R14" s="442">
        <f t="shared" si="4"/>
        <v>11.964942717836738</v>
      </c>
      <c r="S14" s="470">
        <f t="shared" si="201"/>
        <v>90.775333437728776</v>
      </c>
      <c r="T14" s="51">
        <f t="shared" si="5"/>
        <v>70</v>
      </c>
      <c r="U14" s="103">
        <f>U13</f>
        <v>69</v>
      </c>
      <c r="V14" s="71">
        <f t="shared" si="55"/>
        <v>1</v>
      </c>
      <c r="W14" s="50">
        <f t="shared" si="6"/>
        <v>77</v>
      </c>
      <c r="X14" s="103">
        <f>X13</f>
        <v>63</v>
      </c>
      <c r="Y14" s="71">
        <f t="shared" si="56"/>
        <v>14</v>
      </c>
      <c r="Z14" s="487"/>
      <c r="AA14" s="120">
        <f t="shared" ref="AA14:AA19" si="224">AA13+1</f>
        <v>3</v>
      </c>
      <c r="AB14" s="7">
        <f>AB13</f>
        <v>1</v>
      </c>
      <c r="AC14" s="229"/>
      <c r="AD14" s="48">
        <f>IFERROR(AE13+AC14,0)</f>
        <v>55162</v>
      </c>
      <c r="AE14" s="196">
        <f t="shared" si="7"/>
        <v>55120</v>
      </c>
      <c r="AF14" s="134"/>
      <c r="AG14" s="135">
        <v>42</v>
      </c>
      <c r="AH14" s="135"/>
      <c r="AI14" s="14">
        <f t="shared" si="203"/>
        <v>42</v>
      </c>
      <c r="AJ14" s="14">
        <f t="shared" si="199"/>
        <v>140</v>
      </c>
      <c r="AK14" s="14">
        <f t="shared" si="8"/>
        <v>0.7</v>
      </c>
      <c r="AL14" s="231">
        <f t="shared" si="58"/>
        <v>7.6139371306334067E-2</v>
      </c>
      <c r="AM14" s="35">
        <f t="shared" si="9"/>
        <v>0.7</v>
      </c>
      <c r="AN14" s="157">
        <f t="shared" si="169"/>
        <v>9.1398130255392493E-2</v>
      </c>
      <c r="AO14" s="134">
        <v>800</v>
      </c>
      <c r="AP14" s="14">
        <f t="shared" si="10"/>
        <v>10</v>
      </c>
      <c r="AQ14" s="482">
        <f t="shared" si="59"/>
        <v>14.502737391682679</v>
      </c>
      <c r="AR14" s="470">
        <f t="shared" si="134"/>
        <v>148.47180109221577</v>
      </c>
      <c r="AS14" s="51">
        <f t="shared" si="11"/>
        <v>70</v>
      </c>
      <c r="AT14" s="103">
        <f>AT13</f>
        <v>63</v>
      </c>
      <c r="AU14" s="71">
        <f t="shared" si="163"/>
        <v>7</v>
      </c>
      <c r="AV14" s="50">
        <f t="shared" si="12"/>
        <v>77</v>
      </c>
      <c r="AW14" s="103">
        <f>AW13</f>
        <v>47</v>
      </c>
      <c r="AX14" s="71">
        <f t="shared" si="170"/>
        <v>30</v>
      </c>
      <c r="AZ14" s="120">
        <f t="shared" ref="AZ14:AZ19" si="225">AZ13+1</f>
        <v>3</v>
      </c>
      <c r="BA14" s="7">
        <f>BA13</f>
        <v>1</v>
      </c>
      <c r="BB14" s="133"/>
      <c r="BC14" s="48">
        <f t="shared" si="62"/>
        <v>0</v>
      </c>
      <c r="BD14" s="196">
        <f t="shared" si="13"/>
        <v>0</v>
      </c>
      <c r="BE14" s="134"/>
      <c r="BF14" s="135"/>
      <c r="BG14" s="135"/>
      <c r="BH14" s="14">
        <f t="shared" si="204"/>
        <v>0</v>
      </c>
      <c r="BI14" s="14">
        <f t="shared" si="63"/>
        <v>0</v>
      </c>
      <c r="BJ14" s="14">
        <f t="shared" si="14"/>
        <v>0.7</v>
      </c>
      <c r="BK14" s="47">
        <f t="shared" si="92"/>
        <v>0</v>
      </c>
      <c r="BL14" s="35">
        <f t="shared" si="15"/>
        <v>0.7</v>
      </c>
      <c r="BM14" s="157">
        <f t="shared" si="16"/>
        <v>0</v>
      </c>
      <c r="BN14" s="134"/>
      <c r="BO14" s="14">
        <f t="shared" si="17"/>
        <v>10</v>
      </c>
      <c r="BP14" s="442">
        <f t="shared" si="93"/>
        <v>0</v>
      </c>
      <c r="BQ14" s="747">
        <f t="shared" si="137"/>
        <v>0</v>
      </c>
      <c r="BR14" s="51">
        <f t="shared" si="18"/>
        <v>70</v>
      </c>
      <c r="BS14" s="103">
        <f>BS13</f>
        <v>0</v>
      </c>
      <c r="BT14" s="71">
        <f t="shared" si="19"/>
        <v>70</v>
      </c>
      <c r="BU14" s="50">
        <f t="shared" si="20"/>
        <v>77</v>
      </c>
      <c r="BV14" s="103">
        <f>BV13</f>
        <v>0</v>
      </c>
      <c r="BW14" s="71">
        <f t="shared" si="171"/>
        <v>77</v>
      </c>
      <c r="BY14" s="120">
        <f>BY13+1</f>
        <v>2</v>
      </c>
      <c r="BZ14" s="7">
        <f>BZ13</f>
        <v>1</v>
      </c>
      <c r="CA14" s="133"/>
      <c r="CB14" s="14">
        <f t="shared" si="172"/>
        <v>0</v>
      </c>
      <c r="CC14" s="59">
        <f t="shared" si="205"/>
        <v>0</v>
      </c>
      <c r="CD14" s="405"/>
      <c r="CE14" s="406"/>
      <c r="CF14" s="406"/>
      <c r="CG14" s="14">
        <f t="shared" si="206"/>
        <v>0</v>
      </c>
      <c r="CH14" s="14">
        <f t="shared" si="173"/>
        <v>0</v>
      </c>
      <c r="CI14" s="14">
        <f t="shared" si="21"/>
        <v>0.7</v>
      </c>
      <c r="CJ14" s="47">
        <f t="shared" si="97"/>
        <v>0</v>
      </c>
      <c r="CK14" s="35">
        <f t="shared" si="22"/>
        <v>0.7</v>
      </c>
      <c r="CL14" s="157">
        <f t="shared" si="140"/>
        <v>0</v>
      </c>
      <c r="CM14" s="134"/>
      <c r="CN14" s="14">
        <f t="shared" si="23"/>
        <v>10</v>
      </c>
      <c r="CO14" s="48">
        <f t="shared" si="141"/>
        <v>0</v>
      </c>
      <c r="CP14" s="68">
        <f t="shared" si="98"/>
        <v>0</v>
      </c>
      <c r="CQ14" s="51">
        <f t="shared" si="24"/>
        <v>70</v>
      </c>
      <c r="CR14" s="103">
        <f>CR13</f>
        <v>0</v>
      </c>
      <c r="CS14" s="46">
        <f t="shared" si="66"/>
        <v>70</v>
      </c>
      <c r="CT14" s="51">
        <f t="shared" si="25"/>
        <v>77</v>
      </c>
      <c r="CU14" s="112">
        <f>CU13</f>
        <v>0</v>
      </c>
      <c r="CV14" s="71">
        <f t="shared" si="67"/>
        <v>77</v>
      </c>
      <c r="CX14" s="120">
        <f>CX13+1</f>
        <v>2</v>
      </c>
      <c r="CY14" s="7">
        <f>CY13</f>
        <v>1</v>
      </c>
      <c r="CZ14" s="133"/>
      <c r="DA14" s="14">
        <f t="shared" si="174"/>
        <v>0</v>
      </c>
      <c r="DB14" s="59">
        <f t="shared" si="207"/>
        <v>0</v>
      </c>
      <c r="DC14" s="405"/>
      <c r="DD14" s="406"/>
      <c r="DE14" s="406"/>
      <c r="DF14" s="14">
        <f t="shared" si="208"/>
        <v>0</v>
      </c>
      <c r="DG14" s="14">
        <f t="shared" si="175"/>
        <v>0</v>
      </c>
      <c r="DH14" s="14">
        <f t="shared" si="26"/>
        <v>0.7</v>
      </c>
      <c r="DI14" s="47">
        <f t="shared" si="209"/>
        <v>0</v>
      </c>
      <c r="DJ14" s="35">
        <f t="shared" si="27"/>
        <v>0.7</v>
      </c>
      <c r="DK14" s="157">
        <f t="shared" si="177"/>
        <v>0</v>
      </c>
      <c r="DL14" s="134"/>
      <c r="DM14" s="14">
        <f t="shared" si="28"/>
        <v>10</v>
      </c>
      <c r="DN14" s="48">
        <f t="shared" si="144"/>
        <v>0</v>
      </c>
      <c r="DO14" s="68">
        <f t="shared" si="178"/>
        <v>0</v>
      </c>
      <c r="DP14" s="51">
        <f t="shared" si="29"/>
        <v>70</v>
      </c>
      <c r="DQ14" s="103">
        <f>DQ13</f>
        <v>0</v>
      </c>
      <c r="DR14" s="46">
        <f t="shared" si="145"/>
        <v>70</v>
      </c>
      <c r="DS14" s="51">
        <f t="shared" si="30"/>
        <v>77</v>
      </c>
      <c r="DT14" s="112">
        <f>DT13</f>
        <v>0</v>
      </c>
      <c r="DU14" s="71">
        <f t="shared" si="164"/>
        <v>77</v>
      </c>
      <c r="DW14" s="120">
        <f>DW13+1</f>
        <v>2</v>
      </c>
      <c r="DX14" s="7">
        <f>DX13</f>
        <v>1</v>
      </c>
      <c r="DY14" s="133"/>
      <c r="DZ14" s="14">
        <f t="shared" si="179"/>
        <v>0</v>
      </c>
      <c r="EA14" s="59">
        <f t="shared" si="210"/>
        <v>0</v>
      </c>
      <c r="EB14" s="405"/>
      <c r="EC14" s="406"/>
      <c r="ED14" s="406"/>
      <c r="EE14" s="14">
        <f t="shared" si="211"/>
        <v>0</v>
      </c>
      <c r="EF14" s="14">
        <f t="shared" si="180"/>
        <v>0</v>
      </c>
      <c r="EG14" s="14">
        <f t="shared" si="31"/>
        <v>0.7</v>
      </c>
      <c r="EH14" s="47">
        <f t="shared" si="212"/>
        <v>0</v>
      </c>
      <c r="EI14" s="35">
        <f t="shared" si="32"/>
        <v>0.7</v>
      </c>
      <c r="EJ14" s="157">
        <f t="shared" si="182"/>
        <v>0</v>
      </c>
      <c r="EK14" s="134"/>
      <c r="EL14" s="14">
        <f t="shared" si="33"/>
        <v>10</v>
      </c>
      <c r="EM14" s="48">
        <f t="shared" si="148"/>
        <v>0</v>
      </c>
      <c r="EN14" s="68">
        <f t="shared" si="183"/>
        <v>0</v>
      </c>
      <c r="EO14" s="51">
        <f t="shared" si="34"/>
        <v>70</v>
      </c>
      <c r="EP14" s="103">
        <f>EP13</f>
        <v>0</v>
      </c>
      <c r="EQ14" s="46">
        <f t="shared" si="149"/>
        <v>70</v>
      </c>
      <c r="ER14" s="51">
        <f t="shared" si="35"/>
        <v>77</v>
      </c>
      <c r="ES14" s="112">
        <f>ES13</f>
        <v>0</v>
      </c>
      <c r="ET14" s="71">
        <f t="shared" si="165"/>
        <v>77</v>
      </c>
      <c r="EV14" s="120">
        <f>EV13+1</f>
        <v>2</v>
      </c>
      <c r="EW14" s="7">
        <f>EW13</f>
        <v>1</v>
      </c>
      <c r="EX14" s="133"/>
      <c r="EY14" s="14">
        <f t="shared" si="184"/>
        <v>0</v>
      </c>
      <c r="EZ14" s="59">
        <f t="shared" si="213"/>
        <v>0</v>
      </c>
      <c r="FA14" s="405"/>
      <c r="FB14" s="406"/>
      <c r="FC14" s="406"/>
      <c r="FD14" s="14">
        <f t="shared" si="214"/>
        <v>0</v>
      </c>
      <c r="FE14" s="14">
        <f t="shared" si="185"/>
        <v>0</v>
      </c>
      <c r="FF14" s="14">
        <f t="shared" si="36"/>
        <v>0.7</v>
      </c>
      <c r="FG14" s="47">
        <f t="shared" si="215"/>
        <v>0</v>
      </c>
      <c r="FH14" s="35">
        <f t="shared" si="37"/>
        <v>0.7</v>
      </c>
      <c r="FI14" s="157">
        <f t="shared" si="187"/>
        <v>0</v>
      </c>
      <c r="FJ14" s="134"/>
      <c r="FK14" s="14">
        <f t="shared" si="38"/>
        <v>10</v>
      </c>
      <c r="FL14" s="48">
        <f t="shared" si="152"/>
        <v>0</v>
      </c>
      <c r="FM14" s="68">
        <f t="shared" si="188"/>
        <v>0</v>
      </c>
      <c r="FN14" s="51">
        <f t="shared" si="39"/>
        <v>70</v>
      </c>
      <c r="FO14" s="103">
        <f>FO13</f>
        <v>0</v>
      </c>
      <c r="FP14" s="46">
        <f t="shared" si="153"/>
        <v>70</v>
      </c>
      <c r="FQ14" s="51">
        <f t="shared" si="40"/>
        <v>77</v>
      </c>
      <c r="FR14" s="112">
        <f>FR13</f>
        <v>0</v>
      </c>
      <c r="FS14" s="71">
        <f t="shared" si="166"/>
        <v>77</v>
      </c>
      <c r="FU14" s="120">
        <f>FU13+1</f>
        <v>2</v>
      </c>
      <c r="FV14" s="7">
        <f>FV13</f>
        <v>1</v>
      </c>
      <c r="FW14" s="133"/>
      <c r="FX14" s="14">
        <f t="shared" si="189"/>
        <v>0</v>
      </c>
      <c r="FY14" s="59">
        <f t="shared" si="216"/>
        <v>0</v>
      </c>
      <c r="FZ14" s="405"/>
      <c r="GA14" s="406"/>
      <c r="GB14" s="406"/>
      <c r="GC14" s="14">
        <f t="shared" si="217"/>
        <v>0</v>
      </c>
      <c r="GD14" s="14">
        <f t="shared" si="190"/>
        <v>0</v>
      </c>
      <c r="GE14" s="14">
        <f t="shared" si="41"/>
        <v>0.7</v>
      </c>
      <c r="GF14" s="47">
        <f t="shared" si="218"/>
        <v>0</v>
      </c>
      <c r="GG14" s="35">
        <f t="shared" si="42"/>
        <v>0.7</v>
      </c>
      <c r="GH14" s="157">
        <f t="shared" si="192"/>
        <v>0</v>
      </c>
      <c r="GI14" s="134"/>
      <c r="GJ14" s="14">
        <f t="shared" si="43"/>
        <v>10</v>
      </c>
      <c r="GK14" s="48">
        <f t="shared" si="156"/>
        <v>0</v>
      </c>
      <c r="GL14" s="68">
        <f t="shared" si="193"/>
        <v>0</v>
      </c>
      <c r="GM14" s="51">
        <f t="shared" si="44"/>
        <v>70</v>
      </c>
      <c r="GN14" s="103">
        <f>GN13</f>
        <v>0</v>
      </c>
      <c r="GO14" s="46">
        <f t="shared" si="157"/>
        <v>70</v>
      </c>
      <c r="GP14" s="51">
        <f t="shared" si="45"/>
        <v>77</v>
      </c>
      <c r="GQ14" s="112">
        <f>GQ13</f>
        <v>0</v>
      </c>
      <c r="GR14" s="71">
        <f t="shared" si="167"/>
        <v>77</v>
      </c>
      <c r="GT14" s="120">
        <f>GT13+1</f>
        <v>2</v>
      </c>
      <c r="GU14" s="7">
        <f>GU13</f>
        <v>1</v>
      </c>
      <c r="GV14" s="133"/>
      <c r="GW14" s="14">
        <f t="shared" si="194"/>
        <v>0</v>
      </c>
      <c r="GX14" s="59">
        <f t="shared" si="219"/>
        <v>0</v>
      </c>
      <c r="GY14" s="405"/>
      <c r="GZ14" s="406"/>
      <c r="HA14" s="406"/>
      <c r="HB14" s="14">
        <f t="shared" si="220"/>
        <v>0</v>
      </c>
      <c r="HC14" s="14">
        <f t="shared" si="195"/>
        <v>0</v>
      </c>
      <c r="HD14" s="14">
        <f t="shared" si="46"/>
        <v>0.7</v>
      </c>
      <c r="HE14" s="47">
        <f t="shared" si="221"/>
        <v>0</v>
      </c>
      <c r="HF14" s="35">
        <f t="shared" si="47"/>
        <v>0.7</v>
      </c>
      <c r="HG14" s="157">
        <f t="shared" si="197"/>
        <v>0</v>
      </c>
      <c r="HH14" s="134"/>
      <c r="HI14" s="14">
        <f t="shared" si="48"/>
        <v>10</v>
      </c>
      <c r="HJ14" s="48">
        <f t="shared" si="160"/>
        <v>0</v>
      </c>
      <c r="HK14" s="68">
        <f t="shared" si="198"/>
        <v>0</v>
      </c>
      <c r="HL14" s="51">
        <f t="shared" si="49"/>
        <v>70</v>
      </c>
      <c r="HM14" s="103">
        <f>HM13</f>
        <v>0</v>
      </c>
      <c r="HN14" s="46">
        <f t="shared" si="161"/>
        <v>70</v>
      </c>
      <c r="HO14" s="51">
        <f t="shared" si="50"/>
        <v>77</v>
      </c>
      <c r="HP14" s="112">
        <f>HP13</f>
        <v>0</v>
      </c>
      <c r="HQ14" s="71">
        <f t="shared" si="168"/>
        <v>77</v>
      </c>
    </row>
    <row r="15" spans="1:225" ht="17.25" thickBot="1" x14ac:dyDescent="0.3">
      <c r="B15" s="120">
        <f t="shared" si="222"/>
        <v>4</v>
      </c>
      <c r="C15" s="570">
        <f t="shared" ref="C15:C19" si="226">C14</f>
        <v>1</v>
      </c>
      <c r="D15" s="133"/>
      <c r="E15" s="408">
        <f t="shared" si="223"/>
        <v>133326</v>
      </c>
      <c r="F15" s="562">
        <f t="shared" si="0"/>
        <v>133007</v>
      </c>
      <c r="G15" s="134"/>
      <c r="H15" s="135">
        <v>319</v>
      </c>
      <c r="I15" s="135"/>
      <c r="J15" s="14">
        <f t="shared" si="200"/>
        <v>319</v>
      </c>
      <c r="K15" s="14">
        <f t="shared" si="52"/>
        <v>1866</v>
      </c>
      <c r="L15" s="14">
        <f t="shared" si="1"/>
        <v>0.7</v>
      </c>
      <c r="M15" s="47">
        <f t="shared" si="85"/>
        <v>0.23926315947377105</v>
      </c>
      <c r="N15" s="35">
        <f t="shared" si="2"/>
        <v>0.7</v>
      </c>
      <c r="O15" s="132">
        <f t="shared" si="53"/>
        <v>1.3835237593884617</v>
      </c>
      <c r="P15" s="142">
        <v>2000</v>
      </c>
      <c r="Q15" s="14">
        <f t="shared" si="3"/>
        <v>10</v>
      </c>
      <c r="R15" s="442">
        <f t="shared" si="4"/>
        <v>15.000825045377496</v>
      </c>
      <c r="S15" s="470">
        <f t="shared" si="201"/>
        <v>105.77615848310627</v>
      </c>
      <c r="T15" s="51">
        <f t="shared" si="5"/>
        <v>70</v>
      </c>
      <c r="U15" s="103">
        <f t="shared" ref="U15:U19" si="227">U14</f>
        <v>69</v>
      </c>
      <c r="V15" s="46">
        <f t="shared" si="55"/>
        <v>1</v>
      </c>
      <c r="W15" s="50">
        <f t="shared" si="6"/>
        <v>77</v>
      </c>
      <c r="X15" s="103">
        <f t="shared" ref="X15:X19" si="228">X14</f>
        <v>63</v>
      </c>
      <c r="Y15" s="71">
        <f t="shared" si="56"/>
        <v>14</v>
      </c>
      <c r="Z15" s="487"/>
      <c r="AA15" s="120">
        <f t="shared" si="224"/>
        <v>4</v>
      </c>
      <c r="AB15" s="7">
        <f t="shared" ref="AB15:AB19" si="229">AB14</f>
        <v>1</v>
      </c>
      <c r="AC15" s="229"/>
      <c r="AD15" s="48">
        <f>IFERROR(AE14+AC15,0)</f>
        <v>55120</v>
      </c>
      <c r="AE15" s="49">
        <f t="shared" si="7"/>
        <v>55039</v>
      </c>
      <c r="AF15" s="134"/>
      <c r="AG15" s="135">
        <v>81</v>
      </c>
      <c r="AH15" s="135"/>
      <c r="AI15" s="31">
        <f t="shared" si="203"/>
        <v>81</v>
      </c>
      <c r="AJ15" s="14">
        <f t="shared" si="199"/>
        <v>221</v>
      </c>
      <c r="AK15" s="14">
        <f t="shared" si="8"/>
        <v>0.7</v>
      </c>
      <c r="AL15" s="230">
        <f t="shared" si="58"/>
        <v>0.14695210449927432</v>
      </c>
      <c r="AM15" s="35">
        <f t="shared" si="9"/>
        <v>0.7</v>
      </c>
      <c r="AN15" s="157">
        <f t="shared" si="169"/>
        <v>0.14427847704601243</v>
      </c>
      <c r="AO15" s="134">
        <v>1400</v>
      </c>
      <c r="AP15" s="14">
        <f t="shared" si="10"/>
        <v>10</v>
      </c>
      <c r="AQ15" s="482">
        <f t="shared" si="59"/>
        <v>25.39912917271408</v>
      </c>
      <c r="AR15" s="470">
        <f t="shared" si="134"/>
        <v>173.87093026492985</v>
      </c>
      <c r="AS15" s="51">
        <f t="shared" si="11"/>
        <v>70</v>
      </c>
      <c r="AT15" s="103">
        <f t="shared" ref="AT15:AT19" si="230">AT14</f>
        <v>63</v>
      </c>
      <c r="AU15" s="46">
        <f t="shared" si="163"/>
        <v>7</v>
      </c>
      <c r="AV15" s="50">
        <f t="shared" si="12"/>
        <v>77</v>
      </c>
      <c r="AW15" s="103">
        <f t="shared" ref="AW15:AW19" si="231">AW14</f>
        <v>47</v>
      </c>
      <c r="AX15" s="71">
        <f t="shared" si="170"/>
        <v>30</v>
      </c>
      <c r="AZ15" s="120">
        <f t="shared" si="225"/>
        <v>4</v>
      </c>
      <c r="BA15" s="7">
        <f t="shared" ref="BA15:BA19" si="232">BA14</f>
        <v>1</v>
      </c>
      <c r="BB15" s="133"/>
      <c r="BC15" s="48">
        <f t="shared" si="62"/>
        <v>0</v>
      </c>
      <c r="BD15" s="49">
        <f t="shared" si="13"/>
        <v>0</v>
      </c>
      <c r="BE15" s="134"/>
      <c r="BF15" s="135"/>
      <c r="BG15" s="135"/>
      <c r="BH15" s="31">
        <f t="shared" si="204"/>
        <v>0</v>
      </c>
      <c r="BI15" s="14">
        <f t="shared" si="63"/>
        <v>0</v>
      </c>
      <c r="BJ15" s="14">
        <f t="shared" si="14"/>
        <v>0.7</v>
      </c>
      <c r="BK15" s="47">
        <f t="shared" si="92"/>
        <v>0</v>
      </c>
      <c r="BL15" s="35">
        <f t="shared" si="15"/>
        <v>0.7</v>
      </c>
      <c r="BM15" s="157">
        <f t="shared" si="16"/>
        <v>0</v>
      </c>
      <c r="BN15" s="134"/>
      <c r="BO15" s="14">
        <f t="shared" si="17"/>
        <v>10</v>
      </c>
      <c r="BP15" s="442">
        <f t="shared" si="93"/>
        <v>0</v>
      </c>
      <c r="BQ15" s="747">
        <f t="shared" si="137"/>
        <v>0</v>
      </c>
      <c r="BR15" s="51">
        <f t="shared" si="18"/>
        <v>70</v>
      </c>
      <c r="BS15" s="103">
        <f t="shared" ref="BS15:BS19" si="233">BS14</f>
        <v>0</v>
      </c>
      <c r="BT15" s="46">
        <f t="shared" si="19"/>
        <v>70</v>
      </c>
      <c r="BU15" s="50">
        <f t="shared" si="20"/>
        <v>77</v>
      </c>
      <c r="BV15" s="103">
        <f t="shared" ref="BV15:BV19" si="234">BV14</f>
        <v>0</v>
      </c>
      <c r="BW15" s="71">
        <f t="shared" si="171"/>
        <v>77</v>
      </c>
      <c r="BY15" s="120">
        <f t="shared" ref="BY15:BY16" si="235">BY14+1</f>
        <v>3</v>
      </c>
      <c r="BZ15" s="7">
        <f t="shared" ref="BZ15:BZ19" si="236">BZ14</f>
        <v>1</v>
      </c>
      <c r="CA15" s="133"/>
      <c r="CB15" s="14">
        <f t="shared" si="172"/>
        <v>0</v>
      </c>
      <c r="CC15" s="46">
        <f>IFERROR(CB15-CG15,0)</f>
        <v>0</v>
      </c>
      <c r="CD15" s="405"/>
      <c r="CE15" s="406"/>
      <c r="CF15" s="406"/>
      <c r="CG15" s="31">
        <f t="shared" si="206"/>
        <v>0</v>
      </c>
      <c r="CH15" s="14">
        <f t="shared" si="173"/>
        <v>0</v>
      </c>
      <c r="CI15" s="14">
        <f t="shared" si="21"/>
        <v>0.7</v>
      </c>
      <c r="CJ15" s="47">
        <f t="shared" si="97"/>
        <v>0</v>
      </c>
      <c r="CK15" s="35">
        <f t="shared" si="22"/>
        <v>0.7</v>
      </c>
      <c r="CL15" s="157">
        <f t="shared" si="140"/>
        <v>0</v>
      </c>
      <c r="CM15" s="134"/>
      <c r="CN15" s="14">
        <f t="shared" si="23"/>
        <v>10</v>
      </c>
      <c r="CO15" s="48">
        <f t="shared" si="141"/>
        <v>0</v>
      </c>
      <c r="CP15" s="68">
        <f t="shared" si="98"/>
        <v>0</v>
      </c>
      <c r="CQ15" s="51">
        <f t="shared" si="24"/>
        <v>70</v>
      </c>
      <c r="CR15" s="103">
        <f t="shared" ref="CR15:CR19" si="237">CR14</f>
        <v>0</v>
      </c>
      <c r="CS15" s="46">
        <f t="shared" si="66"/>
        <v>70</v>
      </c>
      <c r="CT15" s="51">
        <f t="shared" si="25"/>
        <v>77</v>
      </c>
      <c r="CU15" s="112">
        <f t="shared" ref="CU15:CU19" si="238">CU14</f>
        <v>0</v>
      </c>
      <c r="CV15" s="71">
        <f t="shared" si="67"/>
        <v>77</v>
      </c>
      <c r="CX15" s="120">
        <f t="shared" ref="CX15:CX16" si="239">CX14+1</f>
        <v>3</v>
      </c>
      <c r="CY15" s="7">
        <f t="shared" ref="CY15:CY19" si="240">CY14</f>
        <v>1</v>
      </c>
      <c r="CZ15" s="133"/>
      <c r="DA15" s="14">
        <f t="shared" si="174"/>
        <v>0</v>
      </c>
      <c r="DB15" s="46">
        <f>IFERROR(DA15-DF15,0)</f>
        <v>0</v>
      </c>
      <c r="DC15" s="405"/>
      <c r="DD15" s="406"/>
      <c r="DE15" s="406"/>
      <c r="DF15" s="31">
        <f t="shared" si="208"/>
        <v>0</v>
      </c>
      <c r="DG15" s="14">
        <f t="shared" si="175"/>
        <v>0</v>
      </c>
      <c r="DH15" s="14">
        <f t="shared" si="26"/>
        <v>0.7</v>
      </c>
      <c r="DI15" s="47">
        <f t="shared" si="209"/>
        <v>0</v>
      </c>
      <c r="DJ15" s="35">
        <f t="shared" si="27"/>
        <v>0.7</v>
      </c>
      <c r="DK15" s="157">
        <f t="shared" si="177"/>
        <v>0</v>
      </c>
      <c r="DL15" s="134"/>
      <c r="DM15" s="14">
        <f t="shared" si="28"/>
        <v>10</v>
      </c>
      <c r="DN15" s="48">
        <f t="shared" si="144"/>
        <v>0</v>
      </c>
      <c r="DO15" s="68">
        <f t="shared" si="178"/>
        <v>0</v>
      </c>
      <c r="DP15" s="51">
        <f t="shared" si="29"/>
        <v>70</v>
      </c>
      <c r="DQ15" s="103">
        <f t="shared" ref="DQ15:DQ19" si="241">DQ14</f>
        <v>0</v>
      </c>
      <c r="DR15" s="46">
        <f t="shared" si="145"/>
        <v>70</v>
      </c>
      <c r="DS15" s="51">
        <f t="shared" si="30"/>
        <v>77</v>
      </c>
      <c r="DT15" s="112">
        <f t="shared" ref="DT15:DT19" si="242">DT14</f>
        <v>0</v>
      </c>
      <c r="DU15" s="71">
        <f t="shared" si="164"/>
        <v>77</v>
      </c>
      <c r="DW15" s="120">
        <f t="shared" ref="DW15:DW16" si="243">DW14+1</f>
        <v>3</v>
      </c>
      <c r="DX15" s="7">
        <f t="shared" ref="DX15:DX19" si="244">DX14</f>
        <v>1</v>
      </c>
      <c r="DY15" s="133"/>
      <c r="DZ15" s="14">
        <f t="shared" si="179"/>
        <v>0</v>
      </c>
      <c r="EA15" s="46">
        <f>IFERROR(DZ15-EE15,0)</f>
        <v>0</v>
      </c>
      <c r="EB15" s="405"/>
      <c r="EC15" s="406"/>
      <c r="ED15" s="406"/>
      <c r="EE15" s="31">
        <f t="shared" si="211"/>
        <v>0</v>
      </c>
      <c r="EF15" s="14">
        <f t="shared" si="180"/>
        <v>0</v>
      </c>
      <c r="EG15" s="14">
        <f t="shared" si="31"/>
        <v>0.7</v>
      </c>
      <c r="EH15" s="47">
        <f t="shared" si="212"/>
        <v>0</v>
      </c>
      <c r="EI15" s="35">
        <f t="shared" si="32"/>
        <v>0.7</v>
      </c>
      <c r="EJ15" s="157">
        <f t="shared" si="182"/>
        <v>0</v>
      </c>
      <c r="EK15" s="134"/>
      <c r="EL15" s="14">
        <f t="shared" si="33"/>
        <v>10</v>
      </c>
      <c r="EM15" s="48">
        <f t="shared" si="148"/>
        <v>0</v>
      </c>
      <c r="EN15" s="68">
        <f t="shared" si="183"/>
        <v>0</v>
      </c>
      <c r="EO15" s="51">
        <f t="shared" si="34"/>
        <v>70</v>
      </c>
      <c r="EP15" s="103">
        <f t="shared" ref="EP15:EP19" si="245">EP14</f>
        <v>0</v>
      </c>
      <c r="EQ15" s="46">
        <f t="shared" si="149"/>
        <v>70</v>
      </c>
      <c r="ER15" s="51">
        <f t="shared" si="35"/>
        <v>77</v>
      </c>
      <c r="ES15" s="112">
        <f t="shared" ref="ES15:ES19" si="246">ES14</f>
        <v>0</v>
      </c>
      <c r="ET15" s="71">
        <f t="shared" si="165"/>
        <v>77</v>
      </c>
      <c r="EV15" s="120">
        <f t="shared" ref="EV15:EV16" si="247">EV14+1</f>
        <v>3</v>
      </c>
      <c r="EW15" s="7">
        <f t="shared" ref="EW15:EW19" si="248">EW14</f>
        <v>1</v>
      </c>
      <c r="EX15" s="133"/>
      <c r="EY15" s="14">
        <f t="shared" si="184"/>
        <v>0</v>
      </c>
      <c r="EZ15" s="46">
        <f>IFERROR(EY15-FD15,0)</f>
        <v>0</v>
      </c>
      <c r="FA15" s="405"/>
      <c r="FB15" s="406"/>
      <c r="FC15" s="406"/>
      <c r="FD15" s="31">
        <f t="shared" si="214"/>
        <v>0</v>
      </c>
      <c r="FE15" s="14">
        <f t="shared" si="185"/>
        <v>0</v>
      </c>
      <c r="FF15" s="14">
        <f t="shared" si="36"/>
        <v>0.7</v>
      </c>
      <c r="FG15" s="47">
        <f t="shared" si="215"/>
        <v>0</v>
      </c>
      <c r="FH15" s="35">
        <f t="shared" si="37"/>
        <v>0.7</v>
      </c>
      <c r="FI15" s="157">
        <f t="shared" si="187"/>
        <v>0</v>
      </c>
      <c r="FJ15" s="134"/>
      <c r="FK15" s="14">
        <f t="shared" si="38"/>
        <v>10</v>
      </c>
      <c r="FL15" s="48">
        <f t="shared" si="152"/>
        <v>0</v>
      </c>
      <c r="FM15" s="68">
        <f t="shared" si="188"/>
        <v>0</v>
      </c>
      <c r="FN15" s="51">
        <f t="shared" si="39"/>
        <v>70</v>
      </c>
      <c r="FO15" s="103">
        <f t="shared" ref="FO15:FO19" si="249">FO14</f>
        <v>0</v>
      </c>
      <c r="FP15" s="46">
        <f t="shared" si="153"/>
        <v>70</v>
      </c>
      <c r="FQ15" s="51">
        <f t="shared" si="40"/>
        <v>77</v>
      </c>
      <c r="FR15" s="112">
        <f t="shared" ref="FR15:FR19" si="250">FR14</f>
        <v>0</v>
      </c>
      <c r="FS15" s="71">
        <f t="shared" si="166"/>
        <v>77</v>
      </c>
      <c r="FU15" s="120">
        <f t="shared" ref="FU15:FU16" si="251">FU14+1</f>
        <v>3</v>
      </c>
      <c r="FV15" s="7">
        <f t="shared" ref="FV15:FV19" si="252">FV14</f>
        <v>1</v>
      </c>
      <c r="FW15" s="133"/>
      <c r="FX15" s="14">
        <f t="shared" si="189"/>
        <v>0</v>
      </c>
      <c r="FY15" s="46">
        <f>IFERROR(FX15-GC15,0)</f>
        <v>0</v>
      </c>
      <c r="FZ15" s="405"/>
      <c r="GA15" s="406"/>
      <c r="GB15" s="406"/>
      <c r="GC15" s="31">
        <f t="shared" si="217"/>
        <v>0</v>
      </c>
      <c r="GD15" s="14">
        <f t="shared" si="190"/>
        <v>0</v>
      </c>
      <c r="GE15" s="14">
        <f t="shared" si="41"/>
        <v>0.7</v>
      </c>
      <c r="GF15" s="47">
        <f t="shared" si="218"/>
        <v>0</v>
      </c>
      <c r="GG15" s="35">
        <f t="shared" si="42"/>
        <v>0.7</v>
      </c>
      <c r="GH15" s="157">
        <f t="shared" si="192"/>
        <v>0</v>
      </c>
      <c r="GI15" s="134"/>
      <c r="GJ15" s="14">
        <f t="shared" si="43"/>
        <v>10</v>
      </c>
      <c r="GK15" s="48">
        <f t="shared" si="156"/>
        <v>0</v>
      </c>
      <c r="GL15" s="68">
        <f t="shared" si="193"/>
        <v>0</v>
      </c>
      <c r="GM15" s="51">
        <f t="shared" si="44"/>
        <v>70</v>
      </c>
      <c r="GN15" s="103">
        <f t="shared" ref="GN15:GN19" si="253">GN14</f>
        <v>0</v>
      </c>
      <c r="GO15" s="46">
        <f t="shared" si="157"/>
        <v>70</v>
      </c>
      <c r="GP15" s="51">
        <f t="shared" si="45"/>
        <v>77</v>
      </c>
      <c r="GQ15" s="112">
        <f t="shared" ref="GQ15:GQ19" si="254">GQ14</f>
        <v>0</v>
      </c>
      <c r="GR15" s="71">
        <f t="shared" si="167"/>
        <v>77</v>
      </c>
      <c r="GT15" s="120">
        <f t="shared" ref="GT15:GT16" si="255">GT14+1</f>
        <v>3</v>
      </c>
      <c r="GU15" s="7">
        <f t="shared" ref="GU15:GU19" si="256">GU14</f>
        <v>1</v>
      </c>
      <c r="GV15" s="133"/>
      <c r="GW15" s="14">
        <f t="shared" si="194"/>
        <v>0</v>
      </c>
      <c r="GX15" s="46">
        <f>IFERROR(GW15-HB15,0)</f>
        <v>0</v>
      </c>
      <c r="GY15" s="405"/>
      <c r="GZ15" s="406"/>
      <c r="HA15" s="406"/>
      <c r="HB15" s="31">
        <f t="shared" si="220"/>
        <v>0</v>
      </c>
      <c r="HC15" s="14">
        <f t="shared" si="195"/>
        <v>0</v>
      </c>
      <c r="HD15" s="14">
        <f t="shared" si="46"/>
        <v>0.7</v>
      </c>
      <c r="HE15" s="47">
        <f t="shared" si="221"/>
        <v>0</v>
      </c>
      <c r="HF15" s="35">
        <f t="shared" si="47"/>
        <v>0.7</v>
      </c>
      <c r="HG15" s="157">
        <f t="shared" si="197"/>
        <v>0</v>
      </c>
      <c r="HH15" s="134"/>
      <c r="HI15" s="14">
        <f t="shared" si="48"/>
        <v>10</v>
      </c>
      <c r="HJ15" s="48">
        <f t="shared" si="160"/>
        <v>0</v>
      </c>
      <c r="HK15" s="68">
        <f t="shared" si="198"/>
        <v>0</v>
      </c>
      <c r="HL15" s="51">
        <f t="shared" si="49"/>
        <v>70</v>
      </c>
      <c r="HM15" s="103">
        <f t="shared" ref="HM15:HM19" si="257">HM14</f>
        <v>0</v>
      </c>
      <c r="HN15" s="46">
        <f t="shared" si="161"/>
        <v>70</v>
      </c>
      <c r="HO15" s="51">
        <f t="shared" si="50"/>
        <v>77</v>
      </c>
      <c r="HP15" s="112">
        <f t="shared" ref="HP15:HP19" si="258">HP14</f>
        <v>0</v>
      </c>
      <c r="HQ15" s="71">
        <f t="shared" si="168"/>
        <v>77</v>
      </c>
    </row>
    <row r="16" spans="1:225" ht="17.25" thickBot="1" x14ac:dyDescent="0.3">
      <c r="B16" s="120">
        <f t="shared" si="222"/>
        <v>5</v>
      </c>
      <c r="C16" s="570">
        <f t="shared" si="226"/>
        <v>1</v>
      </c>
      <c r="D16" s="133"/>
      <c r="E16" s="408">
        <f t="shared" si="223"/>
        <v>133007</v>
      </c>
      <c r="F16" s="562">
        <f t="shared" si="0"/>
        <v>132620</v>
      </c>
      <c r="G16" s="134">
        <v>67</v>
      </c>
      <c r="H16" s="135">
        <v>320</v>
      </c>
      <c r="I16" s="135"/>
      <c r="J16" s="14">
        <f t="shared" si="200"/>
        <v>387</v>
      </c>
      <c r="K16" s="14">
        <f t="shared" si="52"/>
        <v>2253</v>
      </c>
      <c r="L16" s="14">
        <f t="shared" si="1"/>
        <v>0.7</v>
      </c>
      <c r="M16" s="47">
        <f t="shared" si="85"/>
        <v>0.29096212981271663</v>
      </c>
      <c r="N16" s="35">
        <f t="shared" si="2"/>
        <v>0.7</v>
      </c>
      <c r="O16" s="132">
        <f>IFERROR((K16*100)/$D$12,0)</f>
        <v>1.6704603590043967</v>
      </c>
      <c r="P16" s="142">
        <v>1800</v>
      </c>
      <c r="Q16" s="14">
        <f t="shared" si="3"/>
        <v>10</v>
      </c>
      <c r="R16" s="442">
        <f t="shared" si="4"/>
        <v>13.533122316870539</v>
      </c>
      <c r="S16" s="470">
        <f t="shared" si="201"/>
        <v>119.30928079997682</v>
      </c>
      <c r="T16" s="51">
        <f t="shared" si="5"/>
        <v>70</v>
      </c>
      <c r="U16" s="103">
        <f t="shared" si="227"/>
        <v>69</v>
      </c>
      <c r="V16" s="46">
        <f>T16-U16</f>
        <v>1</v>
      </c>
      <c r="W16" s="51">
        <f t="shared" si="6"/>
        <v>77</v>
      </c>
      <c r="X16" s="103">
        <f t="shared" si="228"/>
        <v>63</v>
      </c>
      <c r="Y16" s="71">
        <f t="shared" si="56"/>
        <v>14</v>
      </c>
      <c r="Z16" s="487"/>
      <c r="AA16" s="120">
        <f t="shared" si="224"/>
        <v>5</v>
      </c>
      <c r="AB16" s="7">
        <f t="shared" si="229"/>
        <v>1</v>
      </c>
      <c r="AC16" s="229"/>
      <c r="AD16" s="48">
        <f>IFERROR(AE15+AC16,0)</f>
        <v>55039</v>
      </c>
      <c r="AE16" s="447">
        <f t="shared" si="7"/>
        <v>54963</v>
      </c>
      <c r="AF16" s="134"/>
      <c r="AG16" s="135">
        <v>76</v>
      </c>
      <c r="AH16" s="135"/>
      <c r="AI16" s="14">
        <f t="shared" si="203"/>
        <v>76</v>
      </c>
      <c r="AJ16" s="14">
        <f t="shared" si="199"/>
        <v>297</v>
      </c>
      <c r="AK16" s="14">
        <f t="shared" si="8"/>
        <v>0.7</v>
      </c>
      <c r="AL16" s="230">
        <f t="shared" si="58"/>
        <v>0.13808390414070024</v>
      </c>
      <c r="AM16" s="35">
        <f t="shared" si="9"/>
        <v>0.7</v>
      </c>
      <c r="AN16" s="157">
        <f t="shared" si="169"/>
        <v>0.19389460489893978</v>
      </c>
      <c r="AO16" s="134">
        <v>1600</v>
      </c>
      <c r="AP16" s="14">
        <f t="shared" si="10"/>
        <v>10</v>
      </c>
      <c r="AQ16" s="482">
        <f t="shared" si="59"/>
        <v>29.070295608568468</v>
      </c>
      <c r="AR16" s="470">
        <f t="shared" si="134"/>
        <v>202.94122587349833</v>
      </c>
      <c r="AS16" s="51">
        <f t="shared" si="11"/>
        <v>70</v>
      </c>
      <c r="AT16" s="103">
        <f t="shared" si="230"/>
        <v>63</v>
      </c>
      <c r="AU16" s="46">
        <f>AS16-AT16</f>
        <v>7</v>
      </c>
      <c r="AV16" s="51">
        <f t="shared" si="12"/>
        <v>77</v>
      </c>
      <c r="AW16" s="103">
        <f t="shared" si="231"/>
        <v>47</v>
      </c>
      <c r="AX16" s="71">
        <f t="shared" si="170"/>
        <v>30</v>
      </c>
      <c r="AZ16" s="120">
        <f t="shared" si="225"/>
        <v>5</v>
      </c>
      <c r="BA16" s="7">
        <f t="shared" si="232"/>
        <v>1</v>
      </c>
      <c r="BB16" s="133"/>
      <c r="BC16" s="48">
        <f t="shared" si="62"/>
        <v>0</v>
      </c>
      <c r="BD16" s="447">
        <f t="shared" si="13"/>
        <v>0</v>
      </c>
      <c r="BE16" s="134"/>
      <c r="BF16" s="135"/>
      <c r="BG16" s="135"/>
      <c r="BH16" s="14">
        <f t="shared" si="204"/>
        <v>0</v>
      </c>
      <c r="BI16" s="14">
        <f t="shared" si="63"/>
        <v>0</v>
      </c>
      <c r="BJ16" s="14">
        <f t="shared" si="14"/>
        <v>0.7</v>
      </c>
      <c r="BK16" s="47">
        <f t="shared" si="92"/>
        <v>0</v>
      </c>
      <c r="BL16" s="35">
        <f t="shared" si="15"/>
        <v>0.7</v>
      </c>
      <c r="BM16" s="157">
        <f t="shared" si="16"/>
        <v>0</v>
      </c>
      <c r="BN16" s="134"/>
      <c r="BO16" s="14">
        <f t="shared" si="17"/>
        <v>10</v>
      </c>
      <c r="BP16" s="442">
        <f t="shared" si="93"/>
        <v>0</v>
      </c>
      <c r="BQ16" s="747">
        <f t="shared" si="137"/>
        <v>0</v>
      </c>
      <c r="BR16" s="51">
        <f t="shared" si="18"/>
        <v>70</v>
      </c>
      <c r="BS16" s="103">
        <f t="shared" si="233"/>
        <v>0</v>
      </c>
      <c r="BT16" s="46">
        <f>BR16-BS16</f>
        <v>70</v>
      </c>
      <c r="BU16" s="51">
        <f t="shared" si="20"/>
        <v>77</v>
      </c>
      <c r="BV16" s="103">
        <f t="shared" si="234"/>
        <v>0</v>
      </c>
      <c r="BW16" s="71">
        <f t="shared" si="171"/>
        <v>77</v>
      </c>
      <c r="BY16" s="120">
        <f t="shared" si="235"/>
        <v>4</v>
      </c>
      <c r="BZ16" s="7">
        <f t="shared" si="236"/>
        <v>1</v>
      </c>
      <c r="CA16" s="133"/>
      <c r="CB16" s="14">
        <f t="shared" si="172"/>
        <v>0</v>
      </c>
      <c r="CC16" s="62">
        <f>IFERROR(CB16-CG16,0)</f>
        <v>0</v>
      </c>
      <c r="CD16" s="405"/>
      <c r="CE16" s="406"/>
      <c r="CF16" s="406"/>
      <c r="CG16" s="14">
        <f t="shared" si="206"/>
        <v>0</v>
      </c>
      <c r="CH16" s="14">
        <f t="shared" si="173"/>
        <v>0</v>
      </c>
      <c r="CI16" s="14">
        <f t="shared" si="21"/>
        <v>0.7</v>
      </c>
      <c r="CJ16" s="47">
        <f t="shared" si="97"/>
        <v>0</v>
      </c>
      <c r="CK16" s="35">
        <f t="shared" si="22"/>
        <v>0.7</v>
      </c>
      <c r="CL16" s="157">
        <f t="shared" si="140"/>
        <v>0</v>
      </c>
      <c r="CM16" s="134"/>
      <c r="CN16" s="14">
        <f t="shared" si="23"/>
        <v>10</v>
      </c>
      <c r="CO16" s="48">
        <f>IFERROR(CM16/CB16,0)</f>
        <v>0</v>
      </c>
      <c r="CP16" s="68">
        <f t="shared" si="98"/>
        <v>0</v>
      </c>
      <c r="CQ16" s="51">
        <f t="shared" si="24"/>
        <v>70</v>
      </c>
      <c r="CR16" s="103">
        <f t="shared" si="237"/>
        <v>0</v>
      </c>
      <c r="CS16" s="46">
        <f>CQ16-CR16</f>
        <v>70</v>
      </c>
      <c r="CT16" s="12">
        <f t="shared" si="25"/>
        <v>77</v>
      </c>
      <c r="CU16" s="112">
        <f t="shared" si="238"/>
        <v>0</v>
      </c>
      <c r="CV16" s="71">
        <f t="shared" si="67"/>
        <v>77</v>
      </c>
      <c r="CX16" s="120">
        <f t="shared" si="239"/>
        <v>4</v>
      </c>
      <c r="CY16" s="7">
        <f t="shared" si="240"/>
        <v>1</v>
      </c>
      <c r="CZ16" s="133"/>
      <c r="DA16" s="14">
        <f t="shared" si="174"/>
        <v>0</v>
      </c>
      <c r="DB16" s="62">
        <f>IFERROR(DA16-DF16,0)</f>
        <v>0</v>
      </c>
      <c r="DC16" s="405"/>
      <c r="DD16" s="406"/>
      <c r="DE16" s="406"/>
      <c r="DF16" s="14">
        <f t="shared" si="208"/>
        <v>0</v>
      </c>
      <c r="DG16" s="14">
        <f t="shared" si="175"/>
        <v>0</v>
      </c>
      <c r="DH16" s="14">
        <f t="shared" si="26"/>
        <v>0.7</v>
      </c>
      <c r="DI16" s="47">
        <f t="shared" si="209"/>
        <v>0</v>
      </c>
      <c r="DJ16" s="35">
        <f t="shared" si="27"/>
        <v>0.7</v>
      </c>
      <c r="DK16" s="157">
        <f t="shared" si="177"/>
        <v>0</v>
      </c>
      <c r="DL16" s="134"/>
      <c r="DM16" s="14">
        <f t="shared" si="28"/>
        <v>10</v>
      </c>
      <c r="DN16" s="48">
        <f>IFERROR(DL16/DA16,0)</f>
        <v>0</v>
      </c>
      <c r="DO16" s="68">
        <f t="shared" si="178"/>
        <v>0</v>
      </c>
      <c r="DP16" s="51">
        <f t="shared" si="29"/>
        <v>70</v>
      </c>
      <c r="DQ16" s="103">
        <f t="shared" si="241"/>
        <v>0</v>
      </c>
      <c r="DR16" s="46">
        <f>DP16-DQ16</f>
        <v>70</v>
      </c>
      <c r="DS16" s="12">
        <f t="shared" si="30"/>
        <v>77</v>
      </c>
      <c r="DT16" s="112">
        <f t="shared" si="242"/>
        <v>0</v>
      </c>
      <c r="DU16" s="71">
        <f t="shared" si="164"/>
        <v>77</v>
      </c>
      <c r="DW16" s="120">
        <f t="shared" si="243"/>
        <v>4</v>
      </c>
      <c r="DX16" s="7">
        <f t="shared" si="244"/>
        <v>1</v>
      </c>
      <c r="DY16" s="133"/>
      <c r="DZ16" s="14">
        <f t="shared" si="179"/>
        <v>0</v>
      </c>
      <c r="EA16" s="62">
        <f>IFERROR(DZ16-EE16,0)</f>
        <v>0</v>
      </c>
      <c r="EB16" s="405"/>
      <c r="EC16" s="406"/>
      <c r="ED16" s="406"/>
      <c r="EE16" s="14">
        <f t="shared" si="211"/>
        <v>0</v>
      </c>
      <c r="EF16" s="14">
        <f t="shared" si="180"/>
        <v>0</v>
      </c>
      <c r="EG16" s="14">
        <f t="shared" si="31"/>
        <v>0.7</v>
      </c>
      <c r="EH16" s="47">
        <f t="shared" si="212"/>
        <v>0</v>
      </c>
      <c r="EI16" s="35">
        <f t="shared" si="32"/>
        <v>0.7</v>
      </c>
      <c r="EJ16" s="157">
        <f t="shared" si="182"/>
        <v>0</v>
      </c>
      <c r="EK16" s="134"/>
      <c r="EL16" s="14">
        <f t="shared" si="33"/>
        <v>10</v>
      </c>
      <c r="EM16" s="48">
        <f>IFERROR(EK16/DZ16,0)</f>
        <v>0</v>
      </c>
      <c r="EN16" s="68">
        <f t="shared" si="183"/>
        <v>0</v>
      </c>
      <c r="EO16" s="51">
        <f t="shared" si="34"/>
        <v>70</v>
      </c>
      <c r="EP16" s="103">
        <f t="shared" si="245"/>
        <v>0</v>
      </c>
      <c r="EQ16" s="46">
        <f>EO16-EP16</f>
        <v>70</v>
      </c>
      <c r="ER16" s="12">
        <f t="shared" si="35"/>
        <v>77</v>
      </c>
      <c r="ES16" s="112">
        <f t="shared" si="246"/>
        <v>0</v>
      </c>
      <c r="ET16" s="71">
        <f t="shared" si="165"/>
        <v>77</v>
      </c>
      <c r="EV16" s="120">
        <f t="shared" si="247"/>
        <v>4</v>
      </c>
      <c r="EW16" s="7">
        <f t="shared" si="248"/>
        <v>1</v>
      </c>
      <c r="EX16" s="133"/>
      <c r="EY16" s="14">
        <f t="shared" si="184"/>
        <v>0</v>
      </c>
      <c r="EZ16" s="62">
        <f>IFERROR(EY16-FD16,0)</f>
        <v>0</v>
      </c>
      <c r="FA16" s="405"/>
      <c r="FB16" s="406"/>
      <c r="FC16" s="406"/>
      <c r="FD16" s="14">
        <f t="shared" si="214"/>
        <v>0</v>
      </c>
      <c r="FE16" s="14">
        <f t="shared" si="185"/>
        <v>0</v>
      </c>
      <c r="FF16" s="14">
        <f t="shared" si="36"/>
        <v>0.7</v>
      </c>
      <c r="FG16" s="47">
        <f t="shared" si="215"/>
        <v>0</v>
      </c>
      <c r="FH16" s="35">
        <f t="shared" si="37"/>
        <v>0.7</v>
      </c>
      <c r="FI16" s="157">
        <f t="shared" si="187"/>
        <v>0</v>
      </c>
      <c r="FJ16" s="134"/>
      <c r="FK16" s="14">
        <f t="shared" si="38"/>
        <v>10</v>
      </c>
      <c r="FL16" s="48">
        <f>IFERROR(FJ16/EY16,0)</f>
        <v>0</v>
      </c>
      <c r="FM16" s="68">
        <f t="shared" si="188"/>
        <v>0</v>
      </c>
      <c r="FN16" s="51">
        <f t="shared" si="39"/>
        <v>70</v>
      </c>
      <c r="FO16" s="103">
        <f t="shared" si="249"/>
        <v>0</v>
      </c>
      <c r="FP16" s="46">
        <f>FN16-FO16</f>
        <v>70</v>
      </c>
      <c r="FQ16" s="12">
        <f t="shared" si="40"/>
        <v>77</v>
      </c>
      <c r="FR16" s="112">
        <f t="shared" si="250"/>
        <v>0</v>
      </c>
      <c r="FS16" s="71">
        <f t="shared" si="166"/>
        <v>77</v>
      </c>
      <c r="FU16" s="120">
        <f t="shared" si="251"/>
        <v>4</v>
      </c>
      <c r="FV16" s="7">
        <f t="shared" si="252"/>
        <v>1</v>
      </c>
      <c r="FW16" s="133"/>
      <c r="FX16" s="14">
        <f t="shared" si="189"/>
        <v>0</v>
      </c>
      <c r="FY16" s="62">
        <f>IFERROR(FX16-GC16,0)</f>
        <v>0</v>
      </c>
      <c r="FZ16" s="405"/>
      <c r="GA16" s="406"/>
      <c r="GB16" s="406"/>
      <c r="GC16" s="14">
        <f t="shared" si="217"/>
        <v>0</v>
      </c>
      <c r="GD16" s="14">
        <f t="shared" si="190"/>
        <v>0</v>
      </c>
      <c r="GE16" s="14">
        <f t="shared" si="41"/>
        <v>0.7</v>
      </c>
      <c r="GF16" s="47">
        <f t="shared" si="218"/>
        <v>0</v>
      </c>
      <c r="GG16" s="35">
        <f t="shared" si="42"/>
        <v>0.7</v>
      </c>
      <c r="GH16" s="157">
        <f t="shared" si="192"/>
        <v>0</v>
      </c>
      <c r="GI16" s="134"/>
      <c r="GJ16" s="14">
        <f t="shared" si="43"/>
        <v>10</v>
      </c>
      <c r="GK16" s="48">
        <f>IFERROR(GI16/FX16,0)</f>
        <v>0</v>
      </c>
      <c r="GL16" s="68">
        <f t="shared" si="193"/>
        <v>0</v>
      </c>
      <c r="GM16" s="51">
        <f t="shared" si="44"/>
        <v>70</v>
      </c>
      <c r="GN16" s="103">
        <f t="shared" si="253"/>
        <v>0</v>
      </c>
      <c r="GO16" s="46">
        <f>GM16-GN16</f>
        <v>70</v>
      </c>
      <c r="GP16" s="12">
        <f t="shared" si="45"/>
        <v>77</v>
      </c>
      <c r="GQ16" s="112">
        <f t="shared" si="254"/>
        <v>0</v>
      </c>
      <c r="GR16" s="71">
        <f t="shared" si="167"/>
        <v>77</v>
      </c>
      <c r="GT16" s="120">
        <f t="shared" si="255"/>
        <v>4</v>
      </c>
      <c r="GU16" s="7">
        <f t="shared" si="256"/>
        <v>1</v>
      </c>
      <c r="GV16" s="133"/>
      <c r="GW16" s="14">
        <f t="shared" si="194"/>
        <v>0</v>
      </c>
      <c r="GX16" s="62">
        <f>IFERROR(GW16-HB16,0)</f>
        <v>0</v>
      </c>
      <c r="GY16" s="405"/>
      <c r="GZ16" s="406"/>
      <c r="HA16" s="406"/>
      <c r="HB16" s="14">
        <f t="shared" si="220"/>
        <v>0</v>
      </c>
      <c r="HC16" s="14">
        <f t="shared" si="195"/>
        <v>0</v>
      </c>
      <c r="HD16" s="14">
        <f t="shared" si="46"/>
        <v>0.7</v>
      </c>
      <c r="HE16" s="47">
        <f t="shared" si="221"/>
        <v>0</v>
      </c>
      <c r="HF16" s="35">
        <f t="shared" si="47"/>
        <v>0.7</v>
      </c>
      <c r="HG16" s="157">
        <f t="shared" si="197"/>
        <v>0</v>
      </c>
      <c r="HH16" s="134"/>
      <c r="HI16" s="14">
        <f t="shared" si="48"/>
        <v>10</v>
      </c>
      <c r="HJ16" s="48">
        <f>IFERROR(HH16/GW16,0)</f>
        <v>0</v>
      </c>
      <c r="HK16" s="68">
        <f t="shared" si="198"/>
        <v>0</v>
      </c>
      <c r="HL16" s="51">
        <f t="shared" si="49"/>
        <v>70</v>
      </c>
      <c r="HM16" s="103">
        <f t="shared" si="257"/>
        <v>0</v>
      </c>
      <c r="HN16" s="46">
        <f>HL16-HM16</f>
        <v>70</v>
      </c>
      <c r="HO16" s="12">
        <f t="shared" si="50"/>
        <v>77</v>
      </c>
      <c r="HP16" s="112">
        <f t="shared" si="258"/>
        <v>0</v>
      </c>
      <c r="HQ16" s="71">
        <f t="shared" si="168"/>
        <v>77</v>
      </c>
    </row>
    <row r="17" spans="1:225" ht="17.25" thickBot="1" x14ac:dyDescent="0.3">
      <c r="B17" s="120">
        <f t="shared" si="222"/>
        <v>6</v>
      </c>
      <c r="C17" s="570">
        <f t="shared" si="226"/>
        <v>1</v>
      </c>
      <c r="D17" s="133"/>
      <c r="E17" s="408">
        <f t="shared" si="223"/>
        <v>132620</v>
      </c>
      <c r="F17" s="562">
        <f t="shared" si="0"/>
        <v>132478</v>
      </c>
      <c r="G17" s="134"/>
      <c r="H17" s="135">
        <v>142</v>
      </c>
      <c r="I17" s="135"/>
      <c r="J17" s="14">
        <f t="shared" si="200"/>
        <v>142</v>
      </c>
      <c r="K17" s="14">
        <f t="shared" si="52"/>
        <v>2395</v>
      </c>
      <c r="L17" s="14">
        <f t="shared" si="1"/>
        <v>0.7</v>
      </c>
      <c r="M17" s="47">
        <f t="shared" si="85"/>
        <v>0.10707283969235409</v>
      </c>
      <c r="N17" s="35">
        <f t="shared" si="2"/>
        <v>0.7</v>
      </c>
      <c r="O17" s="132">
        <f t="shared" si="53"/>
        <v>1.7757445893544297</v>
      </c>
      <c r="P17" s="142">
        <v>1400</v>
      </c>
      <c r="Q17" s="14">
        <f t="shared" si="3"/>
        <v>10</v>
      </c>
      <c r="R17" s="442">
        <f t="shared" si="4"/>
        <v>10.556477152767306</v>
      </c>
      <c r="S17" s="470">
        <f t="shared" si="201"/>
        <v>129.86575795274413</v>
      </c>
      <c r="T17" s="51">
        <f t="shared" si="5"/>
        <v>70</v>
      </c>
      <c r="U17" s="103">
        <f t="shared" si="227"/>
        <v>69</v>
      </c>
      <c r="V17" s="62">
        <f>T17-U17</f>
        <v>1</v>
      </c>
      <c r="W17" s="51">
        <f t="shared" si="6"/>
        <v>77</v>
      </c>
      <c r="X17" s="103">
        <f t="shared" si="228"/>
        <v>63</v>
      </c>
      <c r="Y17" s="71">
        <f t="shared" si="56"/>
        <v>14</v>
      </c>
      <c r="Z17" s="685" t="s">
        <v>165</v>
      </c>
      <c r="AA17" s="324">
        <f t="shared" si="224"/>
        <v>6</v>
      </c>
      <c r="AB17" s="477">
        <f t="shared" si="229"/>
        <v>1</v>
      </c>
      <c r="AC17" s="684">
        <v>97916</v>
      </c>
      <c r="AD17" s="48">
        <f>IFERROR(AE16+AC17,0)</f>
        <v>152879</v>
      </c>
      <c r="AE17" s="196">
        <f t="shared" si="7"/>
        <v>152841</v>
      </c>
      <c r="AF17" s="134"/>
      <c r="AG17" s="135">
        <v>38</v>
      </c>
      <c r="AH17" s="135"/>
      <c r="AI17" s="14">
        <f t="shared" si="203"/>
        <v>38</v>
      </c>
      <c r="AJ17" s="14">
        <f t="shared" si="199"/>
        <v>335</v>
      </c>
      <c r="AK17" s="14">
        <f t="shared" si="8"/>
        <v>0.7</v>
      </c>
      <c r="AL17" s="230">
        <f t="shared" si="58"/>
        <v>2.4856258871395025E-2</v>
      </c>
      <c r="AM17" s="35">
        <f t="shared" si="9"/>
        <v>0.7</v>
      </c>
      <c r="AN17" s="157">
        <f t="shared" si="169"/>
        <v>0.21870266882540346</v>
      </c>
      <c r="AO17" s="134">
        <v>1000</v>
      </c>
      <c r="AP17" s="14">
        <f t="shared" si="10"/>
        <v>10</v>
      </c>
      <c r="AQ17" s="482">
        <f t="shared" si="59"/>
        <v>6.5411207556302697</v>
      </c>
      <c r="AR17" s="470">
        <f t="shared" si="134"/>
        <v>209.48234662912859</v>
      </c>
      <c r="AS17" s="51">
        <f t="shared" si="11"/>
        <v>70</v>
      </c>
      <c r="AT17" s="103">
        <f t="shared" si="230"/>
        <v>63</v>
      </c>
      <c r="AU17" s="62">
        <f>AS17-AT17</f>
        <v>7</v>
      </c>
      <c r="AV17" s="51">
        <f t="shared" si="12"/>
        <v>77</v>
      </c>
      <c r="AW17" s="103">
        <f t="shared" si="231"/>
        <v>47</v>
      </c>
      <c r="AX17" s="71">
        <f t="shared" si="170"/>
        <v>30</v>
      </c>
      <c r="AZ17" s="120">
        <f t="shared" si="225"/>
        <v>6</v>
      </c>
      <c r="BA17" s="7">
        <f t="shared" si="232"/>
        <v>1</v>
      </c>
      <c r="BB17" s="133"/>
      <c r="BC17" s="48">
        <f t="shared" si="62"/>
        <v>0</v>
      </c>
      <c r="BD17" s="196">
        <f t="shared" si="13"/>
        <v>0</v>
      </c>
      <c r="BE17" s="134"/>
      <c r="BF17" s="135"/>
      <c r="BG17" s="135"/>
      <c r="BH17" s="14">
        <f t="shared" si="204"/>
        <v>0</v>
      </c>
      <c r="BI17" s="14">
        <f t="shared" si="63"/>
        <v>0</v>
      </c>
      <c r="BJ17" s="14">
        <f t="shared" si="14"/>
        <v>0.7</v>
      </c>
      <c r="BK17" s="47">
        <f t="shared" si="92"/>
        <v>0</v>
      </c>
      <c r="BL17" s="35">
        <f t="shared" si="15"/>
        <v>0.7</v>
      </c>
      <c r="BM17" s="157">
        <f t="shared" si="16"/>
        <v>0</v>
      </c>
      <c r="BN17" s="134"/>
      <c r="BO17" s="14">
        <f t="shared" si="17"/>
        <v>10</v>
      </c>
      <c r="BP17" s="442">
        <f t="shared" si="93"/>
        <v>0</v>
      </c>
      <c r="BQ17" s="747">
        <f t="shared" si="137"/>
        <v>0</v>
      </c>
      <c r="BR17" s="51">
        <f t="shared" si="18"/>
        <v>70</v>
      </c>
      <c r="BS17" s="103">
        <f t="shared" si="233"/>
        <v>0</v>
      </c>
      <c r="BT17" s="62">
        <f>BR17-BS17</f>
        <v>70</v>
      </c>
      <c r="BU17" s="51">
        <f t="shared" si="20"/>
        <v>77</v>
      </c>
      <c r="BV17" s="103">
        <f t="shared" si="234"/>
        <v>0</v>
      </c>
      <c r="BW17" s="71">
        <f t="shared" si="171"/>
        <v>77</v>
      </c>
      <c r="BY17" s="120">
        <f>BY16+1</f>
        <v>5</v>
      </c>
      <c r="BZ17" s="7">
        <f t="shared" si="236"/>
        <v>1</v>
      </c>
      <c r="CA17" s="133"/>
      <c r="CB17" s="14">
        <f t="shared" si="172"/>
        <v>0</v>
      </c>
      <c r="CC17" s="59">
        <f>IFERROR(CB17-CG17,0)</f>
        <v>0</v>
      </c>
      <c r="CD17" s="405"/>
      <c r="CE17" s="406"/>
      <c r="CF17" s="406"/>
      <c r="CG17" s="14">
        <f t="shared" si="206"/>
        <v>0</v>
      </c>
      <c r="CH17" s="14">
        <f t="shared" si="173"/>
        <v>0</v>
      </c>
      <c r="CI17" s="14">
        <f t="shared" si="21"/>
        <v>0.7</v>
      </c>
      <c r="CJ17" s="47">
        <f t="shared" si="97"/>
        <v>0</v>
      </c>
      <c r="CK17" s="35">
        <f t="shared" si="22"/>
        <v>0.7</v>
      </c>
      <c r="CL17" s="157">
        <f t="shared" si="140"/>
        <v>0</v>
      </c>
      <c r="CM17" s="134"/>
      <c r="CN17" s="14">
        <f t="shared" si="23"/>
        <v>10</v>
      </c>
      <c r="CO17" s="48">
        <f t="shared" si="141"/>
        <v>0</v>
      </c>
      <c r="CP17" s="68">
        <f t="shared" si="98"/>
        <v>0</v>
      </c>
      <c r="CQ17" s="51">
        <f t="shared" si="24"/>
        <v>70</v>
      </c>
      <c r="CR17" s="103">
        <f t="shared" si="237"/>
        <v>0</v>
      </c>
      <c r="CS17" s="62">
        <f>CQ17-CR17</f>
        <v>70</v>
      </c>
      <c r="CT17" s="50">
        <f t="shared" si="25"/>
        <v>77</v>
      </c>
      <c r="CU17" s="112">
        <f t="shared" si="238"/>
        <v>0</v>
      </c>
      <c r="CV17" s="71">
        <f t="shared" si="67"/>
        <v>77</v>
      </c>
      <c r="CX17" s="120">
        <f>CX16+1</f>
        <v>5</v>
      </c>
      <c r="CY17" s="7">
        <f t="shared" si="240"/>
        <v>1</v>
      </c>
      <c r="CZ17" s="133"/>
      <c r="DA17" s="14">
        <f t="shared" si="174"/>
        <v>0</v>
      </c>
      <c r="DB17" s="59">
        <f>IFERROR(DA17-DF17,0)</f>
        <v>0</v>
      </c>
      <c r="DC17" s="405"/>
      <c r="DD17" s="406"/>
      <c r="DE17" s="406"/>
      <c r="DF17" s="14">
        <f t="shared" si="208"/>
        <v>0</v>
      </c>
      <c r="DG17" s="14">
        <f t="shared" si="175"/>
        <v>0</v>
      </c>
      <c r="DH17" s="14">
        <f t="shared" si="26"/>
        <v>0.7</v>
      </c>
      <c r="DI17" s="47">
        <f t="shared" si="209"/>
        <v>0</v>
      </c>
      <c r="DJ17" s="35">
        <f t="shared" si="27"/>
        <v>0.7</v>
      </c>
      <c r="DK17" s="157">
        <f t="shared" si="177"/>
        <v>0</v>
      </c>
      <c r="DL17" s="134"/>
      <c r="DM17" s="14">
        <f t="shared" si="28"/>
        <v>10</v>
      </c>
      <c r="DN17" s="48">
        <f t="shared" ref="DN17:DN80" si="259">IFERROR(DL17/DA17,0)</f>
        <v>0</v>
      </c>
      <c r="DO17" s="68">
        <f t="shared" si="178"/>
        <v>0</v>
      </c>
      <c r="DP17" s="51">
        <f t="shared" si="29"/>
        <v>70</v>
      </c>
      <c r="DQ17" s="103">
        <f t="shared" si="241"/>
        <v>0</v>
      </c>
      <c r="DR17" s="62">
        <f>DP17-DQ17</f>
        <v>70</v>
      </c>
      <c r="DS17" s="50">
        <f t="shared" si="30"/>
        <v>77</v>
      </c>
      <c r="DT17" s="112">
        <f t="shared" si="242"/>
        <v>0</v>
      </c>
      <c r="DU17" s="71">
        <f t="shared" si="164"/>
        <v>77</v>
      </c>
      <c r="DW17" s="120">
        <f>DW16+1</f>
        <v>5</v>
      </c>
      <c r="DX17" s="7">
        <f t="shared" si="244"/>
        <v>1</v>
      </c>
      <c r="DY17" s="133"/>
      <c r="DZ17" s="14">
        <f t="shared" si="179"/>
        <v>0</v>
      </c>
      <c r="EA17" s="59">
        <f>IFERROR(DZ17-EE17,0)</f>
        <v>0</v>
      </c>
      <c r="EB17" s="405"/>
      <c r="EC17" s="406"/>
      <c r="ED17" s="406"/>
      <c r="EE17" s="14">
        <f t="shared" si="211"/>
        <v>0</v>
      </c>
      <c r="EF17" s="14">
        <f t="shared" si="180"/>
        <v>0</v>
      </c>
      <c r="EG17" s="14">
        <f t="shared" si="31"/>
        <v>0.7</v>
      </c>
      <c r="EH17" s="47">
        <f t="shared" si="212"/>
        <v>0</v>
      </c>
      <c r="EI17" s="35">
        <f t="shared" si="32"/>
        <v>0.7</v>
      </c>
      <c r="EJ17" s="157">
        <f t="shared" si="182"/>
        <v>0</v>
      </c>
      <c r="EK17" s="134"/>
      <c r="EL17" s="14">
        <f t="shared" si="33"/>
        <v>10</v>
      </c>
      <c r="EM17" s="48">
        <f t="shared" ref="EM17:EM80" si="260">IFERROR(EK17/DZ17,0)</f>
        <v>0</v>
      </c>
      <c r="EN17" s="68">
        <f t="shared" si="183"/>
        <v>0</v>
      </c>
      <c r="EO17" s="51">
        <f t="shared" si="34"/>
        <v>70</v>
      </c>
      <c r="EP17" s="103">
        <f t="shared" si="245"/>
        <v>0</v>
      </c>
      <c r="EQ17" s="62">
        <f>EO17-EP17</f>
        <v>70</v>
      </c>
      <c r="ER17" s="50">
        <f t="shared" si="35"/>
        <v>77</v>
      </c>
      <c r="ES17" s="112">
        <f t="shared" si="246"/>
        <v>0</v>
      </c>
      <c r="ET17" s="71">
        <f t="shared" si="165"/>
        <v>77</v>
      </c>
      <c r="EV17" s="120">
        <f>EV16+1</f>
        <v>5</v>
      </c>
      <c r="EW17" s="7">
        <f t="shared" si="248"/>
        <v>1</v>
      </c>
      <c r="EX17" s="133"/>
      <c r="EY17" s="14">
        <f t="shared" si="184"/>
        <v>0</v>
      </c>
      <c r="EZ17" s="59">
        <f>IFERROR(EY17-FD17,0)</f>
        <v>0</v>
      </c>
      <c r="FA17" s="405"/>
      <c r="FB17" s="406"/>
      <c r="FC17" s="406"/>
      <c r="FD17" s="14">
        <f t="shared" si="214"/>
        <v>0</v>
      </c>
      <c r="FE17" s="14">
        <f t="shared" si="185"/>
        <v>0</v>
      </c>
      <c r="FF17" s="14">
        <f t="shared" si="36"/>
        <v>0.7</v>
      </c>
      <c r="FG17" s="47">
        <f t="shared" si="215"/>
        <v>0</v>
      </c>
      <c r="FH17" s="35">
        <f t="shared" si="37"/>
        <v>0.7</v>
      </c>
      <c r="FI17" s="157">
        <f t="shared" si="187"/>
        <v>0</v>
      </c>
      <c r="FJ17" s="134"/>
      <c r="FK17" s="14">
        <f t="shared" si="38"/>
        <v>10</v>
      </c>
      <c r="FL17" s="48">
        <f t="shared" ref="FL17:FL80" si="261">IFERROR(FJ17/EY17,0)</f>
        <v>0</v>
      </c>
      <c r="FM17" s="68">
        <f t="shared" si="188"/>
        <v>0</v>
      </c>
      <c r="FN17" s="51">
        <f t="shared" si="39"/>
        <v>70</v>
      </c>
      <c r="FO17" s="103">
        <f t="shared" si="249"/>
        <v>0</v>
      </c>
      <c r="FP17" s="62">
        <f>FN17-FO17</f>
        <v>70</v>
      </c>
      <c r="FQ17" s="50">
        <f t="shared" si="40"/>
        <v>77</v>
      </c>
      <c r="FR17" s="112">
        <f t="shared" si="250"/>
        <v>0</v>
      </c>
      <c r="FS17" s="71">
        <f t="shared" si="166"/>
        <v>77</v>
      </c>
      <c r="FU17" s="120">
        <f>FU16+1</f>
        <v>5</v>
      </c>
      <c r="FV17" s="7">
        <f t="shared" si="252"/>
        <v>1</v>
      </c>
      <c r="FW17" s="133"/>
      <c r="FX17" s="14">
        <f t="shared" si="189"/>
        <v>0</v>
      </c>
      <c r="FY17" s="59">
        <f>IFERROR(FX17-GC17,0)</f>
        <v>0</v>
      </c>
      <c r="FZ17" s="405"/>
      <c r="GA17" s="406"/>
      <c r="GB17" s="406"/>
      <c r="GC17" s="14">
        <f t="shared" si="217"/>
        <v>0</v>
      </c>
      <c r="GD17" s="14">
        <f t="shared" si="190"/>
        <v>0</v>
      </c>
      <c r="GE17" s="14">
        <f t="shared" si="41"/>
        <v>0.7</v>
      </c>
      <c r="GF17" s="47">
        <f t="shared" si="218"/>
        <v>0</v>
      </c>
      <c r="GG17" s="35">
        <f t="shared" si="42"/>
        <v>0.7</v>
      </c>
      <c r="GH17" s="157">
        <f t="shared" si="192"/>
        <v>0</v>
      </c>
      <c r="GI17" s="134"/>
      <c r="GJ17" s="14">
        <f t="shared" si="43"/>
        <v>10</v>
      </c>
      <c r="GK17" s="48">
        <f t="shared" ref="GK17:GK80" si="262">IFERROR(GI17/FX17,0)</f>
        <v>0</v>
      </c>
      <c r="GL17" s="68">
        <f t="shared" si="193"/>
        <v>0</v>
      </c>
      <c r="GM17" s="51">
        <f t="shared" si="44"/>
        <v>70</v>
      </c>
      <c r="GN17" s="103">
        <f t="shared" si="253"/>
        <v>0</v>
      </c>
      <c r="GO17" s="62">
        <f>GM17-GN17</f>
        <v>70</v>
      </c>
      <c r="GP17" s="50">
        <f t="shared" si="45"/>
        <v>77</v>
      </c>
      <c r="GQ17" s="112">
        <f t="shared" si="254"/>
        <v>0</v>
      </c>
      <c r="GR17" s="71">
        <f t="shared" si="167"/>
        <v>77</v>
      </c>
      <c r="GT17" s="120">
        <f>GT16+1</f>
        <v>5</v>
      </c>
      <c r="GU17" s="7">
        <f t="shared" si="256"/>
        <v>1</v>
      </c>
      <c r="GV17" s="133"/>
      <c r="GW17" s="14">
        <f t="shared" si="194"/>
        <v>0</v>
      </c>
      <c r="GX17" s="59">
        <f>IFERROR(GW17-HB17,0)</f>
        <v>0</v>
      </c>
      <c r="GY17" s="405"/>
      <c r="GZ17" s="406"/>
      <c r="HA17" s="406"/>
      <c r="HB17" s="14">
        <f t="shared" si="220"/>
        <v>0</v>
      </c>
      <c r="HC17" s="14">
        <f t="shared" si="195"/>
        <v>0</v>
      </c>
      <c r="HD17" s="14">
        <f t="shared" si="46"/>
        <v>0.7</v>
      </c>
      <c r="HE17" s="47">
        <f t="shared" si="221"/>
        <v>0</v>
      </c>
      <c r="HF17" s="35">
        <f t="shared" si="47"/>
        <v>0.7</v>
      </c>
      <c r="HG17" s="157">
        <f t="shared" si="197"/>
        <v>0</v>
      </c>
      <c r="HH17" s="134"/>
      <c r="HI17" s="14">
        <f t="shared" si="48"/>
        <v>10</v>
      </c>
      <c r="HJ17" s="48">
        <f t="shared" ref="HJ17:HJ80" si="263">IFERROR(HH17/GW17,0)</f>
        <v>0</v>
      </c>
      <c r="HK17" s="68">
        <f t="shared" si="198"/>
        <v>0</v>
      </c>
      <c r="HL17" s="51">
        <f t="shared" si="49"/>
        <v>70</v>
      </c>
      <c r="HM17" s="103">
        <f t="shared" si="257"/>
        <v>0</v>
      </c>
      <c r="HN17" s="62">
        <f>HL17-HM17</f>
        <v>70</v>
      </c>
      <c r="HO17" s="50">
        <f t="shared" si="50"/>
        <v>77</v>
      </c>
      <c r="HP17" s="112">
        <f t="shared" si="258"/>
        <v>0</v>
      </c>
      <c r="HQ17" s="71">
        <f t="shared" si="168"/>
        <v>77</v>
      </c>
    </row>
    <row r="18" spans="1:225" ht="17.25" thickBot="1" x14ac:dyDescent="0.3">
      <c r="B18" s="120">
        <f t="shared" si="222"/>
        <v>7</v>
      </c>
      <c r="C18" s="570">
        <f t="shared" si="226"/>
        <v>1</v>
      </c>
      <c r="D18" s="133"/>
      <c r="E18" s="408">
        <f t="shared" si="223"/>
        <v>132478</v>
      </c>
      <c r="F18" s="562">
        <f t="shared" si="0"/>
        <v>132292</v>
      </c>
      <c r="G18" s="134"/>
      <c r="H18" s="135">
        <v>186</v>
      </c>
      <c r="I18" s="135"/>
      <c r="J18" s="14">
        <f t="shared" si="200"/>
        <v>186</v>
      </c>
      <c r="K18" s="14">
        <f t="shared" si="52"/>
        <v>2581</v>
      </c>
      <c r="L18" s="14">
        <f t="shared" si="1"/>
        <v>0.7</v>
      </c>
      <c r="M18" s="47">
        <f t="shared" si="85"/>
        <v>0.14040067029997433</v>
      </c>
      <c r="N18" s="35">
        <f t="shared" si="2"/>
        <v>0.7</v>
      </c>
      <c r="O18" s="132">
        <f>IFERROR((K18*100)/$D$12,0)</f>
        <v>1.913652102348135</v>
      </c>
      <c r="P18" s="142">
        <v>2000</v>
      </c>
      <c r="Q18" s="14">
        <f t="shared" si="3"/>
        <v>10</v>
      </c>
      <c r="R18" s="442">
        <f t="shared" si="4"/>
        <v>15.096846268814446</v>
      </c>
      <c r="S18" s="470">
        <f t="shared" si="201"/>
        <v>144.96260422155859</v>
      </c>
      <c r="T18" s="51">
        <f t="shared" si="5"/>
        <v>70</v>
      </c>
      <c r="U18" s="103">
        <f t="shared" si="227"/>
        <v>69</v>
      </c>
      <c r="V18" s="46">
        <f>T18-U18</f>
        <v>1</v>
      </c>
      <c r="W18" s="12">
        <f t="shared" si="6"/>
        <v>77</v>
      </c>
      <c r="X18" s="103">
        <f t="shared" si="228"/>
        <v>63</v>
      </c>
      <c r="Y18" s="71">
        <f t="shared" si="56"/>
        <v>14</v>
      </c>
      <c r="Z18" s="487"/>
      <c r="AA18" s="120">
        <f t="shared" si="224"/>
        <v>7</v>
      </c>
      <c r="AB18" s="7">
        <f t="shared" si="229"/>
        <v>1</v>
      </c>
      <c r="AC18" s="229"/>
      <c r="AD18" s="48">
        <f t="shared" ref="AD18:AD25" si="264">IFERROR(AE17+AC18,0)</f>
        <v>152841</v>
      </c>
      <c r="AE18" s="49">
        <f t="shared" si="7"/>
        <v>152769</v>
      </c>
      <c r="AF18" s="134"/>
      <c r="AG18" s="135">
        <v>72</v>
      </c>
      <c r="AH18" s="135"/>
      <c r="AI18" s="14">
        <f t="shared" si="203"/>
        <v>72</v>
      </c>
      <c r="AJ18" s="14">
        <f t="shared" si="199"/>
        <v>407</v>
      </c>
      <c r="AK18" s="14">
        <f t="shared" si="8"/>
        <v>0.7</v>
      </c>
      <c r="AL18" s="230">
        <f t="shared" si="58"/>
        <v>4.7107778671953204E-2</v>
      </c>
      <c r="AM18" s="35">
        <f t="shared" si="9"/>
        <v>0.7</v>
      </c>
      <c r="AN18" s="157">
        <f t="shared" si="169"/>
        <v>0.26570742152817672</v>
      </c>
      <c r="AO18" s="134">
        <v>1600</v>
      </c>
      <c r="AP18" s="14">
        <f t="shared" si="10"/>
        <v>10</v>
      </c>
      <c r="AQ18" s="482">
        <f t="shared" si="59"/>
        <v>10.468395260434045</v>
      </c>
      <c r="AR18" s="470">
        <f t="shared" si="134"/>
        <v>219.95074188956264</v>
      </c>
      <c r="AS18" s="51">
        <f t="shared" si="11"/>
        <v>70</v>
      </c>
      <c r="AT18" s="103">
        <f t="shared" si="230"/>
        <v>63</v>
      </c>
      <c r="AU18" s="46">
        <f>AS18-AT18</f>
        <v>7</v>
      </c>
      <c r="AV18" s="12">
        <f t="shared" si="12"/>
        <v>77</v>
      </c>
      <c r="AW18" s="103">
        <f t="shared" si="231"/>
        <v>47</v>
      </c>
      <c r="AX18" s="71">
        <f t="shared" si="170"/>
        <v>30</v>
      </c>
      <c r="AZ18" s="120">
        <f t="shared" si="225"/>
        <v>7</v>
      </c>
      <c r="BA18" s="7">
        <f t="shared" si="232"/>
        <v>1</v>
      </c>
      <c r="BB18" s="133"/>
      <c r="BC18" s="48">
        <f t="shared" si="62"/>
        <v>0</v>
      </c>
      <c r="BD18" s="49">
        <f t="shared" si="13"/>
        <v>0</v>
      </c>
      <c r="BE18" s="134"/>
      <c r="BF18" s="135"/>
      <c r="BG18" s="135"/>
      <c r="BH18" s="14">
        <f t="shared" si="204"/>
        <v>0</v>
      </c>
      <c r="BI18" s="14">
        <f t="shared" si="63"/>
        <v>0</v>
      </c>
      <c r="BJ18" s="14">
        <f t="shared" si="14"/>
        <v>0.7</v>
      </c>
      <c r="BK18" s="47">
        <f t="shared" si="92"/>
        <v>0</v>
      </c>
      <c r="BL18" s="35">
        <f t="shared" si="15"/>
        <v>0.7</v>
      </c>
      <c r="BM18" s="157">
        <f t="shared" si="16"/>
        <v>0</v>
      </c>
      <c r="BN18" s="134"/>
      <c r="BO18" s="14">
        <f t="shared" si="17"/>
        <v>10</v>
      </c>
      <c r="BP18" s="442">
        <f t="shared" si="93"/>
        <v>0</v>
      </c>
      <c r="BQ18" s="747">
        <f t="shared" si="137"/>
        <v>0</v>
      </c>
      <c r="BR18" s="51">
        <f t="shared" si="18"/>
        <v>70</v>
      </c>
      <c r="BS18" s="103">
        <f t="shared" si="233"/>
        <v>0</v>
      </c>
      <c r="BT18" s="46">
        <f>BR18-BS18</f>
        <v>70</v>
      </c>
      <c r="BU18" s="12">
        <f t="shared" si="20"/>
        <v>77</v>
      </c>
      <c r="BV18" s="103">
        <f t="shared" si="234"/>
        <v>0</v>
      </c>
      <c r="BW18" s="71">
        <f t="shared" si="171"/>
        <v>77</v>
      </c>
      <c r="BY18" s="120">
        <f t="shared" ref="BY18:BY19" si="265">BY17+1</f>
        <v>6</v>
      </c>
      <c r="BZ18" s="7">
        <f t="shared" si="236"/>
        <v>1</v>
      </c>
      <c r="CA18" s="133"/>
      <c r="CB18" s="14">
        <f t="shared" si="172"/>
        <v>0</v>
      </c>
      <c r="CC18" s="46">
        <f>IFERROR(CB18-CG18,0)</f>
        <v>0</v>
      </c>
      <c r="CD18" s="405"/>
      <c r="CE18" s="406"/>
      <c r="CF18" s="406"/>
      <c r="CG18" s="14">
        <f t="shared" si="206"/>
        <v>0</v>
      </c>
      <c r="CH18" s="14">
        <f t="shared" si="173"/>
        <v>0</v>
      </c>
      <c r="CI18" s="14">
        <f t="shared" si="21"/>
        <v>0.7</v>
      </c>
      <c r="CJ18" s="47">
        <f t="shared" si="97"/>
        <v>0</v>
      </c>
      <c r="CK18" s="35">
        <f t="shared" si="22"/>
        <v>0.7</v>
      </c>
      <c r="CL18" s="157">
        <f t="shared" si="140"/>
        <v>0</v>
      </c>
      <c r="CM18" s="134"/>
      <c r="CN18" s="14">
        <f t="shared" si="23"/>
        <v>10</v>
      </c>
      <c r="CO18" s="48">
        <f t="shared" si="141"/>
        <v>0</v>
      </c>
      <c r="CP18" s="68">
        <f t="shared" si="98"/>
        <v>0</v>
      </c>
      <c r="CQ18" s="51">
        <f t="shared" si="24"/>
        <v>70</v>
      </c>
      <c r="CR18" s="103">
        <f t="shared" si="237"/>
        <v>0</v>
      </c>
      <c r="CS18" s="46">
        <f>CQ18-CR18</f>
        <v>70</v>
      </c>
      <c r="CT18" s="50">
        <f t="shared" si="25"/>
        <v>77</v>
      </c>
      <c r="CU18" s="112">
        <f t="shared" si="238"/>
        <v>0</v>
      </c>
      <c r="CV18" s="71">
        <f t="shared" si="67"/>
        <v>77</v>
      </c>
      <c r="CX18" s="120">
        <f t="shared" ref="CX18:CX19" si="266">CX17+1</f>
        <v>6</v>
      </c>
      <c r="CY18" s="7">
        <f t="shared" si="240"/>
        <v>1</v>
      </c>
      <c r="CZ18" s="133"/>
      <c r="DA18" s="14">
        <f t="shared" si="174"/>
        <v>0</v>
      </c>
      <c r="DB18" s="46">
        <f>IFERROR(DA18-DF18,0)</f>
        <v>0</v>
      </c>
      <c r="DC18" s="405"/>
      <c r="DD18" s="406"/>
      <c r="DE18" s="406"/>
      <c r="DF18" s="14">
        <f t="shared" si="208"/>
        <v>0</v>
      </c>
      <c r="DG18" s="14">
        <f t="shared" si="175"/>
        <v>0</v>
      </c>
      <c r="DH18" s="14">
        <f t="shared" si="26"/>
        <v>0.7</v>
      </c>
      <c r="DI18" s="47">
        <f t="shared" si="209"/>
        <v>0</v>
      </c>
      <c r="DJ18" s="35">
        <f t="shared" si="27"/>
        <v>0.7</v>
      </c>
      <c r="DK18" s="157">
        <f t="shared" si="177"/>
        <v>0</v>
      </c>
      <c r="DL18" s="134"/>
      <c r="DM18" s="14">
        <f t="shared" si="28"/>
        <v>10</v>
      </c>
      <c r="DN18" s="48">
        <f t="shared" si="259"/>
        <v>0</v>
      </c>
      <c r="DO18" s="68">
        <f t="shared" si="178"/>
        <v>0</v>
      </c>
      <c r="DP18" s="51">
        <f t="shared" si="29"/>
        <v>70</v>
      </c>
      <c r="DQ18" s="103">
        <f t="shared" si="241"/>
        <v>0</v>
      </c>
      <c r="DR18" s="46">
        <f>DP18-DQ18</f>
        <v>70</v>
      </c>
      <c r="DS18" s="50">
        <f t="shared" si="30"/>
        <v>77</v>
      </c>
      <c r="DT18" s="112">
        <f t="shared" si="242"/>
        <v>0</v>
      </c>
      <c r="DU18" s="71">
        <f t="shared" si="164"/>
        <v>77</v>
      </c>
      <c r="DW18" s="120">
        <f t="shared" ref="DW18:DW19" si="267">DW17+1</f>
        <v>6</v>
      </c>
      <c r="DX18" s="7">
        <f t="shared" si="244"/>
        <v>1</v>
      </c>
      <c r="DY18" s="133"/>
      <c r="DZ18" s="14">
        <f t="shared" si="179"/>
        <v>0</v>
      </c>
      <c r="EA18" s="46">
        <f>IFERROR(DZ18-EE18,0)</f>
        <v>0</v>
      </c>
      <c r="EB18" s="405"/>
      <c r="EC18" s="406"/>
      <c r="ED18" s="406"/>
      <c r="EE18" s="14">
        <f t="shared" si="211"/>
        <v>0</v>
      </c>
      <c r="EF18" s="14">
        <f t="shared" si="180"/>
        <v>0</v>
      </c>
      <c r="EG18" s="14">
        <f t="shared" si="31"/>
        <v>0.7</v>
      </c>
      <c r="EH18" s="47">
        <f t="shared" si="212"/>
        <v>0</v>
      </c>
      <c r="EI18" s="35">
        <f t="shared" si="32"/>
        <v>0.7</v>
      </c>
      <c r="EJ18" s="157">
        <f t="shared" si="182"/>
        <v>0</v>
      </c>
      <c r="EK18" s="134"/>
      <c r="EL18" s="14">
        <f t="shared" si="33"/>
        <v>10</v>
      </c>
      <c r="EM18" s="48">
        <f t="shared" si="260"/>
        <v>0</v>
      </c>
      <c r="EN18" s="68">
        <f t="shared" si="183"/>
        <v>0</v>
      </c>
      <c r="EO18" s="51">
        <f t="shared" si="34"/>
        <v>70</v>
      </c>
      <c r="EP18" s="103">
        <f t="shared" si="245"/>
        <v>0</v>
      </c>
      <c r="EQ18" s="46">
        <f>EO18-EP18</f>
        <v>70</v>
      </c>
      <c r="ER18" s="50">
        <f t="shared" si="35"/>
        <v>77</v>
      </c>
      <c r="ES18" s="112">
        <f t="shared" si="246"/>
        <v>0</v>
      </c>
      <c r="ET18" s="71">
        <f t="shared" si="165"/>
        <v>77</v>
      </c>
      <c r="EV18" s="120">
        <f t="shared" ref="EV18:EV19" si="268">EV17+1</f>
        <v>6</v>
      </c>
      <c r="EW18" s="7">
        <f t="shared" si="248"/>
        <v>1</v>
      </c>
      <c r="EX18" s="133"/>
      <c r="EY18" s="14">
        <f t="shared" si="184"/>
        <v>0</v>
      </c>
      <c r="EZ18" s="46">
        <f>IFERROR(EY18-FD18,0)</f>
        <v>0</v>
      </c>
      <c r="FA18" s="405"/>
      <c r="FB18" s="406"/>
      <c r="FC18" s="406"/>
      <c r="FD18" s="14">
        <f t="shared" si="214"/>
        <v>0</v>
      </c>
      <c r="FE18" s="14">
        <f t="shared" si="185"/>
        <v>0</v>
      </c>
      <c r="FF18" s="14">
        <f t="shared" si="36"/>
        <v>0.7</v>
      </c>
      <c r="FG18" s="47">
        <f t="shared" si="215"/>
        <v>0</v>
      </c>
      <c r="FH18" s="35">
        <f t="shared" si="37"/>
        <v>0.7</v>
      </c>
      <c r="FI18" s="157">
        <f t="shared" si="187"/>
        <v>0</v>
      </c>
      <c r="FJ18" s="134"/>
      <c r="FK18" s="14">
        <f t="shared" si="38"/>
        <v>10</v>
      </c>
      <c r="FL18" s="48">
        <f t="shared" si="261"/>
        <v>0</v>
      </c>
      <c r="FM18" s="68">
        <f t="shared" si="188"/>
        <v>0</v>
      </c>
      <c r="FN18" s="51">
        <f t="shared" si="39"/>
        <v>70</v>
      </c>
      <c r="FO18" s="103">
        <f t="shared" si="249"/>
        <v>0</v>
      </c>
      <c r="FP18" s="46">
        <f>FN18-FO18</f>
        <v>70</v>
      </c>
      <c r="FQ18" s="50">
        <f t="shared" si="40"/>
        <v>77</v>
      </c>
      <c r="FR18" s="112">
        <f t="shared" si="250"/>
        <v>0</v>
      </c>
      <c r="FS18" s="71">
        <f t="shared" si="166"/>
        <v>77</v>
      </c>
      <c r="FU18" s="120">
        <f t="shared" ref="FU18:FU19" si="269">FU17+1</f>
        <v>6</v>
      </c>
      <c r="FV18" s="7">
        <f t="shared" si="252"/>
        <v>1</v>
      </c>
      <c r="FW18" s="133"/>
      <c r="FX18" s="14">
        <f t="shared" si="189"/>
        <v>0</v>
      </c>
      <c r="FY18" s="46">
        <f>IFERROR(FX18-GC18,0)</f>
        <v>0</v>
      </c>
      <c r="FZ18" s="405"/>
      <c r="GA18" s="406"/>
      <c r="GB18" s="406"/>
      <c r="GC18" s="14">
        <f t="shared" si="217"/>
        <v>0</v>
      </c>
      <c r="GD18" s="14">
        <f t="shared" si="190"/>
        <v>0</v>
      </c>
      <c r="GE18" s="14">
        <f t="shared" si="41"/>
        <v>0.7</v>
      </c>
      <c r="GF18" s="47">
        <f t="shared" si="218"/>
        <v>0</v>
      </c>
      <c r="GG18" s="35">
        <f t="shared" si="42"/>
        <v>0.7</v>
      </c>
      <c r="GH18" s="157">
        <f t="shared" si="192"/>
        <v>0</v>
      </c>
      <c r="GI18" s="134"/>
      <c r="GJ18" s="14">
        <f t="shared" si="43"/>
        <v>10</v>
      </c>
      <c r="GK18" s="48">
        <f t="shared" si="262"/>
        <v>0</v>
      </c>
      <c r="GL18" s="68">
        <f t="shared" si="193"/>
        <v>0</v>
      </c>
      <c r="GM18" s="51">
        <f t="shared" si="44"/>
        <v>70</v>
      </c>
      <c r="GN18" s="103">
        <f t="shared" si="253"/>
        <v>0</v>
      </c>
      <c r="GO18" s="46">
        <f>GM18-GN18</f>
        <v>70</v>
      </c>
      <c r="GP18" s="50">
        <f t="shared" si="45"/>
        <v>77</v>
      </c>
      <c r="GQ18" s="112">
        <f t="shared" si="254"/>
        <v>0</v>
      </c>
      <c r="GR18" s="71">
        <f t="shared" si="167"/>
        <v>77</v>
      </c>
      <c r="GT18" s="120">
        <f t="shared" ref="GT18:GT19" si="270">GT17+1</f>
        <v>6</v>
      </c>
      <c r="GU18" s="7">
        <f t="shared" si="256"/>
        <v>1</v>
      </c>
      <c r="GV18" s="133"/>
      <c r="GW18" s="14">
        <f t="shared" si="194"/>
        <v>0</v>
      </c>
      <c r="GX18" s="46">
        <f>IFERROR(GW18-HB18,0)</f>
        <v>0</v>
      </c>
      <c r="GY18" s="405"/>
      <c r="GZ18" s="406"/>
      <c r="HA18" s="406"/>
      <c r="HB18" s="14">
        <f t="shared" si="220"/>
        <v>0</v>
      </c>
      <c r="HC18" s="14">
        <f t="shared" si="195"/>
        <v>0</v>
      </c>
      <c r="HD18" s="14">
        <f t="shared" si="46"/>
        <v>0.7</v>
      </c>
      <c r="HE18" s="47">
        <f t="shared" si="221"/>
        <v>0</v>
      </c>
      <c r="HF18" s="35">
        <f t="shared" si="47"/>
        <v>0.7</v>
      </c>
      <c r="HG18" s="157">
        <f t="shared" si="197"/>
        <v>0</v>
      </c>
      <c r="HH18" s="134"/>
      <c r="HI18" s="14">
        <f t="shared" si="48"/>
        <v>10</v>
      </c>
      <c r="HJ18" s="48">
        <f t="shared" si="263"/>
        <v>0</v>
      </c>
      <c r="HK18" s="68">
        <f t="shared" si="198"/>
        <v>0</v>
      </c>
      <c r="HL18" s="51">
        <f t="shared" si="49"/>
        <v>70</v>
      </c>
      <c r="HM18" s="103">
        <f t="shared" si="257"/>
        <v>0</v>
      </c>
      <c r="HN18" s="46">
        <f>HL18-HM18</f>
        <v>70</v>
      </c>
      <c r="HO18" s="50">
        <f t="shared" si="50"/>
        <v>77</v>
      </c>
      <c r="HP18" s="112">
        <f t="shared" si="258"/>
        <v>0</v>
      </c>
      <c r="HQ18" s="71">
        <f t="shared" si="168"/>
        <v>77</v>
      </c>
    </row>
    <row r="19" spans="1:225" ht="17.25" thickBot="1" x14ac:dyDescent="0.3">
      <c r="B19" s="197">
        <f t="shared" si="222"/>
        <v>8</v>
      </c>
      <c r="C19" s="574">
        <f t="shared" si="226"/>
        <v>1</v>
      </c>
      <c r="D19" s="136"/>
      <c r="E19" s="436">
        <f>IFERROR(F18+D19,0)</f>
        <v>132292</v>
      </c>
      <c r="F19" s="740">
        <f>IFERROR(E19-J19,0)</f>
        <v>132126</v>
      </c>
      <c r="G19" s="137"/>
      <c r="H19" s="138">
        <v>166</v>
      </c>
      <c r="I19" s="138"/>
      <c r="J19" s="32">
        <f t="shared" si="200"/>
        <v>166</v>
      </c>
      <c r="K19" s="32">
        <f t="shared" si="52"/>
        <v>2747</v>
      </c>
      <c r="L19" s="32">
        <f t="shared" si="1"/>
        <v>0.7</v>
      </c>
      <c r="M19" s="96">
        <f t="shared" si="85"/>
        <v>0.12547999879055421</v>
      </c>
      <c r="N19" s="36">
        <f t="shared" si="2"/>
        <v>0.7</v>
      </c>
      <c r="O19" s="132">
        <f t="shared" si="53"/>
        <v>2.0367308505038073</v>
      </c>
      <c r="P19" s="139">
        <v>3400</v>
      </c>
      <c r="Q19" s="32">
        <f t="shared" si="3"/>
        <v>10</v>
      </c>
      <c r="R19" s="443">
        <f t="shared" si="4"/>
        <v>25.700722643848454</v>
      </c>
      <c r="S19" s="471">
        <f t="shared" si="201"/>
        <v>170.66332686540704</v>
      </c>
      <c r="T19" s="56">
        <f t="shared" si="5"/>
        <v>70</v>
      </c>
      <c r="U19" s="109">
        <f t="shared" si="227"/>
        <v>69</v>
      </c>
      <c r="V19" s="63">
        <f>T19-U19</f>
        <v>1</v>
      </c>
      <c r="W19" s="56">
        <f t="shared" si="6"/>
        <v>77</v>
      </c>
      <c r="X19" s="109">
        <f t="shared" si="228"/>
        <v>63</v>
      </c>
      <c r="Y19" s="63">
        <f t="shared" si="56"/>
        <v>14</v>
      </c>
      <c r="Z19" s="487"/>
      <c r="AA19" s="197">
        <f t="shared" si="224"/>
        <v>8</v>
      </c>
      <c r="AB19" s="8">
        <f t="shared" si="229"/>
        <v>1</v>
      </c>
      <c r="AC19" s="346">
        <f>SUM(AC10:AC17)</f>
        <v>153176</v>
      </c>
      <c r="AD19" s="54">
        <f>IFERROR(AE18+AC20,0)</f>
        <v>152769</v>
      </c>
      <c r="AE19" s="448">
        <f t="shared" si="7"/>
        <v>152670</v>
      </c>
      <c r="AF19" s="137"/>
      <c r="AG19" s="138">
        <v>99</v>
      </c>
      <c r="AH19" s="138"/>
      <c r="AI19" s="34">
        <f t="shared" si="203"/>
        <v>99</v>
      </c>
      <c r="AJ19" s="34">
        <f t="shared" si="199"/>
        <v>506</v>
      </c>
      <c r="AK19" s="17">
        <f t="shared" si="8"/>
        <v>0.7</v>
      </c>
      <c r="AL19" s="96">
        <f t="shared" si="58"/>
        <v>6.4803723268464147E-2</v>
      </c>
      <c r="AM19" s="33">
        <f t="shared" si="9"/>
        <v>0.7</v>
      </c>
      <c r="AN19" s="157">
        <f>IFERROR((AJ19*100)/$AC$19,0)</f>
        <v>0.33033895649449002</v>
      </c>
      <c r="AO19" s="137">
        <v>1600</v>
      </c>
      <c r="AP19" s="13">
        <f t="shared" si="10"/>
        <v>10</v>
      </c>
      <c r="AQ19" s="443">
        <f t="shared" si="59"/>
        <v>10.473329013085117</v>
      </c>
      <c r="AR19" s="471">
        <f t="shared" si="134"/>
        <v>230.42407090264774</v>
      </c>
      <c r="AS19" s="56">
        <f t="shared" si="11"/>
        <v>70</v>
      </c>
      <c r="AT19" s="103">
        <f t="shared" si="230"/>
        <v>63</v>
      </c>
      <c r="AU19" s="63">
        <f>AS19-AT19</f>
        <v>7</v>
      </c>
      <c r="AV19" s="56">
        <f t="shared" si="12"/>
        <v>77</v>
      </c>
      <c r="AW19" s="103">
        <f t="shared" si="231"/>
        <v>47</v>
      </c>
      <c r="AX19" s="63">
        <f t="shared" si="170"/>
        <v>30</v>
      </c>
      <c r="AZ19" s="197">
        <f t="shared" si="225"/>
        <v>8</v>
      </c>
      <c r="BA19" s="8">
        <f t="shared" si="232"/>
        <v>1</v>
      </c>
      <c r="BB19" s="136"/>
      <c r="BC19" s="54">
        <f t="shared" si="62"/>
        <v>0</v>
      </c>
      <c r="BD19" s="448">
        <f t="shared" si="13"/>
        <v>0</v>
      </c>
      <c r="BE19" s="137"/>
      <c r="BF19" s="138"/>
      <c r="BG19" s="138"/>
      <c r="BH19" s="34">
        <f t="shared" si="204"/>
        <v>0</v>
      </c>
      <c r="BI19" s="34">
        <f t="shared" si="63"/>
        <v>0</v>
      </c>
      <c r="BJ19" s="34">
        <f t="shared" si="14"/>
        <v>0.7</v>
      </c>
      <c r="BK19" s="96">
        <f t="shared" si="92"/>
        <v>0</v>
      </c>
      <c r="BL19" s="40">
        <f t="shared" si="15"/>
        <v>0.7</v>
      </c>
      <c r="BM19" s="156">
        <f t="shared" si="16"/>
        <v>0</v>
      </c>
      <c r="BN19" s="137"/>
      <c r="BO19" s="32">
        <f t="shared" si="17"/>
        <v>10</v>
      </c>
      <c r="BP19" s="443">
        <f t="shared" si="93"/>
        <v>0</v>
      </c>
      <c r="BQ19" s="750">
        <f t="shared" si="137"/>
        <v>0</v>
      </c>
      <c r="BR19" s="56">
        <f t="shared" si="18"/>
        <v>70</v>
      </c>
      <c r="BS19" s="109">
        <f t="shared" si="233"/>
        <v>0</v>
      </c>
      <c r="BT19" s="63">
        <f>BR19-BS19</f>
        <v>70</v>
      </c>
      <c r="BU19" s="56">
        <f t="shared" si="20"/>
        <v>77</v>
      </c>
      <c r="BV19" s="109">
        <f t="shared" si="234"/>
        <v>0</v>
      </c>
      <c r="BW19" s="63">
        <f t="shared" si="171"/>
        <v>77</v>
      </c>
      <c r="BY19" s="120">
        <f t="shared" si="265"/>
        <v>7</v>
      </c>
      <c r="BZ19" s="8">
        <f t="shared" si="236"/>
        <v>1</v>
      </c>
      <c r="CA19" s="136"/>
      <c r="CB19" s="32">
        <f t="shared" si="172"/>
        <v>0</v>
      </c>
      <c r="CC19" s="63">
        <f>IFERROR(CB19-CG19,0)</f>
        <v>0</v>
      </c>
      <c r="CD19" s="421"/>
      <c r="CE19" s="426"/>
      <c r="CF19" s="426"/>
      <c r="CG19" s="34">
        <f t="shared" si="206"/>
        <v>0</v>
      </c>
      <c r="CH19" s="34">
        <f t="shared" si="173"/>
        <v>0</v>
      </c>
      <c r="CI19" s="17">
        <f t="shared" si="21"/>
        <v>0.7</v>
      </c>
      <c r="CJ19" s="166">
        <f t="shared" si="97"/>
        <v>0</v>
      </c>
      <c r="CK19" s="33">
        <f t="shared" si="22"/>
        <v>0.7</v>
      </c>
      <c r="CL19" s="156">
        <f t="shared" si="140"/>
        <v>0</v>
      </c>
      <c r="CM19" s="137"/>
      <c r="CN19" s="32">
        <f t="shared" si="23"/>
        <v>10</v>
      </c>
      <c r="CO19" s="54">
        <f t="shared" si="141"/>
        <v>0</v>
      </c>
      <c r="CP19" s="70">
        <f t="shared" si="98"/>
        <v>0</v>
      </c>
      <c r="CQ19" s="56">
        <f t="shared" si="24"/>
        <v>70</v>
      </c>
      <c r="CR19" s="103">
        <f t="shared" si="237"/>
        <v>0</v>
      </c>
      <c r="CS19" s="63">
        <f>CQ19-CR19</f>
        <v>70</v>
      </c>
      <c r="CT19" s="56">
        <f t="shared" si="25"/>
        <v>77</v>
      </c>
      <c r="CU19" s="112">
        <f t="shared" si="238"/>
        <v>0</v>
      </c>
      <c r="CV19" s="63">
        <f t="shared" si="67"/>
        <v>77</v>
      </c>
      <c r="CX19" s="120">
        <f t="shared" si="266"/>
        <v>7</v>
      </c>
      <c r="CY19" s="8">
        <f t="shared" si="240"/>
        <v>1</v>
      </c>
      <c r="CZ19" s="136"/>
      <c r="DA19" s="32">
        <f t="shared" si="174"/>
        <v>0</v>
      </c>
      <c r="DB19" s="63">
        <f>IFERROR(DA19-DF19,0)</f>
        <v>0</v>
      </c>
      <c r="DC19" s="421"/>
      <c r="DD19" s="426"/>
      <c r="DE19" s="426"/>
      <c r="DF19" s="34">
        <f t="shared" si="208"/>
        <v>0</v>
      </c>
      <c r="DG19" s="34">
        <f t="shared" si="175"/>
        <v>0</v>
      </c>
      <c r="DH19" s="17">
        <f t="shared" si="26"/>
        <v>0.7</v>
      </c>
      <c r="DI19" s="166">
        <f t="shared" si="209"/>
        <v>0</v>
      </c>
      <c r="DJ19" s="33">
        <f t="shared" si="27"/>
        <v>0.7</v>
      </c>
      <c r="DK19" s="156">
        <f t="shared" si="177"/>
        <v>0</v>
      </c>
      <c r="DL19" s="137"/>
      <c r="DM19" s="32">
        <f t="shared" si="28"/>
        <v>10</v>
      </c>
      <c r="DN19" s="54">
        <f t="shared" si="259"/>
        <v>0</v>
      </c>
      <c r="DO19" s="70">
        <f t="shared" si="178"/>
        <v>0</v>
      </c>
      <c r="DP19" s="56">
        <f t="shared" si="29"/>
        <v>70</v>
      </c>
      <c r="DQ19" s="103">
        <f t="shared" si="241"/>
        <v>0</v>
      </c>
      <c r="DR19" s="63">
        <f>DP19-DQ19</f>
        <v>70</v>
      </c>
      <c r="DS19" s="56">
        <f t="shared" si="30"/>
        <v>77</v>
      </c>
      <c r="DT19" s="112">
        <f t="shared" si="242"/>
        <v>0</v>
      </c>
      <c r="DU19" s="63">
        <f t="shared" si="164"/>
        <v>77</v>
      </c>
      <c r="DW19" s="120">
        <f t="shared" si="267"/>
        <v>7</v>
      </c>
      <c r="DX19" s="8">
        <f t="shared" si="244"/>
        <v>1</v>
      </c>
      <c r="DY19" s="136"/>
      <c r="DZ19" s="32">
        <f t="shared" si="179"/>
        <v>0</v>
      </c>
      <c r="EA19" s="63">
        <f>IFERROR(DZ19-EE19,0)</f>
        <v>0</v>
      </c>
      <c r="EB19" s="421"/>
      <c r="EC19" s="426"/>
      <c r="ED19" s="426"/>
      <c r="EE19" s="34">
        <f t="shared" si="211"/>
        <v>0</v>
      </c>
      <c r="EF19" s="34">
        <f t="shared" si="180"/>
        <v>0</v>
      </c>
      <c r="EG19" s="17">
        <f t="shared" si="31"/>
        <v>0.7</v>
      </c>
      <c r="EH19" s="166">
        <f t="shared" si="212"/>
        <v>0</v>
      </c>
      <c r="EI19" s="33">
        <f t="shared" si="32"/>
        <v>0.7</v>
      </c>
      <c r="EJ19" s="156">
        <f t="shared" si="182"/>
        <v>0</v>
      </c>
      <c r="EK19" s="137"/>
      <c r="EL19" s="32">
        <f t="shared" si="33"/>
        <v>10</v>
      </c>
      <c r="EM19" s="54">
        <f t="shared" si="260"/>
        <v>0</v>
      </c>
      <c r="EN19" s="70">
        <f t="shared" si="183"/>
        <v>0</v>
      </c>
      <c r="EO19" s="56">
        <f t="shared" si="34"/>
        <v>70</v>
      </c>
      <c r="EP19" s="103">
        <f t="shared" si="245"/>
        <v>0</v>
      </c>
      <c r="EQ19" s="63">
        <f>EO19-EP19</f>
        <v>70</v>
      </c>
      <c r="ER19" s="56">
        <f t="shared" si="35"/>
        <v>77</v>
      </c>
      <c r="ES19" s="112">
        <f t="shared" si="246"/>
        <v>0</v>
      </c>
      <c r="ET19" s="63">
        <f t="shared" si="165"/>
        <v>77</v>
      </c>
      <c r="EV19" s="120">
        <f t="shared" si="268"/>
        <v>7</v>
      </c>
      <c r="EW19" s="8">
        <f t="shared" si="248"/>
        <v>1</v>
      </c>
      <c r="EX19" s="136"/>
      <c r="EY19" s="32">
        <f t="shared" si="184"/>
        <v>0</v>
      </c>
      <c r="EZ19" s="63">
        <f>IFERROR(EY19-FD19,0)</f>
        <v>0</v>
      </c>
      <c r="FA19" s="421"/>
      <c r="FB19" s="426"/>
      <c r="FC19" s="426"/>
      <c r="FD19" s="34">
        <f t="shared" si="214"/>
        <v>0</v>
      </c>
      <c r="FE19" s="34">
        <f t="shared" si="185"/>
        <v>0</v>
      </c>
      <c r="FF19" s="17">
        <f t="shared" si="36"/>
        <v>0.7</v>
      </c>
      <c r="FG19" s="166">
        <f t="shared" si="215"/>
        <v>0</v>
      </c>
      <c r="FH19" s="33">
        <f t="shared" si="37"/>
        <v>0.7</v>
      </c>
      <c r="FI19" s="156">
        <f t="shared" si="187"/>
        <v>0</v>
      </c>
      <c r="FJ19" s="137"/>
      <c r="FK19" s="32">
        <f t="shared" si="38"/>
        <v>10</v>
      </c>
      <c r="FL19" s="54">
        <f t="shared" si="261"/>
        <v>0</v>
      </c>
      <c r="FM19" s="70">
        <f t="shared" si="188"/>
        <v>0</v>
      </c>
      <c r="FN19" s="56">
        <f t="shared" si="39"/>
        <v>70</v>
      </c>
      <c r="FO19" s="103">
        <f t="shared" si="249"/>
        <v>0</v>
      </c>
      <c r="FP19" s="63">
        <f>FN19-FO19</f>
        <v>70</v>
      </c>
      <c r="FQ19" s="56">
        <f t="shared" si="40"/>
        <v>77</v>
      </c>
      <c r="FR19" s="112">
        <f t="shared" si="250"/>
        <v>0</v>
      </c>
      <c r="FS19" s="63">
        <f t="shared" si="166"/>
        <v>77</v>
      </c>
      <c r="FU19" s="120">
        <f t="shared" si="269"/>
        <v>7</v>
      </c>
      <c r="FV19" s="8">
        <f t="shared" si="252"/>
        <v>1</v>
      </c>
      <c r="FW19" s="136"/>
      <c r="FX19" s="32">
        <f t="shared" si="189"/>
        <v>0</v>
      </c>
      <c r="FY19" s="63">
        <f>IFERROR(FX19-GC19,0)</f>
        <v>0</v>
      </c>
      <c r="FZ19" s="421"/>
      <c r="GA19" s="426"/>
      <c r="GB19" s="426"/>
      <c r="GC19" s="34">
        <f t="shared" si="217"/>
        <v>0</v>
      </c>
      <c r="GD19" s="34">
        <f t="shared" si="190"/>
        <v>0</v>
      </c>
      <c r="GE19" s="17">
        <f t="shared" si="41"/>
        <v>0.7</v>
      </c>
      <c r="GF19" s="166">
        <f t="shared" si="218"/>
        <v>0</v>
      </c>
      <c r="GG19" s="33">
        <f t="shared" si="42"/>
        <v>0.7</v>
      </c>
      <c r="GH19" s="156">
        <f t="shared" si="192"/>
        <v>0</v>
      </c>
      <c r="GI19" s="137"/>
      <c r="GJ19" s="32">
        <f t="shared" si="43"/>
        <v>10</v>
      </c>
      <c r="GK19" s="54">
        <f t="shared" si="262"/>
        <v>0</v>
      </c>
      <c r="GL19" s="70">
        <f t="shared" si="193"/>
        <v>0</v>
      </c>
      <c r="GM19" s="56">
        <f t="shared" si="44"/>
        <v>70</v>
      </c>
      <c r="GN19" s="103">
        <f t="shared" si="253"/>
        <v>0</v>
      </c>
      <c r="GO19" s="63">
        <f>GM19-GN19</f>
        <v>70</v>
      </c>
      <c r="GP19" s="56">
        <f t="shared" si="45"/>
        <v>77</v>
      </c>
      <c r="GQ19" s="112">
        <f t="shared" si="254"/>
        <v>0</v>
      </c>
      <c r="GR19" s="63">
        <f t="shared" si="167"/>
        <v>77</v>
      </c>
      <c r="GT19" s="120">
        <f t="shared" si="270"/>
        <v>7</v>
      </c>
      <c r="GU19" s="8">
        <f t="shared" si="256"/>
        <v>1</v>
      </c>
      <c r="GV19" s="136"/>
      <c r="GW19" s="32">
        <f t="shared" si="194"/>
        <v>0</v>
      </c>
      <c r="GX19" s="63">
        <f>IFERROR(GW19-HB19,0)</f>
        <v>0</v>
      </c>
      <c r="GY19" s="421"/>
      <c r="GZ19" s="426"/>
      <c r="HA19" s="426"/>
      <c r="HB19" s="34">
        <f t="shared" si="220"/>
        <v>0</v>
      </c>
      <c r="HC19" s="34">
        <f t="shared" si="195"/>
        <v>0</v>
      </c>
      <c r="HD19" s="17">
        <f t="shared" si="46"/>
        <v>0.7</v>
      </c>
      <c r="HE19" s="166">
        <f t="shared" si="221"/>
        <v>0</v>
      </c>
      <c r="HF19" s="33">
        <f t="shared" si="47"/>
        <v>0.7</v>
      </c>
      <c r="HG19" s="156">
        <f t="shared" si="197"/>
        <v>0</v>
      </c>
      <c r="HH19" s="137"/>
      <c r="HI19" s="32">
        <f t="shared" si="48"/>
        <v>10</v>
      </c>
      <c r="HJ19" s="54">
        <f t="shared" si="263"/>
        <v>0</v>
      </c>
      <c r="HK19" s="70">
        <f t="shared" si="198"/>
        <v>0</v>
      </c>
      <c r="HL19" s="56">
        <f t="shared" si="49"/>
        <v>70</v>
      </c>
      <c r="HM19" s="103">
        <f t="shared" si="257"/>
        <v>0</v>
      </c>
      <c r="HN19" s="63">
        <f>HL19-HM19</f>
        <v>70</v>
      </c>
      <c r="HO19" s="56">
        <f t="shared" si="50"/>
        <v>77</v>
      </c>
      <c r="HP19" s="112">
        <f t="shared" si="258"/>
        <v>0</v>
      </c>
      <c r="HQ19" s="63">
        <f t="shared" si="168"/>
        <v>77</v>
      </c>
    </row>
    <row r="20" spans="1:225" ht="17.25" thickBot="1" x14ac:dyDescent="0.3">
      <c r="B20" s="118">
        <v>9</v>
      </c>
      <c r="C20" s="575">
        <v>2</v>
      </c>
      <c r="D20" s="129"/>
      <c r="E20" s="400">
        <f t="shared" si="223"/>
        <v>132126</v>
      </c>
      <c r="F20" s="561">
        <f t="shared" si="0"/>
        <v>131942</v>
      </c>
      <c r="G20" s="130"/>
      <c r="H20" s="131">
        <v>184</v>
      </c>
      <c r="I20" s="131"/>
      <c r="J20" s="11">
        <f t="shared" si="200"/>
        <v>184</v>
      </c>
      <c r="K20" s="11">
        <f t="shared" si="52"/>
        <v>2931</v>
      </c>
      <c r="L20" s="11">
        <f t="shared" si="1"/>
        <v>0.7</v>
      </c>
      <c r="M20" s="42">
        <f t="shared" si="85"/>
        <v>0.13926100843134584</v>
      </c>
      <c r="N20" s="21">
        <f t="shared" si="2"/>
        <v>1.4</v>
      </c>
      <c r="O20" s="132">
        <f t="shared" si="53"/>
        <v>2.1731554870137093</v>
      </c>
      <c r="P20" s="158">
        <v>3000</v>
      </c>
      <c r="Q20" s="11">
        <f t="shared" si="3"/>
        <v>17</v>
      </c>
      <c r="R20" s="441">
        <f t="shared" si="4"/>
        <v>22.705599200762908</v>
      </c>
      <c r="S20" s="469">
        <f t="shared" si="201"/>
        <v>193.36892606616996</v>
      </c>
      <c r="T20" s="58">
        <f t="shared" si="5"/>
        <v>120</v>
      </c>
      <c r="U20" s="131">
        <v>124</v>
      </c>
      <c r="V20" s="57">
        <f t="shared" si="55"/>
        <v>-4</v>
      </c>
      <c r="W20" s="58">
        <f t="shared" si="6"/>
        <v>77</v>
      </c>
      <c r="X20" s="131">
        <v>72</v>
      </c>
      <c r="Y20" s="41">
        <f t="shared" si="56"/>
        <v>5</v>
      </c>
      <c r="Z20" s="487"/>
      <c r="AA20" s="118">
        <v>9</v>
      </c>
      <c r="AB20" s="9">
        <v>2</v>
      </c>
      <c r="AC20" s="396"/>
      <c r="AD20" s="43">
        <f t="shared" si="264"/>
        <v>152670</v>
      </c>
      <c r="AE20" s="449">
        <f t="shared" si="7"/>
        <v>152233</v>
      </c>
      <c r="AF20" s="130"/>
      <c r="AG20" s="131">
        <v>437</v>
      </c>
      <c r="AH20" s="131"/>
      <c r="AI20" s="11">
        <f t="shared" si="203"/>
        <v>437</v>
      </c>
      <c r="AJ20" s="11">
        <f t="shared" si="57"/>
        <v>943</v>
      </c>
      <c r="AK20" s="16">
        <f t="shared" si="8"/>
        <v>0.7</v>
      </c>
      <c r="AL20" s="153">
        <f t="shared" si="58"/>
        <v>0.28623829174035503</v>
      </c>
      <c r="AM20" s="154">
        <f t="shared" si="9"/>
        <v>1.4</v>
      </c>
      <c r="AN20" s="157">
        <f t="shared" si="169"/>
        <v>0.61563169164882225</v>
      </c>
      <c r="AO20" s="130">
        <v>1400</v>
      </c>
      <c r="AP20" s="11">
        <f t="shared" si="10"/>
        <v>17</v>
      </c>
      <c r="AQ20" s="481">
        <f t="shared" si="59"/>
        <v>9.1701054562127453</v>
      </c>
      <c r="AR20" s="469">
        <f t="shared" si="134"/>
        <v>239.59417635886049</v>
      </c>
      <c r="AS20" s="61">
        <f t="shared" si="11"/>
        <v>120</v>
      </c>
      <c r="AT20" s="131">
        <v>112</v>
      </c>
      <c r="AU20" s="57">
        <f t="shared" ref="AU20:AU83" si="271">AS20-AT20</f>
        <v>8</v>
      </c>
      <c r="AV20" s="58">
        <f t="shared" si="12"/>
        <v>77</v>
      </c>
      <c r="AW20" s="131">
        <v>74</v>
      </c>
      <c r="AX20" s="41">
        <f t="shared" si="170"/>
        <v>3</v>
      </c>
      <c r="AZ20" s="198">
        <v>9</v>
      </c>
      <c r="BA20" s="38">
        <v>2</v>
      </c>
      <c r="BB20" s="143"/>
      <c r="BC20" s="60">
        <f t="shared" si="62"/>
        <v>0</v>
      </c>
      <c r="BD20" s="447">
        <f t="shared" si="13"/>
        <v>0</v>
      </c>
      <c r="BE20" s="144"/>
      <c r="BF20" s="141"/>
      <c r="BG20" s="141"/>
      <c r="BH20" s="17">
        <f t="shared" si="204"/>
        <v>0</v>
      </c>
      <c r="BI20" s="17">
        <f t="shared" si="63"/>
        <v>0</v>
      </c>
      <c r="BJ20" s="31">
        <f t="shared" si="14"/>
        <v>0.7</v>
      </c>
      <c r="BK20" s="235">
        <f t="shared" si="92"/>
        <v>0</v>
      </c>
      <c r="BL20" s="37">
        <f t="shared" si="15"/>
        <v>1.4</v>
      </c>
      <c r="BM20" s="155">
        <f t="shared" si="16"/>
        <v>0</v>
      </c>
      <c r="BN20" s="144"/>
      <c r="BO20" s="17">
        <f t="shared" si="17"/>
        <v>17</v>
      </c>
      <c r="BP20" s="479">
        <f t="shared" si="93"/>
        <v>0</v>
      </c>
      <c r="BQ20" s="751">
        <f t="shared" si="137"/>
        <v>0</v>
      </c>
      <c r="BR20" s="61">
        <f t="shared" si="18"/>
        <v>120</v>
      </c>
      <c r="BS20" s="141"/>
      <c r="BT20" s="62">
        <f t="shared" ref="BT20:BT83" si="272">BR20-BS20</f>
        <v>120</v>
      </c>
      <c r="BU20" s="61">
        <f t="shared" si="20"/>
        <v>77</v>
      </c>
      <c r="BV20" s="141"/>
      <c r="BW20" s="71">
        <f t="shared" si="171"/>
        <v>77</v>
      </c>
      <c r="BY20" s="118">
        <v>8</v>
      </c>
      <c r="BZ20" s="9">
        <v>2</v>
      </c>
      <c r="CA20" s="129"/>
      <c r="CB20" s="11">
        <f t="shared" si="172"/>
        <v>0</v>
      </c>
      <c r="CC20" s="57">
        <f t="shared" si="205"/>
        <v>0</v>
      </c>
      <c r="CD20" s="398"/>
      <c r="CE20" s="399"/>
      <c r="CF20" s="399"/>
      <c r="CG20" s="11">
        <f t="shared" si="206"/>
        <v>0</v>
      </c>
      <c r="CH20" s="11">
        <f t="shared" si="173"/>
        <v>0</v>
      </c>
      <c r="CI20" s="16">
        <f t="shared" si="21"/>
        <v>0.7</v>
      </c>
      <c r="CJ20" s="231">
        <f t="shared" si="97"/>
        <v>0</v>
      </c>
      <c r="CK20" s="154">
        <f t="shared" si="22"/>
        <v>1.4</v>
      </c>
      <c r="CL20" s="155">
        <f t="shared" si="140"/>
        <v>0</v>
      </c>
      <c r="CM20" s="130"/>
      <c r="CN20" s="17">
        <f t="shared" si="23"/>
        <v>17</v>
      </c>
      <c r="CO20" s="60">
        <f t="shared" si="141"/>
        <v>0</v>
      </c>
      <c r="CP20" s="377">
        <f t="shared" si="98"/>
        <v>0</v>
      </c>
      <c r="CQ20" s="61">
        <f t="shared" si="24"/>
        <v>120</v>
      </c>
      <c r="CR20" s="131"/>
      <c r="CS20" s="57">
        <f t="shared" ref="CS20:CS83" si="273">CQ20-CR20</f>
        <v>120</v>
      </c>
      <c r="CT20" s="58">
        <f t="shared" si="25"/>
        <v>77</v>
      </c>
      <c r="CU20" s="131"/>
      <c r="CV20" s="41">
        <f t="shared" si="67"/>
        <v>77</v>
      </c>
      <c r="CX20" s="118">
        <v>8</v>
      </c>
      <c r="CY20" s="9">
        <v>2</v>
      </c>
      <c r="CZ20" s="129"/>
      <c r="DA20" s="11">
        <f t="shared" si="174"/>
        <v>0</v>
      </c>
      <c r="DB20" s="57">
        <f t="shared" ref="DB20:DB52" si="274">IFERROR(DA20-DF20,0)</f>
        <v>0</v>
      </c>
      <c r="DC20" s="398"/>
      <c r="DD20" s="399"/>
      <c r="DE20" s="399"/>
      <c r="DF20" s="11">
        <f t="shared" si="208"/>
        <v>0</v>
      </c>
      <c r="DG20" s="11">
        <f t="shared" si="175"/>
        <v>0</v>
      </c>
      <c r="DH20" s="16">
        <f t="shared" si="26"/>
        <v>0.7</v>
      </c>
      <c r="DI20" s="231">
        <f t="shared" si="209"/>
        <v>0</v>
      </c>
      <c r="DJ20" s="154">
        <f t="shared" si="27"/>
        <v>1.4</v>
      </c>
      <c r="DK20" s="155">
        <f t="shared" si="177"/>
        <v>0</v>
      </c>
      <c r="DL20" s="130"/>
      <c r="DM20" s="17">
        <f t="shared" si="28"/>
        <v>17</v>
      </c>
      <c r="DN20" s="60">
        <f t="shared" si="259"/>
        <v>0</v>
      </c>
      <c r="DO20" s="377">
        <f t="shared" si="178"/>
        <v>0</v>
      </c>
      <c r="DP20" s="61">
        <f t="shared" si="29"/>
        <v>120</v>
      </c>
      <c r="DQ20" s="131"/>
      <c r="DR20" s="57">
        <f t="shared" ref="DR20:DR83" si="275">DP20-DQ20</f>
        <v>120</v>
      </c>
      <c r="DS20" s="58">
        <f t="shared" si="30"/>
        <v>77</v>
      </c>
      <c r="DT20" s="131"/>
      <c r="DU20" s="41">
        <f t="shared" si="164"/>
        <v>77</v>
      </c>
      <c r="DW20" s="118">
        <v>8</v>
      </c>
      <c r="DX20" s="9">
        <v>2</v>
      </c>
      <c r="DY20" s="129"/>
      <c r="DZ20" s="11">
        <f t="shared" si="179"/>
        <v>0</v>
      </c>
      <c r="EA20" s="57">
        <f t="shared" ref="EA20:EA52" si="276">IFERROR(DZ20-EE20,0)</f>
        <v>0</v>
      </c>
      <c r="EB20" s="398"/>
      <c r="EC20" s="399"/>
      <c r="ED20" s="399"/>
      <c r="EE20" s="11">
        <f t="shared" si="211"/>
        <v>0</v>
      </c>
      <c r="EF20" s="11">
        <f t="shared" si="180"/>
        <v>0</v>
      </c>
      <c r="EG20" s="16">
        <f t="shared" si="31"/>
        <v>0.7</v>
      </c>
      <c r="EH20" s="231">
        <f t="shared" si="212"/>
        <v>0</v>
      </c>
      <c r="EI20" s="154">
        <f t="shared" si="32"/>
        <v>1.4</v>
      </c>
      <c r="EJ20" s="155">
        <f t="shared" si="182"/>
        <v>0</v>
      </c>
      <c r="EK20" s="130"/>
      <c r="EL20" s="17">
        <f t="shared" si="33"/>
        <v>17</v>
      </c>
      <c r="EM20" s="60">
        <f t="shared" si="260"/>
        <v>0</v>
      </c>
      <c r="EN20" s="377">
        <f t="shared" si="183"/>
        <v>0</v>
      </c>
      <c r="EO20" s="61">
        <f t="shared" si="34"/>
        <v>120</v>
      </c>
      <c r="EP20" s="131"/>
      <c r="EQ20" s="57">
        <f t="shared" ref="EQ20:EQ83" si="277">EO20-EP20</f>
        <v>120</v>
      </c>
      <c r="ER20" s="58">
        <f t="shared" si="35"/>
        <v>77</v>
      </c>
      <c r="ES20" s="131"/>
      <c r="ET20" s="41">
        <f t="shared" si="165"/>
        <v>77</v>
      </c>
      <c r="EV20" s="118">
        <v>8</v>
      </c>
      <c r="EW20" s="9">
        <v>2</v>
      </c>
      <c r="EX20" s="129"/>
      <c r="EY20" s="11">
        <f t="shared" si="184"/>
        <v>0</v>
      </c>
      <c r="EZ20" s="57">
        <f t="shared" ref="EZ20:EZ52" si="278">IFERROR(EY20-FD20,0)</f>
        <v>0</v>
      </c>
      <c r="FA20" s="398"/>
      <c r="FB20" s="399"/>
      <c r="FC20" s="399"/>
      <c r="FD20" s="11">
        <f t="shared" si="214"/>
        <v>0</v>
      </c>
      <c r="FE20" s="11">
        <f t="shared" si="185"/>
        <v>0</v>
      </c>
      <c r="FF20" s="16">
        <f t="shared" si="36"/>
        <v>0.7</v>
      </c>
      <c r="FG20" s="231">
        <f t="shared" si="215"/>
        <v>0</v>
      </c>
      <c r="FH20" s="154">
        <f t="shared" si="37"/>
        <v>1.4</v>
      </c>
      <c r="FI20" s="155">
        <f t="shared" si="187"/>
        <v>0</v>
      </c>
      <c r="FJ20" s="130"/>
      <c r="FK20" s="17">
        <f t="shared" si="38"/>
        <v>17</v>
      </c>
      <c r="FL20" s="60">
        <f t="shared" si="261"/>
        <v>0</v>
      </c>
      <c r="FM20" s="377">
        <f t="shared" si="188"/>
        <v>0</v>
      </c>
      <c r="FN20" s="61">
        <f t="shared" si="39"/>
        <v>120</v>
      </c>
      <c r="FO20" s="131"/>
      <c r="FP20" s="57">
        <f t="shared" ref="FP20:FP83" si="279">FN20-FO20</f>
        <v>120</v>
      </c>
      <c r="FQ20" s="58">
        <f t="shared" si="40"/>
        <v>77</v>
      </c>
      <c r="FR20" s="131"/>
      <c r="FS20" s="41">
        <f t="shared" si="166"/>
        <v>77</v>
      </c>
      <c r="FU20" s="118">
        <v>8</v>
      </c>
      <c r="FV20" s="9">
        <v>2</v>
      </c>
      <c r="FW20" s="129"/>
      <c r="FX20" s="11">
        <f t="shared" si="189"/>
        <v>0</v>
      </c>
      <c r="FY20" s="57">
        <f t="shared" ref="FY20:FY52" si="280">IFERROR(FX20-GC20,0)</f>
        <v>0</v>
      </c>
      <c r="FZ20" s="398"/>
      <c r="GA20" s="399"/>
      <c r="GB20" s="399"/>
      <c r="GC20" s="11">
        <f t="shared" si="217"/>
        <v>0</v>
      </c>
      <c r="GD20" s="11">
        <f t="shared" si="190"/>
        <v>0</v>
      </c>
      <c r="GE20" s="16">
        <f t="shared" si="41"/>
        <v>0.7</v>
      </c>
      <c r="GF20" s="231">
        <f t="shared" si="218"/>
        <v>0</v>
      </c>
      <c r="GG20" s="154">
        <f t="shared" si="42"/>
        <v>1.4</v>
      </c>
      <c r="GH20" s="155">
        <f t="shared" si="192"/>
        <v>0</v>
      </c>
      <c r="GI20" s="130"/>
      <c r="GJ20" s="17">
        <f t="shared" si="43"/>
        <v>17</v>
      </c>
      <c r="GK20" s="60">
        <f t="shared" si="262"/>
        <v>0</v>
      </c>
      <c r="GL20" s="377">
        <f t="shared" si="193"/>
        <v>0</v>
      </c>
      <c r="GM20" s="61">
        <f t="shared" si="44"/>
        <v>120</v>
      </c>
      <c r="GN20" s="131"/>
      <c r="GO20" s="57">
        <f t="shared" ref="GO20:GO83" si="281">GM20-GN20</f>
        <v>120</v>
      </c>
      <c r="GP20" s="58">
        <f t="shared" si="45"/>
        <v>77</v>
      </c>
      <c r="GQ20" s="131"/>
      <c r="GR20" s="41">
        <f t="shared" si="167"/>
        <v>77</v>
      </c>
      <c r="GT20" s="118">
        <v>8</v>
      </c>
      <c r="GU20" s="9">
        <v>2</v>
      </c>
      <c r="GV20" s="129"/>
      <c r="GW20" s="11">
        <f t="shared" si="194"/>
        <v>0</v>
      </c>
      <c r="GX20" s="57">
        <f t="shared" ref="GX20:GX52" si="282">IFERROR(GW20-HB20,0)</f>
        <v>0</v>
      </c>
      <c r="GY20" s="398"/>
      <c r="GZ20" s="399"/>
      <c r="HA20" s="399"/>
      <c r="HB20" s="11">
        <f t="shared" si="220"/>
        <v>0</v>
      </c>
      <c r="HC20" s="11">
        <f t="shared" si="195"/>
        <v>0</v>
      </c>
      <c r="HD20" s="16">
        <f t="shared" si="46"/>
        <v>0.7</v>
      </c>
      <c r="HE20" s="231">
        <f t="shared" si="221"/>
        <v>0</v>
      </c>
      <c r="HF20" s="154">
        <f t="shared" si="47"/>
        <v>1.4</v>
      </c>
      <c r="HG20" s="155">
        <f t="shared" si="197"/>
        <v>0</v>
      </c>
      <c r="HH20" s="130"/>
      <c r="HI20" s="17">
        <f t="shared" si="48"/>
        <v>17</v>
      </c>
      <c r="HJ20" s="60">
        <f t="shared" si="263"/>
        <v>0</v>
      </c>
      <c r="HK20" s="377">
        <f t="shared" si="198"/>
        <v>0</v>
      </c>
      <c r="HL20" s="61">
        <f t="shared" si="49"/>
        <v>120</v>
      </c>
      <c r="HM20" s="131"/>
      <c r="HN20" s="57">
        <f t="shared" ref="HN20:HN83" si="283">HL20-HM20</f>
        <v>120</v>
      </c>
      <c r="HO20" s="58">
        <f t="shared" si="50"/>
        <v>77</v>
      </c>
      <c r="HP20" s="131"/>
      <c r="HQ20" s="41">
        <f t="shared" si="168"/>
        <v>77</v>
      </c>
    </row>
    <row r="21" spans="1:225" ht="17.25" thickBot="1" x14ac:dyDescent="0.3">
      <c r="B21" s="120">
        <f>B20+1</f>
        <v>10</v>
      </c>
      <c r="C21" s="570">
        <f>C20</f>
        <v>2</v>
      </c>
      <c r="D21" s="133"/>
      <c r="E21" s="408">
        <f t="shared" si="223"/>
        <v>131942</v>
      </c>
      <c r="F21" s="562">
        <f t="shared" si="0"/>
        <v>131759</v>
      </c>
      <c r="G21" s="134"/>
      <c r="H21" s="135">
        <v>183</v>
      </c>
      <c r="I21" s="135"/>
      <c r="J21" s="14">
        <f t="shared" si="200"/>
        <v>183</v>
      </c>
      <c r="K21" s="14">
        <f>K20+J21</f>
        <v>3114</v>
      </c>
      <c r="L21" s="14">
        <f t="shared" si="1"/>
        <v>0.7</v>
      </c>
      <c r="M21" s="47">
        <f t="shared" si="85"/>
        <v>0.13869730639220262</v>
      </c>
      <c r="N21" s="35">
        <f t="shared" si="2"/>
        <v>1.4</v>
      </c>
      <c r="O21" s="132">
        <f t="shared" si="53"/>
        <v>2.3088386852817093</v>
      </c>
      <c r="P21" s="142">
        <v>2400</v>
      </c>
      <c r="Q21" s="14">
        <f t="shared" si="3"/>
        <v>17</v>
      </c>
      <c r="R21" s="442">
        <f t="shared" si="4"/>
        <v>18.189810674387232</v>
      </c>
      <c r="S21" s="470">
        <f t="shared" si="201"/>
        <v>211.55873674055721</v>
      </c>
      <c r="T21" s="51">
        <f t="shared" si="5"/>
        <v>120</v>
      </c>
      <c r="U21" s="103">
        <f>U20</f>
        <v>124</v>
      </c>
      <c r="V21" s="59">
        <f t="shared" si="55"/>
        <v>-4</v>
      </c>
      <c r="W21" s="12">
        <f t="shared" si="6"/>
        <v>77</v>
      </c>
      <c r="X21" s="103">
        <f>X20</f>
        <v>72</v>
      </c>
      <c r="Y21" s="71">
        <f t="shared" si="56"/>
        <v>5</v>
      </c>
      <c r="Z21" s="487"/>
      <c r="AA21" s="120">
        <f>AA20+1</f>
        <v>10</v>
      </c>
      <c r="AB21" s="7">
        <f>AB20</f>
        <v>2</v>
      </c>
      <c r="AC21" s="229"/>
      <c r="AD21" s="48">
        <f t="shared" si="264"/>
        <v>152233</v>
      </c>
      <c r="AE21" s="196">
        <f t="shared" si="7"/>
        <v>151615</v>
      </c>
      <c r="AF21" s="134"/>
      <c r="AG21" s="135">
        <v>618</v>
      </c>
      <c r="AH21" s="135"/>
      <c r="AI21" s="14">
        <f t="shared" si="203"/>
        <v>618</v>
      </c>
      <c r="AJ21" s="14">
        <f>AJ20+AI21</f>
        <v>1561</v>
      </c>
      <c r="AK21" s="14">
        <f t="shared" si="8"/>
        <v>0.7</v>
      </c>
      <c r="AL21" s="47">
        <f t="shared" si="58"/>
        <v>0.40595665854315427</v>
      </c>
      <c r="AM21" s="35">
        <f t="shared" si="9"/>
        <v>1.4</v>
      </c>
      <c r="AN21" s="157">
        <f t="shared" si="169"/>
        <v>1.0190891523476262</v>
      </c>
      <c r="AO21" s="134">
        <v>2200</v>
      </c>
      <c r="AP21" s="14">
        <f t="shared" si="10"/>
        <v>17</v>
      </c>
      <c r="AQ21" s="482">
        <f t="shared" si="59"/>
        <v>14.451531533898695</v>
      </c>
      <c r="AR21" s="470">
        <f t="shared" si="134"/>
        <v>254.0457078927592</v>
      </c>
      <c r="AS21" s="51">
        <f t="shared" si="11"/>
        <v>120</v>
      </c>
      <c r="AT21" s="103">
        <f>AT20</f>
        <v>112</v>
      </c>
      <c r="AU21" s="59">
        <f t="shared" si="271"/>
        <v>8</v>
      </c>
      <c r="AV21" s="12">
        <f t="shared" si="12"/>
        <v>77</v>
      </c>
      <c r="AW21" s="103">
        <f>AW20</f>
        <v>74</v>
      </c>
      <c r="AX21" s="71">
        <f t="shared" si="170"/>
        <v>3</v>
      </c>
      <c r="AZ21" s="120">
        <f>AZ20+1</f>
        <v>10</v>
      </c>
      <c r="BA21" s="7">
        <f>BA20</f>
        <v>2</v>
      </c>
      <c r="BB21" s="133"/>
      <c r="BC21" s="48">
        <f t="shared" si="62"/>
        <v>0</v>
      </c>
      <c r="BD21" s="196">
        <f t="shared" si="13"/>
        <v>0</v>
      </c>
      <c r="BE21" s="134"/>
      <c r="BF21" s="135"/>
      <c r="BG21" s="135"/>
      <c r="BH21" s="14">
        <f t="shared" si="204"/>
        <v>0</v>
      </c>
      <c r="BI21" s="14">
        <f>BI20+BH21</f>
        <v>0</v>
      </c>
      <c r="BJ21" s="14">
        <f t="shared" si="14"/>
        <v>0.7</v>
      </c>
      <c r="BK21" s="47">
        <f t="shared" si="92"/>
        <v>0</v>
      </c>
      <c r="BL21" s="35">
        <f t="shared" si="15"/>
        <v>1.4</v>
      </c>
      <c r="BM21" s="157">
        <f t="shared" si="16"/>
        <v>0</v>
      </c>
      <c r="BN21" s="134"/>
      <c r="BO21" s="14">
        <f t="shared" si="17"/>
        <v>17</v>
      </c>
      <c r="BP21" s="442">
        <f t="shared" si="93"/>
        <v>0</v>
      </c>
      <c r="BQ21" s="747">
        <f t="shared" si="137"/>
        <v>0</v>
      </c>
      <c r="BR21" s="51">
        <f t="shared" si="18"/>
        <v>120</v>
      </c>
      <c r="BS21" s="103">
        <f>BS20</f>
        <v>0</v>
      </c>
      <c r="BT21" s="59">
        <f t="shared" si="272"/>
        <v>120</v>
      </c>
      <c r="BU21" s="12">
        <f t="shared" si="20"/>
        <v>77</v>
      </c>
      <c r="BV21" s="103">
        <f>BV20</f>
        <v>0</v>
      </c>
      <c r="BW21" s="71">
        <f t="shared" si="171"/>
        <v>77</v>
      </c>
      <c r="BY21" s="120">
        <f>BY20+1</f>
        <v>9</v>
      </c>
      <c r="BZ21" s="7">
        <f>BZ20</f>
        <v>2</v>
      </c>
      <c r="CA21" s="133"/>
      <c r="CB21" s="14">
        <f t="shared" si="172"/>
        <v>0</v>
      </c>
      <c r="CC21" s="59">
        <f t="shared" si="205"/>
        <v>0</v>
      </c>
      <c r="CD21" s="405"/>
      <c r="CE21" s="406"/>
      <c r="CF21" s="406"/>
      <c r="CG21" s="14">
        <f t="shared" si="206"/>
        <v>0</v>
      </c>
      <c r="CH21" s="14">
        <f t="shared" si="173"/>
        <v>0</v>
      </c>
      <c r="CI21" s="14">
        <f t="shared" si="21"/>
        <v>0.7</v>
      </c>
      <c r="CJ21" s="47">
        <f t="shared" si="97"/>
        <v>0</v>
      </c>
      <c r="CK21" s="35">
        <f t="shared" si="22"/>
        <v>1.4</v>
      </c>
      <c r="CL21" s="157">
        <f t="shared" si="140"/>
        <v>0</v>
      </c>
      <c r="CM21" s="134"/>
      <c r="CN21" s="14">
        <f t="shared" si="23"/>
        <v>17</v>
      </c>
      <c r="CO21" s="48">
        <f t="shared" si="141"/>
        <v>0</v>
      </c>
      <c r="CP21" s="68">
        <f t="shared" si="98"/>
        <v>0</v>
      </c>
      <c r="CQ21" s="51">
        <f t="shared" si="24"/>
        <v>120</v>
      </c>
      <c r="CR21" s="103">
        <f>CR20</f>
        <v>0</v>
      </c>
      <c r="CS21" s="59">
        <f t="shared" si="273"/>
        <v>120</v>
      </c>
      <c r="CT21" s="61">
        <f t="shared" si="25"/>
        <v>77</v>
      </c>
      <c r="CU21" s="112">
        <f>CU20</f>
        <v>0</v>
      </c>
      <c r="CV21" s="71">
        <f t="shared" si="67"/>
        <v>77</v>
      </c>
      <c r="CX21" s="120">
        <f>CX20+1</f>
        <v>9</v>
      </c>
      <c r="CY21" s="7">
        <f>CY20</f>
        <v>2</v>
      </c>
      <c r="CZ21" s="133"/>
      <c r="DA21" s="14">
        <f t="shared" si="174"/>
        <v>0</v>
      </c>
      <c r="DB21" s="59">
        <f t="shared" si="274"/>
        <v>0</v>
      </c>
      <c r="DC21" s="405"/>
      <c r="DD21" s="406"/>
      <c r="DE21" s="406"/>
      <c r="DF21" s="14">
        <f t="shared" si="208"/>
        <v>0</v>
      </c>
      <c r="DG21" s="14">
        <f t="shared" si="175"/>
        <v>0</v>
      </c>
      <c r="DH21" s="14">
        <f t="shared" si="26"/>
        <v>0.7</v>
      </c>
      <c r="DI21" s="47">
        <f t="shared" si="209"/>
        <v>0</v>
      </c>
      <c r="DJ21" s="35">
        <f t="shared" si="27"/>
        <v>1.4</v>
      </c>
      <c r="DK21" s="157">
        <f t="shared" si="177"/>
        <v>0</v>
      </c>
      <c r="DL21" s="134"/>
      <c r="DM21" s="14">
        <f t="shared" si="28"/>
        <v>17</v>
      </c>
      <c r="DN21" s="48">
        <f t="shared" si="259"/>
        <v>0</v>
      </c>
      <c r="DO21" s="68">
        <f t="shared" si="178"/>
        <v>0</v>
      </c>
      <c r="DP21" s="51">
        <f t="shared" si="29"/>
        <v>120</v>
      </c>
      <c r="DQ21" s="103">
        <f>DQ20</f>
        <v>0</v>
      </c>
      <c r="DR21" s="59">
        <f t="shared" si="275"/>
        <v>120</v>
      </c>
      <c r="DS21" s="61">
        <f t="shared" si="30"/>
        <v>77</v>
      </c>
      <c r="DT21" s="112">
        <f>DT20</f>
        <v>0</v>
      </c>
      <c r="DU21" s="71">
        <f t="shared" si="164"/>
        <v>77</v>
      </c>
      <c r="DW21" s="120">
        <f>DW20+1</f>
        <v>9</v>
      </c>
      <c r="DX21" s="7">
        <f>DX20</f>
        <v>2</v>
      </c>
      <c r="DY21" s="133"/>
      <c r="DZ21" s="14">
        <f t="shared" si="179"/>
        <v>0</v>
      </c>
      <c r="EA21" s="59">
        <f t="shared" si="276"/>
        <v>0</v>
      </c>
      <c r="EB21" s="405"/>
      <c r="EC21" s="406"/>
      <c r="ED21" s="406"/>
      <c r="EE21" s="14">
        <f t="shared" si="211"/>
        <v>0</v>
      </c>
      <c r="EF21" s="14">
        <f t="shared" si="180"/>
        <v>0</v>
      </c>
      <c r="EG21" s="14">
        <f t="shared" si="31"/>
        <v>0.7</v>
      </c>
      <c r="EH21" s="47">
        <f t="shared" si="212"/>
        <v>0</v>
      </c>
      <c r="EI21" s="35">
        <f t="shared" si="32"/>
        <v>1.4</v>
      </c>
      <c r="EJ21" s="157">
        <f t="shared" si="182"/>
        <v>0</v>
      </c>
      <c r="EK21" s="134"/>
      <c r="EL21" s="14">
        <f t="shared" si="33"/>
        <v>17</v>
      </c>
      <c r="EM21" s="48">
        <f t="shared" si="260"/>
        <v>0</v>
      </c>
      <c r="EN21" s="68">
        <f t="shared" si="183"/>
        <v>0</v>
      </c>
      <c r="EO21" s="51">
        <f t="shared" si="34"/>
        <v>120</v>
      </c>
      <c r="EP21" s="103">
        <f>EP20</f>
        <v>0</v>
      </c>
      <c r="EQ21" s="59">
        <f t="shared" si="277"/>
        <v>120</v>
      </c>
      <c r="ER21" s="61">
        <f t="shared" si="35"/>
        <v>77</v>
      </c>
      <c r="ES21" s="112">
        <f>ES20</f>
        <v>0</v>
      </c>
      <c r="ET21" s="71">
        <f t="shared" si="165"/>
        <v>77</v>
      </c>
      <c r="EV21" s="120">
        <f>EV20+1</f>
        <v>9</v>
      </c>
      <c r="EW21" s="7">
        <f>EW20</f>
        <v>2</v>
      </c>
      <c r="EX21" s="133"/>
      <c r="EY21" s="14">
        <f t="shared" si="184"/>
        <v>0</v>
      </c>
      <c r="EZ21" s="59">
        <f t="shared" si="278"/>
        <v>0</v>
      </c>
      <c r="FA21" s="405"/>
      <c r="FB21" s="406"/>
      <c r="FC21" s="406"/>
      <c r="FD21" s="14">
        <f t="shared" si="214"/>
        <v>0</v>
      </c>
      <c r="FE21" s="14">
        <f t="shared" si="185"/>
        <v>0</v>
      </c>
      <c r="FF21" s="14">
        <f t="shared" si="36"/>
        <v>0.7</v>
      </c>
      <c r="FG21" s="47">
        <f t="shared" si="215"/>
        <v>0</v>
      </c>
      <c r="FH21" s="35">
        <f t="shared" si="37"/>
        <v>1.4</v>
      </c>
      <c r="FI21" s="157">
        <f t="shared" si="187"/>
        <v>0</v>
      </c>
      <c r="FJ21" s="134"/>
      <c r="FK21" s="14">
        <f t="shared" si="38"/>
        <v>17</v>
      </c>
      <c r="FL21" s="48">
        <f t="shared" si="261"/>
        <v>0</v>
      </c>
      <c r="FM21" s="68">
        <f t="shared" si="188"/>
        <v>0</v>
      </c>
      <c r="FN21" s="51">
        <f t="shared" si="39"/>
        <v>120</v>
      </c>
      <c r="FO21" s="103">
        <f>FO20</f>
        <v>0</v>
      </c>
      <c r="FP21" s="59">
        <f t="shared" si="279"/>
        <v>120</v>
      </c>
      <c r="FQ21" s="61">
        <f t="shared" si="40"/>
        <v>77</v>
      </c>
      <c r="FR21" s="112">
        <f>FR20</f>
        <v>0</v>
      </c>
      <c r="FS21" s="71">
        <f t="shared" si="166"/>
        <v>77</v>
      </c>
      <c r="FU21" s="120">
        <f>FU20+1</f>
        <v>9</v>
      </c>
      <c r="FV21" s="7">
        <f>FV20</f>
        <v>2</v>
      </c>
      <c r="FW21" s="133"/>
      <c r="FX21" s="14">
        <f t="shared" si="189"/>
        <v>0</v>
      </c>
      <c r="FY21" s="59">
        <f t="shared" si="280"/>
        <v>0</v>
      </c>
      <c r="FZ21" s="405"/>
      <c r="GA21" s="406"/>
      <c r="GB21" s="406"/>
      <c r="GC21" s="14">
        <f t="shared" si="217"/>
        <v>0</v>
      </c>
      <c r="GD21" s="14">
        <f t="shared" si="190"/>
        <v>0</v>
      </c>
      <c r="GE21" s="14">
        <f t="shared" si="41"/>
        <v>0.7</v>
      </c>
      <c r="GF21" s="47">
        <f t="shared" si="218"/>
        <v>0</v>
      </c>
      <c r="GG21" s="35">
        <f t="shared" si="42"/>
        <v>1.4</v>
      </c>
      <c r="GH21" s="157">
        <f t="shared" si="192"/>
        <v>0</v>
      </c>
      <c r="GI21" s="134"/>
      <c r="GJ21" s="14">
        <f t="shared" si="43"/>
        <v>17</v>
      </c>
      <c r="GK21" s="48">
        <f t="shared" si="262"/>
        <v>0</v>
      </c>
      <c r="GL21" s="68">
        <f t="shared" si="193"/>
        <v>0</v>
      </c>
      <c r="GM21" s="51">
        <f t="shared" si="44"/>
        <v>120</v>
      </c>
      <c r="GN21" s="103">
        <f>GN20</f>
        <v>0</v>
      </c>
      <c r="GO21" s="59">
        <f t="shared" si="281"/>
        <v>120</v>
      </c>
      <c r="GP21" s="61">
        <f t="shared" si="45"/>
        <v>77</v>
      </c>
      <c r="GQ21" s="112">
        <f>GQ20</f>
        <v>0</v>
      </c>
      <c r="GR21" s="71">
        <f t="shared" si="167"/>
        <v>77</v>
      </c>
      <c r="GT21" s="120">
        <f>GT20+1</f>
        <v>9</v>
      </c>
      <c r="GU21" s="7">
        <f>GU20</f>
        <v>2</v>
      </c>
      <c r="GV21" s="133"/>
      <c r="GW21" s="14">
        <f t="shared" si="194"/>
        <v>0</v>
      </c>
      <c r="GX21" s="59">
        <f t="shared" si="282"/>
        <v>0</v>
      </c>
      <c r="GY21" s="405"/>
      <c r="GZ21" s="406"/>
      <c r="HA21" s="406"/>
      <c r="HB21" s="14">
        <f t="shared" si="220"/>
        <v>0</v>
      </c>
      <c r="HC21" s="14">
        <f t="shared" si="195"/>
        <v>0</v>
      </c>
      <c r="HD21" s="14">
        <f t="shared" si="46"/>
        <v>0.7</v>
      </c>
      <c r="HE21" s="47">
        <f t="shared" si="221"/>
        <v>0</v>
      </c>
      <c r="HF21" s="35">
        <f t="shared" si="47"/>
        <v>1.4</v>
      </c>
      <c r="HG21" s="157">
        <f t="shared" si="197"/>
        <v>0</v>
      </c>
      <c r="HH21" s="134"/>
      <c r="HI21" s="14">
        <f t="shared" si="48"/>
        <v>17</v>
      </c>
      <c r="HJ21" s="48">
        <f t="shared" si="263"/>
        <v>0</v>
      </c>
      <c r="HK21" s="68">
        <f t="shared" si="198"/>
        <v>0</v>
      </c>
      <c r="HL21" s="51">
        <f t="shared" si="49"/>
        <v>120</v>
      </c>
      <c r="HM21" s="103">
        <f>HM20</f>
        <v>0</v>
      </c>
      <c r="HN21" s="59">
        <f t="shared" si="283"/>
        <v>120</v>
      </c>
      <c r="HO21" s="61">
        <f t="shared" si="50"/>
        <v>77</v>
      </c>
      <c r="HP21" s="112">
        <f>HP20</f>
        <v>0</v>
      </c>
      <c r="HQ21" s="71">
        <f t="shared" si="168"/>
        <v>77</v>
      </c>
    </row>
    <row r="22" spans="1:225" ht="17.25" thickBot="1" x14ac:dyDescent="0.3">
      <c r="B22" s="120">
        <f t="shared" ref="B22:B25" si="284">B21+1</f>
        <v>11</v>
      </c>
      <c r="C22" s="570">
        <f t="shared" ref="C22:C26" si="285">C21</f>
        <v>2</v>
      </c>
      <c r="D22" s="133"/>
      <c r="E22" s="408">
        <f t="shared" si="223"/>
        <v>131759</v>
      </c>
      <c r="F22" s="562">
        <f t="shared" si="0"/>
        <v>131628</v>
      </c>
      <c r="G22" s="134"/>
      <c r="H22" s="135">
        <v>131</v>
      </c>
      <c r="I22" s="135"/>
      <c r="J22" s="14">
        <f t="shared" si="200"/>
        <v>131</v>
      </c>
      <c r="K22" s="14">
        <f>K21+J22</f>
        <v>3245</v>
      </c>
      <c r="L22" s="14">
        <f t="shared" si="1"/>
        <v>0.7</v>
      </c>
      <c r="M22" s="47">
        <f t="shared" si="85"/>
        <v>9.9423948269188447E-2</v>
      </c>
      <c r="N22" s="35">
        <f>VLOOKUP($C22,LOHMANN,5,FALSE)</f>
        <v>1.4</v>
      </c>
      <c r="O22" s="132">
        <f t="shared" si="53"/>
        <v>2.4059670949708245</v>
      </c>
      <c r="P22" s="142">
        <v>1000</v>
      </c>
      <c r="Q22" s="14">
        <f t="shared" si="3"/>
        <v>17</v>
      </c>
      <c r="R22" s="442">
        <f t="shared" si="4"/>
        <v>7.5896143716937745</v>
      </c>
      <c r="S22" s="470">
        <f t="shared" si="201"/>
        <v>219.14835111225099</v>
      </c>
      <c r="T22" s="51">
        <f t="shared" si="5"/>
        <v>120</v>
      </c>
      <c r="U22" s="103">
        <f t="shared" ref="U22:U26" si="286">U21</f>
        <v>124</v>
      </c>
      <c r="V22" s="59">
        <f t="shared" si="55"/>
        <v>-4</v>
      </c>
      <c r="W22" s="50">
        <f t="shared" si="6"/>
        <v>77</v>
      </c>
      <c r="X22" s="103">
        <f t="shared" ref="X22:X26" si="287">X21</f>
        <v>72</v>
      </c>
      <c r="Y22" s="71">
        <f t="shared" si="56"/>
        <v>5</v>
      </c>
      <c r="Z22" s="487"/>
      <c r="AA22" s="120">
        <f t="shared" ref="AA22:AA25" si="288">AA21+1</f>
        <v>11</v>
      </c>
      <c r="AB22" s="7">
        <f t="shared" ref="AB22:AB26" si="289">AB21</f>
        <v>2</v>
      </c>
      <c r="AC22" s="229"/>
      <c r="AD22" s="48">
        <f t="shared" si="264"/>
        <v>151615</v>
      </c>
      <c r="AE22" s="196">
        <f t="shared" si="7"/>
        <v>151095</v>
      </c>
      <c r="AF22" s="134"/>
      <c r="AG22" s="135">
        <v>520</v>
      </c>
      <c r="AH22" s="135"/>
      <c r="AI22" s="14">
        <f t="shared" si="203"/>
        <v>520</v>
      </c>
      <c r="AJ22" s="14">
        <f>AJ21+AI22</f>
        <v>2081</v>
      </c>
      <c r="AK22" s="14">
        <f t="shared" si="8"/>
        <v>0.7</v>
      </c>
      <c r="AL22" s="231">
        <f t="shared" si="58"/>
        <v>0.34297398014708308</v>
      </c>
      <c r="AM22" s="35">
        <f t="shared" si="9"/>
        <v>1.4</v>
      </c>
      <c r="AN22" s="157">
        <f t="shared" si="169"/>
        <v>1.3585679218676554</v>
      </c>
      <c r="AO22" s="134">
        <v>2600</v>
      </c>
      <c r="AP22" s="14">
        <f t="shared" si="10"/>
        <v>17</v>
      </c>
      <c r="AQ22" s="442">
        <f t="shared" si="59"/>
        <v>17.148699007354153</v>
      </c>
      <c r="AR22" s="470">
        <f t="shared" si="134"/>
        <v>271.19440690011334</v>
      </c>
      <c r="AS22" s="51">
        <f t="shared" si="11"/>
        <v>120</v>
      </c>
      <c r="AT22" s="103">
        <f t="shared" ref="AT22:AT26" si="290">AT21</f>
        <v>112</v>
      </c>
      <c r="AU22" s="59">
        <f t="shared" si="271"/>
        <v>8</v>
      </c>
      <c r="AV22" s="50">
        <f t="shared" si="12"/>
        <v>77</v>
      </c>
      <c r="AW22" s="103">
        <f t="shared" ref="AW22:AW26" si="291">AW21</f>
        <v>74</v>
      </c>
      <c r="AX22" s="71">
        <f t="shared" si="170"/>
        <v>3</v>
      </c>
      <c r="AZ22" s="120">
        <f t="shared" ref="AZ22:AZ25" si="292">AZ21+1</f>
        <v>11</v>
      </c>
      <c r="BA22" s="7">
        <f t="shared" ref="BA22:BA26" si="293">BA21</f>
        <v>2</v>
      </c>
      <c r="BB22" s="133"/>
      <c r="BC22" s="48">
        <f t="shared" si="62"/>
        <v>0</v>
      </c>
      <c r="BD22" s="196">
        <f t="shared" si="13"/>
        <v>0</v>
      </c>
      <c r="BE22" s="134"/>
      <c r="BF22" s="135"/>
      <c r="BG22" s="135"/>
      <c r="BH22" s="14">
        <f t="shared" si="204"/>
        <v>0</v>
      </c>
      <c r="BI22" s="14">
        <f t="shared" ref="BI22:BI85" si="294">BI21+BH22</f>
        <v>0</v>
      </c>
      <c r="BJ22" s="14">
        <f t="shared" si="14"/>
        <v>0.7</v>
      </c>
      <c r="BK22" s="47">
        <f t="shared" si="92"/>
        <v>0</v>
      </c>
      <c r="BL22" s="35">
        <f t="shared" si="15"/>
        <v>1.4</v>
      </c>
      <c r="BM22" s="157">
        <f t="shared" si="16"/>
        <v>0</v>
      </c>
      <c r="BN22" s="134"/>
      <c r="BO22" s="14">
        <f t="shared" si="17"/>
        <v>17</v>
      </c>
      <c r="BP22" s="442">
        <f t="shared" si="93"/>
        <v>0</v>
      </c>
      <c r="BQ22" s="747">
        <f t="shared" si="137"/>
        <v>0</v>
      </c>
      <c r="BR22" s="51">
        <f t="shared" si="18"/>
        <v>120</v>
      </c>
      <c r="BS22" s="103">
        <f t="shared" ref="BS22:BS26" si="295">BS21</f>
        <v>0</v>
      </c>
      <c r="BT22" s="59">
        <f t="shared" si="272"/>
        <v>120</v>
      </c>
      <c r="BU22" s="50">
        <f t="shared" si="20"/>
        <v>77</v>
      </c>
      <c r="BV22" s="103">
        <f t="shared" ref="BV22:BV26" si="296">BV21</f>
        <v>0</v>
      </c>
      <c r="BW22" s="71">
        <f t="shared" si="171"/>
        <v>77</v>
      </c>
      <c r="BY22" s="120">
        <f t="shared" ref="BY22:BY25" si="297">BY21+1</f>
        <v>10</v>
      </c>
      <c r="BZ22" s="7">
        <f t="shared" ref="BZ22:BZ26" si="298">BZ21</f>
        <v>2</v>
      </c>
      <c r="CA22" s="133"/>
      <c r="CB22" s="14">
        <f t="shared" si="172"/>
        <v>0</v>
      </c>
      <c r="CC22" s="59">
        <f t="shared" si="205"/>
        <v>0</v>
      </c>
      <c r="CD22" s="405"/>
      <c r="CE22" s="406"/>
      <c r="CF22" s="406"/>
      <c r="CG22" s="14">
        <f t="shared" si="206"/>
        <v>0</v>
      </c>
      <c r="CH22" s="14">
        <f t="shared" si="173"/>
        <v>0</v>
      </c>
      <c r="CI22" s="14">
        <f t="shared" si="21"/>
        <v>0.7</v>
      </c>
      <c r="CJ22" s="47">
        <f t="shared" si="97"/>
        <v>0</v>
      </c>
      <c r="CK22" s="35">
        <f t="shared" si="22"/>
        <v>1.4</v>
      </c>
      <c r="CL22" s="157">
        <f t="shared" si="140"/>
        <v>0</v>
      </c>
      <c r="CM22" s="134"/>
      <c r="CN22" s="14">
        <f t="shared" si="23"/>
        <v>17</v>
      </c>
      <c r="CO22" s="48">
        <f t="shared" si="141"/>
        <v>0</v>
      </c>
      <c r="CP22" s="68">
        <f t="shared" si="98"/>
        <v>0</v>
      </c>
      <c r="CQ22" s="51">
        <f t="shared" si="24"/>
        <v>120</v>
      </c>
      <c r="CR22" s="103">
        <f t="shared" ref="CR22:CR26" si="299">CR21</f>
        <v>0</v>
      </c>
      <c r="CS22" s="59">
        <f t="shared" si="273"/>
        <v>120</v>
      </c>
      <c r="CT22" s="12">
        <f t="shared" si="25"/>
        <v>77</v>
      </c>
      <c r="CU22" s="112">
        <f t="shared" ref="CU22:CU26" si="300">CU21</f>
        <v>0</v>
      </c>
      <c r="CV22" s="71">
        <f t="shared" si="67"/>
        <v>77</v>
      </c>
      <c r="CX22" s="120">
        <f t="shared" ref="CX22:CX25" si="301">CX21+1</f>
        <v>10</v>
      </c>
      <c r="CY22" s="7">
        <f t="shared" ref="CY22:CY26" si="302">CY21</f>
        <v>2</v>
      </c>
      <c r="CZ22" s="133"/>
      <c r="DA22" s="14">
        <f t="shared" si="174"/>
        <v>0</v>
      </c>
      <c r="DB22" s="59">
        <f t="shared" si="274"/>
        <v>0</v>
      </c>
      <c r="DC22" s="405"/>
      <c r="DD22" s="406"/>
      <c r="DE22" s="406"/>
      <c r="DF22" s="14">
        <f t="shared" si="208"/>
        <v>0</v>
      </c>
      <c r="DG22" s="14">
        <f t="shared" si="175"/>
        <v>0</v>
      </c>
      <c r="DH22" s="14">
        <f t="shared" si="26"/>
        <v>0.7</v>
      </c>
      <c r="DI22" s="47">
        <f t="shared" si="209"/>
        <v>0</v>
      </c>
      <c r="DJ22" s="35">
        <f t="shared" si="27"/>
        <v>1.4</v>
      </c>
      <c r="DK22" s="157">
        <f t="shared" si="177"/>
        <v>0</v>
      </c>
      <c r="DL22" s="134"/>
      <c r="DM22" s="14">
        <f t="shared" si="28"/>
        <v>17</v>
      </c>
      <c r="DN22" s="48">
        <f t="shared" si="259"/>
        <v>0</v>
      </c>
      <c r="DO22" s="68">
        <f t="shared" si="178"/>
        <v>0</v>
      </c>
      <c r="DP22" s="51">
        <f t="shared" si="29"/>
        <v>120</v>
      </c>
      <c r="DQ22" s="103">
        <f t="shared" ref="DQ22:DQ26" si="303">DQ21</f>
        <v>0</v>
      </c>
      <c r="DR22" s="59">
        <f t="shared" si="275"/>
        <v>120</v>
      </c>
      <c r="DS22" s="12">
        <f t="shared" si="30"/>
        <v>77</v>
      </c>
      <c r="DT22" s="112">
        <f t="shared" ref="DT22:DT26" si="304">DT21</f>
        <v>0</v>
      </c>
      <c r="DU22" s="71">
        <f t="shared" si="164"/>
        <v>77</v>
      </c>
      <c r="DW22" s="120">
        <f t="shared" ref="DW22:DW25" si="305">DW21+1</f>
        <v>10</v>
      </c>
      <c r="DX22" s="7">
        <f t="shared" ref="DX22:DX26" si="306">DX21</f>
        <v>2</v>
      </c>
      <c r="DY22" s="133"/>
      <c r="DZ22" s="14">
        <f t="shared" si="179"/>
        <v>0</v>
      </c>
      <c r="EA22" s="59">
        <f t="shared" si="276"/>
        <v>0</v>
      </c>
      <c r="EB22" s="405"/>
      <c r="EC22" s="406"/>
      <c r="ED22" s="406"/>
      <c r="EE22" s="14">
        <f t="shared" si="211"/>
        <v>0</v>
      </c>
      <c r="EF22" s="14">
        <f t="shared" si="180"/>
        <v>0</v>
      </c>
      <c r="EG22" s="14">
        <f t="shared" si="31"/>
        <v>0.7</v>
      </c>
      <c r="EH22" s="47">
        <f t="shared" si="212"/>
        <v>0</v>
      </c>
      <c r="EI22" s="35">
        <f t="shared" si="32"/>
        <v>1.4</v>
      </c>
      <c r="EJ22" s="157">
        <f t="shared" si="182"/>
        <v>0</v>
      </c>
      <c r="EK22" s="134"/>
      <c r="EL22" s="14">
        <f t="shared" si="33"/>
        <v>17</v>
      </c>
      <c r="EM22" s="48">
        <f t="shared" si="260"/>
        <v>0</v>
      </c>
      <c r="EN22" s="68">
        <f t="shared" si="183"/>
        <v>0</v>
      </c>
      <c r="EO22" s="51">
        <f t="shared" si="34"/>
        <v>120</v>
      </c>
      <c r="EP22" s="103">
        <f t="shared" ref="EP22:EP26" si="307">EP21</f>
        <v>0</v>
      </c>
      <c r="EQ22" s="59">
        <f t="shared" si="277"/>
        <v>120</v>
      </c>
      <c r="ER22" s="12">
        <f t="shared" si="35"/>
        <v>77</v>
      </c>
      <c r="ES22" s="112">
        <f t="shared" ref="ES22:ES26" si="308">ES21</f>
        <v>0</v>
      </c>
      <c r="ET22" s="71">
        <f t="shared" si="165"/>
        <v>77</v>
      </c>
      <c r="EV22" s="120">
        <f t="shared" ref="EV22:EV25" si="309">EV21+1</f>
        <v>10</v>
      </c>
      <c r="EW22" s="7">
        <f t="shared" ref="EW22:EW26" si="310">EW21</f>
        <v>2</v>
      </c>
      <c r="EX22" s="133"/>
      <c r="EY22" s="14">
        <f t="shared" si="184"/>
        <v>0</v>
      </c>
      <c r="EZ22" s="59">
        <f t="shared" si="278"/>
        <v>0</v>
      </c>
      <c r="FA22" s="405"/>
      <c r="FB22" s="406"/>
      <c r="FC22" s="406"/>
      <c r="FD22" s="14">
        <f t="shared" si="214"/>
        <v>0</v>
      </c>
      <c r="FE22" s="14">
        <f t="shared" si="185"/>
        <v>0</v>
      </c>
      <c r="FF22" s="14">
        <f t="shared" si="36"/>
        <v>0.7</v>
      </c>
      <c r="FG22" s="47">
        <f t="shared" si="215"/>
        <v>0</v>
      </c>
      <c r="FH22" s="35">
        <f t="shared" si="37"/>
        <v>1.4</v>
      </c>
      <c r="FI22" s="157">
        <f t="shared" si="187"/>
        <v>0</v>
      </c>
      <c r="FJ22" s="134"/>
      <c r="FK22" s="14">
        <f t="shared" si="38"/>
        <v>17</v>
      </c>
      <c r="FL22" s="48">
        <f t="shared" si="261"/>
        <v>0</v>
      </c>
      <c r="FM22" s="68">
        <f t="shared" si="188"/>
        <v>0</v>
      </c>
      <c r="FN22" s="51">
        <f t="shared" si="39"/>
        <v>120</v>
      </c>
      <c r="FO22" s="103">
        <f t="shared" ref="FO22:FO26" si="311">FO21</f>
        <v>0</v>
      </c>
      <c r="FP22" s="59">
        <f t="shared" si="279"/>
        <v>120</v>
      </c>
      <c r="FQ22" s="12">
        <f t="shared" si="40"/>
        <v>77</v>
      </c>
      <c r="FR22" s="112">
        <f t="shared" ref="FR22:FR26" si="312">FR21</f>
        <v>0</v>
      </c>
      <c r="FS22" s="71">
        <f t="shared" si="166"/>
        <v>77</v>
      </c>
      <c r="FU22" s="120">
        <f t="shared" ref="FU22:FU25" si="313">FU21+1</f>
        <v>10</v>
      </c>
      <c r="FV22" s="7">
        <f t="shared" ref="FV22:FV26" si="314">FV21</f>
        <v>2</v>
      </c>
      <c r="FW22" s="133"/>
      <c r="FX22" s="14">
        <f t="shared" si="189"/>
        <v>0</v>
      </c>
      <c r="FY22" s="59">
        <f t="shared" si="280"/>
        <v>0</v>
      </c>
      <c r="FZ22" s="405"/>
      <c r="GA22" s="406"/>
      <c r="GB22" s="406"/>
      <c r="GC22" s="14">
        <f t="shared" si="217"/>
        <v>0</v>
      </c>
      <c r="GD22" s="14">
        <f t="shared" si="190"/>
        <v>0</v>
      </c>
      <c r="GE22" s="14">
        <f t="shared" si="41"/>
        <v>0.7</v>
      </c>
      <c r="GF22" s="47">
        <f t="shared" si="218"/>
        <v>0</v>
      </c>
      <c r="GG22" s="35">
        <f t="shared" si="42"/>
        <v>1.4</v>
      </c>
      <c r="GH22" s="157">
        <f t="shared" si="192"/>
        <v>0</v>
      </c>
      <c r="GI22" s="134"/>
      <c r="GJ22" s="14">
        <f t="shared" si="43"/>
        <v>17</v>
      </c>
      <c r="GK22" s="48">
        <f t="shared" si="262"/>
        <v>0</v>
      </c>
      <c r="GL22" s="68">
        <f t="shared" si="193"/>
        <v>0</v>
      </c>
      <c r="GM22" s="51">
        <f t="shared" si="44"/>
        <v>120</v>
      </c>
      <c r="GN22" s="103">
        <f t="shared" ref="GN22:GN26" si="315">GN21</f>
        <v>0</v>
      </c>
      <c r="GO22" s="59">
        <f t="shared" si="281"/>
        <v>120</v>
      </c>
      <c r="GP22" s="12">
        <f t="shared" si="45"/>
        <v>77</v>
      </c>
      <c r="GQ22" s="112">
        <f t="shared" ref="GQ22:GQ26" si="316">GQ21</f>
        <v>0</v>
      </c>
      <c r="GR22" s="71">
        <f t="shared" si="167"/>
        <v>77</v>
      </c>
      <c r="GT22" s="120">
        <f t="shared" ref="GT22:GT25" si="317">GT21+1</f>
        <v>10</v>
      </c>
      <c r="GU22" s="7">
        <f t="shared" ref="GU22:GU26" si="318">GU21</f>
        <v>2</v>
      </c>
      <c r="GV22" s="133"/>
      <c r="GW22" s="14">
        <f t="shared" si="194"/>
        <v>0</v>
      </c>
      <c r="GX22" s="59">
        <f t="shared" si="282"/>
        <v>0</v>
      </c>
      <c r="GY22" s="405"/>
      <c r="GZ22" s="406"/>
      <c r="HA22" s="406"/>
      <c r="HB22" s="14">
        <f t="shared" si="220"/>
        <v>0</v>
      </c>
      <c r="HC22" s="14">
        <f t="shared" si="195"/>
        <v>0</v>
      </c>
      <c r="HD22" s="14">
        <f t="shared" si="46"/>
        <v>0.7</v>
      </c>
      <c r="HE22" s="47">
        <f t="shared" si="221"/>
        <v>0</v>
      </c>
      <c r="HF22" s="35">
        <f t="shared" si="47"/>
        <v>1.4</v>
      </c>
      <c r="HG22" s="157">
        <f t="shared" si="197"/>
        <v>0</v>
      </c>
      <c r="HH22" s="134"/>
      <c r="HI22" s="14">
        <f t="shared" si="48"/>
        <v>17</v>
      </c>
      <c r="HJ22" s="48">
        <f t="shared" si="263"/>
        <v>0</v>
      </c>
      <c r="HK22" s="68">
        <f t="shared" si="198"/>
        <v>0</v>
      </c>
      <c r="HL22" s="51">
        <f t="shared" si="49"/>
        <v>120</v>
      </c>
      <c r="HM22" s="103">
        <f t="shared" ref="HM22:HM26" si="319">HM21</f>
        <v>0</v>
      </c>
      <c r="HN22" s="59">
        <f t="shared" si="283"/>
        <v>120</v>
      </c>
      <c r="HO22" s="12">
        <f t="shared" si="50"/>
        <v>77</v>
      </c>
      <c r="HP22" s="112">
        <f t="shared" ref="HP22:HP26" si="320">HP21</f>
        <v>0</v>
      </c>
      <c r="HQ22" s="71">
        <f t="shared" si="168"/>
        <v>77</v>
      </c>
    </row>
    <row r="23" spans="1:225" ht="17.25" thickBot="1" x14ac:dyDescent="0.3">
      <c r="B23" s="120">
        <f t="shared" si="284"/>
        <v>12</v>
      </c>
      <c r="C23" s="570">
        <f t="shared" si="285"/>
        <v>2</v>
      </c>
      <c r="D23" s="133"/>
      <c r="E23" s="408">
        <f t="shared" si="223"/>
        <v>131628</v>
      </c>
      <c r="F23" s="562">
        <f t="shared" si="0"/>
        <v>131561</v>
      </c>
      <c r="G23" s="134"/>
      <c r="H23" s="135">
        <v>67</v>
      </c>
      <c r="I23" s="135"/>
      <c r="J23" s="14">
        <f t="shared" si="200"/>
        <v>67</v>
      </c>
      <c r="K23" s="14">
        <f t="shared" si="52"/>
        <v>3312</v>
      </c>
      <c r="L23" s="14">
        <f t="shared" si="1"/>
        <v>0.7</v>
      </c>
      <c r="M23" s="47">
        <f t="shared" si="85"/>
        <v>5.0901024098216188E-2</v>
      </c>
      <c r="N23" s="35">
        <f t="shared" si="2"/>
        <v>1.4</v>
      </c>
      <c r="O23" s="132">
        <f>IFERROR((K23*100)/$D$12,0)</f>
        <v>2.4556434571782342</v>
      </c>
      <c r="P23" s="142">
        <v>3400</v>
      </c>
      <c r="Q23" s="14">
        <f t="shared" si="3"/>
        <v>17</v>
      </c>
      <c r="R23" s="442">
        <f t="shared" si="4"/>
        <v>25.830370437900751</v>
      </c>
      <c r="S23" s="470">
        <f t="shared" si="201"/>
        <v>244.97872155015173</v>
      </c>
      <c r="T23" s="51">
        <f t="shared" si="5"/>
        <v>120</v>
      </c>
      <c r="U23" s="103">
        <f t="shared" si="286"/>
        <v>124</v>
      </c>
      <c r="V23" s="59">
        <f t="shared" si="55"/>
        <v>-4</v>
      </c>
      <c r="W23" s="51">
        <f t="shared" si="6"/>
        <v>77</v>
      </c>
      <c r="X23" s="103">
        <f t="shared" si="287"/>
        <v>72</v>
      </c>
      <c r="Y23" s="71">
        <f t="shared" si="56"/>
        <v>5</v>
      </c>
      <c r="Z23" s="487"/>
      <c r="AA23" s="120">
        <f t="shared" si="288"/>
        <v>12</v>
      </c>
      <c r="AB23" s="7">
        <f t="shared" si="289"/>
        <v>2</v>
      </c>
      <c r="AC23" s="229"/>
      <c r="AD23" s="48">
        <f t="shared" si="264"/>
        <v>151095</v>
      </c>
      <c r="AE23" s="196">
        <f t="shared" si="7"/>
        <v>150805</v>
      </c>
      <c r="AF23" s="134"/>
      <c r="AG23" s="135">
        <v>290</v>
      </c>
      <c r="AH23" s="135"/>
      <c r="AI23" s="14">
        <f t="shared" si="203"/>
        <v>290</v>
      </c>
      <c r="AJ23" s="14">
        <f t="shared" ref="AJ23:AJ86" si="321">AJ22+AI23</f>
        <v>2371</v>
      </c>
      <c r="AK23" s="14">
        <f t="shared" si="8"/>
        <v>0.7</v>
      </c>
      <c r="AL23" s="230">
        <f t="shared" si="58"/>
        <v>0.19193222806843377</v>
      </c>
      <c r="AM23" s="35">
        <f t="shared" si="9"/>
        <v>1.4</v>
      </c>
      <c r="AN23" s="157">
        <f t="shared" si="169"/>
        <v>1.5478926202538257</v>
      </c>
      <c r="AO23" s="134">
        <v>1400</v>
      </c>
      <c r="AP23" s="14">
        <f t="shared" si="10"/>
        <v>17</v>
      </c>
      <c r="AQ23" s="480">
        <f t="shared" si="59"/>
        <v>9.2656937688209418</v>
      </c>
      <c r="AR23" s="470">
        <f t="shared" si="134"/>
        <v>280.46010066893427</v>
      </c>
      <c r="AS23" s="51">
        <f t="shared" si="11"/>
        <v>120</v>
      </c>
      <c r="AT23" s="103">
        <f t="shared" si="290"/>
        <v>112</v>
      </c>
      <c r="AU23" s="59">
        <f t="shared" si="271"/>
        <v>8</v>
      </c>
      <c r="AV23" s="51">
        <f t="shared" si="12"/>
        <v>77</v>
      </c>
      <c r="AW23" s="103">
        <f t="shared" si="291"/>
        <v>74</v>
      </c>
      <c r="AX23" s="71">
        <f t="shared" si="170"/>
        <v>3</v>
      </c>
      <c r="AZ23" s="120">
        <f t="shared" si="292"/>
        <v>12</v>
      </c>
      <c r="BA23" s="7">
        <f t="shared" si="293"/>
        <v>2</v>
      </c>
      <c r="BB23" s="133"/>
      <c r="BC23" s="48">
        <f t="shared" si="62"/>
        <v>0</v>
      </c>
      <c r="BD23" s="196">
        <f t="shared" si="13"/>
        <v>0</v>
      </c>
      <c r="BE23" s="134"/>
      <c r="BF23" s="135"/>
      <c r="BG23" s="135"/>
      <c r="BH23" s="14">
        <f t="shared" si="204"/>
        <v>0</v>
      </c>
      <c r="BI23" s="14">
        <f t="shared" si="294"/>
        <v>0</v>
      </c>
      <c r="BJ23" s="14">
        <f t="shared" si="14"/>
        <v>0.7</v>
      </c>
      <c r="BK23" s="47">
        <f t="shared" si="92"/>
        <v>0</v>
      </c>
      <c r="BL23" s="35">
        <f t="shared" si="15"/>
        <v>1.4</v>
      </c>
      <c r="BM23" s="157">
        <f t="shared" si="16"/>
        <v>0</v>
      </c>
      <c r="BN23" s="134"/>
      <c r="BO23" s="14">
        <f t="shared" si="17"/>
        <v>17</v>
      </c>
      <c r="BP23" s="442">
        <f t="shared" si="93"/>
        <v>0</v>
      </c>
      <c r="BQ23" s="747">
        <f t="shared" si="137"/>
        <v>0</v>
      </c>
      <c r="BR23" s="51">
        <f t="shared" si="18"/>
        <v>120</v>
      </c>
      <c r="BS23" s="103">
        <f t="shared" si="295"/>
        <v>0</v>
      </c>
      <c r="BT23" s="59">
        <f t="shared" si="272"/>
        <v>120</v>
      </c>
      <c r="BU23" s="51">
        <f t="shared" si="20"/>
        <v>77</v>
      </c>
      <c r="BV23" s="103">
        <f t="shared" si="296"/>
        <v>0</v>
      </c>
      <c r="BW23" s="71">
        <f t="shared" si="171"/>
        <v>77</v>
      </c>
      <c r="BY23" s="120">
        <f t="shared" si="297"/>
        <v>11</v>
      </c>
      <c r="BZ23" s="7">
        <f t="shared" si="298"/>
        <v>2</v>
      </c>
      <c r="CA23" s="133"/>
      <c r="CB23" s="14">
        <f t="shared" si="172"/>
        <v>0</v>
      </c>
      <c r="CC23" s="59">
        <f t="shared" si="205"/>
        <v>0</v>
      </c>
      <c r="CD23" s="405"/>
      <c r="CE23" s="406"/>
      <c r="CF23" s="406"/>
      <c r="CG23" s="14">
        <f t="shared" si="206"/>
        <v>0</v>
      </c>
      <c r="CH23" s="14">
        <f t="shared" si="173"/>
        <v>0</v>
      </c>
      <c r="CI23" s="14">
        <f t="shared" si="21"/>
        <v>0.7</v>
      </c>
      <c r="CJ23" s="47">
        <f t="shared" si="97"/>
        <v>0</v>
      </c>
      <c r="CK23" s="35">
        <f t="shared" si="22"/>
        <v>1.4</v>
      </c>
      <c r="CL23" s="157">
        <f t="shared" si="140"/>
        <v>0</v>
      </c>
      <c r="CM23" s="134"/>
      <c r="CN23" s="14">
        <f t="shared" si="23"/>
        <v>17</v>
      </c>
      <c r="CO23" s="48">
        <f t="shared" si="141"/>
        <v>0</v>
      </c>
      <c r="CP23" s="68">
        <f t="shared" si="98"/>
        <v>0</v>
      </c>
      <c r="CQ23" s="51">
        <f t="shared" si="24"/>
        <v>120</v>
      </c>
      <c r="CR23" s="103">
        <f t="shared" si="299"/>
        <v>0</v>
      </c>
      <c r="CS23" s="59">
        <f t="shared" si="273"/>
        <v>120</v>
      </c>
      <c r="CT23" s="51">
        <f t="shared" si="25"/>
        <v>77</v>
      </c>
      <c r="CU23" s="112">
        <f t="shared" si="300"/>
        <v>0</v>
      </c>
      <c r="CV23" s="71">
        <f t="shared" si="67"/>
        <v>77</v>
      </c>
      <c r="CX23" s="120">
        <f t="shared" si="301"/>
        <v>11</v>
      </c>
      <c r="CY23" s="7">
        <f t="shared" si="302"/>
        <v>2</v>
      </c>
      <c r="CZ23" s="133"/>
      <c r="DA23" s="14">
        <f t="shared" si="174"/>
        <v>0</v>
      </c>
      <c r="DB23" s="59">
        <f t="shared" si="274"/>
        <v>0</v>
      </c>
      <c r="DC23" s="405"/>
      <c r="DD23" s="406"/>
      <c r="DE23" s="406"/>
      <c r="DF23" s="14">
        <f t="shared" si="208"/>
        <v>0</v>
      </c>
      <c r="DG23" s="14">
        <f t="shared" si="175"/>
        <v>0</v>
      </c>
      <c r="DH23" s="14">
        <f t="shared" si="26"/>
        <v>0.7</v>
      </c>
      <c r="DI23" s="47">
        <f t="shared" si="209"/>
        <v>0</v>
      </c>
      <c r="DJ23" s="35">
        <f t="shared" si="27"/>
        <v>1.4</v>
      </c>
      <c r="DK23" s="157">
        <f t="shared" si="177"/>
        <v>0</v>
      </c>
      <c r="DL23" s="134"/>
      <c r="DM23" s="14">
        <f t="shared" si="28"/>
        <v>17</v>
      </c>
      <c r="DN23" s="48">
        <f t="shared" si="259"/>
        <v>0</v>
      </c>
      <c r="DO23" s="68">
        <f t="shared" si="178"/>
        <v>0</v>
      </c>
      <c r="DP23" s="51">
        <f t="shared" si="29"/>
        <v>120</v>
      </c>
      <c r="DQ23" s="103">
        <f t="shared" si="303"/>
        <v>0</v>
      </c>
      <c r="DR23" s="59">
        <f t="shared" si="275"/>
        <v>120</v>
      </c>
      <c r="DS23" s="51">
        <f t="shared" si="30"/>
        <v>77</v>
      </c>
      <c r="DT23" s="112">
        <f t="shared" si="304"/>
        <v>0</v>
      </c>
      <c r="DU23" s="71">
        <f t="shared" si="164"/>
        <v>77</v>
      </c>
      <c r="DW23" s="120">
        <f t="shared" si="305"/>
        <v>11</v>
      </c>
      <c r="DX23" s="7">
        <f t="shared" si="306"/>
        <v>2</v>
      </c>
      <c r="DY23" s="133"/>
      <c r="DZ23" s="14">
        <f t="shared" si="179"/>
        <v>0</v>
      </c>
      <c r="EA23" s="59">
        <f t="shared" si="276"/>
        <v>0</v>
      </c>
      <c r="EB23" s="405"/>
      <c r="EC23" s="406"/>
      <c r="ED23" s="406"/>
      <c r="EE23" s="14">
        <f t="shared" si="211"/>
        <v>0</v>
      </c>
      <c r="EF23" s="14">
        <f t="shared" si="180"/>
        <v>0</v>
      </c>
      <c r="EG23" s="14">
        <f t="shared" si="31"/>
        <v>0.7</v>
      </c>
      <c r="EH23" s="47">
        <f t="shared" si="212"/>
        <v>0</v>
      </c>
      <c r="EI23" s="35">
        <f t="shared" si="32"/>
        <v>1.4</v>
      </c>
      <c r="EJ23" s="157">
        <f t="shared" si="182"/>
        <v>0</v>
      </c>
      <c r="EK23" s="134"/>
      <c r="EL23" s="14">
        <f t="shared" si="33"/>
        <v>17</v>
      </c>
      <c r="EM23" s="48">
        <f t="shared" si="260"/>
        <v>0</v>
      </c>
      <c r="EN23" s="68">
        <f t="shared" si="183"/>
        <v>0</v>
      </c>
      <c r="EO23" s="51">
        <f t="shared" si="34"/>
        <v>120</v>
      </c>
      <c r="EP23" s="103">
        <f t="shared" si="307"/>
        <v>0</v>
      </c>
      <c r="EQ23" s="59">
        <f t="shared" si="277"/>
        <v>120</v>
      </c>
      <c r="ER23" s="51">
        <f t="shared" si="35"/>
        <v>77</v>
      </c>
      <c r="ES23" s="112">
        <f t="shared" si="308"/>
        <v>0</v>
      </c>
      <c r="ET23" s="71">
        <f t="shared" si="165"/>
        <v>77</v>
      </c>
      <c r="EV23" s="120">
        <f t="shared" si="309"/>
        <v>11</v>
      </c>
      <c r="EW23" s="7">
        <f t="shared" si="310"/>
        <v>2</v>
      </c>
      <c r="EX23" s="133"/>
      <c r="EY23" s="14">
        <f t="shared" si="184"/>
        <v>0</v>
      </c>
      <c r="EZ23" s="59">
        <f t="shared" si="278"/>
        <v>0</v>
      </c>
      <c r="FA23" s="405"/>
      <c r="FB23" s="406"/>
      <c r="FC23" s="406"/>
      <c r="FD23" s="14">
        <f t="shared" si="214"/>
        <v>0</v>
      </c>
      <c r="FE23" s="14">
        <f t="shared" si="185"/>
        <v>0</v>
      </c>
      <c r="FF23" s="14">
        <f t="shared" si="36"/>
        <v>0.7</v>
      </c>
      <c r="FG23" s="47">
        <f t="shared" si="215"/>
        <v>0</v>
      </c>
      <c r="FH23" s="35">
        <f t="shared" si="37"/>
        <v>1.4</v>
      </c>
      <c r="FI23" s="157">
        <f t="shared" si="187"/>
        <v>0</v>
      </c>
      <c r="FJ23" s="134"/>
      <c r="FK23" s="14">
        <f t="shared" si="38"/>
        <v>17</v>
      </c>
      <c r="FL23" s="48">
        <f t="shared" si="261"/>
        <v>0</v>
      </c>
      <c r="FM23" s="68">
        <f t="shared" si="188"/>
        <v>0</v>
      </c>
      <c r="FN23" s="51">
        <f t="shared" si="39"/>
        <v>120</v>
      </c>
      <c r="FO23" s="103">
        <f t="shared" si="311"/>
        <v>0</v>
      </c>
      <c r="FP23" s="59">
        <f t="shared" si="279"/>
        <v>120</v>
      </c>
      <c r="FQ23" s="51">
        <f t="shared" si="40"/>
        <v>77</v>
      </c>
      <c r="FR23" s="112">
        <f t="shared" si="312"/>
        <v>0</v>
      </c>
      <c r="FS23" s="71">
        <f t="shared" si="166"/>
        <v>77</v>
      </c>
      <c r="FU23" s="120">
        <f t="shared" si="313"/>
        <v>11</v>
      </c>
      <c r="FV23" s="7">
        <f t="shared" si="314"/>
        <v>2</v>
      </c>
      <c r="FW23" s="133"/>
      <c r="FX23" s="14">
        <f t="shared" si="189"/>
        <v>0</v>
      </c>
      <c r="FY23" s="59">
        <f t="shared" si="280"/>
        <v>0</v>
      </c>
      <c r="FZ23" s="405"/>
      <c r="GA23" s="406"/>
      <c r="GB23" s="406"/>
      <c r="GC23" s="14">
        <f t="shared" si="217"/>
        <v>0</v>
      </c>
      <c r="GD23" s="14">
        <f t="shared" si="190"/>
        <v>0</v>
      </c>
      <c r="GE23" s="14">
        <f t="shared" si="41"/>
        <v>0.7</v>
      </c>
      <c r="GF23" s="47">
        <f t="shared" si="218"/>
        <v>0</v>
      </c>
      <c r="GG23" s="35">
        <f t="shared" si="42"/>
        <v>1.4</v>
      </c>
      <c r="GH23" s="157">
        <f t="shared" si="192"/>
        <v>0</v>
      </c>
      <c r="GI23" s="134"/>
      <c r="GJ23" s="14">
        <f t="shared" si="43"/>
        <v>17</v>
      </c>
      <c r="GK23" s="48">
        <f t="shared" si="262"/>
        <v>0</v>
      </c>
      <c r="GL23" s="68">
        <f t="shared" si="193"/>
        <v>0</v>
      </c>
      <c r="GM23" s="51">
        <f t="shared" si="44"/>
        <v>120</v>
      </c>
      <c r="GN23" s="103">
        <f t="shared" si="315"/>
        <v>0</v>
      </c>
      <c r="GO23" s="59">
        <f t="shared" si="281"/>
        <v>120</v>
      </c>
      <c r="GP23" s="51">
        <f t="shared" si="45"/>
        <v>77</v>
      </c>
      <c r="GQ23" s="112">
        <f t="shared" si="316"/>
        <v>0</v>
      </c>
      <c r="GR23" s="71">
        <f t="shared" si="167"/>
        <v>77</v>
      </c>
      <c r="GT23" s="120">
        <f t="shared" si="317"/>
        <v>11</v>
      </c>
      <c r="GU23" s="7">
        <f t="shared" si="318"/>
        <v>2</v>
      </c>
      <c r="GV23" s="133"/>
      <c r="GW23" s="14">
        <f t="shared" si="194"/>
        <v>0</v>
      </c>
      <c r="GX23" s="59">
        <f t="shared" si="282"/>
        <v>0</v>
      </c>
      <c r="GY23" s="405"/>
      <c r="GZ23" s="406"/>
      <c r="HA23" s="406"/>
      <c r="HB23" s="14">
        <f t="shared" si="220"/>
        <v>0</v>
      </c>
      <c r="HC23" s="14">
        <f t="shared" si="195"/>
        <v>0</v>
      </c>
      <c r="HD23" s="14">
        <f t="shared" si="46"/>
        <v>0.7</v>
      </c>
      <c r="HE23" s="47">
        <f t="shared" si="221"/>
        <v>0</v>
      </c>
      <c r="HF23" s="35">
        <f t="shared" si="47"/>
        <v>1.4</v>
      </c>
      <c r="HG23" s="157">
        <f t="shared" si="197"/>
        <v>0</v>
      </c>
      <c r="HH23" s="134"/>
      <c r="HI23" s="14">
        <f t="shared" si="48"/>
        <v>17</v>
      </c>
      <c r="HJ23" s="48">
        <f t="shared" si="263"/>
        <v>0</v>
      </c>
      <c r="HK23" s="68">
        <f t="shared" si="198"/>
        <v>0</v>
      </c>
      <c r="HL23" s="51">
        <f t="shared" si="49"/>
        <v>120</v>
      </c>
      <c r="HM23" s="103">
        <f t="shared" si="319"/>
        <v>0</v>
      </c>
      <c r="HN23" s="59">
        <f t="shared" si="283"/>
        <v>120</v>
      </c>
      <c r="HO23" s="51">
        <f t="shared" si="50"/>
        <v>77</v>
      </c>
      <c r="HP23" s="112">
        <f t="shared" si="320"/>
        <v>0</v>
      </c>
      <c r="HQ23" s="71">
        <f t="shared" si="168"/>
        <v>77</v>
      </c>
    </row>
    <row r="24" spans="1:225" ht="17.25" thickBot="1" x14ac:dyDescent="0.3">
      <c r="B24" s="120">
        <f t="shared" si="284"/>
        <v>13</v>
      </c>
      <c r="C24" s="570">
        <f t="shared" si="285"/>
        <v>2</v>
      </c>
      <c r="D24" s="133"/>
      <c r="E24" s="408">
        <f t="shared" si="223"/>
        <v>131561</v>
      </c>
      <c r="F24" s="562">
        <f t="shared" si="0"/>
        <v>131482</v>
      </c>
      <c r="G24" s="134"/>
      <c r="H24" s="135">
        <v>79</v>
      </c>
      <c r="I24" s="135"/>
      <c r="J24" s="14">
        <f t="shared" si="200"/>
        <v>79</v>
      </c>
      <c r="K24" s="14">
        <f t="shared" si="52"/>
        <v>3391</v>
      </c>
      <c r="L24" s="14">
        <f t="shared" si="1"/>
        <v>0.7</v>
      </c>
      <c r="M24" s="47">
        <f t="shared" si="85"/>
        <v>6.0048190573194181E-2</v>
      </c>
      <c r="N24" s="35">
        <f t="shared" si="2"/>
        <v>1.4</v>
      </c>
      <c r="O24" s="132">
        <f t="shared" si="53"/>
        <v>2.5142170782884641</v>
      </c>
      <c r="P24" s="142">
        <v>1800</v>
      </c>
      <c r="Q24" s="14">
        <f t="shared" si="3"/>
        <v>17</v>
      </c>
      <c r="R24" s="442">
        <f t="shared" si="4"/>
        <v>13.681866206550573</v>
      </c>
      <c r="S24" s="470">
        <f>S23+R24</f>
        <v>258.66058775670228</v>
      </c>
      <c r="T24" s="51">
        <f t="shared" si="5"/>
        <v>120</v>
      </c>
      <c r="U24" s="103">
        <f t="shared" si="286"/>
        <v>124</v>
      </c>
      <c r="V24" s="59">
        <f t="shared" si="55"/>
        <v>-4</v>
      </c>
      <c r="W24" s="12">
        <f t="shared" si="6"/>
        <v>77</v>
      </c>
      <c r="X24" s="103">
        <f t="shared" si="287"/>
        <v>72</v>
      </c>
      <c r="Y24" s="71">
        <f t="shared" si="56"/>
        <v>5</v>
      </c>
      <c r="Z24" s="487"/>
      <c r="AA24" s="120">
        <f t="shared" si="288"/>
        <v>13</v>
      </c>
      <c r="AB24" s="7">
        <f t="shared" si="289"/>
        <v>2</v>
      </c>
      <c r="AC24" s="229"/>
      <c r="AD24" s="48">
        <f t="shared" si="264"/>
        <v>150805</v>
      </c>
      <c r="AE24" s="196">
        <f t="shared" si="7"/>
        <v>150524</v>
      </c>
      <c r="AF24" s="134"/>
      <c r="AG24" s="135">
        <v>281</v>
      </c>
      <c r="AH24" s="135"/>
      <c r="AI24" s="14">
        <f t="shared" si="203"/>
        <v>281</v>
      </c>
      <c r="AJ24" s="14">
        <f t="shared" si="321"/>
        <v>2652</v>
      </c>
      <c r="AK24" s="14">
        <f t="shared" si="8"/>
        <v>0.7</v>
      </c>
      <c r="AL24" s="230">
        <f t="shared" si="58"/>
        <v>0.18633334438513313</v>
      </c>
      <c r="AM24" s="35">
        <f t="shared" si="9"/>
        <v>1.4</v>
      </c>
      <c r="AN24" s="157">
        <f>IFERROR((AJ24*100)/$AC$19,0)</f>
        <v>1.7313417245521492</v>
      </c>
      <c r="AO24" s="134">
        <v>1800</v>
      </c>
      <c r="AP24" s="14">
        <f t="shared" si="10"/>
        <v>17</v>
      </c>
      <c r="AQ24" s="442">
        <f t="shared" si="59"/>
        <v>11.935943768442691</v>
      </c>
      <c r="AR24" s="470">
        <f>AR23+AQ24</f>
        <v>292.39604443737699</v>
      </c>
      <c r="AS24" s="51">
        <f t="shared" si="11"/>
        <v>120</v>
      </c>
      <c r="AT24" s="103">
        <f t="shared" si="290"/>
        <v>112</v>
      </c>
      <c r="AU24" s="59">
        <f t="shared" si="271"/>
        <v>8</v>
      </c>
      <c r="AV24" s="12">
        <f t="shared" si="12"/>
        <v>77</v>
      </c>
      <c r="AW24" s="103">
        <f t="shared" si="291"/>
        <v>74</v>
      </c>
      <c r="AX24" s="71">
        <f t="shared" si="170"/>
        <v>3</v>
      </c>
      <c r="AZ24" s="120">
        <f t="shared" si="292"/>
        <v>13</v>
      </c>
      <c r="BA24" s="7">
        <f t="shared" si="293"/>
        <v>2</v>
      </c>
      <c r="BB24" s="133"/>
      <c r="BC24" s="48">
        <f t="shared" si="62"/>
        <v>0</v>
      </c>
      <c r="BD24" s="196">
        <f t="shared" si="13"/>
        <v>0</v>
      </c>
      <c r="BE24" s="134"/>
      <c r="BF24" s="135"/>
      <c r="BG24" s="135"/>
      <c r="BH24" s="14">
        <f t="shared" si="204"/>
        <v>0</v>
      </c>
      <c r="BI24" s="14">
        <f t="shared" si="294"/>
        <v>0</v>
      </c>
      <c r="BJ24" s="14">
        <f t="shared" si="14"/>
        <v>0.7</v>
      </c>
      <c r="BK24" s="47">
        <f t="shared" si="92"/>
        <v>0</v>
      </c>
      <c r="BL24" s="35">
        <f t="shared" si="15"/>
        <v>1.4</v>
      </c>
      <c r="BM24" s="157">
        <f t="shared" si="16"/>
        <v>0</v>
      </c>
      <c r="BN24" s="134"/>
      <c r="BO24" s="14">
        <f t="shared" si="17"/>
        <v>17</v>
      </c>
      <c r="BP24" s="442">
        <f t="shared" si="93"/>
        <v>0</v>
      </c>
      <c r="BQ24" s="747">
        <f t="shared" si="137"/>
        <v>0</v>
      </c>
      <c r="BR24" s="51">
        <f t="shared" si="18"/>
        <v>120</v>
      </c>
      <c r="BS24" s="103">
        <f t="shared" si="295"/>
        <v>0</v>
      </c>
      <c r="BT24" s="59">
        <f t="shared" si="272"/>
        <v>120</v>
      </c>
      <c r="BU24" s="12">
        <f t="shared" si="20"/>
        <v>77</v>
      </c>
      <c r="BV24" s="103">
        <f t="shared" si="296"/>
        <v>0</v>
      </c>
      <c r="BW24" s="71">
        <f t="shared" si="171"/>
        <v>77</v>
      </c>
      <c r="BY24" s="120">
        <f t="shared" si="297"/>
        <v>12</v>
      </c>
      <c r="BZ24" s="7">
        <f t="shared" si="298"/>
        <v>2</v>
      </c>
      <c r="CA24" s="133"/>
      <c r="CB24" s="14">
        <f t="shared" si="172"/>
        <v>0</v>
      </c>
      <c r="CC24" s="59">
        <f t="shared" si="205"/>
        <v>0</v>
      </c>
      <c r="CD24" s="405"/>
      <c r="CE24" s="406"/>
      <c r="CF24" s="406"/>
      <c r="CG24" s="14">
        <f t="shared" si="206"/>
        <v>0</v>
      </c>
      <c r="CH24" s="14">
        <f t="shared" si="173"/>
        <v>0</v>
      </c>
      <c r="CI24" s="14">
        <f t="shared" si="21"/>
        <v>0.7</v>
      </c>
      <c r="CJ24" s="47">
        <f t="shared" si="97"/>
        <v>0</v>
      </c>
      <c r="CK24" s="35">
        <f t="shared" si="22"/>
        <v>1.4</v>
      </c>
      <c r="CL24" s="157">
        <f t="shared" si="140"/>
        <v>0</v>
      </c>
      <c r="CM24" s="134"/>
      <c r="CN24" s="14">
        <f t="shared" si="23"/>
        <v>17</v>
      </c>
      <c r="CO24" s="48">
        <f t="shared" si="141"/>
        <v>0</v>
      </c>
      <c r="CP24" s="68">
        <f t="shared" si="98"/>
        <v>0</v>
      </c>
      <c r="CQ24" s="51">
        <f t="shared" si="24"/>
        <v>120</v>
      </c>
      <c r="CR24" s="103">
        <f t="shared" si="299"/>
        <v>0</v>
      </c>
      <c r="CS24" s="59">
        <f t="shared" si="273"/>
        <v>120</v>
      </c>
      <c r="CT24" s="12">
        <f t="shared" si="25"/>
        <v>77</v>
      </c>
      <c r="CU24" s="112">
        <f t="shared" si="300"/>
        <v>0</v>
      </c>
      <c r="CV24" s="71">
        <f t="shared" si="67"/>
        <v>77</v>
      </c>
      <c r="CX24" s="120">
        <f t="shared" si="301"/>
        <v>12</v>
      </c>
      <c r="CY24" s="7">
        <f t="shared" si="302"/>
        <v>2</v>
      </c>
      <c r="CZ24" s="133"/>
      <c r="DA24" s="14">
        <f t="shared" si="174"/>
        <v>0</v>
      </c>
      <c r="DB24" s="59">
        <f t="shared" si="274"/>
        <v>0</v>
      </c>
      <c r="DC24" s="405"/>
      <c r="DD24" s="406"/>
      <c r="DE24" s="406"/>
      <c r="DF24" s="14">
        <f t="shared" si="208"/>
        <v>0</v>
      </c>
      <c r="DG24" s="14">
        <f t="shared" si="175"/>
        <v>0</v>
      </c>
      <c r="DH24" s="14">
        <f t="shared" si="26"/>
        <v>0.7</v>
      </c>
      <c r="DI24" s="47">
        <f t="shared" si="209"/>
        <v>0</v>
      </c>
      <c r="DJ24" s="35">
        <f t="shared" si="27"/>
        <v>1.4</v>
      </c>
      <c r="DK24" s="157">
        <f t="shared" si="177"/>
        <v>0</v>
      </c>
      <c r="DL24" s="134"/>
      <c r="DM24" s="14">
        <f t="shared" si="28"/>
        <v>17</v>
      </c>
      <c r="DN24" s="48">
        <f t="shared" si="259"/>
        <v>0</v>
      </c>
      <c r="DO24" s="68">
        <f t="shared" si="178"/>
        <v>0</v>
      </c>
      <c r="DP24" s="51">
        <f t="shared" si="29"/>
        <v>120</v>
      </c>
      <c r="DQ24" s="103">
        <f t="shared" si="303"/>
        <v>0</v>
      </c>
      <c r="DR24" s="59">
        <f t="shared" si="275"/>
        <v>120</v>
      </c>
      <c r="DS24" s="12">
        <f t="shared" si="30"/>
        <v>77</v>
      </c>
      <c r="DT24" s="112">
        <f t="shared" si="304"/>
        <v>0</v>
      </c>
      <c r="DU24" s="71">
        <f t="shared" si="164"/>
        <v>77</v>
      </c>
      <c r="DW24" s="120">
        <f t="shared" si="305"/>
        <v>12</v>
      </c>
      <c r="DX24" s="7">
        <f t="shared" si="306"/>
        <v>2</v>
      </c>
      <c r="DY24" s="133"/>
      <c r="DZ24" s="14">
        <f t="shared" si="179"/>
        <v>0</v>
      </c>
      <c r="EA24" s="59">
        <f t="shared" si="276"/>
        <v>0</v>
      </c>
      <c r="EB24" s="405"/>
      <c r="EC24" s="406"/>
      <c r="ED24" s="406"/>
      <c r="EE24" s="14">
        <f t="shared" si="211"/>
        <v>0</v>
      </c>
      <c r="EF24" s="14">
        <f t="shared" si="180"/>
        <v>0</v>
      </c>
      <c r="EG24" s="14">
        <f t="shared" si="31"/>
        <v>0.7</v>
      </c>
      <c r="EH24" s="47">
        <f t="shared" si="212"/>
        <v>0</v>
      </c>
      <c r="EI24" s="35">
        <f t="shared" si="32"/>
        <v>1.4</v>
      </c>
      <c r="EJ24" s="157">
        <f t="shared" si="182"/>
        <v>0</v>
      </c>
      <c r="EK24" s="134"/>
      <c r="EL24" s="14">
        <f t="shared" si="33"/>
        <v>17</v>
      </c>
      <c r="EM24" s="48">
        <f t="shared" si="260"/>
        <v>0</v>
      </c>
      <c r="EN24" s="68">
        <f t="shared" si="183"/>
        <v>0</v>
      </c>
      <c r="EO24" s="51">
        <f t="shared" si="34"/>
        <v>120</v>
      </c>
      <c r="EP24" s="103">
        <f t="shared" si="307"/>
        <v>0</v>
      </c>
      <c r="EQ24" s="59">
        <f t="shared" si="277"/>
        <v>120</v>
      </c>
      <c r="ER24" s="12">
        <f t="shared" si="35"/>
        <v>77</v>
      </c>
      <c r="ES24" s="112">
        <f t="shared" si="308"/>
        <v>0</v>
      </c>
      <c r="ET24" s="71">
        <f t="shared" si="165"/>
        <v>77</v>
      </c>
      <c r="EV24" s="120">
        <f t="shared" si="309"/>
        <v>12</v>
      </c>
      <c r="EW24" s="7">
        <f t="shared" si="310"/>
        <v>2</v>
      </c>
      <c r="EX24" s="133"/>
      <c r="EY24" s="14">
        <f t="shared" si="184"/>
        <v>0</v>
      </c>
      <c r="EZ24" s="59">
        <f t="shared" si="278"/>
        <v>0</v>
      </c>
      <c r="FA24" s="405"/>
      <c r="FB24" s="406"/>
      <c r="FC24" s="406"/>
      <c r="FD24" s="14">
        <f t="shared" si="214"/>
        <v>0</v>
      </c>
      <c r="FE24" s="14">
        <f t="shared" si="185"/>
        <v>0</v>
      </c>
      <c r="FF24" s="14">
        <f t="shared" si="36"/>
        <v>0.7</v>
      </c>
      <c r="FG24" s="47">
        <f t="shared" si="215"/>
        <v>0</v>
      </c>
      <c r="FH24" s="35">
        <f t="shared" si="37"/>
        <v>1.4</v>
      </c>
      <c r="FI24" s="157">
        <f t="shared" si="187"/>
        <v>0</v>
      </c>
      <c r="FJ24" s="134"/>
      <c r="FK24" s="14">
        <f t="shared" si="38"/>
        <v>17</v>
      </c>
      <c r="FL24" s="48">
        <f t="shared" si="261"/>
        <v>0</v>
      </c>
      <c r="FM24" s="68">
        <f t="shared" si="188"/>
        <v>0</v>
      </c>
      <c r="FN24" s="51">
        <f t="shared" si="39"/>
        <v>120</v>
      </c>
      <c r="FO24" s="103">
        <f t="shared" si="311"/>
        <v>0</v>
      </c>
      <c r="FP24" s="59">
        <f t="shared" si="279"/>
        <v>120</v>
      </c>
      <c r="FQ24" s="12">
        <f t="shared" si="40"/>
        <v>77</v>
      </c>
      <c r="FR24" s="112">
        <f t="shared" si="312"/>
        <v>0</v>
      </c>
      <c r="FS24" s="71">
        <f t="shared" si="166"/>
        <v>77</v>
      </c>
      <c r="FU24" s="120">
        <f t="shared" si="313"/>
        <v>12</v>
      </c>
      <c r="FV24" s="7">
        <f t="shared" si="314"/>
        <v>2</v>
      </c>
      <c r="FW24" s="133"/>
      <c r="FX24" s="14">
        <f t="shared" si="189"/>
        <v>0</v>
      </c>
      <c r="FY24" s="59">
        <f t="shared" si="280"/>
        <v>0</v>
      </c>
      <c r="FZ24" s="405"/>
      <c r="GA24" s="406"/>
      <c r="GB24" s="406"/>
      <c r="GC24" s="14">
        <f t="shared" si="217"/>
        <v>0</v>
      </c>
      <c r="GD24" s="14">
        <f t="shared" si="190"/>
        <v>0</v>
      </c>
      <c r="GE24" s="14">
        <f t="shared" si="41"/>
        <v>0.7</v>
      </c>
      <c r="GF24" s="47">
        <f t="shared" si="218"/>
        <v>0</v>
      </c>
      <c r="GG24" s="35">
        <f t="shared" si="42"/>
        <v>1.4</v>
      </c>
      <c r="GH24" s="157">
        <f t="shared" si="192"/>
        <v>0</v>
      </c>
      <c r="GI24" s="134"/>
      <c r="GJ24" s="14">
        <f t="shared" si="43"/>
        <v>17</v>
      </c>
      <c r="GK24" s="48">
        <f t="shared" si="262"/>
        <v>0</v>
      </c>
      <c r="GL24" s="68">
        <f t="shared" si="193"/>
        <v>0</v>
      </c>
      <c r="GM24" s="51">
        <f t="shared" si="44"/>
        <v>120</v>
      </c>
      <c r="GN24" s="103">
        <f t="shared" si="315"/>
        <v>0</v>
      </c>
      <c r="GO24" s="59">
        <f t="shared" si="281"/>
        <v>120</v>
      </c>
      <c r="GP24" s="12">
        <f t="shared" si="45"/>
        <v>77</v>
      </c>
      <c r="GQ24" s="112">
        <f t="shared" si="316"/>
        <v>0</v>
      </c>
      <c r="GR24" s="71">
        <f t="shared" si="167"/>
        <v>77</v>
      </c>
      <c r="GT24" s="120">
        <f t="shared" si="317"/>
        <v>12</v>
      </c>
      <c r="GU24" s="7">
        <f t="shared" si="318"/>
        <v>2</v>
      </c>
      <c r="GV24" s="133"/>
      <c r="GW24" s="14">
        <f t="shared" si="194"/>
        <v>0</v>
      </c>
      <c r="GX24" s="59">
        <f t="shared" si="282"/>
        <v>0</v>
      </c>
      <c r="GY24" s="405"/>
      <c r="GZ24" s="406"/>
      <c r="HA24" s="406"/>
      <c r="HB24" s="14">
        <f t="shared" si="220"/>
        <v>0</v>
      </c>
      <c r="HC24" s="14">
        <f t="shared" si="195"/>
        <v>0</v>
      </c>
      <c r="HD24" s="14">
        <f t="shared" si="46"/>
        <v>0.7</v>
      </c>
      <c r="HE24" s="47">
        <f t="shared" si="221"/>
        <v>0</v>
      </c>
      <c r="HF24" s="35">
        <f t="shared" si="47"/>
        <v>1.4</v>
      </c>
      <c r="HG24" s="157">
        <f t="shared" si="197"/>
        <v>0</v>
      </c>
      <c r="HH24" s="134"/>
      <c r="HI24" s="14">
        <f t="shared" si="48"/>
        <v>17</v>
      </c>
      <c r="HJ24" s="48">
        <f t="shared" si="263"/>
        <v>0</v>
      </c>
      <c r="HK24" s="68">
        <f t="shared" si="198"/>
        <v>0</v>
      </c>
      <c r="HL24" s="51">
        <f t="shared" si="49"/>
        <v>120</v>
      </c>
      <c r="HM24" s="103">
        <f t="shared" si="319"/>
        <v>0</v>
      </c>
      <c r="HN24" s="59">
        <f t="shared" si="283"/>
        <v>120</v>
      </c>
      <c r="HO24" s="12">
        <f t="shared" si="50"/>
        <v>77</v>
      </c>
      <c r="HP24" s="112">
        <f t="shared" si="320"/>
        <v>0</v>
      </c>
      <c r="HQ24" s="71">
        <f t="shared" si="168"/>
        <v>77</v>
      </c>
    </row>
    <row r="25" spans="1:225" ht="17.25" thickBot="1" x14ac:dyDescent="0.3">
      <c r="B25" s="120">
        <f t="shared" si="284"/>
        <v>14</v>
      </c>
      <c r="C25" s="570">
        <f t="shared" si="285"/>
        <v>2</v>
      </c>
      <c r="D25" s="133"/>
      <c r="E25" s="408">
        <f t="shared" si="223"/>
        <v>131482</v>
      </c>
      <c r="F25" s="562">
        <f t="shared" si="0"/>
        <v>131413</v>
      </c>
      <c r="G25" s="134"/>
      <c r="H25" s="135">
        <v>69</v>
      </c>
      <c r="I25" s="135"/>
      <c r="J25" s="14">
        <f t="shared" si="200"/>
        <v>69</v>
      </c>
      <c r="K25" s="14">
        <f t="shared" si="52"/>
        <v>3460</v>
      </c>
      <c r="L25" s="14">
        <f t="shared" si="1"/>
        <v>0.7</v>
      </c>
      <c r="M25" s="47">
        <f t="shared" si="85"/>
        <v>5.2478666281316075E-2</v>
      </c>
      <c r="N25" s="35">
        <f t="shared" si="2"/>
        <v>1.4</v>
      </c>
      <c r="O25" s="132">
        <f t="shared" si="53"/>
        <v>2.5653763169796773</v>
      </c>
      <c r="P25" s="142">
        <v>3400</v>
      </c>
      <c r="Q25" s="14">
        <f t="shared" si="3"/>
        <v>17</v>
      </c>
      <c r="R25" s="442">
        <f t="shared" si="4"/>
        <v>25.859052950213716</v>
      </c>
      <c r="S25" s="470">
        <f>S24+R25</f>
        <v>284.51964070691599</v>
      </c>
      <c r="T25" s="51">
        <f t="shared" si="5"/>
        <v>120</v>
      </c>
      <c r="U25" s="103">
        <f t="shared" si="286"/>
        <v>124</v>
      </c>
      <c r="V25" s="59">
        <f t="shared" si="55"/>
        <v>-4</v>
      </c>
      <c r="W25" s="50">
        <f t="shared" si="6"/>
        <v>77</v>
      </c>
      <c r="X25" s="103">
        <f t="shared" si="287"/>
        <v>72</v>
      </c>
      <c r="Y25" s="71">
        <f t="shared" si="56"/>
        <v>5</v>
      </c>
      <c r="Z25" s="487"/>
      <c r="AA25" s="120">
        <f t="shared" si="288"/>
        <v>14</v>
      </c>
      <c r="AB25" s="7">
        <f t="shared" si="289"/>
        <v>2</v>
      </c>
      <c r="AC25" s="229"/>
      <c r="AD25" s="48">
        <f t="shared" si="264"/>
        <v>150524</v>
      </c>
      <c r="AE25" s="196">
        <f>IFERROR(AD25-AI25,0)</f>
        <v>150273</v>
      </c>
      <c r="AF25" s="134"/>
      <c r="AG25" s="135">
        <v>251</v>
      </c>
      <c r="AH25" s="135"/>
      <c r="AI25" s="14">
        <f t="shared" si="203"/>
        <v>251</v>
      </c>
      <c r="AJ25" s="14">
        <f t="shared" si="321"/>
        <v>2903</v>
      </c>
      <c r="AK25" s="14">
        <f t="shared" si="8"/>
        <v>0.7</v>
      </c>
      <c r="AL25" s="47">
        <f t="shared" si="58"/>
        <v>0.1667508171454386</v>
      </c>
      <c r="AM25" s="35">
        <f t="shared" si="9"/>
        <v>1.4</v>
      </c>
      <c r="AN25" s="157">
        <f t="shared" si="169"/>
        <v>1.895205515224317</v>
      </c>
      <c r="AO25" s="134">
        <v>1600</v>
      </c>
      <c r="AP25" s="14">
        <f t="shared" si="10"/>
        <v>17</v>
      </c>
      <c r="AQ25" s="480">
        <f t="shared" si="59"/>
        <v>10.629534160665409</v>
      </c>
      <c r="AR25" s="470">
        <f>AR24+AQ25</f>
        <v>303.02557859804239</v>
      </c>
      <c r="AS25" s="51">
        <f t="shared" si="11"/>
        <v>120</v>
      </c>
      <c r="AT25" s="103">
        <f t="shared" si="290"/>
        <v>112</v>
      </c>
      <c r="AU25" s="59">
        <f t="shared" si="271"/>
        <v>8</v>
      </c>
      <c r="AV25" s="50">
        <f t="shared" si="12"/>
        <v>77</v>
      </c>
      <c r="AW25" s="103">
        <f t="shared" si="291"/>
        <v>74</v>
      </c>
      <c r="AX25" s="71">
        <f t="shared" si="170"/>
        <v>3</v>
      </c>
      <c r="AZ25" s="120">
        <f t="shared" si="292"/>
        <v>14</v>
      </c>
      <c r="BA25" s="7">
        <f t="shared" si="293"/>
        <v>2</v>
      </c>
      <c r="BB25" s="133"/>
      <c r="BC25" s="48">
        <f t="shared" si="62"/>
        <v>0</v>
      </c>
      <c r="BD25" s="196">
        <f>IFERROR(BC25-BH25,0)</f>
        <v>0</v>
      </c>
      <c r="BE25" s="134"/>
      <c r="BF25" s="135"/>
      <c r="BG25" s="135"/>
      <c r="BH25" s="14">
        <f t="shared" si="204"/>
        <v>0</v>
      </c>
      <c r="BI25" s="14">
        <f t="shared" si="294"/>
        <v>0</v>
      </c>
      <c r="BJ25" s="14">
        <f t="shared" si="14"/>
        <v>0.7</v>
      </c>
      <c r="BK25" s="47">
        <f t="shared" si="92"/>
        <v>0</v>
      </c>
      <c r="BL25" s="35">
        <f t="shared" si="15"/>
        <v>1.4</v>
      </c>
      <c r="BM25" s="157">
        <f t="shared" si="16"/>
        <v>0</v>
      </c>
      <c r="BN25" s="134"/>
      <c r="BO25" s="14">
        <f t="shared" si="17"/>
        <v>17</v>
      </c>
      <c r="BP25" s="442">
        <f t="shared" si="93"/>
        <v>0</v>
      </c>
      <c r="BQ25" s="747">
        <f t="shared" si="137"/>
        <v>0</v>
      </c>
      <c r="BR25" s="51">
        <f t="shared" si="18"/>
        <v>120</v>
      </c>
      <c r="BS25" s="103">
        <f t="shared" si="295"/>
        <v>0</v>
      </c>
      <c r="BT25" s="59">
        <f t="shared" si="272"/>
        <v>120</v>
      </c>
      <c r="BU25" s="50">
        <f t="shared" si="20"/>
        <v>77</v>
      </c>
      <c r="BV25" s="103">
        <f t="shared" si="296"/>
        <v>0</v>
      </c>
      <c r="BW25" s="71">
        <f t="shared" si="171"/>
        <v>77</v>
      </c>
      <c r="BY25" s="120">
        <f t="shared" si="297"/>
        <v>13</v>
      </c>
      <c r="BZ25" s="7">
        <f t="shared" si="298"/>
        <v>2</v>
      </c>
      <c r="CA25" s="133"/>
      <c r="CB25" s="14">
        <f t="shared" si="172"/>
        <v>0</v>
      </c>
      <c r="CC25" s="59">
        <f t="shared" si="205"/>
        <v>0</v>
      </c>
      <c r="CD25" s="405"/>
      <c r="CE25" s="406"/>
      <c r="CF25" s="406"/>
      <c r="CG25" s="14">
        <f t="shared" si="206"/>
        <v>0</v>
      </c>
      <c r="CH25" s="14">
        <f t="shared" si="173"/>
        <v>0</v>
      </c>
      <c r="CI25" s="14">
        <f t="shared" si="21"/>
        <v>0.7</v>
      </c>
      <c r="CJ25" s="235">
        <f t="shared" si="97"/>
        <v>0</v>
      </c>
      <c r="CK25" s="37">
        <f t="shared" si="22"/>
        <v>1.4</v>
      </c>
      <c r="CL25" s="157">
        <f t="shared" si="140"/>
        <v>0</v>
      </c>
      <c r="CM25" s="134"/>
      <c r="CN25" s="14">
        <f t="shared" si="23"/>
        <v>17</v>
      </c>
      <c r="CO25" s="48">
        <f t="shared" si="141"/>
        <v>0</v>
      </c>
      <c r="CP25" s="68">
        <f t="shared" si="98"/>
        <v>0</v>
      </c>
      <c r="CQ25" s="51">
        <f t="shared" si="24"/>
        <v>120</v>
      </c>
      <c r="CR25" s="103">
        <f t="shared" si="299"/>
        <v>0</v>
      </c>
      <c r="CS25" s="59">
        <f t="shared" si="273"/>
        <v>120</v>
      </c>
      <c r="CT25" s="50">
        <f t="shared" si="25"/>
        <v>77</v>
      </c>
      <c r="CU25" s="112">
        <f t="shared" si="300"/>
        <v>0</v>
      </c>
      <c r="CV25" s="71">
        <f t="shared" si="67"/>
        <v>77</v>
      </c>
      <c r="CX25" s="120">
        <f t="shared" si="301"/>
        <v>13</v>
      </c>
      <c r="CY25" s="7">
        <f t="shared" si="302"/>
        <v>2</v>
      </c>
      <c r="CZ25" s="133"/>
      <c r="DA25" s="14">
        <f t="shared" si="174"/>
        <v>0</v>
      </c>
      <c r="DB25" s="59">
        <f t="shared" si="274"/>
        <v>0</v>
      </c>
      <c r="DC25" s="405"/>
      <c r="DD25" s="406"/>
      <c r="DE25" s="406"/>
      <c r="DF25" s="14">
        <f t="shared" si="208"/>
        <v>0</v>
      </c>
      <c r="DG25" s="14">
        <f t="shared" si="175"/>
        <v>0</v>
      </c>
      <c r="DH25" s="14">
        <f t="shared" si="26"/>
        <v>0.7</v>
      </c>
      <c r="DI25" s="235">
        <f t="shared" si="209"/>
        <v>0</v>
      </c>
      <c r="DJ25" s="37">
        <f t="shared" si="27"/>
        <v>1.4</v>
      </c>
      <c r="DK25" s="157">
        <f t="shared" si="177"/>
        <v>0</v>
      </c>
      <c r="DL25" s="134"/>
      <c r="DM25" s="14">
        <f t="shared" si="28"/>
        <v>17</v>
      </c>
      <c r="DN25" s="48">
        <f t="shared" si="259"/>
        <v>0</v>
      </c>
      <c r="DO25" s="68">
        <f t="shared" si="178"/>
        <v>0</v>
      </c>
      <c r="DP25" s="51">
        <f t="shared" si="29"/>
        <v>120</v>
      </c>
      <c r="DQ25" s="103">
        <f t="shared" si="303"/>
        <v>0</v>
      </c>
      <c r="DR25" s="59">
        <f t="shared" si="275"/>
        <v>120</v>
      </c>
      <c r="DS25" s="50">
        <f t="shared" si="30"/>
        <v>77</v>
      </c>
      <c r="DT25" s="112">
        <f t="shared" si="304"/>
        <v>0</v>
      </c>
      <c r="DU25" s="71">
        <f t="shared" si="164"/>
        <v>77</v>
      </c>
      <c r="DW25" s="120">
        <f t="shared" si="305"/>
        <v>13</v>
      </c>
      <c r="DX25" s="7">
        <f t="shared" si="306"/>
        <v>2</v>
      </c>
      <c r="DY25" s="133"/>
      <c r="DZ25" s="14">
        <f t="shared" si="179"/>
        <v>0</v>
      </c>
      <c r="EA25" s="59">
        <f t="shared" si="276"/>
        <v>0</v>
      </c>
      <c r="EB25" s="405"/>
      <c r="EC25" s="406"/>
      <c r="ED25" s="406"/>
      <c r="EE25" s="14">
        <f t="shared" si="211"/>
        <v>0</v>
      </c>
      <c r="EF25" s="14">
        <f t="shared" si="180"/>
        <v>0</v>
      </c>
      <c r="EG25" s="14">
        <f t="shared" si="31"/>
        <v>0.7</v>
      </c>
      <c r="EH25" s="235">
        <f t="shared" si="212"/>
        <v>0</v>
      </c>
      <c r="EI25" s="37">
        <f t="shared" si="32"/>
        <v>1.4</v>
      </c>
      <c r="EJ25" s="157">
        <f t="shared" si="182"/>
        <v>0</v>
      </c>
      <c r="EK25" s="134"/>
      <c r="EL25" s="14">
        <f t="shared" si="33"/>
        <v>17</v>
      </c>
      <c r="EM25" s="48">
        <f t="shared" si="260"/>
        <v>0</v>
      </c>
      <c r="EN25" s="68">
        <f t="shared" si="183"/>
        <v>0</v>
      </c>
      <c r="EO25" s="51">
        <f t="shared" si="34"/>
        <v>120</v>
      </c>
      <c r="EP25" s="103">
        <f t="shared" si="307"/>
        <v>0</v>
      </c>
      <c r="EQ25" s="59">
        <f t="shared" si="277"/>
        <v>120</v>
      </c>
      <c r="ER25" s="50">
        <f t="shared" si="35"/>
        <v>77</v>
      </c>
      <c r="ES25" s="112">
        <f t="shared" si="308"/>
        <v>0</v>
      </c>
      <c r="ET25" s="71">
        <f t="shared" si="165"/>
        <v>77</v>
      </c>
      <c r="EV25" s="120">
        <f t="shared" si="309"/>
        <v>13</v>
      </c>
      <c r="EW25" s="7">
        <f t="shared" si="310"/>
        <v>2</v>
      </c>
      <c r="EX25" s="133"/>
      <c r="EY25" s="14">
        <f t="shared" si="184"/>
        <v>0</v>
      </c>
      <c r="EZ25" s="59">
        <f t="shared" si="278"/>
        <v>0</v>
      </c>
      <c r="FA25" s="405"/>
      <c r="FB25" s="406"/>
      <c r="FC25" s="406"/>
      <c r="FD25" s="14">
        <f t="shared" si="214"/>
        <v>0</v>
      </c>
      <c r="FE25" s="14">
        <f t="shared" si="185"/>
        <v>0</v>
      </c>
      <c r="FF25" s="14">
        <f t="shared" si="36"/>
        <v>0.7</v>
      </c>
      <c r="FG25" s="235">
        <f t="shared" si="215"/>
        <v>0</v>
      </c>
      <c r="FH25" s="37">
        <f t="shared" si="37"/>
        <v>1.4</v>
      </c>
      <c r="FI25" s="157">
        <f t="shared" si="187"/>
        <v>0</v>
      </c>
      <c r="FJ25" s="134"/>
      <c r="FK25" s="14">
        <f t="shared" si="38"/>
        <v>17</v>
      </c>
      <c r="FL25" s="48">
        <f t="shared" si="261"/>
        <v>0</v>
      </c>
      <c r="FM25" s="68">
        <f t="shared" si="188"/>
        <v>0</v>
      </c>
      <c r="FN25" s="51">
        <f t="shared" si="39"/>
        <v>120</v>
      </c>
      <c r="FO25" s="103">
        <f t="shared" si="311"/>
        <v>0</v>
      </c>
      <c r="FP25" s="59">
        <f t="shared" si="279"/>
        <v>120</v>
      </c>
      <c r="FQ25" s="50">
        <f t="shared" si="40"/>
        <v>77</v>
      </c>
      <c r="FR25" s="112">
        <f t="shared" si="312"/>
        <v>0</v>
      </c>
      <c r="FS25" s="71">
        <f t="shared" si="166"/>
        <v>77</v>
      </c>
      <c r="FU25" s="120">
        <f t="shared" si="313"/>
        <v>13</v>
      </c>
      <c r="FV25" s="7">
        <f t="shared" si="314"/>
        <v>2</v>
      </c>
      <c r="FW25" s="133"/>
      <c r="FX25" s="14">
        <f t="shared" si="189"/>
        <v>0</v>
      </c>
      <c r="FY25" s="59">
        <f t="shared" si="280"/>
        <v>0</v>
      </c>
      <c r="FZ25" s="405"/>
      <c r="GA25" s="406"/>
      <c r="GB25" s="406"/>
      <c r="GC25" s="14">
        <f t="shared" si="217"/>
        <v>0</v>
      </c>
      <c r="GD25" s="14">
        <f t="shared" si="190"/>
        <v>0</v>
      </c>
      <c r="GE25" s="14">
        <f t="shared" si="41"/>
        <v>0.7</v>
      </c>
      <c r="GF25" s="235">
        <f t="shared" si="218"/>
        <v>0</v>
      </c>
      <c r="GG25" s="37">
        <f t="shared" si="42"/>
        <v>1.4</v>
      </c>
      <c r="GH25" s="157">
        <f t="shared" si="192"/>
        <v>0</v>
      </c>
      <c r="GI25" s="134"/>
      <c r="GJ25" s="14">
        <f t="shared" si="43"/>
        <v>17</v>
      </c>
      <c r="GK25" s="48">
        <f t="shared" si="262"/>
        <v>0</v>
      </c>
      <c r="GL25" s="68">
        <f t="shared" si="193"/>
        <v>0</v>
      </c>
      <c r="GM25" s="51">
        <f t="shared" si="44"/>
        <v>120</v>
      </c>
      <c r="GN25" s="103">
        <f t="shared" si="315"/>
        <v>0</v>
      </c>
      <c r="GO25" s="59">
        <f t="shared" si="281"/>
        <v>120</v>
      </c>
      <c r="GP25" s="50">
        <f t="shared" si="45"/>
        <v>77</v>
      </c>
      <c r="GQ25" s="112">
        <f t="shared" si="316"/>
        <v>0</v>
      </c>
      <c r="GR25" s="71">
        <f t="shared" si="167"/>
        <v>77</v>
      </c>
      <c r="GT25" s="120">
        <f t="shared" si="317"/>
        <v>13</v>
      </c>
      <c r="GU25" s="7">
        <f t="shared" si="318"/>
        <v>2</v>
      </c>
      <c r="GV25" s="133"/>
      <c r="GW25" s="14">
        <f t="shared" si="194"/>
        <v>0</v>
      </c>
      <c r="GX25" s="59">
        <f t="shared" si="282"/>
        <v>0</v>
      </c>
      <c r="GY25" s="405"/>
      <c r="GZ25" s="406"/>
      <c r="HA25" s="406"/>
      <c r="HB25" s="14">
        <f t="shared" si="220"/>
        <v>0</v>
      </c>
      <c r="HC25" s="14">
        <f t="shared" si="195"/>
        <v>0</v>
      </c>
      <c r="HD25" s="14">
        <f t="shared" si="46"/>
        <v>0.7</v>
      </c>
      <c r="HE25" s="235">
        <f t="shared" si="221"/>
        <v>0</v>
      </c>
      <c r="HF25" s="37">
        <f t="shared" si="47"/>
        <v>1.4</v>
      </c>
      <c r="HG25" s="157">
        <f t="shared" si="197"/>
        <v>0</v>
      </c>
      <c r="HH25" s="134"/>
      <c r="HI25" s="14">
        <f t="shared" si="48"/>
        <v>17</v>
      </c>
      <c r="HJ25" s="48">
        <f t="shared" si="263"/>
        <v>0</v>
      </c>
      <c r="HK25" s="68">
        <f t="shared" si="198"/>
        <v>0</v>
      </c>
      <c r="HL25" s="51">
        <f t="shared" si="49"/>
        <v>120</v>
      </c>
      <c r="HM25" s="103">
        <f t="shared" si="319"/>
        <v>0</v>
      </c>
      <c r="HN25" s="59">
        <f t="shared" si="283"/>
        <v>120</v>
      </c>
      <c r="HO25" s="50">
        <f t="shared" si="50"/>
        <v>77</v>
      </c>
      <c r="HP25" s="112">
        <f t="shared" si="320"/>
        <v>0</v>
      </c>
      <c r="HQ25" s="71">
        <f t="shared" si="168"/>
        <v>77</v>
      </c>
    </row>
    <row r="26" spans="1:225" ht="17.25" thickBot="1" x14ac:dyDescent="0.3">
      <c r="B26" s="197">
        <f>B25+1</f>
        <v>15</v>
      </c>
      <c r="C26" s="574">
        <f t="shared" si="285"/>
        <v>2</v>
      </c>
      <c r="D26" s="136"/>
      <c r="E26" s="436">
        <f t="shared" si="223"/>
        <v>131413</v>
      </c>
      <c r="F26" s="451">
        <f t="shared" si="0"/>
        <v>131297</v>
      </c>
      <c r="G26" s="137"/>
      <c r="H26" s="138">
        <v>116</v>
      </c>
      <c r="I26" s="138"/>
      <c r="J26" s="32">
        <f t="shared" si="200"/>
        <v>116</v>
      </c>
      <c r="K26" s="32">
        <f t="shared" si="52"/>
        <v>3576</v>
      </c>
      <c r="L26" s="32">
        <f t="shared" si="1"/>
        <v>0.7</v>
      </c>
      <c r="M26" s="96">
        <f t="shared" si="85"/>
        <v>8.8271327798619625E-2</v>
      </c>
      <c r="N26" s="36">
        <f t="shared" si="2"/>
        <v>1.4</v>
      </c>
      <c r="O26" s="132">
        <f t="shared" si="53"/>
        <v>2.6513831530402676</v>
      </c>
      <c r="P26" s="139">
        <v>3600</v>
      </c>
      <c r="Q26" s="32">
        <f t="shared" si="3"/>
        <v>17</v>
      </c>
      <c r="R26" s="443">
        <f t="shared" si="4"/>
        <v>27.394550006468155</v>
      </c>
      <c r="S26" s="471">
        <f>S25+R26</f>
        <v>311.91419071338413</v>
      </c>
      <c r="T26" s="56">
        <f t="shared" si="5"/>
        <v>120</v>
      </c>
      <c r="U26" s="109">
        <f t="shared" si="286"/>
        <v>124</v>
      </c>
      <c r="V26" s="53">
        <f t="shared" si="55"/>
        <v>-4</v>
      </c>
      <c r="W26" s="56">
        <f t="shared" si="6"/>
        <v>77</v>
      </c>
      <c r="X26" s="109">
        <f t="shared" si="287"/>
        <v>72</v>
      </c>
      <c r="Y26" s="63">
        <f t="shared" si="56"/>
        <v>5</v>
      </c>
      <c r="Z26" s="487"/>
      <c r="AA26" s="197">
        <f>AA25+1</f>
        <v>15</v>
      </c>
      <c r="AB26" s="8">
        <f t="shared" si="289"/>
        <v>2</v>
      </c>
      <c r="AC26" s="434"/>
      <c r="AD26" s="54">
        <f>IFERROR(AE25+AC26,0)</f>
        <v>150273</v>
      </c>
      <c r="AE26" s="55">
        <f>IFERROR(AD26-AI26,0)</f>
        <v>150013</v>
      </c>
      <c r="AF26" s="137"/>
      <c r="AG26" s="138">
        <v>260</v>
      </c>
      <c r="AH26" s="138"/>
      <c r="AI26" s="34">
        <f t="shared" si="203"/>
        <v>260</v>
      </c>
      <c r="AJ26" s="34">
        <f t="shared" si="321"/>
        <v>3163</v>
      </c>
      <c r="AK26" s="17">
        <f t="shared" si="8"/>
        <v>0.7</v>
      </c>
      <c r="AL26" s="231">
        <f t="shared" si="58"/>
        <v>0.17301843977294656</v>
      </c>
      <c r="AM26" s="33">
        <f t="shared" si="9"/>
        <v>1.4</v>
      </c>
      <c r="AN26" s="157">
        <f t="shared" si="169"/>
        <v>2.0649448999843316</v>
      </c>
      <c r="AO26" s="137">
        <v>3400</v>
      </c>
      <c r="AP26" s="32">
        <f t="shared" si="10"/>
        <v>17</v>
      </c>
      <c r="AQ26" s="443">
        <f t="shared" si="59"/>
        <v>22.625488278000706</v>
      </c>
      <c r="AR26" s="471">
        <f>AR25+AQ26</f>
        <v>325.6510668760431</v>
      </c>
      <c r="AS26" s="50">
        <f t="shared" si="11"/>
        <v>120</v>
      </c>
      <c r="AT26" s="103">
        <f t="shared" si="290"/>
        <v>112</v>
      </c>
      <c r="AU26" s="53">
        <f t="shared" si="271"/>
        <v>8</v>
      </c>
      <c r="AV26" s="56">
        <f t="shared" si="12"/>
        <v>77</v>
      </c>
      <c r="AW26" s="103">
        <f t="shared" si="291"/>
        <v>74</v>
      </c>
      <c r="AX26" s="63">
        <f t="shared" si="170"/>
        <v>3</v>
      </c>
      <c r="AZ26" s="119">
        <f>AZ25+1</f>
        <v>15</v>
      </c>
      <c r="BA26" s="95">
        <f t="shared" si="293"/>
        <v>2</v>
      </c>
      <c r="BB26" s="203"/>
      <c r="BC26" s="67">
        <f t="shared" si="62"/>
        <v>0</v>
      </c>
      <c r="BD26" s="196">
        <f>IFERROR(BC26-BH26,0)</f>
        <v>0</v>
      </c>
      <c r="BE26" s="204"/>
      <c r="BF26" s="205"/>
      <c r="BG26" s="205"/>
      <c r="BH26" s="31">
        <f t="shared" si="204"/>
        <v>0</v>
      </c>
      <c r="BI26" s="31">
        <f t="shared" si="294"/>
        <v>0</v>
      </c>
      <c r="BJ26" s="31">
        <f t="shared" si="14"/>
        <v>0.7</v>
      </c>
      <c r="BK26" s="230">
        <f t="shared" si="92"/>
        <v>0</v>
      </c>
      <c r="BL26" s="37">
        <f t="shared" si="15"/>
        <v>1.4</v>
      </c>
      <c r="BM26" s="157">
        <f t="shared" si="16"/>
        <v>0</v>
      </c>
      <c r="BN26" s="204"/>
      <c r="BO26" s="13">
        <f t="shared" si="17"/>
        <v>17</v>
      </c>
      <c r="BP26" s="482">
        <f t="shared" si="93"/>
        <v>0</v>
      </c>
      <c r="BQ26" s="752">
        <f t="shared" si="137"/>
        <v>0</v>
      </c>
      <c r="BR26" s="50">
        <f t="shared" si="18"/>
        <v>120</v>
      </c>
      <c r="BS26" s="202">
        <f t="shared" si="295"/>
        <v>0</v>
      </c>
      <c r="BT26" s="59">
        <f t="shared" si="272"/>
        <v>120</v>
      </c>
      <c r="BU26" s="50">
        <f t="shared" si="20"/>
        <v>77</v>
      </c>
      <c r="BV26" s="202">
        <f t="shared" si="296"/>
        <v>0</v>
      </c>
      <c r="BW26" s="62">
        <f t="shared" si="171"/>
        <v>77</v>
      </c>
      <c r="BY26" s="197">
        <f>BY25+1</f>
        <v>14</v>
      </c>
      <c r="BZ26" s="8">
        <f t="shared" si="298"/>
        <v>2</v>
      </c>
      <c r="CA26" s="136"/>
      <c r="CB26" s="32">
        <f t="shared" si="172"/>
        <v>0</v>
      </c>
      <c r="CC26" s="53">
        <f t="shared" si="205"/>
        <v>0</v>
      </c>
      <c r="CD26" s="421"/>
      <c r="CE26" s="426"/>
      <c r="CF26" s="426"/>
      <c r="CG26" s="34">
        <f t="shared" si="206"/>
        <v>0</v>
      </c>
      <c r="CH26" s="32">
        <f t="shared" si="173"/>
        <v>0</v>
      </c>
      <c r="CI26" s="32">
        <f t="shared" si="21"/>
        <v>0.7</v>
      </c>
      <c r="CJ26" s="96">
        <f t="shared" si="97"/>
        <v>0</v>
      </c>
      <c r="CK26" s="36">
        <f t="shared" si="22"/>
        <v>1.4</v>
      </c>
      <c r="CL26" s="156">
        <f t="shared" si="140"/>
        <v>0</v>
      </c>
      <c r="CM26" s="137"/>
      <c r="CN26" s="32">
        <f t="shared" si="23"/>
        <v>17</v>
      </c>
      <c r="CO26" s="54">
        <f t="shared" si="141"/>
        <v>0</v>
      </c>
      <c r="CP26" s="70">
        <f t="shared" si="98"/>
        <v>0</v>
      </c>
      <c r="CQ26" s="56">
        <f t="shared" si="24"/>
        <v>120</v>
      </c>
      <c r="CR26" s="103">
        <f t="shared" si="299"/>
        <v>0</v>
      </c>
      <c r="CS26" s="53">
        <f t="shared" si="273"/>
        <v>120</v>
      </c>
      <c r="CT26" s="56">
        <f t="shared" si="25"/>
        <v>77</v>
      </c>
      <c r="CU26" s="112">
        <f t="shared" si="300"/>
        <v>0</v>
      </c>
      <c r="CV26" s="63">
        <f t="shared" si="67"/>
        <v>77</v>
      </c>
      <c r="CX26" s="197">
        <f>CX25+1</f>
        <v>14</v>
      </c>
      <c r="CY26" s="8">
        <f t="shared" si="302"/>
        <v>2</v>
      </c>
      <c r="CZ26" s="136"/>
      <c r="DA26" s="32">
        <f t="shared" si="174"/>
        <v>0</v>
      </c>
      <c r="DB26" s="53">
        <f t="shared" si="274"/>
        <v>0</v>
      </c>
      <c r="DC26" s="421"/>
      <c r="DD26" s="426"/>
      <c r="DE26" s="426"/>
      <c r="DF26" s="34">
        <f t="shared" si="208"/>
        <v>0</v>
      </c>
      <c r="DG26" s="32">
        <f t="shared" si="175"/>
        <v>0</v>
      </c>
      <c r="DH26" s="32">
        <f t="shared" si="26"/>
        <v>0.7</v>
      </c>
      <c r="DI26" s="96">
        <f t="shared" si="209"/>
        <v>0</v>
      </c>
      <c r="DJ26" s="36">
        <f t="shared" si="27"/>
        <v>1.4</v>
      </c>
      <c r="DK26" s="156">
        <f t="shared" si="177"/>
        <v>0</v>
      </c>
      <c r="DL26" s="137"/>
      <c r="DM26" s="32">
        <f t="shared" si="28"/>
        <v>17</v>
      </c>
      <c r="DN26" s="54">
        <f t="shared" si="259"/>
        <v>0</v>
      </c>
      <c r="DO26" s="70">
        <f t="shared" si="178"/>
        <v>0</v>
      </c>
      <c r="DP26" s="56">
        <f t="shared" si="29"/>
        <v>120</v>
      </c>
      <c r="DQ26" s="103">
        <f t="shared" si="303"/>
        <v>0</v>
      </c>
      <c r="DR26" s="53">
        <f t="shared" si="275"/>
        <v>120</v>
      </c>
      <c r="DS26" s="56">
        <f t="shared" si="30"/>
        <v>77</v>
      </c>
      <c r="DT26" s="112">
        <f t="shared" si="304"/>
        <v>0</v>
      </c>
      <c r="DU26" s="63">
        <f t="shared" si="164"/>
        <v>77</v>
      </c>
      <c r="DW26" s="197">
        <f>DW25+1</f>
        <v>14</v>
      </c>
      <c r="DX26" s="8">
        <f t="shared" si="306"/>
        <v>2</v>
      </c>
      <c r="DY26" s="136"/>
      <c r="DZ26" s="32">
        <f t="shared" si="179"/>
        <v>0</v>
      </c>
      <c r="EA26" s="53">
        <f t="shared" si="276"/>
        <v>0</v>
      </c>
      <c r="EB26" s="421"/>
      <c r="EC26" s="426"/>
      <c r="ED26" s="426"/>
      <c r="EE26" s="34">
        <f t="shared" si="211"/>
        <v>0</v>
      </c>
      <c r="EF26" s="32">
        <f t="shared" si="180"/>
        <v>0</v>
      </c>
      <c r="EG26" s="32">
        <f t="shared" si="31"/>
        <v>0.7</v>
      </c>
      <c r="EH26" s="96">
        <f t="shared" si="212"/>
        <v>0</v>
      </c>
      <c r="EI26" s="36">
        <f t="shared" si="32"/>
        <v>1.4</v>
      </c>
      <c r="EJ26" s="156">
        <f t="shared" si="182"/>
        <v>0</v>
      </c>
      <c r="EK26" s="137"/>
      <c r="EL26" s="32">
        <f t="shared" si="33"/>
        <v>17</v>
      </c>
      <c r="EM26" s="54">
        <f t="shared" si="260"/>
        <v>0</v>
      </c>
      <c r="EN26" s="70">
        <f t="shared" si="183"/>
        <v>0</v>
      </c>
      <c r="EO26" s="56">
        <f t="shared" si="34"/>
        <v>120</v>
      </c>
      <c r="EP26" s="103">
        <f t="shared" si="307"/>
        <v>0</v>
      </c>
      <c r="EQ26" s="53">
        <f t="shared" si="277"/>
        <v>120</v>
      </c>
      <c r="ER26" s="56">
        <f t="shared" si="35"/>
        <v>77</v>
      </c>
      <c r="ES26" s="112">
        <f t="shared" si="308"/>
        <v>0</v>
      </c>
      <c r="ET26" s="63">
        <f t="shared" si="165"/>
        <v>77</v>
      </c>
      <c r="EV26" s="197">
        <f>EV25+1</f>
        <v>14</v>
      </c>
      <c r="EW26" s="8">
        <f t="shared" si="310"/>
        <v>2</v>
      </c>
      <c r="EX26" s="136"/>
      <c r="EY26" s="32">
        <f t="shared" si="184"/>
        <v>0</v>
      </c>
      <c r="EZ26" s="53">
        <f t="shared" si="278"/>
        <v>0</v>
      </c>
      <c r="FA26" s="421"/>
      <c r="FB26" s="426"/>
      <c r="FC26" s="426"/>
      <c r="FD26" s="34">
        <f t="shared" si="214"/>
        <v>0</v>
      </c>
      <c r="FE26" s="32">
        <f t="shared" si="185"/>
        <v>0</v>
      </c>
      <c r="FF26" s="32">
        <f t="shared" si="36"/>
        <v>0.7</v>
      </c>
      <c r="FG26" s="96">
        <f t="shared" si="215"/>
        <v>0</v>
      </c>
      <c r="FH26" s="36">
        <f t="shared" si="37"/>
        <v>1.4</v>
      </c>
      <c r="FI26" s="156">
        <f t="shared" si="187"/>
        <v>0</v>
      </c>
      <c r="FJ26" s="137"/>
      <c r="FK26" s="32">
        <f t="shared" si="38"/>
        <v>17</v>
      </c>
      <c r="FL26" s="54">
        <f t="shared" si="261"/>
        <v>0</v>
      </c>
      <c r="FM26" s="70">
        <f t="shared" si="188"/>
        <v>0</v>
      </c>
      <c r="FN26" s="56">
        <f t="shared" si="39"/>
        <v>120</v>
      </c>
      <c r="FO26" s="103">
        <f t="shared" si="311"/>
        <v>0</v>
      </c>
      <c r="FP26" s="53">
        <f t="shared" si="279"/>
        <v>120</v>
      </c>
      <c r="FQ26" s="56">
        <f t="shared" si="40"/>
        <v>77</v>
      </c>
      <c r="FR26" s="112">
        <f t="shared" si="312"/>
        <v>0</v>
      </c>
      <c r="FS26" s="63">
        <f t="shared" si="166"/>
        <v>77</v>
      </c>
      <c r="FU26" s="197">
        <f>FU25+1</f>
        <v>14</v>
      </c>
      <c r="FV26" s="8">
        <f t="shared" si="314"/>
        <v>2</v>
      </c>
      <c r="FW26" s="136"/>
      <c r="FX26" s="32">
        <f t="shared" si="189"/>
        <v>0</v>
      </c>
      <c r="FY26" s="53">
        <f t="shared" si="280"/>
        <v>0</v>
      </c>
      <c r="FZ26" s="421"/>
      <c r="GA26" s="426"/>
      <c r="GB26" s="426"/>
      <c r="GC26" s="34">
        <f t="shared" si="217"/>
        <v>0</v>
      </c>
      <c r="GD26" s="32">
        <f t="shared" si="190"/>
        <v>0</v>
      </c>
      <c r="GE26" s="32">
        <f t="shared" si="41"/>
        <v>0.7</v>
      </c>
      <c r="GF26" s="96">
        <f t="shared" si="218"/>
        <v>0</v>
      </c>
      <c r="GG26" s="36">
        <f t="shared" si="42"/>
        <v>1.4</v>
      </c>
      <c r="GH26" s="156">
        <f t="shared" si="192"/>
        <v>0</v>
      </c>
      <c r="GI26" s="137"/>
      <c r="GJ26" s="32">
        <f t="shared" si="43"/>
        <v>17</v>
      </c>
      <c r="GK26" s="54">
        <f t="shared" si="262"/>
        <v>0</v>
      </c>
      <c r="GL26" s="70">
        <f t="shared" si="193"/>
        <v>0</v>
      </c>
      <c r="GM26" s="56">
        <f t="shared" si="44"/>
        <v>120</v>
      </c>
      <c r="GN26" s="103">
        <f t="shared" si="315"/>
        <v>0</v>
      </c>
      <c r="GO26" s="53">
        <f t="shared" si="281"/>
        <v>120</v>
      </c>
      <c r="GP26" s="56">
        <f t="shared" si="45"/>
        <v>77</v>
      </c>
      <c r="GQ26" s="112">
        <f t="shared" si="316"/>
        <v>0</v>
      </c>
      <c r="GR26" s="63">
        <f t="shared" si="167"/>
        <v>77</v>
      </c>
      <c r="GT26" s="197">
        <f>GT25+1</f>
        <v>14</v>
      </c>
      <c r="GU26" s="8">
        <f t="shared" si="318"/>
        <v>2</v>
      </c>
      <c r="GV26" s="136"/>
      <c r="GW26" s="32">
        <f t="shared" si="194"/>
        <v>0</v>
      </c>
      <c r="GX26" s="53">
        <f t="shared" si="282"/>
        <v>0</v>
      </c>
      <c r="GY26" s="421"/>
      <c r="GZ26" s="426"/>
      <c r="HA26" s="426"/>
      <c r="HB26" s="34">
        <f t="shared" si="220"/>
        <v>0</v>
      </c>
      <c r="HC26" s="32">
        <f t="shared" si="195"/>
        <v>0</v>
      </c>
      <c r="HD26" s="32">
        <f t="shared" si="46"/>
        <v>0.7</v>
      </c>
      <c r="HE26" s="96">
        <f t="shared" si="221"/>
        <v>0</v>
      </c>
      <c r="HF26" s="36">
        <f t="shared" si="47"/>
        <v>1.4</v>
      </c>
      <c r="HG26" s="156">
        <f t="shared" si="197"/>
        <v>0</v>
      </c>
      <c r="HH26" s="137"/>
      <c r="HI26" s="32">
        <f t="shared" si="48"/>
        <v>17</v>
      </c>
      <c r="HJ26" s="54">
        <f t="shared" si="263"/>
        <v>0</v>
      </c>
      <c r="HK26" s="70">
        <f t="shared" si="198"/>
        <v>0</v>
      </c>
      <c r="HL26" s="56">
        <f t="shared" si="49"/>
        <v>120</v>
      </c>
      <c r="HM26" s="103">
        <f t="shared" si="319"/>
        <v>0</v>
      </c>
      <c r="HN26" s="53">
        <f t="shared" si="283"/>
        <v>120</v>
      </c>
      <c r="HO26" s="56">
        <f t="shared" si="50"/>
        <v>77</v>
      </c>
      <c r="HP26" s="112">
        <f t="shared" si="320"/>
        <v>0</v>
      </c>
      <c r="HQ26" s="63">
        <f t="shared" si="168"/>
        <v>77</v>
      </c>
    </row>
    <row r="27" spans="1:225" ht="17.25" thickBot="1" x14ac:dyDescent="0.3">
      <c r="A27" s="739" t="s">
        <v>169</v>
      </c>
      <c r="B27" s="466">
        <f>B26+1</f>
        <v>16</v>
      </c>
      <c r="C27" s="569">
        <v>3</v>
      </c>
      <c r="D27" s="486">
        <v>13104</v>
      </c>
      <c r="E27" s="400">
        <f>IFERROR(F26-D27,0)</f>
        <v>118193</v>
      </c>
      <c r="F27" s="561">
        <f t="shared" si="0"/>
        <v>118121</v>
      </c>
      <c r="G27" s="130"/>
      <c r="H27" s="131">
        <v>72</v>
      </c>
      <c r="I27" s="131"/>
      <c r="J27" s="11">
        <f t="shared" si="200"/>
        <v>72</v>
      </c>
      <c r="K27" s="11">
        <f t="shared" si="52"/>
        <v>3648</v>
      </c>
      <c r="L27" s="11">
        <f t="shared" si="1"/>
        <v>0.5</v>
      </c>
      <c r="M27" s="42">
        <f t="shared" si="85"/>
        <v>6.0917313208058009E-2</v>
      </c>
      <c r="N27" s="21">
        <f t="shared" si="2"/>
        <v>1.9</v>
      </c>
      <c r="O27" s="132">
        <f t="shared" si="53"/>
        <v>2.7047667064571859</v>
      </c>
      <c r="P27" s="158">
        <v>1600</v>
      </c>
      <c r="Q27" s="11">
        <f t="shared" si="3"/>
        <v>23</v>
      </c>
      <c r="R27" s="441">
        <f t="shared" si="4"/>
        <v>13.537180712901778</v>
      </c>
      <c r="S27" s="469">
        <f t="shared" si="201"/>
        <v>325.4513714262859</v>
      </c>
      <c r="T27" s="58">
        <f t="shared" si="5"/>
        <v>185</v>
      </c>
      <c r="U27" s="131">
        <v>170</v>
      </c>
      <c r="V27" s="41">
        <f t="shared" si="55"/>
        <v>15</v>
      </c>
      <c r="W27" s="18">
        <f t="shared" si="6"/>
        <v>77</v>
      </c>
      <c r="X27" s="131">
        <v>54</v>
      </c>
      <c r="Y27" s="41">
        <f t="shared" si="56"/>
        <v>23</v>
      </c>
      <c r="Z27" s="487"/>
      <c r="AA27" s="118">
        <f>AA26+1</f>
        <v>16</v>
      </c>
      <c r="AB27" s="9">
        <v>3</v>
      </c>
      <c r="AC27" s="396"/>
      <c r="AD27" s="43">
        <f t="shared" ref="AD27:AD29" si="322">IFERROR(AE26+AC27,0)</f>
        <v>150013</v>
      </c>
      <c r="AE27" s="44">
        <f>IFERROR(AD27-AI27,0)</f>
        <v>149752</v>
      </c>
      <c r="AF27" s="130"/>
      <c r="AG27" s="131">
        <v>261</v>
      </c>
      <c r="AH27" s="131"/>
      <c r="AI27" s="11">
        <f t="shared" si="203"/>
        <v>261</v>
      </c>
      <c r="AJ27" s="11">
        <f t="shared" si="321"/>
        <v>3424</v>
      </c>
      <c r="AK27" s="16">
        <f t="shared" si="8"/>
        <v>0.5</v>
      </c>
      <c r="AL27" s="42">
        <f t="shared" si="58"/>
        <v>0.17398492130682008</v>
      </c>
      <c r="AM27" s="154">
        <f t="shared" si="9"/>
        <v>1.9</v>
      </c>
      <c r="AN27" s="157">
        <f t="shared" si="169"/>
        <v>2.235337128531885</v>
      </c>
      <c r="AO27" s="130">
        <v>2400</v>
      </c>
      <c r="AP27" s="17">
        <f t="shared" si="10"/>
        <v>23</v>
      </c>
      <c r="AQ27" s="481">
        <f t="shared" si="59"/>
        <v>15.998613453500697</v>
      </c>
      <c r="AR27" s="469">
        <f t="shared" ref="AR27:AR90" si="323">AR26+AQ27</f>
        <v>341.6496803295438</v>
      </c>
      <c r="AS27" s="58">
        <f t="shared" si="11"/>
        <v>185</v>
      </c>
      <c r="AT27" s="131">
        <v>179</v>
      </c>
      <c r="AU27" s="41">
        <f t="shared" si="271"/>
        <v>6</v>
      </c>
      <c r="AV27" s="18">
        <f t="shared" si="12"/>
        <v>77</v>
      </c>
      <c r="AW27" s="131">
        <v>67</v>
      </c>
      <c r="AX27" s="41">
        <f t="shared" si="170"/>
        <v>10</v>
      </c>
      <c r="AY27" s="763" t="s">
        <v>168</v>
      </c>
      <c r="AZ27" s="764">
        <f>AZ26+1</f>
        <v>16</v>
      </c>
      <c r="BA27" s="765">
        <v>3</v>
      </c>
      <c r="BB27" s="766">
        <v>13104</v>
      </c>
      <c r="BC27" s="43">
        <f t="shared" si="62"/>
        <v>13104</v>
      </c>
      <c r="BD27" s="44">
        <f>IFERROR(BC27-BH27,0)</f>
        <v>13104</v>
      </c>
      <c r="BE27" s="130"/>
      <c r="BF27" s="131">
        <v>0</v>
      </c>
      <c r="BG27" s="131"/>
      <c r="BH27" s="11">
        <f t="shared" si="204"/>
        <v>0</v>
      </c>
      <c r="BI27" s="11">
        <f t="shared" si="294"/>
        <v>0</v>
      </c>
      <c r="BJ27" s="16">
        <f t="shared" si="14"/>
        <v>0.5</v>
      </c>
      <c r="BK27" s="42">
        <f t="shared" si="92"/>
        <v>0</v>
      </c>
      <c r="BL27" s="154">
        <f t="shared" si="15"/>
        <v>1.9</v>
      </c>
      <c r="BM27" s="132">
        <f>IFERROR((BI27*100)/$BB$33,0)</f>
        <v>0</v>
      </c>
      <c r="BN27" s="130">
        <v>2600</v>
      </c>
      <c r="BO27" s="11">
        <f t="shared" si="17"/>
        <v>23</v>
      </c>
      <c r="BP27" s="441">
        <f t="shared" si="93"/>
        <v>198.4126984126984</v>
      </c>
      <c r="BQ27" s="746">
        <f t="shared" si="137"/>
        <v>198.4126984126984</v>
      </c>
      <c r="BR27" s="58">
        <f t="shared" si="18"/>
        <v>185</v>
      </c>
      <c r="BS27" s="131">
        <v>185</v>
      </c>
      <c r="BT27" s="41">
        <f t="shared" si="272"/>
        <v>0</v>
      </c>
      <c r="BU27" s="18">
        <f t="shared" si="20"/>
        <v>77</v>
      </c>
      <c r="BV27" s="131">
        <v>62</v>
      </c>
      <c r="BW27" s="41">
        <f t="shared" si="171"/>
        <v>15</v>
      </c>
      <c r="BY27" s="118">
        <v>15</v>
      </c>
      <c r="BZ27" s="9">
        <v>3</v>
      </c>
      <c r="CA27" s="129"/>
      <c r="CB27" s="11">
        <f t="shared" si="172"/>
        <v>0</v>
      </c>
      <c r="CC27" s="41">
        <f t="shared" si="205"/>
        <v>0</v>
      </c>
      <c r="CD27" s="398"/>
      <c r="CE27" s="399"/>
      <c r="CF27" s="399"/>
      <c r="CG27" s="11">
        <f t="shared" si="206"/>
        <v>0</v>
      </c>
      <c r="CH27" s="17">
        <f t="shared" si="173"/>
        <v>0</v>
      </c>
      <c r="CI27" s="17">
        <f t="shared" si="21"/>
        <v>0.5</v>
      </c>
      <c r="CJ27" s="235">
        <f t="shared" si="97"/>
        <v>0</v>
      </c>
      <c r="CK27" s="33">
        <f t="shared" si="22"/>
        <v>1.9</v>
      </c>
      <c r="CL27" s="155">
        <f t="shared" si="140"/>
        <v>0</v>
      </c>
      <c r="CM27" s="130"/>
      <c r="CN27" s="17">
        <f t="shared" si="23"/>
        <v>23</v>
      </c>
      <c r="CO27" s="60">
        <f t="shared" si="141"/>
        <v>0</v>
      </c>
      <c r="CP27" s="377">
        <f t="shared" si="98"/>
        <v>0</v>
      </c>
      <c r="CQ27" s="61">
        <f t="shared" si="24"/>
        <v>185</v>
      </c>
      <c r="CR27" s="131"/>
      <c r="CS27" s="41">
        <f t="shared" si="273"/>
        <v>185</v>
      </c>
      <c r="CT27" s="18">
        <f t="shared" si="25"/>
        <v>77</v>
      </c>
      <c r="CU27" s="131"/>
      <c r="CV27" s="41">
        <f t="shared" si="67"/>
        <v>77</v>
      </c>
      <c r="CX27" s="118">
        <v>15</v>
      </c>
      <c r="CY27" s="9">
        <v>3</v>
      </c>
      <c r="CZ27" s="129"/>
      <c r="DA27" s="11">
        <f t="shared" si="174"/>
        <v>0</v>
      </c>
      <c r="DB27" s="41">
        <f t="shared" si="274"/>
        <v>0</v>
      </c>
      <c r="DC27" s="398"/>
      <c r="DD27" s="399"/>
      <c r="DE27" s="399"/>
      <c r="DF27" s="11">
        <f t="shared" si="208"/>
        <v>0</v>
      </c>
      <c r="DG27" s="17">
        <f t="shared" si="175"/>
        <v>0</v>
      </c>
      <c r="DH27" s="17">
        <f t="shared" si="26"/>
        <v>0.5</v>
      </c>
      <c r="DI27" s="235">
        <f t="shared" si="209"/>
        <v>0</v>
      </c>
      <c r="DJ27" s="33">
        <f t="shared" si="27"/>
        <v>1.9</v>
      </c>
      <c r="DK27" s="155">
        <f t="shared" si="177"/>
        <v>0</v>
      </c>
      <c r="DL27" s="130"/>
      <c r="DM27" s="17">
        <f t="shared" si="28"/>
        <v>23</v>
      </c>
      <c r="DN27" s="60">
        <f t="shared" si="259"/>
        <v>0</v>
      </c>
      <c r="DO27" s="377">
        <f t="shared" si="178"/>
        <v>0</v>
      </c>
      <c r="DP27" s="61">
        <f t="shared" si="29"/>
        <v>185</v>
      </c>
      <c r="DQ27" s="131"/>
      <c r="DR27" s="41">
        <f t="shared" si="275"/>
        <v>185</v>
      </c>
      <c r="DS27" s="18">
        <f t="shared" si="30"/>
        <v>77</v>
      </c>
      <c r="DT27" s="131"/>
      <c r="DU27" s="41">
        <f t="shared" si="164"/>
        <v>77</v>
      </c>
      <c r="DW27" s="118">
        <v>15</v>
      </c>
      <c r="DX27" s="9">
        <v>3</v>
      </c>
      <c r="DY27" s="129"/>
      <c r="DZ27" s="11">
        <f t="shared" si="179"/>
        <v>0</v>
      </c>
      <c r="EA27" s="41">
        <f t="shared" si="276"/>
        <v>0</v>
      </c>
      <c r="EB27" s="398"/>
      <c r="EC27" s="399"/>
      <c r="ED27" s="399"/>
      <c r="EE27" s="11">
        <f t="shared" si="211"/>
        <v>0</v>
      </c>
      <c r="EF27" s="17">
        <f t="shared" si="180"/>
        <v>0</v>
      </c>
      <c r="EG27" s="17">
        <f t="shared" si="31"/>
        <v>0.5</v>
      </c>
      <c r="EH27" s="235">
        <f t="shared" si="212"/>
        <v>0</v>
      </c>
      <c r="EI27" s="33">
        <f t="shared" si="32"/>
        <v>1.9</v>
      </c>
      <c r="EJ27" s="155">
        <f t="shared" si="182"/>
        <v>0</v>
      </c>
      <c r="EK27" s="130"/>
      <c r="EL27" s="17">
        <f t="shared" si="33"/>
        <v>23</v>
      </c>
      <c r="EM27" s="60">
        <f t="shared" si="260"/>
        <v>0</v>
      </c>
      <c r="EN27" s="377">
        <f t="shared" si="183"/>
        <v>0</v>
      </c>
      <c r="EO27" s="61">
        <f t="shared" si="34"/>
        <v>185</v>
      </c>
      <c r="EP27" s="131"/>
      <c r="EQ27" s="41">
        <f t="shared" si="277"/>
        <v>185</v>
      </c>
      <c r="ER27" s="18">
        <f t="shared" si="35"/>
        <v>77</v>
      </c>
      <c r="ES27" s="131"/>
      <c r="ET27" s="41">
        <f t="shared" si="165"/>
        <v>77</v>
      </c>
      <c r="EV27" s="118">
        <v>15</v>
      </c>
      <c r="EW27" s="9">
        <v>3</v>
      </c>
      <c r="EX27" s="129"/>
      <c r="EY27" s="11">
        <f t="shared" si="184"/>
        <v>0</v>
      </c>
      <c r="EZ27" s="41">
        <f t="shared" si="278"/>
        <v>0</v>
      </c>
      <c r="FA27" s="398"/>
      <c r="FB27" s="399"/>
      <c r="FC27" s="399"/>
      <c r="FD27" s="11">
        <f t="shared" si="214"/>
        <v>0</v>
      </c>
      <c r="FE27" s="17">
        <f t="shared" si="185"/>
        <v>0</v>
      </c>
      <c r="FF27" s="17">
        <f t="shared" si="36"/>
        <v>0.5</v>
      </c>
      <c r="FG27" s="235">
        <f t="shared" si="215"/>
        <v>0</v>
      </c>
      <c r="FH27" s="33">
        <f t="shared" si="37"/>
        <v>1.9</v>
      </c>
      <c r="FI27" s="155">
        <f t="shared" si="187"/>
        <v>0</v>
      </c>
      <c r="FJ27" s="130"/>
      <c r="FK27" s="17">
        <f t="shared" si="38"/>
        <v>23</v>
      </c>
      <c r="FL27" s="60">
        <f t="shared" si="261"/>
        <v>0</v>
      </c>
      <c r="FM27" s="377">
        <f t="shared" si="188"/>
        <v>0</v>
      </c>
      <c r="FN27" s="61">
        <f t="shared" si="39"/>
        <v>185</v>
      </c>
      <c r="FO27" s="131"/>
      <c r="FP27" s="41">
        <f t="shared" si="279"/>
        <v>185</v>
      </c>
      <c r="FQ27" s="18">
        <f t="shared" si="40"/>
        <v>77</v>
      </c>
      <c r="FR27" s="131"/>
      <c r="FS27" s="41">
        <f t="shared" si="166"/>
        <v>77</v>
      </c>
      <c r="FU27" s="118">
        <v>15</v>
      </c>
      <c r="FV27" s="9">
        <v>3</v>
      </c>
      <c r="FW27" s="129"/>
      <c r="FX27" s="11">
        <f t="shared" si="189"/>
        <v>0</v>
      </c>
      <c r="FY27" s="41">
        <f t="shared" si="280"/>
        <v>0</v>
      </c>
      <c r="FZ27" s="398"/>
      <c r="GA27" s="399"/>
      <c r="GB27" s="399"/>
      <c r="GC27" s="11">
        <f t="shared" si="217"/>
        <v>0</v>
      </c>
      <c r="GD27" s="17">
        <f t="shared" si="190"/>
        <v>0</v>
      </c>
      <c r="GE27" s="17">
        <f t="shared" si="41"/>
        <v>0.5</v>
      </c>
      <c r="GF27" s="235">
        <f t="shared" si="218"/>
        <v>0</v>
      </c>
      <c r="GG27" s="33">
        <f t="shared" si="42"/>
        <v>1.9</v>
      </c>
      <c r="GH27" s="155">
        <f t="shared" si="192"/>
        <v>0</v>
      </c>
      <c r="GI27" s="130"/>
      <c r="GJ27" s="17">
        <f t="shared" si="43"/>
        <v>23</v>
      </c>
      <c r="GK27" s="60">
        <f t="shared" si="262"/>
        <v>0</v>
      </c>
      <c r="GL27" s="377">
        <f t="shared" si="193"/>
        <v>0</v>
      </c>
      <c r="GM27" s="61">
        <f t="shared" si="44"/>
        <v>185</v>
      </c>
      <c r="GN27" s="131"/>
      <c r="GO27" s="41">
        <f t="shared" si="281"/>
        <v>185</v>
      </c>
      <c r="GP27" s="18">
        <f t="shared" si="45"/>
        <v>77</v>
      </c>
      <c r="GQ27" s="131"/>
      <c r="GR27" s="41">
        <f t="shared" si="167"/>
        <v>77</v>
      </c>
      <c r="GT27" s="118">
        <v>15</v>
      </c>
      <c r="GU27" s="9">
        <v>3</v>
      </c>
      <c r="GV27" s="129"/>
      <c r="GW27" s="11">
        <f t="shared" si="194"/>
        <v>0</v>
      </c>
      <c r="GX27" s="41">
        <f t="shared" si="282"/>
        <v>0</v>
      </c>
      <c r="GY27" s="398"/>
      <c r="GZ27" s="399"/>
      <c r="HA27" s="399"/>
      <c r="HB27" s="11">
        <f t="shared" si="220"/>
        <v>0</v>
      </c>
      <c r="HC27" s="17">
        <f t="shared" si="195"/>
        <v>0</v>
      </c>
      <c r="HD27" s="17">
        <f t="shared" si="46"/>
        <v>0.5</v>
      </c>
      <c r="HE27" s="235">
        <f t="shared" si="221"/>
        <v>0</v>
      </c>
      <c r="HF27" s="33">
        <f t="shared" si="47"/>
        <v>1.9</v>
      </c>
      <c r="HG27" s="155">
        <f t="shared" si="197"/>
        <v>0</v>
      </c>
      <c r="HH27" s="130"/>
      <c r="HI27" s="17">
        <f t="shared" si="48"/>
        <v>23</v>
      </c>
      <c r="HJ27" s="60">
        <f t="shared" si="263"/>
        <v>0</v>
      </c>
      <c r="HK27" s="377">
        <f t="shared" si="198"/>
        <v>0</v>
      </c>
      <c r="HL27" s="61">
        <f t="shared" si="49"/>
        <v>185</v>
      </c>
      <c r="HM27" s="131"/>
      <c r="HN27" s="41">
        <f t="shared" si="283"/>
        <v>185</v>
      </c>
      <c r="HO27" s="18">
        <f t="shared" si="50"/>
        <v>77</v>
      </c>
      <c r="HP27" s="131"/>
      <c r="HQ27" s="41">
        <f t="shared" si="168"/>
        <v>77</v>
      </c>
    </row>
    <row r="28" spans="1:225" ht="17.25" thickBot="1" x14ac:dyDescent="0.3">
      <c r="A28" s="739" t="s">
        <v>54</v>
      </c>
      <c r="B28" s="324">
        <f>B27+1</f>
        <v>17</v>
      </c>
      <c r="C28" s="572">
        <f>C27</f>
        <v>3</v>
      </c>
      <c r="D28" s="484">
        <v>26712</v>
      </c>
      <c r="E28" s="408">
        <f>IFERROR(F27-D28,0)</f>
        <v>91409</v>
      </c>
      <c r="F28" s="562">
        <f t="shared" si="0"/>
        <v>91356</v>
      </c>
      <c r="G28" s="134"/>
      <c r="H28" s="135">
        <v>53</v>
      </c>
      <c r="I28" s="135"/>
      <c r="J28" s="14">
        <f t="shared" si="200"/>
        <v>53</v>
      </c>
      <c r="K28" s="14">
        <f t="shared" si="52"/>
        <v>3701</v>
      </c>
      <c r="L28" s="14">
        <f t="shared" si="1"/>
        <v>0.5</v>
      </c>
      <c r="M28" s="47">
        <f t="shared" si="85"/>
        <v>5.7981161592403373E-2</v>
      </c>
      <c r="N28" s="35">
        <f t="shared" si="2"/>
        <v>1.9</v>
      </c>
      <c r="O28" s="132">
        <f t="shared" si="53"/>
        <v>2.7440629332779727</v>
      </c>
      <c r="P28" s="142">
        <v>2800</v>
      </c>
      <c r="Q28" s="14">
        <f t="shared" si="3"/>
        <v>23</v>
      </c>
      <c r="R28" s="442">
        <f t="shared" si="4"/>
        <v>30.631557067684803</v>
      </c>
      <c r="S28" s="470">
        <f t="shared" si="201"/>
        <v>356.08292849397071</v>
      </c>
      <c r="T28" s="51">
        <f t="shared" si="5"/>
        <v>185</v>
      </c>
      <c r="U28" s="112">
        <f>U27</f>
        <v>170</v>
      </c>
      <c r="V28" s="71">
        <f t="shared" si="55"/>
        <v>15</v>
      </c>
      <c r="W28" s="50">
        <f t="shared" si="6"/>
        <v>77</v>
      </c>
      <c r="X28" s="112">
        <f>X27</f>
        <v>54</v>
      </c>
      <c r="Y28" s="71">
        <f t="shared" si="56"/>
        <v>23</v>
      </c>
      <c r="Z28" s="487"/>
      <c r="AA28" s="120">
        <f>AA27+1</f>
        <v>17</v>
      </c>
      <c r="AB28" s="7">
        <f>AB27</f>
        <v>3</v>
      </c>
      <c r="AC28" s="229"/>
      <c r="AD28" s="48">
        <f t="shared" si="322"/>
        <v>149752</v>
      </c>
      <c r="AE28" s="447">
        <f t="shared" ref="AE28:AE45" si="324">IFERROR(AD28-AI28,0)</f>
        <v>149493</v>
      </c>
      <c r="AF28" s="134"/>
      <c r="AG28" s="135">
        <v>259</v>
      </c>
      <c r="AH28" s="135"/>
      <c r="AI28" s="14">
        <f t="shared" si="203"/>
        <v>259</v>
      </c>
      <c r="AJ28" s="14">
        <f t="shared" si="321"/>
        <v>3683</v>
      </c>
      <c r="AK28" s="14">
        <f t="shared" si="8"/>
        <v>0.5</v>
      </c>
      <c r="AL28" s="47">
        <f t="shared" si="58"/>
        <v>0.17295261499011699</v>
      </c>
      <c r="AM28" s="35">
        <f t="shared" si="9"/>
        <v>1.9</v>
      </c>
      <c r="AN28" s="157">
        <f t="shared" si="169"/>
        <v>2.4044236695043608</v>
      </c>
      <c r="AO28" s="134">
        <v>3200</v>
      </c>
      <c r="AP28" s="14">
        <f t="shared" si="10"/>
        <v>23</v>
      </c>
      <c r="AQ28" s="482">
        <f t="shared" si="59"/>
        <v>21.368662855921791</v>
      </c>
      <c r="AR28" s="470">
        <f t="shared" si="323"/>
        <v>363.0183431854656</v>
      </c>
      <c r="AS28" s="51">
        <f t="shared" si="11"/>
        <v>185</v>
      </c>
      <c r="AT28" s="112">
        <f>AT27</f>
        <v>179</v>
      </c>
      <c r="AU28" s="71">
        <f t="shared" si="271"/>
        <v>6</v>
      </c>
      <c r="AV28" s="50">
        <f t="shared" si="12"/>
        <v>77</v>
      </c>
      <c r="AW28" s="112">
        <f>AW27</f>
        <v>67</v>
      </c>
      <c r="AX28" s="71">
        <f t="shared" si="170"/>
        <v>10</v>
      </c>
      <c r="AY28" s="763" t="s">
        <v>52</v>
      </c>
      <c r="AZ28" s="767">
        <f>AZ27+1</f>
        <v>17</v>
      </c>
      <c r="BA28" s="768">
        <f>BA27</f>
        <v>3</v>
      </c>
      <c r="BB28" s="757">
        <v>26712</v>
      </c>
      <c r="BC28" s="48">
        <f t="shared" si="62"/>
        <v>39816</v>
      </c>
      <c r="BD28" s="447">
        <f t="shared" ref="BD28:BD48" si="325">IFERROR(BC28-BH28,0)</f>
        <v>39813</v>
      </c>
      <c r="BE28" s="134"/>
      <c r="BF28" s="135">
        <v>3</v>
      </c>
      <c r="BG28" s="135"/>
      <c r="BH28" s="14">
        <f t="shared" si="204"/>
        <v>3</v>
      </c>
      <c r="BI28" s="14">
        <f t="shared" si="294"/>
        <v>3</v>
      </c>
      <c r="BJ28" s="14">
        <f t="shared" si="14"/>
        <v>0.5</v>
      </c>
      <c r="BK28" s="47">
        <f t="shared" si="92"/>
        <v>7.5346594333936109E-3</v>
      </c>
      <c r="BL28" s="35">
        <f t="shared" si="15"/>
        <v>1.9</v>
      </c>
      <c r="BM28" s="132">
        <f t="shared" ref="BM28:BM89" si="326">IFERROR((BI28*100)/$BB$33,0)</f>
        <v>4.2016806722689074E-3</v>
      </c>
      <c r="BN28" s="134">
        <v>3200</v>
      </c>
      <c r="BO28" s="14">
        <f t="shared" si="17"/>
        <v>23</v>
      </c>
      <c r="BP28" s="442">
        <f t="shared" si="93"/>
        <v>80.369700622865182</v>
      </c>
      <c r="BQ28" s="747">
        <f t="shared" si="137"/>
        <v>278.78239903556357</v>
      </c>
      <c r="BR28" s="51">
        <f t="shared" si="18"/>
        <v>185</v>
      </c>
      <c r="BS28" s="112">
        <f>BS27</f>
        <v>185</v>
      </c>
      <c r="BT28" s="71">
        <f t="shared" si="272"/>
        <v>0</v>
      </c>
      <c r="BU28" s="50">
        <f t="shared" si="20"/>
        <v>77</v>
      </c>
      <c r="BV28" s="112">
        <f>BV27</f>
        <v>62</v>
      </c>
      <c r="BW28" s="71">
        <f t="shared" si="171"/>
        <v>15</v>
      </c>
      <c r="BY28" s="120">
        <f>BY27+1</f>
        <v>16</v>
      </c>
      <c r="BZ28" s="7">
        <f>BZ27</f>
        <v>3</v>
      </c>
      <c r="CA28" s="133"/>
      <c r="CB28" s="14">
        <f t="shared" si="172"/>
        <v>0</v>
      </c>
      <c r="CC28" s="62">
        <f t="shared" si="205"/>
        <v>0</v>
      </c>
      <c r="CD28" s="405"/>
      <c r="CE28" s="406"/>
      <c r="CF28" s="406"/>
      <c r="CG28" s="14">
        <f t="shared" si="206"/>
        <v>0</v>
      </c>
      <c r="CH28" s="14">
        <f t="shared" si="173"/>
        <v>0</v>
      </c>
      <c r="CI28" s="14">
        <f t="shared" si="21"/>
        <v>0.5</v>
      </c>
      <c r="CJ28" s="47">
        <f t="shared" si="97"/>
        <v>0</v>
      </c>
      <c r="CK28" s="35">
        <f t="shared" si="22"/>
        <v>1.9</v>
      </c>
      <c r="CL28" s="157">
        <f t="shared" si="140"/>
        <v>0</v>
      </c>
      <c r="CM28" s="134"/>
      <c r="CN28" s="14">
        <f t="shared" si="23"/>
        <v>23</v>
      </c>
      <c r="CO28" s="48">
        <f t="shared" si="141"/>
        <v>0</v>
      </c>
      <c r="CP28" s="68">
        <f t="shared" si="98"/>
        <v>0</v>
      </c>
      <c r="CQ28" s="51">
        <f t="shared" si="24"/>
        <v>185</v>
      </c>
      <c r="CR28" s="112">
        <f>CR27</f>
        <v>0</v>
      </c>
      <c r="CS28" s="71">
        <f t="shared" si="273"/>
        <v>185</v>
      </c>
      <c r="CT28" s="51">
        <f t="shared" si="25"/>
        <v>77</v>
      </c>
      <c r="CU28" s="112">
        <f>CU27</f>
        <v>0</v>
      </c>
      <c r="CV28" s="71">
        <f t="shared" si="67"/>
        <v>77</v>
      </c>
      <c r="CX28" s="120">
        <f>CX27+1</f>
        <v>16</v>
      </c>
      <c r="CY28" s="7">
        <f>CY27</f>
        <v>3</v>
      </c>
      <c r="CZ28" s="133"/>
      <c r="DA28" s="14">
        <f t="shared" si="174"/>
        <v>0</v>
      </c>
      <c r="DB28" s="62">
        <f t="shared" si="274"/>
        <v>0</v>
      </c>
      <c r="DC28" s="405"/>
      <c r="DD28" s="406"/>
      <c r="DE28" s="406"/>
      <c r="DF28" s="14">
        <f t="shared" si="208"/>
        <v>0</v>
      </c>
      <c r="DG28" s="14">
        <f t="shared" si="175"/>
        <v>0</v>
      </c>
      <c r="DH28" s="14">
        <f t="shared" si="26"/>
        <v>0.5</v>
      </c>
      <c r="DI28" s="47">
        <f t="shared" si="209"/>
        <v>0</v>
      </c>
      <c r="DJ28" s="35">
        <f t="shared" si="27"/>
        <v>1.9</v>
      </c>
      <c r="DK28" s="157">
        <f t="shared" si="177"/>
        <v>0</v>
      </c>
      <c r="DL28" s="134"/>
      <c r="DM28" s="14">
        <f t="shared" si="28"/>
        <v>23</v>
      </c>
      <c r="DN28" s="48">
        <f t="shared" si="259"/>
        <v>0</v>
      </c>
      <c r="DO28" s="68">
        <f t="shared" si="178"/>
        <v>0</v>
      </c>
      <c r="DP28" s="51">
        <f t="shared" si="29"/>
        <v>185</v>
      </c>
      <c r="DQ28" s="112">
        <f>DQ27</f>
        <v>0</v>
      </c>
      <c r="DR28" s="71">
        <f t="shared" si="275"/>
        <v>185</v>
      </c>
      <c r="DS28" s="51">
        <f t="shared" si="30"/>
        <v>77</v>
      </c>
      <c r="DT28" s="112">
        <f>DT27</f>
        <v>0</v>
      </c>
      <c r="DU28" s="71">
        <f t="shared" si="164"/>
        <v>77</v>
      </c>
      <c r="DW28" s="120">
        <f>DW27+1</f>
        <v>16</v>
      </c>
      <c r="DX28" s="7">
        <f>DX27</f>
        <v>3</v>
      </c>
      <c r="DY28" s="133"/>
      <c r="DZ28" s="14">
        <f t="shared" si="179"/>
        <v>0</v>
      </c>
      <c r="EA28" s="62">
        <f t="shared" si="276"/>
        <v>0</v>
      </c>
      <c r="EB28" s="405"/>
      <c r="EC28" s="406"/>
      <c r="ED28" s="406"/>
      <c r="EE28" s="14">
        <f t="shared" si="211"/>
        <v>0</v>
      </c>
      <c r="EF28" s="14">
        <f t="shared" si="180"/>
        <v>0</v>
      </c>
      <c r="EG28" s="14">
        <f t="shared" si="31"/>
        <v>0.5</v>
      </c>
      <c r="EH28" s="47">
        <f t="shared" si="212"/>
        <v>0</v>
      </c>
      <c r="EI28" s="35">
        <f t="shared" si="32"/>
        <v>1.9</v>
      </c>
      <c r="EJ28" s="157">
        <f t="shared" si="182"/>
        <v>0</v>
      </c>
      <c r="EK28" s="134"/>
      <c r="EL28" s="14">
        <f t="shared" si="33"/>
        <v>23</v>
      </c>
      <c r="EM28" s="48">
        <f t="shared" si="260"/>
        <v>0</v>
      </c>
      <c r="EN28" s="68">
        <f t="shared" si="183"/>
        <v>0</v>
      </c>
      <c r="EO28" s="51">
        <f t="shared" si="34"/>
        <v>185</v>
      </c>
      <c r="EP28" s="112">
        <f>EP27</f>
        <v>0</v>
      </c>
      <c r="EQ28" s="71">
        <f t="shared" si="277"/>
        <v>185</v>
      </c>
      <c r="ER28" s="51">
        <f t="shared" si="35"/>
        <v>77</v>
      </c>
      <c r="ES28" s="112">
        <f>ES27</f>
        <v>0</v>
      </c>
      <c r="ET28" s="71">
        <f t="shared" si="165"/>
        <v>77</v>
      </c>
      <c r="EV28" s="120">
        <f>EV27+1</f>
        <v>16</v>
      </c>
      <c r="EW28" s="7">
        <f>EW27</f>
        <v>3</v>
      </c>
      <c r="EX28" s="133"/>
      <c r="EY28" s="14">
        <f t="shared" si="184"/>
        <v>0</v>
      </c>
      <c r="EZ28" s="62">
        <f t="shared" si="278"/>
        <v>0</v>
      </c>
      <c r="FA28" s="405"/>
      <c r="FB28" s="406"/>
      <c r="FC28" s="406"/>
      <c r="FD28" s="14">
        <f t="shared" si="214"/>
        <v>0</v>
      </c>
      <c r="FE28" s="14">
        <f t="shared" si="185"/>
        <v>0</v>
      </c>
      <c r="FF28" s="14">
        <f t="shared" si="36"/>
        <v>0.5</v>
      </c>
      <c r="FG28" s="47">
        <f t="shared" si="215"/>
        <v>0</v>
      </c>
      <c r="FH28" s="35">
        <f t="shared" si="37"/>
        <v>1.9</v>
      </c>
      <c r="FI28" s="157">
        <f t="shared" si="187"/>
        <v>0</v>
      </c>
      <c r="FJ28" s="134"/>
      <c r="FK28" s="14">
        <f t="shared" si="38"/>
        <v>23</v>
      </c>
      <c r="FL28" s="48">
        <f t="shared" si="261"/>
        <v>0</v>
      </c>
      <c r="FM28" s="68">
        <f t="shared" si="188"/>
        <v>0</v>
      </c>
      <c r="FN28" s="51">
        <f t="shared" si="39"/>
        <v>185</v>
      </c>
      <c r="FO28" s="112">
        <f>FO27</f>
        <v>0</v>
      </c>
      <c r="FP28" s="71">
        <f t="shared" si="279"/>
        <v>185</v>
      </c>
      <c r="FQ28" s="51">
        <f t="shared" si="40"/>
        <v>77</v>
      </c>
      <c r="FR28" s="112">
        <f>FR27</f>
        <v>0</v>
      </c>
      <c r="FS28" s="71">
        <f t="shared" si="166"/>
        <v>77</v>
      </c>
      <c r="FU28" s="120">
        <f>FU27+1</f>
        <v>16</v>
      </c>
      <c r="FV28" s="7">
        <f>FV27</f>
        <v>3</v>
      </c>
      <c r="FW28" s="133"/>
      <c r="FX28" s="14">
        <f t="shared" si="189"/>
        <v>0</v>
      </c>
      <c r="FY28" s="62">
        <f t="shared" si="280"/>
        <v>0</v>
      </c>
      <c r="FZ28" s="405"/>
      <c r="GA28" s="406"/>
      <c r="GB28" s="406"/>
      <c r="GC28" s="14">
        <f t="shared" si="217"/>
        <v>0</v>
      </c>
      <c r="GD28" s="14">
        <f t="shared" si="190"/>
        <v>0</v>
      </c>
      <c r="GE28" s="14">
        <f t="shared" si="41"/>
        <v>0.5</v>
      </c>
      <c r="GF28" s="47">
        <f t="shared" si="218"/>
        <v>0</v>
      </c>
      <c r="GG28" s="35">
        <f t="shared" si="42"/>
        <v>1.9</v>
      </c>
      <c r="GH28" s="157">
        <f t="shared" si="192"/>
        <v>0</v>
      </c>
      <c r="GI28" s="134"/>
      <c r="GJ28" s="14">
        <f t="shared" si="43"/>
        <v>23</v>
      </c>
      <c r="GK28" s="48">
        <f t="shared" si="262"/>
        <v>0</v>
      </c>
      <c r="GL28" s="68">
        <f t="shared" si="193"/>
        <v>0</v>
      </c>
      <c r="GM28" s="51">
        <f t="shared" si="44"/>
        <v>185</v>
      </c>
      <c r="GN28" s="112">
        <f>GN27</f>
        <v>0</v>
      </c>
      <c r="GO28" s="71">
        <f t="shared" si="281"/>
        <v>185</v>
      </c>
      <c r="GP28" s="51">
        <f t="shared" si="45"/>
        <v>77</v>
      </c>
      <c r="GQ28" s="112">
        <f>GQ27</f>
        <v>0</v>
      </c>
      <c r="GR28" s="71">
        <f t="shared" si="167"/>
        <v>77</v>
      </c>
      <c r="GT28" s="120">
        <f>GT27+1</f>
        <v>16</v>
      </c>
      <c r="GU28" s="7">
        <f>GU27</f>
        <v>3</v>
      </c>
      <c r="GV28" s="133"/>
      <c r="GW28" s="14">
        <f t="shared" si="194"/>
        <v>0</v>
      </c>
      <c r="GX28" s="62">
        <f t="shared" si="282"/>
        <v>0</v>
      </c>
      <c r="GY28" s="405"/>
      <c r="GZ28" s="406"/>
      <c r="HA28" s="406"/>
      <c r="HB28" s="14">
        <f t="shared" si="220"/>
        <v>0</v>
      </c>
      <c r="HC28" s="14">
        <f t="shared" si="195"/>
        <v>0</v>
      </c>
      <c r="HD28" s="14">
        <f t="shared" si="46"/>
        <v>0.5</v>
      </c>
      <c r="HE28" s="47">
        <f t="shared" si="221"/>
        <v>0</v>
      </c>
      <c r="HF28" s="35">
        <f t="shared" si="47"/>
        <v>1.9</v>
      </c>
      <c r="HG28" s="157">
        <f t="shared" si="197"/>
        <v>0</v>
      </c>
      <c r="HH28" s="134"/>
      <c r="HI28" s="14">
        <f t="shared" si="48"/>
        <v>23</v>
      </c>
      <c r="HJ28" s="48">
        <f t="shared" si="263"/>
        <v>0</v>
      </c>
      <c r="HK28" s="68">
        <f t="shared" si="198"/>
        <v>0</v>
      </c>
      <c r="HL28" s="51">
        <f t="shared" si="49"/>
        <v>185</v>
      </c>
      <c r="HM28" s="112">
        <f>HM27</f>
        <v>0</v>
      </c>
      <c r="HN28" s="71">
        <f t="shared" si="283"/>
        <v>185</v>
      </c>
      <c r="HO28" s="51">
        <f t="shared" si="50"/>
        <v>77</v>
      </c>
      <c r="HP28" s="112">
        <f>HP27</f>
        <v>0</v>
      </c>
      <c r="HQ28" s="71">
        <f t="shared" si="168"/>
        <v>77</v>
      </c>
    </row>
    <row r="29" spans="1:225" ht="17.25" thickBot="1" x14ac:dyDescent="0.3">
      <c r="B29" s="120">
        <f t="shared" ref="B29:B33" si="327">B28+1</f>
        <v>18</v>
      </c>
      <c r="C29" s="570">
        <f t="shared" ref="C29:C33" si="328">C28</f>
        <v>3</v>
      </c>
      <c r="D29" s="133"/>
      <c r="E29" s="408">
        <f t="shared" si="223"/>
        <v>91356</v>
      </c>
      <c r="F29" s="562">
        <f t="shared" si="0"/>
        <v>91311</v>
      </c>
      <c r="G29" s="134"/>
      <c r="H29" s="135">
        <v>45</v>
      </c>
      <c r="I29" s="135"/>
      <c r="J29" s="14">
        <f t="shared" si="200"/>
        <v>45</v>
      </c>
      <c r="K29" s="14">
        <f t="shared" si="52"/>
        <v>3746</v>
      </c>
      <c r="L29" s="14">
        <f t="shared" si="1"/>
        <v>0.5</v>
      </c>
      <c r="M29" s="47">
        <f t="shared" si="85"/>
        <v>4.9257848417181137E-2</v>
      </c>
      <c r="N29" s="35">
        <f t="shared" si="2"/>
        <v>1.9</v>
      </c>
      <c r="O29" s="132">
        <f t="shared" si="53"/>
        <v>2.7774276541635463</v>
      </c>
      <c r="P29" s="142">
        <v>1600</v>
      </c>
      <c r="Q29" s="14">
        <f t="shared" si="3"/>
        <v>23</v>
      </c>
      <c r="R29" s="442">
        <f t="shared" si="4"/>
        <v>17.513901659442183</v>
      </c>
      <c r="S29" s="470">
        <f t="shared" si="201"/>
        <v>373.5968301534129</v>
      </c>
      <c r="T29" s="51">
        <f t="shared" si="5"/>
        <v>185</v>
      </c>
      <c r="U29" s="112">
        <f t="shared" ref="U29:U33" si="329">U28</f>
        <v>170</v>
      </c>
      <c r="V29" s="46">
        <f t="shared" si="55"/>
        <v>15</v>
      </c>
      <c r="W29" s="50">
        <f t="shared" si="6"/>
        <v>77</v>
      </c>
      <c r="X29" s="112">
        <f t="shared" ref="X29:X33" si="330">X28</f>
        <v>54</v>
      </c>
      <c r="Y29" s="46">
        <f t="shared" si="56"/>
        <v>23</v>
      </c>
      <c r="Z29" s="487"/>
      <c r="AA29" s="120">
        <f t="shared" ref="AA29:AA31" si="331">AA28+1</f>
        <v>18</v>
      </c>
      <c r="AB29" s="7">
        <f t="shared" ref="AB29:AB33" si="332">AB28</f>
        <v>3</v>
      </c>
      <c r="AC29" s="229"/>
      <c r="AD29" s="48">
        <f t="shared" si="322"/>
        <v>149493</v>
      </c>
      <c r="AE29" s="196">
        <f t="shared" si="324"/>
        <v>149220</v>
      </c>
      <c r="AF29" s="134"/>
      <c r="AG29" s="135">
        <v>273</v>
      </c>
      <c r="AH29" s="135"/>
      <c r="AI29" s="14">
        <f t="shared" si="203"/>
        <v>273</v>
      </c>
      <c r="AJ29" s="14">
        <f t="shared" si="321"/>
        <v>3956</v>
      </c>
      <c r="AK29" s="14">
        <f t="shared" si="8"/>
        <v>0.5</v>
      </c>
      <c r="AL29" s="47">
        <f t="shared" si="58"/>
        <v>0.18261724629246853</v>
      </c>
      <c r="AM29" s="35">
        <f t="shared" si="9"/>
        <v>1.9</v>
      </c>
      <c r="AN29" s="157">
        <f t="shared" si="169"/>
        <v>2.5826500235023762</v>
      </c>
      <c r="AO29" s="134">
        <v>2400</v>
      </c>
      <c r="AP29" s="14">
        <f t="shared" si="10"/>
        <v>23</v>
      </c>
      <c r="AQ29" s="482">
        <f t="shared" si="59"/>
        <v>16.054263410326904</v>
      </c>
      <c r="AR29" s="470">
        <f t="shared" si="323"/>
        <v>379.07260659579248</v>
      </c>
      <c r="AS29" s="51">
        <f t="shared" si="11"/>
        <v>185</v>
      </c>
      <c r="AT29" s="112">
        <f t="shared" ref="AT29:AT33" si="333">AT28</f>
        <v>179</v>
      </c>
      <c r="AU29" s="46">
        <f t="shared" si="271"/>
        <v>6</v>
      </c>
      <c r="AV29" s="50">
        <f t="shared" si="12"/>
        <v>77</v>
      </c>
      <c r="AW29" s="112">
        <f t="shared" ref="AW29:AW33" si="334">AW28</f>
        <v>67</v>
      </c>
      <c r="AX29" s="46">
        <f t="shared" si="170"/>
        <v>10</v>
      </c>
      <c r="AZ29" s="120">
        <f t="shared" ref="AZ29:AZ31" si="335">AZ28+1</f>
        <v>18</v>
      </c>
      <c r="BA29" s="7">
        <f t="shared" ref="BA29:BA33" si="336">BA28</f>
        <v>3</v>
      </c>
      <c r="BB29" s="133"/>
      <c r="BC29" s="48">
        <f t="shared" si="62"/>
        <v>39813</v>
      </c>
      <c r="BD29" s="196">
        <f t="shared" si="325"/>
        <v>39813</v>
      </c>
      <c r="BE29" s="134"/>
      <c r="BF29" s="135">
        <v>0</v>
      </c>
      <c r="BG29" s="135"/>
      <c r="BH29" s="14">
        <f t="shared" si="204"/>
        <v>0</v>
      </c>
      <c r="BI29" s="14">
        <f t="shared" si="294"/>
        <v>3</v>
      </c>
      <c r="BJ29" s="14">
        <f t="shared" si="14"/>
        <v>0.5</v>
      </c>
      <c r="BK29" s="47">
        <f t="shared" si="92"/>
        <v>0</v>
      </c>
      <c r="BL29" s="35">
        <f t="shared" si="15"/>
        <v>1.9</v>
      </c>
      <c r="BM29" s="132">
        <f t="shared" si="326"/>
        <v>4.2016806722689074E-3</v>
      </c>
      <c r="BN29" s="134">
        <v>0</v>
      </c>
      <c r="BO29" s="14">
        <f t="shared" si="17"/>
        <v>23</v>
      </c>
      <c r="BP29" s="442">
        <f t="shared" si="93"/>
        <v>0</v>
      </c>
      <c r="BQ29" s="747">
        <f t="shared" si="137"/>
        <v>278.78239903556357</v>
      </c>
      <c r="BR29" s="51">
        <f t="shared" si="18"/>
        <v>185</v>
      </c>
      <c r="BS29" s="112">
        <f t="shared" ref="BS29:BS33" si="337">BS28</f>
        <v>185</v>
      </c>
      <c r="BT29" s="46">
        <f t="shared" si="272"/>
        <v>0</v>
      </c>
      <c r="BU29" s="50">
        <f t="shared" si="20"/>
        <v>77</v>
      </c>
      <c r="BV29" s="112">
        <f t="shared" ref="BV29:BV33" si="338">BV28</f>
        <v>62</v>
      </c>
      <c r="BW29" s="46">
        <f t="shared" si="171"/>
        <v>15</v>
      </c>
      <c r="BY29" s="120">
        <f t="shared" ref="BY29:BY31" si="339">BY28+1</f>
        <v>17</v>
      </c>
      <c r="BZ29" s="7">
        <f t="shared" ref="BZ29:BZ33" si="340">BZ28</f>
        <v>3</v>
      </c>
      <c r="CA29" s="133"/>
      <c r="CB29" s="14">
        <f t="shared" si="172"/>
        <v>0</v>
      </c>
      <c r="CC29" s="59">
        <f t="shared" si="205"/>
        <v>0</v>
      </c>
      <c r="CD29" s="405"/>
      <c r="CE29" s="406"/>
      <c r="CF29" s="406"/>
      <c r="CG29" s="14">
        <f t="shared" si="206"/>
        <v>0</v>
      </c>
      <c r="CH29" s="14">
        <f t="shared" si="173"/>
        <v>0</v>
      </c>
      <c r="CI29" s="14">
        <f t="shared" si="21"/>
        <v>0.5</v>
      </c>
      <c r="CJ29" s="47">
        <f t="shared" si="97"/>
        <v>0</v>
      </c>
      <c r="CK29" s="35">
        <f t="shared" si="22"/>
        <v>1.9</v>
      </c>
      <c r="CL29" s="157">
        <f t="shared" si="140"/>
        <v>0</v>
      </c>
      <c r="CM29" s="134"/>
      <c r="CN29" s="14">
        <f t="shared" si="23"/>
        <v>23</v>
      </c>
      <c r="CO29" s="48">
        <f t="shared" si="141"/>
        <v>0</v>
      </c>
      <c r="CP29" s="68">
        <f t="shared" si="98"/>
        <v>0</v>
      </c>
      <c r="CQ29" s="51">
        <f t="shared" si="24"/>
        <v>185</v>
      </c>
      <c r="CR29" s="112">
        <f t="shared" ref="CR29:CR33" si="341">CR28</f>
        <v>0</v>
      </c>
      <c r="CS29" s="46">
        <f t="shared" si="273"/>
        <v>185</v>
      </c>
      <c r="CT29" s="12">
        <f t="shared" si="25"/>
        <v>77</v>
      </c>
      <c r="CU29" s="112">
        <f t="shared" ref="CU29:CU33" si="342">CU28</f>
        <v>0</v>
      </c>
      <c r="CV29" s="46">
        <f t="shared" si="67"/>
        <v>77</v>
      </c>
      <c r="CX29" s="120">
        <f t="shared" ref="CX29:CX31" si="343">CX28+1</f>
        <v>17</v>
      </c>
      <c r="CY29" s="7">
        <f t="shared" ref="CY29:CY33" si="344">CY28</f>
        <v>3</v>
      </c>
      <c r="CZ29" s="133"/>
      <c r="DA29" s="14">
        <f t="shared" si="174"/>
        <v>0</v>
      </c>
      <c r="DB29" s="59">
        <f t="shared" si="274"/>
        <v>0</v>
      </c>
      <c r="DC29" s="405"/>
      <c r="DD29" s="406"/>
      <c r="DE29" s="406"/>
      <c r="DF29" s="14">
        <f t="shared" si="208"/>
        <v>0</v>
      </c>
      <c r="DG29" s="14">
        <f t="shared" si="175"/>
        <v>0</v>
      </c>
      <c r="DH29" s="14">
        <f t="shared" si="26"/>
        <v>0.5</v>
      </c>
      <c r="DI29" s="47">
        <f t="shared" si="209"/>
        <v>0</v>
      </c>
      <c r="DJ29" s="35">
        <f t="shared" si="27"/>
        <v>1.9</v>
      </c>
      <c r="DK29" s="157">
        <f t="shared" si="177"/>
        <v>0</v>
      </c>
      <c r="DL29" s="134"/>
      <c r="DM29" s="14">
        <f t="shared" si="28"/>
        <v>23</v>
      </c>
      <c r="DN29" s="48">
        <f t="shared" si="259"/>
        <v>0</v>
      </c>
      <c r="DO29" s="68">
        <f t="shared" si="178"/>
        <v>0</v>
      </c>
      <c r="DP29" s="51">
        <f t="shared" si="29"/>
        <v>185</v>
      </c>
      <c r="DQ29" s="112">
        <f t="shared" ref="DQ29:DQ33" si="345">DQ28</f>
        <v>0</v>
      </c>
      <c r="DR29" s="46">
        <f t="shared" si="275"/>
        <v>185</v>
      </c>
      <c r="DS29" s="12">
        <f t="shared" si="30"/>
        <v>77</v>
      </c>
      <c r="DT29" s="112">
        <f t="shared" ref="DT29:DT33" si="346">DT28</f>
        <v>0</v>
      </c>
      <c r="DU29" s="46">
        <f t="shared" si="164"/>
        <v>77</v>
      </c>
      <c r="DW29" s="120">
        <f t="shared" ref="DW29:DW31" si="347">DW28+1</f>
        <v>17</v>
      </c>
      <c r="DX29" s="7">
        <f t="shared" ref="DX29:DX33" si="348">DX28</f>
        <v>3</v>
      </c>
      <c r="DY29" s="133"/>
      <c r="DZ29" s="14">
        <f t="shared" si="179"/>
        <v>0</v>
      </c>
      <c r="EA29" s="59">
        <f t="shared" si="276"/>
        <v>0</v>
      </c>
      <c r="EB29" s="405"/>
      <c r="EC29" s="406"/>
      <c r="ED29" s="406"/>
      <c r="EE29" s="14">
        <f t="shared" si="211"/>
        <v>0</v>
      </c>
      <c r="EF29" s="14">
        <f t="shared" si="180"/>
        <v>0</v>
      </c>
      <c r="EG29" s="14">
        <f t="shared" si="31"/>
        <v>0.5</v>
      </c>
      <c r="EH29" s="47">
        <f t="shared" si="212"/>
        <v>0</v>
      </c>
      <c r="EI29" s="35">
        <f t="shared" si="32"/>
        <v>1.9</v>
      </c>
      <c r="EJ29" s="157">
        <f t="shared" si="182"/>
        <v>0</v>
      </c>
      <c r="EK29" s="134"/>
      <c r="EL29" s="14">
        <f t="shared" si="33"/>
        <v>23</v>
      </c>
      <c r="EM29" s="48">
        <f t="shared" si="260"/>
        <v>0</v>
      </c>
      <c r="EN29" s="68">
        <f t="shared" si="183"/>
        <v>0</v>
      </c>
      <c r="EO29" s="51">
        <f t="shared" si="34"/>
        <v>185</v>
      </c>
      <c r="EP29" s="112">
        <f t="shared" ref="EP29:EP33" si="349">EP28</f>
        <v>0</v>
      </c>
      <c r="EQ29" s="46">
        <f t="shared" si="277"/>
        <v>185</v>
      </c>
      <c r="ER29" s="12">
        <f t="shared" si="35"/>
        <v>77</v>
      </c>
      <c r="ES29" s="112">
        <f t="shared" ref="ES29:ES33" si="350">ES28</f>
        <v>0</v>
      </c>
      <c r="ET29" s="46">
        <f t="shared" si="165"/>
        <v>77</v>
      </c>
      <c r="EV29" s="120">
        <f t="shared" ref="EV29:EV31" si="351">EV28+1</f>
        <v>17</v>
      </c>
      <c r="EW29" s="7">
        <f t="shared" ref="EW29:EW33" si="352">EW28</f>
        <v>3</v>
      </c>
      <c r="EX29" s="133"/>
      <c r="EY29" s="14">
        <f t="shared" si="184"/>
        <v>0</v>
      </c>
      <c r="EZ29" s="59">
        <f t="shared" si="278"/>
        <v>0</v>
      </c>
      <c r="FA29" s="405"/>
      <c r="FB29" s="406"/>
      <c r="FC29" s="406"/>
      <c r="FD29" s="14">
        <f t="shared" si="214"/>
        <v>0</v>
      </c>
      <c r="FE29" s="14">
        <f t="shared" si="185"/>
        <v>0</v>
      </c>
      <c r="FF29" s="14">
        <f t="shared" si="36"/>
        <v>0.5</v>
      </c>
      <c r="FG29" s="47">
        <f t="shared" si="215"/>
        <v>0</v>
      </c>
      <c r="FH29" s="35">
        <f t="shared" si="37"/>
        <v>1.9</v>
      </c>
      <c r="FI29" s="157">
        <f t="shared" si="187"/>
        <v>0</v>
      </c>
      <c r="FJ29" s="134"/>
      <c r="FK29" s="14">
        <f t="shared" si="38"/>
        <v>23</v>
      </c>
      <c r="FL29" s="48">
        <f t="shared" si="261"/>
        <v>0</v>
      </c>
      <c r="FM29" s="68">
        <f t="shared" si="188"/>
        <v>0</v>
      </c>
      <c r="FN29" s="51">
        <f t="shared" si="39"/>
        <v>185</v>
      </c>
      <c r="FO29" s="112">
        <f t="shared" ref="FO29:FO33" si="353">FO28</f>
        <v>0</v>
      </c>
      <c r="FP29" s="46">
        <f t="shared" si="279"/>
        <v>185</v>
      </c>
      <c r="FQ29" s="12">
        <f t="shared" si="40"/>
        <v>77</v>
      </c>
      <c r="FR29" s="112">
        <f t="shared" ref="FR29:FR33" si="354">FR28</f>
        <v>0</v>
      </c>
      <c r="FS29" s="46">
        <f t="shared" si="166"/>
        <v>77</v>
      </c>
      <c r="FU29" s="120">
        <f t="shared" ref="FU29:FU31" si="355">FU28+1</f>
        <v>17</v>
      </c>
      <c r="FV29" s="7">
        <f t="shared" ref="FV29:FV33" si="356">FV28</f>
        <v>3</v>
      </c>
      <c r="FW29" s="133"/>
      <c r="FX29" s="14">
        <f t="shared" si="189"/>
        <v>0</v>
      </c>
      <c r="FY29" s="59">
        <f t="shared" si="280"/>
        <v>0</v>
      </c>
      <c r="FZ29" s="405"/>
      <c r="GA29" s="406"/>
      <c r="GB29" s="406"/>
      <c r="GC29" s="14">
        <f t="shared" si="217"/>
        <v>0</v>
      </c>
      <c r="GD29" s="14">
        <f t="shared" si="190"/>
        <v>0</v>
      </c>
      <c r="GE29" s="14">
        <f t="shared" si="41"/>
        <v>0.5</v>
      </c>
      <c r="GF29" s="47">
        <f t="shared" si="218"/>
        <v>0</v>
      </c>
      <c r="GG29" s="35">
        <f t="shared" si="42"/>
        <v>1.9</v>
      </c>
      <c r="GH29" s="157">
        <f t="shared" si="192"/>
        <v>0</v>
      </c>
      <c r="GI29" s="134"/>
      <c r="GJ29" s="14">
        <f t="shared" si="43"/>
        <v>23</v>
      </c>
      <c r="GK29" s="48">
        <f t="shared" si="262"/>
        <v>0</v>
      </c>
      <c r="GL29" s="68">
        <f t="shared" si="193"/>
        <v>0</v>
      </c>
      <c r="GM29" s="51">
        <f t="shared" si="44"/>
        <v>185</v>
      </c>
      <c r="GN29" s="112">
        <f t="shared" ref="GN29:GN33" si="357">GN28</f>
        <v>0</v>
      </c>
      <c r="GO29" s="46">
        <f t="shared" si="281"/>
        <v>185</v>
      </c>
      <c r="GP29" s="12">
        <f t="shared" si="45"/>
        <v>77</v>
      </c>
      <c r="GQ29" s="112">
        <f t="shared" ref="GQ29:GQ33" si="358">GQ28</f>
        <v>0</v>
      </c>
      <c r="GR29" s="46">
        <f t="shared" si="167"/>
        <v>77</v>
      </c>
      <c r="GT29" s="120">
        <f t="shared" ref="GT29:GT31" si="359">GT28+1</f>
        <v>17</v>
      </c>
      <c r="GU29" s="7">
        <f t="shared" ref="GU29:GU33" si="360">GU28</f>
        <v>3</v>
      </c>
      <c r="GV29" s="133"/>
      <c r="GW29" s="14">
        <f t="shared" si="194"/>
        <v>0</v>
      </c>
      <c r="GX29" s="59">
        <f t="shared" si="282"/>
        <v>0</v>
      </c>
      <c r="GY29" s="405"/>
      <c r="GZ29" s="406"/>
      <c r="HA29" s="406"/>
      <c r="HB29" s="14">
        <f t="shared" si="220"/>
        <v>0</v>
      </c>
      <c r="HC29" s="14">
        <f t="shared" si="195"/>
        <v>0</v>
      </c>
      <c r="HD29" s="14">
        <f t="shared" si="46"/>
        <v>0.5</v>
      </c>
      <c r="HE29" s="47">
        <f t="shared" si="221"/>
        <v>0</v>
      </c>
      <c r="HF29" s="35">
        <f t="shared" si="47"/>
        <v>1.9</v>
      </c>
      <c r="HG29" s="157">
        <f t="shared" si="197"/>
        <v>0</v>
      </c>
      <c r="HH29" s="134"/>
      <c r="HI29" s="14">
        <f t="shared" si="48"/>
        <v>23</v>
      </c>
      <c r="HJ29" s="48">
        <f t="shared" si="263"/>
        <v>0</v>
      </c>
      <c r="HK29" s="68">
        <f t="shared" si="198"/>
        <v>0</v>
      </c>
      <c r="HL29" s="51">
        <f t="shared" si="49"/>
        <v>185</v>
      </c>
      <c r="HM29" s="112">
        <f t="shared" ref="HM29:HM33" si="361">HM28</f>
        <v>0</v>
      </c>
      <c r="HN29" s="46">
        <f t="shared" si="283"/>
        <v>185</v>
      </c>
      <c r="HO29" s="12">
        <f t="shared" si="50"/>
        <v>77</v>
      </c>
      <c r="HP29" s="112">
        <f t="shared" ref="HP29:HP33" si="362">HP28</f>
        <v>0</v>
      </c>
      <c r="HQ29" s="46">
        <f t="shared" si="168"/>
        <v>77</v>
      </c>
    </row>
    <row r="30" spans="1:225" ht="17.25" thickBot="1" x14ac:dyDescent="0.3">
      <c r="A30" s="610"/>
      <c r="B30" s="324">
        <f t="shared" si="327"/>
        <v>19</v>
      </c>
      <c r="C30" s="572">
        <f t="shared" si="328"/>
        <v>3</v>
      </c>
      <c r="D30" s="484">
        <v>25095</v>
      </c>
      <c r="E30" s="408">
        <f>IFERROR(F29-D30,0)</f>
        <v>66216</v>
      </c>
      <c r="F30" s="562">
        <f>IFERROR(E30-J30,0)</f>
        <v>66184</v>
      </c>
      <c r="G30" s="134"/>
      <c r="H30" s="135">
        <v>32</v>
      </c>
      <c r="I30" s="135"/>
      <c r="J30" s="14">
        <f t="shared" si="200"/>
        <v>32</v>
      </c>
      <c r="K30" s="14">
        <f t="shared" si="52"/>
        <v>3778</v>
      </c>
      <c r="L30" s="14">
        <f t="shared" si="1"/>
        <v>0.5</v>
      </c>
      <c r="M30" s="47">
        <f t="shared" si="85"/>
        <v>4.8326688413676454E-2</v>
      </c>
      <c r="N30" s="35">
        <f t="shared" si="2"/>
        <v>1.9</v>
      </c>
      <c r="O30" s="132">
        <f t="shared" si="53"/>
        <v>2.8011536779043991</v>
      </c>
      <c r="P30" s="142">
        <v>1800</v>
      </c>
      <c r="Q30" s="14">
        <f t="shared" si="3"/>
        <v>23</v>
      </c>
      <c r="R30" s="442">
        <f t="shared" si="4"/>
        <v>27.183762232693002</v>
      </c>
      <c r="S30" s="470">
        <f t="shared" si="201"/>
        <v>400.78059238610592</v>
      </c>
      <c r="T30" s="51">
        <f t="shared" si="5"/>
        <v>185</v>
      </c>
      <c r="U30" s="112">
        <f t="shared" si="329"/>
        <v>170</v>
      </c>
      <c r="V30" s="46">
        <f t="shared" si="55"/>
        <v>15</v>
      </c>
      <c r="W30" s="50">
        <f t="shared" si="6"/>
        <v>77</v>
      </c>
      <c r="X30" s="112">
        <f t="shared" si="330"/>
        <v>54</v>
      </c>
      <c r="Y30" s="46">
        <f t="shared" si="56"/>
        <v>23</v>
      </c>
      <c r="Z30" s="487"/>
      <c r="AA30" s="120">
        <f t="shared" si="331"/>
        <v>19</v>
      </c>
      <c r="AB30" s="7">
        <f t="shared" si="332"/>
        <v>3</v>
      </c>
      <c r="AC30" s="496"/>
      <c r="AD30" s="48">
        <f>IFERROR(AE29-AC30,0)</f>
        <v>149220</v>
      </c>
      <c r="AE30" s="196">
        <f t="shared" si="324"/>
        <v>149109</v>
      </c>
      <c r="AF30" s="134"/>
      <c r="AG30" s="135">
        <v>111</v>
      </c>
      <c r="AH30" s="135"/>
      <c r="AI30" s="14">
        <f t="shared" si="203"/>
        <v>111</v>
      </c>
      <c r="AJ30" s="14">
        <f t="shared" si="321"/>
        <v>4067</v>
      </c>
      <c r="AK30" s="14">
        <f t="shared" si="8"/>
        <v>0.5</v>
      </c>
      <c r="AL30" s="47">
        <f t="shared" si="58"/>
        <v>7.4386811419380777E-2</v>
      </c>
      <c r="AM30" s="35">
        <f t="shared" si="9"/>
        <v>1.9</v>
      </c>
      <c r="AN30" s="157">
        <f t="shared" si="169"/>
        <v>2.6551156839191519</v>
      </c>
      <c r="AO30" s="134">
        <v>2600</v>
      </c>
      <c r="AP30" s="14">
        <f t="shared" si="10"/>
        <v>23</v>
      </c>
      <c r="AQ30" s="482">
        <f t="shared" si="59"/>
        <v>17.423937809945048</v>
      </c>
      <c r="AR30" s="470">
        <f t="shared" si="323"/>
        <v>396.49654440573755</v>
      </c>
      <c r="AS30" s="51">
        <f t="shared" si="11"/>
        <v>185</v>
      </c>
      <c r="AT30" s="112">
        <f t="shared" si="333"/>
        <v>179</v>
      </c>
      <c r="AU30" s="46">
        <f t="shared" si="271"/>
        <v>6</v>
      </c>
      <c r="AV30" s="50">
        <f t="shared" si="12"/>
        <v>77</v>
      </c>
      <c r="AW30" s="112">
        <f t="shared" si="334"/>
        <v>67</v>
      </c>
      <c r="AX30" s="46">
        <f t="shared" si="170"/>
        <v>10</v>
      </c>
      <c r="AY30" s="769"/>
      <c r="AZ30" s="767">
        <f t="shared" si="335"/>
        <v>19</v>
      </c>
      <c r="BA30" s="768">
        <f t="shared" si="336"/>
        <v>3</v>
      </c>
      <c r="BB30" s="757">
        <v>25095</v>
      </c>
      <c r="BC30" s="48">
        <f>IFERROR(BD29+BB30,0)</f>
        <v>64908</v>
      </c>
      <c r="BD30" s="196">
        <f t="shared" si="325"/>
        <v>64899</v>
      </c>
      <c r="BE30" s="134"/>
      <c r="BF30" s="135">
        <v>9</v>
      </c>
      <c r="BG30" s="135"/>
      <c r="BH30" s="14">
        <f t="shared" si="204"/>
        <v>9</v>
      </c>
      <c r="BI30" s="14">
        <f t="shared" si="294"/>
        <v>12</v>
      </c>
      <c r="BJ30" s="14">
        <f t="shared" si="14"/>
        <v>0.5</v>
      </c>
      <c r="BK30" s="47">
        <f t="shared" si="92"/>
        <v>1.3865779256794232E-2</v>
      </c>
      <c r="BL30" s="35">
        <f t="shared" si="15"/>
        <v>1.9</v>
      </c>
      <c r="BM30" s="132">
        <f t="shared" si="326"/>
        <v>1.680672268907563E-2</v>
      </c>
      <c r="BN30" s="134">
        <v>2600</v>
      </c>
      <c r="BO30" s="14">
        <f t="shared" si="17"/>
        <v>23</v>
      </c>
      <c r="BP30" s="442">
        <f t="shared" si="93"/>
        <v>40.056695630738893</v>
      </c>
      <c r="BQ30" s="747">
        <f t="shared" si="137"/>
        <v>318.83909466630246</v>
      </c>
      <c r="BR30" s="51">
        <f t="shared" si="18"/>
        <v>185</v>
      </c>
      <c r="BS30" s="112">
        <f t="shared" si="337"/>
        <v>185</v>
      </c>
      <c r="BT30" s="46">
        <f t="shared" si="272"/>
        <v>0</v>
      </c>
      <c r="BU30" s="50">
        <f t="shared" si="20"/>
        <v>77</v>
      </c>
      <c r="BV30" s="112">
        <f t="shared" si="338"/>
        <v>62</v>
      </c>
      <c r="BW30" s="46">
        <f t="shared" si="171"/>
        <v>15</v>
      </c>
      <c r="BY30" s="120">
        <f t="shared" si="339"/>
        <v>18</v>
      </c>
      <c r="BZ30" s="7">
        <f t="shared" si="340"/>
        <v>3</v>
      </c>
      <c r="CA30" s="133"/>
      <c r="CB30" s="14">
        <f t="shared" si="172"/>
        <v>0</v>
      </c>
      <c r="CC30" s="59">
        <f t="shared" si="205"/>
        <v>0</v>
      </c>
      <c r="CD30" s="405"/>
      <c r="CE30" s="406"/>
      <c r="CF30" s="406"/>
      <c r="CG30" s="14">
        <f t="shared" si="206"/>
        <v>0</v>
      </c>
      <c r="CH30" s="14">
        <f t="shared" si="173"/>
        <v>0</v>
      </c>
      <c r="CI30" s="14">
        <f t="shared" si="21"/>
        <v>0.5</v>
      </c>
      <c r="CJ30" s="47">
        <f t="shared" si="97"/>
        <v>0</v>
      </c>
      <c r="CK30" s="35">
        <f t="shared" si="22"/>
        <v>1.9</v>
      </c>
      <c r="CL30" s="157">
        <f t="shared" si="140"/>
        <v>0</v>
      </c>
      <c r="CM30" s="134"/>
      <c r="CN30" s="14">
        <f t="shared" si="23"/>
        <v>23</v>
      </c>
      <c r="CO30" s="48">
        <f t="shared" si="141"/>
        <v>0</v>
      </c>
      <c r="CP30" s="68">
        <f t="shared" si="98"/>
        <v>0</v>
      </c>
      <c r="CQ30" s="51">
        <f t="shared" si="24"/>
        <v>185</v>
      </c>
      <c r="CR30" s="112">
        <f t="shared" si="341"/>
        <v>0</v>
      </c>
      <c r="CS30" s="46">
        <f t="shared" si="273"/>
        <v>185</v>
      </c>
      <c r="CT30" s="51">
        <f t="shared" si="25"/>
        <v>77</v>
      </c>
      <c r="CU30" s="112">
        <f t="shared" si="342"/>
        <v>0</v>
      </c>
      <c r="CV30" s="46">
        <f t="shared" si="67"/>
        <v>77</v>
      </c>
      <c r="CX30" s="120">
        <f t="shared" si="343"/>
        <v>18</v>
      </c>
      <c r="CY30" s="7">
        <f t="shared" si="344"/>
        <v>3</v>
      </c>
      <c r="CZ30" s="133"/>
      <c r="DA30" s="14">
        <f t="shared" si="174"/>
        <v>0</v>
      </c>
      <c r="DB30" s="59">
        <f t="shared" si="274"/>
        <v>0</v>
      </c>
      <c r="DC30" s="405"/>
      <c r="DD30" s="406"/>
      <c r="DE30" s="406"/>
      <c r="DF30" s="14">
        <f t="shared" si="208"/>
        <v>0</v>
      </c>
      <c r="DG30" s="14">
        <f t="shared" si="175"/>
        <v>0</v>
      </c>
      <c r="DH30" s="14">
        <f t="shared" si="26"/>
        <v>0.5</v>
      </c>
      <c r="DI30" s="47">
        <f t="shared" si="209"/>
        <v>0</v>
      </c>
      <c r="DJ30" s="35">
        <f t="shared" si="27"/>
        <v>1.9</v>
      </c>
      <c r="DK30" s="157">
        <f t="shared" si="177"/>
        <v>0</v>
      </c>
      <c r="DL30" s="134"/>
      <c r="DM30" s="14">
        <f t="shared" si="28"/>
        <v>23</v>
      </c>
      <c r="DN30" s="48">
        <f t="shared" si="259"/>
        <v>0</v>
      </c>
      <c r="DO30" s="68">
        <f t="shared" si="178"/>
        <v>0</v>
      </c>
      <c r="DP30" s="51">
        <f t="shared" si="29"/>
        <v>185</v>
      </c>
      <c r="DQ30" s="112">
        <f t="shared" si="345"/>
        <v>0</v>
      </c>
      <c r="DR30" s="46">
        <f t="shared" si="275"/>
        <v>185</v>
      </c>
      <c r="DS30" s="51">
        <f t="shared" si="30"/>
        <v>77</v>
      </c>
      <c r="DT30" s="112">
        <f t="shared" si="346"/>
        <v>0</v>
      </c>
      <c r="DU30" s="46">
        <f t="shared" si="164"/>
        <v>77</v>
      </c>
      <c r="DW30" s="120">
        <f t="shared" si="347"/>
        <v>18</v>
      </c>
      <c r="DX30" s="7">
        <f t="shared" si="348"/>
        <v>3</v>
      </c>
      <c r="DY30" s="133"/>
      <c r="DZ30" s="14">
        <f t="shared" si="179"/>
        <v>0</v>
      </c>
      <c r="EA30" s="59">
        <f t="shared" si="276"/>
        <v>0</v>
      </c>
      <c r="EB30" s="405"/>
      <c r="EC30" s="406"/>
      <c r="ED30" s="406"/>
      <c r="EE30" s="14">
        <f t="shared" si="211"/>
        <v>0</v>
      </c>
      <c r="EF30" s="14">
        <f t="shared" si="180"/>
        <v>0</v>
      </c>
      <c r="EG30" s="14">
        <f t="shared" si="31"/>
        <v>0.5</v>
      </c>
      <c r="EH30" s="47">
        <f t="shared" si="212"/>
        <v>0</v>
      </c>
      <c r="EI30" s="35">
        <f t="shared" si="32"/>
        <v>1.9</v>
      </c>
      <c r="EJ30" s="157">
        <f t="shared" si="182"/>
        <v>0</v>
      </c>
      <c r="EK30" s="134"/>
      <c r="EL30" s="14">
        <f t="shared" si="33"/>
        <v>23</v>
      </c>
      <c r="EM30" s="48">
        <f t="shared" si="260"/>
        <v>0</v>
      </c>
      <c r="EN30" s="68">
        <f t="shared" si="183"/>
        <v>0</v>
      </c>
      <c r="EO30" s="51">
        <f t="shared" si="34"/>
        <v>185</v>
      </c>
      <c r="EP30" s="112">
        <f t="shared" si="349"/>
        <v>0</v>
      </c>
      <c r="EQ30" s="46">
        <f t="shared" si="277"/>
        <v>185</v>
      </c>
      <c r="ER30" s="51">
        <f t="shared" si="35"/>
        <v>77</v>
      </c>
      <c r="ES30" s="112">
        <f t="shared" si="350"/>
        <v>0</v>
      </c>
      <c r="ET30" s="46">
        <f t="shared" si="165"/>
        <v>77</v>
      </c>
      <c r="EV30" s="120">
        <f t="shared" si="351"/>
        <v>18</v>
      </c>
      <c r="EW30" s="7">
        <f t="shared" si="352"/>
        <v>3</v>
      </c>
      <c r="EX30" s="133"/>
      <c r="EY30" s="14">
        <f t="shared" si="184"/>
        <v>0</v>
      </c>
      <c r="EZ30" s="59">
        <f t="shared" si="278"/>
        <v>0</v>
      </c>
      <c r="FA30" s="405"/>
      <c r="FB30" s="406"/>
      <c r="FC30" s="406"/>
      <c r="FD30" s="14">
        <f t="shared" si="214"/>
        <v>0</v>
      </c>
      <c r="FE30" s="14">
        <f t="shared" si="185"/>
        <v>0</v>
      </c>
      <c r="FF30" s="14">
        <f t="shared" si="36"/>
        <v>0.5</v>
      </c>
      <c r="FG30" s="47">
        <f t="shared" si="215"/>
        <v>0</v>
      </c>
      <c r="FH30" s="35">
        <f t="shared" si="37"/>
        <v>1.9</v>
      </c>
      <c r="FI30" s="157">
        <f t="shared" si="187"/>
        <v>0</v>
      </c>
      <c r="FJ30" s="134"/>
      <c r="FK30" s="14">
        <f t="shared" si="38"/>
        <v>23</v>
      </c>
      <c r="FL30" s="48">
        <f t="shared" si="261"/>
        <v>0</v>
      </c>
      <c r="FM30" s="68">
        <f t="shared" si="188"/>
        <v>0</v>
      </c>
      <c r="FN30" s="51">
        <f t="shared" si="39"/>
        <v>185</v>
      </c>
      <c r="FO30" s="112">
        <f t="shared" si="353"/>
        <v>0</v>
      </c>
      <c r="FP30" s="46">
        <f t="shared" si="279"/>
        <v>185</v>
      </c>
      <c r="FQ30" s="51">
        <f t="shared" si="40"/>
        <v>77</v>
      </c>
      <c r="FR30" s="112">
        <f t="shared" si="354"/>
        <v>0</v>
      </c>
      <c r="FS30" s="46">
        <f t="shared" si="166"/>
        <v>77</v>
      </c>
      <c r="FU30" s="120">
        <f t="shared" si="355"/>
        <v>18</v>
      </c>
      <c r="FV30" s="7">
        <f t="shared" si="356"/>
        <v>3</v>
      </c>
      <c r="FW30" s="133"/>
      <c r="FX30" s="14">
        <f t="shared" si="189"/>
        <v>0</v>
      </c>
      <c r="FY30" s="59">
        <f t="shared" si="280"/>
        <v>0</v>
      </c>
      <c r="FZ30" s="405"/>
      <c r="GA30" s="406"/>
      <c r="GB30" s="406"/>
      <c r="GC30" s="14">
        <f t="shared" si="217"/>
        <v>0</v>
      </c>
      <c r="GD30" s="14">
        <f t="shared" si="190"/>
        <v>0</v>
      </c>
      <c r="GE30" s="14">
        <f t="shared" si="41"/>
        <v>0.5</v>
      </c>
      <c r="GF30" s="47">
        <f t="shared" si="218"/>
        <v>0</v>
      </c>
      <c r="GG30" s="35">
        <f t="shared" si="42"/>
        <v>1.9</v>
      </c>
      <c r="GH30" s="157">
        <f t="shared" si="192"/>
        <v>0</v>
      </c>
      <c r="GI30" s="134"/>
      <c r="GJ30" s="14">
        <f t="shared" si="43"/>
        <v>23</v>
      </c>
      <c r="GK30" s="48">
        <f t="shared" si="262"/>
        <v>0</v>
      </c>
      <c r="GL30" s="68">
        <f t="shared" si="193"/>
        <v>0</v>
      </c>
      <c r="GM30" s="51">
        <f t="shared" si="44"/>
        <v>185</v>
      </c>
      <c r="GN30" s="112">
        <f t="shared" si="357"/>
        <v>0</v>
      </c>
      <c r="GO30" s="46">
        <f t="shared" si="281"/>
        <v>185</v>
      </c>
      <c r="GP30" s="51">
        <f t="shared" si="45"/>
        <v>77</v>
      </c>
      <c r="GQ30" s="112">
        <f t="shared" si="358"/>
        <v>0</v>
      </c>
      <c r="GR30" s="46">
        <f t="shared" si="167"/>
        <v>77</v>
      </c>
      <c r="GT30" s="120">
        <f t="shared" si="359"/>
        <v>18</v>
      </c>
      <c r="GU30" s="7">
        <f t="shared" si="360"/>
        <v>3</v>
      </c>
      <c r="GV30" s="133"/>
      <c r="GW30" s="14">
        <f t="shared" si="194"/>
        <v>0</v>
      </c>
      <c r="GX30" s="59">
        <f t="shared" si="282"/>
        <v>0</v>
      </c>
      <c r="GY30" s="405"/>
      <c r="GZ30" s="406"/>
      <c r="HA30" s="406"/>
      <c r="HB30" s="14">
        <f t="shared" si="220"/>
        <v>0</v>
      </c>
      <c r="HC30" s="14">
        <f t="shared" si="195"/>
        <v>0</v>
      </c>
      <c r="HD30" s="14">
        <f t="shared" si="46"/>
        <v>0.5</v>
      </c>
      <c r="HE30" s="47">
        <f t="shared" si="221"/>
        <v>0</v>
      </c>
      <c r="HF30" s="35">
        <f t="shared" si="47"/>
        <v>1.9</v>
      </c>
      <c r="HG30" s="157">
        <f t="shared" si="197"/>
        <v>0</v>
      </c>
      <c r="HH30" s="134"/>
      <c r="HI30" s="14">
        <f t="shared" si="48"/>
        <v>23</v>
      </c>
      <c r="HJ30" s="48">
        <f t="shared" si="263"/>
        <v>0</v>
      </c>
      <c r="HK30" s="68">
        <f t="shared" si="198"/>
        <v>0</v>
      </c>
      <c r="HL30" s="51">
        <f t="shared" si="49"/>
        <v>185</v>
      </c>
      <c r="HM30" s="112">
        <f t="shared" si="361"/>
        <v>0</v>
      </c>
      <c r="HN30" s="46">
        <f t="shared" si="283"/>
        <v>185</v>
      </c>
      <c r="HO30" s="51">
        <f t="shared" si="50"/>
        <v>77</v>
      </c>
      <c r="HP30" s="112">
        <f t="shared" si="362"/>
        <v>0</v>
      </c>
      <c r="HQ30" s="46">
        <f t="shared" si="168"/>
        <v>77</v>
      </c>
    </row>
    <row r="31" spans="1:225" ht="17.25" thickBot="1" x14ac:dyDescent="0.3">
      <c r="B31" s="120">
        <f t="shared" si="327"/>
        <v>20</v>
      </c>
      <c r="C31" s="570">
        <f t="shared" si="328"/>
        <v>3</v>
      </c>
      <c r="D31" s="496">
        <v>6489</v>
      </c>
      <c r="E31" s="408">
        <f>IFERROR(F30-D31,0)</f>
        <v>59695</v>
      </c>
      <c r="F31" s="562">
        <f t="shared" si="0"/>
        <v>59647</v>
      </c>
      <c r="G31" s="134"/>
      <c r="H31" s="135">
        <v>48</v>
      </c>
      <c r="I31" s="135"/>
      <c r="J31" s="14">
        <f t="shared" si="200"/>
        <v>48</v>
      </c>
      <c r="K31" s="14">
        <f t="shared" si="52"/>
        <v>3826</v>
      </c>
      <c r="L31" s="14">
        <f t="shared" si="1"/>
        <v>0.5</v>
      </c>
      <c r="M31" s="47">
        <f t="shared" si="85"/>
        <v>8.0408744450959038E-2</v>
      </c>
      <c r="N31" s="35">
        <f t="shared" si="2"/>
        <v>1.9</v>
      </c>
      <c r="O31" s="132">
        <f t="shared" si="53"/>
        <v>2.8367427135156777</v>
      </c>
      <c r="P31" s="142">
        <v>1800</v>
      </c>
      <c r="Q31" s="14">
        <f t="shared" si="3"/>
        <v>23</v>
      </c>
      <c r="R31" s="442">
        <f t="shared" si="4"/>
        <v>30.153279169109641</v>
      </c>
      <c r="S31" s="470">
        <f t="shared" si="201"/>
        <v>430.93387155521555</v>
      </c>
      <c r="T31" s="51">
        <f t="shared" si="5"/>
        <v>185</v>
      </c>
      <c r="U31" s="112">
        <f t="shared" si="329"/>
        <v>170</v>
      </c>
      <c r="V31" s="46">
        <f t="shared" si="55"/>
        <v>15</v>
      </c>
      <c r="W31" s="50">
        <f t="shared" si="6"/>
        <v>77</v>
      </c>
      <c r="X31" s="112">
        <f t="shared" si="330"/>
        <v>54</v>
      </c>
      <c r="Y31" s="46">
        <f t="shared" si="56"/>
        <v>23</v>
      </c>
      <c r="Z31" s="487"/>
      <c r="AA31" s="120">
        <f t="shared" si="331"/>
        <v>20</v>
      </c>
      <c r="AB31" s="7">
        <f t="shared" si="332"/>
        <v>3</v>
      </c>
      <c r="AC31" s="496"/>
      <c r="AD31" s="48">
        <f>IFERROR(AE30-AC31,0)</f>
        <v>149109</v>
      </c>
      <c r="AE31" s="196">
        <f t="shared" si="324"/>
        <v>148915</v>
      </c>
      <c r="AF31" s="134"/>
      <c r="AG31" s="135">
        <v>194</v>
      </c>
      <c r="AH31" s="135"/>
      <c r="AI31" s="14">
        <f t="shared" si="203"/>
        <v>194</v>
      </c>
      <c r="AJ31" s="14">
        <f t="shared" si="321"/>
        <v>4261</v>
      </c>
      <c r="AK31" s="14">
        <f t="shared" si="8"/>
        <v>0.5</v>
      </c>
      <c r="AL31" s="47">
        <f t="shared" si="58"/>
        <v>0.13010616394717958</v>
      </c>
      <c r="AM31" s="35">
        <f t="shared" si="9"/>
        <v>1.9</v>
      </c>
      <c r="AN31" s="157">
        <f t="shared" si="169"/>
        <v>2.7817673787016242</v>
      </c>
      <c r="AO31" s="134">
        <v>2600</v>
      </c>
      <c r="AP31" s="14">
        <f t="shared" si="10"/>
        <v>23</v>
      </c>
      <c r="AQ31" s="442">
        <f t="shared" si="59"/>
        <v>17.436908570240561</v>
      </c>
      <c r="AR31" s="470">
        <f t="shared" si="323"/>
        <v>413.93345297597813</v>
      </c>
      <c r="AS31" s="51">
        <f t="shared" si="11"/>
        <v>185</v>
      </c>
      <c r="AT31" s="112">
        <f t="shared" si="333"/>
        <v>179</v>
      </c>
      <c r="AU31" s="46">
        <f t="shared" si="271"/>
        <v>6</v>
      </c>
      <c r="AV31" s="50">
        <f t="shared" si="12"/>
        <v>77</v>
      </c>
      <c r="AW31" s="112">
        <f t="shared" si="334"/>
        <v>67</v>
      </c>
      <c r="AX31" s="46">
        <f t="shared" si="170"/>
        <v>10</v>
      </c>
      <c r="AY31" s="769"/>
      <c r="AZ31" s="767">
        <f t="shared" si="335"/>
        <v>20</v>
      </c>
      <c r="BA31" s="768">
        <f t="shared" si="336"/>
        <v>3</v>
      </c>
      <c r="BB31" s="757">
        <v>6489</v>
      </c>
      <c r="BC31" s="48">
        <f>IFERROR(BD30+BB31,0)</f>
        <v>71388</v>
      </c>
      <c r="BD31" s="196">
        <f t="shared" si="325"/>
        <v>71380</v>
      </c>
      <c r="BE31" s="134"/>
      <c r="BF31" s="135">
        <v>8</v>
      </c>
      <c r="BG31" s="135"/>
      <c r="BH31" s="14">
        <f t="shared" si="204"/>
        <v>8</v>
      </c>
      <c r="BI31" s="14">
        <f t="shared" si="294"/>
        <v>20</v>
      </c>
      <c r="BJ31" s="14">
        <f t="shared" si="14"/>
        <v>0.5</v>
      </c>
      <c r="BK31" s="47">
        <f t="shared" si="92"/>
        <v>1.1206365215442372E-2</v>
      </c>
      <c r="BL31" s="35">
        <f t="shared" si="15"/>
        <v>1.9</v>
      </c>
      <c r="BM31" s="132">
        <f t="shared" si="326"/>
        <v>2.8011204481792718E-2</v>
      </c>
      <c r="BN31" s="134">
        <v>2600</v>
      </c>
      <c r="BO31" s="14">
        <f t="shared" si="17"/>
        <v>23</v>
      </c>
      <c r="BP31" s="442">
        <f t="shared" si="93"/>
        <v>36.420686950187708</v>
      </c>
      <c r="BQ31" s="747">
        <f t="shared" si="137"/>
        <v>355.25978161649016</v>
      </c>
      <c r="BR31" s="51">
        <f t="shared" si="18"/>
        <v>185</v>
      </c>
      <c r="BS31" s="112">
        <f t="shared" si="337"/>
        <v>185</v>
      </c>
      <c r="BT31" s="46">
        <f t="shared" si="272"/>
        <v>0</v>
      </c>
      <c r="BU31" s="50">
        <f t="shared" si="20"/>
        <v>77</v>
      </c>
      <c r="BV31" s="112">
        <f t="shared" si="338"/>
        <v>62</v>
      </c>
      <c r="BW31" s="46">
        <f t="shared" si="171"/>
        <v>15</v>
      </c>
      <c r="BY31" s="120">
        <f t="shared" si="339"/>
        <v>19</v>
      </c>
      <c r="BZ31" s="7">
        <f t="shared" si="340"/>
        <v>3</v>
      </c>
      <c r="CA31" s="133"/>
      <c r="CB31" s="14">
        <f t="shared" si="172"/>
        <v>0</v>
      </c>
      <c r="CC31" s="59">
        <f t="shared" si="205"/>
        <v>0</v>
      </c>
      <c r="CD31" s="405"/>
      <c r="CE31" s="406"/>
      <c r="CF31" s="406"/>
      <c r="CG31" s="14">
        <f t="shared" si="206"/>
        <v>0</v>
      </c>
      <c r="CH31" s="14">
        <f t="shared" si="173"/>
        <v>0</v>
      </c>
      <c r="CI31" s="14">
        <f t="shared" si="21"/>
        <v>0.5</v>
      </c>
      <c r="CJ31" s="47">
        <f t="shared" si="97"/>
        <v>0</v>
      </c>
      <c r="CK31" s="35">
        <f t="shared" si="22"/>
        <v>1.9</v>
      </c>
      <c r="CL31" s="157">
        <f t="shared" si="140"/>
        <v>0</v>
      </c>
      <c r="CM31" s="134"/>
      <c r="CN31" s="14">
        <f t="shared" si="23"/>
        <v>23</v>
      </c>
      <c r="CO31" s="48">
        <f t="shared" si="141"/>
        <v>0</v>
      </c>
      <c r="CP31" s="68">
        <f t="shared" si="98"/>
        <v>0</v>
      </c>
      <c r="CQ31" s="51">
        <f t="shared" si="24"/>
        <v>185</v>
      </c>
      <c r="CR31" s="112">
        <f t="shared" si="341"/>
        <v>0</v>
      </c>
      <c r="CS31" s="46">
        <f t="shared" si="273"/>
        <v>185</v>
      </c>
      <c r="CT31" s="51">
        <f t="shared" si="25"/>
        <v>77</v>
      </c>
      <c r="CU31" s="112">
        <f t="shared" si="342"/>
        <v>0</v>
      </c>
      <c r="CV31" s="46">
        <f t="shared" si="67"/>
        <v>77</v>
      </c>
      <c r="CX31" s="120">
        <f t="shared" si="343"/>
        <v>19</v>
      </c>
      <c r="CY31" s="7">
        <f t="shared" si="344"/>
        <v>3</v>
      </c>
      <c r="CZ31" s="133"/>
      <c r="DA31" s="14">
        <f t="shared" si="174"/>
        <v>0</v>
      </c>
      <c r="DB31" s="59">
        <f t="shared" si="274"/>
        <v>0</v>
      </c>
      <c r="DC31" s="405"/>
      <c r="DD31" s="406"/>
      <c r="DE31" s="406"/>
      <c r="DF31" s="14">
        <f t="shared" si="208"/>
        <v>0</v>
      </c>
      <c r="DG31" s="14">
        <f t="shared" si="175"/>
        <v>0</v>
      </c>
      <c r="DH31" s="14">
        <f t="shared" si="26"/>
        <v>0.5</v>
      </c>
      <c r="DI31" s="47">
        <f t="shared" si="209"/>
        <v>0</v>
      </c>
      <c r="DJ31" s="35">
        <f t="shared" si="27"/>
        <v>1.9</v>
      </c>
      <c r="DK31" s="157">
        <f t="shared" si="177"/>
        <v>0</v>
      </c>
      <c r="DL31" s="134"/>
      <c r="DM31" s="14">
        <f t="shared" si="28"/>
        <v>23</v>
      </c>
      <c r="DN31" s="48">
        <f t="shared" si="259"/>
        <v>0</v>
      </c>
      <c r="DO31" s="68">
        <f t="shared" si="178"/>
        <v>0</v>
      </c>
      <c r="DP31" s="51">
        <f t="shared" si="29"/>
        <v>185</v>
      </c>
      <c r="DQ31" s="112">
        <f t="shared" si="345"/>
        <v>0</v>
      </c>
      <c r="DR31" s="46">
        <f t="shared" si="275"/>
        <v>185</v>
      </c>
      <c r="DS31" s="51">
        <f t="shared" si="30"/>
        <v>77</v>
      </c>
      <c r="DT31" s="112">
        <f t="shared" si="346"/>
        <v>0</v>
      </c>
      <c r="DU31" s="46">
        <f t="shared" si="164"/>
        <v>77</v>
      </c>
      <c r="DW31" s="120">
        <f t="shared" si="347"/>
        <v>19</v>
      </c>
      <c r="DX31" s="7">
        <f t="shared" si="348"/>
        <v>3</v>
      </c>
      <c r="DY31" s="133"/>
      <c r="DZ31" s="14">
        <f t="shared" si="179"/>
        <v>0</v>
      </c>
      <c r="EA31" s="59">
        <f t="shared" si="276"/>
        <v>0</v>
      </c>
      <c r="EB31" s="405"/>
      <c r="EC31" s="406"/>
      <c r="ED31" s="406"/>
      <c r="EE31" s="14">
        <f t="shared" si="211"/>
        <v>0</v>
      </c>
      <c r="EF31" s="14">
        <f t="shared" si="180"/>
        <v>0</v>
      </c>
      <c r="EG31" s="14">
        <f t="shared" si="31"/>
        <v>0.5</v>
      </c>
      <c r="EH31" s="47">
        <f t="shared" si="212"/>
        <v>0</v>
      </c>
      <c r="EI31" s="35">
        <f t="shared" si="32"/>
        <v>1.9</v>
      </c>
      <c r="EJ31" s="157">
        <f t="shared" si="182"/>
        <v>0</v>
      </c>
      <c r="EK31" s="134"/>
      <c r="EL31" s="14">
        <f t="shared" si="33"/>
        <v>23</v>
      </c>
      <c r="EM31" s="48">
        <f t="shared" si="260"/>
        <v>0</v>
      </c>
      <c r="EN31" s="68">
        <f t="shared" si="183"/>
        <v>0</v>
      </c>
      <c r="EO31" s="51">
        <f t="shared" si="34"/>
        <v>185</v>
      </c>
      <c r="EP31" s="112">
        <f t="shared" si="349"/>
        <v>0</v>
      </c>
      <c r="EQ31" s="46">
        <f t="shared" si="277"/>
        <v>185</v>
      </c>
      <c r="ER31" s="51">
        <f t="shared" si="35"/>
        <v>77</v>
      </c>
      <c r="ES31" s="112">
        <f t="shared" si="350"/>
        <v>0</v>
      </c>
      <c r="ET31" s="46">
        <f t="shared" si="165"/>
        <v>77</v>
      </c>
      <c r="EV31" s="120">
        <f t="shared" si="351"/>
        <v>19</v>
      </c>
      <c r="EW31" s="7">
        <f t="shared" si="352"/>
        <v>3</v>
      </c>
      <c r="EX31" s="133"/>
      <c r="EY31" s="14">
        <f t="shared" si="184"/>
        <v>0</v>
      </c>
      <c r="EZ31" s="59">
        <f t="shared" si="278"/>
        <v>0</v>
      </c>
      <c r="FA31" s="405"/>
      <c r="FB31" s="406"/>
      <c r="FC31" s="406"/>
      <c r="FD31" s="14">
        <f t="shared" si="214"/>
        <v>0</v>
      </c>
      <c r="FE31" s="14">
        <f t="shared" si="185"/>
        <v>0</v>
      </c>
      <c r="FF31" s="14">
        <f t="shared" si="36"/>
        <v>0.5</v>
      </c>
      <c r="FG31" s="47">
        <f t="shared" si="215"/>
        <v>0</v>
      </c>
      <c r="FH31" s="35">
        <f t="shared" si="37"/>
        <v>1.9</v>
      </c>
      <c r="FI31" s="157">
        <f t="shared" si="187"/>
        <v>0</v>
      </c>
      <c r="FJ31" s="134"/>
      <c r="FK31" s="14">
        <f t="shared" si="38"/>
        <v>23</v>
      </c>
      <c r="FL31" s="48">
        <f t="shared" si="261"/>
        <v>0</v>
      </c>
      <c r="FM31" s="68">
        <f t="shared" si="188"/>
        <v>0</v>
      </c>
      <c r="FN31" s="51">
        <f t="shared" si="39"/>
        <v>185</v>
      </c>
      <c r="FO31" s="112">
        <f t="shared" si="353"/>
        <v>0</v>
      </c>
      <c r="FP31" s="46">
        <f t="shared" si="279"/>
        <v>185</v>
      </c>
      <c r="FQ31" s="51">
        <f t="shared" si="40"/>
        <v>77</v>
      </c>
      <c r="FR31" s="112">
        <f t="shared" si="354"/>
        <v>0</v>
      </c>
      <c r="FS31" s="46">
        <f t="shared" si="166"/>
        <v>77</v>
      </c>
      <c r="FU31" s="120">
        <f t="shared" si="355"/>
        <v>19</v>
      </c>
      <c r="FV31" s="7">
        <f t="shared" si="356"/>
        <v>3</v>
      </c>
      <c r="FW31" s="133"/>
      <c r="FX31" s="14">
        <f t="shared" si="189"/>
        <v>0</v>
      </c>
      <c r="FY31" s="59">
        <f t="shared" si="280"/>
        <v>0</v>
      </c>
      <c r="FZ31" s="405"/>
      <c r="GA31" s="406"/>
      <c r="GB31" s="406"/>
      <c r="GC31" s="14">
        <f t="shared" si="217"/>
        <v>0</v>
      </c>
      <c r="GD31" s="14">
        <f t="shared" si="190"/>
        <v>0</v>
      </c>
      <c r="GE31" s="14">
        <f t="shared" si="41"/>
        <v>0.5</v>
      </c>
      <c r="GF31" s="47">
        <f t="shared" si="218"/>
        <v>0</v>
      </c>
      <c r="GG31" s="35">
        <f t="shared" si="42"/>
        <v>1.9</v>
      </c>
      <c r="GH31" s="157">
        <f t="shared" si="192"/>
        <v>0</v>
      </c>
      <c r="GI31" s="134"/>
      <c r="GJ31" s="14">
        <f t="shared" si="43"/>
        <v>23</v>
      </c>
      <c r="GK31" s="48">
        <f t="shared" si="262"/>
        <v>0</v>
      </c>
      <c r="GL31" s="68">
        <f t="shared" si="193"/>
        <v>0</v>
      </c>
      <c r="GM31" s="51">
        <f t="shared" si="44"/>
        <v>185</v>
      </c>
      <c r="GN31" s="112">
        <f t="shared" si="357"/>
        <v>0</v>
      </c>
      <c r="GO31" s="46">
        <f t="shared" si="281"/>
        <v>185</v>
      </c>
      <c r="GP31" s="51">
        <f t="shared" si="45"/>
        <v>77</v>
      </c>
      <c r="GQ31" s="112">
        <f t="shared" si="358"/>
        <v>0</v>
      </c>
      <c r="GR31" s="46">
        <f t="shared" si="167"/>
        <v>77</v>
      </c>
      <c r="GT31" s="120">
        <f t="shared" si="359"/>
        <v>19</v>
      </c>
      <c r="GU31" s="7">
        <f t="shared" si="360"/>
        <v>3</v>
      </c>
      <c r="GV31" s="133"/>
      <c r="GW31" s="14">
        <f t="shared" si="194"/>
        <v>0</v>
      </c>
      <c r="GX31" s="59">
        <f t="shared" si="282"/>
        <v>0</v>
      </c>
      <c r="GY31" s="405"/>
      <c r="GZ31" s="406"/>
      <c r="HA31" s="406"/>
      <c r="HB31" s="14">
        <f t="shared" si="220"/>
        <v>0</v>
      </c>
      <c r="HC31" s="14">
        <f t="shared" si="195"/>
        <v>0</v>
      </c>
      <c r="HD31" s="14">
        <f t="shared" si="46"/>
        <v>0.5</v>
      </c>
      <c r="HE31" s="47">
        <f t="shared" si="221"/>
        <v>0</v>
      </c>
      <c r="HF31" s="35">
        <f t="shared" si="47"/>
        <v>1.9</v>
      </c>
      <c r="HG31" s="157">
        <f t="shared" si="197"/>
        <v>0</v>
      </c>
      <c r="HH31" s="134"/>
      <c r="HI31" s="14">
        <f t="shared" si="48"/>
        <v>23</v>
      </c>
      <c r="HJ31" s="48">
        <f t="shared" si="263"/>
        <v>0</v>
      </c>
      <c r="HK31" s="68">
        <f t="shared" si="198"/>
        <v>0</v>
      </c>
      <c r="HL31" s="51">
        <f t="shared" si="49"/>
        <v>185</v>
      </c>
      <c r="HM31" s="112">
        <f t="shared" si="361"/>
        <v>0</v>
      </c>
      <c r="HN31" s="46">
        <f t="shared" si="283"/>
        <v>185</v>
      </c>
      <c r="HO31" s="51">
        <f t="shared" si="50"/>
        <v>77</v>
      </c>
      <c r="HP31" s="112">
        <f t="shared" si="362"/>
        <v>0</v>
      </c>
      <c r="HQ31" s="46">
        <f t="shared" si="168"/>
        <v>77</v>
      </c>
    </row>
    <row r="32" spans="1:225" ht="17.25" thickBot="1" x14ac:dyDescent="0.3">
      <c r="A32" s="758" t="s">
        <v>172</v>
      </c>
      <c r="B32" s="120">
        <f t="shared" si="327"/>
        <v>21</v>
      </c>
      <c r="C32" s="571">
        <f t="shared" si="328"/>
        <v>3</v>
      </c>
      <c r="D32" s="757">
        <v>15050</v>
      </c>
      <c r="E32" s="408">
        <f>IFERROR(F31+D32,0)</f>
        <v>74697</v>
      </c>
      <c r="F32" s="562">
        <f t="shared" si="0"/>
        <v>74669</v>
      </c>
      <c r="G32" s="405"/>
      <c r="H32" s="406">
        <v>28</v>
      </c>
      <c r="I32" s="406"/>
      <c r="J32" s="380">
        <f t="shared" si="200"/>
        <v>28</v>
      </c>
      <c r="K32" s="380">
        <f t="shared" si="52"/>
        <v>3854</v>
      </c>
      <c r="L32" s="380">
        <f t="shared" si="1"/>
        <v>0.5</v>
      </c>
      <c r="M32" s="410">
        <f t="shared" si="85"/>
        <v>3.74847718114516E-2</v>
      </c>
      <c r="N32" s="407">
        <f t="shared" si="2"/>
        <v>1.9</v>
      </c>
      <c r="O32" s="132">
        <f t="shared" si="53"/>
        <v>2.8575029842889235</v>
      </c>
      <c r="P32" s="411">
        <v>2000</v>
      </c>
      <c r="Q32" s="380">
        <f t="shared" si="3"/>
        <v>23</v>
      </c>
      <c r="R32" s="536">
        <f t="shared" si="4"/>
        <v>26.774837008179713</v>
      </c>
      <c r="S32" s="474">
        <f t="shared" si="201"/>
        <v>457.70870856339525</v>
      </c>
      <c r="T32" s="182">
        <f t="shared" si="5"/>
        <v>185</v>
      </c>
      <c r="U32" s="431">
        <f t="shared" si="329"/>
        <v>170</v>
      </c>
      <c r="V32" s="206">
        <f t="shared" si="55"/>
        <v>15</v>
      </c>
      <c r="W32" s="385">
        <f t="shared" si="6"/>
        <v>77</v>
      </c>
      <c r="X32" s="431">
        <f t="shared" si="330"/>
        <v>54</v>
      </c>
      <c r="Y32" s="206">
        <f t="shared" si="56"/>
        <v>23</v>
      </c>
      <c r="Z32" s="744" t="s">
        <v>171</v>
      </c>
      <c r="AA32" s="324">
        <v>21</v>
      </c>
      <c r="AB32" s="477">
        <f t="shared" si="332"/>
        <v>3</v>
      </c>
      <c r="AC32" s="484">
        <v>15050</v>
      </c>
      <c r="AD32" s="408">
        <f>IFERROR(AE31-AC32,0)</f>
        <v>133865</v>
      </c>
      <c r="AE32" s="450">
        <f t="shared" si="324"/>
        <v>133735</v>
      </c>
      <c r="AF32" s="405"/>
      <c r="AG32" s="406">
        <v>130</v>
      </c>
      <c r="AH32" s="406"/>
      <c r="AI32" s="380">
        <f t="shared" si="203"/>
        <v>130</v>
      </c>
      <c r="AJ32" s="380">
        <f t="shared" si="321"/>
        <v>4391</v>
      </c>
      <c r="AK32" s="380">
        <f t="shared" si="8"/>
        <v>0.5</v>
      </c>
      <c r="AL32" s="410">
        <f t="shared" si="58"/>
        <v>9.7112762858103316E-2</v>
      </c>
      <c r="AM32" s="407">
        <f t="shared" si="9"/>
        <v>1.9</v>
      </c>
      <c r="AN32" s="157">
        <f t="shared" si="169"/>
        <v>2.8666370710816316</v>
      </c>
      <c r="AO32" s="405">
        <v>3600</v>
      </c>
      <c r="AP32" s="380">
        <f t="shared" si="10"/>
        <v>23</v>
      </c>
      <c r="AQ32" s="518">
        <f t="shared" si="59"/>
        <v>26.892765099167072</v>
      </c>
      <c r="AR32" s="474">
        <f t="shared" si="323"/>
        <v>440.82621807514522</v>
      </c>
      <c r="AS32" s="182">
        <f t="shared" si="11"/>
        <v>185</v>
      </c>
      <c r="AT32" s="431">
        <f t="shared" si="333"/>
        <v>179</v>
      </c>
      <c r="AU32" s="206">
        <f t="shared" si="271"/>
        <v>6</v>
      </c>
      <c r="AV32" s="385">
        <f t="shared" si="12"/>
        <v>77</v>
      </c>
      <c r="AW32" s="431">
        <f t="shared" si="334"/>
        <v>67</v>
      </c>
      <c r="AX32" s="206">
        <f t="shared" si="170"/>
        <v>10</v>
      </c>
      <c r="AZ32" s="403">
        <f>AZ31+1</f>
        <v>21</v>
      </c>
      <c r="BA32" s="404">
        <f t="shared" si="336"/>
        <v>3</v>
      </c>
      <c r="BB32" s="496"/>
      <c r="BC32" s="408">
        <f t="shared" si="62"/>
        <v>71380</v>
      </c>
      <c r="BD32" s="450">
        <f t="shared" si="325"/>
        <v>71365</v>
      </c>
      <c r="BE32" s="405"/>
      <c r="BF32" s="406">
        <v>15</v>
      </c>
      <c r="BG32" s="406"/>
      <c r="BH32" s="380">
        <f t="shared" si="204"/>
        <v>15</v>
      </c>
      <c r="BI32" s="380">
        <f t="shared" si="294"/>
        <v>35</v>
      </c>
      <c r="BJ32" s="380">
        <f t="shared" si="14"/>
        <v>0.5</v>
      </c>
      <c r="BK32" s="410">
        <f t="shared" si="92"/>
        <v>2.1014289717007566E-2</v>
      </c>
      <c r="BL32" s="407">
        <f t="shared" si="15"/>
        <v>1.9</v>
      </c>
      <c r="BM32" s="132">
        <f t="shared" si="326"/>
        <v>4.9019607843137254E-2</v>
      </c>
      <c r="BN32" s="405">
        <v>1600</v>
      </c>
      <c r="BO32" s="380">
        <f t="shared" si="17"/>
        <v>23</v>
      </c>
      <c r="BP32" s="536">
        <f t="shared" si="93"/>
        <v>22.415242364808073</v>
      </c>
      <c r="BQ32" s="753">
        <f t="shared" si="137"/>
        <v>377.67502398129824</v>
      </c>
      <c r="BR32" s="182">
        <f t="shared" si="18"/>
        <v>185</v>
      </c>
      <c r="BS32" s="431">
        <f t="shared" si="337"/>
        <v>185</v>
      </c>
      <c r="BT32" s="206">
        <f t="shared" si="272"/>
        <v>0</v>
      </c>
      <c r="BU32" s="385">
        <f t="shared" si="20"/>
        <v>77</v>
      </c>
      <c r="BV32" s="431">
        <f t="shared" si="338"/>
        <v>62</v>
      </c>
      <c r="BW32" s="206">
        <f t="shared" si="171"/>
        <v>15</v>
      </c>
      <c r="BX32" s="608"/>
      <c r="BY32" s="403">
        <v>1</v>
      </c>
      <c r="BZ32" s="404">
        <f t="shared" si="340"/>
        <v>3</v>
      </c>
      <c r="CA32" s="229"/>
      <c r="CB32" s="380">
        <f t="shared" si="172"/>
        <v>0</v>
      </c>
      <c r="CC32" s="267">
        <f t="shared" si="205"/>
        <v>0</v>
      </c>
      <c r="CD32" s="405"/>
      <c r="CE32" s="406"/>
      <c r="CF32" s="406"/>
      <c r="CG32" s="380">
        <f t="shared" si="206"/>
        <v>0</v>
      </c>
      <c r="CH32" s="380">
        <f t="shared" si="173"/>
        <v>0</v>
      </c>
      <c r="CI32" s="380">
        <f t="shared" si="21"/>
        <v>0.5</v>
      </c>
      <c r="CJ32" s="410">
        <f t="shared" si="97"/>
        <v>0</v>
      </c>
      <c r="CK32" s="407">
        <f t="shared" si="22"/>
        <v>1.9</v>
      </c>
      <c r="CL32" s="424">
        <f t="shared" si="140"/>
        <v>0</v>
      </c>
      <c r="CM32" s="405"/>
      <c r="CN32" s="380">
        <f t="shared" si="23"/>
        <v>23</v>
      </c>
      <c r="CO32" s="408">
        <f t="shared" si="141"/>
        <v>0</v>
      </c>
      <c r="CP32" s="409">
        <f t="shared" si="98"/>
        <v>0</v>
      </c>
      <c r="CQ32" s="182">
        <f t="shared" si="24"/>
        <v>185</v>
      </c>
      <c r="CR32" s="431">
        <f t="shared" si="341"/>
        <v>0</v>
      </c>
      <c r="CS32" s="206">
        <f t="shared" si="273"/>
        <v>185</v>
      </c>
      <c r="CT32" s="182">
        <f t="shared" si="25"/>
        <v>77</v>
      </c>
      <c r="CU32" s="431">
        <f t="shared" si="342"/>
        <v>0</v>
      </c>
      <c r="CV32" s="206">
        <f t="shared" si="67"/>
        <v>77</v>
      </c>
      <c r="CX32" s="403">
        <v>1</v>
      </c>
      <c r="CY32" s="404">
        <f t="shared" si="344"/>
        <v>3</v>
      </c>
      <c r="CZ32" s="229"/>
      <c r="DA32" s="380">
        <f t="shared" si="174"/>
        <v>0</v>
      </c>
      <c r="DB32" s="267">
        <f t="shared" si="274"/>
        <v>0</v>
      </c>
      <c r="DC32" s="405"/>
      <c r="DD32" s="406"/>
      <c r="DE32" s="406"/>
      <c r="DF32" s="380">
        <f t="shared" si="208"/>
        <v>0</v>
      </c>
      <c r="DG32" s="380">
        <f t="shared" si="175"/>
        <v>0</v>
      </c>
      <c r="DH32" s="380">
        <f t="shared" si="26"/>
        <v>0.5</v>
      </c>
      <c r="DI32" s="410">
        <f t="shared" si="209"/>
        <v>0</v>
      </c>
      <c r="DJ32" s="407">
        <f t="shared" si="27"/>
        <v>1.9</v>
      </c>
      <c r="DK32" s="424">
        <f t="shared" si="177"/>
        <v>0</v>
      </c>
      <c r="DL32" s="405"/>
      <c r="DM32" s="380">
        <f t="shared" si="28"/>
        <v>23</v>
      </c>
      <c r="DN32" s="408">
        <f t="shared" si="259"/>
        <v>0</v>
      </c>
      <c r="DO32" s="409">
        <f t="shared" si="178"/>
        <v>0</v>
      </c>
      <c r="DP32" s="182">
        <f t="shared" si="29"/>
        <v>185</v>
      </c>
      <c r="DQ32" s="431">
        <f t="shared" si="345"/>
        <v>0</v>
      </c>
      <c r="DR32" s="206">
        <f t="shared" si="275"/>
        <v>185</v>
      </c>
      <c r="DS32" s="182">
        <f t="shared" si="30"/>
        <v>77</v>
      </c>
      <c r="DT32" s="431">
        <f t="shared" si="346"/>
        <v>0</v>
      </c>
      <c r="DU32" s="206">
        <f t="shared" si="164"/>
        <v>77</v>
      </c>
      <c r="DW32" s="403">
        <v>1</v>
      </c>
      <c r="DX32" s="404">
        <f t="shared" si="348"/>
        <v>3</v>
      </c>
      <c r="DY32" s="229"/>
      <c r="DZ32" s="380">
        <f t="shared" si="179"/>
        <v>0</v>
      </c>
      <c r="EA32" s="267">
        <f t="shared" si="276"/>
        <v>0</v>
      </c>
      <c r="EB32" s="405"/>
      <c r="EC32" s="406"/>
      <c r="ED32" s="406"/>
      <c r="EE32" s="380">
        <f t="shared" si="211"/>
        <v>0</v>
      </c>
      <c r="EF32" s="380">
        <f t="shared" si="180"/>
        <v>0</v>
      </c>
      <c r="EG32" s="380">
        <f t="shared" si="31"/>
        <v>0.5</v>
      </c>
      <c r="EH32" s="410">
        <f t="shared" si="212"/>
        <v>0</v>
      </c>
      <c r="EI32" s="407">
        <f t="shared" si="32"/>
        <v>1.9</v>
      </c>
      <c r="EJ32" s="424">
        <f t="shared" si="182"/>
        <v>0</v>
      </c>
      <c r="EK32" s="405"/>
      <c r="EL32" s="380">
        <f t="shared" si="33"/>
        <v>23</v>
      </c>
      <c r="EM32" s="408">
        <f t="shared" si="260"/>
        <v>0</v>
      </c>
      <c r="EN32" s="409">
        <f t="shared" si="183"/>
        <v>0</v>
      </c>
      <c r="EO32" s="182">
        <f t="shared" si="34"/>
        <v>185</v>
      </c>
      <c r="EP32" s="431">
        <f t="shared" si="349"/>
        <v>0</v>
      </c>
      <c r="EQ32" s="206">
        <f t="shared" si="277"/>
        <v>185</v>
      </c>
      <c r="ER32" s="182">
        <f t="shared" si="35"/>
        <v>77</v>
      </c>
      <c r="ES32" s="431">
        <f t="shared" si="350"/>
        <v>0</v>
      </c>
      <c r="ET32" s="206">
        <f t="shared" si="165"/>
        <v>77</v>
      </c>
      <c r="EV32" s="403">
        <v>1</v>
      </c>
      <c r="EW32" s="404">
        <f t="shared" si="352"/>
        <v>3</v>
      </c>
      <c r="EX32" s="229"/>
      <c r="EY32" s="380">
        <f t="shared" si="184"/>
        <v>0</v>
      </c>
      <c r="EZ32" s="267">
        <f t="shared" si="278"/>
        <v>0</v>
      </c>
      <c r="FA32" s="405"/>
      <c r="FB32" s="406"/>
      <c r="FC32" s="406"/>
      <c r="FD32" s="380">
        <f t="shared" si="214"/>
        <v>0</v>
      </c>
      <c r="FE32" s="380">
        <f t="shared" si="185"/>
        <v>0</v>
      </c>
      <c r="FF32" s="380">
        <f t="shared" si="36"/>
        <v>0.5</v>
      </c>
      <c r="FG32" s="410">
        <f t="shared" si="215"/>
        <v>0</v>
      </c>
      <c r="FH32" s="407">
        <f t="shared" si="37"/>
        <v>1.9</v>
      </c>
      <c r="FI32" s="424">
        <f t="shared" si="187"/>
        <v>0</v>
      </c>
      <c r="FJ32" s="405"/>
      <c r="FK32" s="380">
        <f t="shared" si="38"/>
        <v>23</v>
      </c>
      <c r="FL32" s="408">
        <f t="shared" si="261"/>
        <v>0</v>
      </c>
      <c r="FM32" s="409">
        <f t="shared" si="188"/>
        <v>0</v>
      </c>
      <c r="FN32" s="182">
        <f t="shared" si="39"/>
        <v>185</v>
      </c>
      <c r="FO32" s="431">
        <f t="shared" si="353"/>
        <v>0</v>
      </c>
      <c r="FP32" s="206">
        <f t="shared" si="279"/>
        <v>185</v>
      </c>
      <c r="FQ32" s="182">
        <f t="shared" si="40"/>
        <v>77</v>
      </c>
      <c r="FR32" s="431">
        <f t="shared" si="354"/>
        <v>0</v>
      </c>
      <c r="FS32" s="206">
        <f t="shared" si="166"/>
        <v>77</v>
      </c>
      <c r="FU32" s="403">
        <v>1</v>
      </c>
      <c r="FV32" s="404">
        <f t="shared" si="356"/>
        <v>3</v>
      </c>
      <c r="FW32" s="229"/>
      <c r="FX32" s="380">
        <f t="shared" si="189"/>
        <v>0</v>
      </c>
      <c r="FY32" s="267">
        <f t="shared" si="280"/>
        <v>0</v>
      </c>
      <c r="FZ32" s="405"/>
      <c r="GA32" s="406"/>
      <c r="GB32" s="406"/>
      <c r="GC32" s="380">
        <f t="shared" si="217"/>
        <v>0</v>
      </c>
      <c r="GD32" s="380">
        <f t="shared" si="190"/>
        <v>0</v>
      </c>
      <c r="GE32" s="380">
        <f t="shared" si="41"/>
        <v>0.5</v>
      </c>
      <c r="GF32" s="410">
        <f t="shared" si="218"/>
        <v>0</v>
      </c>
      <c r="GG32" s="407">
        <f t="shared" si="42"/>
        <v>1.9</v>
      </c>
      <c r="GH32" s="424">
        <f t="shared" si="192"/>
        <v>0</v>
      </c>
      <c r="GI32" s="405"/>
      <c r="GJ32" s="380">
        <f t="shared" si="43"/>
        <v>23</v>
      </c>
      <c r="GK32" s="408">
        <f t="shared" si="262"/>
        <v>0</v>
      </c>
      <c r="GL32" s="409">
        <f t="shared" si="193"/>
        <v>0</v>
      </c>
      <c r="GM32" s="182">
        <f t="shared" si="44"/>
        <v>185</v>
      </c>
      <c r="GN32" s="431">
        <f t="shared" si="357"/>
        <v>0</v>
      </c>
      <c r="GO32" s="206">
        <f t="shared" si="281"/>
        <v>185</v>
      </c>
      <c r="GP32" s="182">
        <f t="shared" si="45"/>
        <v>77</v>
      </c>
      <c r="GQ32" s="431">
        <f t="shared" si="358"/>
        <v>0</v>
      </c>
      <c r="GR32" s="206">
        <f t="shared" si="167"/>
        <v>77</v>
      </c>
      <c r="GT32" s="403">
        <v>1</v>
      </c>
      <c r="GU32" s="404">
        <f t="shared" si="360"/>
        <v>3</v>
      </c>
      <c r="GV32" s="229"/>
      <c r="GW32" s="380">
        <f t="shared" si="194"/>
        <v>0</v>
      </c>
      <c r="GX32" s="267">
        <f t="shared" si="282"/>
        <v>0</v>
      </c>
      <c r="GY32" s="405"/>
      <c r="GZ32" s="406"/>
      <c r="HA32" s="406"/>
      <c r="HB32" s="380">
        <f t="shared" si="220"/>
        <v>0</v>
      </c>
      <c r="HC32" s="380">
        <f t="shared" si="195"/>
        <v>0</v>
      </c>
      <c r="HD32" s="380">
        <f t="shared" si="46"/>
        <v>0.5</v>
      </c>
      <c r="HE32" s="410">
        <f t="shared" si="221"/>
        <v>0</v>
      </c>
      <c r="HF32" s="407">
        <f t="shared" si="47"/>
        <v>1.9</v>
      </c>
      <c r="HG32" s="424">
        <f t="shared" si="197"/>
        <v>0</v>
      </c>
      <c r="HH32" s="405"/>
      <c r="HI32" s="380">
        <f t="shared" si="48"/>
        <v>23</v>
      </c>
      <c r="HJ32" s="408">
        <f t="shared" si="263"/>
        <v>0</v>
      </c>
      <c r="HK32" s="409">
        <f t="shared" si="198"/>
        <v>0</v>
      </c>
      <c r="HL32" s="182">
        <f t="shared" si="49"/>
        <v>185</v>
      </c>
      <c r="HM32" s="431">
        <f t="shared" si="361"/>
        <v>0</v>
      </c>
      <c r="HN32" s="206">
        <f t="shared" si="283"/>
        <v>185</v>
      </c>
      <c r="HO32" s="182">
        <f t="shared" si="50"/>
        <v>77</v>
      </c>
      <c r="HP32" s="431">
        <f t="shared" si="362"/>
        <v>0</v>
      </c>
      <c r="HQ32" s="206">
        <f t="shared" si="168"/>
        <v>77</v>
      </c>
    </row>
    <row r="33" spans="1:225" ht="17.25" thickBot="1" x14ac:dyDescent="0.3">
      <c r="A33" s="362"/>
      <c r="B33" s="120">
        <f t="shared" si="327"/>
        <v>22</v>
      </c>
      <c r="C33" s="576">
        <f t="shared" si="328"/>
        <v>3</v>
      </c>
      <c r="D33" s="759">
        <v>14700</v>
      </c>
      <c r="E33" s="436">
        <f>IFERROR(F32+D33,0)</f>
        <v>89369</v>
      </c>
      <c r="F33" s="451">
        <f t="shared" si="0"/>
        <v>89329</v>
      </c>
      <c r="G33" s="421"/>
      <c r="H33" s="426">
        <v>40</v>
      </c>
      <c r="I33" s="426"/>
      <c r="J33" s="384">
        <f t="shared" si="200"/>
        <v>40</v>
      </c>
      <c r="K33" s="384">
        <f t="shared" si="52"/>
        <v>3894</v>
      </c>
      <c r="L33" s="384">
        <f t="shared" si="1"/>
        <v>0.5</v>
      </c>
      <c r="M33" s="96">
        <f t="shared" si="85"/>
        <v>4.4758249504861868E-2</v>
      </c>
      <c r="N33" s="420">
        <f t="shared" si="2"/>
        <v>1.9</v>
      </c>
      <c r="O33" s="132">
        <f t="shared" si="53"/>
        <v>2.8871605139649894</v>
      </c>
      <c r="P33" s="567">
        <v>2000</v>
      </c>
      <c r="Q33" s="384">
        <f t="shared" si="3"/>
        <v>23</v>
      </c>
      <c r="R33" s="443">
        <f t="shared" si="4"/>
        <v>22.379124752430933</v>
      </c>
      <c r="S33" s="473">
        <f t="shared" si="201"/>
        <v>480.08783331582617</v>
      </c>
      <c r="T33" s="382">
        <f t="shared" si="5"/>
        <v>185</v>
      </c>
      <c r="U33" s="183">
        <f t="shared" si="329"/>
        <v>170</v>
      </c>
      <c r="V33" s="453">
        <f t="shared" si="55"/>
        <v>15</v>
      </c>
      <c r="W33" s="382">
        <f t="shared" si="6"/>
        <v>77</v>
      </c>
      <c r="X33" s="183">
        <f t="shared" si="330"/>
        <v>54</v>
      </c>
      <c r="Y33" s="453">
        <f t="shared" si="56"/>
        <v>23</v>
      </c>
      <c r="Z33" s="487"/>
      <c r="AA33" s="432">
        <v>22</v>
      </c>
      <c r="AB33" s="433">
        <f t="shared" si="332"/>
        <v>3</v>
      </c>
      <c r="AC33" s="485">
        <v>14700</v>
      </c>
      <c r="AD33" s="436">
        <f>IFERROR(AE32-AC33,0)</f>
        <v>119035</v>
      </c>
      <c r="AE33" s="451">
        <f t="shared" si="324"/>
        <v>118966</v>
      </c>
      <c r="AF33" s="421"/>
      <c r="AG33" s="426">
        <v>69</v>
      </c>
      <c r="AH33" s="426"/>
      <c r="AI33" s="452">
        <f t="shared" si="203"/>
        <v>69</v>
      </c>
      <c r="AJ33" s="452">
        <f t="shared" si="321"/>
        <v>4460</v>
      </c>
      <c r="AK33" s="383">
        <f t="shared" si="8"/>
        <v>0.5</v>
      </c>
      <c r="AL33" s="231">
        <f t="shared" si="58"/>
        <v>5.7966144411307596E-2</v>
      </c>
      <c r="AM33" s="419">
        <f t="shared" si="9"/>
        <v>1.9</v>
      </c>
      <c r="AN33" s="157">
        <f t="shared" si="169"/>
        <v>2.9116832924217895</v>
      </c>
      <c r="AO33" s="421">
        <v>3400</v>
      </c>
      <c r="AP33" s="387">
        <f t="shared" si="10"/>
        <v>23</v>
      </c>
      <c r="AQ33" s="443">
        <f t="shared" si="59"/>
        <v>28.56302768093418</v>
      </c>
      <c r="AR33" s="473">
        <f t="shared" si="323"/>
        <v>469.38924575607939</v>
      </c>
      <c r="AS33" s="382">
        <f t="shared" si="11"/>
        <v>185</v>
      </c>
      <c r="AT33" s="431">
        <f t="shared" si="333"/>
        <v>179</v>
      </c>
      <c r="AU33" s="453">
        <f t="shared" si="271"/>
        <v>6</v>
      </c>
      <c r="AV33" s="382">
        <f t="shared" si="12"/>
        <v>77</v>
      </c>
      <c r="AW33" s="431">
        <f t="shared" si="334"/>
        <v>67</v>
      </c>
      <c r="AX33" s="453">
        <f t="shared" si="170"/>
        <v>10</v>
      </c>
      <c r="AZ33" s="432">
        <f>AZ32+1</f>
        <v>22</v>
      </c>
      <c r="BA33" s="433">
        <f t="shared" si="336"/>
        <v>3</v>
      </c>
      <c r="BB33" s="434">
        <f>SUM(BB27:BB31)</f>
        <v>71400</v>
      </c>
      <c r="BC33" s="436">
        <f>IFERROR(BD32+BB34,0)</f>
        <v>71365</v>
      </c>
      <c r="BD33" s="451">
        <f t="shared" si="325"/>
        <v>71351</v>
      </c>
      <c r="BE33" s="421"/>
      <c r="BF33" s="426">
        <v>14</v>
      </c>
      <c r="BG33" s="426"/>
      <c r="BH33" s="452">
        <f t="shared" si="204"/>
        <v>14</v>
      </c>
      <c r="BI33" s="452">
        <f t="shared" si="294"/>
        <v>49</v>
      </c>
      <c r="BJ33" s="452">
        <f t="shared" si="14"/>
        <v>0.5</v>
      </c>
      <c r="BK33" s="96">
        <f t="shared" si="92"/>
        <v>1.96174595389897E-2</v>
      </c>
      <c r="BL33" s="603">
        <f t="shared" si="15"/>
        <v>1.9</v>
      </c>
      <c r="BM33" s="132">
        <f t="shared" si="326"/>
        <v>6.8627450980392163E-2</v>
      </c>
      <c r="BN33" s="421">
        <v>1800</v>
      </c>
      <c r="BO33" s="384">
        <f t="shared" si="17"/>
        <v>23</v>
      </c>
      <c r="BP33" s="443">
        <f t="shared" si="93"/>
        <v>25.222447978701041</v>
      </c>
      <c r="BQ33" s="754">
        <f t="shared" si="137"/>
        <v>402.89747195999928</v>
      </c>
      <c r="BR33" s="382">
        <f t="shared" si="18"/>
        <v>185</v>
      </c>
      <c r="BS33" s="183">
        <f t="shared" si="337"/>
        <v>185</v>
      </c>
      <c r="BT33" s="453">
        <f t="shared" si="272"/>
        <v>0</v>
      </c>
      <c r="BU33" s="382">
        <f t="shared" si="20"/>
        <v>77</v>
      </c>
      <c r="BV33" s="183">
        <f t="shared" si="338"/>
        <v>62</v>
      </c>
      <c r="BW33" s="453">
        <f t="shared" si="171"/>
        <v>15</v>
      </c>
      <c r="BY33" s="197">
        <v>2</v>
      </c>
      <c r="BZ33" s="8">
        <f t="shared" si="340"/>
        <v>3</v>
      </c>
      <c r="CA33" s="136"/>
      <c r="CB33" s="32">
        <f t="shared" si="172"/>
        <v>0</v>
      </c>
      <c r="CC33" s="53">
        <f t="shared" si="205"/>
        <v>0</v>
      </c>
      <c r="CD33" s="421"/>
      <c r="CE33" s="426"/>
      <c r="CF33" s="426"/>
      <c r="CG33" s="34">
        <f t="shared" si="206"/>
        <v>0</v>
      </c>
      <c r="CH33" s="34">
        <f t="shared" si="173"/>
        <v>0</v>
      </c>
      <c r="CI33" s="32">
        <f t="shared" si="21"/>
        <v>0.5</v>
      </c>
      <c r="CJ33" s="96">
        <f t="shared" si="97"/>
        <v>0</v>
      </c>
      <c r="CK33" s="36">
        <f t="shared" si="22"/>
        <v>1.9</v>
      </c>
      <c r="CL33" s="156">
        <f t="shared" si="140"/>
        <v>0</v>
      </c>
      <c r="CM33" s="137"/>
      <c r="CN33" s="32">
        <f t="shared" si="23"/>
        <v>23</v>
      </c>
      <c r="CO33" s="54">
        <f t="shared" si="141"/>
        <v>0</v>
      </c>
      <c r="CP33" s="70">
        <f t="shared" si="98"/>
        <v>0</v>
      </c>
      <c r="CQ33" s="56">
        <f t="shared" si="24"/>
        <v>185</v>
      </c>
      <c r="CR33" s="112">
        <f t="shared" si="341"/>
        <v>0</v>
      </c>
      <c r="CS33" s="63">
        <f t="shared" si="273"/>
        <v>185</v>
      </c>
      <c r="CT33" s="12">
        <f t="shared" si="25"/>
        <v>77</v>
      </c>
      <c r="CU33" s="112">
        <f t="shared" si="342"/>
        <v>0</v>
      </c>
      <c r="CV33" s="63">
        <f t="shared" si="67"/>
        <v>77</v>
      </c>
      <c r="CX33" s="197">
        <v>2</v>
      </c>
      <c r="CY33" s="8">
        <f t="shared" si="344"/>
        <v>3</v>
      </c>
      <c r="CZ33" s="136"/>
      <c r="DA33" s="32">
        <f t="shared" si="174"/>
        <v>0</v>
      </c>
      <c r="DB33" s="53">
        <f t="shared" si="274"/>
        <v>0</v>
      </c>
      <c r="DC33" s="421"/>
      <c r="DD33" s="426"/>
      <c r="DE33" s="426"/>
      <c r="DF33" s="34">
        <f t="shared" si="208"/>
        <v>0</v>
      </c>
      <c r="DG33" s="34">
        <f t="shared" si="175"/>
        <v>0</v>
      </c>
      <c r="DH33" s="32">
        <f t="shared" si="26"/>
        <v>0.5</v>
      </c>
      <c r="DI33" s="96">
        <f t="shared" si="209"/>
        <v>0</v>
      </c>
      <c r="DJ33" s="36">
        <f t="shared" si="27"/>
        <v>1.9</v>
      </c>
      <c r="DK33" s="156">
        <f t="shared" si="177"/>
        <v>0</v>
      </c>
      <c r="DL33" s="137"/>
      <c r="DM33" s="32">
        <f t="shared" si="28"/>
        <v>23</v>
      </c>
      <c r="DN33" s="54">
        <f t="shared" si="259"/>
        <v>0</v>
      </c>
      <c r="DO33" s="70">
        <f t="shared" si="178"/>
        <v>0</v>
      </c>
      <c r="DP33" s="56">
        <f t="shared" si="29"/>
        <v>185</v>
      </c>
      <c r="DQ33" s="112">
        <f t="shared" si="345"/>
        <v>0</v>
      </c>
      <c r="DR33" s="63">
        <f t="shared" si="275"/>
        <v>185</v>
      </c>
      <c r="DS33" s="12">
        <f t="shared" si="30"/>
        <v>77</v>
      </c>
      <c r="DT33" s="112">
        <f t="shared" si="346"/>
        <v>0</v>
      </c>
      <c r="DU33" s="63">
        <f t="shared" si="164"/>
        <v>77</v>
      </c>
      <c r="DW33" s="197">
        <v>2</v>
      </c>
      <c r="DX33" s="8">
        <f t="shared" si="348"/>
        <v>3</v>
      </c>
      <c r="DY33" s="136"/>
      <c r="DZ33" s="32">
        <f t="shared" si="179"/>
        <v>0</v>
      </c>
      <c r="EA33" s="53">
        <f t="shared" si="276"/>
        <v>0</v>
      </c>
      <c r="EB33" s="421"/>
      <c r="EC33" s="426"/>
      <c r="ED33" s="426"/>
      <c r="EE33" s="34">
        <f t="shared" si="211"/>
        <v>0</v>
      </c>
      <c r="EF33" s="34">
        <f t="shared" si="180"/>
        <v>0</v>
      </c>
      <c r="EG33" s="32">
        <f t="shared" si="31"/>
        <v>0.5</v>
      </c>
      <c r="EH33" s="96">
        <f t="shared" si="212"/>
        <v>0</v>
      </c>
      <c r="EI33" s="36">
        <f t="shared" si="32"/>
        <v>1.9</v>
      </c>
      <c r="EJ33" s="156">
        <f t="shared" si="182"/>
        <v>0</v>
      </c>
      <c r="EK33" s="137"/>
      <c r="EL33" s="32">
        <f t="shared" si="33"/>
        <v>23</v>
      </c>
      <c r="EM33" s="54">
        <f t="shared" si="260"/>
        <v>0</v>
      </c>
      <c r="EN33" s="70">
        <f t="shared" si="183"/>
        <v>0</v>
      </c>
      <c r="EO33" s="56">
        <f t="shared" si="34"/>
        <v>185</v>
      </c>
      <c r="EP33" s="112">
        <f t="shared" si="349"/>
        <v>0</v>
      </c>
      <c r="EQ33" s="63">
        <f t="shared" si="277"/>
        <v>185</v>
      </c>
      <c r="ER33" s="12">
        <f t="shared" si="35"/>
        <v>77</v>
      </c>
      <c r="ES33" s="112">
        <f t="shared" si="350"/>
        <v>0</v>
      </c>
      <c r="ET33" s="63">
        <f t="shared" si="165"/>
        <v>77</v>
      </c>
      <c r="EV33" s="197">
        <v>2</v>
      </c>
      <c r="EW33" s="8">
        <f t="shared" si="352"/>
        <v>3</v>
      </c>
      <c r="EX33" s="136"/>
      <c r="EY33" s="32">
        <f t="shared" si="184"/>
        <v>0</v>
      </c>
      <c r="EZ33" s="53">
        <f t="shared" si="278"/>
        <v>0</v>
      </c>
      <c r="FA33" s="421"/>
      <c r="FB33" s="426"/>
      <c r="FC33" s="426"/>
      <c r="FD33" s="34">
        <f t="shared" si="214"/>
        <v>0</v>
      </c>
      <c r="FE33" s="34">
        <f t="shared" si="185"/>
        <v>0</v>
      </c>
      <c r="FF33" s="32">
        <f t="shared" si="36"/>
        <v>0.5</v>
      </c>
      <c r="FG33" s="96">
        <f t="shared" si="215"/>
        <v>0</v>
      </c>
      <c r="FH33" s="36">
        <f t="shared" si="37"/>
        <v>1.9</v>
      </c>
      <c r="FI33" s="156">
        <f t="shared" si="187"/>
        <v>0</v>
      </c>
      <c r="FJ33" s="137"/>
      <c r="FK33" s="32">
        <f t="shared" si="38"/>
        <v>23</v>
      </c>
      <c r="FL33" s="54">
        <f t="shared" si="261"/>
        <v>0</v>
      </c>
      <c r="FM33" s="70">
        <f t="shared" si="188"/>
        <v>0</v>
      </c>
      <c r="FN33" s="56">
        <f t="shared" si="39"/>
        <v>185</v>
      </c>
      <c r="FO33" s="112">
        <f t="shared" si="353"/>
        <v>0</v>
      </c>
      <c r="FP33" s="63">
        <f t="shared" si="279"/>
        <v>185</v>
      </c>
      <c r="FQ33" s="12">
        <f t="shared" si="40"/>
        <v>77</v>
      </c>
      <c r="FR33" s="112">
        <f t="shared" si="354"/>
        <v>0</v>
      </c>
      <c r="FS33" s="63">
        <f t="shared" si="166"/>
        <v>77</v>
      </c>
      <c r="FU33" s="197">
        <v>2</v>
      </c>
      <c r="FV33" s="8">
        <f t="shared" si="356"/>
        <v>3</v>
      </c>
      <c r="FW33" s="136"/>
      <c r="FX33" s="32">
        <f t="shared" si="189"/>
        <v>0</v>
      </c>
      <c r="FY33" s="53">
        <f t="shared" si="280"/>
        <v>0</v>
      </c>
      <c r="FZ33" s="421"/>
      <c r="GA33" s="426"/>
      <c r="GB33" s="426"/>
      <c r="GC33" s="34">
        <f t="shared" si="217"/>
        <v>0</v>
      </c>
      <c r="GD33" s="34">
        <f t="shared" si="190"/>
        <v>0</v>
      </c>
      <c r="GE33" s="32">
        <f t="shared" si="41"/>
        <v>0.5</v>
      </c>
      <c r="GF33" s="96">
        <f t="shared" si="218"/>
        <v>0</v>
      </c>
      <c r="GG33" s="36">
        <f t="shared" si="42"/>
        <v>1.9</v>
      </c>
      <c r="GH33" s="156">
        <f t="shared" si="192"/>
        <v>0</v>
      </c>
      <c r="GI33" s="137"/>
      <c r="GJ33" s="32">
        <f t="shared" si="43"/>
        <v>23</v>
      </c>
      <c r="GK33" s="54">
        <f t="shared" si="262"/>
        <v>0</v>
      </c>
      <c r="GL33" s="70">
        <f t="shared" si="193"/>
        <v>0</v>
      </c>
      <c r="GM33" s="56">
        <f t="shared" si="44"/>
        <v>185</v>
      </c>
      <c r="GN33" s="112">
        <f t="shared" si="357"/>
        <v>0</v>
      </c>
      <c r="GO33" s="63">
        <f t="shared" si="281"/>
        <v>185</v>
      </c>
      <c r="GP33" s="12">
        <f t="shared" si="45"/>
        <v>77</v>
      </c>
      <c r="GQ33" s="112">
        <f t="shared" si="358"/>
        <v>0</v>
      </c>
      <c r="GR33" s="63">
        <f t="shared" si="167"/>
        <v>77</v>
      </c>
      <c r="GT33" s="197">
        <v>2</v>
      </c>
      <c r="GU33" s="8">
        <f t="shared" si="360"/>
        <v>3</v>
      </c>
      <c r="GV33" s="136"/>
      <c r="GW33" s="32">
        <f t="shared" si="194"/>
        <v>0</v>
      </c>
      <c r="GX33" s="53">
        <f t="shared" si="282"/>
        <v>0</v>
      </c>
      <c r="GY33" s="421"/>
      <c r="GZ33" s="426"/>
      <c r="HA33" s="426"/>
      <c r="HB33" s="34">
        <f t="shared" si="220"/>
        <v>0</v>
      </c>
      <c r="HC33" s="34">
        <f t="shared" si="195"/>
        <v>0</v>
      </c>
      <c r="HD33" s="32">
        <f t="shared" si="46"/>
        <v>0.5</v>
      </c>
      <c r="HE33" s="96">
        <f t="shared" si="221"/>
        <v>0</v>
      </c>
      <c r="HF33" s="36">
        <f t="shared" si="47"/>
        <v>1.9</v>
      </c>
      <c r="HG33" s="156">
        <f t="shared" si="197"/>
        <v>0</v>
      </c>
      <c r="HH33" s="137"/>
      <c r="HI33" s="32">
        <f t="shared" si="48"/>
        <v>23</v>
      </c>
      <c r="HJ33" s="54">
        <f t="shared" si="263"/>
        <v>0</v>
      </c>
      <c r="HK33" s="70">
        <f t="shared" si="198"/>
        <v>0</v>
      </c>
      <c r="HL33" s="56">
        <f t="shared" si="49"/>
        <v>185</v>
      </c>
      <c r="HM33" s="112">
        <f t="shared" si="361"/>
        <v>0</v>
      </c>
      <c r="HN33" s="63">
        <f t="shared" si="283"/>
        <v>185</v>
      </c>
      <c r="HO33" s="12">
        <f t="shared" si="50"/>
        <v>77</v>
      </c>
      <c r="HP33" s="112">
        <f t="shared" si="362"/>
        <v>0</v>
      </c>
      <c r="HQ33" s="63">
        <f t="shared" si="168"/>
        <v>77</v>
      </c>
    </row>
    <row r="34" spans="1:225" ht="17.25" thickBot="1" x14ac:dyDescent="0.3">
      <c r="B34" s="118">
        <v>23</v>
      </c>
      <c r="C34" s="575">
        <v>4</v>
      </c>
      <c r="D34" s="760">
        <v>7300</v>
      </c>
      <c r="E34" s="400">
        <f>IFERROR(F33+D34,0)</f>
        <v>96629</v>
      </c>
      <c r="F34" s="561">
        <f t="shared" si="0"/>
        <v>96604</v>
      </c>
      <c r="G34" s="130"/>
      <c r="H34" s="131">
        <v>25</v>
      </c>
      <c r="I34" s="131"/>
      <c r="J34" s="11">
        <f t="shared" si="200"/>
        <v>25</v>
      </c>
      <c r="K34" s="11">
        <f t="shared" si="52"/>
        <v>3919</v>
      </c>
      <c r="L34" s="11">
        <f t="shared" si="1"/>
        <v>0.3</v>
      </c>
      <c r="M34" s="42">
        <f t="shared" si="85"/>
        <v>2.5872150182657379E-2</v>
      </c>
      <c r="N34" s="21">
        <f t="shared" si="2"/>
        <v>2.1999999999999997</v>
      </c>
      <c r="O34" s="132">
        <f t="shared" si="53"/>
        <v>2.9056964700125305</v>
      </c>
      <c r="P34" s="158">
        <v>2000</v>
      </c>
      <c r="Q34" s="11">
        <f t="shared" si="3"/>
        <v>29</v>
      </c>
      <c r="R34" s="441">
        <f t="shared" si="4"/>
        <v>20.697720146125906</v>
      </c>
      <c r="S34" s="469">
        <f t="shared" si="201"/>
        <v>500.78555346195208</v>
      </c>
      <c r="T34" s="58">
        <f t="shared" si="5"/>
        <v>255</v>
      </c>
      <c r="U34" s="131">
        <v>235</v>
      </c>
      <c r="V34" s="41">
        <f t="shared" si="55"/>
        <v>20</v>
      </c>
      <c r="W34" s="18">
        <f t="shared" si="6"/>
        <v>79</v>
      </c>
      <c r="X34" s="131">
        <v>55</v>
      </c>
      <c r="Y34" s="41">
        <f t="shared" si="56"/>
        <v>24</v>
      </c>
      <c r="Z34" s="487"/>
      <c r="AA34" s="118">
        <v>23</v>
      </c>
      <c r="AB34" s="9">
        <v>4</v>
      </c>
      <c r="AC34" s="486">
        <v>7300</v>
      </c>
      <c r="AD34" s="43">
        <f>IFERROR(AE33-AC34,0)</f>
        <v>111666</v>
      </c>
      <c r="AE34" s="449">
        <f t="shared" si="324"/>
        <v>111613</v>
      </c>
      <c r="AF34" s="130"/>
      <c r="AG34" s="131">
        <v>53</v>
      </c>
      <c r="AH34" s="131"/>
      <c r="AI34" s="11">
        <f t="shared" si="203"/>
        <v>53</v>
      </c>
      <c r="AJ34" s="11">
        <f t="shared" si="321"/>
        <v>4513</v>
      </c>
      <c r="AK34" s="16">
        <f t="shared" si="8"/>
        <v>0.3</v>
      </c>
      <c r="AL34" s="153">
        <f t="shared" si="58"/>
        <v>4.7462969928178673E-2</v>
      </c>
      <c r="AM34" s="154">
        <f t="shared" si="9"/>
        <v>2.1999999999999997</v>
      </c>
      <c r="AN34" s="157">
        <f t="shared" si="169"/>
        <v>2.9462840131613306</v>
      </c>
      <c r="AO34" s="130">
        <v>2800</v>
      </c>
      <c r="AP34" s="11">
        <f t="shared" si="10"/>
        <v>29</v>
      </c>
      <c r="AQ34" s="481">
        <f t="shared" si="59"/>
        <v>25.074776565830245</v>
      </c>
      <c r="AR34" s="469">
        <f t="shared" si="323"/>
        <v>494.46402232190962</v>
      </c>
      <c r="AS34" s="61">
        <f t="shared" si="11"/>
        <v>255</v>
      </c>
      <c r="AT34" s="131">
        <v>246</v>
      </c>
      <c r="AU34" s="41">
        <f t="shared" si="271"/>
        <v>9</v>
      </c>
      <c r="AV34" s="18">
        <f t="shared" si="12"/>
        <v>79</v>
      </c>
      <c r="AW34" s="131">
        <v>63</v>
      </c>
      <c r="AX34" s="41">
        <f t="shared" si="170"/>
        <v>16</v>
      </c>
      <c r="AZ34" s="198">
        <v>23</v>
      </c>
      <c r="BA34" s="38">
        <v>4</v>
      </c>
      <c r="BB34" s="143"/>
      <c r="BC34" s="60">
        <f t="shared" si="62"/>
        <v>71351</v>
      </c>
      <c r="BD34" s="447">
        <f t="shared" si="325"/>
        <v>71302</v>
      </c>
      <c r="BE34" s="144"/>
      <c r="BF34" s="141">
        <v>49</v>
      </c>
      <c r="BG34" s="141"/>
      <c r="BH34" s="17">
        <f t="shared" si="204"/>
        <v>49</v>
      </c>
      <c r="BI34" s="17">
        <f t="shared" si="294"/>
        <v>98</v>
      </c>
      <c r="BJ34" s="31">
        <f t="shared" si="14"/>
        <v>0.3</v>
      </c>
      <c r="BK34" s="235">
        <f t="shared" si="92"/>
        <v>6.867458059452565E-2</v>
      </c>
      <c r="BL34" s="37">
        <f t="shared" si="15"/>
        <v>2.1999999999999997</v>
      </c>
      <c r="BM34" s="132">
        <f t="shared" si="326"/>
        <v>0.13725490196078433</v>
      </c>
      <c r="BN34" s="144">
        <v>1800</v>
      </c>
      <c r="BO34" s="17">
        <f t="shared" si="17"/>
        <v>29</v>
      </c>
      <c r="BP34" s="479">
        <f t="shared" si="93"/>
        <v>25.227396953091056</v>
      </c>
      <c r="BQ34" s="751">
        <f t="shared" si="137"/>
        <v>428.12486891309032</v>
      </c>
      <c r="BR34" s="61">
        <f t="shared" si="18"/>
        <v>255</v>
      </c>
      <c r="BS34" s="141">
        <v>231</v>
      </c>
      <c r="BT34" s="71">
        <f t="shared" si="272"/>
        <v>24</v>
      </c>
      <c r="BU34" s="12">
        <f t="shared" si="20"/>
        <v>79</v>
      </c>
      <c r="BV34" s="141">
        <v>65</v>
      </c>
      <c r="BW34" s="71">
        <f t="shared" si="171"/>
        <v>14</v>
      </c>
      <c r="BY34" s="118">
        <v>3</v>
      </c>
      <c r="BZ34" s="9">
        <v>4</v>
      </c>
      <c r="CA34" s="129"/>
      <c r="CB34" s="11">
        <f t="shared" si="172"/>
        <v>0</v>
      </c>
      <c r="CC34" s="57">
        <f t="shared" si="205"/>
        <v>0</v>
      </c>
      <c r="CD34" s="398"/>
      <c r="CE34" s="399"/>
      <c r="CF34" s="399"/>
      <c r="CG34" s="11">
        <f t="shared" si="206"/>
        <v>0</v>
      </c>
      <c r="CH34" s="11">
        <f t="shared" si="173"/>
        <v>0</v>
      </c>
      <c r="CI34" s="17">
        <f t="shared" si="21"/>
        <v>0.3</v>
      </c>
      <c r="CJ34" s="235">
        <f t="shared" si="97"/>
        <v>0</v>
      </c>
      <c r="CK34" s="33">
        <f t="shared" si="22"/>
        <v>2.1999999999999997</v>
      </c>
      <c r="CL34" s="155">
        <f t="shared" si="140"/>
        <v>0</v>
      </c>
      <c r="CM34" s="130"/>
      <c r="CN34" s="17">
        <f t="shared" si="23"/>
        <v>29</v>
      </c>
      <c r="CO34" s="60">
        <f t="shared" si="141"/>
        <v>0</v>
      </c>
      <c r="CP34" s="377">
        <f t="shared" si="98"/>
        <v>0</v>
      </c>
      <c r="CQ34" s="61">
        <f t="shared" si="24"/>
        <v>255</v>
      </c>
      <c r="CR34" s="131"/>
      <c r="CS34" s="41">
        <f t="shared" si="273"/>
        <v>255</v>
      </c>
      <c r="CT34" s="18">
        <f t="shared" si="25"/>
        <v>79</v>
      </c>
      <c r="CU34" s="131"/>
      <c r="CV34" s="41">
        <f t="shared" si="67"/>
        <v>79</v>
      </c>
      <c r="CX34" s="118">
        <v>3</v>
      </c>
      <c r="CY34" s="9">
        <v>4</v>
      </c>
      <c r="CZ34" s="129"/>
      <c r="DA34" s="11">
        <f t="shared" si="174"/>
        <v>0</v>
      </c>
      <c r="DB34" s="57">
        <f t="shared" si="274"/>
        <v>0</v>
      </c>
      <c r="DC34" s="398"/>
      <c r="DD34" s="399"/>
      <c r="DE34" s="399"/>
      <c r="DF34" s="11">
        <f t="shared" si="208"/>
        <v>0</v>
      </c>
      <c r="DG34" s="11">
        <f t="shared" si="175"/>
        <v>0</v>
      </c>
      <c r="DH34" s="17">
        <f t="shared" si="26"/>
        <v>0.3</v>
      </c>
      <c r="DI34" s="235">
        <f t="shared" si="209"/>
        <v>0</v>
      </c>
      <c r="DJ34" s="33">
        <f t="shared" si="27"/>
        <v>2.1999999999999997</v>
      </c>
      <c r="DK34" s="155">
        <f t="shared" si="177"/>
        <v>0</v>
      </c>
      <c r="DL34" s="130"/>
      <c r="DM34" s="17">
        <f t="shared" si="28"/>
        <v>29</v>
      </c>
      <c r="DN34" s="60">
        <f t="shared" si="259"/>
        <v>0</v>
      </c>
      <c r="DO34" s="377">
        <f t="shared" si="178"/>
        <v>0</v>
      </c>
      <c r="DP34" s="61">
        <f t="shared" si="29"/>
        <v>255</v>
      </c>
      <c r="DQ34" s="131"/>
      <c r="DR34" s="41">
        <f t="shared" si="275"/>
        <v>255</v>
      </c>
      <c r="DS34" s="18">
        <f t="shared" si="30"/>
        <v>79</v>
      </c>
      <c r="DT34" s="131"/>
      <c r="DU34" s="41">
        <f t="shared" si="164"/>
        <v>79</v>
      </c>
      <c r="DW34" s="118">
        <v>3</v>
      </c>
      <c r="DX34" s="9">
        <v>4</v>
      </c>
      <c r="DY34" s="129"/>
      <c r="DZ34" s="11">
        <f t="shared" si="179"/>
        <v>0</v>
      </c>
      <c r="EA34" s="57">
        <f t="shared" si="276"/>
        <v>0</v>
      </c>
      <c r="EB34" s="398"/>
      <c r="EC34" s="399"/>
      <c r="ED34" s="399"/>
      <c r="EE34" s="11">
        <f t="shared" si="211"/>
        <v>0</v>
      </c>
      <c r="EF34" s="11">
        <f t="shared" si="180"/>
        <v>0</v>
      </c>
      <c r="EG34" s="17">
        <f t="shared" si="31"/>
        <v>0.3</v>
      </c>
      <c r="EH34" s="235">
        <f t="shared" si="212"/>
        <v>0</v>
      </c>
      <c r="EI34" s="33">
        <f t="shared" si="32"/>
        <v>2.1999999999999997</v>
      </c>
      <c r="EJ34" s="155">
        <f t="shared" si="182"/>
        <v>0</v>
      </c>
      <c r="EK34" s="130"/>
      <c r="EL34" s="17">
        <f t="shared" si="33"/>
        <v>29</v>
      </c>
      <c r="EM34" s="60">
        <f t="shared" si="260"/>
        <v>0</v>
      </c>
      <c r="EN34" s="377">
        <f t="shared" si="183"/>
        <v>0</v>
      </c>
      <c r="EO34" s="61">
        <f t="shared" si="34"/>
        <v>255</v>
      </c>
      <c r="EP34" s="131"/>
      <c r="EQ34" s="41">
        <f t="shared" si="277"/>
        <v>255</v>
      </c>
      <c r="ER34" s="18">
        <f t="shared" si="35"/>
        <v>79</v>
      </c>
      <c r="ES34" s="131"/>
      <c r="ET34" s="41">
        <f t="shared" si="165"/>
        <v>79</v>
      </c>
      <c r="EV34" s="118">
        <v>3</v>
      </c>
      <c r="EW34" s="9">
        <v>4</v>
      </c>
      <c r="EX34" s="129"/>
      <c r="EY34" s="11">
        <f t="shared" si="184"/>
        <v>0</v>
      </c>
      <c r="EZ34" s="57">
        <f t="shared" si="278"/>
        <v>0</v>
      </c>
      <c r="FA34" s="398"/>
      <c r="FB34" s="399"/>
      <c r="FC34" s="399"/>
      <c r="FD34" s="11">
        <f t="shared" si="214"/>
        <v>0</v>
      </c>
      <c r="FE34" s="11">
        <f t="shared" si="185"/>
        <v>0</v>
      </c>
      <c r="FF34" s="17">
        <f t="shared" si="36"/>
        <v>0.3</v>
      </c>
      <c r="FG34" s="235">
        <f t="shared" si="215"/>
        <v>0</v>
      </c>
      <c r="FH34" s="33">
        <f t="shared" si="37"/>
        <v>2.1999999999999997</v>
      </c>
      <c r="FI34" s="155">
        <f t="shared" si="187"/>
        <v>0</v>
      </c>
      <c r="FJ34" s="130"/>
      <c r="FK34" s="17">
        <f t="shared" si="38"/>
        <v>29</v>
      </c>
      <c r="FL34" s="60">
        <f t="shared" si="261"/>
        <v>0</v>
      </c>
      <c r="FM34" s="377">
        <f t="shared" si="188"/>
        <v>0</v>
      </c>
      <c r="FN34" s="61">
        <f t="shared" si="39"/>
        <v>255</v>
      </c>
      <c r="FO34" s="131"/>
      <c r="FP34" s="41">
        <f t="shared" si="279"/>
        <v>255</v>
      </c>
      <c r="FQ34" s="18">
        <f t="shared" si="40"/>
        <v>79</v>
      </c>
      <c r="FR34" s="131"/>
      <c r="FS34" s="41">
        <f t="shared" si="166"/>
        <v>79</v>
      </c>
      <c r="FU34" s="118">
        <v>3</v>
      </c>
      <c r="FV34" s="9">
        <v>4</v>
      </c>
      <c r="FW34" s="129"/>
      <c r="FX34" s="11">
        <f t="shared" si="189"/>
        <v>0</v>
      </c>
      <c r="FY34" s="57">
        <f t="shared" si="280"/>
        <v>0</v>
      </c>
      <c r="FZ34" s="398"/>
      <c r="GA34" s="399"/>
      <c r="GB34" s="399"/>
      <c r="GC34" s="11">
        <f t="shared" si="217"/>
        <v>0</v>
      </c>
      <c r="GD34" s="11">
        <f t="shared" si="190"/>
        <v>0</v>
      </c>
      <c r="GE34" s="17">
        <f t="shared" si="41"/>
        <v>0.3</v>
      </c>
      <c r="GF34" s="235">
        <f t="shared" si="218"/>
        <v>0</v>
      </c>
      <c r="GG34" s="33">
        <f t="shared" si="42"/>
        <v>2.1999999999999997</v>
      </c>
      <c r="GH34" s="155">
        <f t="shared" si="192"/>
        <v>0</v>
      </c>
      <c r="GI34" s="130"/>
      <c r="GJ34" s="17">
        <f t="shared" si="43"/>
        <v>29</v>
      </c>
      <c r="GK34" s="60">
        <f t="shared" si="262"/>
        <v>0</v>
      </c>
      <c r="GL34" s="377">
        <f t="shared" si="193"/>
        <v>0</v>
      </c>
      <c r="GM34" s="61">
        <f t="shared" si="44"/>
        <v>255</v>
      </c>
      <c r="GN34" s="131"/>
      <c r="GO34" s="41">
        <f t="shared" si="281"/>
        <v>255</v>
      </c>
      <c r="GP34" s="18">
        <f t="shared" si="45"/>
        <v>79</v>
      </c>
      <c r="GQ34" s="131"/>
      <c r="GR34" s="41">
        <f t="shared" si="167"/>
        <v>79</v>
      </c>
      <c r="GT34" s="118">
        <v>3</v>
      </c>
      <c r="GU34" s="9">
        <v>4</v>
      </c>
      <c r="GV34" s="129"/>
      <c r="GW34" s="11">
        <f t="shared" si="194"/>
        <v>0</v>
      </c>
      <c r="GX34" s="57">
        <f t="shared" si="282"/>
        <v>0</v>
      </c>
      <c r="GY34" s="398"/>
      <c r="GZ34" s="399"/>
      <c r="HA34" s="399"/>
      <c r="HB34" s="11">
        <f t="shared" si="220"/>
        <v>0</v>
      </c>
      <c r="HC34" s="11">
        <f t="shared" si="195"/>
        <v>0</v>
      </c>
      <c r="HD34" s="17">
        <f t="shared" si="46"/>
        <v>0.3</v>
      </c>
      <c r="HE34" s="235">
        <f t="shared" si="221"/>
        <v>0</v>
      </c>
      <c r="HF34" s="33">
        <f t="shared" si="47"/>
        <v>2.1999999999999997</v>
      </c>
      <c r="HG34" s="155">
        <f t="shared" si="197"/>
        <v>0</v>
      </c>
      <c r="HH34" s="130"/>
      <c r="HI34" s="17">
        <f t="shared" si="48"/>
        <v>29</v>
      </c>
      <c r="HJ34" s="60">
        <f t="shared" si="263"/>
        <v>0</v>
      </c>
      <c r="HK34" s="377">
        <f t="shared" si="198"/>
        <v>0</v>
      </c>
      <c r="HL34" s="61">
        <f t="shared" si="49"/>
        <v>255</v>
      </c>
      <c r="HM34" s="131"/>
      <c r="HN34" s="41">
        <f t="shared" si="283"/>
        <v>255</v>
      </c>
      <c r="HO34" s="18">
        <f t="shared" si="50"/>
        <v>79</v>
      </c>
      <c r="HP34" s="131"/>
      <c r="HQ34" s="41">
        <f t="shared" si="168"/>
        <v>79</v>
      </c>
    </row>
    <row r="35" spans="1:225" ht="17.25" thickBot="1" x14ac:dyDescent="0.3">
      <c r="B35" s="120">
        <f>B34+1</f>
        <v>24</v>
      </c>
      <c r="C35" s="570">
        <f>C34</f>
        <v>4</v>
      </c>
      <c r="D35" s="133"/>
      <c r="E35" s="408">
        <f t="shared" si="223"/>
        <v>96604</v>
      </c>
      <c r="F35" s="562">
        <f t="shared" si="0"/>
        <v>96560</v>
      </c>
      <c r="G35" s="134"/>
      <c r="H35" s="135">
        <v>44</v>
      </c>
      <c r="I35" s="135"/>
      <c r="J35" s="14">
        <f t="shared" si="200"/>
        <v>44</v>
      </c>
      <c r="K35" s="14">
        <f t="shared" si="52"/>
        <v>3963</v>
      </c>
      <c r="L35" s="14">
        <f t="shared" si="1"/>
        <v>0.3</v>
      </c>
      <c r="M35" s="47">
        <f t="shared" si="85"/>
        <v>4.5546768249761914E-2</v>
      </c>
      <c r="N35" s="35">
        <f t="shared" si="2"/>
        <v>2.1999999999999997</v>
      </c>
      <c r="O35" s="132">
        <f t="shared" si="53"/>
        <v>2.9383197526562026</v>
      </c>
      <c r="P35" s="142">
        <v>1200</v>
      </c>
      <c r="Q35" s="14">
        <f t="shared" si="3"/>
        <v>29</v>
      </c>
      <c r="R35" s="442">
        <f t="shared" si="4"/>
        <v>12.421845886298703</v>
      </c>
      <c r="S35" s="470">
        <f t="shared" si="201"/>
        <v>513.20739934825076</v>
      </c>
      <c r="T35" s="51">
        <f t="shared" si="5"/>
        <v>255</v>
      </c>
      <c r="U35" s="103">
        <f>U34</f>
        <v>235</v>
      </c>
      <c r="V35" s="46">
        <f t="shared" si="55"/>
        <v>20</v>
      </c>
      <c r="W35" s="50">
        <f t="shared" si="6"/>
        <v>79</v>
      </c>
      <c r="X35" s="103">
        <f>X34</f>
        <v>55</v>
      </c>
      <c r="Y35" s="46">
        <f t="shared" si="56"/>
        <v>24</v>
      </c>
      <c r="Z35" s="487"/>
      <c r="AA35" s="120">
        <f>AA34+1</f>
        <v>24</v>
      </c>
      <c r="AB35" s="7">
        <f>AB34</f>
        <v>4</v>
      </c>
      <c r="AC35" s="229"/>
      <c r="AD35" s="48">
        <f t="shared" ref="AD35:AD36" si="363">IFERROR(AE34+AC35,0)</f>
        <v>111613</v>
      </c>
      <c r="AE35" s="49">
        <f t="shared" si="324"/>
        <v>111570</v>
      </c>
      <c r="AF35" s="134"/>
      <c r="AG35" s="135">
        <v>43</v>
      </c>
      <c r="AH35" s="135"/>
      <c r="AI35" s="14">
        <f t="shared" si="203"/>
        <v>43</v>
      </c>
      <c r="AJ35" s="14">
        <f t="shared" si="321"/>
        <v>4556</v>
      </c>
      <c r="AK35" s="14">
        <f t="shared" si="8"/>
        <v>0.3</v>
      </c>
      <c r="AL35" s="47">
        <f t="shared" si="58"/>
        <v>3.8525978156666335E-2</v>
      </c>
      <c r="AM35" s="35">
        <f t="shared" si="9"/>
        <v>2.1999999999999997</v>
      </c>
      <c r="AN35" s="157">
        <f t="shared" si="169"/>
        <v>2.974356296025487</v>
      </c>
      <c r="AO35" s="134">
        <v>0</v>
      </c>
      <c r="AP35" s="14">
        <f t="shared" si="10"/>
        <v>29</v>
      </c>
      <c r="AQ35" s="482">
        <f t="shared" si="59"/>
        <v>0</v>
      </c>
      <c r="AR35" s="470">
        <f t="shared" si="323"/>
        <v>494.46402232190962</v>
      </c>
      <c r="AS35" s="51">
        <f t="shared" si="11"/>
        <v>255</v>
      </c>
      <c r="AT35" s="103">
        <f>AT34</f>
        <v>246</v>
      </c>
      <c r="AU35" s="46">
        <f t="shared" si="271"/>
        <v>9</v>
      </c>
      <c r="AV35" s="50">
        <f t="shared" si="12"/>
        <v>79</v>
      </c>
      <c r="AW35" s="103">
        <f>AW34</f>
        <v>63</v>
      </c>
      <c r="AX35" s="46">
        <f t="shared" si="170"/>
        <v>16</v>
      </c>
      <c r="AZ35" s="120">
        <f>AZ34+1</f>
        <v>24</v>
      </c>
      <c r="BA35" s="7">
        <f>BA34</f>
        <v>4</v>
      </c>
      <c r="BB35" s="133"/>
      <c r="BC35" s="48">
        <f t="shared" si="62"/>
        <v>71302</v>
      </c>
      <c r="BD35" s="49">
        <f t="shared" si="325"/>
        <v>71302</v>
      </c>
      <c r="BE35" s="134"/>
      <c r="BF35" s="135">
        <v>0</v>
      </c>
      <c r="BG35" s="135"/>
      <c r="BH35" s="14">
        <f t="shared" si="204"/>
        <v>0</v>
      </c>
      <c r="BI35" s="14">
        <f t="shared" si="294"/>
        <v>98</v>
      </c>
      <c r="BJ35" s="14">
        <f t="shared" si="14"/>
        <v>0.3</v>
      </c>
      <c r="BK35" s="47">
        <f t="shared" si="92"/>
        <v>0</v>
      </c>
      <c r="BL35" s="35">
        <f t="shared" si="15"/>
        <v>2.1999999999999997</v>
      </c>
      <c r="BM35" s="132">
        <f t="shared" si="326"/>
        <v>0.13725490196078433</v>
      </c>
      <c r="BN35" s="134">
        <v>0</v>
      </c>
      <c r="BO35" s="14">
        <f t="shared" si="17"/>
        <v>29</v>
      </c>
      <c r="BP35" s="442">
        <f t="shared" si="93"/>
        <v>0</v>
      </c>
      <c r="BQ35" s="747">
        <f t="shared" si="137"/>
        <v>428.12486891309032</v>
      </c>
      <c r="BR35" s="51">
        <f t="shared" si="18"/>
        <v>255</v>
      </c>
      <c r="BS35" s="103">
        <f>BS34</f>
        <v>231</v>
      </c>
      <c r="BT35" s="46">
        <f t="shared" si="272"/>
        <v>24</v>
      </c>
      <c r="BU35" s="50">
        <f t="shared" si="20"/>
        <v>79</v>
      </c>
      <c r="BV35" s="103">
        <f>BV34</f>
        <v>65</v>
      </c>
      <c r="BW35" s="46">
        <f t="shared" si="171"/>
        <v>14</v>
      </c>
      <c r="BY35" s="120">
        <v>4</v>
      </c>
      <c r="BZ35" s="7">
        <f>BZ34</f>
        <v>4</v>
      </c>
      <c r="CA35" s="133"/>
      <c r="CB35" s="14">
        <f t="shared" si="172"/>
        <v>0</v>
      </c>
      <c r="CC35" s="46">
        <f t="shared" si="205"/>
        <v>0</v>
      </c>
      <c r="CD35" s="405"/>
      <c r="CE35" s="406"/>
      <c r="CF35" s="406"/>
      <c r="CG35" s="14">
        <f t="shared" si="206"/>
        <v>0</v>
      </c>
      <c r="CH35" s="14">
        <f t="shared" si="173"/>
        <v>0</v>
      </c>
      <c r="CI35" s="14">
        <f t="shared" si="21"/>
        <v>0.3</v>
      </c>
      <c r="CJ35" s="47">
        <f t="shared" si="97"/>
        <v>0</v>
      </c>
      <c r="CK35" s="35">
        <f t="shared" si="22"/>
        <v>2.1999999999999997</v>
      </c>
      <c r="CL35" s="157">
        <f t="shared" si="140"/>
        <v>0</v>
      </c>
      <c r="CM35" s="134"/>
      <c r="CN35" s="14">
        <f t="shared" si="23"/>
        <v>29</v>
      </c>
      <c r="CO35" s="48">
        <f t="shared" si="141"/>
        <v>0</v>
      </c>
      <c r="CP35" s="68">
        <f t="shared" si="98"/>
        <v>0</v>
      </c>
      <c r="CQ35" s="51">
        <f t="shared" si="24"/>
        <v>255</v>
      </c>
      <c r="CR35" s="103">
        <f>CR34</f>
        <v>0</v>
      </c>
      <c r="CS35" s="46">
        <f t="shared" si="273"/>
        <v>255</v>
      </c>
      <c r="CT35" s="50">
        <f t="shared" si="25"/>
        <v>79</v>
      </c>
      <c r="CU35" s="103">
        <f>CU34</f>
        <v>0</v>
      </c>
      <c r="CV35" s="46">
        <f t="shared" si="67"/>
        <v>79</v>
      </c>
      <c r="CX35" s="120">
        <v>4</v>
      </c>
      <c r="CY35" s="7">
        <f>CY34</f>
        <v>4</v>
      </c>
      <c r="CZ35" s="133"/>
      <c r="DA35" s="14">
        <f t="shared" si="174"/>
        <v>0</v>
      </c>
      <c r="DB35" s="46">
        <f t="shared" si="274"/>
        <v>0</v>
      </c>
      <c r="DC35" s="405"/>
      <c r="DD35" s="406"/>
      <c r="DE35" s="406"/>
      <c r="DF35" s="14">
        <f t="shared" si="208"/>
        <v>0</v>
      </c>
      <c r="DG35" s="14">
        <f t="shared" si="175"/>
        <v>0</v>
      </c>
      <c r="DH35" s="14">
        <f t="shared" si="26"/>
        <v>0.3</v>
      </c>
      <c r="DI35" s="47">
        <f t="shared" si="209"/>
        <v>0</v>
      </c>
      <c r="DJ35" s="35">
        <f t="shared" si="27"/>
        <v>2.1999999999999997</v>
      </c>
      <c r="DK35" s="157">
        <f t="shared" si="177"/>
        <v>0</v>
      </c>
      <c r="DL35" s="134"/>
      <c r="DM35" s="14">
        <f t="shared" si="28"/>
        <v>29</v>
      </c>
      <c r="DN35" s="48">
        <f t="shared" si="259"/>
        <v>0</v>
      </c>
      <c r="DO35" s="68">
        <f t="shared" si="178"/>
        <v>0</v>
      </c>
      <c r="DP35" s="51">
        <f t="shared" si="29"/>
        <v>255</v>
      </c>
      <c r="DQ35" s="103">
        <f>DQ34</f>
        <v>0</v>
      </c>
      <c r="DR35" s="46">
        <f t="shared" si="275"/>
        <v>255</v>
      </c>
      <c r="DS35" s="50">
        <f t="shared" si="30"/>
        <v>79</v>
      </c>
      <c r="DT35" s="103">
        <f>DT34</f>
        <v>0</v>
      </c>
      <c r="DU35" s="46">
        <f t="shared" si="164"/>
        <v>79</v>
      </c>
      <c r="DW35" s="120">
        <v>4</v>
      </c>
      <c r="DX35" s="7">
        <f>DX34</f>
        <v>4</v>
      </c>
      <c r="DY35" s="133"/>
      <c r="DZ35" s="14">
        <f t="shared" si="179"/>
        <v>0</v>
      </c>
      <c r="EA35" s="46">
        <f t="shared" si="276"/>
        <v>0</v>
      </c>
      <c r="EB35" s="405"/>
      <c r="EC35" s="406"/>
      <c r="ED35" s="406"/>
      <c r="EE35" s="14">
        <f t="shared" si="211"/>
        <v>0</v>
      </c>
      <c r="EF35" s="14">
        <f t="shared" si="180"/>
        <v>0</v>
      </c>
      <c r="EG35" s="14">
        <f t="shared" si="31"/>
        <v>0.3</v>
      </c>
      <c r="EH35" s="47">
        <f t="shared" si="212"/>
        <v>0</v>
      </c>
      <c r="EI35" s="35">
        <f t="shared" si="32"/>
        <v>2.1999999999999997</v>
      </c>
      <c r="EJ35" s="157">
        <f t="shared" si="182"/>
        <v>0</v>
      </c>
      <c r="EK35" s="134"/>
      <c r="EL35" s="14">
        <f t="shared" si="33"/>
        <v>29</v>
      </c>
      <c r="EM35" s="48">
        <f t="shared" si="260"/>
        <v>0</v>
      </c>
      <c r="EN35" s="68">
        <f t="shared" si="183"/>
        <v>0</v>
      </c>
      <c r="EO35" s="51">
        <f t="shared" si="34"/>
        <v>255</v>
      </c>
      <c r="EP35" s="103">
        <f>EP34</f>
        <v>0</v>
      </c>
      <c r="EQ35" s="46">
        <f t="shared" si="277"/>
        <v>255</v>
      </c>
      <c r="ER35" s="50">
        <f t="shared" si="35"/>
        <v>79</v>
      </c>
      <c r="ES35" s="103">
        <f>ES34</f>
        <v>0</v>
      </c>
      <c r="ET35" s="46">
        <f t="shared" si="165"/>
        <v>79</v>
      </c>
      <c r="EV35" s="120">
        <v>4</v>
      </c>
      <c r="EW35" s="7">
        <f>EW34</f>
        <v>4</v>
      </c>
      <c r="EX35" s="133"/>
      <c r="EY35" s="14">
        <f t="shared" si="184"/>
        <v>0</v>
      </c>
      <c r="EZ35" s="46">
        <f t="shared" si="278"/>
        <v>0</v>
      </c>
      <c r="FA35" s="405"/>
      <c r="FB35" s="406"/>
      <c r="FC35" s="406"/>
      <c r="FD35" s="14">
        <f t="shared" si="214"/>
        <v>0</v>
      </c>
      <c r="FE35" s="14">
        <f t="shared" si="185"/>
        <v>0</v>
      </c>
      <c r="FF35" s="14">
        <f t="shared" si="36"/>
        <v>0.3</v>
      </c>
      <c r="FG35" s="47">
        <f t="shared" si="215"/>
        <v>0</v>
      </c>
      <c r="FH35" s="35">
        <f t="shared" si="37"/>
        <v>2.1999999999999997</v>
      </c>
      <c r="FI35" s="157">
        <f t="shared" si="187"/>
        <v>0</v>
      </c>
      <c r="FJ35" s="134"/>
      <c r="FK35" s="14">
        <f t="shared" si="38"/>
        <v>29</v>
      </c>
      <c r="FL35" s="48">
        <f t="shared" si="261"/>
        <v>0</v>
      </c>
      <c r="FM35" s="68">
        <f t="shared" si="188"/>
        <v>0</v>
      </c>
      <c r="FN35" s="51">
        <f t="shared" si="39"/>
        <v>255</v>
      </c>
      <c r="FO35" s="103">
        <f>FO34</f>
        <v>0</v>
      </c>
      <c r="FP35" s="46">
        <f t="shared" si="279"/>
        <v>255</v>
      </c>
      <c r="FQ35" s="50">
        <f t="shared" si="40"/>
        <v>79</v>
      </c>
      <c r="FR35" s="103">
        <f>FR34</f>
        <v>0</v>
      </c>
      <c r="FS35" s="46">
        <f t="shared" si="166"/>
        <v>79</v>
      </c>
      <c r="FU35" s="120">
        <v>4</v>
      </c>
      <c r="FV35" s="7">
        <f>FV34</f>
        <v>4</v>
      </c>
      <c r="FW35" s="133"/>
      <c r="FX35" s="14">
        <f t="shared" si="189"/>
        <v>0</v>
      </c>
      <c r="FY35" s="46">
        <f t="shared" si="280"/>
        <v>0</v>
      </c>
      <c r="FZ35" s="405"/>
      <c r="GA35" s="406"/>
      <c r="GB35" s="406"/>
      <c r="GC35" s="14">
        <f t="shared" si="217"/>
        <v>0</v>
      </c>
      <c r="GD35" s="14">
        <f t="shared" si="190"/>
        <v>0</v>
      </c>
      <c r="GE35" s="14">
        <f t="shared" si="41"/>
        <v>0.3</v>
      </c>
      <c r="GF35" s="47">
        <f t="shared" si="218"/>
        <v>0</v>
      </c>
      <c r="GG35" s="35">
        <f t="shared" si="42"/>
        <v>2.1999999999999997</v>
      </c>
      <c r="GH35" s="157">
        <f t="shared" si="192"/>
        <v>0</v>
      </c>
      <c r="GI35" s="134"/>
      <c r="GJ35" s="14">
        <f t="shared" si="43"/>
        <v>29</v>
      </c>
      <c r="GK35" s="48">
        <f t="shared" si="262"/>
        <v>0</v>
      </c>
      <c r="GL35" s="68">
        <f t="shared" si="193"/>
        <v>0</v>
      </c>
      <c r="GM35" s="51">
        <f t="shared" si="44"/>
        <v>255</v>
      </c>
      <c r="GN35" s="103">
        <f>GN34</f>
        <v>0</v>
      </c>
      <c r="GO35" s="46">
        <f t="shared" si="281"/>
        <v>255</v>
      </c>
      <c r="GP35" s="50">
        <f t="shared" si="45"/>
        <v>79</v>
      </c>
      <c r="GQ35" s="103">
        <f>GQ34</f>
        <v>0</v>
      </c>
      <c r="GR35" s="46">
        <f t="shared" si="167"/>
        <v>79</v>
      </c>
      <c r="GT35" s="120">
        <v>4</v>
      </c>
      <c r="GU35" s="7">
        <f>GU34</f>
        <v>4</v>
      </c>
      <c r="GV35" s="133"/>
      <c r="GW35" s="14">
        <f t="shared" si="194"/>
        <v>0</v>
      </c>
      <c r="GX35" s="46">
        <f t="shared" si="282"/>
        <v>0</v>
      </c>
      <c r="GY35" s="405"/>
      <c r="GZ35" s="406"/>
      <c r="HA35" s="406"/>
      <c r="HB35" s="14">
        <f t="shared" si="220"/>
        <v>0</v>
      </c>
      <c r="HC35" s="14">
        <f t="shared" si="195"/>
        <v>0</v>
      </c>
      <c r="HD35" s="14">
        <f t="shared" si="46"/>
        <v>0.3</v>
      </c>
      <c r="HE35" s="47">
        <f t="shared" si="221"/>
        <v>0</v>
      </c>
      <c r="HF35" s="35">
        <f t="shared" si="47"/>
        <v>2.1999999999999997</v>
      </c>
      <c r="HG35" s="157">
        <f t="shared" si="197"/>
        <v>0</v>
      </c>
      <c r="HH35" s="134"/>
      <c r="HI35" s="14">
        <f t="shared" si="48"/>
        <v>29</v>
      </c>
      <c r="HJ35" s="48">
        <f t="shared" si="263"/>
        <v>0</v>
      </c>
      <c r="HK35" s="68">
        <f t="shared" si="198"/>
        <v>0</v>
      </c>
      <c r="HL35" s="51">
        <f t="shared" si="49"/>
        <v>255</v>
      </c>
      <c r="HM35" s="103">
        <f>HM34</f>
        <v>0</v>
      </c>
      <c r="HN35" s="46">
        <f t="shared" si="283"/>
        <v>255</v>
      </c>
      <c r="HO35" s="50">
        <f t="shared" si="50"/>
        <v>79</v>
      </c>
      <c r="HP35" s="103">
        <f>HP34</f>
        <v>0</v>
      </c>
      <c r="HQ35" s="46">
        <f t="shared" si="168"/>
        <v>79</v>
      </c>
    </row>
    <row r="36" spans="1:225" ht="17.25" thickBot="1" x14ac:dyDescent="0.3">
      <c r="B36" s="120">
        <f t="shared" ref="B36:B39" si="364">B35+1</f>
        <v>25</v>
      </c>
      <c r="C36" s="570">
        <f t="shared" ref="C36:C40" si="365">C35</f>
        <v>4</v>
      </c>
      <c r="D36" s="133"/>
      <c r="E36" s="408">
        <f t="shared" si="223"/>
        <v>96560</v>
      </c>
      <c r="F36" s="562">
        <f>IFERROR(E36-J36,0)</f>
        <v>96535</v>
      </c>
      <c r="G36" s="134"/>
      <c r="H36" s="135">
        <v>25</v>
      </c>
      <c r="I36" s="135"/>
      <c r="J36" s="14">
        <f t="shared" si="200"/>
        <v>25</v>
      </c>
      <c r="K36" s="14">
        <f t="shared" si="52"/>
        <v>3988</v>
      </c>
      <c r="L36" s="14">
        <f t="shared" si="1"/>
        <v>0.3</v>
      </c>
      <c r="M36" s="47">
        <f t="shared" si="85"/>
        <v>2.5890637945318973E-2</v>
      </c>
      <c r="N36" s="35">
        <f t="shared" si="2"/>
        <v>2.1999999999999997</v>
      </c>
      <c r="O36" s="132">
        <f t="shared" si="53"/>
        <v>2.9568557087037437</v>
      </c>
      <c r="P36" s="142">
        <v>200</v>
      </c>
      <c r="Q36" s="14">
        <f t="shared" si="3"/>
        <v>29</v>
      </c>
      <c r="R36" s="442">
        <f t="shared" si="4"/>
        <v>2.0712510356255178</v>
      </c>
      <c r="S36" s="470">
        <f t="shared" si="201"/>
        <v>515.27865038387631</v>
      </c>
      <c r="T36" s="51">
        <f t="shared" si="5"/>
        <v>255</v>
      </c>
      <c r="U36" s="103">
        <f t="shared" ref="U36:U40" si="366">U35</f>
        <v>235</v>
      </c>
      <c r="V36" s="46">
        <f t="shared" si="55"/>
        <v>20</v>
      </c>
      <c r="W36" s="50">
        <f t="shared" si="6"/>
        <v>79</v>
      </c>
      <c r="X36" s="103">
        <f t="shared" ref="X36:X40" si="367">X35</f>
        <v>55</v>
      </c>
      <c r="Y36" s="46">
        <f t="shared" si="56"/>
        <v>24</v>
      </c>
      <c r="Z36" s="487"/>
      <c r="AA36" s="120">
        <f t="shared" ref="AA36:AA39" si="368">AA35+1</f>
        <v>25</v>
      </c>
      <c r="AB36" s="7">
        <f t="shared" ref="AB36:AB40" si="369">AB35</f>
        <v>4</v>
      </c>
      <c r="AC36" s="229"/>
      <c r="AD36" s="48">
        <f t="shared" si="363"/>
        <v>111570</v>
      </c>
      <c r="AE36" s="447">
        <f t="shared" si="324"/>
        <v>111538</v>
      </c>
      <c r="AF36" s="134"/>
      <c r="AG36" s="135">
        <v>32</v>
      </c>
      <c r="AH36" s="135"/>
      <c r="AI36" s="14">
        <f t="shared" si="203"/>
        <v>32</v>
      </c>
      <c r="AJ36" s="14">
        <f t="shared" si="321"/>
        <v>4588</v>
      </c>
      <c r="AK36" s="14">
        <f t="shared" si="8"/>
        <v>0.3</v>
      </c>
      <c r="AL36" s="231">
        <f t="shared" si="58"/>
        <v>2.8681545218248634E-2</v>
      </c>
      <c r="AM36" s="35">
        <f t="shared" si="9"/>
        <v>2.1999999999999997</v>
      </c>
      <c r="AN36" s="157">
        <f t="shared" si="169"/>
        <v>2.9952472972267197</v>
      </c>
      <c r="AO36" s="134">
        <v>400</v>
      </c>
      <c r="AP36" s="14">
        <f t="shared" si="10"/>
        <v>29</v>
      </c>
      <c r="AQ36" s="442">
        <f t="shared" si="59"/>
        <v>3.5851931522810792</v>
      </c>
      <c r="AR36" s="470">
        <f t="shared" si="323"/>
        <v>498.0492154741907</v>
      </c>
      <c r="AS36" s="51">
        <f t="shared" si="11"/>
        <v>255</v>
      </c>
      <c r="AT36" s="103">
        <f t="shared" ref="AT36:AT40" si="370">AT35</f>
        <v>246</v>
      </c>
      <c r="AU36" s="46">
        <f t="shared" si="271"/>
        <v>9</v>
      </c>
      <c r="AV36" s="50">
        <f t="shared" si="12"/>
        <v>79</v>
      </c>
      <c r="AW36" s="103">
        <f t="shared" ref="AW36:AW40" si="371">AW35</f>
        <v>63</v>
      </c>
      <c r="AX36" s="46">
        <f t="shared" si="170"/>
        <v>16</v>
      </c>
      <c r="AZ36" s="120">
        <f t="shared" ref="AZ36:AZ39" si="372">AZ35+1</f>
        <v>25</v>
      </c>
      <c r="BA36" s="7">
        <f t="shared" ref="BA36:BA40" si="373">BA35</f>
        <v>4</v>
      </c>
      <c r="BB36" s="133"/>
      <c r="BC36" s="48">
        <f t="shared" si="62"/>
        <v>71302</v>
      </c>
      <c r="BD36" s="447">
        <f t="shared" si="325"/>
        <v>71285</v>
      </c>
      <c r="BE36" s="134"/>
      <c r="BF36" s="135">
        <v>17</v>
      </c>
      <c r="BG36" s="135"/>
      <c r="BH36" s="14">
        <f t="shared" si="204"/>
        <v>17</v>
      </c>
      <c r="BI36" s="14">
        <f t="shared" si="294"/>
        <v>115</v>
      </c>
      <c r="BJ36" s="14">
        <f t="shared" si="14"/>
        <v>0.3</v>
      </c>
      <c r="BK36" s="47">
        <f t="shared" si="92"/>
        <v>2.3842248464278702E-2</v>
      </c>
      <c r="BL36" s="35">
        <f t="shared" si="15"/>
        <v>2.1999999999999997</v>
      </c>
      <c r="BM36" s="132">
        <f t="shared" si="326"/>
        <v>0.16106442577030813</v>
      </c>
      <c r="BN36" s="134">
        <v>0</v>
      </c>
      <c r="BO36" s="14">
        <f t="shared" si="17"/>
        <v>29</v>
      </c>
      <c r="BP36" s="442">
        <f t="shared" si="93"/>
        <v>0</v>
      </c>
      <c r="BQ36" s="747">
        <f t="shared" si="137"/>
        <v>428.12486891309032</v>
      </c>
      <c r="BR36" s="51">
        <f t="shared" si="18"/>
        <v>255</v>
      </c>
      <c r="BS36" s="103">
        <f t="shared" ref="BS36:BS40" si="374">BS35</f>
        <v>231</v>
      </c>
      <c r="BT36" s="46">
        <f t="shared" si="272"/>
        <v>24</v>
      </c>
      <c r="BU36" s="50">
        <f t="shared" si="20"/>
        <v>79</v>
      </c>
      <c r="BV36" s="103">
        <f t="shared" ref="BV36:BV40" si="375">BV35</f>
        <v>65</v>
      </c>
      <c r="BW36" s="46">
        <f t="shared" si="171"/>
        <v>14</v>
      </c>
      <c r="BY36" s="120">
        <v>5</v>
      </c>
      <c r="BZ36" s="7">
        <f t="shared" ref="BZ36:BZ40" si="376">BZ35</f>
        <v>4</v>
      </c>
      <c r="CA36" s="229"/>
      <c r="CB36" s="14">
        <f t="shared" si="172"/>
        <v>0</v>
      </c>
      <c r="CC36" s="62">
        <f t="shared" si="205"/>
        <v>0</v>
      </c>
      <c r="CD36" s="405"/>
      <c r="CE36" s="406"/>
      <c r="CF36" s="406"/>
      <c r="CG36" s="14">
        <f t="shared" si="206"/>
        <v>0</v>
      </c>
      <c r="CH36" s="14">
        <f t="shared" si="173"/>
        <v>0</v>
      </c>
      <c r="CI36" s="14">
        <f t="shared" si="21"/>
        <v>0.3</v>
      </c>
      <c r="CJ36" s="47">
        <f t="shared" si="97"/>
        <v>0</v>
      </c>
      <c r="CK36" s="35">
        <f t="shared" si="22"/>
        <v>2.1999999999999997</v>
      </c>
      <c r="CL36" s="157">
        <f t="shared" si="140"/>
        <v>0</v>
      </c>
      <c r="CM36" s="134"/>
      <c r="CN36" s="14">
        <f t="shared" si="23"/>
        <v>29</v>
      </c>
      <c r="CO36" s="48">
        <f t="shared" si="141"/>
        <v>0</v>
      </c>
      <c r="CP36" s="68">
        <f t="shared" si="98"/>
        <v>0</v>
      </c>
      <c r="CQ36" s="51">
        <f t="shared" si="24"/>
        <v>255</v>
      </c>
      <c r="CR36" s="103">
        <f t="shared" ref="CR36:CR40" si="377">CR35</f>
        <v>0</v>
      </c>
      <c r="CS36" s="46">
        <f t="shared" si="273"/>
        <v>255</v>
      </c>
      <c r="CT36" s="50">
        <f t="shared" si="25"/>
        <v>79</v>
      </c>
      <c r="CU36" s="103">
        <f t="shared" ref="CU36:CU40" si="378">CU35</f>
        <v>0</v>
      </c>
      <c r="CV36" s="46">
        <f t="shared" si="67"/>
        <v>79</v>
      </c>
      <c r="CX36" s="120">
        <v>5</v>
      </c>
      <c r="CY36" s="7">
        <f t="shared" ref="CY36:CY40" si="379">CY35</f>
        <v>4</v>
      </c>
      <c r="CZ36" s="229"/>
      <c r="DA36" s="14">
        <f t="shared" si="174"/>
        <v>0</v>
      </c>
      <c r="DB36" s="62">
        <f t="shared" si="274"/>
        <v>0</v>
      </c>
      <c r="DC36" s="405"/>
      <c r="DD36" s="406"/>
      <c r="DE36" s="406"/>
      <c r="DF36" s="14">
        <f t="shared" si="208"/>
        <v>0</v>
      </c>
      <c r="DG36" s="14">
        <f t="shared" si="175"/>
        <v>0</v>
      </c>
      <c r="DH36" s="14">
        <f t="shared" si="26"/>
        <v>0.3</v>
      </c>
      <c r="DI36" s="47">
        <f t="shared" si="209"/>
        <v>0</v>
      </c>
      <c r="DJ36" s="35">
        <f t="shared" si="27"/>
        <v>2.1999999999999997</v>
      </c>
      <c r="DK36" s="157">
        <f t="shared" si="177"/>
        <v>0</v>
      </c>
      <c r="DL36" s="134"/>
      <c r="DM36" s="14">
        <f t="shared" si="28"/>
        <v>29</v>
      </c>
      <c r="DN36" s="48">
        <f t="shared" si="259"/>
        <v>0</v>
      </c>
      <c r="DO36" s="68">
        <f t="shared" si="178"/>
        <v>0</v>
      </c>
      <c r="DP36" s="51">
        <f t="shared" si="29"/>
        <v>255</v>
      </c>
      <c r="DQ36" s="103">
        <f t="shared" ref="DQ36:DQ40" si="380">DQ35</f>
        <v>0</v>
      </c>
      <c r="DR36" s="46">
        <f t="shared" si="275"/>
        <v>255</v>
      </c>
      <c r="DS36" s="50">
        <f t="shared" si="30"/>
        <v>79</v>
      </c>
      <c r="DT36" s="103">
        <f t="shared" ref="DT36:DT40" si="381">DT35</f>
        <v>0</v>
      </c>
      <c r="DU36" s="46">
        <f t="shared" si="164"/>
        <v>79</v>
      </c>
      <c r="DW36" s="120">
        <v>5</v>
      </c>
      <c r="DX36" s="7">
        <f t="shared" ref="DX36:DX40" si="382">DX35</f>
        <v>4</v>
      </c>
      <c r="DY36" s="229"/>
      <c r="DZ36" s="14">
        <f t="shared" si="179"/>
        <v>0</v>
      </c>
      <c r="EA36" s="62">
        <f t="shared" si="276"/>
        <v>0</v>
      </c>
      <c r="EB36" s="405"/>
      <c r="EC36" s="406"/>
      <c r="ED36" s="406"/>
      <c r="EE36" s="14">
        <f t="shared" si="211"/>
        <v>0</v>
      </c>
      <c r="EF36" s="14">
        <f t="shared" si="180"/>
        <v>0</v>
      </c>
      <c r="EG36" s="14">
        <f t="shared" si="31"/>
        <v>0.3</v>
      </c>
      <c r="EH36" s="47">
        <f t="shared" si="212"/>
        <v>0</v>
      </c>
      <c r="EI36" s="35">
        <f t="shared" si="32"/>
        <v>2.1999999999999997</v>
      </c>
      <c r="EJ36" s="157">
        <f t="shared" si="182"/>
        <v>0</v>
      </c>
      <c r="EK36" s="134"/>
      <c r="EL36" s="14">
        <f t="shared" si="33"/>
        <v>29</v>
      </c>
      <c r="EM36" s="48">
        <f t="shared" si="260"/>
        <v>0</v>
      </c>
      <c r="EN36" s="68">
        <f t="shared" si="183"/>
        <v>0</v>
      </c>
      <c r="EO36" s="51">
        <f t="shared" si="34"/>
        <v>255</v>
      </c>
      <c r="EP36" s="103">
        <f t="shared" ref="EP36:EP40" si="383">EP35</f>
        <v>0</v>
      </c>
      <c r="EQ36" s="46">
        <f t="shared" si="277"/>
        <v>255</v>
      </c>
      <c r="ER36" s="50">
        <f t="shared" si="35"/>
        <v>79</v>
      </c>
      <c r="ES36" s="103">
        <f t="shared" ref="ES36:ES40" si="384">ES35</f>
        <v>0</v>
      </c>
      <c r="ET36" s="46">
        <f t="shared" si="165"/>
        <v>79</v>
      </c>
      <c r="EV36" s="120">
        <v>5</v>
      </c>
      <c r="EW36" s="7">
        <f t="shared" ref="EW36:EW40" si="385">EW35</f>
        <v>4</v>
      </c>
      <c r="EX36" s="229"/>
      <c r="EY36" s="14">
        <f t="shared" si="184"/>
        <v>0</v>
      </c>
      <c r="EZ36" s="62">
        <f t="shared" si="278"/>
        <v>0</v>
      </c>
      <c r="FA36" s="405"/>
      <c r="FB36" s="406"/>
      <c r="FC36" s="406"/>
      <c r="FD36" s="14">
        <f t="shared" si="214"/>
        <v>0</v>
      </c>
      <c r="FE36" s="14">
        <f t="shared" si="185"/>
        <v>0</v>
      </c>
      <c r="FF36" s="14">
        <f t="shared" si="36"/>
        <v>0.3</v>
      </c>
      <c r="FG36" s="47">
        <f t="shared" si="215"/>
        <v>0</v>
      </c>
      <c r="FH36" s="35">
        <f t="shared" si="37"/>
        <v>2.1999999999999997</v>
      </c>
      <c r="FI36" s="157">
        <f t="shared" si="187"/>
        <v>0</v>
      </c>
      <c r="FJ36" s="134"/>
      <c r="FK36" s="14">
        <f t="shared" si="38"/>
        <v>29</v>
      </c>
      <c r="FL36" s="48">
        <f t="shared" si="261"/>
        <v>0</v>
      </c>
      <c r="FM36" s="68">
        <f t="shared" si="188"/>
        <v>0</v>
      </c>
      <c r="FN36" s="51">
        <f t="shared" si="39"/>
        <v>255</v>
      </c>
      <c r="FO36" s="103">
        <f t="shared" ref="FO36:FO40" si="386">FO35</f>
        <v>0</v>
      </c>
      <c r="FP36" s="46">
        <f t="shared" si="279"/>
        <v>255</v>
      </c>
      <c r="FQ36" s="50">
        <f t="shared" si="40"/>
        <v>79</v>
      </c>
      <c r="FR36" s="103">
        <f t="shared" ref="FR36:FR40" si="387">FR35</f>
        <v>0</v>
      </c>
      <c r="FS36" s="46">
        <f t="shared" si="166"/>
        <v>79</v>
      </c>
      <c r="FU36" s="120">
        <v>5</v>
      </c>
      <c r="FV36" s="7">
        <f t="shared" ref="FV36:FV40" si="388">FV35</f>
        <v>4</v>
      </c>
      <c r="FW36" s="229"/>
      <c r="FX36" s="14">
        <f t="shared" si="189"/>
        <v>0</v>
      </c>
      <c r="FY36" s="62">
        <f t="shared" si="280"/>
        <v>0</v>
      </c>
      <c r="FZ36" s="405"/>
      <c r="GA36" s="406"/>
      <c r="GB36" s="406"/>
      <c r="GC36" s="14">
        <f t="shared" si="217"/>
        <v>0</v>
      </c>
      <c r="GD36" s="14">
        <f t="shared" si="190"/>
        <v>0</v>
      </c>
      <c r="GE36" s="14">
        <f t="shared" si="41"/>
        <v>0.3</v>
      </c>
      <c r="GF36" s="47">
        <f t="shared" si="218"/>
        <v>0</v>
      </c>
      <c r="GG36" s="35">
        <f t="shared" si="42"/>
        <v>2.1999999999999997</v>
      </c>
      <c r="GH36" s="157">
        <f t="shared" si="192"/>
        <v>0</v>
      </c>
      <c r="GI36" s="134"/>
      <c r="GJ36" s="14">
        <f t="shared" si="43"/>
        <v>29</v>
      </c>
      <c r="GK36" s="48">
        <f t="shared" si="262"/>
        <v>0</v>
      </c>
      <c r="GL36" s="68">
        <f t="shared" si="193"/>
        <v>0</v>
      </c>
      <c r="GM36" s="51">
        <f t="shared" si="44"/>
        <v>255</v>
      </c>
      <c r="GN36" s="103">
        <f t="shared" ref="GN36:GN40" si="389">GN35</f>
        <v>0</v>
      </c>
      <c r="GO36" s="46">
        <f t="shared" si="281"/>
        <v>255</v>
      </c>
      <c r="GP36" s="50">
        <f t="shared" si="45"/>
        <v>79</v>
      </c>
      <c r="GQ36" s="103">
        <f t="shared" ref="GQ36:GQ40" si="390">GQ35</f>
        <v>0</v>
      </c>
      <c r="GR36" s="46">
        <f t="shared" si="167"/>
        <v>79</v>
      </c>
      <c r="GT36" s="120">
        <v>5</v>
      </c>
      <c r="GU36" s="7">
        <f t="shared" ref="GU36:GU40" si="391">GU35</f>
        <v>4</v>
      </c>
      <c r="GV36" s="229"/>
      <c r="GW36" s="14">
        <f t="shared" si="194"/>
        <v>0</v>
      </c>
      <c r="GX36" s="62">
        <f t="shared" si="282"/>
        <v>0</v>
      </c>
      <c r="GY36" s="405"/>
      <c r="GZ36" s="406"/>
      <c r="HA36" s="406"/>
      <c r="HB36" s="14">
        <f t="shared" si="220"/>
        <v>0</v>
      </c>
      <c r="HC36" s="14">
        <f t="shared" si="195"/>
        <v>0</v>
      </c>
      <c r="HD36" s="14">
        <f t="shared" si="46"/>
        <v>0.3</v>
      </c>
      <c r="HE36" s="47">
        <f t="shared" si="221"/>
        <v>0</v>
      </c>
      <c r="HF36" s="35">
        <f t="shared" si="47"/>
        <v>2.1999999999999997</v>
      </c>
      <c r="HG36" s="157">
        <f t="shared" si="197"/>
        <v>0</v>
      </c>
      <c r="HH36" s="134"/>
      <c r="HI36" s="14">
        <f t="shared" si="48"/>
        <v>29</v>
      </c>
      <c r="HJ36" s="48">
        <f t="shared" si="263"/>
        <v>0</v>
      </c>
      <c r="HK36" s="68">
        <f t="shared" si="198"/>
        <v>0</v>
      </c>
      <c r="HL36" s="51">
        <f t="shared" si="49"/>
        <v>255</v>
      </c>
      <c r="HM36" s="103">
        <f t="shared" ref="HM36:HM40" si="392">HM35</f>
        <v>0</v>
      </c>
      <c r="HN36" s="46">
        <f t="shared" si="283"/>
        <v>255</v>
      </c>
      <c r="HO36" s="50">
        <f t="shared" si="50"/>
        <v>79</v>
      </c>
      <c r="HP36" s="103">
        <f t="shared" ref="HP36:HP40" si="393">HP35</f>
        <v>0</v>
      </c>
      <c r="HQ36" s="46">
        <f t="shared" si="168"/>
        <v>79</v>
      </c>
    </row>
    <row r="37" spans="1:225" ht="17.25" thickBot="1" x14ac:dyDescent="0.3">
      <c r="B37" s="120">
        <f t="shared" si="364"/>
        <v>26</v>
      </c>
      <c r="C37" s="570">
        <f t="shared" si="365"/>
        <v>4</v>
      </c>
      <c r="D37" s="757">
        <f>7056</f>
        <v>7056</v>
      </c>
      <c r="E37" s="408">
        <f>IFERROR(F36+D37-D38,0)</f>
        <v>96451</v>
      </c>
      <c r="F37" s="562">
        <f>IFERROR(E37-J37,0)</f>
        <v>96411</v>
      </c>
      <c r="G37" s="134"/>
      <c r="H37" s="135">
        <v>40</v>
      </c>
      <c r="I37" s="135"/>
      <c r="J37" s="14">
        <f t="shared" si="200"/>
        <v>40</v>
      </c>
      <c r="K37" s="14">
        <f t="shared" si="52"/>
        <v>4028</v>
      </c>
      <c r="L37" s="14">
        <f t="shared" si="1"/>
        <v>0.3</v>
      </c>
      <c r="M37" s="47">
        <f t="shared" si="85"/>
        <v>4.1471835439756972E-2</v>
      </c>
      <c r="N37" s="35">
        <f t="shared" si="2"/>
        <v>2.1999999999999997</v>
      </c>
      <c r="O37" s="132">
        <f t="shared" si="53"/>
        <v>2.9865132383798092</v>
      </c>
      <c r="P37" s="142">
        <v>200</v>
      </c>
      <c r="Q37" s="14">
        <f t="shared" si="3"/>
        <v>29</v>
      </c>
      <c r="R37" s="442">
        <f t="shared" si="4"/>
        <v>2.0735917719878487</v>
      </c>
      <c r="S37" s="470">
        <f t="shared" si="201"/>
        <v>517.35224215586413</v>
      </c>
      <c r="T37" s="51">
        <f t="shared" si="5"/>
        <v>255</v>
      </c>
      <c r="U37" s="103">
        <f t="shared" si="366"/>
        <v>235</v>
      </c>
      <c r="V37" s="46">
        <f t="shared" si="55"/>
        <v>20</v>
      </c>
      <c r="W37" s="51">
        <f t="shared" si="6"/>
        <v>79</v>
      </c>
      <c r="X37" s="103">
        <f t="shared" si="367"/>
        <v>55</v>
      </c>
      <c r="Y37" s="46">
        <f t="shared" si="56"/>
        <v>24</v>
      </c>
      <c r="Z37" s="685" t="s">
        <v>174</v>
      </c>
      <c r="AA37" s="324">
        <f t="shared" si="368"/>
        <v>26</v>
      </c>
      <c r="AB37" s="477">
        <f t="shared" si="369"/>
        <v>4</v>
      </c>
      <c r="AC37" s="484">
        <v>7056</v>
      </c>
      <c r="AD37" s="48">
        <f>IFERROR(AE36-AC37,0)</f>
        <v>104482</v>
      </c>
      <c r="AE37" s="49">
        <f>IFERROR(AD37-AI37,0)</f>
        <v>104411</v>
      </c>
      <c r="AF37" s="134"/>
      <c r="AG37" s="135">
        <v>71</v>
      </c>
      <c r="AH37" s="135"/>
      <c r="AI37" s="14">
        <f t="shared" si="203"/>
        <v>71</v>
      </c>
      <c r="AJ37" s="14">
        <f t="shared" si="321"/>
        <v>4659</v>
      </c>
      <c r="AK37" s="14">
        <f t="shared" si="8"/>
        <v>0.3</v>
      </c>
      <c r="AL37" s="230">
        <f t="shared" si="58"/>
        <v>6.7954288777014218E-2</v>
      </c>
      <c r="AM37" s="35">
        <f t="shared" si="9"/>
        <v>2.1999999999999997</v>
      </c>
      <c r="AN37" s="157">
        <f>IFERROR((AJ37*100)/$AC$19,0)</f>
        <v>3.0415992061419543</v>
      </c>
      <c r="AO37" s="134">
        <v>600</v>
      </c>
      <c r="AP37" s="14">
        <f t="shared" si="10"/>
        <v>29</v>
      </c>
      <c r="AQ37" s="482">
        <f t="shared" si="59"/>
        <v>5.7426159529871175</v>
      </c>
      <c r="AR37" s="470">
        <f t="shared" si="323"/>
        <v>503.79183142717784</v>
      </c>
      <c r="AS37" s="51">
        <f t="shared" si="11"/>
        <v>255</v>
      </c>
      <c r="AT37" s="103">
        <f t="shared" si="370"/>
        <v>246</v>
      </c>
      <c r="AU37" s="46">
        <f t="shared" si="271"/>
        <v>9</v>
      </c>
      <c r="AV37" s="51">
        <f t="shared" si="12"/>
        <v>79</v>
      </c>
      <c r="AW37" s="103">
        <f t="shared" si="371"/>
        <v>63</v>
      </c>
      <c r="AX37" s="46">
        <f t="shared" si="170"/>
        <v>16</v>
      </c>
      <c r="AZ37" s="120">
        <f t="shared" si="372"/>
        <v>26</v>
      </c>
      <c r="BA37" s="7">
        <f t="shared" si="373"/>
        <v>4</v>
      </c>
      <c r="BB37" s="133"/>
      <c r="BC37" s="48">
        <f t="shared" si="62"/>
        <v>71285</v>
      </c>
      <c r="BD37" s="49">
        <f>IFERROR(BC37-BH37,0)</f>
        <v>71272</v>
      </c>
      <c r="BE37" s="134"/>
      <c r="BF37" s="135">
        <v>13</v>
      </c>
      <c r="BG37" s="135"/>
      <c r="BH37" s="14">
        <f t="shared" si="204"/>
        <v>13</v>
      </c>
      <c r="BI37" s="14">
        <f t="shared" si="294"/>
        <v>128</v>
      </c>
      <c r="BJ37" s="14">
        <f t="shared" si="14"/>
        <v>0.3</v>
      </c>
      <c r="BK37" s="47">
        <f t="shared" si="92"/>
        <v>1.8236655677912605E-2</v>
      </c>
      <c r="BL37" s="35">
        <f t="shared" si="15"/>
        <v>2.1999999999999997</v>
      </c>
      <c r="BM37" s="132">
        <f t="shared" si="326"/>
        <v>0.17927170868347339</v>
      </c>
      <c r="BN37" s="134">
        <v>200</v>
      </c>
      <c r="BO37" s="14">
        <f t="shared" si="17"/>
        <v>29</v>
      </c>
      <c r="BP37" s="442">
        <f t="shared" si="93"/>
        <v>2.8056393350634776</v>
      </c>
      <c r="BQ37" s="747">
        <f>BQ36+BP37</f>
        <v>430.93050824815379</v>
      </c>
      <c r="BR37" s="51">
        <f t="shared" si="18"/>
        <v>255</v>
      </c>
      <c r="BS37" s="103">
        <f t="shared" si="374"/>
        <v>231</v>
      </c>
      <c r="BT37" s="46">
        <f t="shared" si="272"/>
        <v>24</v>
      </c>
      <c r="BU37" s="51">
        <f t="shared" si="20"/>
        <v>79</v>
      </c>
      <c r="BV37" s="103">
        <f t="shared" si="375"/>
        <v>65</v>
      </c>
      <c r="BW37" s="46">
        <f t="shared" si="171"/>
        <v>14</v>
      </c>
      <c r="BY37" s="120">
        <v>6</v>
      </c>
      <c r="BZ37" s="7">
        <f t="shared" si="376"/>
        <v>4</v>
      </c>
      <c r="CA37" s="496"/>
      <c r="CB37" s="14">
        <f t="shared" si="172"/>
        <v>0</v>
      </c>
      <c r="CC37" s="46">
        <f t="shared" si="205"/>
        <v>0</v>
      </c>
      <c r="CD37" s="405"/>
      <c r="CE37" s="406"/>
      <c r="CF37" s="406"/>
      <c r="CG37" s="14">
        <f t="shared" si="206"/>
        <v>0</v>
      </c>
      <c r="CH37" s="14">
        <f t="shared" si="173"/>
        <v>0</v>
      </c>
      <c r="CI37" s="14">
        <f t="shared" si="21"/>
        <v>0.3</v>
      </c>
      <c r="CJ37" s="47">
        <f t="shared" si="97"/>
        <v>0</v>
      </c>
      <c r="CK37" s="35">
        <f t="shared" si="22"/>
        <v>2.1999999999999997</v>
      </c>
      <c r="CL37" s="157">
        <f t="shared" si="140"/>
        <v>0</v>
      </c>
      <c r="CM37" s="134"/>
      <c r="CN37" s="14">
        <f t="shared" si="23"/>
        <v>29</v>
      </c>
      <c r="CO37" s="48">
        <f t="shared" si="141"/>
        <v>0</v>
      </c>
      <c r="CP37" s="68">
        <f t="shared" si="98"/>
        <v>0</v>
      </c>
      <c r="CQ37" s="51">
        <f t="shared" si="24"/>
        <v>255</v>
      </c>
      <c r="CR37" s="103">
        <f t="shared" si="377"/>
        <v>0</v>
      </c>
      <c r="CS37" s="46">
        <f t="shared" si="273"/>
        <v>255</v>
      </c>
      <c r="CT37" s="50">
        <f t="shared" si="25"/>
        <v>79</v>
      </c>
      <c r="CU37" s="103">
        <f t="shared" si="378"/>
        <v>0</v>
      </c>
      <c r="CV37" s="46">
        <f t="shared" si="67"/>
        <v>79</v>
      </c>
      <c r="CX37" s="120">
        <v>6</v>
      </c>
      <c r="CY37" s="7">
        <f t="shared" si="379"/>
        <v>4</v>
      </c>
      <c r="CZ37" s="496"/>
      <c r="DA37" s="14">
        <f t="shared" si="174"/>
        <v>0</v>
      </c>
      <c r="DB37" s="46">
        <f t="shared" si="274"/>
        <v>0</v>
      </c>
      <c r="DC37" s="405"/>
      <c r="DD37" s="406"/>
      <c r="DE37" s="406"/>
      <c r="DF37" s="14">
        <f t="shared" si="208"/>
        <v>0</v>
      </c>
      <c r="DG37" s="14">
        <f t="shared" si="175"/>
        <v>0</v>
      </c>
      <c r="DH37" s="14">
        <f t="shared" si="26"/>
        <v>0.3</v>
      </c>
      <c r="DI37" s="47">
        <f t="shared" si="209"/>
        <v>0</v>
      </c>
      <c r="DJ37" s="35">
        <f t="shared" si="27"/>
        <v>2.1999999999999997</v>
      </c>
      <c r="DK37" s="157">
        <f t="shared" si="177"/>
        <v>0</v>
      </c>
      <c r="DL37" s="134"/>
      <c r="DM37" s="14">
        <f t="shared" si="28"/>
        <v>29</v>
      </c>
      <c r="DN37" s="48">
        <f t="shared" si="259"/>
        <v>0</v>
      </c>
      <c r="DO37" s="68">
        <f t="shared" si="178"/>
        <v>0</v>
      </c>
      <c r="DP37" s="51">
        <f t="shared" si="29"/>
        <v>255</v>
      </c>
      <c r="DQ37" s="103">
        <f t="shared" si="380"/>
        <v>0</v>
      </c>
      <c r="DR37" s="46">
        <f t="shared" si="275"/>
        <v>255</v>
      </c>
      <c r="DS37" s="50">
        <f t="shared" si="30"/>
        <v>79</v>
      </c>
      <c r="DT37" s="103">
        <f t="shared" si="381"/>
        <v>0</v>
      </c>
      <c r="DU37" s="46">
        <f t="shared" si="164"/>
        <v>79</v>
      </c>
      <c r="DW37" s="120">
        <v>6</v>
      </c>
      <c r="DX37" s="7">
        <f t="shared" si="382"/>
        <v>4</v>
      </c>
      <c r="DY37" s="496"/>
      <c r="DZ37" s="14">
        <f t="shared" si="179"/>
        <v>0</v>
      </c>
      <c r="EA37" s="46">
        <f t="shared" si="276"/>
        <v>0</v>
      </c>
      <c r="EB37" s="405"/>
      <c r="EC37" s="406"/>
      <c r="ED37" s="406"/>
      <c r="EE37" s="14">
        <f t="shared" si="211"/>
        <v>0</v>
      </c>
      <c r="EF37" s="14">
        <f t="shared" si="180"/>
        <v>0</v>
      </c>
      <c r="EG37" s="14">
        <f t="shared" si="31"/>
        <v>0.3</v>
      </c>
      <c r="EH37" s="47">
        <f t="shared" si="212"/>
        <v>0</v>
      </c>
      <c r="EI37" s="35">
        <f t="shared" si="32"/>
        <v>2.1999999999999997</v>
      </c>
      <c r="EJ37" s="157">
        <f t="shared" si="182"/>
        <v>0</v>
      </c>
      <c r="EK37" s="134"/>
      <c r="EL37" s="14">
        <f t="shared" si="33"/>
        <v>29</v>
      </c>
      <c r="EM37" s="48">
        <f t="shared" si="260"/>
        <v>0</v>
      </c>
      <c r="EN37" s="68">
        <f t="shared" si="183"/>
        <v>0</v>
      </c>
      <c r="EO37" s="51">
        <f t="shared" si="34"/>
        <v>255</v>
      </c>
      <c r="EP37" s="103">
        <f t="shared" si="383"/>
        <v>0</v>
      </c>
      <c r="EQ37" s="46">
        <f t="shared" si="277"/>
        <v>255</v>
      </c>
      <c r="ER37" s="50">
        <f t="shared" si="35"/>
        <v>79</v>
      </c>
      <c r="ES37" s="103">
        <f t="shared" si="384"/>
        <v>0</v>
      </c>
      <c r="ET37" s="46">
        <f t="shared" si="165"/>
        <v>79</v>
      </c>
      <c r="EV37" s="120">
        <v>6</v>
      </c>
      <c r="EW37" s="7">
        <f t="shared" si="385"/>
        <v>4</v>
      </c>
      <c r="EX37" s="496"/>
      <c r="EY37" s="14">
        <f t="shared" si="184"/>
        <v>0</v>
      </c>
      <c r="EZ37" s="46">
        <f t="shared" si="278"/>
        <v>0</v>
      </c>
      <c r="FA37" s="405"/>
      <c r="FB37" s="406"/>
      <c r="FC37" s="406"/>
      <c r="FD37" s="14">
        <f t="shared" si="214"/>
        <v>0</v>
      </c>
      <c r="FE37" s="14">
        <f t="shared" si="185"/>
        <v>0</v>
      </c>
      <c r="FF37" s="14">
        <f t="shared" si="36"/>
        <v>0.3</v>
      </c>
      <c r="FG37" s="47">
        <f t="shared" si="215"/>
        <v>0</v>
      </c>
      <c r="FH37" s="35">
        <f t="shared" si="37"/>
        <v>2.1999999999999997</v>
      </c>
      <c r="FI37" s="157">
        <f t="shared" si="187"/>
        <v>0</v>
      </c>
      <c r="FJ37" s="134"/>
      <c r="FK37" s="14">
        <f t="shared" si="38"/>
        <v>29</v>
      </c>
      <c r="FL37" s="48">
        <f t="shared" si="261"/>
        <v>0</v>
      </c>
      <c r="FM37" s="68">
        <f t="shared" si="188"/>
        <v>0</v>
      </c>
      <c r="FN37" s="51">
        <f t="shared" si="39"/>
        <v>255</v>
      </c>
      <c r="FO37" s="103">
        <f t="shared" si="386"/>
        <v>0</v>
      </c>
      <c r="FP37" s="46">
        <f t="shared" si="279"/>
        <v>255</v>
      </c>
      <c r="FQ37" s="50">
        <f t="shared" si="40"/>
        <v>79</v>
      </c>
      <c r="FR37" s="103">
        <f t="shared" si="387"/>
        <v>0</v>
      </c>
      <c r="FS37" s="46">
        <f t="shared" si="166"/>
        <v>79</v>
      </c>
      <c r="FU37" s="120">
        <v>6</v>
      </c>
      <c r="FV37" s="7">
        <f t="shared" si="388"/>
        <v>4</v>
      </c>
      <c r="FW37" s="496"/>
      <c r="FX37" s="14">
        <f t="shared" si="189"/>
        <v>0</v>
      </c>
      <c r="FY37" s="46">
        <f t="shared" si="280"/>
        <v>0</v>
      </c>
      <c r="FZ37" s="405"/>
      <c r="GA37" s="406"/>
      <c r="GB37" s="406"/>
      <c r="GC37" s="14">
        <f t="shared" si="217"/>
        <v>0</v>
      </c>
      <c r="GD37" s="14">
        <f t="shared" si="190"/>
        <v>0</v>
      </c>
      <c r="GE37" s="14">
        <f t="shared" si="41"/>
        <v>0.3</v>
      </c>
      <c r="GF37" s="47">
        <f t="shared" si="218"/>
        <v>0</v>
      </c>
      <c r="GG37" s="35">
        <f t="shared" si="42"/>
        <v>2.1999999999999997</v>
      </c>
      <c r="GH37" s="157">
        <f t="shared" si="192"/>
        <v>0</v>
      </c>
      <c r="GI37" s="134"/>
      <c r="GJ37" s="14">
        <f t="shared" si="43"/>
        <v>29</v>
      </c>
      <c r="GK37" s="48">
        <f t="shared" si="262"/>
        <v>0</v>
      </c>
      <c r="GL37" s="68">
        <f t="shared" si="193"/>
        <v>0</v>
      </c>
      <c r="GM37" s="51">
        <f t="shared" si="44"/>
        <v>255</v>
      </c>
      <c r="GN37" s="103">
        <f t="shared" si="389"/>
        <v>0</v>
      </c>
      <c r="GO37" s="46">
        <f t="shared" si="281"/>
        <v>255</v>
      </c>
      <c r="GP37" s="50">
        <f t="shared" si="45"/>
        <v>79</v>
      </c>
      <c r="GQ37" s="103">
        <f t="shared" si="390"/>
        <v>0</v>
      </c>
      <c r="GR37" s="46">
        <f t="shared" si="167"/>
        <v>79</v>
      </c>
      <c r="GT37" s="120">
        <v>6</v>
      </c>
      <c r="GU37" s="7">
        <f t="shared" si="391"/>
        <v>4</v>
      </c>
      <c r="GV37" s="496"/>
      <c r="GW37" s="14">
        <f t="shared" si="194"/>
        <v>0</v>
      </c>
      <c r="GX37" s="46">
        <f t="shared" si="282"/>
        <v>0</v>
      </c>
      <c r="GY37" s="405"/>
      <c r="GZ37" s="406"/>
      <c r="HA37" s="406"/>
      <c r="HB37" s="14">
        <f t="shared" si="220"/>
        <v>0</v>
      </c>
      <c r="HC37" s="14">
        <f t="shared" si="195"/>
        <v>0</v>
      </c>
      <c r="HD37" s="14">
        <f t="shared" si="46"/>
        <v>0.3</v>
      </c>
      <c r="HE37" s="47">
        <f t="shared" si="221"/>
        <v>0</v>
      </c>
      <c r="HF37" s="35">
        <f t="shared" si="47"/>
        <v>2.1999999999999997</v>
      </c>
      <c r="HG37" s="157">
        <f t="shared" si="197"/>
        <v>0</v>
      </c>
      <c r="HH37" s="134"/>
      <c r="HI37" s="14">
        <f t="shared" si="48"/>
        <v>29</v>
      </c>
      <c r="HJ37" s="48">
        <f t="shared" si="263"/>
        <v>0</v>
      </c>
      <c r="HK37" s="68">
        <f t="shared" si="198"/>
        <v>0</v>
      </c>
      <c r="HL37" s="51">
        <f t="shared" si="49"/>
        <v>255</v>
      </c>
      <c r="HM37" s="103">
        <f t="shared" si="392"/>
        <v>0</v>
      </c>
      <c r="HN37" s="46">
        <f t="shared" si="283"/>
        <v>255</v>
      </c>
      <c r="HO37" s="50">
        <f t="shared" si="50"/>
        <v>79</v>
      </c>
      <c r="HP37" s="103">
        <f t="shared" si="393"/>
        <v>0</v>
      </c>
      <c r="HQ37" s="46">
        <f t="shared" si="168"/>
        <v>79</v>
      </c>
    </row>
    <row r="38" spans="1:225" ht="17.25" thickBot="1" x14ac:dyDescent="0.3">
      <c r="B38" s="120">
        <f t="shared" si="364"/>
        <v>27</v>
      </c>
      <c r="C38" s="570">
        <f t="shared" si="365"/>
        <v>4</v>
      </c>
      <c r="D38" s="484">
        <v>7140</v>
      </c>
      <c r="E38" s="408">
        <f>IFERROR(F37+A38,0)</f>
        <v>96411</v>
      </c>
      <c r="F38" s="562">
        <f>IFERROR(E38-J38,0)</f>
        <v>96399</v>
      </c>
      <c r="G38" s="134"/>
      <c r="H38" s="135">
        <v>12</v>
      </c>
      <c r="I38" s="135"/>
      <c r="J38" s="14">
        <f t="shared" si="200"/>
        <v>12</v>
      </c>
      <c r="K38" s="14">
        <f t="shared" si="52"/>
        <v>4040</v>
      </c>
      <c r="L38" s="14">
        <f t="shared" si="1"/>
        <v>0.3</v>
      </c>
      <c r="M38" s="47">
        <f t="shared" si="85"/>
        <v>1.2446712512057753E-2</v>
      </c>
      <c r="N38" s="35">
        <f t="shared" si="2"/>
        <v>2.1999999999999997</v>
      </c>
      <c r="O38" s="132">
        <f t="shared" si="53"/>
        <v>2.995410497282629</v>
      </c>
      <c r="P38" s="142">
        <v>200</v>
      </c>
      <c r="Q38" s="14">
        <f t="shared" si="3"/>
        <v>29</v>
      </c>
      <c r="R38" s="442">
        <f t="shared" ref="R38:R69" si="394">IFERROR((P38/E38)*1000,0)</f>
        <v>2.0744520853429589</v>
      </c>
      <c r="S38" s="470">
        <f t="shared" si="201"/>
        <v>519.42669424120709</v>
      </c>
      <c r="T38" s="51">
        <f t="shared" si="5"/>
        <v>255</v>
      </c>
      <c r="U38" s="103">
        <f t="shared" si="366"/>
        <v>235</v>
      </c>
      <c r="V38" s="46">
        <f t="shared" si="55"/>
        <v>20</v>
      </c>
      <c r="W38" s="12">
        <f t="shared" ref="W38:W69" si="395">VLOOKUP(C38,LOHMANN,3,FALSE)</f>
        <v>79</v>
      </c>
      <c r="X38" s="103">
        <f t="shared" si="367"/>
        <v>55</v>
      </c>
      <c r="Y38" s="46">
        <f t="shared" si="56"/>
        <v>24</v>
      </c>
      <c r="Z38" s="487"/>
      <c r="AA38" s="120">
        <f t="shared" si="368"/>
        <v>27</v>
      </c>
      <c r="AB38" s="7">
        <f t="shared" si="369"/>
        <v>4</v>
      </c>
      <c r="AC38" s="496"/>
      <c r="AD38" s="48">
        <f t="shared" ref="AD38:AD42" si="396">IFERROR(AE37-AC38,0)</f>
        <v>104411</v>
      </c>
      <c r="AE38" s="49">
        <f t="shared" si="324"/>
        <v>104369</v>
      </c>
      <c r="AF38" s="134"/>
      <c r="AG38" s="135">
        <v>42</v>
      </c>
      <c r="AH38" s="135"/>
      <c r="AI38" s="14">
        <f t="shared" si="203"/>
        <v>42</v>
      </c>
      <c r="AJ38" s="14">
        <f t="shared" si="321"/>
        <v>4701</v>
      </c>
      <c r="AK38" s="14">
        <f t="shared" si="8"/>
        <v>0.3</v>
      </c>
      <c r="AL38" s="47">
        <f t="shared" si="58"/>
        <v>4.0225646723046425E-2</v>
      </c>
      <c r="AM38" s="35">
        <f t="shared" si="9"/>
        <v>2.1999999999999997</v>
      </c>
      <c r="AN38" s="157">
        <f t="shared" si="169"/>
        <v>3.0690186452185721</v>
      </c>
      <c r="AO38" s="134">
        <v>0</v>
      </c>
      <c r="AP38" s="14">
        <f t="shared" si="10"/>
        <v>29</v>
      </c>
      <c r="AQ38" s="482">
        <f t="shared" si="59"/>
        <v>0</v>
      </c>
      <c r="AR38" s="470">
        <f t="shared" si="323"/>
        <v>503.79183142717784</v>
      </c>
      <c r="AS38" s="51">
        <f t="shared" si="11"/>
        <v>255</v>
      </c>
      <c r="AT38" s="103">
        <f t="shared" si="370"/>
        <v>246</v>
      </c>
      <c r="AU38" s="46">
        <f t="shared" si="271"/>
        <v>9</v>
      </c>
      <c r="AV38" s="12">
        <f t="shared" si="12"/>
        <v>79</v>
      </c>
      <c r="AW38" s="103">
        <f t="shared" si="371"/>
        <v>63</v>
      </c>
      <c r="AX38" s="46">
        <f t="shared" si="170"/>
        <v>16</v>
      </c>
      <c r="AY38" s="769"/>
      <c r="AZ38" s="767">
        <f t="shared" si="372"/>
        <v>27</v>
      </c>
      <c r="BA38" s="768">
        <f t="shared" si="373"/>
        <v>4</v>
      </c>
      <c r="BB38" s="757">
        <v>7127</v>
      </c>
      <c r="BC38" s="48">
        <f t="shared" si="62"/>
        <v>78399</v>
      </c>
      <c r="BD38" s="49">
        <f>IFERROR(BC38-BH38,0)</f>
        <v>78384</v>
      </c>
      <c r="BE38" s="134"/>
      <c r="BF38" s="135">
        <v>15</v>
      </c>
      <c r="BG38" s="135"/>
      <c r="BH38" s="14">
        <f t="shared" si="204"/>
        <v>15</v>
      </c>
      <c r="BI38" s="14">
        <f t="shared" si="294"/>
        <v>143</v>
      </c>
      <c r="BJ38" s="14">
        <f t="shared" si="14"/>
        <v>0.3</v>
      </c>
      <c r="BK38" s="47">
        <f t="shared" si="92"/>
        <v>1.9132897103279378E-2</v>
      </c>
      <c r="BL38" s="35">
        <f t="shared" si="15"/>
        <v>2.1999999999999997</v>
      </c>
      <c r="BM38" s="132">
        <f t="shared" si="326"/>
        <v>0.20028011204481794</v>
      </c>
      <c r="BN38" s="134">
        <v>0</v>
      </c>
      <c r="BO38" s="14">
        <f t="shared" si="17"/>
        <v>29</v>
      </c>
      <c r="BP38" s="442">
        <f t="shared" si="93"/>
        <v>0</v>
      </c>
      <c r="BQ38" s="747">
        <f t="shared" si="137"/>
        <v>430.93050824815379</v>
      </c>
      <c r="BR38" s="51">
        <f t="shared" si="18"/>
        <v>255</v>
      </c>
      <c r="BS38" s="103">
        <f t="shared" si="374"/>
        <v>231</v>
      </c>
      <c r="BT38" s="46">
        <f t="shared" si="272"/>
        <v>24</v>
      </c>
      <c r="BU38" s="12">
        <f t="shared" si="20"/>
        <v>79</v>
      </c>
      <c r="BV38" s="103">
        <f t="shared" si="375"/>
        <v>65</v>
      </c>
      <c r="BW38" s="46">
        <f t="shared" si="171"/>
        <v>14</v>
      </c>
      <c r="BY38" s="120">
        <f t="shared" ref="BY38:BY39" si="397">BY37+1</f>
        <v>7</v>
      </c>
      <c r="BZ38" s="7">
        <f t="shared" si="376"/>
        <v>4</v>
      </c>
      <c r="CA38" s="496"/>
      <c r="CB38" s="14">
        <f t="shared" si="172"/>
        <v>0</v>
      </c>
      <c r="CC38" s="46">
        <f t="shared" si="205"/>
        <v>0</v>
      </c>
      <c r="CD38" s="405"/>
      <c r="CE38" s="406"/>
      <c r="CF38" s="406"/>
      <c r="CG38" s="14">
        <f t="shared" si="206"/>
        <v>0</v>
      </c>
      <c r="CH38" s="14">
        <f t="shared" si="173"/>
        <v>0</v>
      </c>
      <c r="CI38" s="14">
        <f t="shared" si="21"/>
        <v>0.3</v>
      </c>
      <c r="CJ38" s="47">
        <f t="shared" si="97"/>
        <v>0</v>
      </c>
      <c r="CK38" s="35">
        <f t="shared" si="22"/>
        <v>2.1999999999999997</v>
      </c>
      <c r="CL38" s="157">
        <f t="shared" si="140"/>
        <v>0</v>
      </c>
      <c r="CM38" s="134"/>
      <c r="CN38" s="14">
        <f t="shared" si="23"/>
        <v>29</v>
      </c>
      <c r="CO38" s="48">
        <f t="shared" si="141"/>
        <v>0</v>
      </c>
      <c r="CP38" s="68">
        <f t="shared" si="98"/>
        <v>0</v>
      </c>
      <c r="CQ38" s="51">
        <f t="shared" si="24"/>
        <v>255</v>
      </c>
      <c r="CR38" s="103">
        <f t="shared" si="377"/>
        <v>0</v>
      </c>
      <c r="CS38" s="46">
        <f t="shared" si="273"/>
        <v>255</v>
      </c>
      <c r="CT38" s="50">
        <f t="shared" si="25"/>
        <v>79</v>
      </c>
      <c r="CU38" s="103">
        <f t="shared" si="378"/>
        <v>0</v>
      </c>
      <c r="CV38" s="46">
        <f t="shared" si="67"/>
        <v>79</v>
      </c>
      <c r="CX38" s="120">
        <f t="shared" ref="CX38:CX39" si="398">CX37+1</f>
        <v>7</v>
      </c>
      <c r="CY38" s="7">
        <f t="shared" si="379"/>
        <v>4</v>
      </c>
      <c r="CZ38" s="496"/>
      <c r="DA38" s="14">
        <f t="shared" si="174"/>
        <v>0</v>
      </c>
      <c r="DB38" s="46">
        <f t="shared" si="274"/>
        <v>0</v>
      </c>
      <c r="DC38" s="405"/>
      <c r="DD38" s="406"/>
      <c r="DE38" s="406"/>
      <c r="DF38" s="14">
        <f t="shared" si="208"/>
        <v>0</v>
      </c>
      <c r="DG38" s="14">
        <f t="shared" si="175"/>
        <v>0</v>
      </c>
      <c r="DH38" s="14">
        <f t="shared" si="26"/>
        <v>0.3</v>
      </c>
      <c r="DI38" s="47">
        <f t="shared" si="209"/>
        <v>0</v>
      </c>
      <c r="DJ38" s="35">
        <f t="shared" si="27"/>
        <v>2.1999999999999997</v>
      </c>
      <c r="DK38" s="157">
        <f t="shared" si="177"/>
        <v>0</v>
      </c>
      <c r="DL38" s="134"/>
      <c r="DM38" s="14">
        <f t="shared" si="28"/>
        <v>29</v>
      </c>
      <c r="DN38" s="48">
        <f t="shared" si="259"/>
        <v>0</v>
      </c>
      <c r="DO38" s="68">
        <f t="shared" si="178"/>
        <v>0</v>
      </c>
      <c r="DP38" s="51">
        <f t="shared" si="29"/>
        <v>255</v>
      </c>
      <c r="DQ38" s="103">
        <f t="shared" si="380"/>
        <v>0</v>
      </c>
      <c r="DR38" s="46">
        <f t="shared" si="275"/>
        <v>255</v>
      </c>
      <c r="DS38" s="50">
        <f t="shared" si="30"/>
        <v>79</v>
      </c>
      <c r="DT38" s="103">
        <f t="shared" si="381"/>
        <v>0</v>
      </c>
      <c r="DU38" s="46">
        <f t="shared" si="164"/>
        <v>79</v>
      </c>
      <c r="DW38" s="120">
        <f t="shared" ref="DW38:DW39" si="399">DW37+1</f>
        <v>7</v>
      </c>
      <c r="DX38" s="7">
        <f t="shared" si="382"/>
        <v>4</v>
      </c>
      <c r="DY38" s="496"/>
      <c r="DZ38" s="14">
        <f t="shared" si="179"/>
        <v>0</v>
      </c>
      <c r="EA38" s="46">
        <f t="shared" si="276"/>
        <v>0</v>
      </c>
      <c r="EB38" s="405"/>
      <c r="EC38" s="406"/>
      <c r="ED38" s="406"/>
      <c r="EE38" s="14">
        <f t="shared" si="211"/>
        <v>0</v>
      </c>
      <c r="EF38" s="14">
        <f t="shared" si="180"/>
        <v>0</v>
      </c>
      <c r="EG38" s="14">
        <f t="shared" si="31"/>
        <v>0.3</v>
      </c>
      <c r="EH38" s="47">
        <f t="shared" si="212"/>
        <v>0</v>
      </c>
      <c r="EI38" s="35">
        <f t="shared" si="32"/>
        <v>2.1999999999999997</v>
      </c>
      <c r="EJ38" s="157">
        <f t="shared" si="182"/>
        <v>0</v>
      </c>
      <c r="EK38" s="134"/>
      <c r="EL38" s="14">
        <f t="shared" si="33"/>
        <v>29</v>
      </c>
      <c r="EM38" s="48">
        <f t="shared" si="260"/>
        <v>0</v>
      </c>
      <c r="EN38" s="68">
        <f t="shared" si="183"/>
        <v>0</v>
      </c>
      <c r="EO38" s="51">
        <f t="shared" si="34"/>
        <v>255</v>
      </c>
      <c r="EP38" s="103">
        <f t="shared" si="383"/>
        <v>0</v>
      </c>
      <c r="EQ38" s="46">
        <f t="shared" si="277"/>
        <v>255</v>
      </c>
      <c r="ER38" s="50">
        <f t="shared" si="35"/>
        <v>79</v>
      </c>
      <c r="ES38" s="103">
        <f t="shared" si="384"/>
        <v>0</v>
      </c>
      <c r="ET38" s="46">
        <f t="shared" si="165"/>
        <v>79</v>
      </c>
      <c r="EV38" s="120">
        <f t="shared" ref="EV38:EV39" si="400">EV37+1</f>
        <v>7</v>
      </c>
      <c r="EW38" s="7">
        <f t="shared" si="385"/>
        <v>4</v>
      </c>
      <c r="EX38" s="496"/>
      <c r="EY38" s="14">
        <f t="shared" si="184"/>
        <v>0</v>
      </c>
      <c r="EZ38" s="46">
        <f t="shared" si="278"/>
        <v>0</v>
      </c>
      <c r="FA38" s="405"/>
      <c r="FB38" s="406"/>
      <c r="FC38" s="406"/>
      <c r="FD38" s="14">
        <f t="shared" si="214"/>
        <v>0</v>
      </c>
      <c r="FE38" s="14">
        <f t="shared" si="185"/>
        <v>0</v>
      </c>
      <c r="FF38" s="14">
        <f t="shared" si="36"/>
        <v>0.3</v>
      </c>
      <c r="FG38" s="47">
        <f t="shared" si="215"/>
        <v>0</v>
      </c>
      <c r="FH38" s="35">
        <f t="shared" si="37"/>
        <v>2.1999999999999997</v>
      </c>
      <c r="FI38" s="157">
        <f t="shared" si="187"/>
        <v>0</v>
      </c>
      <c r="FJ38" s="134"/>
      <c r="FK38" s="14">
        <f t="shared" si="38"/>
        <v>29</v>
      </c>
      <c r="FL38" s="48">
        <f t="shared" si="261"/>
        <v>0</v>
      </c>
      <c r="FM38" s="68">
        <f t="shared" si="188"/>
        <v>0</v>
      </c>
      <c r="FN38" s="51">
        <f t="shared" si="39"/>
        <v>255</v>
      </c>
      <c r="FO38" s="103">
        <f t="shared" si="386"/>
        <v>0</v>
      </c>
      <c r="FP38" s="46">
        <f t="shared" si="279"/>
        <v>255</v>
      </c>
      <c r="FQ38" s="50">
        <f t="shared" si="40"/>
        <v>79</v>
      </c>
      <c r="FR38" s="103">
        <f t="shared" si="387"/>
        <v>0</v>
      </c>
      <c r="FS38" s="46">
        <f t="shared" si="166"/>
        <v>79</v>
      </c>
      <c r="FU38" s="120">
        <f t="shared" ref="FU38:FU39" si="401">FU37+1</f>
        <v>7</v>
      </c>
      <c r="FV38" s="7">
        <f t="shared" si="388"/>
        <v>4</v>
      </c>
      <c r="FW38" s="496"/>
      <c r="FX38" s="14">
        <f t="shared" si="189"/>
        <v>0</v>
      </c>
      <c r="FY38" s="46">
        <f t="shared" si="280"/>
        <v>0</v>
      </c>
      <c r="FZ38" s="405"/>
      <c r="GA38" s="406"/>
      <c r="GB38" s="406"/>
      <c r="GC38" s="14">
        <f t="shared" si="217"/>
        <v>0</v>
      </c>
      <c r="GD38" s="14">
        <f t="shared" si="190"/>
        <v>0</v>
      </c>
      <c r="GE38" s="14">
        <f t="shared" si="41"/>
        <v>0.3</v>
      </c>
      <c r="GF38" s="47">
        <f t="shared" si="218"/>
        <v>0</v>
      </c>
      <c r="GG38" s="35">
        <f t="shared" si="42"/>
        <v>2.1999999999999997</v>
      </c>
      <c r="GH38" s="157">
        <f t="shared" si="192"/>
        <v>0</v>
      </c>
      <c r="GI38" s="134"/>
      <c r="GJ38" s="14">
        <f t="shared" si="43"/>
        <v>29</v>
      </c>
      <c r="GK38" s="48">
        <f t="shared" si="262"/>
        <v>0</v>
      </c>
      <c r="GL38" s="68">
        <f t="shared" si="193"/>
        <v>0</v>
      </c>
      <c r="GM38" s="51">
        <f t="shared" si="44"/>
        <v>255</v>
      </c>
      <c r="GN38" s="103">
        <f t="shared" si="389"/>
        <v>0</v>
      </c>
      <c r="GO38" s="46">
        <f t="shared" si="281"/>
        <v>255</v>
      </c>
      <c r="GP38" s="50">
        <f t="shared" si="45"/>
        <v>79</v>
      </c>
      <c r="GQ38" s="103">
        <f t="shared" si="390"/>
        <v>0</v>
      </c>
      <c r="GR38" s="46">
        <f t="shared" si="167"/>
        <v>79</v>
      </c>
      <c r="GT38" s="120">
        <f t="shared" ref="GT38:GT39" si="402">GT37+1</f>
        <v>7</v>
      </c>
      <c r="GU38" s="7">
        <f t="shared" si="391"/>
        <v>4</v>
      </c>
      <c r="GV38" s="496"/>
      <c r="GW38" s="14">
        <f t="shared" si="194"/>
        <v>0</v>
      </c>
      <c r="GX38" s="46">
        <f t="shared" si="282"/>
        <v>0</v>
      </c>
      <c r="GY38" s="405"/>
      <c r="GZ38" s="406"/>
      <c r="HA38" s="406"/>
      <c r="HB38" s="14">
        <f t="shared" si="220"/>
        <v>0</v>
      </c>
      <c r="HC38" s="14">
        <f t="shared" si="195"/>
        <v>0</v>
      </c>
      <c r="HD38" s="14">
        <f t="shared" si="46"/>
        <v>0.3</v>
      </c>
      <c r="HE38" s="47">
        <f t="shared" si="221"/>
        <v>0</v>
      </c>
      <c r="HF38" s="35">
        <f t="shared" si="47"/>
        <v>2.1999999999999997</v>
      </c>
      <c r="HG38" s="157">
        <f t="shared" si="197"/>
        <v>0</v>
      </c>
      <c r="HH38" s="134"/>
      <c r="HI38" s="14">
        <f t="shared" si="48"/>
        <v>29</v>
      </c>
      <c r="HJ38" s="48">
        <f t="shared" si="263"/>
        <v>0</v>
      </c>
      <c r="HK38" s="68">
        <f t="shared" si="198"/>
        <v>0</v>
      </c>
      <c r="HL38" s="51">
        <f t="shared" si="49"/>
        <v>255</v>
      </c>
      <c r="HM38" s="103">
        <f t="shared" si="392"/>
        <v>0</v>
      </c>
      <c r="HN38" s="46">
        <f t="shared" si="283"/>
        <v>255</v>
      </c>
      <c r="HO38" s="50">
        <f t="shared" si="50"/>
        <v>79</v>
      </c>
      <c r="HP38" s="103">
        <f t="shared" si="393"/>
        <v>0</v>
      </c>
      <c r="HQ38" s="46">
        <f t="shared" si="168"/>
        <v>79</v>
      </c>
    </row>
    <row r="39" spans="1:225" ht="17.25" thickBot="1" x14ac:dyDescent="0.3">
      <c r="A39" s="739" t="s">
        <v>173</v>
      </c>
      <c r="B39" s="324">
        <f t="shared" si="364"/>
        <v>28</v>
      </c>
      <c r="C39" s="572">
        <f t="shared" si="365"/>
        <v>4</v>
      </c>
      <c r="D39" s="484">
        <v>15345</v>
      </c>
      <c r="E39" s="408">
        <f>IFERROR(F38-D39,0)</f>
        <v>81054</v>
      </c>
      <c r="F39" s="562">
        <f t="shared" si="0"/>
        <v>81041</v>
      </c>
      <c r="G39" s="134"/>
      <c r="H39" s="135">
        <v>13</v>
      </c>
      <c r="I39" s="135"/>
      <c r="J39" s="14">
        <f t="shared" si="200"/>
        <v>13</v>
      </c>
      <c r="K39" s="14">
        <f t="shared" si="52"/>
        <v>4053</v>
      </c>
      <c r="L39" s="14">
        <f t="shared" si="1"/>
        <v>0.3</v>
      </c>
      <c r="M39" s="47">
        <f t="shared" si="85"/>
        <v>1.6038690255878795E-2</v>
      </c>
      <c r="N39" s="35">
        <f t="shared" si="2"/>
        <v>2.1999999999999997</v>
      </c>
      <c r="O39" s="132">
        <f t="shared" si="53"/>
        <v>3.0050491944273503</v>
      </c>
      <c r="P39" s="142">
        <v>1600</v>
      </c>
      <c r="Q39" s="14">
        <f t="shared" si="3"/>
        <v>29</v>
      </c>
      <c r="R39" s="442">
        <f t="shared" si="394"/>
        <v>19.739926468773902</v>
      </c>
      <c r="S39" s="470">
        <f t="shared" si="201"/>
        <v>539.16662070998098</v>
      </c>
      <c r="T39" s="51">
        <f t="shared" si="5"/>
        <v>255</v>
      </c>
      <c r="U39" s="103">
        <f t="shared" si="366"/>
        <v>235</v>
      </c>
      <c r="V39" s="46">
        <f t="shared" si="55"/>
        <v>20</v>
      </c>
      <c r="W39" s="50">
        <f t="shared" si="395"/>
        <v>79</v>
      </c>
      <c r="X39" s="103">
        <f t="shared" si="367"/>
        <v>55</v>
      </c>
      <c r="Y39" s="46">
        <f t="shared" si="56"/>
        <v>24</v>
      </c>
      <c r="Z39" s="487"/>
      <c r="AA39" s="120">
        <f t="shared" si="368"/>
        <v>28</v>
      </c>
      <c r="AB39" s="7">
        <f t="shared" si="369"/>
        <v>4</v>
      </c>
      <c r="AC39" s="496"/>
      <c r="AD39" s="48">
        <f t="shared" si="396"/>
        <v>104369</v>
      </c>
      <c r="AE39" s="447">
        <f t="shared" si="324"/>
        <v>104315</v>
      </c>
      <c r="AF39" s="134"/>
      <c r="AG39" s="135">
        <v>54</v>
      </c>
      <c r="AH39" s="135"/>
      <c r="AI39" s="14">
        <f t="shared" si="203"/>
        <v>54</v>
      </c>
      <c r="AJ39" s="14">
        <f t="shared" si="321"/>
        <v>4755</v>
      </c>
      <c r="AK39" s="14">
        <f t="shared" si="8"/>
        <v>0.3</v>
      </c>
      <c r="AL39" s="47">
        <f t="shared" si="58"/>
        <v>5.1739501192882946E-2</v>
      </c>
      <c r="AM39" s="35">
        <f t="shared" si="9"/>
        <v>2.1999999999999997</v>
      </c>
      <c r="AN39" s="157">
        <f t="shared" si="169"/>
        <v>3.1042722097456519</v>
      </c>
      <c r="AO39" s="134">
        <v>6825</v>
      </c>
      <c r="AP39" s="14">
        <f t="shared" si="10"/>
        <v>29</v>
      </c>
      <c r="AQ39" s="482">
        <f t="shared" si="59"/>
        <v>65.392980674338176</v>
      </c>
      <c r="AR39" s="470">
        <f t="shared" si="323"/>
        <v>569.18481210151606</v>
      </c>
      <c r="AS39" s="51">
        <f t="shared" si="11"/>
        <v>255</v>
      </c>
      <c r="AT39" s="103">
        <f t="shared" si="370"/>
        <v>246</v>
      </c>
      <c r="AU39" s="46">
        <f t="shared" si="271"/>
        <v>9</v>
      </c>
      <c r="AV39" s="50">
        <f t="shared" si="12"/>
        <v>79</v>
      </c>
      <c r="AW39" s="103">
        <f t="shared" si="371"/>
        <v>63</v>
      </c>
      <c r="AX39" s="46">
        <f t="shared" si="170"/>
        <v>16</v>
      </c>
      <c r="AY39" s="769"/>
      <c r="AZ39" s="767">
        <f t="shared" si="372"/>
        <v>28</v>
      </c>
      <c r="BA39" s="768">
        <f t="shared" si="373"/>
        <v>4</v>
      </c>
      <c r="BB39" s="757">
        <v>15345</v>
      </c>
      <c r="BC39" s="48">
        <f t="shared" ref="BC39:BC62" si="403">IFERROR(BD38+BB39,0)</f>
        <v>93729</v>
      </c>
      <c r="BD39" s="447">
        <f t="shared" si="325"/>
        <v>93686</v>
      </c>
      <c r="BE39" s="134"/>
      <c r="BF39" s="135">
        <v>43</v>
      </c>
      <c r="BG39" s="135"/>
      <c r="BH39" s="14">
        <f t="shared" si="204"/>
        <v>43</v>
      </c>
      <c r="BI39" s="14">
        <f t="shared" si="294"/>
        <v>186</v>
      </c>
      <c r="BJ39" s="14">
        <f t="shared" si="14"/>
        <v>0.3</v>
      </c>
      <c r="BK39" s="47">
        <f t="shared" si="92"/>
        <v>4.5876943101921495E-2</v>
      </c>
      <c r="BL39" s="35">
        <f t="shared" si="15"/>
        <v>2.1999999999999997</v>
      </c>
      <c r="BM39" s="132">
        <f t="shared" si="326"/>
        <v>0.26050420168067229</v>
      </c>
      <c r="BN39" s="134">
        <v>5460</v>
      </c>
      <c r="BO39" s="14">
        <f t="shared" si="17"/>
        <v>29</v>
      </c>
      <c r="BP39" s="442">
        <f t="shared" si="93"/>
        <v>58.253048682904968</v>
      </c>
      <c r="BQ39" s="747">
        <f t="shared" si="137"/>
        <v>489.18355693105877</v>
      </c>
      <c r="BR39" s="51">
        <f t="shared" si="18"/>
        <v>255</v>
      </c>
      <c r="BS39" s="103">
        <f t="shared" si="374"/>
        <v>231</v>
      </c>
      <c r="BT39" s="46">
        <f t="shared" si="272"/>
        <v>24</v>
      </c>
      <c r="BU39" s="50">
        <f t="shared" si="20"/>
        <v>79</v>
      </c>
      <c r="BV39" s="103">
        <f t="shared" si="375"/>
        <v>65</v>
      </c>
      <c r="BW39" s="46">
        <f t="shared" si="171"/>
        <v>14</v>
      </c>
      <c r="BY39" s="120">
        <f t="shared" si="397"/>
        <v>8</v>
      </c>
      <c r="BZ39" s="7">
        <f t="shared" si="376"/>
        <v>4</v>
      </c>
      <c r="CA39" s="496"/>
      <c r="CB39" s="14">
        <f t="shared" si="172"/>
        <v>0</v>
      </c>
      <c r="CC39" s="62">
        <f t="shared" si="205"/>
        <v>0</v>
      </c>
      <c r="CD39" s="405"/>
      <c r="CE39" s="406"/>
      <c r="CF39" s="406"/>
      <c r="CG39" s="14">
        <f t="shared" si="206"/>
        <v>0</v>
      </c>
      <c r="CH39" s="14">
        <f t="shared" si="173"/>
        <v>0</v>
      </c>
      <c r="CI39" s="14">
        <f t="shared" si="21"/>
        <v>0.3</v>
      </c>
      <c r="CJ39" s="47">
        <f t="shared" si="97"/>
        <v>0</v>
      </c>
      <c r="CK39" s="35">
        <f t="shared" si="22"/>
        <v>2.1999999999999997</v>
      </c>
      <c r="CL39" s="157">
        <f t="shared" si="140"/>
        <v>0</v>
      </c>
      <c r="CM39" s="134"/>
      <c r="CN39" s="14">
        <f t="shared" si="23"/>
        <v>29</v>
      </c>
      <c r="CO39" s="48">
        <f t="shared" si="141"/>
        <v>0</v>
      </c>
      <c r="CP39" s="68">
        <f t="shared" si="98"/>
        <v>0</v>
      </c>
      <c r="CQ39" s="51">
        <f t="shared" si="24"/>
        <v>255</v>
      </c>
      <c r="CR39" s="103">
        <f t="shared" si="377"/>
        <v>0</v>
      </c>
      <c r="CS39" s="46">
        <f t="shared" si="273"/>
        <v>255</v>
      </c>
      <c r="CT39" s="51">
        <f t="shared" si="25"/>
        <v>79</v>
      </c>
      <c r="CU39" s="103">
        <f t="shared" si="378"/>
        <v>0</v>
      </c>
      <c r="CV39" s="46">
        <f t="shared" si="67"/>
        <v>79</v>
      </c>
      <c r="CX39" s="120">
        <f t="shared" si="398"/>
        <v>8</v>
      </c>
      <c r="CY39" s="7">
        <f t="shared" si="379"/>
        <v>4</v>
      </c>
      <c r="CZ39" s="496"/>
      <c r="DA39" s="14">
        <f t="shared" si="174"/>
        <v>0</v>
      </c>
      <c r="DB39" s="62">
        <f t="shared" si="274"/>
        <v>0</v>
      </c>
      <c r="DC39" s="405"/>
      <c r="DD39" s="406"/>
      <c r="DE39" s="406"/>
      <c r="DF39" s="14">
        <f t="shared" si="208"/>
        <v>0</v>
      </c>
      <c r="DG39" s="14">
        <f t="shared" si="175"/>
        <v>0</v>
      </c>
      <c r="DH39" s="14">
        <f t="shared" si="26"/>
        <v>0.3</v>
      </c>
      <c r="DI39" s="47">
        <f t="shared" si="209"/>
        <v>0</v>
      </c>
      <c r="DJ39" s="35">
        <f t="shared" si="27"/>
        <v>2.1999999999999997</v>
      </c>
      <c r="DK39" s="157">
        <f t="shared" si="177"/>
        <v>0</v>
      </c>
      <c r="DL39" s="134"/>
      <c r="DM39" s="14">
        <f t="shared" si="28"/>
        <v>29</v>
      </c>
      <c r="DN39" s="48">
        <f t="shared" si="259"/>
        <v>0</v>
      </c>
      <c r="DO39" s="68">
        <f t="shared" si="178"/>
        <v>0</v>
      </c>
      <c r="DP39" s="51">
        <f t="shared" si="29"/>
        <v>255</v>
      </c>
      <c r="DQ39" s="103">
        <f t="shared" si="380"/>
        <v>0</v>
      </c>
      <c r="DR39" s="46">
        <f t="shared" si="275"/>
        <v>255</v>
      </c>
      <c r="DS39" s="51">
        <f t="shared" si="30"/>
        <v>79</v>
      </c>
      <c r="DT39" s="103">
        <f t="shared" si="381"/>
        <v>0</v>
      </c>
      <c r="DU39" s="46">
        <f t="shared" si="164"/>
        <v>79</v>
      </c>
      <c r="DW39" s="120">
        <f t="shared" si="399"/>
        <v>8</v>
      </c>
      <c r="DX39" s="7">
        <f t="shared" si="382"/>
        <v>4</v>
      </c>
      <c r="DY39" s="496"/>
      <c r="DZ39" s="14">
        <f t="shared" si="179"/>
        <v>0</v>
      </c>
      <c r="EA39" s="62">
        <f t="shared" si="276"/>
        <v>0</v>
      </c>
      <c r="EB39" s="405"/>
      <c r="EC39" s="406"/>
      <c r="ED39" s="406"/>
      <c r="EE39" s="14">
        <f t="shared" si="211"/>
        <v>0</v>
      </c>
      <c r="EF39" s="14">
        <f t="shared" si="180"/>
        <v>0</v>
      </c>
      <c r="EG39" s="14">
        <f t="shared" si="31"/>
        <v>0.3</v>
      </c>
      <c r="EH39" s="47">
        <f t="shared" si="212"/>
        <v>0</v>
      </c>
      <c r="EI39" s="35">
        <f t="shared" si="32"/>
        <v>2.1999999999999997</v>
      </c>
      <c r="EJ39" s="157">
        <f t="shared" si="182"/>
        <v>0</v>
      </c>
      <c r="EK39" s="134"/>
      <c r="EL39" s="14">
        <f t="shared" si="33"/>
        <v>29</v>
      </c>
      <c r="EM39" s="48">
        <f t="shared" si="260"/>
        <v>0</v>
      </c>
      <c r="EN39" s="68">
        <f t="shared" si="183"/>
        <v>0</v>
      </c>
      <c r="EO39" s="51">
        <f t="shared" si="34"/>
        <v>255</v>
      </c>
      <c r="EP39" s="103">
        <f t="shared" si="383"/>
        <v>0</v>
      </c>
      <c r="EQ39" s="46">
        <f t="shared" si="277"/>
        <v>255</v>
      </c>
      <c r="ER39" s="51">
        <f t="shared" si="35"/>
        <v>79</v>
      </c>
      <c r="ES39" s="103">
        <f t="shared" si="384"/>
        <v>0</v>
      </c>
      <c r="ET39" s="46">
        <f t="shared" si="165"/>
        <v>79</v>
      </c>
      <c r="EV39" s="120">
        <f t="shared" si="400"/>
        <v>8</v>
      </c>
      <c r="EW39" s="7">
        <f t="shared" si="385"/>
        <v>4</v>
      </c>
      <c r="EX39" s="496"/>
      <c r="EY39" s="14">
        <f t="shared" si="184"/>
        <v>0</v>
      </c>
      <c r="EZ39" s="62">
        <f t="shared" si="278"/>
        <v>0</v>
      </c>
      <c r="FA39" s="405"/>
      <c r="FB39" s="406"/>
      <c r="FC39" s="406"/>
      <c r="FD39" s="14">
        <f t="shared" si="214"/>
        <v>0</v>
      </c>
      <c r="FE39" s="14">
        <f t="shared" si="185"/>
        <v>0</v>
      </c>
      <c r="FF39" s="14">
        <f t="shared" si="36"/>
        <v>0.3</v>
      </c>
      <c r="FG39" s="47">
        <f t="shared" si="215"/>
        <v>0</v>
      </c>
      <c r="FH39" s="35">
        <f t="shared" si="37"/>
        <v>2.1999999999999997</v>
      </c>
      <c r="FI39" s="157">
        <f t="shared" si="187"/>
        <v>0</v>
      </c>
      <c r="FJ39" s="134"/>
      <c r="FK39" s="14">
        <f t="shared" si="38"/>
        <v>29</v>
      </c>
      <c r="FL39" s="48">
        <f t="shared" si="261"/>
        <v>0</v>
      </c>
      <c r="FM39" s="68">
        <f t="shared" si="188"/>
        <v>0</v>
      </c>
      <c r="FN39" s="51">
        <f t="shared" si="39"/>
        <v>255</v>
      </c>
      <c r="FO39" s="103">
        <f t="shared" si="386"/>
        <v>0</v>
      </c>
      <c r="FP39" s="46">
        <f t="shared" si="279"/>
        <v>255</v>
      </c>
      <c r="FQ39" s="51">
        <f t="shared" si="40"/>
        <v>79</v>
      </c>
      <c r="FR39" s="103">
        <f t="shared" si="387"/>
        <v>0</v>
      </c>
      <c r="FS39" s="46">
        <f t="shared" si="166"/>
        <v>79</v>
      </c>
      <c r="FU39" s="120">
        <f t="shared" si="401"/>
        <v>8</v>
      </c>
      <c r="FV39" s="7">
        <f t="shared" si="388"/>
        <v>4</v>
      </c>
      <c r="FW39" s="496"/>
      <c r="FX39" s="14">
        <f t="shared" si="189"/>
        <v>0</v>
      </c>
      <c r="FY39" s="62">
        <f t="shared" si="280"/>
        <v>0</v>
      </c>
      <c r="FZ39" s="405"/>
      <c r="GA39" s="406"/>
      <c r="GB39" s="406"/>
      <c r="GC39" s="14">
        <f t="shared" si="217"/>
        <v>0</v>
      </c>
      <c r="GD39" s="14">
        <f t="shared" si="190"/>
        <v>0</v>
      </c>
      <c r="GE39" s="14">
        <f t="shared" si="41"/>
        <v>0.3</v>
      </c>
      <c r="GF39" s="47">
        <f t="shared" si="218"/>
        <v>0</v>
      </c>
      <c r="GG39" s="35">
        <f t="shared" si="42"/>
        <v>2.1999999999999997</v>
      </c>
      <c r="GH39" s="157">
        <f t="shared" si="192"/>
        <v>0</v>
      </c>
      <c r="GI39" s="134"/>
      <c r="GJ39" s="14">
        <f t="shared" si="43"/>
        <v>29</v>
      </c>
      <c r="GK39" s="48">
        <f t="shared" si="262"/>
        <v>0</v>
      </c>
      <c r="GL39" s="68">
        <f t="shared" si="193"/>
        <v>0</v>
      </c>
      <c r="GM39" s="51">
        <f t="shared" si="44"/>
        <v>255</v>
      </c>
      <c r="GN39" s="103">
        <f t="shared" si="389"/>
        <v>0</v>
      </c>
      <c r="GO39" s="46">
        <f t="shared" si="281"/>
        <v>255</v>
      </c>
      <c r="GP39" s="51">
        <f t="shared" si="45"/>
        <v>79</v>
      </c>
      <c r="GQ39" s="103">
        <f t="shared" si="390"/>
        <v>0</v>
      </c>
      <c r="GR39" s="46">
        <f t="shared" si="167"/>
        <v>79</v>
      </c>
      <c r="GT39" s="120">
        <f t="shared" si="402"/>
        <v>8</v>
      </c>
      <c r="GU39" s="7">
        <f t="shared" si="391"/>
        <v>4</v>
      </c>
      <c r="GV39" s="496"/>
      <c r="GW39" s="14">
        <f t="shared" si="194"/>
        <v>0</v>
      </c>
      <c r="GX39" s="62">
        <f t="shared" si="282"/>
        <v>0</v>
      </c>
      <c r="GY39" s="405"/>
      <c r="GZ39" s="406"/>
      <c r="HA39" s="406"/>
      <c r="HB39" s="14">
        <f t="shared" si="220"/>
        <v>0</v>
      </c>
      <c r="HC39" s="14">
        <f t="shared" si="195"/>
        <v>0</v>
      </c>
      <c r="HD39" s="14">
        <f t="shared" si="46"/>
        <v>0.3</v>
      </c>
      <c r="HE39" s="47">
        <f t="shared" si="221"/>
        <v>0</v>
      </c>
      <c r="HF39" s="35">
        <f t="shared" si="47"/>
        <v>2.1999999999999997</v>
      </c>
      <c r="HG39" s="157">
        <f t="shared" si="197"/>
        <v>0</v>
      </c>
      <c r="HH39" s="134"/>
      <c r="HI39" s="14">
        <f t="shared" si="48"/>
        <v>29</v>
      </c>
      <c r="HJ39" s="48">
        <f t="shared" si="263"/>
        <v>0</v>
      </c>
      <c r="HK39" s="68">
        <f t="shared" si="198"/>
        <v>0</v>
      </c>
      <c r="HL39" s="51">
        <f t="shared" si="49"/>
        <v>255</v>
      </c>
      <c r="HM39" s="103">
        <f t="shared" si="392"/>
        <v>0</v>
      </c>
      <c r="HN39" s="46">
        <f t="shared" si="283"/>
        <v>255</v>
      </c>
      <c r="HO39" s="51">
        <f t="shared" si="50"/>
        <v>79</v>
      </c>
      <c r="HP39" s="103">
        <f t="shared" si="393"/>
        <v>0</v>
      </c>
      <c r="HQ39" s="46">
        <f t="shared" si="168"/>
        <v>79</v>
      </c>
    </row>
    <row r="40" spans="1:225" ht="17.25" thickBot="1" x14ac:dyDescent="0.3">
      <c r="A40" s="739" t="s">
        <v>175</v>
      </c>
      <c r="B40" s="761">
        <f>B39+1</f>
        <v>29</v>
      </c>
      <c r="C40" s="762">
        <f t="shared" si="365"/>
        <v>4</v>
      </c>
      <c r="D40" s="485">
        <v>16171</v>
      </c>
      <c r="E40" s="436">
        <f>IFERROR(F39+D40,0)</f>
        <v>97212</v>
      </c>
      <c r="F40" s="451">
        <f t="shared" si="0"/>
        <v>97155</v>
      </c>
      <c r="G40" s="137"/>
      <c r="H40" s="138">
        <v>57</v>
      </c>
      <c r="I40" s="138"/>
      <c r="J40" s="32">
        <f t="shared" si="200"/>
        <v>57</v>
      </c>
      <c r="K40" s="32">
        <f t="shared" si="52"/>
        <v>4110</v>
      </c>
      <c r="L40" s="32">
        <f t="shared" si="1"/>
        <v>0.3</v>
      </c>
      <c r="M40" s="96">
        <f t="shared" si="85"/>
        <v>5.8634736452289837E-2</v>
      </c>
      <c r="N40" s="36">
        <f t="shared" si="2"/>
        <v>2.1999999999999997</v>
      </c>
      <c r="O40" s="132">
        <f t="shared" si="53"/>
        <v>3.0473111742157437</v>
      </c>
      <c r="P40" s="139">
        <v>6825</v>
      </c>
      <c r="Q40" s="32">
        <f t="shared" si="3"/>
        <v>29</v>
      </c>
      <c r="R40" s="443">
        <f t="shared" si="394"/>
        <v>70.207381804715467</v>
      </c>
      <c r="S40" s="471">
        <f t="shared" si="201"/>
        <v>609.37400251469649</v>
      </c>
      <c r="T40" s="56">
        <f t="shared" si="5"/>
        <v>255</v>
      </c>
      <c r="U40" s="109">
        <f t="shared" si="366"/>
        <v>235</v>
      </c>
      <c r="V40" s="63">
        <f t="shared" si="55"/>
        <v>20</v>
      </c>
      <c r="W40" s="56">
        <f t="shared" si="395"/>
        <v>79</v>
      </c>
      <c r="X40" s="109">
        <f t="shared" si="367"/>
        <v>55</v>
      </c>
      <c r="Y40" s="63">
        <f t="shared" si="56"/>
        <v>24</v>
      </c>
      <c r="Z40" s="685" t="s">
        <v>176</v>
      </c>
      <c r="AA40" s="761">
        <f>AA39+1</f>
        <v>29</v>
      </c>
      <c r="AB40" s="483">
        <f t="shared" si="369"/>
        <v>4</v>
      </c>
      <c r="AC40" s="485">
        <v>16171</v>
      </c>
      <c r="AD40" s="54">
        <f>IFERROR(AE39-AC40,0)</f>
        <v>88144</v>
      </c>
      <c r="AE40" s="55">
        <f t="shared" si="324"/>
        <v>88118</v>
      </c>
      <c r="AF40" s="137"/>
      <c r="AG40" s="138">
        <v>26</v>
      </c>
      <c r="AH40" s="138"/>
      <c r="AI40" s="34">
        <f t="shared" si="203"/>
        <v>26</v>
      </c>
      <c r="AJ40" s="34">
        <f t="shared" si="321"/>
        <v>4781</v>
      </c>
      <c r="AK40" s="17">
        <f t="shared" si="8"/>
        <v>0.3</v>
      </c>
      <c r="AL40" s="231">
        <f t="shared" si="58"/>
        <v>2.9497186422218189E-2</v>
      </c>
      <c r="AM40" s="33">
        <f t="shared" si="9"/>
        <v>2.1999999999999997</v>
      </c>
      <c r="AN40" s="157">
        <f t="shared" si="169"/>
        <v>3.1212461482216534</v>
      </c>
      <c r="AO40" s="137">
        <v>3276</v>
      </c>
      <c r="AP40" s="32">
        <f t="shared" si="10"/>
        <v>29</v>
      </c>
      <c r="AQ40" s="443">
        <f t="shared" si="59"/>
        <v>37.166454891994917</v>
      </c>
      <c r="AR40" s="471">
        <f t="shared" si="323"/>
        <v>606.35126699351099</v>
      </c>
      <c r="AS40" s="50">
        <f t="shared" si="11"/>
        <v>255</v>
      </c>
      <c r="AT40" s="103">
        <f t="shared" si="370"/>
        <v>246</v>
      </c>
      <c r="AU40" s="63">
        <f t="shared" si="271"/>
        <v>9</v>
      </c>
      <c r="AV40" s="56">
        <f t="shared" si="12"/>
        <v>79</v>
      </c>
      <c r="AW40" s="103">
        <f t="shared" si="371"/>
        <v>63</v>
      </c>
      <c r="AX40" s="63">
        <f t="shared" si="170"/>
        <v>16</v>
      </c>
      <c r="AZ40" s="119">
        <f>AZ39+1</f>
        <v>29</v>
      </c>
      <c r="BA40" s="95">
        <f t="shared" si="373"/>
        <v>4</v>
      </c>
      <c r="BB40" s="203"/>
      <c r="BC40" s="67">
        <f t="shared" si="403"/>
        <v>93686</v>
      </c>
      <c r="BD40" s="196">
        <f t="shared" si="325"/>
        <v>93665</v>
      </c>
      <c r="BE40" s="204"/>
      <c r="BF40" s="205">
        <v>21</v>
      </c>
      <c r="BG40" s="205"/>
      <c r="BH40" s="31">
        <f t="shared" si="204"/>
        <v>21</v>
      </c>
      <c r="BI40" s="31">
        <f t="shared" si="294"/>
        <v>207</v>
      </c>
      <c r="BJ40" s="31">
        <f t="shared" si="14"/>
        <v>0.3</v>
      </c>
      <c r="BK40" s="230">
        <f t="shared" si="92"/>
        <v>2.2415302179621288E-2</v>
      </c>
      <c r="BL40" s="37">
        <f t="shared" si="15"/>
        <v>2.1999999999999997</v>
      </c>
      <c r="BM40" s="132">
        <f t="shared" si="326"/>
        <v>0.28991596638655465</v>
      </c>
      <c r="BN40" s="204">
        <v>4095</v>
      </c>
      <c r="BO40" s="13">
        <f t="shared" si="17"/>
        <v>29</v>
      </c>
      <c r="BP40" s="482">
        <f t="shared" si="93"/>
        <v>43.70983925026151</v>
      </c>
      <c r="BQ40" s="752">
        <f t="shared" si="137"/>
        <v>532.89339618132033</v>
      </c>
      <c r="BR40" s="50">
        <f t="shared" si="18"/>
        <v>255</v>
      </c>
      <c r="BS40" s="202">
        <f t="shared" si="374"/>
        <v>231</v>
      </c>
      <c r="BT40" s="62">
        <f t="shared" si="272"/>
        <v>24</v>
      </c>
      <c r="BU40" s="50">
        <f t="shared" si="20"/>
        <v>79</v>
      </c>
      <c r="BV40" s="202">
        <f t="shared" si="375"/>
        <v>65</v>
      </c>
      <c r="BW40" s="62">
        <f t="shared" si="171"/>
        <v>14</v>
      </c>
      <c r="BY40" s="197">
        <f>BY39+1</f>
        <v>9</v>
      </c>
      <c r="BZ40" s="8">
        <f t="shared" si="376"/>
        <v>4</v>
      </c>
      <c r="CA40" s="497"/>
      <c r="CB40" s="32">
        <f t="shared" si="172"/>
        <v>0</v>
      </c>
      <c r="CC40" s="53">
        <f t="shared" si="205"/>
        <v>0</v>
      </c>
      <c r="CD40" s="421"/>
      <c r="CE40" s="426"/>
      <c r="CF40" s="426"/>
      <c r="CG40" s="34">
        <f t="shared" si="206"/>
        <v>0</v>
      </c>
      <c r="CH40" s="34">
        <f t="shared" si="173"/>
        <v>0</v>
      </c>
      <c r="CI40" s="32">
        <f t="shared" si="21"/>
        <v>0.3</v>
      </c>
      <c r="CJ40" s="96">
        <f t="shared" si="97"/>
        <v>0</v>
      </c>
      <c r="CK40" s="36">
        <f t="shared" si="22"/>
        <v>2.1999999999999997</v>
      </c>
      <c r="CL40" s="156">
        <f t="shared" si="140"/>
        <v>0</v>
      </c>
      <c r="CM40" s="137"/>
      <c r="CN40" s="13">
        <f t="shared" si="23"/>
        <v>29</v>
      </c>
      <c r="CO40" s="54">
        <f t="shared" si="141"/>
        <v>0</v>
      </c>
      <c r="CP40" s="70">
        <f t="shared" si="98"/>
        <v>0</v>
      </c>
      <c r="CQ40" s="56">
        <f t="shared" si="24"/>
        <v>255</v>
      </c>
      <c r="CR40" s="103">
        <f t="shared" si="377"/>
        <v>0</v>
      </c>
      <c r="CS40" s="63">
        <f t="shared" si="273"/>
        <v>255</v>
      </c>
      <c r="CT40" s="12">
        <f t="shared" si="25"/>
        <v>79</v>
      </c>
      <c r="CU40" s="103">
        <f t="shared" si="378"/>
        <v>0</v>
      </c>
      <c r="CV40" s="63">
        <f t="shared" si="67"/>
        <v>79</v>
      </c>
      <c r="CX40" s="197">
        <f>CX39+1</f>
        <v>9</v>
      </c>
      <c r="CY40" s="8">
        <f t="shared" si="379"/>
        <v>4</v>
      </c>
      <c r="CZ40" s="497"/>
      <c r="DA40" s="32">
        <f t="shared" si="174"/>
        <v>0</v>
      </c>
      <c r="DB40" s="53">
        <f t="shared" si="274"/>
        <v>0</v>
      </c>
      <c r="DC40" s="421"/>
      <c r="DD40" s="426"/>
      <c r="DE40" s="426"/>
      <c r="DF40" s="34">
        <f t="shared" si="208"/>
        <v>0</v>
      </c>
      <c r="DG40" s="34">
        <f t="shared" si="175"/>
        <v>0</v>
      </c>
      <c r="DH40" s="32">
        <f t="shared" si="26"/>
        <v>0.3</v>
      </c>
      <c r="DI40" s="96">
        <f t="shared" si="209"/>
        <v>0</v>
      </c>
      <c r="DJ40" s="36">
        <f t="shared" si="27"/>
        <v>2.1999999999999997</v>
      </c>
      <c r="DK40" s="156">
        <f t="shared" si="177"/>
        <v>0</v>
      </c>
      <c r="DL40" s="137"/>
      <c r="DM40" s="13">
        <f t="shared" si="28"/>
        <v>29</v>
      </c>
      <c r="DN40" s="54">
        <f t="shared" si="259"/>
        <v>0</v>
      </c>
      <c r="DO40" s="70">
        <f t="shared" si="178"/>
        <v>0</v>
      </c>
      <c r="DP40" s="56">
        <f t="shared" si="29"/>
        <v>255</v>
      </c>
      <c r="DQ40" s="103">
        <f t="shared" si="380"/>
        <v>0</v>
      </c>
      <c r="DR40" s="63">
        <f t="shared" si="275"/>
        <v>255</v>
      </c>
      <c r="DS40" s="12">
        <f t="shared" si="30"/>
        <v>79</v>
      </c>
      <c r="DT40" s="103">
        <f t="shared" si="381"/>
        <v>0</v>
      </c>
      <c r="DU40" s="63">
        <f t="shared" si="164"/>
        <v>79</v>
      </c>
      <c r="DW40" s="197">
        <f>DW39+1</f>
        <v>9</v>
      </c>
      <c r="DX40" s="8">
        <f t="shared" si="382"/>
        <v>4</v>
      </c>
      <c r="DY40" s="497"/>
      <c r="DZ40" s="32">
        <f t="shared" si="179"/>
        <v>0</v>
      </c>
      <c r="EA40" s="53">
        <f t="shared" si="276"/>
        <v>0</v>
      </c>
      <c r="EB40" s="421"/>
      <c r="EC40" s="426"/>
      <c r="ED40" s="426"/>
      <c r="EE40" s="34">
        <f t="shared" si="211"/>
        <v>0</v>
      </c>
      <c r="EF40" s="34">
        <f t="shared" si="180"/>
        <v>0</v>
      </c>
      <c r="EG40" s="32">
        <f t="shared" si="31"/>
        <v>0.3</v>
      </c>
      <c r="EH40" s="96">
        <f t="shared" si="212"/>
        <v>0</v>
      </c>
      <c r="EI40" s="36">
        <f t="shared" si="32"/>
        <v>2.1999999999999997</v>
      </c>
      <c r="EJ40" s="156">
        <f t="shared" si="182"/>
        <v>0</v>
      </c>
      <c r="EK40" s="137"/>
      <c r="EL40" s="13">
        <f t="shared" si="33"/>
        <v>29</v>
      </c>
      <c r="EM40" s="54">
        <f t="shared" si="260"/>
        <v>0</v>
      </c>
      <c r="EN40" s="70">
        <f t="shared" si="183"/>
        <v>0</v>
      </c>
      <c r="EO40" s="56">
        <f t="shared" si="34"/>
        <v>255</v>
      </c>
      <c r="EP40" s="103">
        <f t="shared" si="383"/>
        <v>0</v>
      </c>
      <c r="EQ40" s="63">
        <f t="shared" si="277"/>
        <v>255</v>
      </c>
      <c r="ER40" s="12">
        <f t="shared" si="35"/>
        <v>79</v>
      </c>
      <c r="ES40" s="103">
        <f t="shared" si="384"/>
        <v>0</v>
      </c>
      <c r="ET40" s="63">
        <f t="shared" si="165"/>
        <v>79</v>
      </c>
      <c r="EV40" s="197">
        <f>EV39+1</f>
        <v>9</v>
      </c>
      <c r="EW40" s="8">
        <f t="shared" si="385"/>
        <v>4</v>
      </c>
      <c r="EX40" s="497"/>
      <c r="EY40" s="32">
        <f t="shared" si="184"/>
        <v>0</v>
      </c>
      <c r="EZ40" s="53">
        <f t="shared" si="278"/>
        <v>0</v>
      </c>
      <c r="FA40" s="421"/>
      <c r="FB40" s="426"/>
      <c r="FC40" s="426"/>
      <c r="FD40" s="34">
        <f t="shared" si="214"/>
        <v>0</v>
      </c>
      <c r="FE40" s="34">
        <f t="shared" si="185"/>
        <v>0</v>
      </c>
      <c r="FF40" s="32">
        <f t="shared" si="36"/>
        <v>0.3</v>
      </c>
      <c r="FG40" s="96">
        <f t="shared" si="215"/>
        <v>0</v>
      </c>
      <c r="FH40" s="36">
        <f t="shared" si="37"/>
        <v>2.1999999999999997</v>
      </c>
      <c r="FI40" s="156">
        <f t="shared" si="187"/>
        <v>0</v>
      </c>
      <c r="FJ40" s="137"/>
      <c r="FK40" s="13">
        <f t="shared" si="38"/>
        <v>29</v>
      </c>
      <c r="FL40" s="54">
        <f t="shared" si="261"/>
        <v>0</v>
      </c>
      <c r="FM40" s="70">
        <f t="shared" si="188"/>
        <v>0</v>
      </c>
      <c r="FN40" s="56">
        <f t="shared" si="39"/>
        <v>255</v>
      </c>
      <c r="FO40" s="103">
        <f t="shared" si="386"/>
        <v>0</v>
      </c>
      <c r="FP40" s="63">
        <f t="shared" si="279"/>
        <v>255</v>
      </c>
      <c r="FQ40" s="12">
        <f t="shared" si="40"/>
        <v>79</v>
      </c>
      <c r="FR40" s="103">
        <f t="shared" si="387"/>
        <v>0</v>
      </c>
      <c r="FS40" s="63">
        <f t="shared" si="166"/>
        <v>79</v>
      </c>
      <c r="FU40" s="197">
        <f>FU39+1</f>
        <v>9</v>
      </c>
      <c r="FV40" s="8">
        <f t="shared" si="388"/>
        <v>4</v>
      </c>
      <c r="FW40" s="497"/>
      <c r="FX40" s="32">
        <f t="shared" si="189"/>
        <v>0</v>
      </c>
      <c r="FY40" s="53">
        <f t="shared" si="280"/>
        <v>0</v>
      </c>
      <c r="FZ40" s="421"/>
      <c r="GA40" s="426"/>
      <c r="GB40" s="426"/>
      <c r="GC40" s="34">
        <f t="shared" si="217"/>
        <v>0</v>
      </c>
      <c r="GD40" s="34">
        <f t="shared" si="190"/>
        <v>0</v>
      </c>
      <c r="GE40" s="32">
        <f t="shared" si="41"/>
        <v>0.3</v>
      </c>
      <c r="GF40" s="96">
        <f t="shared" si="218"/>
        <v>0</v>
      </c>
      <c r="GG40" s="36">
        <f t="shared" si="42"/>
        <v>2.1999999999999997</v>
      </c>
      <c r="GH40" s="156">
        <f t="shared" si="192"/>
        <v>0</v>
      </c>
      <c r="GI40" s="137"/>
      <c r="GJ40" s="13">
        <f t="shared" si="43"/>
        <v>29</v>
      </c>
      <c r="GK40" s="54">
        <f t="shared" si="262"/>
        <v>0</v>
      </c>
      <c r="GL40" s="70">
        <f t="shared" si="193"/>
        <v>0</v>
      </c>
      <c r="GM40" s="56">
        <f t="shared" si="44"/>
        <v>255</v>
      </c>
      <c r="GN40" s="103">
        <f t="shared" si="389"/>
        <v>0</v>
      </c>
      <c r="GO40" s="63">
        <f t="shared" si="281"/>
        <v>255</v>
      </c>
      <c r="GP40" s="12">
        <f t="shared" si="45"/>
        <v>79</v>
      </c>
      <c r="GQ40" s="103">
        <f t="shared" si="390"/>
        <v>0</v>
      </c>
      <c r="GR40" s="63">
        <f t="shared" si="167"/>
        <v>79</v>
      </c>
      <c r="GT40" s="197">
        <f>GT39+1</f>
        <v>9</v>
      </c>
      <c r="GU40" s="8">
        <f t="shared" si="391"/>
        <v>4</v>
      </c>
      <c r="GV40" s="497"/>
      <c r="GW40" s="32">
        <f t="shared" si="194"/>
        <v>0</v>
      </c>
      <c r="GX40" s="53">
        <f t="shared" si="282"/>
        <v>0</v>
      </c>
      <c r="GY40" s="421"/>
      <c r="GZ40" s="426"/>
      <c r="HA40" s="426"/>
      <c r="HB40" s="34">
        <f t="shared" si="220"/>
        <v>0</v>
      </c>
      <c r="HC40" s="34">
        <f t="shared" si="195"/>
        <v>0</v>
      </c>
      <c r="HD40" s="32">
        <f t="shared" si="46"/>
        <v>0.3</v>
      </c>
      <c r="HE40" s="96">
        <f t="shared" si="221"/>
        <v>0</v>
      </c>
      <c r="HF40" s="36">
        <f t="shared" si="47"/>
        <v>2.1999999999999997</v>
      </c>
      <c r="HG40" s="156">
        <f t="shared" si="197"/>
        <v>0</v>
      </c>
      <c r="HH40" s="137"/>
      <c r="HI40" s="13">
        <f t="shared" si="48"/>
        <v>29</v>
      </c>
      <c r="HJ40" s="54">
        <f t="shared" si="263"/>
        <v>0</v>
      </c>
      <c r="HK40" s="70">
        <f t="shared" si="198"/>
        <v>0</v>
      </c>
      <c r="HL40" s="56">
        <f t="shared" si="49"/>
        <v>255</v>
      </c>
      <c r="HM40" s="103">
        <f t="shared" si="392"/>
        <v>0</v>
      </c>
      <c r="HN40" s="63">
        <f t="shared" si="283"/>
        <v>255</v>
      </c>
      <c r="HO40" s="12">
        <f t="shared" si="50"/>
        <v>79</v>
      </c>
      <c r="HP40" s="103">
        <f t="shared" si="393"/>
        <v>0</v>
      </c>
      <c r="HQ40" s="63">
        <f t="shared" si="168"/>
        <v>79</v>
      </c>
    </row>
    <row r="41" spans="1:225" ht="17.25" thickBot="1" x14ac:dyDescent="0.3">
      <c r="B41" s="118">
        <v>30</v>
      </c>
      <c r="C41" s="575">
        <v>5</v>
      </c>
      <c r="D41" s="498"/>
      <c r="E41" s="400">
        <f t="shared" si="223"/>
        <v>97155</v>
      </c>
      <c r="F41" s="561">
        <f t="shared" si="0"/>
        <v>97105</v>
      </c>
      <c r="G41" s="130"/>
      <c r="H41" s="131">
        <v>50</v>
      </c>
      <c r="I41" s="131"/>
      <c r="J41" s="11">
        <f t="shared" si="200"/>
        <v>50</v>
      </c>
      <c r="K41" s="11">
        <f t="shared" si="52"/>
        <v>4160</v>
      </c>
      <c r="L41" s="11">
        <f t="shared" si="1"/>
        <v>0.18</v>
      </c>
      <c r="M41" s="42">
        <f t="shared" si="85"/>
        <v>5.1464155215892128E-2</v>
      </c>
      <c r="N41" s="21">
        <f t="shared" si="2"/>
        <v>2.38</v>
      </c>
      <c r="O41" s="132">
        <f t="shared" si="53"/>
        <v>3.0843830863108259</v>
      </c>
      <c r="P41" s="158">
        <v>4095</v>
      </c>
      <c r="Q41" s="11">
        <f t="shared" si="3"/>
        <v>34</v>
      </c>
      <c r="R41" s="441">
        <f t="shared" si="394"/>
        <v>42.149143121815655</v>
      </c>
      <c r="S41" s="469">
        <f t="shared" si="201"/>
        <v>651.52314563651214</v>
      </c>
      <c r="T41" s="58">
        <f t="shared" si="5"/>
        <v>334</v>
      </c>
      <c r="U41" s="131">
        <v>316</v>
      </c>
      <c r="V41" s="41">
        <f t="shared" si="55"/>
        <v>18</v>
      </c>
      <c r="W41" s="18">
        <f t="shared" si="395"/>
        <v>79</v>
      </c>
      <c r="X41" s="131">
        <v>62</v>
      </c>
      <c r="Y41" s="41">
        <f t="shared" si="56"/>
        <v>17</v>
      </c>
      <c r="Z41" s="487"/>
      <c r="AA41" s="118">
        <v>30</v>
      </c>
      <c r="AB41" s="9">
        <v>5</v>
      </c>
      <c r="AC41" s="498"/>
      <c r="AD41" s="43">
        <f t="shared" si="396"/>
        <v>88118</v>
      </c>
      <c r="AE41" s="44">
        <f t="shared" si="324"/>
        <v>88093</v>
      </c>
      <c r="AF41" s="130"/>
      <c r="AG41" s="131">
        <v>25</v>
      </c>
      <c r="AH41" s="131"/>
      <c r="AI41" s="11">
        <f t="shared" si="203"/>
        <v>25</v>
      </c>
      <c r="AJ41" s="11">
        <f t="shared" si="321"/>
        <v>4806</v>
      </c>
      <c r="AK41" s="16">
        <f t="shared" si="8"/>
        <v>0.18</v>
      </c>
      <c r="AL41" s="153">
        <f t="shared" si="58"/>
        <v>2.8371047913025714E-2</v>
      </c>
      <c r="AM41" s="154">
        <f t="shared" si="9"/>
        <v>2.38</v>
      </c>
      <c r="AN41" s="157">
        <f t="shared" si="169"/>
        <v>3.1375672429101167</v>
      </c>
      <c r="AO41" s="130">
        <v>4095</v>
      </c>
      <c r="AP41" s="17">
        <f t="shared" si="10"/>
        <v>34</v>
      </c>
      <c r="AQ41" s="481">
        <f t="shared" si="59"/>
        <v>46.471776481536125</v>
      </c>
      <c r="AR41" s="469">
        <f t="shared" si="323"/>
        <v>652.82304347504714</v>
      </c>
      <c r="AS41" s="58">
        <f t="shared" si="11"/>
        <v>334</v>
      </c>
      <c r="AT41" s="131">
        <v>319</v>
      </c>
      <c r="AU41" s="41">
        <f t="shared" si="271"/>
        <v>15</v>
      </c>
      <c r="AV41" s="18">
        <f t="shared" si="12"/>
        <v>79</v>
      </c>
      <c r="AW41" s="131">
        <v>60</v>
      </c>
      <c r="AX41" s="41">
        <f t="shared" si="170"/>
        <v>19</v>
      </c>
      <c r="AZ41" s="118">
        <v>30</v>
      </c>
      <c r="BA41" s="9">
        <v>5</v>
      </c>
      <c r="BB41" s="129"/>
      <c r="BC41" s="43">
        <f t="shared" si="403"/>
        <v>93665</v>
      </c>
      <c r="BD41" s="44">
        <f t="shared" si="325"/>
        <v>93639</v>
      </c>
      <c r="BE41" s="130"/>
      <c r="BF41" s="131">
        <v>26</v>
      </c>
      <c r="BG41" s="131"/>
      <c r="BH41" s="11">
        <f t="shared" si="204"/>
        <v>26</v>
      </c>
      <c r="BI41" s="11">
        <f t="shared" si="294"/>
        <v>233</v>
      </c>
      <c r="BJ41" s="16">
        <f t="shared" si="14"/>
        <v>0.18</v>
      </c>
      <c r="BK41" s="42">
        <f t="shared" si="92"/>
        <v>2.7758501040943788E-2</v>
      </c>
      <c r="BL41" s="154">
        <f t="shared" si="15"/>
        <v>2.38</v>
      </c>
      <c r="BM41" s="132">
        <f t="shared" si="326"/>
        <v>0.32633053221288516</v>
      </c>
      <c r="BN41" s="130">
        <v>2730</v>
      </c>
      <c r="BO41" s="11">
        <f t="shared" si="17"/>
        <v>34</v>
      </c>
      <c r="BP41" s="441">
        <f t="shared" si="93"/>
        <v>29.146426092990978</v>
      </c>
      <c r="BQ41" s="746">
        <f t="shared" si="137"/>
        <v>562.03982227431129</v>
      </c>
      <c r="BR41" s="58">
        <f t="shared" si="18"/>
        <v>334</v>
      </c>
      <c r="BS41" s="131">
        <v>298</v>
      </c>
      <c r="BT41" s="41">
        <f t="shared" si="272"/>
        <v>36</v>
      </c>
      <c r="BU41" s="18">
        <f t="shared" si="20"/>
        <v>79</v>
      </c>
      <c r="BV41" s="131">
        <v>68</v>
      </c>
      <c r="BW41" s="41">
        <f t="shared" si="171"/>
        <v>11</v>
      </c>
      <c r="BY41" s="118">
        <v>10</v>
      </c>
      <c r="BZ41" s="9">
        <v>5</v>
      </c>
      <c r="CA41" s="498"/>
      <c r="CB41" s="11">
        <f t="shared" si="172"/>
        <v>0</v>
      </c>
      <c r="CC41" s="41">
        <f t="shared" si="205"/>
        <v>0</v>
      </c>
      <c r="CD41" s="398"/>
      <c r="CE41" s="399"/>
      <c r="CF41" s="399"/>
      <c r="CG41" s="11">
        <f t="shared" si="206"/>
        <v>0</v>
      </c>
      <c r="CH41" s="11">
        <f t="shared" si="173"/>
        <v>0</v>
      </c>
      <c r="CI41" s="17">
        <f t="shared" si="21"/>
        <v>0.18</v>
      </c>
      <c r="CJ41" s="235">
        <f t="shared" si="97"/>
        <v>0</v>
      </c>
      <c r="CK41" s="33">
        <f t="shared" si="22"/>
        <v>2.38</v>
      </c>
      <c r="CL41" s="155">
        <f t="shared" si="140"/>
        <v>0</v>
      </c>
      <c r="CM41" s="130"/>
      <c r="CN41" s="11">
        <f t="shared" si="23"/>
        <v>34</v>
      </c>
      <c r="CO41" s="60">
        <f t="shared" si="141"/>
        <v>0</v>
      </c>
      <c r="CP41" s="377">
        <f t="shared" si="98"/>
        <v>0</v>
      </c>
      <c r="CQ41" s="61">
        <f t="shared" si="24"/>
        <v>334</v>
      </c>
      <c r="CR41" s="131"/>
      <c r="CS41" s="41">
        <f t="shared" si="273"/>
        <v>334</v>
      </c>
      <c r="CT41" s="18">
        <f t="shared" si="25"/>
        <v>79</v>
      </c>
      <c r="CU41" s="131"/>
      <c r="CV41" s="41">
        <f t="shared" si="67"/>
        <v>79</v>
      </c>
      <c r="CX41" s="118">
        <v>10</v>
      </c>
      <c r="CY41" s="9">
        <v>5</v>
      </c>
      <c r="CZ41" s="498"/>
      <c r="DA41" s="11">
        <f t="shared" si="174"/>
        <v>0</v>
      </c>
      <c r="DB41" s="41">
        <f t="shared" si="274"/>
        <v>0</v>
      </c>
      <c r="DC41" s="398"/>
      <c r="DD41" s="399"/>
      <c r="DE41" s="399"/>
      <c r="DF41" s="11">
        <f t="shared" si="208"/>
        <v>0</v>
      </c>
      <c r="DG41" s="11">
        <f t="shared" si="175"/>
        <v>0</v>
      </c>
      <c r="DH41" s="17">
        <f t="shared" si="26"/>
        <v>0.18</v>
      </c>
      <c r="DI41" s="235">
        <f t="shared" si="209"/>
        <v>0</v>
      </c>
      <c r="DJ41" s="33">
        <f t="shared" si="27"/>
        <v>2.38</v>
      </c>
      <c r="DK41" s="155">
        <f t="shared" si="177"/>
        <v>0</v>
      </c>
      <c r="DL41" s="130"/>
      <c r="DM41" s="11">
        <f t="shared" si="28"/>
        <v>34</v>
      </c>
      <c r="DN41" s="60">
        <f t="shared" si="259"/>
        <v>0</v>
      </c>
      <c r="DO41" s="377">
        <f t="shared" si="178"/>
        <v>0</v>
      </c>
      <c r="DP41" s="61">
        <f t="shared" si="29"/>
        <v>334</v>
      </c>
      <c r="DQ41" s="131"/>
      <c r="DR41" s="41">
        <f t="shared" si="275"/>
        <v>334</v>
      </c>
      <c r="DS41" s="18">
        <f t="shared" si="30"/>
        <v>79</v>
      </c>
      <c r="DT41" s="131"/>
      <c r="DU41" s="41">
        <f t="shared" si="164"/>
        <v>79</v>
      </c>
      <c r="DW41" s="118">
        <v>10</v>
      </c>
      <c r="DX41" s="9">
        <v>5</v>
      </c>
      <c r="DY41" s="498"/>
      <c r="DZ41" s="11">
        <f t="shared" si="179"/>
        <v>0</v>
      </c>
      <c r="EA41" s="41">
        <f t="shared" si="276"/>
        <v>0</v>
      </c>
      <c r="EB41" s="398"/>
      <c r="EC41" s="399"/>
      <c r="ED41" s="399"/>
      <c r="EE41" s="11">
        <f t="shared" si="211"/>
        <v>0</v>
      </c>
      <c r="EF41" s="11">
        <f t="shared" si="180"/>
        <v>0</v>
      </c>
      <c r="EG41" s="17">
        <f t="shared" si="31"/>
        <v>0.18</v>
      </c>
      <c r="EH41" s="235">
        <f t="shared" si="212"/>
        <v>0</v>
      </c>
      <c r="EI41" s="33">
        <f t="shared" si="32"/>
        <v>2.38</v>
      </c>
      <c r="EJ41" s="155">
        <f t="shared" si="182"/>
        <v>0</v>
      </c>
      <c r="EK41" s="130"/>
      <c r="EL41" s="11">
        <f t="shared" si="33"/>
        <v>34</v>
      </c>
      <c r="EM41" s="60">
        <f t="shared" si="260"/>
        <v>0</v>
      </c>
      <c r="EN41" s="377">
        <f t="shared" si="183"/>
        <v>0</v>
      </c>
      <c r="EO41" s="61">
        <f t="shared" si="34"/>
        <v>334</v>
      </c>
      <c r="EP41" s="131"/>
      <c r="EQ41" s="41">
        <f t="shared" si="277"/>
        <v>334</v>
      </c>
      <c r="ER41" s="18">
        <f t="shared" si="35"/>
        <v>79</v>
      </c>
      <c r="ES41" s="131"/>
      <c r="ET41" s="41">
        <f t="shared" si="165"/>
        <v>79</v>
      </c>
      <c r="EV41" s="118">
        <v>10</v>
      </c>
      <c r="EW41" s="9">
        <v>5</v>
      </c>
      <c r="EX41" s="498"/>
      <c r="EY41" s="11">
        <f t="shared" si="184"/>
        <v>0</v>
      </c>
      <c r="EZ41" s="41">
        <f t="shared" si="278"/>
        <v>0</v>
      </c>
      <c r="FA41" s="398"/>
      <c r="FB41" s="399"/>
      <c r="FC41" s="399"/>
      <c r="FD41" s="11">
        <f t="shared" si="214"/>
        <v>0</v>
      </c>
      <c r="FE41" s="11">
        <f t="shared" si="185"/>
        <v>0</v>
      </c>
      <c r="FF41" s="17">
        <f t="shared" si="36"/>
        <v>0.18</v>
      </c>
      <c r="FG41" s="235">
        <f t="shared" si="215"/>
        <v>0</v>
      </c>
      <c r="FH41" s="33">
        <f t="shared" si="37"/>
        <v>2.38</v>
      </c>
      <c r="FI41" s="155">
        <f t="shared" si="187"/>
        <v>0</v>
      </c>
      <c r="FJ41" s="130"/>
      <c r="FK41" s="11">
        <f t="shared" si="38"/>
        <v>34</v>
      </c>
      <c r="FL41" s="60">
        <f t="shared" si="261"/>
        <v>0</v>
      </c>
      <c r="FM41" s="377">
        <f t="shared" si="188"/>
        <v>0</v>
      </c>
      <c r="FN41" s="61">
        <f t="shared" si="39"/>
        <v>334</v>
      </c>
      <c r="FO41" s="131"/>
      <c r="FP41" s="41">
        <f t="shared" si="279"/>
        <v>334</v>
      </c>
      <c r="FQ41" s="18">
        <f t="shared" si="40"/>
        <v>79</v>
      </c>
      <c r="FR41" s="131"/>
      <c r="FS41" s="41">
        <f t="shared" si="166"/>
        <v>79</v>
      </c>
      <c r="FU41" s="118">
        <v>10</v>
      </c>
      <c r="FV41" s="9">
        <v>5</v>
      </c>
      <c r="FW41" s="498"/>
      <c r="FX41" s="11">
        <f t="shared" si="189"/>
        <v>0</v>
      </c>
      <c r="FY41" s="41">
        <f t="shared" si="280"/>
        <v>0</v>
      </c>
      <c r="FZ41" s="398"/>
      <c r="GA41" s="399"/>
      <c r="GB41" s="399"/>
      <c r="GC41" s="11">
        <f t="shared" si="217"/>
        <v>0</v>
      </c>
      <c r="GD41" s="11">
        <f t="shared" si="190"/>
        <v>0</v>
      </c>
      <c r="GE41" s="17">
        <f t="shared" si="41"/>
        <v>0.18</v>
      </c>
      <c r="GF41" s="235">
        <f t="shared" si="218"/>
        <v>0</v>
      </c>
      <c r="GG41" s="33">
        <f t="shared" si="42"/>
        <v>2.38</v>
      </c>
      <c r="GH41" s="155">
        <f t="shared" si="192"/>
        <v>0</v>
      </c>
      <c r="GI41" s="130"/>
      <c r="GJ41" s="11">
        <f t="shared" si="43"/>
        <v>34</v>
      </c>
      <c r="GK41" s="60">
        <f t="shared" si="262"/>
        <v>0</v>
      </c>
      <c r="GL41" s="377">
        <f t="shared" si="193"/>
        <v>0</v>
      </c>
      <c r="GM41" s="61">
        <f t="shared" si="44"/>
        <v>334</v>
      </c>
      <c r="GN41" s="131"/>
      <c r="GO41" s="41">
        <f t="shared" si="281"/>
        <v>334</v>
      </c>
      <c r="GP41" s="18">
        <f t="shared" si="45"/>
        <v>79</v>
      </c>
      <c r="GQ41" s="131"/>
      <c r="GR41" s="41">
        <f t="shared" si="167"/>
        <v>79</v>
      </c>
      <c r="GT41" s="118">
        <v>10</v>
      </c>
      <c r="GU41" s="9">
        <v>5</v>
      </c>
      <c r="GV41" s="498"/>
      <c r="GW41" s="11">
        <f t="shared" si="194"/>
        <v>0</v>
      </c>
      <c r="GX41" s="41">
        <f t="shared" si="282"/>
        <v>0</v>
      </c>
      <c r="GY41" s="398"/>
      <c r="GZ41" s="399"/>
      <c r="HA41" s="399"/>
      <c r="HB41" s="11">
        <f t="shared" si="220"/>
        <v>0</v>
      </c>
      <c r="HC41" s="11">
        <f t="shared" si="195"/>
        <v>0</v>
      </c>
      <c r="HD41" s="17">
        <f t="shared" si="46"/>
        <v>0.18</v>
      </c>
      <c r="HE41" s="235">
        <f t="shared" si="221"/>
        <v>0</v>
      </c>
      <c r="HF41" s="33">
        <f t="shared" si="47"/>
        <v>2.38</v>
      </c>
      <c r="HG41" s="155">
        <f t="shared" si="197"/>
        <v>0</v>
      </c>
      <c r="HH41" s="130"/>
      <c r="HI41" s="11">
        <f t="shared" si="48"/>
        <v>34</v>
      </c>
      <c r="HJ41" s="60">
        <f t="shared" si="263"/>
        <v>0</v>
      </c>
      <c r="HK41" s="377">
        <f t="shared" si="198"/>
        <v>0</v>
      </c>
      <c r="HL41" s="61">
        <f t="shared" si="49"/>
        <v>334</v>
      </c>
      <c r="HM41" s="131"/>
      <c r="HN41" s="41">
        <f t="shared" si="283"/>
        <v>334</v>
      </c>
      <c r="HO41" s="18">
        <f t="shared" si="50"/>
        <v>79</v>
      </c>
      <c r="HP41" s="131"/>
      <c r="HQ41" s="41">
        <f t="shared" si="168"/>
        <v>79</v>
      </c>
    </row>
    <row r="42" spans="1:225" ht="17.25" thickBot="1" x14ac:dyDescent="0.3">
      <c r="B42" s="120">
        <f>B41+1</f>
        <v>31</v>
      </c>
      <c r="C42" s="570">
        <f>C41</f>
        <v>5</v>
      </c>
      <c r="D42" s="229"/>
      <c r="E42" s="408">
        <f t="shared" si="223"/>
        <v>97105</v>
      </c>
      <c r="F42" s="562">
        <f t="shared" si="0"/>
        <v>97045</v>
      </c>
      <c r="G42" s="134"/>
      <c r="H42" s="135">
        <v>60</v>
      </c>
      <c r="I42" s="135"/>
      <c r="J42" s="14">
        <f t="shared" si="200"/>
        <v>60</v>
      </c>
      <c r="K42" s="14">
        <f t="shared" si="52"/>
        <v>4220</v>
      </c>
      <c r="L42" s="14">
        <f t="shared" si="1"/>
        <v>0.18</v>
      </c>
      <c r="M42" s="47">
        <f t="shared" si="85"/>
        <v>6.1788785335461616E-2</v>
      </c>
      <c r="N42" s="35">
        <f t="shared" si="2"/>
        <v>2.38</v>
      </c>
      <c r="O42" s="132">
        <f t="shared" si="53"/>
        <v>3.1288693808249244</v>
      </c>
      <c r="P42" s="142">
        <v>4095</v>
      </c>
      <c r="Q42" s="14">
        <f t="shared" si="3"/>
        <v>34</v>
      </c>
      <c r="R42" s="442">
        <f t="shared" si="394"/>
        <v>42.170845991452552</v>
      </c>
      <c r="S42" s="470">
        <f t="shared" si="201"/>
        <v>693.69399162796469</v>
      </c>
      <c r="T42" s="51">
        <f t="shared" si="5"/>
        <v>334</v>
      </c>
      <c r="U42" s="103">
        <f>U41</f>
        <v>316</v>
      </c>
      <c r="V42" s="46">
        <f t="shared" si="55"/>
        <v>18</v>
      </c>
      <c r="W42" s="50">
        <f t="shared" si="395"/>
        <v>79</v>
      </c>
      <c r="X42" s="103">
        <f>X41</f>
        <v>62</v>
      </c>
      <c r="Y42" s="46">
        <f t="shared" si="56"/>
        <v>17</v>
      </c>
      <c r="Z42" s="487"/>
      <c r="AA42" s="120">
        <f>AA41+1</f>
        <v>31</v>
      </c>
      <c r="AB42" s="7">
        <f>AB41</f>
        <v>5</v>
      </c>
      <c r="AC42" s="229"/>
      <c r="AD42" s="48">
        <f t="shared" si="396"/>
        <v>88093</v>
      </c>
      <c r="AE42" s="447">
        <f t="shared" si="324"/>
        <v>88071</v>
      </c>
      <c r="AF42" s="134"/>
      <c r="AG42" s="135">
        <v>22</v>
      </c>
      <c r="AH42" s="135"/>
      <c r="AI42" s="14">
        <f t="shared" si="203"/>
        <v>22</v>
      </c>
      <c r="AJ42" s="14">
        <f t="shared" si="321"/>
        <v>4828</v>
      </c>
      <c r="AK42" s="14">
        <f t="shared" si="8"/>
        <v>0.18</v>
      </c>
      <c r="AL42" s="47">
        <f t="shared" si="58"/>
        <v>2.4973607437594362E-2</v>
      </c>
      <c r="AM42" s="35">
        <f t="shared" si="9"/>
        <v>2.38</v>
      </c>
      <c r="AN42" s="157">
        <f t="shared" si="169"/>
        <v>3.1519298062359637</v>
      </c>
      <c r="AO42" s="134">
        <v>2730</v>
      </c>
      <c r="AP42" s="14">
        <f t="shared" si="10"/>
        <v>34</v>
      </c>
      <c r="AQ42" s="482">
        <f t="shared" si="59"/>
        <v>30.989976502105726</v>
      </c>
      <c r="AR42" s="470">
        <f t="shared" si="323"/>
        <v>683.81301997715286</v>
      </c>
      <c r="AS42" s="51">
        <f t="shared" si="11"/>
        <v>334</v>
      </c>
      <c r="AT42" s="103">
        <f>AT41</f>
        <v>319</v>
      </c>
      <c r="AU42" s="46">
        <f t="shared" si="271"/>
        <v>15</v>
      </c>
      <c r="AV42" s="50">
        <f t="shared" si="12"/>
        <v>79</v>
      </c>
      <c r="AW42" s="103">
        <f>AW41</f>
        <v>60</v>
      </c>
      <c r="AX42" s="46">
        <f t="shared" si="170"/>
        <v>19</v>
      </c>
      <c r="AZ42" s="120">
        <f>AZ41+1</f>
        <v>31</v>
      </c>
      <c r="BA42" s="7">
        <f>BA41</f>
        <v>5</v>
      </c>
      <c r="BB42" s="133"/>
      <c r="BC42" s="48">
        <f t="shared" si="403"/>
        <v>93639</v>
      </c>
      <c r="BD42" s="447">
        <f t="shared" si="325"/>
        <v>93599</v>
      </c>
      <c r="BE42" s="134"/>
      <c r="BF42" s="135">
        <v>40</v>
      </c>
      <c r="BG42" s="135"/>
      <c r="BH42" s="14">
        <f t="shared" si="204"/>
        <v>40</v>
      </c>
      <c r="BI42" s="14">
        <f t="shared" si="294"/>
        <v>273</v>
      </c>
      <c r="BJ42" s="14">
        <f t="shared" si="14"/>
        <v>0.18</v>
      </c>
      <c r="BK42" s="47">
        <f t="shared" si="92"/>
        <v>4.2717243883424641E-2</v>
      </c>
      <c r="BL42" s="35">
        <f t="shared" si="15"/>
        <v>2.38</v>
      </c>
      <c r="BM42" s="132">
        <f t="shared" si="326"/>
        <v>0.38235294117647056</v>
      </c>
      <c r="BN42" s="134">
        <v>2730</v>
      </c>
      <c r="BO42" s="14">
        <f t="shared" si="17"/>
        <v>34</v>
      </c>
      <c r="BP42" s="442">
        <f t="shared" si="93"/>
        <v>29.154518950437318</v>
      </c>
      <c r="BQ42" s="747">
        <f t="shared" si="137"/>
        <v>591.19434122474865</v>
      </c>
      <c r="BR42" s="51">
        <f t="shared" si="18"/>
        <v>334</v>
      </c>
      <c r="BS42" s="103">
        <f>BS41</f>
        <v>298</v>
      </c>
      <c r="BT42" s="46">
        <f t="shared" si="272"/>
        <v>36</v>
      </c>
      <c r="BU42" s="50">
        <f t="shared" si="20"/>
        <v>79</v>
      </c>
      <c r="BV42" s="103">
        <f>BV41</f>
        <v>68</v>
      </c>
      <c r="BW42" s="46">
        <f t="shared" si="171"/>
        <v>11</v>
      </c>
      <c r="BY42" s="120">
        <f>BY41+1</f>
        <v>11</v>
      </c>
      <c r="BZ42" s="7">
        <f>BZ41</f>
        <v>5</v>
      </c>
      <c r="CA42" s="229"/>
      <c r="CB42" s="14">
        <f t="shared" si="172"/>
        <v>0</v>
      </c>
      <c r="CC42" s="62">
        <f t="shared" si="205"/>
        <v>0</v>
      </c>
      <c r="CD42" s="405"/>
      <c r="CE42" s="406"/>
      <c r="CF42" s="406"/>
      <c r="CG42" s="14">
        <f t="shared" si="206"/>
        <v>0</v>
      </c>
      <c r="CH42" s="14">
        <f t="shared" si="173"/>
        <v>0</v>
      </c>
      <c r="CI42" s="14">
        <f t="shared" si="21"/>
        <v>0.18</v>
      </c>
      <c r="CJ42" s="47">
        <f t="shared" si="97"/>
        <v>0</v>
      </c>
      <c r="CK42" s="35">
        <f t="shared" si="22"/>
        <v>2.38</v>
      </c>
      <c r="CL42" s="157">
        <f t="shared" si="140"/>
        <v>0</v>
      </c>
      <c r="CM42" s="134"/>
      <c r="CN42" s="14">
        <f t="shared" si="23"/>
        <v>34</v>
      </c>
      <c r="CO42" s="48">
        <f t="shared" si="141"/>
        <v>0</v>
      </c>
      <c r="CP42" s="68">
        <f t="shared" si="98"/>
        <v>0</v>
      </c>
      <c r="CQ42" s="51">
        <f t="shared" si="24"/>
        <v>334</v>
      </c>
      <c r="CR42" s="103">
        <f>CR41</f>
        <v>0</v>
      </c>
      <c r="CS42" s="46">
        <f t="shared" si="273"/>
        <v>334</v>
      </c>
      <c r="CT42" s="51">
        <f t="shared" si="25"/>
        <v>79</v>
      </c>
      <c r="CU42" s="103">
        <f>CU41</f>
        <v>0</v>
      </c>
      <c r="CV42" s="46">
        <f t="shared" si="67"/>
        <v>79</v>
      </c>
      <c r="CX42" s="120">
        <f>CX41+1</f>
        <v>11</v>
      </c>
      <c r="CY42" s="7">
        <f>CY41</f>
        <v>5</v>
      </c>
      <c r="CZ42" s="229"/>
      <c r="DA42" s="14">
        <f t="shared" si="174"/>
        <v>0</v>
      </c>
      <c r="DB42" s="62">
        <f t="shared" si="274"/>
        <v>0</v>
      </c>
      <c r="DC42" s="405"/>
      <c r="DD42" s="406"/>
      <c r="DE42" s="406"/>
      <c r="DF42" s="14">
        <f t="shared" si="208"/>
        <v>0</v>
      </c>
      <c r="DG42" s="14">
        <f t="shared" si="175"/>
        <v>0</v>
      </c>
      <c r="DH42" s="14">
        <f t="shared" si="26"/>
        <v>0.18</v>
      </c>
      <c r="DI42" s="47">
        <f t="shared" si="209"/>
        <v>0</v>
      </c>
      <c r="DJ42" s="35">
        <f t="shared" si="27"/>
        <v>2.38</v>
      </c>
      <c r="DK42" s="157">
        <f t="shared" si="177"/>
        <v>0</v>
      </c>
      <c r="DL42" s="134"/>
      <c r="DM42" s="14">
        <f t="shared" si="28"/>
        <v>34</v>
      </c>
      <c r="DN42" s="48">
        <f t="shared" si="259"/>
        <v>0</v>
      </c>
      <c r="DO42" s="68">
        <f t="shared" si="178"/>
        <v>0</v>
      </c>
      <c r="DP42" s="51">
        <f t="shared" si="29"/>
        <v>334</v>
      </c>
      <c r="DQ42" s="103">
        <f>DQ41</f>
        <v>0</v>
      </c>
      <c r="DR42" s="46">
        <f t="shared" si="275"/>
        <v>334</v>
      </c>
      <c r="DS42" s="51">
        <f t="shared" si="30"/>
        <v>79</v>
      </c>
      <c r="DT42" s="103">
        <f>DT41</f>
        <v>0</v>
      </c>
      <c r="DU42" s="46">
        <f t="shared" si="164"/>
        <v>79</v>
      </c>
      <c r="DW42" s="120">
        <f>DW41+1</f>
        <v>11</v>
      </c>
      <c r="DX42" s="7">
        <f>DX41</f>
        <v>5</v>
      </c>
      <c r="DY42" s="229"/>
      <c r="DZ42" s="14">
        <f t="shared" si="179"/>
        <v>0</v>
      </c>
      <c r="EA42" s="62">
        <f t="shared" si="276"/>
        <v>0</v>
      </c>
      <c r="EB42" s="405"/>
      <c r="EC42" s="406"/>
      <c r="ED42" s="406"/>
      <c r="EE42" s="14">
        <f t="shared" si="211"/>
        <v>0</v>
      </c>
      <c r="EF42" s="14">
        <f t="shared" si="180"/>
        <v>0</v>
      </c>
      <c r="EG42" s="14">
        <f t="shared" si="31"/>
        <v>0.18</v>
      </c>
      <c r="EH42" s="47">
        <f t="shared" si="212"/>
        <v>0</v>
      </c>
      <c r="EI42" s="35">
        <f t="shared" si="32"/>
        <v>2.38</v>
      </c>
      <c r="EJ42" s="157">
        <f t="shared" si="182"/>
        <v>0</v>
      </c>
      <c r="EK42" s="134"/>
      <c r="EL42" s="14">
        <f t="shared" si="33"/>
        <v>34</v>
      </c>
      <c r="EM42" s="48">
        <f t="shared" si="260"/>
        <v>0</v>
      </c>
      <c r="EN42" s="68">
        <f t="shared" si="183"/>
        <v>0</v>
      </c>
      <c r="EO42" s="51">
        <f t="shared" si="34"/>
        <v>334</v>
      </c>
      <c r="EP42" s="103">
        <f>EP41</f>
        <v>0</v>
      </c>
      <c r="EQ42" s="46">
        <f t="shared" si="277"/>
        <v>334</v>
      </c>
      <c r="ER42" s="51">
        <f t="shared" si="35"/>
        <v>79</v>
      </c>
      <c r="ES42" s="103">
        <f>ES41</f>
        <v>0</v>
      </c>
      <c r="ET42" s="46">
        <f t="shared" si="165"/>
        <v>79</v>
      </c>
      <c r="EV42" s="120">
        <f>EV41+1</f>
        <v>11</v>
      </c>
      <c r="EW42" s="7">
        <f>EW41</f>
        <v>5</v>
      </c>
      <c r="EX42" s="229"/>
      <c r="EY42" s="14">
        <f t="shared" si="184"/>
        <v>0</v>
      </c>
      <c r="EZ42" s="62">
        <f t="shared" si="278"/>
        <v>0</v>
      </c>
      <c r="FA42" s="405"/>
      <c r="FB42" s="406"/>
      <c r="FC42" s="406"/>
      <c r="FD42" s="14">
        <f t="shared" si="214"/>
        <v>0</v>
      </c>
      <c r="FE42" s="14">
        <f t="shared" si="185"/>
        <v>0</v>
      </c>
      <c r="FF42" s="14">
        <f t="shared" si="36"/>
        <v>0.18</v>
      </c>
      <c r="FG42" s="47">
        <f t="shared" si="215"/>
        <v>0</v>
      </c>
      <c r="FH42" s="35">
        <f t="shared" si="37"/>
        <v>2.38</v>
      </c>
      <c r="FI42" s="157">
        <f t="shared" si="187"/>
        <v>0</v>
      </c>
      <c r="FJ42" s="134"/>
      <c r="FK42" s="14">
        <f t="shared" si="38"/>
        <v>34</v>
      </c>
      <c r="FL42" s="48">
        <f t="shared" si="261"/>
        <v>0</v>
      </c>
      <c r="FM42" s="68">
        <f t="shared" si="188"/>
        <v>0</v>
      </c>
      <c r="FN42" s="51">
        <f t="shared" si="39"/>
        <v>334</v>
      </c>
      <c r="FO42" s="103">
        <f>FO41</f>
        <v>0</v>
      </c>
      <c r="FP42" s="46">
        <f t="shared" si="279"/>
        <v>334</v>
      </c>
      <c r="FQ42" s="51">
        <f t="shared" si="40"/>
        <v>79</v>
      </c>
      <c r="FR42" s="103">
        <f>FR41</f>
        <v>0</v>
      </c>
      <c r="FS42" s="46">
        <f t="shared" si="166"/>
        <v>79</v>
      </c>
      <c r="FU42" s="120">
        <f>FU41+1</f>
        <v>11</v>
      </c>
      <c r="FV42" s="7">
        <f>FV41</f>
        <v>5</v>
      </c>
      <c r="FW42" s="229"/>
      <c r="FX42" s="14">
        <f t="shared" si="189"/>
        <v>0</v>
      </c>
      <c r="FY42" s="62">
        <f t="shared" si="280"/>
        <v>0</v>
      </c>
      <c r="FZ42" s="405"/>
      <c r="GA42" s="406"/>
      <c r="GB42" s="406"/>
      <c r="GC42" s="14">
        <f t="shared" si="217"/>
        <v>0</v>
      </c>
      <c r="GD42" s="14">
        <f t="shared" si="190"/>
        <v>0</v>
      </c>
      <c r="GE42" s="14">
        <f t="shared" si="41"/>
        <v>0.18</v>
      </c>
      <c r="GF42" s="47">
        <f t="shared" si="218"/>
        <v>0</v>
      </c>
      <c r="GG42" s="35">
        <f t="shared" si="42"/>
        <v>2.38</v>
      </c>
      <c r="GH42" s="157">
        <f t="shared" si="192"/>
        <v>0</v>
      </c>
      <c r="GI42" s="134"/>
      <c r="GJ42" s="14">
        <f t="shared" si="43"/>
        <v>34</v>
      </c>
      <c r="GK42" s="48">
        <f t="shared" si="262"/>
        <v>0</v>
      </c>
      <c r="GL42" s="68">
        <f t="shared" si="193"/>
        <v>0</v>
      </c>
      <c r="GM42" s="51">
        <f t="shared" si="44"/>
        <v>334</v>
      </c>
      <c r="GN42" s="103">
        <f>GN41</f>
        <v>0</v>
      </c>
      <c r="GO42" s="46">
        <f t="shared" si="281"/>
        <v>334</v>
      </c>
      <c r="GP42" s="51">
        <f t="shared" si="45"/>
        <v>79</v>
      </c>
      <c r="GQ42" s="103">
        <f>GQ41</f>
        <v>0</v>
      </c>
      <c r="GR42" s="46">
        <f t="shared" si="167"/>
        <v>79</v>
      </c>
      <c r="GT42" s="120">
        <f>GT41+1</f>
        <v>11</v>
      </c>
      <c r="GU42" s="7">
        <f>GU41</f>
        <v>5</v>
      </c>
      <c r="GV42" s="229"/>
      <c r="GW42" s="14">
        <f t="shared" si="194"/>
        <v>0</v>
      </c>
      <c r="GX42" s="62">
        <f t="shared" si="282"/>
        <v>0</v>
      </c>
      <c r="GY42" s="405"/>
      <c r="GZ42" s="406"/>
      <c r="HA42" s="406"/>
      <c r="HB42" s="14">
        <f t="shared" si="220"/>
        <v>0</v>
      </c>
      <c r="HC42" s="14">
        <f t="shared" si="195"/>
        <v>0</v>
      </c>
      <c r="HD42" s="14">
        <f t="shared" si="46"/>
        <v>0.18</v>
      </c>
      <c r="HE42" s="47">
        <f t="shared" si="221"/>
        <v>0</v>
      </c>
      <c r="HF42" s="35">
        <f t="shared" si="47"/>
        <v>2.38</v>
      </c>
      <c r="HG42" s="157">
        <f t="shared" si="197"/>
        <v>0</v>
      </c>
      <c r="HH42" s="134"/>
      <c r="HI42" s="14">
        <f t="shared" si="48"/>
        <v>34</v>
      </c>
      <c r="HJ42" s="48">
        <f t="shared" si="263"/>
        <v>0</v>
      </c>
      <c r="HK42" s="68">
        <f t="shared" si="198"/>
        <v>0</v>
      </c>
      <c r="HL42" s="51">
        <f t="shared" si="49"/>
        <v>334</v>
      </c>
      <c r="HM42" s="103">
        <f>HM41</f>
        <v>0</v>
      </c>
      <c r="HN42" s="46">
        <f t="shared" si="283"/>
        <v>334</v>
      </c>
      <c r="HO42" s="51">
        <f t="shared" si="50"/>
        <v>79</v>
      </c>
      <c r="HP42" s="103">
        <f>HP41</f>
        <v>0</v>
      </c>
      <c r="HQ42" s="46">
        <f t="shared" si="168"/>
        <v>79</v>
      </c>
    </row>
    <row r="43" spans="1:225" ht="17.25" thickBot="1" x14ac:dyDescent="0.3">
      <c r="A43" s="533" t="s">
        <v>157</v>
      </c>
      <c r="B43" s="502">
        <v>1</v>
      </c>
      <c r="C43" s="577">
        <f t="shared" ref="C43:C47" si="404">C42</f>
        <v>5</v>
      </c>
      <c r="D43" s="501"/>
      <c r="E43" s="564">
        <f t="shared" si="223"/>
        <v>97045</v>
      </c>
      <c r="F43" s="582">
        <f t="shared" si="0"/>
        <v>97024</v>
      </c>
      <c r="G43" s="519"/>
      <c r="H43" s="520">
        <v>21</v>
      </c>
      <c r="I43" s="520"/>
      <c r="J43" s="521">
        <f t="shared" si="200"/>
        <v>21</v>
      </c>
      <c r="K43" s="521">
        <f t="shared" si="52"/>
        <v>4241</v>
      </c>
      <c r="L43" s="521">
        <f t="shared" si="1"/>
        <v>0.18</v>
      </c>
      <c r="M43" s="529">
        <f t="shared" si="85"/>
        <v>2.1639445618012263E-2</v>
      </c>
      <c r="N43" s="522">
        <f t="shared" si="2"/>
        <v>2.38</v>
      </c>
      <c r="O43" s="132">
        <f t="shared" si="53"/>
        <v>3.1444395839048584</v>
      </c>
      <c r="P43" s="578">
        <v>1365</v>
      </c>
      <c r="Q43" s="521">
        <f t="shared" si="3"/>
        <v>34</v>
      </c>
      <c r="R43" s="537">
        <f t="shared" si="394"/>
        <v>14.06563965170797</v>
      </c>
      <c r="S43" s="524">
        <f t="shared" si="201"/>
        <v>707.7596312796727</v>
      </c>
      <c r="T43" s="525">
        <f t="shared" si="5"/>
        <v>334</v>
      </c>
      <c r="U43" s="514">
        <f t="shared" ref="U43:U47" si="405">U42</f>
        <v>316</v>
      </c>
      <c r="V43" s="526">
        <f t="shared" si="55"/>
        <v>18</v>
      </c>
      <c r="W43" s="513">
        <f t="shared" si="395"/>
        <v>79</v>
      </c>
      <c r="X43" s="514">
        <f t="shared" ref="X43:X47" si="406">X42</f>
        <v>62</v>
      </c>
      <c r="Y43" s="526">
        <f t="shared" si="56"/>
        <v>17</v>
      </c>
      <c r="Z43" s="533" t="s">
        <v>157</v>
      </c>
      <c r="AA43" s="502">
        <v>1</v>
      </c>
      <c r="AB43" s="694">
        <f t="shared" ref="AB43:AB47" si="407">AB42</f>
        <v>5</v>
      </c>
      <c r="AC43" s="501"/>
      <c r="AD43" s="564">
        <f>IFERROR(AE42-AC43,0)</f>
        <v>88071</v>
      </c>
      <c r="AE43" s="695">
        <f t="shared" si="324"/>
        <v>88007</v>
      </c>
      <c r="AF43" s="519"/>
      <c r="AG43" s="520">
        <v>64</v>
      </c>
      <c r="AH43" s="520"/>
      <c r="AI43" s="521">
        <f t="shared" si="203"/>
        <v>64</v>
      </c>
      <c r="AJ43" s="521">
        <f t="shared" si="321"/>
        <v>4892</v>
      </c>
      <c r="AK43" s="521">
        <f t="shared" si="8"/>
        <v>0.18</v>
      </c>
      <c r="AL43" s="509">
        <f t="shared" si="58"/>
        <v>7.2668642345380438E-2</v>
      </c>
      <c r="AM43" s="522">
        <f t="shared" si="9"/>
        <v>2.38</v>
      </c>
      <c r="AN43" s="157">
        <f t="shared" si="169"/>
        <v>3.1937118086384291</v>
      </c>
      <c r="AO43" s="519">
        <v>2730</v>
      </c>
      <c r="AP43" s="521">
        <f t="shared" si="10"/>
        <v>34</v>
      </c>
      <c r="AQ43" s="696">
        <f t="shared" si="59"/>
        <v>30.99771775045134</v>
      </c>
      <c r="AR43" s="524">
        <f t="shared" si="323"/>
        <v>714.81073772760419</v>
      </c>
      <c r="AS43" s="525">
        <f t="shared" si="11"/>
        <v>334</v>
      </c>
      <c r="AT43" s="514">
        <f t="shared" ref="AT43:AT47" si="408">AT42</f>
        <v>319</v>
      </c>
      <c r="AU43" s="526">
        <f t="shared" si="271"/>
        <v>15</v>
      </c>
      <c r="AV43" s="513">
        <f t="shared" si="12"/>
        <v>79</v>
      </c>
      <c r="AW43" s="514">
        <f t="shared" ref="AW43:AW47" si="409">AW42</f>
        <v>60</v>
      </c>
      <c r="AX43" s="526">
        <f t="shared" si="170"/>
        <v>19</v>
      </c>
      <c r="AY43" s="533" t="s">
        <v>157</v>
      </c>
      <c r="AZ43" s="502">
        <v>1</v>
      </c>
      <c r="BA43" s="694">
        <f t="shared" ref="BA43:BA47" si="410">BA42</f>
        <v>5</v>
      </c>
      <c r="BB43" s="528"/>
      <c r="BC43" s="564">
        <f t="shared" si="403"/>
        <v>93599</v>
      </c>
      <c r="BD43" s="695">
        <f>IFERROR(BC43-BH43,0)</f>
        <v>93586</v>
      </c>
      <c r="BE43" s="519"/>
      <c r="BF43" s="520">
        <v>13</v>
      </c>
      <c r="BG43" s="520"/>
      <c r="BH43" s="521">
        <f t="shared" si="204"/>
        <v>13</v>
      </c>
      <c r="BI43" s="521">
        <f t="shared" si="294"/>
        <v>286</v>
      </c>
      <c r="BJ43" s="521">
        <f t="shared" si="14"/>
        <v>0.18</v>
      </c>
      <c r="BK43" s="529">
        <f t="shared" si="92"/>
        <v>1.3889037276039275E-2</v>
      </c>
      <c r="BL43" s="522">
        <f t="shared" si="15"/>
        <v>2.38</v>
      </c>
      <c r="BM43" s="132">
        <f t="shared" si="326"/>
        <v>0.40056022408963587</v>
      </c>
      <c r="BN43" s="519">
        <v>2730</v>
      </c>
      <c r="BO43" s="521">
        <f t="shared" si="17"/>
        <v>34</v>
      </c>
      <c r="BP43" s="537">
        <f t="shared" si="93"/>
        <v>29.166978279682475</v>
      </c>
      <c r="BQ43" s="755">
        <f t="shared" si="137"/>
        <v>620.36131950443109</v>
      </c>
      <c r="BR43" s="525">
        <f t="shared" si="18"/>
        <v>334</v>
      </c>
      <c r="BS43" s="514">
        <f t="shared" ref="BS43:BS47" si="411">BS42</f>
        <v>298</v>
      </c>
      <c r="BT43" s="526">
        <f t="shared" si="272"/>
        <v>36</v>
      </c>
      <c r="BU43" s="513">
        <f t="shared" si="20"/>
        <v>79</v>
      </c>
      <c r="BV43" s="514">
        <f t="shared" ref="BV43:BV47" si="412">BV42</f>
        <v>68</v>
      </c>
      <c r="BW43" s="526">
        <f t="shared" si="171"/>
        <v>11</v>
      </c>
      <c r="BY43" s="120">
        <f>BY42+1</f>
        <v>12</v>
      </c>
      <c r="BZ43" s="7">
        <f t="shared" ref="BZ43:BZ47" si="413">BZ42</f>
        <v>5</v>
      </c>
      <c r="CA43" s="496"/>
      <c r="CB43" s="14">
        <f t="shared" si="172"/>
        <v>0</v>
      </c>
      <c r="CC43" s="59">
        <f t="shared" si="205"/>
        <v>0</v>
      </c>
      <c r="CD43" s="405"/>
      <c r="CE43" s="406"/>
      <c r="CF43" s="406"/>
      <c r="CG43" s="14">
        <f t="shared" si="206"/>
        <v>0</v>
      </c>
      <c r="CH43" s="14">
        <f t="shared" si="173"/>
        <v>0</v>
      </c>
      <c r="CI43" s="14">
        <f t="shared" si="21"/>
        <v>0.18</v>
      </c>
      <c r="CJ43" s="47">
        <f t="shared" si="97"/>
        <v>0</v>
      </c>
      <c r="CK43" s="35">
        <f t="shared" si="22"/>
        <v>2.38</v>
      </c>
      <c r="CL43" s="157">
        <f t="shared" si="140"/>
        <v>0</v>
      </c>
      <c r="CM43" s="134"/>
      <c r="CN43" s="14">
        <f t="shared" si="23"/>
        <v>34</v>
      </c>
      <c r="CO43" s="48">
        <f t="shared" si="141"/>
        <v>0</v>
      </c>
      <c r="CP43" s="68">
        <f t="shared" si="98"/>
        <v>0</v>
      </c>
      <c r="CQ43" s="51">
        <f t="shared" si="24"/>
        <v>334</v>
      </c>
      <c r="CR43" s="103">
        <f t="shared" ref="CR43:CR47" si="414">CR42</f>
        <v>0</v>
      </c>
      <c r="CS43" s="46">
        <f t="shared" si="273"/>
        <v>334</v>
      </c>
      <c r="CT43" s="12">
        <f t="shared" si="25"/>
        <v>79</v>
      </c>
      <c r="CU43" s="103">
        <f t="shared" ref="CU43:CU47" si="415">CU42</f>
        <v>0</v>
      </c>
      <c r="CV43" s="46">
        <f t="shared" si="67"/>
        <v>79</v>
      </c>
      <c r="CX43" s="120">
        <f>CX42+1</f>
        <v>12</v>
      </c>
      <c r="CY43" s="7">
        <f t="shared" ref="CY43:CY47" si="416">CY42</f>
        <v>5</v>
      </c>
      <c r="CZ43" s="496"/>
      <c r="DA43" s="14">
        <f t="shared" si="174"/>
        <v>0</v>
      </c>
      <c r="DB43" s="59">
        <f t="shared" si="274"/>
        <v>0</v>
      </c>
      <c r="DC43" s="405"/>
      <c r="DD43" s="406"/>
      <c r="DE43" s="406"/>
      <c r="DF43" s="14">
        <f t="shared" si="208"/>
        <v>0</v>
      </c>
      <c r="DG43" s="14">
        <f t="shared" si="175"/>
        <v>0</v>
      </c>
      <c r="DH43" s="14">
        <f t="shared" si="26"/>
        <v>0.18</v>
      </c>
      <c r="DI43" s="47">
        <f t="shared" si="209"/>
        <v>0</v>
      </c>
      <c r="DJ43" s="35">
        <f t="shared" si="27"/>
        <v>2.38</v>
      </c>
      <c r="DK43" s="157">
        <f t="shared" si="177"/>
        <v>0</v>
      </c>
      <c r="DL43" s="134"/>
      <c r="DM43" s="14">
        <f t="shared" si="28"/>
        <v>34</v>
      </c>
      <c r="DN43" s="48">
        <f t="shared" si="259"/>
        <v>0</v>
      </c>
      <c r="DO43" s="68">
        <f t="shared" si="178"/>
        <v>0</v>
      </c>
      <c r="DP43" s="51">
        <f t="shared" si="29"/>
        <v>334</v>
      </c>
      <c r="DQ43" s="103">
        <f t="shared" ref="DQ43:DQ47" si="417">DQ42</f>
        <v>0</v>
      </c>
      <c r="DR43" s="46">
        <f t="shared" si="275"/>
        <v>334</v>
      </c>
      <c r="DS43" s="12">
        <f t="shared" si="30"/>
        <v>79</v>
      </c>
      <c r="DT43" s="103">
        <f t="shared" ref="DT43:DT47" si="418">DT42</f>
        <v>0</v>
      </c>
      <c r="DU43" s="46">
        <f t="shared" si="164"/>
        <v>79</v>
      </c>
      <c r="DW43" s="120">
        <f>DW42+1</f>
        <v>12</v>
      </c>
      <c r="DX43" s="7">
        <f t="shared" ref="DX43:DX47" si="419">DX42</f>
        <v>5</v>
      </c>
      <c r="DY43" s="496"/>
      <c r="DZ43" s="14">
        <f t="shared" si="179"/>
        <v>0</v>
      </c>
      <c r="EA43" s="59">
        <f t="shared" si="276"/>
        <v>0</v>
      </c>
      <c r="EB43" s="405"/>
      <c r="EC43" s="406"/>
      <c r="ED43" s="406"/>
      <c r="EE43" s="14">
        <f t="shared" si="211"/>
        <v>0</v>
      </c>
      <c r="EF43" s="14">
        <f t="shared" si="180"/>
        <v>0</v>
      </c>
      <c r="EG43" s="14">
        <f t="shared" si="31"/>
        <v>0.18</v>
      </c>
      <c r="EH43" s="47">
        <f t="shared" si="212"/>
        <v>0</v>
      </c>
      <c r="EI43" s="35">
        <f t="shared" si="32"/>
        <v>2.38</v>
      </c>
      <c r="EJ43" s="157">
        <f t="shared" si="182"/>
        <v>0</v>
      </c>
      <c r="EK43" s="134"/>
      <c r="EL43" s="14">
        <f t="shared" si="33"/>
        <v>34</v>
      </c>
      <c r="EM43" s="48">
        <f t="shared" si="260"/>
        <v>0</v>
      </c>
      <c r="EN43" s="68">
        <f t="shared" si="183"/>
        <v>0</v>
      </c>
      <c r="EO43" s="51">
        <f t="shared" si="34"/>
        <v>334</v>
      </c>
      <c r="EP43" s="103">
        <f t="shared" ref="EP43:EP47" si="420">EP42</f>
        <v>0</v>
      </c>
      <c r="EQ43" s="46">
        <f t="shared" si="277"/>
        <v>334</v>
      </c>
      <c r="ER43" s="12">
        <f t="shared" si="35"/>
        <v>79</v>
      </c>
      <c r="ES43" s="103">
        <f t="shared" ref="ES43:ES47" si="421">ES42</f>
        <v>0</v>
      </c>
      <c r="ET43" s="46">
        <f t="shared" si="165"/>
        <v>79</v>
      </c>
      <c r="EV43" s="120">
        <f>EV42+1</f>
        <v>12</v>
      </c>
      <c r="EW43" s="7">
        <f t="shared" ref="EW43:EW47" si="422">EW42</f>
        <v>5</v>
      </c>
      <c r="EX43" s="496"/>
      <c r="EY43" s="14">
        <f t="shared" si="184"/>
        <v>0</v>
      </c>
      <c r="EZ43" s="59">
        <f t="shared" si="278"/>
        <v>0</v>
      </c>
      <c r="FA43" s="405"/>
      <c r="FB43" s="406"/>
      <c r="FC43" s="406"/>
      <c r="FD43" s="14">
        <f t="shared" si="214"/>
        <v>0</v>
      </c>
      <c r="FE43" s="14">
        <f t="shared" si="185"/>
        <v>0</v>
      </c>
      <c r="FF43" s="14">
        <f t="shared" si="36"/>
        <v>0.18</v>
      </c>
      <c r="FG43" s="47">
        <f t="shared" si="215"/>
        <v>0</v>
      </c>
      <c r="FH43" s="35">
        <f t="shared" si="37"/>
        <v>2.38</v>
      </c>
      <c r="FI43" s="157">
        <f t="shared" si="187"/>
        <v>0</v>
      </c>
      <c r="FJ43" s="134"/>
      <c r="FK43" s="14">
        <f t="shared" si="38"/>
        <v>34</v>
      </c>
      <c r="FL43" s="48">
        <f t="shared" si="261"/>
        <v>0</v>
      </c>
      <c r="FM43" s="68">
        <f t="shared" si="188"/>
        <v>0</v>
      </c>
      <c r="FN43" s="51">
        <f t="shared" si="39"/>
        <v>334</v>
      </c>
      <c r="FO43" s="103">
        <f t="shared" ref="FO43:FO47" si="423">FO42</f>
        <v>0</v>
      </c>
      <c r="FP43" s="46">
        <f t="shared" si="279"/>
        <v>334</v>
      </c>
      <c r="FQ43" s="12">
        <f t="shared" si="40"/>
        <v>79</v>
      </c>
      <c r="FR43" s="103">
        <f t="shared" ref="FR43:FR47" si="424">FR42</f>
        <v>0</v>
      </c>
      <c r="FS43" s="46">
        <f t="shared" si="166"/>
        <v>79</v>
      </c>
      <c r="FU43" s="120">
        <f>FU42+1</f>
        <v>12</v>
      </c>
      <c r="FV43" s="7">
        <f t="shared" ref="FV43:FV47" si="425">FV42</f>
        <v>5</v>
      </c>
      <c r="FW43" s="496"/>
      <c r="FX43" s="14">
        <f t="shared" si="189"/>
        <v>0</v>
      </c>
      <c r="FY43" s="59">
        <f t="shared" si="280"/>
        <v>0</v>
      </c>
      <c r="FZ43" s="405"/>
      <c r="GA43" s="406"/>
      <c r="GB43" s="406"/>
      <c r="GC43" s="14">
        <f t="shared" si="217"/>
        <v>0</v>
      </c>
      <c r="GD43" s="14">
        <f t="shared" si="190"/>
        <v>0</v>
      </c>
      <c r="GE43" s="14">
        <f t="shared" si="41"/>
        <v>0.18</v>
      </c>
      <c r="GF43" s="47">
        <f t="shared" si="218"/>
        <v>0</v>
      </c>
      <c r="GG43" s="35">
        <f t="shared" si="42"/>
        <v>2.38</v>
      </c>
      <c r="GH43" s="157">
        <f t="shared" si="192"/>
        <v>0</v>
      </c>
      <c r="GI43" s="134"/>
      <c r="GJ43" s="14">
        <f t="shared" si="43"/>
        <v>34</v>
      </c>
      <c r="GK43" s="48">
        <f t="shared" si="262"/>
        <v>0</v>
      </c>
      <c r="GL43" s="68">
        <f t="shared" si="193"/>
        <v>0</v>
      </c>
      <c r="GM43" s="51">
        <f t="shared" si="44"/>
        <v>334</v>
      </c>
      <c r="GN43" s="103">
        <f t="shared" ref="GN43:GN47" si="426">GN42</f>
        <v>0</v>
      </c>
      <c r="GO43" s="46">
        <f t="shared" si="281"/>
        <v>334</v>
      </c>
      <c r="GP43" s="12">
        <f t="shared" si="45"/>
        <v>79</v>
      </c>
      <c r="GQ43" s="103">
        <f t="shared" ref="GQ43:GQ47" si="427">GQ42</f>
        <v>0</v>
      </c>
      <c r="GR43" s="46">
        <f t="shared" si="167"/>
        <v>79</v>
      </c>
      <c r="GT43" s="120">
        <f>GT42+1</f>
        <v>12</v>
      </c>
      <c r="GU43" s="7">
        <f t="shared" ref="GU43:GU47" si="428">GU42</f>
        <v>5</v>
      </c>
      <c r="GV43" s="496"/>
      <c r="GW43" s="14">
        <f t="shared" si="194"/>
        <v>0</v>
      </c>
      <c r="GX43" s="59">
        <f t="shared" si="282"/>
        <v>0</v>
      </c>
      <c r="GY43" s="405"/>
      <c r="GZ43" s="406"/>
      <c r="HA43" s="406"/>
      <c r="HB43" s="14">
        <f t="shared" si="220"/>
        <v>0</v>
      </c>
      <c r="HC43" s="14">
        <f t="shared" si="195"/>
        <v>0</v>
      </c>
      <c r="HD43" s="14">
        <f t="shared" si="46"/>
        <v>0.18</v>
      </c>
      <c r="HE43" s="47">
        <f t="shared" si="221"/>
        <v>0</v>
      </c>
      <c r="HF43" s="35">
        <f t="shared" si="47"/>
        <v>2.38</v>
      </c>
      <c r="HG43" s="157">
        <f t="shared" si="197"/>
        <v>0</v>
      </c>
      <c r="HH43" s="134"/>
      <c r="HI43" s="14">
        <f t="shared" si="48"/>
        <v>34</v>
      </c>
      <c r="HJ43" s="48">
        <f t="shared" si="263"/>
        <v>0</v>
      </c>
      <c r="HK43" s="68">
        <f t="shared" si="198"/>
        <v>0</v>
      </c>
      <c r="HL43" s="51">
        <f t="shared" si="49"/>
        <v>334</v>
      </c>
      <c r="HM43" s="103">
        <f t="shared" ref="HM43:HM47" si="429">HM42</f>
        <v>0</v>
      </c>
      <c r="HN43" s="46">
        <f t="shared" si="283"/>
        <v>334</v>
      </c>
      <c r="HO43" s="12">
        <f t="shared" si="50"/>
        <v>79</v>
      </c>
      <c r="HP43" s="103">
        <f t="shared" ref="HP43:HP47" si="430">HP42</f>
        <v>0</v>
      </c>
      <c r="HQ43" s="46">
        <f t="shared" si="168"/>
        <v>79</v>
      </c>
    </row>
    <row r="44" spans="1:225" ht="17.25" thickBot="1" x14ac:dyDescent="0.3">
      <c r="A44" s="423"/>
      <c r="B44" s="120">
        <f t="shared" ref="B44:B47" si="431">B43+1</f>
        <v>2</v>
      </c>
      <c r="C44" s="571">
        <f t="shared" si="404"/>
        <v>5</v>
      </c>
      <c r="D44" s="496"/>
      <c r="E44" s="408">
        <f t="shared" si="223"/>
        <v>97024</v>
      </c>
      <c r="F44" s="562">
        <f t="shared" si="0"/>
        <v>96999</v>
      </c>
      <c r="G44" s="405"/>
      <c r="H44" s="406">
        <v>25</v>
      </c>
      <c r="I44" s="406"/>
      <c r="J44" s="380">
        <f t="shared" si="200"/>
        <v>25</v>
      </c>
      <c r="K44" s="380">
        <f t="shared" si="52"/>
        <v>4266</v>
      </c>
      <c r="L44" s="380">
        <f t="shared" si="1"/>
        <v>0.18</v>
      </c>
      <c r="M44" s="47">
        <f t="shared" si="85"/>
        <v>2.5766820580474935E-2</v>
      </c>
      <c r="N44" s="407">
        <f t="shared" si="2"/>
        <v>2.38</v>
      </c>
      <c r="O44" s="132">
        <f t="shared" si="53"/>
        <v>3.1629755399523996</v>
      </c>
      <c r="P44" s="411">
        <v>3276</v>
      </c>
      <c r="Q44" s="380">
        <f t="shared" si="3"/>
        <v>34</v>
      </c>
      <c r="R44" s="442">
        <f t="shared" si="394"/>
        <v>33.76484168865435</v>
      </c>
      <c r="S44" s="474">
        <f t="shared" si="201"/>
        <v>741.52447296832702</v>
      </c>
      <c r="T44" s="182">
        <f t="shared" si="5"/>
        <v>334</v>
      </c>
      <c r="U44" s="181">
        <f t="shared" si="405"/>
        <v>316</v>
      </c>
      <c r="V44" s="206">
        <f t="shared" si="55"/>
        <v>18</v>
      </c>
      <c r="W44" s="182">
        <f t="shared" si="395"/>
        <v>79</v>
      </c>
      <c r="X44" s="181">
        <f t="shared" si="406"/>
        <v>62</v>
      </c>
      <c r="Y44" s="206">
        <f t="shared" si="56"/>
        <v>17</v>
      </c>
      <c r="Z44" s="487"/>
      <c r="AA44" s="120">
        <f t="shared" ref="AA44:AA47" si="432">AA43+1</f>
        <v>2</v>
      </c>
      <c r="AB44" s="404">
        <f t="shared" si="407"/>
        <v>5</v>
      </c>
      <c r="AC44" s="496"/>
      <c r="AD44" s="408">
        <f>IFERROR(AE43-AC44,0)</f>
        <v>88007</v>
      </c>
      <c r="AE44" s="450">
        <f t="shared" si="324"/>
        <v>88007</v>
      </c>
      <c r="AF44" s="405"/>
      <c r="AG44" s="406">
        <v>0</v>
      </c>
      <c r="AH44" s="406"/>
      <c r="AI44" s="380">
        <f t="shared" si="203"/>
        <v>0</v>
      </c>
      <c r="AJ44" s="380">
        <f t="shared" si="321"/>
        <v>4892</v>
      </c>
      <c r="AK44" s="380">
        <f t="shared" si="8"/>
        <v>0.18</v>
      </c>
      <c r="AL44" s="47">
        <f t="shared" si="58"/>
        <v>0</v>
      </c>
      <c r="AM44" s="407">
        <f t="shared" si="9"/>
        <v>2.38</v>
      </c>
      <c r="AN44" s="157">
        <f t="shared" si="169"/>
        <v>3.1937118086384291</v>
      </c>
      <c r="AO44" s="405">
        <v>0</v>
      </c>
      <c r="AP44" s="380">
        <f t="shared" si="10"/>
        <v>34</v>
      </c>
      <c r="AQ44" s="482">
        <f t="shared" si="59"/>
        <v>0</v>
      </c>
      <c r="AR44" s="474">
        <f t="shared" si="323"/>
        <v>714.81073772760419</v>
      </c>
      <c r="AS44" s="182">
        <f t="shared" si="11"/>
        <v>334</v>
      </c>
      <c r="AT44" s="181">
        <f t="shared" si="408"/>
        <v>319</v>
      </c>
      <c r="AU44" s="206">
        <f t="shared" si="271"/>
        <v>15</v>
      </c>
      <c r="AV44" s="182">
        <f t="shared" si="12"/>
        <v>79</v>
      </c>
      <c r="AW44" s="181">
        <f t="shared" si="409"/>
        <v>60</v>
      </c>
      <c r="AX44" s="206">
        <f t="shared" si="170"/>
        <v>19</v>
      </c>
      <c r="AY44" s="412"/>
      <c r="AZ44" s="120">
        <f t="shared" ref="AZ44:AZ47" si="433">AZ43+1</f>
        <v>2</v>
      </c>
      <c r="BA44" s="404">
        <f t="shared" si="410"/>
        <v>5</v>
      </c>
      <c r="BB44" s="229"/>
      <c r="BC44" s="408">
        <f>IFERROR(BD43+BB44,0)</f>
        <v>93586</v>
      </c>
      <c r="BD44" s="450">
        <f t="shared" si="325"/>
        <v>93553</v>
      </c>
      <c r="BE44" s="405"/>
      <c r="BF44" s="406">
        <v>33</v>
      </c>
      <c r="BG44" s="406"/>
      <c r="BH44" s="380">
        <f t="shared" si="204"/>
        <v>33</v>
      </c>
      <c r="BI44" s="380">
        <f t="shared" si="294"/>
        <v>319</v>
      </c>
      <c r="BJ44" s="380">
        <f t="shared" si="14"/>
        <v>0.18</v>
      </c>
      <c r="BK44" s="47">
        <f t="shared" si="92"/>
        <v>3.5261684439980338E-2</v>
      </c>
      <c r="BL44" s="407">
        <f t="shared" si="15"/>
        <v>2.38</v>
      </c>
      <c r="BM44" s="132">
        <f t="shared" si="326"/>
        <v>0.44677871148459386</v>
      </c>
      <c r="BN44" s="405">
        <v>1365</v>
      </c>
      <c r="BO44" s="380">
        <f t="shared" si="17"/>
        <v>34</v>
      </c>
      <c r="BP44" s="442">
        <f t="shared" si="93"/>
        <v>14.585514927446413</v>
      </c>
      <c r="BQ44" s="753">
        <f t="shared" si="137"/>
        <v>634.94683443187751</v>
      </c>
      <c r="BR44" s="182">
        <f t="shared" si="18"/>
        <v>334</v>
      </c>
      <c r="BS44" s="181">
        <f t="shared" si="411"/>
        <v>298</v>
      </c>
      <c r="BT44" s="206">
        <f t="shared" si="272"/>
        <v>36</v>
      </c>
      <c r="BU44" s="182">
        <f t="shared" si="20"/>
        <v>79</v>
      </c>
      <c r="BV44" s="181">
        <f t="shared" si="412"/>
        <v>68</v>
      </c>
      <c r="BW44" s="206">
        <f t="shared" si="171"/>
        <v>11</v>
      </c>
      <c r="BX44" s="412"/>
      <c r="BY44" s="403">
        <f>BY43+1</f>
        <v>13</v>
      </c>
      <c r="BZ44" s="404">
        <f t="shared" si="413"/>
        <v>5</v>
      </c>
      <c r="CA44" s="496"/>
      <c r="CB44" s="380">
        <f>IFERROR(CC43+CA44,0)</f>
        <v>0</v>
      </c>
      <c r="CC44" s="267">
        <f t="shared" si="205"/>
        <v>0</v>
      </c>
      <c r="CD44" s="405"/>
      <c r="CE44" s="406"/>
      <c r="CF44" s="406"/>
      <c r="CG44" s="380">
        <f t="shared" si="206"/>
        <v>0</v>
      </c>
      <c r="CH44" s="380">
        <f t="shared" si="173"/>
        <v>0</v>
      </c>
      <c r="CI44" s="380">
        <f t="shared" si="21"/>
        <v>0.18</v>
      </c>
      <c r="CJ44" s="410">
        <f t="shared" si="97"/>
        <v>0</v>
      </c>
      <c r="CK44" s="407">
        <f t="shared" si="22"/>
        <v>2.38</v>
      </c>
      <c r="CL44" s="424">
        <f t="shared" si="140"/>
        <v>0</v>
      </c>
      <c r="CM44" s="405"/>
      <c r="CN44" s="380">
        <f t="shared" si="23"/>
        <v>34</v>
      </c>
      <c r="CO44" s="408">
        <f t="shared" si="141"/>
        <v>0</v>
      </c>
      <c r="CP44" s="409">
        <f t="shared" si="98"/>
        <v>0</v>
      </c>
      <c r="CQ44" s="182">
        <f t="shared" si="24"/>
        <v>334</v>
      </c>
      <c r="CR44" s="181">
        <f t="shared" si="414"/>
        <v>0</v>
      </c>
      <c r="CS44" s="206">
        <f t="shared" si="273"/>
        <v>334</v>
      </c>
      <c r="CT44" s="385">
        <f t="shared" si="25"/>
        <v>79</v>
      </c>
      <c r="CU44" s="181">
        <f t="shared" si="415"/>
        <v>0</v>
      </c>
      <c r="CV44" s="206">
        <f t="shared" si="67"/>
        <v>79</v>
      </c>
      <c r="CX44" s="403">
        <f>CX43+1</f>
        <v>13</v>
      </c>
      <c r="CY44" s="404">
        <f t="shared" si="416"/>
        <v>5</v>
      </c>
      <c r="CZ44" s="496"/>
      <c r="DA44" s="380">
        <f>IFERROR(DB43+CZ44,0)</f>
        <v>0</v>
      </c>
      <c r="DB44" s="267">
        <f t="shared" si="274"/>
        <v>0</v>
      </c>
      <c r="DC44" s="405"/>
      <c r="DD44" s="406"/>
      <c r="DE44" s="406"/>
      <c r="DF44" s="380">
        <f t="shared" si="208"/>
        <v>0</v>
      </c>
      <c r="DG44" s="380">
        <f t="shared" si="175"/>
        <v>0</v>
      </c>
      <c r="DH44" s="380">
        <f t="shared" si="26"/>
        <v>0.18</v>
      </c>
      <c r="DI44" s="410">
        <f t="shared" si="209"/>
        <v>0</v>
      </c>
      <c r="DJ44" s="407">
        <f t="shared" si="27"/>
        <v>2.38</v>
      </c>
      <c r="DK44" s="424">
        <f t="shared" si="177"/>
        <v>0</v>
      </c>
      <c r="DL44" s="405"/>
      <c r="DM44" s="380">
        <f t="shared" si="28"/>
        <v>34</v>
      </c>
      <c r="DN44" s="408">
        <f t="shared" si="259"/>
        <v>0</v>
      </c>
      <c r="DO44" s="409">
        <f t="shared" si="178"/>
        <v>0</v>
      </c>
      <c r="DP44" s="182">
        <f t="shared" si="29"/>
        <v>334</v>
      </c>
      <c r="DQ44" s="181">
        <f t="shared" si="417"/>
        <v>0</v>
      </c>
      <c r="DR44" s="206">
        <f t="shared" si="275"/>
        <v>334</v>
      </c>
      <c r="DS44" s="385">
        <f t="shared" si="30"/>
        <v>79</v>
      </c>
      <c r="DT44" s="181">
        <f t="shared" si="418"/>
        <v>0</v>
      </c>
      <c r="DU44" s="206">
        <f t="shared" si="164"/>
        <v>79</v>
      </c>
      <c r="DW44" s="403">
        <f>DW43+1</f>
        <v>13</v>
      </c>
      <c r="DX44" s="404">
        <f t="shared" si="419"/>
        <v>5</v>
      </c>
      <c r="DY44" s="496"/>
      <c r="DZ44" s="380">
        <f>IFERROR(EA43+DY44,0)</f>
        <v>0</v>
      </c>
      <c r="EA44" s="267">
        <f t="shared" si="276"/>
        <v>0</v>
      </c>
      <c r="EB44" s="405"/>
      <c r="EC44" s="406"/>
      <c r="ED44" s="406"/>
      <c r="EE44" s="380">
        <f t="shared" si="211"/>
        <v>0</v>
      </c>
      <c r="EF44" s="380">
        <f t="shared" si="180"/>
        <v>0</v>
      </c>
      <c r="EG44" s="380">
        <f t="shared" si="31"/>
        <v>0.18</v>
      </c>
      <c r="EH44" s="410">
        <f t="shared" si="212"/>
        <v>0</v>
      </c>
      <c r="EI44" s="407">
        <f t="shared" si="32"/>
        <v>2.38</v>
      </c>
      <c r="EJ44" s="424">
        <f t="shared" si="182"/>
        <v>0</v>
      </c>
      <c r="EK44" s="405"/>
      <c r="EL44" s="380">
        <f t="shared" si="33"/>
        <v>34</v>
      </c>
      <c r="EM44" s="408">
        <f t="shared" si="260"/>
        <v>0</v>
      </c>
      <c r="EN44" s="409">
        <f t="shared" si="183"/>
        <v>0</v>
      </c>
      <c r="EO44" s="182">
        <f t="shared" si="34"/>
        <v>334</v>
      </c>
      <c r="EP44" s="181">
        <f t="shared" si="420"/>
        <v>0</v>
      </c>
      <c r="EQ44" s="206">
        <f t="shared" si="277"/>
        <v>334</v>
      </c>
      <c r="ER44" s="385">
        <f t="shared" si="35"/>
        <v>79</v>
      </c>
      <c r="ES44" s="181">
        <f t="shared" si="421"/>
        <v>0</v>
      </c>
      <c r="ET44" s="206">
        <f t="shared" si="165"/>
        <v>79</v>
      </c>
      <c r="EV44" s="403">
        <f>EV43+1</f>
        <v>13</v>
      </c>
      <c r="EW44" s="404">
        <f t="shared" si="422"/>
        <v>5</v>
      </c>
      <c r="EX44" s="496"/>
      <c r="EY44" s="380">
        <f>IFERROR(EZ43+EX44,0)</f>
        <v>0</v>
      </c>
      <c r="EZ44" s="267">
        <f t="shared" si="278"/>
        <v>0</v>
      </c>
      <c r="FA44" s="405"/>
      <c r="FB44" s="406"/>
      <c r="FC44" s="406"/>
      <c r="FD44" s="380">
        <f t="shared" si="214"/>
        <v>0</v>
      </c>
      <c r="FE44" s="380">
        <f t="shared" si="185"/>
        <v>0</v>
      </c>
      <c r="FF44" s="380">
        <f t="shared" si="36"/>
        <v>0.18</v>
      </c>
      <c r="FG44" s="410">
        <f t="shared" si="215"/>
        <v>0</v>
      </c>
      <c r="FH44" s="407">
        <f t="shared" si="37"/>
        <v>2.38</v>
      </c>
      <c r="FI44" s="424">
        <f t="shared" si="187"/>
        <v>0</v>
      </c>
      <c r="FJ44" s="405"/>
      <c r="FK44" s="380">
        <f t="shared" si="38"/>
        <v>34</v>
      </c>
      <c r="FL44" s="408">
        <f t="shared" si="261"/>
        <v>0</v>
      </c>
      <c r="FM44" s="409">
        <f t="shared" si="188"/>
        <v>0</v>
      </c>
      <c r="FN44" s="182">
        <f t="shared" si="39"/>
        <v>334</v>
      </c>
      <c r="FO44" s="181">
        <f t="shared" si="423"/>
        <v>0</v>
      </c>
      <c r="FP44" s="206">
        <f t="shared" si="279"/>
        <v>334</v>
      </c>
      <c r="FQ44" s="385">
        <f t="shared" si="40"/>
        <v>79</v>
      </c>
      <c r="FR44" s="181">
        <f t="shared" si="424"/>
        <v>0</v>
      </c>
      <c r="FS44" s="206">
        <f t="shared" si="166"/>
        <v>79</v>
      </c>
      <c r="FU44" s="403">
        <f>FU43+1</f>
        <v>13</v>
      </c>
      <c r="FV44" s="404">
        <f t="shared" si="425"/>
        <v>5</v>
      </c>
      <c r="FW44" s="496"/>
      <c r="FX44" s="380">
        <f>IFERROR(FY43+FW44,0)</f>
        <v>0</v>
      </c>
      <c r="FY44" s="267">
        <f t="shared" si="280"/>
        <v>0</v>
      </c>
      <c r="FZ44" s="405"/>
      <c r="GA44" s="406"/>
      <c r="GB44" s="406"/>
      <c r="GC44" s="380">
        <f t="shared" si="217"/>
        <v>0</v>
      </c>
      <c r="GD44" s="380">
        <f t="shared" si="190"/>
        <v>0</v>
      </c>
      <c r="GE44" s="380">
        <f t="shared" si="41"/>
        <v>0.18</v>
      </c>
      <c r="GF44" s="410">
        <f t="shared" si="218"/>
        <v>0</v>
      </c>
      <c r="GG44" s="407">
        <f t="shared" si="42"/>
        <v>2.38</v>
      </c>
      <c r="GH44" s="424">
        <f t="shared" si="192"/>
        <v>0</v>
      </c>
      <c r="GI44" s="405"/>
      <c r="GJ44" s="380">
        <f t="shared" si="43"/>
        <v>34</v>
      </c>
      <c r="GK44" s="408">
        <f t="shared" si="262"/>
        <v>0</v>
      </c>
      <c r="GL44" s="409">
        <f t="shared" si="193"/>
        <v>0</v>
      </c>
      <c r="GM44" s="182">
        <f t="shared" si="44"/>
        <v>334</v>
      </c>
      <c r="GN44" s="181">
        <f t="shared" si="426"/>
        <v>0</v>
      </c>
      <c r="GO44" s="206">
        <f t="shared" si="281"/>
        <v>334</v>
      </c>
      <c r="GP44" s="385">
        <f t="shared" si="45"/>
        <v>79</v>
      </c>
      <c r="GQ44" s="181">
        <f t="shared" si="427"/>
        <v>0</v>
      </c>
      <c r="GR44" s="206">
        <f t="shared" si="167"/>
        <v>79</v>
      </c>
      <c r="GT44" s="403">
        <f>GT43+1</f>
        <v>13</v>
      </c>
      <c r="GU44" s="404">
        <f t="shared" si="428"/>
        <v>5</v>
      </c>
      <c r="GV44" s="496"/>
      <c r="GW44" s="380">
        <f>IFERROR(GX43+GV44,0)</f>
        <v>0</v>
      </c>
      <c r="GX44" s="267">
        <f t="shared" si="282"/>
        <v>0</v>
      </c>
      <c r="GY44" s="405"/>
      <c r="GZ44" s="406"/>
      <c r="HA44" s="406"/>
      <c r="HB44" s="380">
        <f t="shared" si="220"/>
        <v>0</v>
      </c>
      <c r="HC44" s="380">
        <f t="shared" si="195"/>
        <v>0</v>
      </c>
      <c r="HD44" s="380">
        <f t="shared" si="46"/>
        <v>0.18</v>
      </c>
      <c r="HE44" s="410">
        <f t="shared" si="221"/>
        <v>0</v>
      </c>
      <c r="HF44" s="407">
        <f t="shared" si="47"/>
        <v>2.38</v>
      </c>
      <c r="HG44" s="424">
        <f t="shared" si="197"/>
        <v>0</v>
      </c>
      <c r="HH44" s="405"/>
      <c r="HI44" s="380">
        <f t="shared" si="48"/>
        <v>34</v>
      </c>
      <c r="HJ44" s="408">
        <f t="shared" si="263"/>
        <v>0</v>
      </c>
      <c r="HK44" s="409">
        <f t="shared" si="198"/>
        <v>0</v>
      </c>
      <c r="HL44" s="182">
        <f t="shared" si="49"/>
        <v>334</v>
      </c>
      <c r="HM44" s="181">
        <f t="shared" si="429"/>
        <v>0</v>
      </c>
      <c r="HN44" s="206">
        <f t="shared" si="283"/>
        <v>334</v>
      </c>
      <c r="HO44" s="385">
        <f t="shared" si="50"/>
        <v>79</v>
      </c>
      <c r="HP44" s="181">
        <f t="shared" si="430"/>
        <v>0</v>
      </c>
      <c r="HQ44" s="206">
        <f t="shared" si="168"/>
        <v>79</v>
      </c>
    </row>
    <row r="45" spans="1:225" ht="17.25" thickBot="1" x14ac:dyDescent="0.3">
      <c r="B45" s="120">
        <f t="shared" si="431"/>
        <v>3</v>
      </c>
      <c r="C45" s="570">
        <f t="shared" si="404"/>
        <v>5</v>
      </c>
      <c r="D45" s="496"/>
      <c r="E45" s="408">
        <f t="shared" si="223"/>
        <v>96999</v>
      </c>
      <c r="F45" s="562">
        <f t="shared" si="0"/>
        <v>96961</v>
      </c>
      <c r="G45" s="134"/>
      <c r="H45" s="135">
        <v>38</v>
      </c>
      <c r="I45" s="135"/>
      <c r="J45" s="14">
        <f t="shared" si="200"/>
        <v>38</v>
      </c>
      <c r="K45" s="14">
        <f t="shared" si="52"/>
        <v>4304</v>
      </c>
      <c r="L45" s="14">
        <f t="shared" si="1"/>
        <v>0.18</v>
      </c>
      <c r="M45" s="47">
        <f t="shared" si="85"/>
        <v>3.9175661604758813E-2</v>
      </c>
      <c r="N45" s="35">
        <f t="shared" si="2"/>
        <v>2.38</v>
      </c>
      <c r="O45" s="132">
        <f t="shared" si="53"/>
        <v>3.191150193144662</v>
      </c>
      <c r="P45" s="142">
        <v>1911</v>
      </c>
      <c r="Q45" s="14">
        <f t="shared" si="3"/>
        <v>34</v>
      </c>
      <c r="R45" s="442">
        <f t="shared" si="394"/>
        <v>19.701234033340551</v>
      </c>
      <c r="S45" s="470">
        <f t="shared" si="201"/>
        <v>761.22570700166762</v>
      </c>
      <c r="T45" s="51">
        <f t="shared" si="5"/>
        <v>334</v>
      </c>
      <c r="U45" s="103">
        <f t="shared" si="405"/>
        <v>316</v>
      </c>
      <c r="V45" s="46">
        <f t="shared" si="55"/>
        <v>18</v>
      </c>
      <c r="W45" s="51">
        <f t="shared" si="395"/>
        <v>79</v>
      </c>
      <c r="X45" s="103">
        <f t="shared" si="406"/>
        <v>62</v>
      </c>
      <c r="Y45" s="46">
        <f t="shared" si="56"/>
        <v>17</v>
      </c>
      <c r="Z45" s="487"/>
      <c r="AA45" s="120">
        <f t="shared" si="432"/>
        <v>3</v>
      </c>
      <c r="AB45" s="7">
        <f t="shared" si="407"/>
        <v>5</v>
      </c>
      <c r="AC45" s="496"/>
      <c r="AD45" s="48">
        <f>IFERROR(AE44-AC45,0)</f>
        <v>88007</v>
      </c>
      <c r="AE45" s="196">
        <f t="shared" si="324"/>
        <v>87952</v>
      </c>
      <c r="AF45" s="134"/>
      <c r="AG45" s="135">
        <v>55</v>
      </c>
      <c r="AH45" s="135"/>
      <c r="AI45" s="14">
        <f t="shared" si="203"/>
        <v>55</v>
      </c>
      <c r="AJ45" s="14">
        <f t="shared" si="321"/>
        <v>4947</v>
      </c>
      <c r="AK45" s="14">
        <f t="shared" si="8"/>
        <v>0.18</v>
      </c>
      <c r="AL45" s="47">
        <f t="shared" si="58"/>
        <v>6.2495028804526911E-2</v>
      </c>
      <c r="AM45" s="35">
        <f t="shared" si="9"/>
        <v>2.38</v>
      </c>
      <c r="AN45" s="157">
        <f t="shared" si="169"/>
        <v>3.2296182169530474</v>
      </c>
      <c r="AO45" s="134">
        <v>2730</v>
      </c>
      <c r="AP45" s="14">
        <f t="shared" si="10"/>
        <v>34</v>
      </c>
      <c r="AQ45" s="482">
        <f t="shared" si="59"/>
        <v>31.020259752065176</v>
      </c>
      <c r="AR45" s="470">
        <f t="shared" si="323"/>
        <v>745.83099747966935</v>
      </c>
      <c r="AS45" s="51">
        <f t="shared" si="11"/>
        <v>334</v>
      </c>
      <c r="AT45" s="103">
        <f t="shared" si="408"/>
        <v>319</v>
      </c>
      <c r="AU45" s="46">
        <f t="shared" si="271"/>
        <v>15</v>
      </c>
      <c r="AV45" s="51">
        <f t="shared" si="12"/>
        <v>79</v>
      </c>
      <c r="AW45" s="103">
        <f t="shared" si="409"/>
        <v>60</v>
      </c>
      <c r="AX45" s="46">
        <f t="shared" si="170"/>
        <v>19</v>
      </c>
      <c r="AZ45" s="120">
        <f t="shared" si="433"/>
        <v>3</v>
      </c>
      <c r="BA45" s="7">
        <f t="shared" si="410"/>
        <v>5</v>
      </c>
      <c r="BB45" s="133"/>
      <c r="BC45" s="48">
        <f t="shared" si="403"/>
        <v>93553</v>
      </c>
      <c r="BD45" s="196">
        <f t="shared" si="325"/>
        <v>93530</v>
      </c>
      <c r="BE45" s="134"/>
      <c r="BF45" s="135">
        <v>23</v>
      </c>
      <c r="BG45" s="135"/>
      <c r="BH45" s="14">
        <f t="shared" si="204"/>
        <v>23</v>
      </c>
      <c r="BI45" s="14">
        <f t="shared" si="294"/>
        <v>342</v>
      </c>
      <c r="BJ45" s="14">
        <f t="shared" si="14"/>
        <v>0.18</v>
      </c>
      <c r="BK45" s="47">
        <f t="shared" si="92"/>
        <v>2.4584994601990314E-2</v>
      </c>
      <c r="BL45" s="35">
        <f t="shared" si="15"/>
        <v>2.38</v>
      </c>
      <c r="BM45" s="132">
        <f t="shared" si="326"/>
        <v>0.47899159663865548</v>
      </c>
      <c r="BN45" s="134">
        <v>2730</v>
      </c>
      <c r="BO45" s="14">
        <f t="shared" si="17"/>
        <v>34</v>
      </c>
      <c r="BP45" s="442">
        <f t="shared" si="93"/>
        <v>29.181319679753724</v>
      </c>
      <c r="BQ45" s="747">
        <f t="shared" si="137"/>
        <v>664.12815411163126</v>
      </c>
      <c r="BR45" s="51">
        <f t="shared" si="18"/>
        <v>334</v>
      </c>
      <c r="BS45" s="103">
        <f t="shared" si="411"/>
        <v>298</v>
      </c>
      <c r="BT45" s="46">
        <f t="shared" si="272"/>
        <v>36</v>
      </c>
      <c r="BU45" s="51">
        <f t="shared" si="20"/>
        <v>79</v>
      </c>
      <c r="BV45" s="103">
        <f t="shared" si="412"/>
        <v>68</v>
      </c>
      <c r="BW45" s="46">
        <f t="shared" si="171"/>
        <v>11</v>
      </c>
      <c r="BY45" s="120">
        <f>BY44+1</f>
        <v>14</v>
      </c>
      <c r="BZ45" s="7">
        <f t="shared" si="413"/>
        <v>5</v>
      </c>
      <c r="CA45" s="496"/>
      <c r="CB45" s="14">
        <f t="shared" si="172"/>
        <v>0</v>
      </c>
      <c r="CC45" s="59">
        <f t="shared" si="205"/>
        <v>0</v>
      </c>
      <c r="CD45" s="405"/>
      <c r="CE45" s="406"/>
      <c r="CF45" s="406"/>
      <c r="CG45" s="14">
        <f t="shared" si="206"/>
        <v>0</v>
      </c>
      <c r="CH45" s="14">
        <f t="shared" si="173"/>
        <v>0</v>
      </c>
      <c r="CI45" s="14">
        <f t="shared" si="21"/>
        <v>0.18</v>
      </c>
      <c r="CJ45" s="47">
        <f t="shared" si="97"/>
        <v>0</v>
      </c>
      <c r="CK45" s="35">
        <f t="shared" si="22"/>
        <v>2.38</v>
      </c>
      <c r="CL45" s="157">
        <f t="shared" si="140"/>
        <v>0</v>
      </c>
      <c r="CM45" s="134"/>
      <c r="CN45" s="14">
        <f t="shared" si="23"/>
        <v>34</v>
      </c>
      <c r="CO45" s="48">
        <f t="shared" si="141"/>
        <v>0</v>
      </c>
      <c r="CP45" s="68">
        <f t="shared" si="98"/>
        <v>0</v>
      </c>
      <c r="CQ45" s="51">
        <f t="shared" si="24"/>
        <v>334</v>
      </c>
      <c r="CR45" s="103">
        <f t="shared" si="414"/>
        <v>0</v>
      </c>
      <c r="CS45" s="46">
        <f t="shared" si="273"/>
        <v>334</v>
      </c>
      <c r="CT45" s="51">
        <f t="shared" si="25"/>
        <v>79</v>
      </c>
      <c r="CU45" s="103">
        <f t="shared" si="415"/>
        <v>0</v>
      </c>
      <c r="CV45" s="46">
        <f t="shared" si="67"/>
        <v>79</v>
      </c>
      <c r="CX45" s="120">
        <f>CX44+1</f>
        <v>14</v>
      </c>
      <c r="CY45" s="7">
        <f t="shared" si="416"/>
        <v>5</v>
      </c>
      <c r="CZ45" s="496"/>
      <c r="DA45" s="14">
        <f t="shared" ref="DA45:DA108" si="434">IFERROR(DB44+CZ45,0)</f>
        <v>0</v>
      </c>
      <c r="DB45" s="59">
        <f t="shared" si="274"/>
        <v>0</v>
      </c>
      <c r="DC45" s="405"/>
      <c r="DD45" s="406"/>
      <c r="DE45" s="406"/>
      <c r="DF45" s="14">
        <f t="shared" si="208"/>
        <v>0</v>
      </c>
      <c r="DG45" s="14">
        <f t="shared" si="175"/>
        <v>0</v>
      </c>
      <c r="DH45" s="14">
        <f t="shared" si="26"/>
        <v>0.18</v>
      </c>
      <c r="DI45" s="47">
        <f t="shared" si="209"/>
        <v>0</v>
      </c>
      <c r="DJ45" s="35">
        <f t="shared" si="27"/>
        <v>2.38</v>
      </c>
      <c r="DK45" s="157">
        <f t="shared" si="177"/>
        <v>0</v>
      </c>
      <c r="DL45" s="134"/>
      <c r="DM45" s="14">
        <f t="shared" si="28"/>
        <v>34</v>
      </c>
      <c r="DN45" s="48">
        <f t="shared" si="259"/>
        <v>0</v>
      </c>
      <c r="DO45" s="68">
        <f t="shared" si="178"/>
        <v>0</v>
      </c>
      <c r="DP45" s="51">
        <f t="shared" si="29"/>
        <v>334</v>
      </c>
      <c r="DQ45" s="103">
        <f t="shared" si="417"/>
        <v>0</v>
      </c>
      <c r="DR45" s="46">
        <f t="shared" si="275"/>
        <v>334</v>
      </c>
      <c r="DS45" s="51">
        <f t="shared" si="30"/>
        <v>79</v>
      </c>
      <c r="DT45" s="103">
        <f t="shared" si="418"/>
        <v>0</v>
      </c>
      <c r="DU45" s="46">
        <f t="shared" si="164"/>
        <v>79</v>
      </c>
      <c r="DW45" s="120">
        <f>DW44+1</f>
        <v>14</v>
      </c>
      <c r="DX45" s="7">
        <f t="shared" si="419"/>
        <v>5</v>
      </c>
      <c r="DY45" s="496"/>
      <c r="DZ45" s="14">
        <f t="shared" ref="DZ45:DZ108" si="435">IFERROR(EA44+DY45,0)</f>
        <v>0</v>
      </c>
      <c r="EA45" s="59">
        <f t="shared" si="276"/>
        <v>0</v>
      </c>
      <c r="EB45" s="405"/>
      <c r="EC45" s="406"/>
      <c r="ED45" s="406"/>
      <c r="EE45" s="14">
        <f t="shared" si="211"/>
        <v>0</v>
      </c>
      <c r="EF45" s="14">
        <f t="shared" si="180"/>
        <v>0</v>
      </c>
      <c r="EG45" s="14">
        <f t="shared" si="31"/>
        <v>0.18</v>
      </c>
      <c r="EH45" s="47">
        <f t="shared" si="212"/>
        <v>0</v>
      </c>
      <c r="EI45" s="35">
        <f t="shared" si="32"/>
        <v>2.38</v>
      </c>
      <c r="EJ45" s="157">
        <f t="shared" si="182"/>
        <v>0</v>
      </c>
      <c r="EK45" s="134"/>
      <c r="EL45" s="14">
        <f t="shared" si="33"/>
        <v>34</v>
      </c>
      <c r="EM45" s="48">
        <f t="shared" si="260"/>
        <v>0</v>
      </c>
      <c r="EN45" s="68">
        <f t="shared" si="183"/>
        <v>0</v>
      </c>
      <c r="EO45" s="51">
        <f t="shared" si="34"/>
        <v>334</v>
      </c>
      <c r="EP45" s="103">
        <f t="shared" si="420"/>
        <v>0</v>
      </c>
      <c r="EQ45" s="46">
        <f t="shared" si="277"/>
        <v>334</v>
      </c>
      <c r="ER45" s="51">
        <f t="shared" si="35"/>
        <v>79</v>
      </c>
      <c r="ES45" s="103">
        <f t="shared" si="421"/>
        <v>0</v>
      </c>
      <c r="ET45" s="46">
        <f t="shared" si="165"/>
        <v>79</v>
      </c>
      <c r="EV45" s="120">
        <f>EV44+1</f>
        <v>14</v>
      </c>
      <c r="EW45" s="7">
        <f t="shared" si="422"/>
        <v>5</v>
      </c>
      <c r="EX45" s="496"/>
      <c r="EY45" s="14">
        <f t="shared" ref="EY45:EY108" si="436">IFERROR(EZ44+EX45,0)</f>
        <v>0</v>
      </c>
      <c r="EZ45" s="59">
        <f t="shared" si="278"/>
        <v>0</v>
      </c>
      <c r="FA45" s="405"/>
      <c r="FB45" s="406"/>
      <c r="FC45" s="406"/>
      <c r="FD45" s="14">
        <f t="shared" si="214"/>
        <v>0</v>
      </c>
      <c r="FE45" s="14">
        <f t="shared" si="185"/>
        <v>0</v>
      </c>
      <c r="FF45" s="14">
        <f t="shared" si="36"/>
        <v>0.18</v>
      </c>
      <c r="FG45" s="47">
        <f t="shared" si="215"/>
        <v>0</v>
      </c>
      <c r="FH45" s="35">
        <f t="shared" si="37"/>
        <v>2.38</v>
      </c>
      <c r="FI45" s="157">
        <f t="shared" si="187"/>
        <v>0</v>
      </c>
      <c r="FJ45" s="134"/>
      <c r="FK45" s="14">
        <f t="shared" si="38"/>
        <v>34</v>
      </c>
      <c r="FL45" s="48">
        <f t="shared" si="261"/>
        <v>0</v>
      </c>
      <c r="FM45" s="68">
        <f t="shared" si="188"/>
        <v>0</v>
      </c>
      <c r="FN45" s="51">
        <f t="shared" si="39"/>
        <v>334</v>
      </c>
      <c r="FO45" s="103">
        <f t="shared" si="423"/>
        <v>0</v>
      </c>
      <c r="FP45" s="46">
        <f t="shared" si="279"/>
        <v>334</v>
      </c>
      <c r="FQ45" s="51">
        <f t="shared" si="40"/>
        <v>79</v>
      </c>
      <c r="FR45" s="103">
        <f t="shared" si="424"/>
        <v>0</v>
      </c>
      <c r="FS45" s="46">
        <f t="shared" si="166"/>
        <v>79</v>
      </c>
      <c r="FU45" s="120">
        <f>FU44+1</f>
        <v>14</v>
      </c>
      <c r="FV45" s="7">
        <f t="shared" si="425"/>
        <v>5</v>
      </c>
      <c r="FW45" s="496"/>
      <c r="FX45" s="14">
        <f t="shared" ref="FX45:FX108" si="437">IFERROR(FY44+FW45,0)</f>
        <v>0</v>
      </c>
      <c r="FY45" s="59">
        <f t="shared" si="280"/>
        <v>0</v>
      </c>
      <c r="FZ45" s="405"/>
      <c r="GA45" s="406"/>
      <c r="GB45" s="406"/>
      <c r="GC45" s="14">
        <f t="shared" si="217"/>
        <v>0</v>
      </c>
      <c r="GD45" s="14">
        <f t="shared" si="190"/>
        <v>0</v>
      </c>
      <c r="GE45" s="14">
        <f t="shared" si="41"/>
        <v>0.18</v>
      </c>
      <c r="GF45" s="47">
        <f t="shared" si="218"/>
        <v>0</v>
      </c>
      <c r="GG45" s="35">
        <f t="shared" si="42"/>
        <v>2.38</v>
      </c>
      <c r="GH45" s="157">
        <f t="shared" si="192"/>
        <v>0</v>
      </c>
      <c r="GI45" s="134"/>
      <c r="GJ45" s="14">
        <f t="shared" si="43"/>
        <v>34</v>
      </c>
      <c r="GK45" s="48">
        <f t="shared" si="262"/>
        <v>0</v>
      </c>
      <c r="GL45" s="68">
        <f t="shared" si="193"/>
        <v>0</v>
      </c>
      <c r="GM45" s="51">
        <f t="shared" si="44"/>
        <v>334</v>
      </c>
      <c r="GN45" s="103">
        <f t="shared" si="426"/>
        <v>0</v>
      </c>
      <c r="GO45" s="46">
        <f t="shared" si="281"/>
        <v>334</v>
      </c>
      <c r="GP45" s="51">
        <f t="shared" si="45"/>
        <v>79</v>
      </c>
      <c r="GQ45" s="103">
        <f t="shared" si="427"/>
        <v>0</v>
      </c>
      <c r="GR45" s="46">
        <f t="shared" si="167"/>
        <v>79</v>
      </c>
      <c r="GT45" s="120">
        <f>GT44+1</f>
        <v>14</v>
      </c>
      <c r="GU45" s="7">
        <f t="shared" si="428"/>
        <v>5</v>
      </c>
      <c r="GV45" s="496"/>
      <c r="GW45" s="14">
        <f t="shared" ref="GW45:GW108" si="438">IFERROR(GX44+GV45,0)</f>
        <v>0</v>
      </c>
      <c r="GX45" s="59">
        <f t="shared" si="282"/>
        <v>0</v>
      </c>
      <c r="GY45" s="405"/>
      <c r="GZ45" s="406"/>
      <c r="HA45" s="406"/>
      <c r="HB45" s="14">
        <f t="shared" si="220"/>
        <v>0</v>
      </c>
      <c r="HC45" s="14">
        <f t="shared" si="195"/>
        <v>0</v>
      </c>
      <c r="HD45" s="14">
        <f t="shared" si="46"/>
        <v>0.18</v>
      </c>
      <c r="HE45" s="47">
        <f t="shared" si="221"/>
        <v>0</v>
      </c>
      <c r="HF45" s="35">
        <f t="shared" si="47"/>
        <v>2.38</v>
      </c>
      <c r="HG45" s="157">
        <f t="shared" si="197"/>
        <v>0</v>
      </c>
      <c r="HH45" s="134"/>
      <c r="HI45" s="14">
        <f t="shared" si="48"/>
        <v>34</v>
      </c>
      <c r="HJ45" s="48">
        <f t="shared" si="263"/>
        <v>0</v>
      </c>
      <c r="HK45" s="68">
        <f t="shared" si="198"/>
        <v>0</v>
      </c>
      <c r="HL45" s="51">
        <f t="shared" si="49"/>
        <v>334</v>
      </c>
      <c r="HM45" s="103">
        <f t="shared" si="429"/>
        <v>0</v>
      </c>
      <c r="HN45" s="46">
        <f t="shared" si="283"/>
        <v>334</v>
      </c>
      <c r="HO45" s="51">
        <f t="shared" si="50"/>
        <v>79</v>
      </c>
      <c r="HP45" s="103">
        <f t="shared" si="430"/>
        <v>0</v>
      </c>
      <c r="HQ45" s="46">
        <f t="shared" si="168"/>
        <v>79</v>
      </c>
    </row>
    <row r="46" spans="1:225" ht="18" customHeight="1" thickBot="1" x14ac:dyDescent="0.3">
      <c r="B46" s="120">
        <f t="shared" si="431"/>
        <v>4</v>
      </c>
      <c r="C46" s="570">
        <f t="shared" si="404"/>
        <v>5</v>
      </c>
      <c r="D46" s="496"/>
      <c r="E46" s="408">
        <f t="shared" si="223"/>
        <v>96961</v>
      </c>
      <c r="F46" s="562">
        <f t="shared" si="0"/>
        <v>96938</v>
      </c>
      <c r="G46" s="134"/>
      <c r="H46" s="135">
        <v>23</v>
      </c>
      <c r="I46" s="135"/>
      <c r="J46" s="14">
        <f t="shared" si="200"/>
        <v>23</v>
      </c>
      <c r="K46" s="14">
        <f>K45+J46</f>
        <v>4327</v>
      </c>
      <c r="L46" s="14">
        <f t="shared" si="1"/>
        <v>0.18</v>
      </c>
      <c r="M46" s="47">
        <f t="shared" si="85"/>
        <v>2.3720877466197748E-2</v>
      </c>
      <c r="N46" s="35">
        <f t="shared" si="2"/>
        <v>2.38</v>
      </c>
      <c r="O46" s="132">
        <f t="shared" si="53"/>
        <v>3.2082032727083996</v>
      </c>
      <c r="P46" s="142">
        <v>2730</v>
      </c>
      <c r="Q46" s="14">
        <f t="shared" si="3"/>
        <v>34</v>
      </c>
      <c r="R46" s="442">
        <f t="shared" si="394"/>
        <v>28.1556502098782</v>
      </c>
      <c r="S46" s="470">
        <f t="shared" si="201"/>
        <v>789.38135721154583</v>
      </c>
      <c r="T46" s="51">
        <f t="shared" si="5"/>
        <v>334</v>
      </c>
      <c r="U46" s="103">
        <f t="shared" si="405"/>
        <v>316</v>
      </c>
      <c r="V46" s="46">
        <f t="shared" si="55"/>
        <v>18</v>
      </c>
      <c r="W46" s="12">
        <f t="shared" si="395"/>
        <v>79</v>
      </c>
      <c r="X46" s="103">
        <f t="shared" si="406"/>
        <v>62</v>
      </c>
      <c r="Y46" s="46">
        <f t="shared" si="56"/>
        <v>17</v>
      </c>
      <c r="Z46" s="487"/>
      <c r="AA46" s="120">
        <f t="shared" si="432"/>
        <v>4</v>
      </c>
      <c r="AB46" s="7">
        <f t="shared" si="407"/>
        <v>5</v>
      </c>
      <c r="AC46" s="496"/>
      <c r="AD46" s="48">
        <f t="shared" ref="AD46:AD47" si="439">IFERROR(AE45-AC46,0)</f>
        <v>87952</v>
      </c>
      <c r="AE46" s="196">
        <f>IFERROR(AD46-AI46,0)</f>
        <v>87872</v>
      </c>
      <c r="AF46" s="134"/>
      <c r="AG46" s="135">
        <v>80</v>
      </c>
      <c r="AH46" s="135"/>
      <c r="AI46" s="14">
        <f t="shared" si="203"/>
        <v>80</v>
      </c>
      <c r="AJ46" s="14">
        <f t="shared" si="321"/>
        <v>5027</v>
      </c>
      <c r="AK46" s="14">
        <f t="shared" si="8"/>
        <v>0.18</v>
      </c>
      <c r="AL46" s="47">
        <f t="shared" si="58"/>
        <v>9.0958704748044392E-2</v>
      </c>
      <c r="AM46" s="35">
        <f t="shared" si="9"/>
        <v>2.38</v>
      </c>
      <c r="AN46" s="157">
        <f t="shared" si="169"/>
        <v>3.2818457199561291</v>
      </c>
      <c r="AO46" s="134">
        <v>2730</v>
      </c>
      <c r="AP46" s="14">
        <f t="shared" si="10"/>
        <v>34</v>
      </c>
      <c r="AQ46" s="482">
        <f t="shared" si="59"/>
        <v>31.039657995270147</v>
      </c>
      <c r="AR46" s="470">
        <f t="shared" si="323"/>
        <v>776.87065547493944</v>
      </c>
      <c r="AS46" s="51">
        <f t="shared" si="11"/>
        <v>334</v>
      </c>
      <c r="AT46" s="103">
        <f t="shared" si="408"/>
        <v>319</v>
      </c>
      <c r="AU46" s="46">
        <f t="shared" si="271"/>
        <v>15</v>
      </c>
      <c r="AV46" s="12">
        <f t="shared" si="12"/>
        <v>79</v>
      </c>
      <c r="AW46" s="103">
        <f t="shared" si="409"/>
        <v>60</v>
      </c>
      <c r="AX46" s="46">
        <f t="shared" si="170"/>
        <v>19</v>
      </c>
      <c r="AZ46" s="120">
        <f t="shared" si="433"/>
        <v>4</v>
      </c>
      <c r="BA46" s="7">
        <f t="shared" si="410"/>
        <v>5</v>
      </c>
      <c r="BB46" s="133"/>
      <c r="BC46" s="48">
        <f t="shared" si="403"/>
        <v>93530</v>
      </c>
      <c r="BD46" s="196">
        <f t="shared" si="325"/>
        <v>93530</v>
      </c>
      <c r="BE46" s="134"/>
      <c r="BF46" s="135">
        <v>0</v>
      </c>
      <c r="BG46" s="135"/>
      <c r="BH46" s="14">
        <f t="shared" si="204"/>
        <v>0</v>
      </c>
      <c r="BI46" s="14">
        <f t="shared" si="294"/>
        <v>342</v>
      </c>
      <c r="BJ46" s="14">
        <f t="shared" si="14"/>
        <v>0.18</v>
      </c>
      <c r="BK46" s="47">
        <f t="shared" si="92"/>
        <v>0</v>
      </c>
      <c r="BL46" s="35">
        <f t="shared" si="15"/>
        <v>2.38</v>
      </c>
      <c r="BM46" s="132">
        <f t="shared" si="326"/>
        <v>0.47899159663865548</v>
      </c>
      <c r="BN46" s="134">
        <v>2730</v>
      </c>
      <c r="BO46" s="14">
        <f t="shared" si="17"/>
        <v>34</v>
      </c>
      <c r="BP46" s="442">
        <f t="shared" si="93"/>
        <v>29.188495669838556</v>
      </c>
      <c r="BQ46" s="747">
        <f t="shared" si="137"/>
        <v>693.31664978146978</v>
      </c>
      <c r="BR46" s="51">
        <f t="shared" si="18"/>
        <v>334</v>
      </c>
      <c r="BS46" s="103">
        <f t="shared" si="411"/>
        <v>298</v>
      </c>
      <c r="BT46" s="46">
        <f t="shared" si="272"/>
        <v>36</v>
      </c>
      <c r="BU46" s="12">
        <f t="shared" si="20"/>
        <v>79</v>
      </c>
      <c r="BV46" s="103">
        <f t="shared" si="412"/>
        <v>68</v>
      </c>
      <c r="BW46" s="46">
        <f t="shared" si="171"/>
        <v>11</v>
      </c>
      <c r="BY46" s="120">
        <f t="shared" ref="BY46:BY47" si="440">BY45+1</f>
        <v>15</v>
      </c>
      <c r="BZ46" s="7">
        <f t="shared" si="413"/>
        <v>5</v>
      </c>
      <c r="CA46" s="496"/>
      <c r="CB46" s="14">
        <f t="shared" si="172"/>
        <v>0</v>
      </c>
      <c r="CC46" s="59">
        <f t="shared" si="205"/>
        <v>0</v>
      </c>
      <c r="CD46" s="405"/>
      <c r="CE46" s="406"/>
      <c r="CF46" s="406"/>
      <c r="CG46" s="14">
        <f t="shared" si="206"/>
        <v>0</v>
      </c>
      <c r="CH46" s="14">
        <f t="shared" si="173"/>
        <v>0</v>
      </c>
      <c r="CI46" s="14">
        <f t="shared" si="21"/>
        <v>0.18</v>
      </c>
      <c r="CJ46" s="47">
        <f t="shared" si="97"/>
        <v>0</v>
      </c>
      <c r="CK46" s="35">
        <f t="shared" si="22"/>
        <v>2.38</v>
      </c>
      <c r="CL46" s="157">
        <f t="shared" si="140"/>
        <v>0</v>
      </c>
      <c r="CM46" s="134"/>
      <c r="CN46" s="14">
        <f t="shared" si="23"/>
        <v>34</v>
      </c>
      <c r="CO46" s="48">
        <f t="shared" si="141"/>
        <v>0</v>
      </c>
      <c r="CP46" s="68">
        <f t="shared" si="98"/>
        <v>0</v>
      </c>
      <c r="CQ46" s="51">
        <f t="shared" si="24"/>
        <v>334</v>
      </c>
      <c r="CR46" s="103">
        <f t="shared" si="414"/>
        <v>0</v>
      </c>
      <c r="CS46" s="46">
        <f t="shared" si="273"/>
        <v>334</v>
      </c>
      <c r="CT46" s="12">
        <f t="shared" si="25"/>
        <v>79</v>
      </c>
      <c r="CU46" s="103">
        <f t="shared" si="415"/>
        <v>0</v>
      </c>
      <c r="CV46" s="46">
        <f t="shared" si="67"/>
        <v>79</v>
      </c>
      <c r="CX46" s="120">
        <f t="shared" ref="CX46:CX47" si="441">CX45+1</f>
        <v>15</v>
      </c>
      <c r="CY46" s="7">
        <f t="shared" si="416"/>
        <v>5</v>
      </c>
      <c r="CZ46" s="496"/>
      <c r="DA46" s="14">
        <f t="shared" si="434"/>
        <v>0</v>
      </c>
      <c r="DB46" s="59">
        <f t="shared" si="274"/>
        <v>0</v>
      </c>
      <c r="DC46" s="405"/>
      <c r="DD46" s="406"/>
      <c r="DE46" s="406"/>
      <c r="DF46" s="14">
        <f t="shared" si="208"/>
        <v>0</v>
      </c>
      <c r="DG46" s="14">
        <f t="shared" si="175"/>
        <v>0</v>
      </c>
      <c r="DH46" s="14">
        <f t="shared" si="26"/>
        <v>0.18</v>
      </c>
      <c r="DI46" s="47">
        <f t="shared" si="209"/>
        <v>0</v>
      </c>
      <c r="DJ46" s="35">
        <f t="shared" si="27"/>
        <v>2.38</v>
      </c>
      <c r="DK46" s="157">
        <f t="shared" si="177"/>
        <v>0</v>
      </c>
      <c r="DL46" s="134"/>
      <c r="DM46" s="14">
        <f t="shared" si="28"/>
        <v>34</v>
      </c>
      <c r="DN46" s="48">
        <f t="shared" si="259"/>
        <v>0</v>
      </c>
      <c r="DO46" s="68">
        <f t="shared" si="178"/>
        <v>0</v>
      </c>
      <c r="DP46" s="51">
        <f t="shared" si="29"/>
        <v>334</v>
      </c>
      <c r="DQ46" s="103">
        <f t="shared" si="417"/>
        <v>0</v>
      </c>
      <c r="DR46" s="46">
        <f t="shared" si="275"/>
        <v>334</v>
      </c>
      <c r="DS46" s="12">
        <f t="shared" si="30"/>
        <v>79</v>
      </c>
      <c r="DT46" s="103">
        <f t="shared" si="418"/>
        <v>0</v>
      </c>
      <c r="DU46" s="46">
        <f t="shared" si="164"/>
        <v>79</v>
      </c>
      <c r="DW46" s="120">
        <f t="shared" ref="DW46:DW47" si="442">DW45+1</f>
        <v>15</v>
      </c>
      <c r="DX46" s="7">
        <f t="shared" si="419"/>
        <v>5</v>
      </c>
      <c r="DY46" s="496"/>
      <c r="DZ46" s="14">
        <f t="shared" si="435"/>
        <v>0</v>
      </c>
      <c r="EA46" s="59">
        <f t="shared" si="276"/>
        <v>0</v>
      </c>
      <c r="EB46" s="405"/>
      <c r="EC46" s="406"/>
      <c r="ED46" s="406"/>
      <c r="EE46" s="14">
        <f t="shared" si="211"/>
        <v>0</v>
      </c>
      <c r="EF46" s="14">
        <f t="shared" si="180"/>
        <v>0</v>
      </c>
      <c r="EG46" s="14">
        <f t="shared" si="31"/>
        <v>0.18</v>
      </c>
      <c r="EH46" s="47">
        <f t="shared" si="212"/>
        <v>0</v>
      </c>
      <c r="EI46" s="35">
        <f t="shared" si="32"/>
        <v>2.38</v>
      </c>
      <c r="EJ46" s="157">
        <f t="shared" si="182"/>
        <v>0</v>
      </c>
      <c r="EK46" s="134"/>
      <c r="EL46" s="14">
        <f t="shared" si="33"/>
        <v>34</v>
      </c>
      <c r="EM46" s="48">
        <f t="shared" si="260"/>
        <v>0</v>
      </c>
      <c r="EN46" s="68">
        <f t="shared" si="183"/>
        <v>0</v>
      </c>
      <c r="EO46" s="51">
        <f t="shared" si="34"/>
        <v>334</v>
      </c>
      <c r="EP46" s="103">
        <f t="shared" si="420"/>
        <v>0</v>
      </c>
      <c r="EQ46" s="46">
        <f t="shared" si="277"/>
        <v>334</v>
      </c>
      <c r="ER46" s="12">
        <f t="shared" si="35"/>
        <v>79</v>
      </c>
      <c r="ES46" s="103">
        <f t="shared" si="421"/>
        <v>0</v>
      </c>
      <c r="ET46" s="46">
        <f t="shared" si="165"/>
        <v>79</v>
      </c>
      <c r="EV46" s="120">
        <f t="shared" ref="EV46:EV47" si="443">EV45+1</f>
        <v>15</v>
      </c>
      <c r="EW46" s="7">
        <f t="shared" si="422"/>
        <v>5</v>
      </c>
      <c r="EX46" s="496"/>
      <c r="EY46" s="14">
        <f t="shared" si="436"/>
        <v>0</v>
      </c>
      <c r="EZ46" s="59">
        <f t="shared" si="278"/>
        <v>0</v>
      </c>
      <c r="FA46" s="405"/>
      <c r="FB46" s="406"/>
      <c r="FC46" s="406"/>
      <c r="FD46" s="14">
        <f t="shared" si="214"/>
        <v>0</v>
      </c>
      <c r="FE46" s="14">
        <f t="shared" si="185"/>
        <v>0</v>
      </c>
      <c r="FF46" s="14">
        <f t="shared" si="36"/>
        <v>0.18</v>
      </c>
      <c r="FG46" s="47">
        <f t="shared" si="215"/>
        <v>0</v>
      </c>
      <c r="FH46" s="35">
        <f t="shared" si="37"/>
        <v>2.38</v>
      </c>
      <c r="FI46" s="157">
        <f t="shared" si="187"/>
        <v>0</v>
      </c>
      <c r="FJ46" s="134"/>
      <c r="FK46" s="14">
        <f t="shared" si="38"/>
        <v>34</v>
      </c>
      <c r="FL46" s="48">
        <f t="shared" si="261"/>
        <v>0</v>
      </c>
      <c r="FM46" s="68">
        <f t="shared" si="188"/>
        <v>0</v>
      </c>
      <c r="FN46" s="51">
        <f t="shared" si="39"/>
        <v>334</v>
      </c>
      <c r="FO46" s="103">
        <f t="shared" si="423"/>
        <v>0</v>
      </c>
      <c r="FP46" s="46">
        <f t="shared" si="279"/>
        <v>334</v>
      </c>
      <c r="FQ46" s="12">
        <f t="shared" si="40"/>
        <v>79</v>
      </c>
      <c r="FR46" s="103">
        <f t="shared" si="424"/>
        <v>0</v>
      </c>
      <c r="FS46" s="46">
        <f t="shared" si="166"/>
        <v>79</v>
      </c>
      <c r="FU46" s="120">
        <f t="shared" ref="FU46:FU47" si="444">FU45+1</f>
        <v>15</v>
      </c>
      <c r="FV46" s="7">
        <f t="shared" si="425"/>
        <v>5</v>
      </c>
      <c r="FW46" s="496"/>
      <c r="FX46" s="14">
        <f t="shared" si="437"/>
        <v>0</v>
      </c>
      <c r="FY46" s="59">
        <f t="shared" si="280"/>
        <v>0</v>
      </c>
      <c r="FZ46" s="405"/>
      <c r="GA46" s="406"/>
      <c r="GB46" s="406"/>
      <c r="GC46" s="14">
        <f t="shared" si="217"/>
        <v>0</v>
      </c>
      <c r="GD46" s="14">
        <f t="shared" si="190"/>
        <v>0</v>
      </c>
      <c r="GE46" s="14">
        <f t="shared" si="41"/>
        <v>0.18</v>
      </c>
      <c r="GF46" s="47">
        <f t="shared" si="218"/>
        <v>0</v>
      </c>
      <c r="GG46" s="35">
        <f t="shared" si="42"/>
        <v>2.38</v>
      </c>
      <c r="GH46" s="157">
        <f t="shared" si="192"/>
        <v>0</v>
      </c>
      <c r="GI46" s="134"/>
      <c r="GJ46" s="14">
        <f t="shared" si="43"/>
        <v>34</v>
      </c>
      <c r="GK46" s="48">
        <f t="shared" si="262"/>
        <v>0</v>
      </c>
      <c r="GL46" s="68">
        <f t="shared" si="193"/>
        <v>0</v>
      </c>
      <c r="GM46" s="51">
        <f t="shared" si="44"/>
        <v>334</v>
      </c>
      <c r="GN46" s="103">
        <f t="shared" si="426"/>
        <v>0</v>
      </c>
      <c r="GO46" s="46">
        <f t="shared" si="281"/>
        <v>334</v>
      </c>
      <c r="GP46" s="12">
        <f t="shared" si="45"/>
        <v>79</v>
      </c>
      <c r="GQ46" s="103">
        <f t="shared" si="427"/>
        <v>0</v>
      </c>
      <c r="GR46" s="46">
        <f t="shared" si="167"/>
        <v>79</v>
      </c>
      <c r="GT46" s="120">
        <f t="shared" ref="GT46:GT47" si="445">GT45+1</f>
        <v>15</v>
      </c>
      <c r="GU46" s="7">
        <f t="shared" si="428"/>
        <v>5</v>
      </c>
      <c r="GV46" s="496"/>
      <c r="GW46" s="14">
        <f t="shared" si="438"/>
        <v>0</v>
      </c>
      <c r="GX46" s="59">
        <f t="shared" si="282"/>
        <v>0</v>
      </c>
      <c r="GY46" s="405"/>
      <c r="GZ46" s="406"/>
      <c r="HA46" s="406"/>
      <c r="HB46" s="14">
        <f t="shared" si="220"/>
        <v>0</v>
      </c>
      <c r="HC46" s="14">
        <f t="shared" si="195"/>
        <v>0</v>
      </c>
      <c r="HD46" s="14">
        <f t="shared" si="46"/>
        <v>0.18</v>
      </c>
      <c r="HE46" s="47">
        <f t="shared" si="221"/>
        <v>0</v>
      </c>
      <c r="HF46" s="35">
        <f t="shared" si="47"/>
        <v>2.38</v>
      </c>
      <c r="HG46" s="157">
        <f t="shared" si="197"/>
        <v>0</v>
      </c>
      <c r="HH46" s="134"/>
      <c r="HI46" s="14">
        <f t="shared" si="48"/>
        <v>34</v>
      </c>
      <c r="HJ46" s="48">
        <f t="shared" si="263"/>
        <v>0</v>
      </c>
      <c r="HK46" s="68">
        <f t="shared" si="198"/>
        <v>0</v>
      </c>
      <c r="HL46" s="51">
        <f t="shared" si="49"/>
        <v>334</v>
      </c>
      <c r="HM46" s="103">
        <f t="shared" si="429"/>
        <v>0</v>
      </c>
      <c r="HN46" s="46">
        <f t="shared" si="283"/>
        <v>334</v>
      </c>
      <c r="HO46" s="12">
        <f t="shared" si="50"/>
        <v>79</v>
      </c>
      <c r="HP46" s="103">
        <f t="shared" si="430"/>
        <v>0</v>
      </c>
      <c r="HQ46" s="46">
        <f t="shared" si="168"/>
        <v>79</v>
      </c>
    </row>
    <row r="47" spans="1:225" ht="17.25" thickBot="1" x14ac:dyDescent="0.3">
      <c r="B47" s="120">
        <f t="shared" si="431"/>
        <v>5</v>
      </c>
      <c r="C47" s="574">
        <f t="shared" si="404"/>
        <v>5</v>
      </c>
      <c r="D47" s="136"/>
      <c r="E47" s="436">
        <f t="shared" si="223"/>
        <v>96938</v>
      </c>
      <c r="F47" s="451">
        <f t="shared" si="0"/>
        <v>96885</v>
      </c>
      <c r="G47" s="137"/>
      <c r="H47" s="138">
        <v>53</v>
      </c>
      <c r="I47" s="138"/>
      <c r="J47" s="32">
        <f t="shared" si="200"/>
        <v>53</v>
      </c>
      <c r="K47" s="32">
        <f>K46+J47</f>
        <v>4380</v>
      </c>
      <c r="L47" s="32">
        <f t="shared" si="1"/>
        <v>0.18</v>
      </c>
      <c r="M47" s="96">
        <f t="shared" si="85"/>
        <v>5.4674121603499146E-2</v>
      </c>
      <c r="N47" s="36">
        <f t="shared" si="2"/>
        <v>2.38</v>
      </c>
      <c r="O47" s="132">
        <f t="shared" si="53"/>
        <v>3.2474994995291868</v>
      </c>
      <c r="P47" s="139">
        <v>2730</v>
      </c>
      <c r="Q47" s="32">
        <f t="shared" si="3"/>
        <v>34</v>
      </c>
      <c r="R47" s="443">
        <f t="shared" si="394"/>
        <v>28.162330561802388</v>
      </c>
      <c r="S47" s="471">
        <f t="shared" si="201"/>
        <v>817.54368777334821</v>
      </c>
      <c r="T47" s="56">
        <f t="shared" si="5"/>
        <v>334</v>
      </c>
      <c r="U47" s="109">
        <f t="shared" si="405"/>
        <v>316</v>
      </c>
      <c r="V47" s="63">
        <f t="shared" si="55"/>
        <v>18</v>
      </c>
      <c r="W47" s="56">
        <f t="shared" si="395"/>
        <v>79</v>
      </c>
      <c r="X47" s="109">
        <f t="shared" si="406"/>
        <v>62</v>
      </c>
      <c r="Y47" s="63">
        <f t="shared" si="56"/>
        <v>17</v>
      </c>
      <c r="Z47" s="487"/>
      <c r="AA47" s="120">
        <f t="shared" si="432"/>
        <v>5</v>
      </c>
      <c r="AB47" s="8">
        <f t="shared" si="407"/>
        <v>5</v>
      </c>
      <c r="AC47" s="136"/>
      <c r="AD47" s="48">
        <f t="shared" si="439"/>
        <v>87872</v>
      </c>
      <c r="AE47" s="196">
        <f>IFERROR(AD47-AI47,0)</f>
        <v>87821</v>
      </c>
      <c r="AF47" s="137"/>
      <c r="AG47" s="138">
        <v>51</v>
      </c>
      <c r="AH47" s="138"/>
      <c r="AI47" s="34">
        <f t="shared" si="203"/>
        <v>51</v>
      </c>
      <c r="AJ47" s="34">
        <f t="shared" si="321"/>
        <v>5078</v>
      </c>
      <c r="AK47" s="17">
        <f t="shared" si="8"/>
        <v>0.18</v>
      </c>
      <c r="AL47" s="231">
        <f t="shared" si="58"/>
        <v>5.8038965768390384E-2</v>
      </c>
      <c r="AM47" s="33">
        <f t="shared" si="9"/>
        <v>2.38</v>
      </c>
      <c r="AN47" s="157">
        <f t="shared" si="169"/>
        <v>3.3151407531205934</v>
      </c>
      <c r="AO47" s="137">
        <v>3276</v>
      </c>
      <c r="AP47" s="32">
        <f t="shared" si="10"/>
        <v>34</v>
      </c>
      <c r="AQ47" s="443">
        <f t="shared" si="59"/>
        <v>37.281500364166064</v>
      </c>
      <c r="AR47" s="471">
        <f t="shared" si="323"/>
        <v>814.15215583910549</v>
      </c>
      <c r="AS47" s="50">
        <f t="shared" si="11"/>
        <v>334</v>
      </c>
      <c r="AT47" s="103">
        <f t="shared" si="408"/>
        <v>319</v>
      </c>
      <c r="AU47" s="63">
        <f t="shared" si="271"/>
        <v>15</v>
      </c>
      <c r="AV47" s="56">
        <f t="shared" si="12"/>
        <v>79</v>
      </c>
      <c r="AW47" s="103">
        <f t="shared" si="409"/>
        <v>60</v>
      </c>
      <c r="AX47" s="63">
        <f t="shared" si="170"/>
        <v>19</v>
      </c>
      <c r="AZ47" s="197">
        <f t="shared" si="433"/>
        <v>5</v>
      </c>
      <c r="BA47" s="8">
        <f t="shared" si="410"/>
        <v>5</v>
      </c>
      <c r="BB47" s="136"/>
      <c r="BC47" s="54">
        <f t="shared" si="403"/>
        <v>93530</v>
      </c>
      <c r="BD47" s="55">
        <f t="shared" si="325"/>
        <v>93506</v>
      </c>
      <c r="BE47" s="137"/>
      <c r="BF47" s="138">
        <v>24</v>
      </c>
      <c r="BG47" s="138"/>
      <c r="BH47" s="34">
        <f t="shared" si="204"/>
        <v>24</v>
      </c>
      <c r="BI47" s="34">
        <f t="shared" si="294"/>
        <v>366</v>
      </c>
      <c r="BJ47" s="34">
        <f t="shared" si="14"/>
        <v>0.18</v>
      </c>
      <c r="BK47" s="96">
        <f t="shared" si="92"/>
        <v>2.5660215973484442E-2</v>
      </c>
      <c r="BL47" s="40">
        <f t="shared" si="15"/>
        <v>2.38</v>
      </c>
      <c r="BM47" s="132">
        <f t="shared" si="326"/>
        <v>0.51260504201680668</v>
      </c>
      <c r="BN47" s="137">
        <v>4368</v>
      </c>
      <c r="BO47" s="32">
        <f t="shared" si="17"/>
        <v>34</v>
      </c>
      <c r="BP47" s="443">
        <f t="shared" si="93"/>
        <v>46.701593071741691</v>
      </c>
      <c r="BQ47" s="750">
        <f t="shared" si="137"/>
        <v>740.01824285321152</v>
      </c>
      <c r="BR47" s="56">
        <f t="shared" si="18"/>
        <v>334</v>
      </c>
      <c r="BS47" s="109">
        <f t="shared" si="411"/>
        <v>298</v>
      </c>
      <c r="BT47" s="63">
        <f t="shared" si="272"/>
        <v>36</v>
      </c>
      <c r="BU47" s="56">
        <f t="shared" si="20"/>
        <v>79</v>
      </c>
      <c r="BV47" s="109">
        <f t="shared" si="412"/>
        <v>68</v>
      </c>
      <c r="BW47" s="63">
        <f t="shared" si="171"/>
        <v>11</v>
      </c>
      <c r="BY47" s="120">
        <f t="shared" si="440"/>
        <v>16</v>
      </c>
      <c r="BZ47" s="8">
        <f t="shared" si="413"/>
        <v>5</v>
      </c>
      <c r="CA47" s="434"/>
      <c r="CB47" s="32">
        <f t="shared" si="172"/>
        <v>0</v>
      </c>
      <c r="CC47" s="53">
        <f t="shared" si="205"/>
        <v>0</v>
      </c>
      <c r="CD47" s="421"/>
      <c r="CE47" s="426"/>
      <c r="CF47" s="426"/>
      <c r="CG47" s="34">
        <f t="shared" si="206"/>
        <v>0</v>
      </c>
      <c r="CH47" s="34">
        <f t="shared" si="173"/>
        <v>0</v>
      </c>
      <c r="CI47" s="17">
        <f t="shared" si="21"/>
        <v>0.18</v>
      </c>
      <c r="CJ47" s="166">
        <f t="shared" si="97"/>
        <v>0</v>
      </c>
      <c r="CK47" s="33">
        <f t="shared" si="22"/>
        <v>2.38</v>
      </c>
      <c r="CL47" s="156">
        <f t="shared" si="140"/>
        <v>0</v>
      </c>
      <c r="CM47" s="137"/>
      <c r="CN47" s="13">
        <f t="shared" si="23"/>
        <v>34</v>
      </c>
      <c r="CO47" s="54">
        <f t="shared" si="141"/>
        <v>0</v>
      </c>
      <c r="CP47" s="70">
        <f t="shared" si="98"/>
        <v>0</v>
      </c>
      <c r="CQ47" s="50">
        <f t="shared" si="24"/>
        <v>334</v>
      </c>
      <c r="CR47" s="103">
        <f t="shared" si="414"/>
        <v>0</v>
      </c>
      <c r="CS47" s="63">
        <f t="shared" si="273"/>
        <v>334</v>
      </c>
      <c r="CT47" s="56">
        <f t="shared" si="25"/>
        <v>79</v>
      </c>
      <c r="CU47" s="103">
        <f t="shared" si="415"/>
        <v>0</v>
      </c>
      <c r="CV47" s="63">
        <f t="shared" si="67"/>
        <v>79</v>
      </c>
      <c r="CX47" s="120">
        <f t="shared" si="441"/>
        <v>16</v>
      </c>
      <c r="CY47" s="8">
        <f t="shared" si="416"/>
        <v>5</v>
      </c>
      <c r="CZ47" s="434"/>
      <c r="DA47" s="32">
        <f t="shared" si="434"/>
        <v>0</v>
      </c>
      <c r="DB47" s="53">
        <f t="shared" si="274"/>
        <v>0</v>
      </c>
      <c r="DC47" s="421"/>
      <c r="DD47" s="426"/>
      <c r="DE47" s="426"/>
      <c r="DF47" s="34">
        <f t="shared" si="208"/>
        <v>0</v>
      </c>
      <c r="DG47" s="34">
        <f t="shared" si="175"/>
        <v>0</v>
      </c>
      <c r="DH47" s="17">
        <f t="shared" si="26"/>
        <v>0.18</v>
      </c>
      <c r="DI47" s="166">
        <f t="shared" si="209"/>
        <v>0</v>
      </c>
      <c r="DJ47" s="33">
        <f t="shared" si="27"/>
        <v>2.38</v>
      </c>
      <c r="DK47" s="156">
        <f t="shared" si="177"/>
        <v>0</v>
      </c>
      <c r="DL47" s="137"/>
      <c r="DM47" s="13">
        <f t="shared" si="28"/>
        <v>34</v>
      </c>
      <c r="DN47" s="54">
        <f t="shared" si="259"/>
        <v>0</v>
      </c>
      <c r="DO47" s="70">
        <f t="shared" si="178"/>
        <v>0</v>
      </c>
      <c r="DP47" s="50">
        <f t="shared" si="29"/>
        <v>334</v>
      </c>
      <c r="DQ47" s="103">
        <f t="shared" si="417"/>
        <v>0</v>
      </c>
      <c r="DR47" s="63">
        <f t="shared" si="275"/>
        <v>334</v>
      </c>
      <c r="DS47" s="56">
        <f t="shared" si="30"/>
        <v>79</v>
      </c>
      <c r="DT47" s="103">
        <f t="shared" si="418"/>
        <v>0</v>
      </c>
      <c r="DU47" s="63">
        <f t="shared" si="164"/>
        <v>79</v>
      </c>
      <c r="DW47" s="120">
        <f t="shared" si="442"/>
        <v>16</v>
      </c>
      <c r="DX47" s="8">
        <f t="shared" si="419"/>
        <v>5</v>
      </c>
      <c r="DY47" s="434"/>
      <c r="DZ47" s="32">
        <f t="shared" si="435"/>
        <v>0</v>
      </c>
      <c r="EA47" s="53">
        <f t="shared" si="276"/>
        <v>0</v>
      </c>
      <c r="EB47" s="421"/>
      <c r="EC47" s="426"/>
      <c r="ED47" s="426"/>
      <c r="EE47" s="34">
        <f t="shared" si="211"/>
        <v>0</v>
      </c>
      <c r="EF47" s="34">
        <f t="shared" si="180"/>
        <v>0</v>
      </c>
      <c r="EG47" s="17">
        <f t="shared" si="31"/>
        <v>0.18</v>
      </c>
      <c r="EH47" s="166">
        <f t="shared" si="212"/>
        <v>0</v>
      </c>
      <c r="EI47" s="33">
        <f t="shared" si="32"/>
        <v>2.38</v>
      </c>
      <c r="EJ47" s="156">
        <f t="shared" si="182"/>
        <v>0</v>
      </c>
      <c r="EK47" s="137"/>
      <c r="EL47" s="13">
        <f t="shared" si="33"/>
        <v>34</v>
      </c>
      <c r="EM47" s="54">
        <f t="shared" si="260"/>
        <v>0</v>
      </c>
      <c r="EN47" s="70">
        <f t="shared" si="183"/>
        <v>0</v>
      </c>
      <c r="EO47" s="50">
        <f t="shared" si="34"/>
        <v>334</v>
      </c>
      <c r="EP47" s="103">
        <f t="shared" si="420"/>
        <v>0</v>
      </c>
      <c r="EQ47" s="63">
        <f t="shared" si="277"/>
        <v>334</v>
      </c>
      <c r="ER47" s="56">
        <f t="shared" si="35"/>
        <v>79</v>
      </c>
      <c r="ES47" s="103">
        <f t="shared" si="421"/>
        <v>0</v>
      </c>
      <c r="ET47" s="63">
        <f t="shared" si="165"/>
        <v>79</v>
      </c>
      <c r="EV47" s="120">
        <f t="shared" si="443"/>
        <v>16</v>
      </c>
      <c r="EW47" s="8">
        <f t="shared" si="422"/>
        <v>5</v>
      </c>
      <c r="EX47" s="434"/>
      <c r="EY47" s="32">
        <f t="shared" si="436"/>
        <v>0</v>
      </c>
      <c r="EZ47" s="53">
        <f t="shared" si="278"/>
        <v>0</v>
      </c>
      <c r="FA47" s="421"/>
      <c r="FB47" s="426"/>
      <c r="FC47" s="426"/>
      <c r="FD47" s="34">
        <f t="shared" si="214"/>
        <v>0</v>
      </c>
      <c r="FE47" s="34">
        <f t="shared" si="185"/>
        <v>0</v>
      </c>
      <c r="FF47" s="17">
        <f t="shared" si="36"/>
        <v>0.18</v>
      </c>
      <c r="FG47" s="166">
        <f t="shared" si="215"/>
        <v>0</v>
      </c>
      <c r="FH47" s="33">
        <f t="shared" si="37"/>
        <v>2.38</v>
      </c>
      <c r="FI47" s="156">
        <f t="shared" si="187"/>
        <v>0</v>
      </c>
      <c r="FJ47" s="137"/>
      <c r="FK47" s="13">
        <f t="shared" si="38"/>
        <v>34</v>
      </c>
      <c r="FL47" s="54">
        <f t="shared" si="261"/>
        <v>0</v>
      </c>
      <c r="FM47" s="70">
        <f t="shared" si="188"/>
        <v>0</v>
      </c>
      <c r="FN47" s="50">
        <f t="shared" si="39"/>
        <v>334</v>
      </c>
      <c r="FO47" s="103">
        <f t="shared" si="423"/>
        <v>0</v>
      </c>
      <c r="FP47" s="63">
        <f t="shared" si="279"/>
        <v>334</v>
      </c>
      <c r="FQ47" s="56">
        <f t="shared" si="40"/>
        <v>79</v>
      </c>
      <c r="FR47" s="103">
        <f t="shared" si="424"/>
        <v>0</v>
      </c>
      <c r="FS47" s="63">
        <f t="shared" si="166"/>
        <v>79</v>
      </c>
      <c r="FU47" s="120">
        <f t="shared" si="444"/>
        <v>16</v>
      </c>
      <c r="FV47" s="8">
        <f t="shared" si="425"/>
        <v>5</v>
      </c>
      <c r="FW47" s="434"/>
      <c r="FX47" s="32">
        <f t="shared" si="437"/>
        <v>0</v>
      </c>
      <c r="FY47" s="53">
        <f t="shared" si="280"/>
        <v>0</v>
      </c>
      <c r="FZ47" s="421"/>
      <c r="GA47" s="426"/>
      <c r="GB47" s="426"/>
      <c r="GC47" s="34">
        <f t="shared" si="217"/>
        <v>0</v>
      </c>
      <c r="GD47" s="34">
        <f t="shared" si="190"/>
        <v>0</v>
      </c>
      <c r="GE47" s="17">
        <f t="shared" si="41"/>
        <v>0.18</v>
      </c>
      <c r="GF47" s="166">
        <f t="shared" si="218"/>
        <v>0</v>
      </c>
      <c r="GG47" s="33">
        <f t="shared" si="42"/>
        <v>2.38</v>
      </c>
      <c r="GH47" s="156">
        <f t="shared" si="192"/>
        <v>0</v>
      </c>
      <c r="GI47" s="137"/>
      <c r="GJ47" s="13">
        <f t="shared" si="43"/>
        <v>34</v>
      </c>
      <c r="GK47" s="54">
        <f t="shared" si="262"/>
        <v>0</v>
      </c>
      <c r="GL47" s="70">
        <f t="shared" si="193"/>
        <v>0</v>
      </c>
      <c r="GM47" s="50">
        <f t="shared" si="44"/>
        <v>334</v>
      </c>
      <c r="GN47" s="103">
        <f t="shared" si="426"/>
        <v>0</v>
      </c>
      <c r="GO47" s="63">
        <f t="shared" si="281"/>
        <v>334</v>
      </c>
      <c r="GP47" s="56">
        <f t="shared" si="45"/>
        <v>79</v>
      </c>
      <c r="GQ47" s="103">
        <f t="shared" si="427"/>
        <v>0</v>
      </c>
      <c r="GR47" s="63">
        <f t="shared" si="167"/>
        <v>79</v>
      </c>
      <c r="GT47" s="120">
        <f t="shared" si="445"/>
        <v>16</v>
      </c>
      <c r="GU47" s="8">
        <f t="shared" si="428"/>
        <v>5</v>
      </c>
      <c r="GV47" s="434"/>
      <c r="GW47" s="32">
        <f t="shared" si="438"/>
        <v>0</v>
      </c>
      <c r="GX47" s="53">
        <f t="shared" si="282"/>
        <v>0</v>
      </c>
      <c r="GY47" s="421"/>
      <c r="GZ47" s="426"/>
      <c r="HA47" s="426"/>
      <c r="HB47" s="34">
        <f t="shared" si="220"/>
        <v>0</v>
      </c>
      <c r="HC47" s="34">
        <f t="shared" si="195"/>
        <v>0</v>
      </c>
      <c r="HD47" s="17">
        <f t="shared" si="46"/>
        <v>0.18</v>
      </c>
      <c r="HE47" s="166">
        <f t="shared" si="221"/>
        <v>0</v>
      </c>
      <c r="HF47" s="33">
        <f t="shared" si="47"/>
        <v>2.38</v>
      </c>
      <c r="HG47" s="156">
        <f t="shared" si="197"/>
        <v>0</v>
      </c>
      <c r="HH47" s="137"/>
      <c r="HI47" s="13">
        <f t="shared" si="48"/>
        <v>34</v>
      </c>
      <c r="HJ47" s="54">
        <f t="shared" si="263"/>
        <v>0</v>
      </c>
      <c r="HK47" s="70">
        <f t="shared" si="198"/>
        <v>0</v>
      </c>
      <c r="HL47" s="50">
        <f t="shared" si="49"/>
        <v>334</v>
      </c>
      <c r="HM47" s="103">
        <f t="shared" si="429"/>
        <v>0</v>
      </c>
      <c r="HN47" s="63">
        <f t="shared" si="283"/>
        <v>334</v>
      </c>
      <c r="HO47" s="56">
        <f t="shared" si="50"/>
        <v>79</v>
      </c>
      <c r="HP47" s="103">
        <f t="shared" si="430"/>
        <v>0</v>
      </c>
      <c r="HQ47" s="63">
        <f t="shared" si="168"/>
        <v>79</v>
      </c>
    </row>
    <row r="48" spans="1:225" ht="17.25" thickBot="1" x14ac:dyDescent="0.3">
      <c r="B48" s="118">
        <v>6</v>
      </c>
      <c r="C48" s="575">
        <v>6</v>
      </c>
      <c r="D48" s="129"/>
      <c r="E48" s="400">
        <f t="shared" si="223"/>
        <v>96885</v>
      </c>
      <c r="F48" s="561">
        <f t="shared" si="0"/>
        <v>96727</v>
      </c>
      <c r="G48" s="130"/>
      <c r="H48" s="131">
        <v>158</v>
      </c>
      <c r="I48" s="131"/>
      <c r="J48" s="11">
        <f t="shared" si="200"/>
        <v>158</v>
      </c>
      <c r="K48" s="11">
        <f>K47+J48</f>
        <v>4538</v>
      </c>
      <c r="L48" s="11">
        <f t="shared" si="1"/>
        <v>0.18</v>
      </c>
      <c r="M48" s="42">
        <f t="shared" si="85"/>
        <v>0.16307994013521185</v>
      </c>
      <c r="N48" s="21">
        <f t="shared" si="2"/>
        <v>2.56</v>
      </c>
      <c r="O48" s="132">
        <f>IFERROR((K48*100)/$D$12,0)</f>
        <v>3.3646467417496462</v>
      </c>
      <c r="P48" s="158">
        <v>3276</v>
      </c>
      <c r="Q48" s="11">
        <f t="shared" si="3"/>
        <v>38</v>
      </c>
      <c r="R48" s="441">
        <f t="shared" si="394"/>
        <v>33.813283790060375</v>
      </c>
      <c r="S48" s="469">
        <f t="shared" si="201"/>
        <v>851.35697156340859</v>
      </c>
      <c r="T48" s="58">
        <f t="shared" si="5"/>
        <v>425</v>
      </c>
      <c r="U48" s="131">
        <v>450</v>
      </c>
      <c r="V48" s="41">
        <f t="shared" si="55"/>
        <v>-25</v>
      </c>
      <c r="W48" s="18">
        <f t="shared" si="395"/>
        <v>79</v>
      </c>
      <c r="X48" s="131">
        <v>49</v>
      </c>
      <c r="Y48" s="41">
        <f t="shared" si="56"/>
        <v>30</v>
      </c>
      <c r="Z48" s="487"/>
      <c r="AA48" s="118">
        <v>6</v>
      </c>
      <c r="AB48" s="9">
        <v>6</v>
      </c>
      <c r="AC48" s="129"/>
      <c r="AD48" s="43">
        <f>IFERROR(AE47+AC48,0)</f>
        <v>87821</v>
      </c>
      <c r="AE48" s="44">
        <f>IFERROR(AD48-AI48,0)</f>
        <v>87786</v>
      </c>
      <c r="AF48" s="130"/>
      <c r="AG48" s="131">
        <v>35</v>
      </c>
      <c r="AH48" s="131"/>
      <c r="AI48" s="11">
        <f t="shared" si="203"/>
        <v>35</v>
      </c>
      <c r="AJ48" s="11">
        <f t="shared" si="321"/>
        <v>5113</v>
      </c>
      <c r="AK48" s="16">
        <f t="shared" si="8"/>
        <v>0.18</v>
      </c>
      <c r="AL48" s="153">
        <f t="shared" si="58"/>
        <v>3.9853793511802418E-2</v>
      </c>
      <c r="AM48" s="154">
        <f t="shared" si="9"/>
        <v>2.56</v>
      </c>
      <c r="AN48" s="157">
        <f t="shared" si="169"/>
        <v>3.3379902856844414</v>
      </c>
      <c r="AO48" s="130">
        <v>3003</v>
      </c>
      <c r="AP48" s="17">
        <f t="shared" si="10"/>
        <v>38</v>
      </c>
      <c r="AQ48" s="441">
        <f t="shared" si="59"/>
        <v>34.194554833126475</v>
      </c>
      <c r="AR48" s="469">
        <f t="shared" si="323"/>
        <v>848.34671067223201</v>
      </c>
      <c r="AS48" s="58">
        <f t="shared" si="11"/>
        <v>425</v>
      </c>
      <c r="AT48" s="131">
        <v>403</v>
      </c>
      <c r="AU48" s="41">
        <f t="shared" si="271"/>
        <v>22</v>
      </c>
      <c r="AV48" s="18">
        <f t="shared" si="12"/>
        <v>79</v>
      </c>
      <c r="AW48" s="131">
        <v>66</v>
      </c>
      <c r="AX48" s="41">
        <f t="shared" si="170"/>
        <v>13</v>
      </c>
      <c r="AZ48" s="118">
        <v>6</v>
      </c>
      <c r="BA48" s="9">
        <v>6</v>
      </c>
      <c r="BB48" s="129"/>
      <c r="BC48" s="43">
        <f t="shared" si="403"/>
        <v>93506</v>
      </c>
      <c r="BD48" s="44">
        <f t="shared" si="325"/>
        <v>93466</v>
      </c>
      <c r="BE48" s="130"/>
      <c r="BF48" s="131">
        <v>40</v>
      </c>
      <c r="BG48" s="131"/>
      <c r="BH48" s="11">
        <f t="shared" si="204"/>
        <v>40</v>
      </c>
      <c r="BI48" s="11">
        <f t="shared" si="294"/>
        <v>406</v>
      </c>
      <c r="BJ48" s="16">
        <f t="shared" si="14"/>
        <v>0.18</v>
      </c>
      <c r="BK48" s="42">
        <f t="shared" si="92"/>
        <v>4.2778003550574296E-2</v>
      </c>
      <c r="BL48" s="154">
        <f t="shared" si="15"/>
        <v>2.56</v>
      </c>
      <c r="BM48" s="132">
        <f t="shared" si="326"/>
        <v>0.56862745098039214</v>
      </c>
      <c r="BN48" s="130">
        <v>2730</v>
      </c>
      <c r="BO48" s="11">
        <f t="shared" si="17"/>
        <v>38</v>
      </c>
      <c r="BP48" s="441">
        <f t="shared" si="93"/>
        <v>29.195987423266956</v>
      </c>
      <c r="BQ48" s="746">
        <f t="shared" si="137"/>
        <v>769.21423027647847</v>
      </c>
      <c r="BR48" s="58">
        <f t="shared" si="18"/>
        <v>425</v>
      </c>
      <c r="BS48" s="131">
        <v>400</v>
      </c>
      <c r="BT48" s="41">
        <f t="shared" si="272"/>
        <v>25</v>
      </c>
      <c r="BU48" s="18">
        <f t="shared" si="20"/>
        <v>79</v>
      </c>
      <c r="BV48" s="131">
        <v>58</v>
      </c>
      <c r="BW48" s="41">
        <f t="shared" si="171"/>
        <v>21</v>
      </c>
      <c r="BY48" s="118">
        <v>17</v>
      </c>
      <c r="BZ48" s="9">
        <v>6</v>
      </c>
      <c r="CA48" s="396"/>
      <c r="CB48" s="11">
        <f t="shared" si="172"/>
        <v>0</v>
      </c>
      <c r="CC48" s="41">
        <f t="shared" si="205"/>
        <v>0</v>
      </c>
      <c r="CD48" s="398"/>
      <c r="CE48" s="399"/>
      <c r="CF48" s="399"/>
      <c r="CG48" s="11">
        <f t="shared" si="206"/>
        <v>0</v>
      </c>
      <c r="CH48" s="11">
        <f t="shared" si="173"/>
        <v>0</v>
      </c>
      <c r="CI48" s="16">
        <f t="shared" si="21"/>
        <v>0.18</v>
      </c>
      <c r="CJ48" s="231">
        <f t="shared" si="97"/>
        <v>0</v>
      </c>
      <c r="CK48" s="154">
        <f t="shared" si="22"/>
        <v>2.56</v>
      </c>
      <c r="CL48" s="155">
        <f t="shared" si="140"/>
        <v>0</v>
      </c>
      <c r="CM48" s="130"/>
      <c r="CN48" s="11">
        <f t="shared" si="23"/>
        <v>38</v>
      </c>
      <c r="CO48" s="60">
        <f t="shared" si="141"/>
        <v>0</v>
      </c>
      <c r="CP48" s="377">
        <f t="shared" si="98"/>
        <v>0</v>
      </c>
      <c r="CQ48" s="58">
        <f t="shared" si="24"/>
        <v>425</v>
      </c>
      <c r="CR48" s="131"/>
      <c r="CS48" s="41">
        <f t="shared" si="273"/>
        <v>425</v>
      </c>
      <c r="CT48" s="18">
        <f t="shared" si="25"/>
        <v>79</v>
      </c>
      <c r="CU48" s="131"/>
      <c r="CV48" s="41">
        <f t="shared" si="67"/>
        <v>79</v>
      </c>
      <c r="CX48" s="118">
        <v>17</v>
      </c>
      <c r="CY48" s="9">
        <v>6</v>
      </c>
      <c r="CZ48" s="396"/>
      <c r="DA48" s="11">
        <f t="shared" si="434"/>
        <v>0</v>
      </c>
      <c r="DB48" s="41">
        <f t="shared" si="274"/>
        <v>0</v>
      </c>
      <c r="DC48" s="398"/>
      <c r="DD48" s="399"/>
      <c r="DE48" s="399"/>
      <c r="DF48" s="11">
        <f t="shared" si="208"/>
        <v>0</v>
      </c>
      <c r="DG48" s="11">
        <f t="shared" si="175"/>
        <v>0</v>
      </c>
      <c r="DH48" s="16">
        <f t="shared" si="26"/>
        <v>0.18</v>
      </c>
      <c r="DI48" s="231">
        <f t="shared" si="209"/>
        <v>0</v>
      </c>
      <c r="DJ48" s="154">
        <f t="shared" si="27"/>
        <v>2.56</v>
      </c>
      <c r="DK48" s="155">
        <f t="shared" si="177"/>
        <v>0</v>
      </c>
      <c r="DL48" s="130"/>
      <c r="DM48" s="11">
        <f t="shared" si="28"/>
        <v>38</v>
      </c>
      <c r="DN48" s="60">
        <f t="shared" si="259"/>
        <v>0</v>
      </c>
      <c r="DO48" s="377">
        <f t="shared" si="178"/>
        <v>0</v>
      </c>
      <c r="DP48" s="58">
        <f t="shared" si="29"/>
        <v>425</v>
      </c>
      <c r="DQ48" s="131"/>
      <c r="DR48" s="41">
        <f t="shared" si="275"/>
        <v>425</v>
      </c>
      <c r="DS48" s="18">
        <f t="shared" si="30"/>
        <v>79</v>
      </c>
      <c r="DT48" s="131"/>
      <c r="DU48" s="41">
        <f t="shared" si="164"/>
        <v>79</v>
      </c>
      <c r="DW48" s="118">
        <v>17</v>
      </c>
      <c r="DX48" s="9">
        <v>6</v>
      </c>
      <c r="DY48" s="396"/>
      <c r="DZ48" s="11">
        <f t="shared" si="435"/>
        <v>0</v>
      </c>
      <c r="EA48" s="41">
        <f t="shared" si="276"/>
        <v>0</v>
      </c>
      <c r="EB48" s="398"/>
      <c r="EC48" s="399"/>
      <c r="ED48" s="399"/>
      <c r="EE48" s="11">
        <f t="shared" si="211"/>
        <v>0</v>
      </c>
      <c r="EF48" s="11">
        <f t="shared" si="180"/>
        <v>0</v>
      </c>
      <c r="EG48" s="16">
        <f t="shared" si="31"/>
        <v>0.18</v>
      </c>
      <c r="EH48" s="231">
        <f t="shared" si="212"/>
        <v>0</v>
      </c>
      <c r="EI48" s="154">
        <f t="shared" si="32"/>
        <v>2.56</v>
      </c>
      <c r="EJ48" s="155">
        <f t="shared" si="182"/>
        <v>0</v>
      </c>
      <c r="EK48" s="130"/>
      <c r="EL48" s="11">
        <f t="shared" si="33"/>
        <v>38</v>
      </c>
      <c r="EM48" s="60">
        <f t="shared" si="260"/>
        <v>0</v>
      </c>
      <c r="EN48" s="377">
        <f t="shared" si="183"/>
        <v>0</v>
      </c>
      <c r="EO48" s="58">
        <f t="shared" si="34"/>
        <v>425</v>
      </c>
      <c r="EP48" s="131"/>
      <c r="EQ48" s="41">
        <f t="shared" si="277"/>
        <v>425</v>
      </c>
      <c r="ER48" s="18">
        <f t="shared" si="35"/>
        <v>79</v>
      </c>
      <c r="ES48" s="131"/>
      <c r="ET48" s="41">
        <f t="shared" si="165"/>
        <v>79</v>
      </c>
      <c r="EV48" s="118">
        <v>17</v>
      </c>
      <c r="EW48" s="9">
        <v>6</v>
      </c>
      <c r="EX48" s="396"/>
      <c r="EY48" s="11">
        <f t="shared" si="436"/>
        <v>0</v>
      </c>
      <c r="EZ48" s="41">
        <f t="shared" si="278"/>
        <v>0</v>
      </c>
      <c r="FA48" s="398"/>
      <c r="FB48" s="399"/>
      <c r="FC48" s="399"/>
      <c r="FD48" s="11">
        <f t="shared" si="214"/>
        <v>0</v>
      </c>
      <c r="FE48" s="11">
        <f t="shared" si="185"/>
        <v>0</v>
      </c>
      <c r="FF48" s="16">
        <f t="shared" si="36"/>
        <v>0.18</v>
      </c>
      <c r="FG48" s="231">
        <f t="shared" si="215"/>
        <v>0</v>
      </c>
      <c r="FH48" s="154">
        <f t="shared" si="37"/>
        <v>2.56</v>
      </c>
      <c r="FI48" s="155">
        <f t="shared" si="187"/>
        <v>0</v>
      </c>
      <c r="FJ48" s="130"/>
      <c r="FK48" s="11">
        <f t="shared" si="38"/>
        <v>38</v>
      </c>
      <c r="FL48" s="60">
        <f t="shared" si="261"/>
        <v>0</v>
      </c>
      <c r="FM48" s="377">
        <f t="shared" si="188"/>
        <v>0</v>
      </c>
      <c r="FN48" s="58">
        <f t="shared" si="39"/>
        <v>425</v>
      </c>
      <c r="FO48" s="131"/>
      <c r="FP48" s="41">
        <f t="shared" si="279"/>
        <v>425</v>
      </c>
      <c r="FQ48" s="18">
        <f t="shared" si="40"/>
        <v>79</v>
      </c>
      <c r="FR48" s="131"/>
      <c r="FS48" s="41">
        <f t="shared" si="166"/>
        <v>79</v>
      </c>
      <c r="FU48" s="118">
        <v>17</v>
      </c>
      <c r="FV48" s="9">
        <v>6</v>
      </c>
      <c r="FW48" s="396"/>
      <c r="FX48" s="11">
        <f t="shared" si="437"/>
        <v>0</v>
      </c>
      <c r="FY48" s="41">
        <f t="shared" si="280"/>
        <v>0</v>
      </c>
      <c r="FZ48" s="398"/>
      <c r="GA48" s="399"/>
      <c r="GB48" s="399"/>
      <c r="GC48" s="11">
        <f t="shared" si="217"/>
        <v>0</v>
      </c>
      <c r="GD48" s="11">
        <f t="shared" si="190"/>
        <v>0</v>
      </c>
      <c r="GE48" s="16">
        <f t="shared" si="41"/>
        <v>0.18</v>
      </c>
      <c r="GF48" s="231">
        <f t="shared" si="218"/>
        <v>0</v>
      </c>
      <c r="GG48" s="154">
        <f t="shared" si="42"/>
        <v>2.56</v>
      </c>
      <c r="GH48" s="155">
        <f t="shared" si="192"/>
        <v>0</v>
      </c>
      <c r="GI48" s="130"/>
      <c r="GJ48" s="11">
        <f t="shared" si="43"/>
        <v>38</v>
      </c>
      <c r="GK48" s="60">
        <f t="shared" si="262"/>
        <v>0</v>
      </c>
      <c r="GL48" s="377">
        <f t="shared" si="193"/>
        <v>0</v>
      </c>
      <c r="GM48" s="58">
        <f t="shared" si="44"/>
        <v>425</v>
      </c>
      <c r="GN48" s="131"/>
      <c r="GO48" s="41">
        <f t="shared" si="281"/>
        <v>425</v>
      </c>
      <c r="GP48" s="18">
        <f t="shared" si="45"/>
        <v>79</v>
      </c>
      <c r="GQ48" s="131"/>
      <c r="GR48" s="41">
        <f t="shared" si="167"/>
        <v>79</v>
      </c>
      <c r="GT48" s="118">
        <v>17</v>
      </c>
      <c r="GU48" s="9">
        <v>6</v>
      </c>
      <c r="GV48" s="396"/>
      <c r="GW48" s="11">
        <f t="shared" si="438"/>
        <v>0</v>
      </c>
      <c r="GX48" s="41">
        <f t="shared" si="282"/>
        <v>0</v>
      </c>
      <c r="GY48" s="398"/>
      <c r="GZ48" s="399"/>
      <c r="HA48" s="399"/>
      <c r="HB48" s="11">
        <f t="shared" si="220"/>
        <v>0</v>
      </c>
      <c r="HC48" s="11">
        <f t="shared" si="195"/>
        <v>0</v>
      </c>
      <c r="HD48" s="16">
        <f t="shared" si="46"/>
        <v>0.18</v>
      </c>
      <c r="HE48" s="231">
        <f t="shared" si="221"/>
        <v>0</v>
      </c>
      <c r="HF48" s="154">
        <f t="shared" si="47"/>
        <v>2.56</v>
      </c>
      <c r="HG48" s="155">
        <f t="shared" si="197"/>
        <v>0</v>
      </c>
      <c r="HH48" s="130"/>
      <c r="HI48" s="11">
        <f t="shared" si="48"/>
        <v>38</v>
      </c>
      <c r="HJ48" s="60">
        <f t="shared" si="263"/>
        <v>0</v>
      </c>
      <c r="HK48" s="377">
        <f t="shared" si="198"/>
        <v>0</v>
      </c>
      <c r="HL48" s="58">
        <f t="shared" si="49"/>
        <v>425</v>
      </c>
      <c r="HM48" s="131"/>
      <c r="HN48" s="41">
        <f t="shared" si="283"/>
        <v>425</v>
      </c>
      <c r="HO48" s="18">
        <f t="shared" si="50"/>
        <v>79</v>
      </c>
      <c r="HP48" s="131"/>
      <c r="HQ48" s="41">
        <f t="shared" si="168"/>
        <v>79</v>
      </c>
    </row>
    <row r="49" spans="1:225" ht="17.25" thickBot="1" x14ac:dyDescent="0.3">
      <c r="B49" s="120">
        <f>B48+1</f>
        <v>7</v>
      </c>
      <c r="C49" s="570">
        <f>C48</f>
        <v>6</v>
      </c>
      <c r="D49" s="133"/>
      <c r="E49" s="408">
        <f t="shared" si="223"/>
        <v>96727</v>
      </c>
      <c r="F49" s="562">
        <f t="shared" si="0"/>
        <v>96633</v>
      </c>
      <c r="G49" s="134"/>
      <c r="H49" s="135">
        <v>94</v>
      </c>
      <c r="I49" s="135"/>
      <c r="J49" s="14">
        <f t="shared" si="200"/>
        <v>94</v>
      </c>
      <c r="K49" s="14">
        <f t="shared" si="52"/>
        <v>4632</v>
      </c>
      <c r="L49" s="14">
        <f t="shared" si="1"/>
        <v>0.18</v>
      </c>
      <c r="M49" s="47">
        <f t="shared" si="85"/>
        <v>9.7180725133623497E-2</v>
      </c>
      <c r="N49" s="35">
        <f t="shared" si="2"/>
        <v>2.56</v>
      </c>
      <c r="O49" s="132">
        <f t="shared" si="53"/>
        <v>3.4343419364884</v>
      </c>
      <c r="P49" s="142">
        <v>2184</v>
      </c>
      <c r="Q49" s="14">
        <f t="shared" si="3"/>
        <v>38</v>
      </c>
      <c r="R49" s="442">
        <f t="shared" si="394"/>
        <v>22.579011031046139</v>
      </c>
      <c r="S49" s="470">
        <f t="shared" si="201"/>
        <v>873.93598259445469</v>
      </c>
      <c r="T49" s="51">
        <f t="shared" si="5"/>
        <v>425</v>
      </c>
      <c r="U49" s="103">
        <f>U48</f>
        <v>450</v>
      </c>
      <c r="V49" s="46">
        <f t="shared" si="55"/>
        <v>-25</v>
      </c>
      <c r="W49" s="50">
        <f t="shared" si="395"/>
        <v>79</v>
      </c>
      <c r="X49" s="103">
        <f>X48</f>
        <v>49</v>
      </c>
      <c r="Y49" s="46">
        <f t="shared" si="56"/>
        <v>30</v>
      </c>
      <c r="Z49" s="487"/>
      <c r="AA49" s="120">
        <f>AA48+1</f>
        <v>7</v>
      </c>
      <c r="AB49" s="7">
        <f>AB48</f>
        <v>6</v>
      </c>
      <c r="AC49" s="133"/>
      <c r="AD49" s="48">
        <f t="shared" ref="AD49" si="446">IFERROR(AE48+AC49,0)</f>
        <v>87786</v>
      </c>
      <c r="AE49" s="49">
        <f>IFERROR(AD49-AI49,0)</f>
        <v>87729</v>
      </c>
      <c r="AF49" s="134"/>
      <c r="AG49" s="135">
        <v>57</v>
      </c>
      <c r="AH49" s="135"/>
      <c r="AI49" s="14">
        <f t="shared" si="203"/>
        <v>57</v>
      </c>
      <c r="AJ49" s="14">
        <f t="shared" si="321"/>
        <v>5170</v>
      </c>
      <c r="AK49" s="14">
        <f t="shared" si="8"/>
        <v>0.18</v>
      </c>
      <c r="AL49" s="230">
        <f t="shared" si="58"/>
        <v>6.4930626751418224E-2</v>
      </c>
      <c r="AM49" s="35">
        <f t="shared" si="9"/>
        <v>2.56</v>
      </c>
      <c r="AN49" s="157">
        <f t="shared" si="169"/>
        <v>3.375202381574137</v>
      </c>
      <c r="AO49" s="142">
        <v>2730</v>
      </c>
      <c r="AP49" s="14">
        <f t="shared" si="10"/>
        <v>38</v>
      </c>
      <c r="AQ49" s="480">
        <f t="shared" si="59"/>
        <v>31.098352812521359</v>
      </c>
      <c r="AR49" s="470">
        <f t="shared" si="323"/>
        <v>879.4450634847534</v>
      </c>
      <c r="AS49" s="51">
        <f t="shared" si="11"/>
        <v>425</v>
      </c>
      <c r="AT49" s="103">
        <f>AT48</f>
        <v>403</v>
      </c>
      <c r="AU49" s="46">
        <f t="shared" si="271"/>
        <v>22</v>
      </c>
      <c r="AV49" s="50">
        <f t="shared" si="12"/>
        <v>79</v>
      </c>
      <c r="AW49" s="103">
        <f>AW48</f>
        <v>66</v>
      </c>
      <c r="AX49" s="46">
        <f t="shared" si="170"/>
        <v>13</v>
      </c>
      <c r="AZ49" s="120">
        <f>AZ48+1</f>
        <v>7</v>
      </c>
      <c r="BA49" s="7">
        <f>BA48</f>
        <v>6</v>
      </c>
      <c r="BB49" s="133"/>
      <c r="BC49" s="48">
        <f t="shared" si="403"/>
        <v>93466</v>
      </c>
      <c r="BD49" s="49">
        <f>IFERROR(BC49-BH49,0)</f>
        <v>93408</v>
      </c>
      <c r="BE49" s="134"/>
      <c r="BF49" s="135">
        <v>58</v>
      </c>
      <c r="BG49" s="135"/>
      <c r="BH49" s="14">
        <f t="shared" si="204"/>
        <v>58</v>
      </c>
      <c r="BI49" s="14">
        <f t="shared" si="294"/>
        <v>464</v>
      </c>
      <c r="BJ49" s="14">
        <f t="shared" si="14"/>
        <v>0.18</v>
      </c>
      <c r="BK49" s="47">
        <f t="shared" si="92"/>
        <v>6.2054650889093357E-2</v>
      </c>
      <c r="BL49" s="35">
        <f t="shared" si="15"/>
        <v>2.56</v>
      </c>
      <c r="BM49" s="132">
        <f t="shared" si="326"/>
        <v>0.64985994397759106</v>
      </c>
      <c r="BN49" s="142">
        <v>4095</v>
      </c>
      <c r="BO49" s="14">
        <f t="shared" si="17"/>
        <v>38</v>
      </c>
      <c r="BP49" s="442">
        <f t="shared" si="93"/>
        <v>43.812723343247811</v>
      </c>
      <c r="BQ49" s="747">
        <f t="shared" si="137"/>
        <v>813.02695361972633</v>
      </c>
      <c r="BR49" s="51">
        <f t="shared" si="18"/>
        <v>425</v>
      </c>
      <c r="BS49" s="103">
        <f>BS48</f>
        <v>400</v>
      </c>
      <c r="BT49" s="46">
        <f t="shared" si="272"/>
        <v>25</v>
      </c>
      <c r="BU49" s="50">
        <f t="shared" si="20"/>
        <v>79</v>
      </c>
      <c r="BV49" s="103">
        <f>BV48</f>
        <v>58</v>
      </c>
      <c r="BW49" s="46">
        <f t="shared" si="171"/>
        <v>21</v>
      </c>
      <c r="BY49" s="120">
        <f>BY48+1</f>
        <v>18</v>
      </c>
      <c r="BZ49" s="7">
        <f>BZ48</f>
        <v>6</v>
      </c>
      <c r="CA49" s="133"/>
      <c r="CB49" s="14">
        <f t="shared" si="172"/>
        <v>0</v>
      </c>
      <c r="CC49" s="46">
        <f t="shared" si="205"/>
        <v>0</v>
      </c>
      <c r="CD49" s="405"/>
      <c r="CE49" s="406"/>
      <c r="CF49" s="406"/>
      <c r="CG49" s="14">
        <f t="shared" si="206"/>
        <v>0</v>
      </c>
      <c r="CH49" s="14">
        <f t="shared" si="173"/>
        <v>0</v>
      </c>
      <c r="CI49" s="14">
        <f t="shared" si="21"/>
        <v>0.18</v>
      </c>
      <c r="CJ49" s="47">
        <f t="shared" si="97"/>
        <v>0</v>
      </c>
      <c r="CK49" s="35">
        <f t="shared" si="22"/>
        <v>2.56</v>
      </c>
      <c r="CL49" s="157">
        <f t="shared" si="140"/>
        <v>0</v>
      </c>
      <c r="CM49" s="142"/>
      <c r="CN49" s="14">
        <f t="shared" si="23"/>
        <v>38</v>
      </c>
      <c r="CO49" s="48">
        <f t="shared" si="141"/>
        <v>0</v>
      </c>
      <c r="CP49" s="68">
        <f t="shared" si="98"/>
        <v>0</v>
      </c>
      <c r="CQ49" s="51">
        <f t="shared" si="24"/>
        <v>425</v>
      </c>
      <c r="CR49" s="103">
        <f>CR48</f>
        <v>0</v>
      </c>
      <c r="CS49" s="46">
        <f t="shared" si="273"/>
        <v>425</v>
      </c>
      <c r="CT49" s="50">
        <f t="shared" si="25"/>
        <v>79</v>
      </c>
      <c r="CU49" s="103">
        <f>CU48</f>
        <v>0</v>
      </c>
      <c r="CV49" s="46">
        <f t="shared" si="67"/>
        <v>79</v>
      </c>
      <c r="CX49" s="120">
        <f>CX48+1</f>
        <v>18</v>
      </c>
      <c r="CY49" s="7">
        <f>CY48</f>
        <v>6</v>
      </c>
      <c r="CZ49" s="133"/>
      <c r="DA49" s="14">
        <f t="shared" si="434"/>
        <v>0</v>
      </c>
      <c r="DB49" s="46">
        <f t="shared" si="274"/>
        <v>0</v>
      </c>
      <c r="DC49" s="405"/>
      <c r="DD49" s="406"/>
      <c r="DE49" s="406"/>
      <c r="DF49" s="14">
        <f t="shared" si="208"/>
        <v>0</v>
      </c>
      <c r="DG49" s="14">
        <f t="shared" si="175"/>
        <v>0</v>
      </c>
      <c r="DH49" s="14">
        <f t="shared" si="26"/>
        <v>0.18</v>
      </c>
      <c r="DI49" s="47">
        <f t="shared" si="209"/>
        <v>0</v>
      </c>
      <c r="DJ49" s="35">
        <f t="shared" si="27"/>
        <v>2.56</v>
      </c>
      <c r="DK49" s="157">
        <f t="shared" si="177"/>
        <v>0</v>
      </c>
      <c r="DL49" s="142"/>
      <c r="DM49" s="14">
        <f t="shared" si="28"/>
        <v>38</v>
      </c>
      <c r="DN49" s="48">
        <f t="shared" si="259"/>
        <v>0</v>
      </c>
      <c r="DO49" s="68">
        <f t="shared" si="178"/>
        <v>0</v>
      </c>
      <c r="DP49" s="51">
        <f t="shared" si="29"/>
        <v>425</v>
      </c>
      <c r="DQ49" s="103">
        <f>DQ48</f>
        <v>0</v>
      </c>
      <c r="DR49" s="46">
        <f t="shared" si="275"/>
        <v>425</v>
      </c>
      <c r="DS49" s="50">
        <f t="shared" si="30"/>
        <v>79</v>
      </c>
      <c r="DT49" s="103">
        <f>DT48</f>
        <v>0</v>
      </c>
      <c r="DU49" s="46">
        <f t="shared" si="164"/>
        <v>79</v>
      </c>
      <c r="DW49" s="120">
        <f>DW48+1</f>
        <v>18</v>
      </c>
      <c r="DX49" s="7">
        <f>DX48</f>
        <v>6</v>
      </c>
      <c r="DY49" s="133"/>
      <c r="DZ49" s="14">
        <f t="shared" si="435"/>
        <v>0</v>
      </c>
      <c r="EA49" s="46">
        <f t="shared" si="276"/>
        <v>0</v>
      </c>
      <c r="EB49" s="405"/>
      <c r="EC49" s="406"/>
      <c r="ED49" s="406"/>
      <c r="EE49" s="14">
        <f t="shared" si="211"/>
        <v>0</v>
      </c>
      <c r="EF49" s="14">
        <f t="shared" si="180"/>
        <v>0</v>
      </c>
      <c r="EG49" s="14">
        <f t="shared" si="31"/>
        <v>0.18</v>
      </c>
      <c r="EH49" s="47">
        <f t="shared" si="212"/>
        <v>0</v>
      </c>
      <c r="EI49" s="35">
        <f t="shared" si="32"/>
        <v>2.56</v>
      </c>
      <c r="EJ49" s="157">
        <f t="shared" si="182"/>
        <v>0</v>
      </c>
      <c r="EK49" s="142"/>
      <c r="EL49" s="14">
        <f t="shared" si="33"/>
        <v>38</v>
      </c>
      <c r="EM49" s="48">
        <f t="shared" si="260"/>
        <v>0</v>
      </c>
      <c r="EN49" s="68">
        <f t="shared" si="183"/>
        <v>0</v>
      </c>
      <c r="EO49" s="51">
        <f t="shared" si="34"/>
        <v>425</v>
      </c>
      <c r="EP49" s="103">
        <f>EP48</f>
        <v>0</v>
      </c>
      <c r="EQ49" s="46">
        <f t="shared" si="277"/>
        <v>425</v>
      </c>
      <c r="ER49" s="50">
        <f t="shared" si="35"/>
        <v>79</v>
      </c>
      <c r="ES49" s="103">
        <f>ES48</f>
        <v>0</v>
      </c>
      <c r="ET49" s="46">
        <f t="shared" si="165"/>
        <v>79</v>
      </c>
      <c r="EV49" s="120">
        <f>EV48+1</f>
        <v>18</v>
      </c>
      <c r="EW49" s="7">
        <f>EW48</f>
        <v>6</v>
      </c>
      <c r="EX49" s="133"/>
      <c r="EY49" s="14">
        <f t="shared" si="436"/>
        <v>0</v>
      </c>
      <c r="EZ49" s="46">
        <f t="shared" si="278"/>
        <v>0</v>
      </c>
      <c r="FA49" s="405"/>
      <c r="FB49" s="406"/>
      <c r="FC49" s="406"/>
      <c r="FD49" s="14">
        <f t="shared" si="214"/>
        <v>0</v>
      </c>
      <c r="FE49" s="14">
        <f t="shared" si="185"/>
        <v>0</v>
      </c>
      <c r="FF49" s="14">
        <f t="shared" si="36"/>
        <v>0.18</v>
      </c>
      <c r="FG49" s="47">
        <f t="shared" si="215"/>
        <v>0</v>
      </c>
      <c r="FH49" s="35">
        <f t="shared" si="37"/>
        <v>2.56</v>
      </c>
      <c r="FI49" s="157">
        <f t="shared" si="187"/>
        <v>0</v>
      </c>
      <c r="FJ49" s="142"/>
      <c r="FK49" s="14">
        <f t="shared" si="38"/>
        <v>38</v>
      </c>
      <c r="FL49" s="48">
        <f t="shared" si="261"/>
        <v>0</v>
      </c>
      <c r="FM49" s="68">
        <f t="shared" si="188"/>
        <v>0</v>
      </c>
      <c r="FN49" s="51">
        <f t="shared" si="39"/>
        <v>425</v>
      </c>
      <c r="FO49" s="103">
        <f>FO48</f>
        <v>0</v>
      </c>
      <c r="FP49" s="46">
        <f t="shared" si="279"/>
        <v>425</v>
      </c>
      <c r="FQ49" s="50">
        <f t="shared" si="40"/>
        <v>79</v>
      </c>
      <c r="FR49" s="103">
        <f>FR48</f>
        <v>0</v>
      </c>
      <c r="FS49" s="46">
        <f t="shared" si="166"/>
        <v>79</v>
      </c>
      <c r="FU49" s="120">
        <f>FU48+1</f>
        <v>18</v>
      </c>
      <c r="FV49" s="7">
        <f>FV48</f>
        <v>6</v>
      </c>
      <c r="FW49" s="133"/>
      <c r="FX49" s="14">
        <f t="shared" si="437"/>
        <v>0</v>
      </c>
      <c r="FY49" s="46">
        <f t="shared" si="280"/>
        <v>0</v>
      </c>
      <c r="FZ49" s="405"/>
      <c r="GA49" s="406"/>
      <c r="GB49" s="406"/>
      <c r="GC49" s="14">
        <f t="shared" si="217"/>
        <v>0</v>
      </c>
      <c r="GD49" s="14">
        <f t="shared" si="190"/>
        <v>0</v>
      </c>
      <c r="GE49" s="14">
        <f t="shared" si="41"/>
        <v>0.18</v>
      </c>
      <c r="GF49" s="47">
        <f t="shared" si="218"/>
        <v>0</v>
      </c>
      <c r="GG49" s="35">
        <f t="shared" si="42"/>
        <v>2.56</v>
      </c>
      <c r="GH49" s="157">
        <f t="shared" si="192"/>
        <v>0</v>
      </c>
      <c r="GI49" s="142"/>
      <c r="GJ49" s="14">
        <f t="shared" si="43"/>
        <v>38</v>
      </c>
      <c r="GK49" s="48">
        <f t="shared" si="262"/>
        <v>0</v>
      </c>
      <c r="GL49" s="68">
        <f t="shared" si="193"/>
        <v>0</v>
      </c>
      <c r="GM49" s="51">
        <f t="shared" si="44"/>
        <v>425</v>
      </c>
      <c r="GN49" s="103">
        <f>GN48</f>
        <v>0</v>
      </c>
      <c r="GO49" s="46">
        <f t="shared" si="281"/>
        <v>425</v>
      </c>
      <c r="GP49" s="50">
        <f t="shared" si="45"/>
        <v>79</v>
      </c>
      <c r="GQ49" s="103">
        <f>GQ48</f>
        <v>0</v>
      </c>
      <c r="GR49" s="46">
        <f t="shared" si="167"/>
        <v>79</v>
      </c>
      <c r="GT49" s="120">
        <f>GT48+1</f>
        <v>18</v>
      </c>
      <c r="GU49" s="7">
        <f>GU48</f>
        <v>6</v>
      </c>
      <c r="GV49" s="133"/>
      <c r="GW49" s="14">
        <f t="shared" si="438"/>
        <v>0</v>
      </c>
      <c r="GX49" s="46">
        <f t="shared" si="282"/>
        <v>0</v>
      </c>
      <c r="GY49" s="405"/>
      <c r="GZ49" s="406"/>
      <c r="HA49" s="406"/>
      <c r="HB49" s="14">
        <f t="shared" si="220"/>
        <v>0</v>
      </c>
      <c r="HC49" s="14">
        <f t="shared" si="195"/>
        <v>0</v>
      </c>
      <c r="HD49" s="14">
        <f t="shared" si="46"/>
        <v>0.18</v>
      </c>
      <c r="HE49" s="47">
        <f t="shared" si="221"/>
        <v>0</v>
      </c>
      <c r="HF49" s="35">
        <f t="shared" si="47"/>
        <v>2.56</v>
      </c>
      <c r="HG49" s="157">
        <f t="shared" si="197"/>
        <v>0</v>
      </c>
      <c r="HH49" s="142"/>
      <c r="HI49" s="14">
        <f t="shared" si="48"/>
        <v>38</v>
      </c>
      <c r="HJ49" s="48">
        <f t="shared" si="263"/>
        <v>0</v>
      </c>
      <c r="HK49" s="68">
        <f t="shared" si="198"/>
        <v>0</v>
      </c>
      <c r="HL49" s="51">
        <f t="shared" si="49"/>
        <v>425</v>
      </c>
      <c r="HM49" s="103">
        <f>HM48</f>
        <v>0</v>
      </c>
      <c r="HN49" s="46">
        <f t="shared" si="283"/>
        <v>425</v>
      </c>
      <c r="HO49" s="50">
        <f t="shared" si="50"/>
        <v>79</v>
      </c>
      <c r="HP49" s="103">
        <f>HP48</f>
        <v>0</v>
      </c>
      <c r="HQ49" s="46">
        <f t="shared" si="168"/>
        <v>79</v>
      </c>
    </row>
    <row r="50" spans="1:225" ht="17.25" thickBot="1" x14ac:dyDescent="0.3">
      <c r="B50" s="120">
        <f t="shared" ref="B50:B54" si="447">B49+1</f>
        <v>8</v>
      </c>
      <c r="C50" s="570">
        <f t="shared" ref="C50:C61" si="448">C49</f>
        <v>6</v>
      </c>
      <c r="D50" s="133"/>
      <c r="E50" s="408">
        <f t="shared" si="223"/>
        <v>96633</v>
      </c>
      <c r="F50" s="562">
        <f t="shared" si="0"/>
        <v>96590</v>
      </c>
      <c r="G50" s="134"/>
      <c r="H50" s="135">
        <v>43</v>
      </c>
      <c r="I50" s="135"/>
      <c r="J50" s="14">
        <f t="shared" si="200"/>
        <v>43</v>
      </c>
      <c r="K50" s="14">
        <f t="shared" si="52"/>
        <v>4675</v>
      </c>
      <c r="L50" s="14">
        <f t="shared" si="1"/>
        <v>0.18</v>
      </c>
      <c r="M50" s="47">
        <f t="shared" si="85"/>
        <v>4.4498256289259359E-2</v>
      </c>
      <c r="N50" s="35">
        <f t="shared" si="2"/>
        <v>2.56</v>
      </c>
      <c r="O50" s="132">
        <f t="shared" si="53"/>
        <v>3.4662237808901706</v>
      </c>
      <c r="P50" s="142">
        <v>2730</v>
      </c>
      <c r="Q50" s="14">
        <f t="shared" si="3"/>
        <v>38</v>
      </c>
      <c r="R50" s="442">
        <f t="shared" si="394"/>
        <v>28.251218527832105</v>
      </c>
      <c r="S50" s="470">
        <f t="shared" si="201"/>
        <v>902.18720112228675</v>
      </c>
      <c r="T50" s="51">
        <f t="shared" si="5"/>
        <v>425</v>
      </c>
      <c r="U50" s="103">
        <f t="shared" ref="U50:U54" si="449">U49</f>
        <v>450</v>
      </c>
      <c r="V50" s="46">
        <f t="shared" si="55"/>
        <v>-25</v>
      </c>
      <c r="W50" s="50">
        <f t="shared" si="395"/>
        <v>79</v>
      </c>
      <c r="X50" s="103">
        <f t="shared" ref="X50:X54" si="450">X49</f>
        <v>49</v>
      </c>
      <c r="Y50" s="46">
        <f t="shared" si="56"/>
        <v>30</v>
      </c>
      <c r="Z50" s="487"/>
      <c r="AA50" s="120">
        <f t="shared" ref="AA50:AA54" si="451">AA49+1</f>
        <v>8</v>
      </c>
      <c r="AB50" s="7">
        <f t="shared" ref="AB50:AB61" si="452">AB49</f>
        <v>6</v>
      </c>
      <c r="AC50" s="133"/>
      <c r="AD50" s="48">
        <f>IFERROR(AE49+AC50,0)</f>
        <v>87729</v>
      </c>
      <c r="AE50" s="447">
        <f>IFERROR(AD50-AI50,0)</f>
        <v>87674</v>
      </c>
      <c r="AF50" s="134"/>
      <c r="AG50" s="135">
        <v>55</v>
      </c>
      <c r="AH50" s="135"/>
      <c r="AI50" s="14">
        <f t="shared" si="203"/>
        <v>55</v>
      </c>
      <c r="AJ50" s="14">
        <f t="shared" si="321"/>
        <v>5225</v>
      </c>
      <c r="AK50" s="14">
        <f t="shared" si="8"/>
        <v>0.18</v>
      </c>
      <c r="AL50" s="230">
        <f t="shared" si="58"/>
        <v>6.2693066146884149E-2</v>
      </c>
      <c r="AM50" s="35">
        <f t="shared" si="9"/>
        <v>2.56</v>
      </c>
      <c r="AN50" s="157">
        <f t="shared" si="169"/>
        <v>3.4111087898887553</v>
      </c>
      <c r="AO50" s="134">
        <v>1365</v>
      </c>
      <c r="AP50" s="14">
        <f t="shared" si="10"/>
        <v>38</v>
      </c>
      <c r="AQ50" s="482">
        <f t="shared" si="59"/>
        <v>15.559279143726705</v>
      </c>
      <c r="AR50" s="470">
        <f t="shared" si="323"/>
        <v>895.00434262848012</v>
      </c>
      <c r="AS50" s="51">
        <f t="shared" si="11"/>
        <v>425</v>
      </c>
      <c r="AT50" s="103">
        <f t="shared" ref="AT50:AT54" si="453">AT49</f>
        <v>403</v>
      </c>
      <c r="AU50" s="46">
        <f t="shared" si="271"/>
        <v>22</v>
      </c>
      <c r="AV50" s="50">
        <f t="shared" si="12"/>
        <v>79</v>
      </c>
      <c r="AW50" s="103">
        <f t="shared" ref="AW50:AW54" si="454">AW49</f>
        <v>66</v>
      </c>
      <c r="AX50" s="46">
        <f t="shared" si="170"/>
        <v>13</v>
      </c>
      <c r="AZ50" s="120">
        <f t="shared" ref="AZ50:AZ54" si="455">AZ49+1</f>
        <v>8</v>
      </c>
      <c r="BA50" s="7">
        <f t="shared" ref="BA50:BA61" si="456">BA49</f>
        <v>6</v>
      </c>
      <c r="BB50" s="133"/>
      <c r="BC50" s="48">
        <f t="shared" si="403"/>
        <v>93408</v>
      </c>
      <c r="BD50" s="447">
        <f>IFERROR(BC50-BH50,0)</f>
        <v>93342</v>
      </c>
      <c r="BE50" s="134"/>
      <c r="BF50" s="135">
        <v>66</v>
      </c>
      <c r="BG50" s="135"/>
      <c r="BH50" s="14">
        <f t="shared" si="204"/>
        <v>66</v>
      </c>
      <c r="BI50" s="14">
        <f t="shared" si="294"/>
        <v>530</v>
      </c>
      <c r="BJ50" s="14">
        <f t="shared" si="14"/>
        <v>0.18</v>
      </c>
      <c r="BK50" s="47">
        <f t="shared" si="92"/>
        <v>7.0657759506680365E-2</v>
      </c>
      <c r="BL50" s="35">
        <f t="shared" si="15"/>
        <v>2.56</v>
      </c>
      <c r="BM50" s="132">
        <f t="shared" si="326"/>
        <v>0.74229691876750703</v>
      </c>
      <c r="BN50" s="134">
        <v>4095</v>
      </c>
      <c r="BO50" s="14">
        <f t="shared" si="17"/>
        <v>38</v>
      </c>
      <c r="BP50" s="442">
        <f t="shared" si="93"/>
        <v>43.839928057553955</v>
      </c>
      <c r="BQ50" s="747">
        <f t="shared" si="137"/>
        <v>856.86688167728028</v>
      </c>
      <c r="BR50" s="51">
        <f t="shared" si="18"/>
        <v>425</v>
      </c>
      <c r="BS50" s="103">
        <f t="shared" ref="BS50:BS54" si="457">BS49</f>
        <v>400</v>
      </c>
      <c r="BT50" s="46">
        <f t="shared" si="272"/>
        <v>25</v>
      </c>
      <c r="BU50" s="50">
        <f t="shared" si="20"/>
        <v>79</v>
      </c>
      <c r="BV50" s="103">
        <f t="shared" ref="BV50:BV54" si="458">BV49</f>
        <v>58</v>
      </c>
      <c r="BW50" s="46">
        <f t="shared" si="171"/>
        <v>21</v>
      </c>
      <c r="BY50" s="120">
        <f t="shared" ref="BY50:BY54" si="459">BY49+1</f>
        <v>19</v>
      </c>
      <c r="BZ50" s="7">
        <f t="shared" ref="BZ50:BZ61" si="460">BZ49</f>
        <v>6</v>
      </c>
      <c r="CA50" s="133"/>
      <c r="CB50" s="14">
        <f t="shared" si="172"/>
        <v>0</v>
      </c>
      <c r="CC50" s="62">
        <f t="shared" si="205"/>
        <v>0</v>
      </c>
      <c r="CD50" s="405"/>
      <c r="CE50" s="406"/>
      <c r="CF50" s="406"/>
      <c r="CG50" s="14">
        <f t="shared" si="206"/>
        <v>0</v>
      </c>
      <c r="CH50" s="14">
        <f t="shared" si="173"/>
        <v>0</v>
      </c>
      <c r="CI50" s="14">
        <f t="shared" si="21"/>
        <v>0.18</v>
      </c>
      <c r="CJ50" s="47">
        <f t="shared" si="97"/>
        <v>0</v>
      </c>
      <c r="CK50" s="35">
        <f t="shared" si="22"/>
        <v>2.56</v>
      </c>
      <c r="CL50" s="157">
        <f t="shared" si="140"/>
        <v>0</v>
      </c>
      <c r="CM50" s="134"/>
      <c r="CN50" s="14">
        <f t="shared" si="23"/>
        <v>38</v>
      </c>
      <c r="CO50" s="48">
        <f t="shared" si="141"/>
        <v>0</v>
      </c>
      <c r="CP50" s="68">
        <f t="shared" si="98"/>
        <v>0</v>
      </c>
      <c r="CQ50" s="51">
        <f t="shared" si="24"/>
        <v>425</v>
      </c>
      <c r="CR50" s="103">
        <f t="shared" ref="CR50:CR54" si="461">CR49</f>
        <v>0</v>
      </c>
      <c r="CS50" s="46">
        <f t="shared" si="273"/>
        <v>425</v>
      </c>
      <c r="CT50" s="50">
        <f t="shared" si="25"/>
        <v>79</v>
      </c>
      <c r="CU50" s="103">
        <f t="shared" ref="CU50:CU54" si="462">CU49</f>
        <v>0</v>
      </c>
      <c r="CV50" s="46">
        <f t="shared" si="67"/>
        <v>79</v>
      </c>
      <c r="CX50" s="120">
        <f t="shared" ref="CX50:CX54" si="463">CX49+1</f>
        <v>19</v>
      </c>
      <c r="CY50" s="7">
        <f t="shared" ref="CY50:CY61" si="464">CY49</f>
        <v>6</v>
      </c>
      <c r="CZ50" s="133"/>
      <c r="DA50" s="14">
        <f t="shared" si="434"/>
        <v>0</v>
      </c>
      <c r="DB50" s="62">
        <f t="shared" si="274"/>
        <v>0</v>
      </c>
      <c r="DC50" s="405"/>
      <c r="DD50" s="406"/>
      <c r="DE50" s="406"/>
      <c r="DF50" s="14">
        <f t="shared" si="208"/>
        <v>0</v>
      </c>
      <c r="DG50" s="14">
        <f t="shared" si="175"/>
        <v>0</v>
      </c>
      <c r="DH50" s="14">
        <f t="shared" si="26"/>
        <v>0.18</v>
      </c>
      <c r="DI50" s="47">
        <f t="shared" si="209"/>
        <v>0</v>
      </c>
      <c r="DJ50" s="35">
        <f t="shared" si="27"/>
        <v>2.56</v>
      </c>
      <c r="DK50" s="157">
        <f t="shared" si="177"/>
        <v>0</v>
      </c>
      <c r="DL50" s="134"/>
      <c r="DM50" s="14">
        <f t="shared" si="28"/>
        <v>38</v>
      </c>
      <c r="DN50" s="48">
        <f t="shared" si="259"/>
        <v>0</v>
      </c>
      <c r="DO50" s="68">
        <f t="shared" si="178"/>
        <v>0</v>
      </c>
      <c r="DP50" s="51">
        <f t="shared" si="29"/>
        <v>425</v>
      </c>
      <c r="DQ50" s="103">
        <f t="shared" ref="DQ50:DQ54" si="465">DQ49</f>
        <v>0</v>
      </c>
      <c r="DR50" s="46">
        <f t="shared" si="275"/>
        <v>425</v>
      </c>
      <c r="DS50" s="50">
        <f t="shared" si="30"/>
        <v>79</v>
      </c>
      <c r="DT50" s="103">
        <f t="shared" ref="DT50:DT54" si="466">DT49</f>
        <v>0</v>
      </c>
      <c r="DU50" s="46">
        <f t="shared" si="164"/>
        <v>79</v>
      </c>
      <c r="DW50" s="120">
        <f t="shared" ref="DW50:DW54" si="467">DW49+1</f>
        <v>19</v>
      </c>
      <c r="DX50" s="7">
        <f t="shared" ref="DX50:DX61" si="468">DX49</f>
        <v>6</v>
      </c>
      <c r="DY50" s="133"/>
      <c r="DZ50" s="14">
        <f t="shared" si="435"/>
        <v>0</v>
      </c>
      <c r="EA50" s="62">
        <f t="shared" si="276"/>
        <v>0</v>
      </c>
      <c r="EB50" s="405"/>
      <c r="EC50" s="406"/>
      <c r="ED50" s="406"/>
      <c r="EE50" s="14">
        <f t="shared" si="211"/>
        <v>0</v>
      </c>
      <c r="EF50" s="14">
        <f t="shared" si="180"/>
        <v>0</v>
      </c>
      <c r="EG50" s="14">
        <f t="shared" si="31"/>
        <v>0.18</v>
      </c>
      <c r="EH50" s="47">
        <f t="shared" si="212"/>
        <v>0</v>
      </c>
      <c r="EI50" s="35">
        <f t="shared" si="32"/>
        <v>2.56</v>
      </c>
      <c r="EJ50" s="157">
        <f t="shared" si="182"/>
        <v>0</v>
      </c>
      <c r="EK50" s="134"/>
      <c r="EL50" s="14">
        <f t="shared" si="33"/>
        <v>38</v>
      </c>
      <c r="EM50" s="48">
        <f t="shared" si="260"/>
        <v>0</v>
      </c>
      <c r="EN50" s="68">
        <f t="shared" si="183"/>
        <v>0</v>
      </c>
      <c r="EO50" s="51">
        <f t="shared" si="34"/>
        <v>425</v>
      </c>
      <c r="EP50" s="103">
        <f t="shared" ref="EP50:EP54" si="469">EP49</f>
        <v>0</v>
      </c>
      <c r="EQ50" s="46">
        <f t="shared" si="277"/>
        <v>425</v>
      </c>
      <c r="ER50" s="50">
        <f t="shared" si="35"/>
        <v>79</v>
      </c>
      <c r="ES50" s="103">
        <f t="shared" ref="ES50:ES54" si="470">ES49</f>
        <v>0</v>
      </c>
      <c r="ET50" s="46">
        <f t="shared" si="165"/>
        <v>79</v>
      </c>
      <c r="EV50" s="120">
        <f t="shared" ref="EV50:EV54" si="471">EV49+1</f>
        <v>19</v>
      </c>
      <c r="EW50" s="7">
        <f t="shared" ref="EW50:EW61" si="472">EW49</f>
        <v>6</v>
      </c>
      <c r="EX50" s="133"/>
      <c r="EY50" s="14">
        <f t="shared" si="436"/>
        <v>0</v>
      </c>
      <c r="EZ50" s="62">
        <f t="shared" si="278"/>
        <v>0</v>
      </c>
      <c r="FA50" s="405"/>
      <c r="FB50" s="406"/>
      <c r="FC50" s="406"/>
      <c r="FD50" s="14">
        <f t="shared" si="214"/>
        <v>0</v>
      </c>
      <c r="FE50" s="14">
        <f t="shared" si="185"/>
        <v>0</v>
      </c>
      <c r="FF50" s="14">
        <f t="shared" si="36"/>
        <v>0.18</v>
      </c>
      <c r="FG50" s="47">
        <f t="shared" si="215"/>
        <v>0</v>
      </c>
      <c r="FH50" s="35">
        <f t="shared" si="37"/>
        <v>2.56</v>
      </c>
      <c r="FI50" s="157">
        <f t="shared" si="187"/>
        <v>0</v>
      </c>
      <c r="FJ50" s="134"/>
      <c r="FK50" s="14">
        <f t="shared" si="38"/>
        <v>38</v>
      </c>
      <c r="FL50" s="48">
        <f t="shared" si="261"/>
        <v>0</v>
      </c>
      <c r="FM50" s="68">
        <f t="shared" si="188"/>
        <v>0</v>
      </c>
      <c r="FN50" s="51">
        <f t="shared" si="39"/>
        <v>425</v>
      </c>
      <c r="FO50" s="103">
        <f t="shared" ref="FO50:FO54" si="473">FO49</f>
        <v>0</v>
      </c>
      <c r="FP50" s="46">
        <f t="shared" si="279"/>
        <v>425</v>
      </c>
      <c r="FQ50" s="50">
        <f t="shared" si="40"/>
        <v>79</v>
      </c>
      <c r="FR50" s="103">
        <f t="shared" ref="FR50:FR54" si="474">FR49</f>
        <v>0</v>
      </c>
      <c r="FS50" s="46">
        <f t="shared" si="166"/>
        <v>79</v>
      </c>
      <c r="FU50" s="120">
        <f t="shared" ref="FU50:FU54" si="475">FU49+1</f>
        <v>19</v>
      </c>
      <c r="FV50" s="7">
        <f t="shared" ref="FV50:FV61" si="476">FV49</f>
        <v>6</v>
      </c>
      <c r="FW50" s="133"/>
      <c r="FX50" s="14">
        <f t="shared" si="437"/>
        <v>0</v>
      </c>
      <c r="FY50" s="62">
        <f t="shared" si="280"/>
        <v>0</v>
      </c>
      <c r="FZ50" s="405"/>
      <c r="GA50" s="406"/>
      <c r="GB50" s="406"/>
      <c r="GC50" s="14">
        <f t="shared" si="217"/>
        <v>0</v>
      </c>
      <c r="GD50" s="14">
        <f t="shared" si="190"/>
        <v>0</v>
      </c>
      <c r="GE50" s="14">
        <f t="shared" si="41"/>
        <v>0.18</v>
      </c>
      <c r="GF50" s="47">
        <f t="shared" si="218"/>
        <v>0</v>
      </c>
      <c r="GG50" s="35">
        <f t="shared" si="42"/>
        <v>2.56</v>
      </c>
      <c r="GH50" s="157">
        <f t="shared" si="192"/>
        <v>0</v>
      </c>
      <c r="GI50" s="134"/>
      <c r="GJ50" s="14">
        <f t="shared" si="43"/>
        <v>38</v>
      </c>
      <c r="GK50" s="48">
        <f t="shared" si="262"/>
        <v>0</v>
      </c>
      <c r="GL50" s="68">
        <f t="shared" si="193"/>
        <v>0</v>
      </c>
      <c r="GM50" s="51">
        <f t="shared" si="44"/>
        <v>425</v>
      </c>
      <c r="GN50" s="103">
        <f t="shared" ref="GN50:GN54" si="477">GN49</f>
        <v>0</v>
      </c>
      <c r="GO50" s="46">
        <f t="shared" si="281"/>
        <v>425</v>
      </c>
      <c r="GP50" s="50">
        <f t="shared" si="45"/>
        <v>79</v>
      </c>
      <c r="GQ50" s="103">
        <f t="shared" ref="GQ50:GQ54" si="478">GQ49</f>
        <v>0</v>
      </c>
      <c r="GR50" s="46">
        <f t="shared" si="167"/>
        <v>79</v>
      </c>
      <c r="GT50" s="120">
        <f t="shared" ref="GT50:GT54" si="479">GT49+1</f>
        <v>19</v>
      </c>
      <c r="GU50" s="7">
        <f t="shared" ref="GU50:GU61" si="480">GU49</f>
        <v>6</v>
      </c>
      <c r="GV50" s="133"/>
      <c r="GW50" s="14">
        <f t="shared" si="438"/>
        <v>0</v>
      </c>
      <c r="GX50" s="62">
        <f t="shared" si="282"/>
        <v>0</v>
      </c>
      <c r="GY50" s="405"/>
      <c r="GZ50" s="406"/>
      <c r="HA50" s="406"/>
      <c r="HB50" s="14">
        <f t="shared" si="220"/>
        <v>0</v>
      </c>
      <c r="HC50" s="14">
        <f t="shared" si="195"/>
        <v>0</v>
      </c>
      <c r="HD50" s="14">
        <f t="shared" si="46"/>
        <v>0.18</v>
      </c>
      <c r="HE50" s="47">
        <f t="shared" si="221"/>
        <v>0</v>
      </c>
      <c r="HF50" s="35">
        <f t="shared" si="47"/>
        <v>2.56</v>
      </c>
      <c r="HG50" s="157">
        <f t="shared" si="197"/>
        <v>0</v>
      </c>
      <c r="HH50" s="134"/>
      <c r="HI50" s="14">
        <f t="shared" si="48"/>
        <v>38</v>
      </c>
      <c r="HJ50" s="48">
        <f t="shared" si="263"/>
        <v>0</v>
      </c>
      <c r="HK50" s="68">
        <f t="shared" si="198"/>
        <v>0</v>
      </c>
      <c r="HL50" s="51">
        <f t="shared" si="49"/>
        <v>425</v>
      </c>
      <c r="HM50" s="103">
        <f t="shared" ref="HM50:HM54" si="481">HM49</f>
        <v>0</v>
      </c>
      <c r="HN50" s="46">
        <f t="shared" si="283"/>
        <v>425</v>
      </c>
      <c r="HO50" s="50">
        <f t="shared" si="50"/>
        <v>79</v>
      </c>
      <c r="HP50" s="103">
        <f t="shared" ref="HP50:HP54" si="482">HP49</f>
        <v>0</v>
      </c>
      <c r="HQ50" s="46">
        <f t="shared" si="168"/>
        <v>79</v>
      </c>
    </row>
    <row r="51" spans="1:225" ht="17.25" thickBot="1" x14ac:dyDescent="0.3">
      <c r="B51" s="120">
        <f t="shared" si="447"/>
        <v>9</v>
      </c>
      <c r="C51" s="570">
        <f t="shared" si="448"/>
        <v>6</v>
      </c>
      <c r="D51" s="133"/>
      <c r="E51" s="408">
        <f t="shared" si="223"/>
        <v>96590</v>
      </c>
      <c r="F51" s="562">
        <f t="shared" si="0"/>
        <v>96551</v>
      </c>
      <c r="G51" s="134"/>
      <c r="H51" s="135">
        <v>39</v>
      </c>
      <c r="I51" s="135"/>
      <c r="J51" s="14">
        <f t="shared" si="200"/>
        <v>39</v>
      </c>
      <c r="K51" s="14">
        <f t="shared" si="52"/>
        <v>4714</v>
      </c>
      <c r="L51" s="14">
        <f t="shared" si="1"/>
        <v>0.18</v>
      </c>
      <c r="M51" s="47">
        <f t="shared" si="85"/>
        <v>4.0376850605652756E-2</v>
      </c>
      <c r="N51" s="35">
        <f t="shared" si="2"/>
        <v>2.56</v>
      </c>
      <c r="O51" s="132">
        <f t="shared" si="53"/>
        <v>3.4951398723243345</v>
      </c>
      <c r="P51" s="142">
        <v>3276</v>
      </c>
      <c r="Q51" s="14">
        <f t="shared" si="3"/>
        <v>38</v>
      </c>
      <c r="R51" s="442">
        <f t="shared" si="394"/>
        <v>33.916554508748312</v>
      </c>
      <c r="S51" s="470">
        <f t="shared" si="201"/>
        <v>936.10375563103503</v>
      </c>
      <c r="T51" s="51">
        <f t="shared" si="5"/>
        <v>425</v>
      </c>
      <c r="U51" s="103">
        <f t="shared" si="449"/>
        <v>450</v>
      </c>
      <c r="V51" s="46">
        <f t="shared" si="55"/>
        <v>-25</v>
      </c>
      <c r="W51" s="50">
        <f t="shared" si="395"/>
        <v>79</v>
      </c>
      <c r="X51" s="103">
        <f t="shared" si="450"/>
        <v>49</v>
      </c>
      <c r="Y51" s="46">
        <f t="shared" si="56"/>
        <v>30</v>
      </c>
      <c r="Z51" s="487"/>
      <c r="AA51" s="120">
        <f t="shared" si="451"/>
        <v>9</v>
      </c>
      <c r="AB51" s="7">
        <f t="shared" si="452"/>
        <v>6</v>
      </c>
      <c r="AC51" s="133"/>
      <c r="AD51" s="48">
        <f t="shared" ref="AD51:AD102" si="483">IFERROR(AE50+AC51,0)</f>
        <v>87674</v>
      </c>
      <c r="AE51" s="196">
        <f t="shared" ref="AE51:AE114" si="484">IFERROR(AD51-AI51,0)</f>
        <v>87610</v>
      </c>
      <c r="AF51" s="134"/>
      <c r="AG51" s="135">
        <v>64</v>
      </c>
      <c r="AH51" s="135"/>
      <c r="AI51" s="14">
        <f t="shared" si="203"/>
        <v>64</v>
      </c>
      <c r="AJ51" s="14">
        <f t="shared" si="321"/>
        <v>5289</v>
      </c>
      <c r="AK51" s="14">
        <f t="shared" si="8"/>
        <v>0.18</v>
      </c>
      <c r="AL51" s="47">
        <f t="shared" si="58"/>
        <v>7.2997696010219673E-2</v>
      </c>
      <c r="AM51" s="35">
        <f t="shared" si="9"/>
        <v>2.56</v>
      </c>
      <c r="AN51" s="157">
        <f t="shared" si="169"/>
        <v>3.4528907922912206</v>
      </c>
      <c r="AO51" s="134">
        <v>2184</v>
      </c>
      <c r="AP51" s="14">
        <f t="shared" si="10"/>
        <v>38</v>
      </c>
      <c r="AQ51" s="482">
        <f t="shared" si="59"/>
        <v>24.910463763487463</v>
      </c>
      <c r="AR51" s="470">
        <f t="shared" si="323"/>
        <v>919.91480639196755</v>
      </c>
      <c r="AS51" s="51">
        <f t="shared" si="11"/>
        <v>425</v>
      </c>
      <c r="AT51" s="103">
        <f t="shared" si="453"/>
        <v>403</v>
      </c>
      <c r="AU51" s="46">
        <f t="shared" si="271"/>
        <v>22</v>
      </c>
      <c r="AV51" s="50">
        <f t="shared" si="12"/>
        <v>79</v>
      </c>
      <c r="AW51" s="103">
        <f t="shared" si="454"/>
        <v>66</v>
      </c>
      <c r="AX51" s="46">
        <f t="shared" si="170"/>
        <v>13</v>
      </c>
      <c r="AZ51" s="120">
        <f t="shared" si="455"/>
        <v>9</v>
      </c>
      <c r="BA51" s="7">
        <f t="shared" si="456"/>
        <v>6</v>
      </c>
      <c r="BB51" s="133"/>
      <c r="BC51" s="48">
        <f t="shared" si="403"/>
        <v>93342</v>
      </c>
      <c r="BD51" s="196">
        <f t="shared" ref="BD51:BD114" si="485">IFERROR(BC51-BH51,0)</f>
        <v>93284</v>
      </c>
      <c r="BE51" s="134"/>
      <c r="BF51" s="135">
        <v>58</v>
      </c>
      <c r="BG51" s="135"/>
      <c r="BH51" s="14">
        <f t="shared" si="204"/>
        <v>58</v>
      </c>
      <c r="BI51" s="14">
        <f t="shared" si="294"/>
        <v>588</v>
      </c>
      <c r="BJ51" s="14">
        <f t="shared" si="14"/>
        <v>0.18</v>
      </c>
      <c r="BK51" s="47">
        <f t="shared" si="92"/>
        <v>6.2137087270467739E-2</v>
      </c>
      <c r="BL51" s="35">
        <f t="shared" si="15"/>
        <v>2.56</v>
      </c>
      <c r="BM51" s="132">
        <f t="shared" si="326"/>
        <v>0.82352941176470584</v>
      </c>
      <c r="BN51" s="134">
        <v>2457</v>
      </c>
      <c r="BO51" s="14">
        <f t="shared" si="17"/>
        <v>38</v>
      </c>
      <c r="BP51" s="442">
        <f t="shared" si="93"/>
        <v>26.32255576267918</v>
      </c>
      <c r="BQ51" s="747">
        <f t="shared" si="137"/>
        <v>883.18943743995942</v>
      </c>
      <c r="BR51" s="51">
        <f t="shared" si="18"/>
        <v>425</v>
      </c>
      <c r="BS51" s="103">
        <f t="shared" si="457"/>
        <v>400</v>
      </c>
      <c r="BT51" s="46">
        <f t="shared" si="272"/>
        <v>25</v>
      </c>
      <c r="BU51" s="50">
        <f t="shared" si="20"/>
        <v>79</v>
      </c>
      <c r="BV51" s="103">
        <f t="shared" si="458"/>
        <v>58</v>
      </c>
      <c r="BW51" s="46">
        <f t="shared" si="171"/>
        <v>21</v>
      </c>
      <c r="BY51" s="120">
        <f t="shared" si="459"/>
        <v>20</v>
      </c>
      <c r="BZ51" s="7">
        <f t="shared" si="460"/>
        <v>6</v>
      </c>
      <c r="CA51" s="133"/>
      <c r="CB51" s="14">
        <f t="shared" si="172"/>
        <v>0</v>
      </c>
      <c r="CC51" s="59">
        <f t="shared" si="205"/>
        <v>0</v>
      </c>
      <c r="CD51" s="405"/>
      <c r="CE51" s="406"/>
      <c r="CF51" s="406"/>
      <c r="CG51" s="14">
        <f t="shared" si="206"/>
        <v>0</v>
      </c>
      <c r="CH51" s="14">
        <f t="shared" si="173"/>
        <v>0</v>
      </c>
      <c r="CI51" s="14">
        <f t="shared" si="21"/>
        <v>0.18</v>
      </c>
      <c r="CJ51" s="47">
        <f t="shared" si="97"/>
        <v>0</v>
      </c>
      <c r="CK51" s="35">
        <f t="shared" si="22"/>
        <v>2.56</v>
      </c>
      <c r="CL51" s="157">
        <f t="shared" si="140"/>
        <v>0</v>
      </c>
      <c r="CM51" s="134"/>
      <c r="CN51" s="14">
        <f t="shared" si="23"/>
        <v>38</v>
      </c>
      <c r="CO51" s="48">
        <f t="shared" si="141"/>
        <v>0</v>
      </c>
      <c r="CP51" s="68">
        <f t="shared" si="98"/>
        <v>0</v>
      </c>
      <c r="CQ51" s="51">
        <f t="shared" si="24"/>
        <v>425</v>
      </c>
      <c r="CR51" s="103">
        <f t="shared" si="461"/>
        <v>0</v>
      </c>
      <c r="CS51" s="46">
        <f t="shared" si="273"/>
        <v>425</v>
      </c>
      <c r="CT51" s="50">
        <f t="shared" si="25"/>
        <v>79</v>
      </c>
      <c r="CU51" s="103">
        <f t="shared" si="462"/>
        <v>0</v>
      </c>
      <c r="CV51" s="46">
        <f t="shared" si="67"/>
        <v>79</v>
      </c>
      <c r="CX51" s="120">
        <f t="shared" si="463"/>
        <v>20</v>
      </c>
      <c r="CY51" s="7">
        <f t="shared" si="464"/>
        <v>6</v>
      </c>
      <c r="CZ51" s="133"/>
      <c r="DA51" s="14">
        <f t="shared" si="434"/>
        <v>0</v>
      </c>
      <c r="DB51" s="59">
        <f t="shared" si="274"/>
        <v>0</v>
      </c>
      <c r="DC51" s="405"/>
      <c r="DD51" s="406"/>
      <c r="DE51" s="406"/>
      <c r="DF51" s="14">
        <f t="shared" si="208"/>
        <v>0</v>
      </c>
      <c r="DG51" s="14">
        <f t="shared" si="175"/>
        <v>0</v>
      </c>
      <c r="DH51" s="14">
        <f t="shared" si="26"/>
        <v>0.18</v>
      </c>
      <c r="DI51" s="47">
        <f t="shared" si="209"/>
        <v>0</v>
      </c>
      <c r="DJ51" s="35">
        <f t="shared" si="27"/>
        <v>2.56</v>
      </c>
      <c r="DK51" s="157">
        <f t="shared" si="177"/>
        <v>0</v>
      </c>
      <c r="DL51" s="134"/>
      <c r="DM51" s="14">
        <f t="shared" si="28"/>
        <v>38</v>
      </c>
      <c r="DN51" s="48">
        <f t="shared" si="259"/>
        <v>0</v>
      </c>
      <c r="DO51" s="68">
        <f t="shared" si="178"/>
        <v>0</v>
      </c>
      <c r="DP51" s="51">
        <f t="shared" si="29"/>
        <v>425</v>
      </c>
      <c r="DQ51" s="103">
        <f t="shared" si="465"/>
        <v>0</v>
      </c>
      <c r="DR51" s="46">
        <f t="shared" si="275"/>
        <v>425</v>
      </c>
      <c r="DS51" s="50">
        <f t="shared" si="30"/>
        <v>79</v>
      </c>
      <c r="DT51" s="103">
        <f t="shared" si="466"/>
        <v>0</v>
      </c>
      <c r="DU51" s="46">
        <f t="shared" si="164"/>
        <v>79</v>
      </c>
      <c r="DW51" s="120">
        <f t="shared" si="467"/>
        <v>20</v>
      </c>
      <c r="DX51" s="7">
        <f t="shared" si="468"/>
        <v>6</v>
      </c>
      <c r="DY51" s="133"/>
      <c r="DZ51" s="14">
        <f t="shared" si="435"/>
        <v>0</v>
      </c>
      <c r="EA51" s="59">
        <f t="shared" si="276"/>
        <v>0</v>
      </c>
      <c r="EB51" s="405"/>
      <c r="EC51" s="406"/>
      <c r="ED51" s="406"/>
      <c r="EE51" s="14">
        <f t="shared" si="211"/>
        <v>0</v>
      </c>
      <c r="EF51" s="14">
        <f t="shared" si="180"/>
        <v>0</v>
      </c>
      <c r="EG51" s="14">
        <f t="shared" si="31"/>
        <v>0.18</v>
      </c>
      <c r="EH51" s="47">
        <f t="shared" si="212"/>
        <v>0</v>
      </c>
      <c r="EI51" s="35">
        <f t="shared" si="32"/>
        <v>2.56</v>
      </c>
      <c r="EJ51" s="157">
        <f t="shared" si="182"/>
        <v>0</v>
      </c>
      <c r="EK51" s="134"/>
      <c r="EL51" s="14">
        <f t="shared" si="33"/>
        <v>38</v>
      </c>
      <c r="EM51" s="48">
        <f t="shared" si="260"/>
        <v>0</v>
      </c>
      <c r="EN51" s="68">
        <f t="shared" si="183"/>
        <v>0</v>
      </c>
      <c r="EO51" s="51">
        <f t="shared" si="34"/>
        <v>425</v>
      </c>
      <c r="EP51" s="103">
        <f t="shared" si="469"/>
        <v>0</v>
      </c>
      <c r="EQ51" s="46">
        <f t="shared" si="277"/>
        <v>425</v>
      </c>
      <c r="ER51" s="50">
        <f t="shared" si="35"/>
        <v>79</v>
      </c>
      <c r="ES51" s="103">
        <f t="shared" si="470"/>
        <v>0</v>
      </c>
      <c r="ET51" s="46">
        <f t="shared" si="165"/>
        <v>79</v>
      </c>
      <c r="EV51" s="120">
        <f t="shared" si="471"/>
        <v>20</v>
      </c>
      <c r="EW51" s="7">
        <f t="shared" si="472"/>
        <v>6</v>
      </c>
      <c r="EX51" s="133"/>
      <c r="EY51" s="14">
        <f t="shared" si="436"/>
        <v>0</v>
      </c>
      <c r="EZ51" s="59">
        <f t="shared" si="278"/>
        <v>0</v>
      </c>
      <c r="FA51" s="405"/>
      <c r="FB51" s="406"/>
      <c r="FC51" s="406"/>
      <c r="FD51" s="14">
        <f t="shared" si="214"/>
        <v>0</v>
      </c>
      <c r="FE51" s="14">
        <f t="shared" si="185"/>
        <v>0</v>
      </c>
      <c r="FF51" s="14">
        <f t="shared" si="36"/>
        <v>0.18</v>
      </c>
      <c r="FG51" s="47">
        <f t="shared" si="215"/>
        <v>0</v>
      </c>
      <c r="FH51" s="35">
        <f t="shared" si="37"/>
        <v>2.56</v>
      </c>
      <c r="FI51" s="157">
        <f t="shared" si="187"/>
        <v>0</v>
      </c>
      <c r="FJ51" s="134"/>
      <c r="FK51" s="14">
        <f t="shared" si="38"/>
        <v>38</v>
      </c>
      <c r="FL51" s="48">
        <f t="shared" si="261"/>
        <v>0</v>
      </c>
      <c r="FM51" s="68">
        <f t="shared" si="188"/>
        <v>0</v>
      </c>
      <c r="FN51" s="51">
        <f t="shared" si="39"/>
        <v>425</v>
      </c>
      <c r="FO51" s="103">
        <f t="shared" si="473"/>
        <v>0</v>
      </c>
      <c r="FP51" s="46">
        <f t="shared" si="279"/>
        <v>425</v>
      </c>
      <c r="FQ51" s="50">
        <f t="shared" si="40"/>
        <v>79</v>
      </c>
      <c r="FR51" s="103">
        <f t="shared" si="474"/>
        <v>0</v>
      </c>
      <c r="FS51" s="46">
        <f t="shared" si="166"/>
        <v>79</v>
      </c>
      <c r="FU51" s="120">
        <f t="shared" si="475"/>
        <v>20</v>
      </c>
      <c r="FV51" s="7">
        <f t="shared" si="476"/>
        <v>6</v>
      </c>
      <c r="FW51" s="133"/>
      <c r="FX51" s="14">
        <f t="shared" si="437"/>
        <v>0</v>
      </c>
      <c r="FY51" s="59">
        <f t="shared" si="280"/>
        <v>0</v>
      </c>
      <c r="FZ51" s="405"/>
      <c r="GA51" s="406"/>
      <c r="GB51" s="406"/>
      <c r="GC51" s="14">
        <f t="shared" si="217"/>
        <v>0</v>
      </c>
      <c r="GD51" s="14">
        <f t="shared" si="190"/>
        <v>0</v>
      </c>
      <c r="GE51" s="14">
        <f t="shared" si="41"/>
        <v>0.18</v>
      </c>
      <c r="GF51" s="47">
        <f t="shared" si="218"/>
        <v>0</v>
      </c>
      <c r="GG51" s="35">
        <f t="shared" si="42"/>
        <v>2.56</v>
      </c>
      <c r="GH51" s="157">
        <f t="shared" si="192"/>
        <v>0</v>
      </c>
      <c r="GI51" s="134"/>
      <c r="GJ51" s="14">
        <f t="shared" si="43"/>
        <v>38</v>
      </c>
      <c r="GK51" s="48">
        <f t="shared" si="262"/>
        <v>0</v>
      </c>
      <c r="GL51" s="68">
        <f t="shared" si="193"/>
        <v>0</v>
      </c>
      <c r="GM51" s="51">
        <f t="shared" si="44"/>
        <v>425</v>
      </c>
      <c r="GN51" s="103">
        <f t="shared" si="477"/>
        <v>0</v>
      </c>
      <c r="GO51" s="46">
        <f t="shared" si="281"/>
        <v>425</v>
      </c>
      <c r="GP51" s="50">
        <f t="shared" si="45"/>
        <v>79</v>
      </c>
      <c r="GQ51" s="103">
        <f t="shared" si="478"/>
        <v>0</v>
      </c>
      <c r="GR51" s="46">
        <f t="shared" si="167"/>
        <v>79</v>
      </c>
      <c r="GT51" s="120">
        <f t="shared" si="479"/>
        <v>20</v>
      </c>
      <c r="GU51" s="7">
        <f t="shared" si="480"/>
        <v>6</v>
      </c>
      <c r="GV51" s="133"/>
      <c r="GW51" s="14">
        <f t="shared" si="438"/>
        <v>0</v>
      </c>
      <c r="GX51" s="59">
        <f t="shared" si="282"/>
        <v>0</v>
      </c>
      <c r="GY51" s="405"/>
      <c r="GZ51" s="406"/>
      <c r="HA51" s="406"/>
      <c r="HB51" s="14">
        <f t="shared" si="220"/>
        <v>0</v>
      </c>
      <c r="HC51" s="14">
        <f t="shared" si="195"/>
        <v>0</v>
      </c>
      <c r="HD51" s="14">
        <f t="shared" si="46"/>
        <v>0.18</v>
      </c>
      <c r="HE51" s="47">
        <f t="shared" si="221"/>
        <v>0</v>
      </c>
      <c r="HF51" s="35">
        <f t="shared" si="47"/>
        <v>2.56</v>
      </c>
      <c r="HG51" s="157">
        <f t="shared" si="197"/>
        <v>0</v>
      </c>
      <c r="HH51" s="134"/>
      <c r="HI51" s="14">
        <f t="shared" si="48"/>
        <v>38</v>
      </c>
      <c r="HJ51" s="48">
        <f t="shared" si="263"/>
        <v>0</v>
      </c>
      <c r="HK51" s="68">
        <f t="shared" si="198"/>
        <v>0</v>
      </c>
      <c r="HL51" s="51">
        <f t="shared" si="49"/>
        <v>425</v>
      </c>
      <c r="HM51" s="103">
        <f t="shared" si="481"/>
        <v>0</v>
      </c>
      <c r="HN51" s="46">
        <f t="shared" si="283"/>
        <v>425</v>
      </c>
      <c r="HO51" s="50">
        <f t="shared" si="50"/>
        <v>79</v>
      </c>
      <c r="HP51" s="103">
        <f t="shared" si="482"/>
        <v>0</v>
      </c>
      <c r="HQ51" s="46">
        <f t="shared" si="168"/>
        <v>79</v>
      </c>
    </row>
    <row r="52" spans="1:225" ht="17.25" thickBot="1" x14ac:dyDescent="0.3">
      <c r="B52" s="120">
        <f t="shared" si="447"/>
        <v>10</v>
      </c>
      <c r="C52" s="570">
        <f t="shared" si="448"/>
        <v>6</v>
      </c>
      <c r="D52" s="133"/>
      <c r="E52" s="408">
        <f t="shared" si="223"/>
        <v>96551</v>
      </c>
      <c r="F52" s="562">
        <f t="shared" si="0"/>
        <v>96511</v>
      </c>
      <c r="G52" s="134"/>
      <c r="H52" s="135">
        <v>40</v>
      </c>
      <c r="I52" s="135"/>
      <c r="J52" s="14">
        <f t="shared" si="200"/>
        <v>40</v>
      </c>
      <c r="K52" s="14">
        <f t="shared" si="52"/>
        <v>4754</v>
      </c>
      <c r="L52" s="14">
        <f t="shared" si="1"/>
        <v>0.18</v>
      </c>
      <c r="M52" s="47">
        <f t="shared" si="85"/>
        <v>4.1428882145187515E-2</v>
      </c>
      <c r="N52" s="35">
        <f t="shared" si="2"/>
        <v>2.56</v>
      </c>
      <c r="O52" s="132">
        <f t="shared" si="53"/>
        <v>3.5247974020004005</v>
      </c>
      <c r="P52" s="142">
        <v>4095</v>
      </c>
      <c r="Q52" s="14">
        <f t="shared" si="3"/>
        <v>38</v>
      </c>
      <c r="R52" s="442">
        <f t="shared" si="394"/>
        <v>42.412818096135723</v>
      </c>
      <c r="S52" s="470">
        <f t="shared" si="201"/>
        <v>978.51657372717079</v>
      </c>
      <c r="T52" s="51">
        <f t="shared" si="5"/>
        <v>425</v>
      </c>
      <c r="U52" s="103">
        <f t="shared" si="449"/>
        <v>450</v>
      </c>
      <c r="V52" s="46">
        <f t="shared" si="55"/>
        <v>-25</v>
      </c>
      <c r="W52" s="51">
        <f t="shared" si="395"/>
        <v>79</v>
      </c>
      <c r="X52" s="103">
        <f t="shared" si="450"/>
        <v>49</v>
      </c>
      <c r="Y52" s="46">
        <f t="shared" si="56"/>
        <v>30</v>
      </c>
      <c r="Z52" s="487"/>
      <c r="AA52" s="120">
        <f t="shared" si="451"/>
        <v>10</v>
      </c>
      <c r="AB52" s="7">
        <f t="shared" si="452"/>
        <v>6</v>
      </c>
      <c r="AC52" s="133"/>
      <c r="AD52" s="48">
        <f t="shared" si="483"/>
        <v>87610</v>
      </c>
      <c r="AE52" s="196">
        <f t="shared" si="484"/>
        <v>87535</v>
      </c>
      <c r="AF52" s="134"/>
      <c r="AG52" s="135">
        <v>75</v>
      </c>
      <c r="AH52" s="135"/>
      <c r="AI52" s="14">
        <f t="shared" si="203"/>
        <v>75</v>
      </c>
      <c r="AJ52" s="14">
        <f t="shared" si="321"/>
        <v>5364</v>
      </c>
      <c r="AK52" s="14">
        <f t="shared" si="8"/>
        <v>0.18</v>
      </c>
      <c r="AL52" s="47">
        <f t="shared" si="58"/>
        <v>8.5606665905718526E-2</v>
      </c>
      <c r="AM52" s="35">
        <f t="shared" si="9"/>
        <v>2.56</v>
      </c>
      <c r="AN52" s="157">
        <f t="shared" si="169"/>
        <v>3.5018540763566093</v>
      </c>
      <c r="AO52" s="134">
        <v>2730</v>
      </c>
      <c r="AP52" s="14">
        <f t="shared" si="10"/>
        <v>38</v>
      </c>
      <c r="AQ52" s="482">
        <f t="shared" si="59"/>
        <v>31.160826389681542</v>
      </c>
      <c r="AR52" s="470">
        <f t="shared" si="323"/>
        <v>951.07563278164912</v>
      </c>
      <c r="AS52" s="51">
        <f t="shared" si="11"/>
        <v>425</v>
      </c>
      <c r="AT52" s="103">
        <f t="shared" si="453"/>
        <v>403</v>
      </c>
      <c r="AU52" s="46">
        <f t="shared" si="271"/>
        <v>22</v>
      </c>
      <c r="AV52" s="51">
        <f t="shared" si="12"/>
        <v>79</v>
      </c>
      <c r="AW52" s="103">
        <f t="shared" si="454"/>
        <v>66</v>
      </c>
      <c r="AX52" s="46">
        <f t="shared" si="170"/>
        <v>13</v>
      </c>
      <c r="AZ52" s="120">
        <f t="shared" si="455"/>
        <v>10</v>
      </c>
      <c r="BA52" s="7">
        <f t="shared" si="456"/>
        <v>6</v>
      </c>
      <c r="BB52" s="133"/>
      <c r="BC52" s="48">
        <f t="shared" si="403"/>
        <v>93284</v>
      </c>
      <c r="BD52" s="196">
        <f t="shared" si="485"/>
        <v>93237</v>
      </c>
      <c r="BE52" s="134"/>
      <c r="BF52" s="135">
        <v>47</v>
      </c>
      <c r="BG52" s="135"/>
      <c r="BH52" s="14">
        <f t="shared" si="204"/>
        <v>47</v>
      </c>
      <c r="BI52" s="14">
        <f t="shared" si="294"/>
        <v>635</v>
      </c>
      <c r="BJ52" s="14">
        <f t="shared" si="14"/>
        <v>0.18</v>
      </c>
      <c r="BK52" s="47">
        <f t="shared" si="92"/>
        <v>5.0383774280691219E-2</v>
      </c>
      <c r="BL52" s="35">
        <f t="shared" si="15"/>
        <v>2.56</v>
      </c>
      <c r="BM52" s="132">
        <f t="shared" si="326"/>
        <v>0.88935574229691872</v>
      </c>
      <c r="BN52" s="134">
        <v>4095</v>
      </c>
      <c r="BO52" s="14">
        <f t="shared" si="17"/>
        <v>38</v>
      </c>
      <c r="BP52" s="442">
        <f t="shared" si="93"/>
        <v>43.89820333604905</v>
      </c>
      <c r="BQ52" s="747">
        <f t="shared" si="137"/>
        <v>927.08764077600847</v>
      </c>
      <c r="BR52" s="51">
        <f t="shared" si="18"/>
        <v>425</v>
      </c>
      <c r="BS52" s="103">
        <f t="shared" si="457"/>
        <v>400</v>
      </c>
      <c r="BT52" s="46">
        <f t="shared" si="272"/>
        <v>25</v>
      </c>
      <c r="BU52" s="51">
        <f t="shared" si="20"/>
        <v>79</v>
      </c>
      <c r="BV52" s="103">
        <f t="shared" si="458"/>
        <v>58</v>
      </c>
      <c r="BW52" s="46">
        <f t="shared" si="171"/>
        <v>21</v>
      </c>
      <c r="BY52" s="120">
        <f t="shared" si="459"/>
        <v>21</v>
      </c>
      <c r="BZ52" s="7">
        <f t="shared" si="460"/>
        <v>6</v>
      </c>
      <c r="CA52" s="133"/>
      <c r="CB52" s="14">
        <f t="shared" si="172"/>
        <v>0</v>
      </c>
      <c r="CC52" s="59">
        <f t="shared" si="205"/>
        <v>0</v>
      </c>
      <c r="CD52" s="405"/>
      <c r="CE52" s="406"/>
      <c r="CF52" s="406"/>
      <c r="CG52" s="14">
        <f t="shared" si="206"/>
        <v>0</v>
      </c>
      <c r="CH52" s="14">
        <f t="shared" si="173"/>
        <v>0</v>
      </c>
      <c r="CI52" s="14">
        <f t="shared" si="21"/>
        <v>0.18</v>
      </c>
      <c r="CJ52" s="47">
        <f t="shared" si="97"/>
        <v>0</v>
      </c>
      <c r="CK52" s="35">
        <f t="shared" si="22"/>
        <v>2.56</v>
      </c>
      <c r="CL52" s="157">
        <f t="shared" si="140"/>
        <v>0</v>
      </c>
      <c r="CM52" s="134"/>
      <c r="CN52" s="14">
        <f t="shared" si="23"/>
        <v>38</v>
      </c>
      <c r="CO52" s="48">
        <f t="shared" si="141"/>
        <v>0</v>
      </c>
      <c r="CP52" s="68">
        <f t="shared" si="98"/>
        <v>0</v>
      </c>
      <c r="CQ52" s="51">
        <f t="shared" si="24"/>
        <v>425</v>
      </c>
      <c r="CR52" s="103">
        <f t="shared" si="461"/>
        <v>0</v>
      </c>
      <c r="CS52" s="46">
        <f t="shared" si="273"/>
        <v>425</v>
      </c>
      <c r="CT52" s="50">
        <f t="shared" si="25"/>
        <v>79</v>
      </c>
      <c r="CU52" s="103">
        <f t="shared" si="462"/>
        <v>0</v>
      </c>
      <c r="CV52" s="46">
        <f t="shared" si="67"/>
        <v>79</v>
      </c>
      <c r="CX52" s="120">
        <f t="shared" si="463"/>
        <v>21</v>
      </c>
      <c r="CY52" s="7">
        <f t="shared" si="464"/>
        <v>6</v>
      </c>
      <c r="CZ52" s="133"/>
      <c r="DA52" s="14">
        <f t="shared" si="434"/>
        <v>0</v>
      </c>
      <c r="DB52" s="59">
        <f t="shared" si="274"/>
        <v>0</v>
      </c>
      <c r="DC52" s="405"/>
      <c r="DD52" s="406"/>
      <c r="DE52" s="406"/>
      <c r="DF52" s="14">
        <f t="shared" si="208"/>
        <v>0</v>
      </c>
      <c r="DG52" s="14">
        <f t="shared" si="175"/>
        <v>0</v>
      </c>
      <c r="DH52" s="14">
        <f t="shared" si="26"/>
        <v>0.18</v>
      </c>
      <c r="DI52" s="47">
        <f t="shared" si="209"/>
        <v>0</v>
      </c>
      <c r="DJ52" s="35">
        <f t="shared" si="27"/>
        <v>2.56</v>
      </c>
      <c r="DK52" s="157">
        <f t="shared" si="177"/>
        <v>0</v>
      </c>
      <c r="DL52" s="134"/>
      <c r="DM52" s="14">
        <f t="shared" si="28"/>
        <v>38</v>
      </c>
      <c r="DN52" s="48">
        <f t="shared" si="259"/>
        <v>0</v>
      </c>
      <c r="DO52" s="68">
        <f t="shared" si="178"/>
        <v>0</v>
      </c>
      <c r="DP52" s="51">
        <f t="shared" si="29"/>
        <v>425</v>
      </c>
      <c r="DQ52" s="103">
        <f t="shared" si="465"/>
        <v>0</v>
      </c>
      <c r="DR52" s="46">
        <f t="shared" si="275"/>
        <v>425</v>
      </c>
      <c r="DS52" s="50">
        <f t="shared" si="30"/>
        <v>79</v>
      </c>
      <c r="DT52" s="103">
        <f t="shared" si="466"/>
        <v>0</v>
      </c>
      <c r="DU52" s="46">
        <f t="shared" si="164"/>
        <v>79</v>
      </c>
      <c r="DW52" s="120">
        <f t="shared" si="467"/>
        <v>21</v>
      </c>
      <c r="DX52" s="7">
        <f t="shared" si="468"/>
        <v>6</v>
      </c>
      <c r="DY52" s="133"/>
      <c r="DZ52" s="14">
        <f t="shared" si="435"/>
        <v>0</v>
      </c>
      <c r="EA52" s="59">
        <f t="shared" si="276"/>
        <v>0</v>
      </c>
      <c r="EB52" s="405"/>
      <c r="EC52" s="406"/>
      <c r="ED52" s="406"/>
      <c r="EE52" s="14">
        <f t="shared" si="211"/>
        <v>0</v>
      </c>
      <c r="EF52" s="14">
        <f t="shared" si="180"/>
        <v>0</v>
      </c>
      <c r="EG52" s="14">
        <f t="shared" si="31"/>
        <v>0.18</v>
      </c>
      <c r="EH52" s="47">
        <f t="shared" si="212"/>
        <v>0</v>
      </c>
      <c r="EI52" s="35">
        <f t="shared" si="32"/>
        <v>2.56</v>
      </c>
      <c r="EJ52" s="157">
        <f t="shared" si="182"/>
        <v>0</v>
      </c>
      <c r="EK52" s="134"/>
      <c r="EL52" s="14">
        <f t="shared" si="33"/>
        <v>38</v>
      </c>
      <c r="EM52" s="48">
        <f t="shared" si="260"/>
        <v>0</v>
      </c>
      <c r="EN52" s="68">
        <f t="shared" si="183"/>
        <v>0</v>
      </c>
      <c r="EO52" s="51">
        <f t="shared" si="34"/>
        <v>425</v>
      </c>
      <c r="EP52" s="103">
        <f t="shared" si="469"/>
        <v>0</v>
      </c>
      <c r="EQ52" s="46">
        <f t="shared" si="277"/>
        <v>425</v>
      </c>
      <c r="ER52" s="50">
        <f t="shared" si="35"/>
        <v>79</v>
      </c>
      <c r="ES52" s="103">
        <f t="shared" si="470"/>
        <v>0</v>
      </c>
      <c r="ET52" s="46">
        <f t="shared" si="165"/>
        <v>79</v>
      </c>
      <c r="EV52" s="120">
        <f t="shared" si="471"/>
        <v>21</v>
      </c>
      <c r="EW52" s="7">
        <f t="shared" si="472"/>
        <v>6</v>
      </c>
      <c r="EX52" s="133"/>
      <c r="EY52" s="14">
        <f t="shared" si="436"/>
        <v>0</v>
      </c>
      <c r="EZ52" s="59">
        <f t="shared" si="278"/>
        <v>0</v>
      </c>
      <c r="FA52" s="405"/>
      <c r="FB52" s="406"/>
      <c r="FC52" s="406"/>
      <c r="FD52" s="14">
        <f t="shared" si="214"/>
        <v>0</v>
      </c>
      <c r="FE52" s="14">
        <f t="shared" si="185"/>
        <v>0</v>
      </c>
      <c r="FF52" s="14">
        <f t="shared" si="36"/>
        <v>0.18</v>
      </c>
      <c r="FG52" s="47">
        <f t="shared" si="215"/>
        <v>0</v>
      </c>
      <c r="FH52" s="35">
        <f t="shared" si="37"/>
        <v>2.56</v>
      </c>
      <c r="FI52" s="157">
        <f t="shared" si="187"/>
        <v>0</v>
      </c>
      <c r="FJ52" s="134"/>
      <c r="FK52" s="14">
        <f t="shared" si="38"/>
        <v>38</v>
      </c>
      <c r="FL52" s="48">
        <f t="shared" si="261"/>
        <v>0</v>
      </c>
      <c r="FM52" s="68">
        <f t="shared" si="188"/>
        <v>0</v>
      </c>
      <c r="FN52" s="51">
        <f t="shared" si="39"/>
        <v>425</v>
      </c>
      <c r="FO52" s="103">
        <f t="shared" si="473"/>
        <v>0</v>
      </c>
      <c r="FP52" s="46">
        <f t="shared" si="279"/>
        <v>425</v>
      </c>
      <c r="FQ52" s="50">
        <f t="shared" si="40"/>
        <v>79</v>
      </c>
      <c r="FR52" s="103">
        <f t="shared" si="474"/>
        <v>0</v>
      </c>
      <c r="FS52" s="46">
        <f t="shared" si="166"/>
        <v>79</v>
      </c>
      <c r="FU52" s="120">
        <f t="shared" si="475"/>
        <v>21</v>
      </c>
      <c r="FV52" s="7">
        <f t="shared" si="476"/>
        <v>6</v>
      </c>
      <c r="FW52" s="133"/>
      <c r="FX52" s="14">
        <f t="shared" si="437"/>
        <v>0</v>
      </c>
      <c r="FY52" s="59">
        <f t="shared" si="280"/>
        <v>0</v>
      </c>
      <c r="FZ52" s="405"/>
      <c r="GA52" s="406"/>
      <c r="GB52" s="406"/>
      <c r="GC52" s="14">
        <f t="shared" si="217"/>
        <v>0</v>
      </c>
      <c r="GD52" s="14">
        <f t="shared" si="190"/>
        <v>0</v>
      </c>
      <c r="GE52" s="14">
        <f t="shared" si="41"/>
        <v>0.18</v>
      </c>
      <c r="GF52" s="47">
        <f t="shared" si="218"/>
        <v>0</v>
      </c>
      <c r="GG52" s="35">
        <f t="shared" si="42"/>
        <v>2.56</v>
      </c>
      <c r="GH52" s="157">
        <f t="shared" si="192"/>
        <v>0</v>
      </c>
      <c r="GI52" s="134"/>
      <c r="GJ52" s="14">
        <f t="shared" si="43"/>
        <v>38</v>
      </c>
      <c r="GK52" s="48">
        <f t="shared" si="262"/>
        <v>0</v>
      </c>
      <c r="GL52" s="68">
        <f t="shared" si="193"/>
        <v>0</v>
      </c>
      <c r="GM52" s="51">
        <f t="shared" si="44"/>
        <v>425</v>
      </c>
      <c r="GN52" s="103">
        <f t="shared" si="477"/>
        <v>0</v>
      </c>
      <c r="GO52" s="46">
        <f t="shared" si="281"/>
        <v>425</v>
      </c>
      <c r="GP52" s="50">
        <f t="shared" si="45"/>
        <v>79</v>
      </c>
      <c r="GQ52" s="103">
        <f t="shared" si="478"/>
        <v>0</v>
      </c>
      <c r="GR52" s="46">
        <f t="shared" si="167"/>
        <v>79</v>
      </c>
      <c r="GT52" s="120">
        <f t="shared" si="479"/>
        <v>21</v>
      </c>
      <c r="GU52" s="7">
        <f t="shared" si="480"/>
        <v>6</v>
      </c>
      <c r="GV52" s="133"/>
      <c r="GW52" s="14">
        <f t="shared" si="438"/>
        <v>0</v>
      </c>
      <c r="GX52" s="59">
        <f t="shared" si="282"/>
        <v>0</v>
      </c>
      <c r="GY52" s="405"/>
      <c r="GZ52" s="406"/>
      <c r="HA52" s="406"/>
      <c r="HB52" s="14">
        <f t="shared" si="220"/>
        <v>0</v>
      </c>
      <c r="HC52" s="14">
        <f t="shared" si="195"/>
        <v>0</v>
      </c>
      <c r="HD52" s="14">
        <f t="shared" si="46"/>
        <v>0.18</v>
      </c>
      <c r="HE52" s="47">
        <f t="shared" si="221"/>
        <v>0</v>
      </c>
      <c r="HF52" s="35">
        <f t="shared" si="47"/>
        <v>2.56</v>
      </c>
      <c r="HG52" s="157">
        <f t="shared" si="197"/>
        <v>0</v>
      </c>
      <c r="HH52" s="134"/>
      <c r="HI52" s="14">
        <f t="shared" si="48"/>
        <v>38</v>
      </c>
      <c r="HJ52" s="48">
        <f t="shared" si="263"/>
        <v>0</v>
      </c>
      <c r="HK52" s="68">
        <f t="shared" si="198"/>
        <v>0</v>
      </c>
      <c r="HL52" s="51">
        <f t="shared" si="49"/>
        <v>425</v>
      </c>
      <c r="HM52" s="103">
        <f t="shared" si="481"/>
        <v>0</v>
      </c>
      <c r="HN52" s="46">
        <f t="shared" si="283"/>
        <v>425</v>
      </c>
      <c r="HO52" s="50">
        <f t="shared" si="50"/>
        <v>79</v>
      </c>
      <c r="HP52" s="103">
        <f t="shared" si="482"/>
        <v>0</v>
      </c>
      <c r="HQ52" s="46">
        <f t="shared" si="168"/>
        <v>79</v>
      </c>
    </row>
    <row r="53" spans="1:225" ht="17.25" thickBot="1" x14ac:dyDescent="0.3">
      <c r="B53" s="120">
        <f t="shared" si="447"/>
        <v>11</v>
      </c>
      <c r="C53" s="570">
        <f t="shared" si="448"/>
        <v>6</v>
      </c>
      <c r="D53" s="133"/>
      <c r="E53" s="408">
        <f t="shared" si="223"/>
        <v>96511</v>
      </c>
      <c r="F53" s="562">
        <f t="shared" si="0"/>
        <v>96443</v>
      </c>
      <c r="G53" s="134"/>
      <c r="H53" s="135">
        <v>68</v>
      </c>
      <c r="I53" s="135"/>
      <c r="J53" s="14">
        <f t="shared" si="200"/>
        <v>68</v>
      </c>
      <c r="K53" s="14">
        <f t="shared" si="52"/>
        <v>4822</v>
      </c>
      <c r="L53" s="14">
        <f t="shared" si="1"/>
        <v>0.18</v>
      </c>
      <c r="M53" s="47">
        <f t="shared" si="85"/>
        <v>7.0458289728631968E-2</v>
      </c>
      <c r="N53" s="35">
        <f t="shared" si="2"/>
        <v>2.56</v>
      </c>
      <c r="O53" s="132">
        <f t="shared" si="53"/>
        <v>3.5752152024497121</v>
      </c>
      <c r="P53" s="142">
        <v>2730</v>
      </c>
      <c r="Q53" s="14">
        <f t="shared" si="3"/>
        <v>38</v>
      </c>
      <c r="R53" s="442">
        <f t="shared" si="394"/>
        <v>28.286931023406659</v>
      </c>
      <c r="S53" s="470">
        <f t="shared" si="201"/>
        <v>1006.8035047505774</v>
      </c>
      <c r="T53" s="51">
        <f t="shared" si="5"/>
        <v>425</v>
      </c>
      <c r="U53" s="103">
        <f t="shared" si="449"/>
        <v>450</v>
      </c>
      <c r="V53" s="46">
        <f t="shared" si="55"/>
        <v>-25</v>
      </c>
      <c r="W53" s="12">
        <f t="shared" si="395"/>
        <v>79</v>
      </c>
      <c r="X53" s="103">
        <f t="shared" si="450"/>
        <v>49</v>
      </c>
      <c r="Y53" s="46">
        <f t="shared" si="56"/>
        <v>30</v>
      </c>
      <c r="Z53" s="487"/>
      <c r="AA53" s="120">
        <f t="shared" si="451"/>
        <v>11</v>
      </c>
      <c r="AB53" s="7">
        <f t="shared" si="452"/>
        <v>6</v>
      </c>
      <c r="AC53" s="133"/>
      <c r="AD53" s="48">
        <f t="shared" si="483"/>
        <v>87535</v>
      </c>
      <c r="AE53" s="49">
        <f t="shared" si="484"/>
        <v>87349</v>
      </c>
      <c r="AF53" s="134"/>
      <c r="AG53" s="135">
        <v>186</v>
      </c>
      <c r="AH53" s="135"/>
      <c r="AI53" s="14">
        <f t="shared" si="203"/>
        <v>186</v>
      </c>
      <c r="AJ53" s="14">
        <f t="shared" si="321"/>
        <v>5550</v>
      </c>
      <c r="AK53" s="14">
        <f t="shared" si="8"/>
        <v>0.18</v>
      </c>
      <c r="AL53" s="47">
        <f t="shared" si="58"/>
        <v>0.21248643399782943</v>
      </c>
      <c r="AM53" s="35">
        <f t="shared" si="9"/>
        <v>2.56</v>
      </c>
      <c r="AN53" s="157">
        <f t="shared" si="169"/>
        <v>3.6232830208387736</v>
      </c>
      <c r="AO53" s="134">
        <v>4368</v>
      </c>
      <c r="AP53" s="14">
        <f t="shared" si="10"/>
        <v>38</v>
      </c>
      <c r="AQ53" s="482">
        <f t="shared" si="59"/>
        <v>49.900039984006398</v>
      </c>
      <c r="AR53" s="470">
        <f t="shared" si="323"/>
        <v>1000.9756727656555</v>
      </c>
      <c r="AS53" s="51">
        <f t="shared" si="11"/>
        <v>425</v>
      </c>
      <c r="AT53" s="103">
        <f t="shared" si="453"/>
        <v>403</v>
      </c>
      <c r="AU53" s="46">
        <f t="shared" si="271"/>
        <v>22</v>
      </c>
      <c r="AV53" s="12">
        <f t="shared" si="12"/>
        <v>79</v>
      </c>
      <c r="AW53" s="103">
        <f t="shared" si="454"/>
        <v>66</v>
      </c>
      <c r="AX53" s="46">
        <f t="shared" si="170"/>
        <v>13</v>
      </c>
      <c r="AZ53" s="120">
        <f t="shared" si="455"/>
        <v>11</v>
      </c>
      <c r="BA53" s="7">
        <f t="shared" si="456"/>
        <v>6</v>
      </c>
      <c r="BB53" s="133"/>
      <c r="BC53" s="48">
        <f t="shared" si="403"/>
        <v>93237</v>
      </c>
      <c r="BD53" s="49">
        <f t="shared" si="485"/>
        <v>93213</v>
      </c>
      <c r="BE53" s="134"/>
      <c r="BF53" s="135">
        <v>24</v>
      </c>
      <c r="BG53" s="135"/>
      <c r="BH53" s="14">
        <f t="shared" si="204"/>
        <v>24</v>
      </c>
      <c r="BI53" s="14">
        <f t="shared" si="294"/>
        <v>659</v>
      </c>
      <c r="BJ53" s="14">
        <f t="shared" si="14"/>
        <v>0.18</v>
      </c>
      <c r="BK53" s="47">
        <f t="shared" si="92"/>
        <v>2.5740853952829885E-2</v>
      </c>
      <c r="BL53" s="35">
        <f t="shared" si="15"/>
        <v>2.56</v>
      </c>
      <c r="BM53" s="132">
        <f t="shared" si="326"/>
        <v>0.92296918767507008</v>
      </c>
      <c r="BN53" s="134">
        <v>546</v>
      </c>
      <c r="BO53" s="14">
        <f t="shared" si="17"/>
        <v>38</v>
      </c>
      <c r="BP53" s="442">
        <f t="shared" si="93"/>
        <v>5.8560442742687986</v>
      </c>
      <c r="BQ53" s="747">
        <f t="shared" si="137"/>
        <v>932.94368505027728</v>
      </c>
      <c r="BR53" s="51">
        <f t="shared" si="18"/>
        <v>425</v>
      </c>
      <c r="BS53" s="103">
        <f t="shared" si="457"/>
        <v>400</v>
      </c>
      <c r="BT53" s="46">
        <f t="shared" si="272"/>
        <v>25</v>
      </c>
      <c r="BU53" s="12">
        <f t="shared" si="20"/>
        <v>79</v>
      </c>
      <c r="BV53" s="103">
        <f t="shared" si="458"/>
        <v>58</v>
      </c>
      <c r="BW53" s="46">
        <f t="shared" si="171"/>
        <v>21</v>
      </c>
      <c r="BY53" s="120">
        <f t="shared" si="459"/>
        <v>22</v>
      </c>
      <c r="BZ53" s="7">
        <f t="shared" si="460"/>
        <v>6</v>
      </c>
      <c r="CA53" s="133"/>
      <c r="CB53" s="14">
        <f t="shared" si="172"/>
        <v>0</v>
      </c>
      <c r="CC53" s="46">
        <f>IFERROR(CB53-CG53,0)</f>
        <v>0</v>
      </c>
      <c r="CD53" s="405"/>
      <c r="CE53" s="406"/>
      <c r="CF53" s="406"/>
      <c r="CG53" s="14">
        <f t="shared" si="206"/>
        <v>0</v>
      </c>
      <c r="CH53" s="14">
        <f t="shared" si="173"/>
        <v>0</v>
      </c>
      <c r="CI53" s="14">
        <f t="shared" si="21"/>
        <v>0.18</v>
      </c>
      <c r="CJ53" s="47">
        <f t="shared" si="97"/>
        <v>0</v>
      </c>
      <c r="CK53" s="35">
        <f t="shared" si="22"/>
        <v>2.56</v>
      </c>
      <c r="CL53" s="157">
        <f t="shared" si="140"/>
        <v>0</v>
      </c>
      <c r="CM53" s="134"/>
      <c r="CN53" s="14">
        <f t="shared" si="23"/>
        <v>38</v>
      </c>
      <c r="CO53" s="48">
        <f t="shared" si="141"/>
        <v>0</v>
      </c>
      <c r="CP53" s="68">
        <f t="shared" si="98"/>
        <v>0</v>
      </c>
      <c r="CQ53" s="51">
        <f t="shared" si="24"/>
        <v>425</v>
      </c>
      <c r="CR53" s="103">
        <f t="shared" si="461"/>
        <v>0</v>
      </c>
      <c r="CS53" s="46">
        <f t="shared" si="273"/>
        <v>425</v>
      </c>
      <c r="CT53" s="50">
        <f t="shared" si="25"/>
        <v>79</v>
      </c>
      <c r="CU53" s="103">
        <f t="shared" si="462"/>
        <v>0</v>
      </c>
      <c r="CV53" s="46">
        <f t="shared" si="67"/>
        <v>79</v>
      </c>
      <c r="CX53" s="120">
        <f t="shared" si="463"/>
        <v>22</v>
      </c>
      <c r="CY53" s="7">
        <f t="shared" si="464"/>
        <v>6</v>
      </c>
      <c r="CZ53" s="133"/>
      <c r="DA53" s="14">
        <f t="shared" si="434"/>
        <v>0</v>
      </c>
      <c r="DB53" s="46">
        <f>IFERROR(DA53-DF53,0)</f>
        <v>0</v>
      </c>
      <c r="DC53" s="405"/>
      <c r="DD53" s="406"/>
      <c r="DE53" s="406"/>
      <c r="DF53" s="14">
        <f t="shared" si="208"/>
        <v>0</v>
      </c>
      <c r="DG53" s="14">
        <f t="shared" si="175"/>
        <v>0</v>
      </c>
      <c r="DH53" s="14">
        <f t="shared" si="26"/>
        <v>0.18</v>
      </c>
      <c r="DI53" s="47">
        <f t="shared" si="209"/>
        <v>0</v>
      </c>
      <c r="DJ53" s="35">
        <f t="shared" si="27"/>
        <v>2.56</v>
      </c>
      <c r="DK53" s="157">
        <f t="shared" si="177"/>
        <v>0</v>
      </c>
      <c r="DL53" s="134"/>
      <c r="DM53" s="14">
        <f t="shared" si="28"/>
        <v>38</v>
      </c>
      <c r="DN53" s="48">
        <f t="shared" si="259"/>
        <v>0</v>
      </c>
      <c r="DO53" s="68">
        <f t="shared" si="178"/>
        <v>0</v>
      </c>
      <c r="DP53" s="51">
        <f t="shared" si="29"/>
        <v>425</v>
      </c>
      <c r="DQ53" s="103">
        <f t="shared" si="465"/>
        <v>0</v>
      </c>
      <c r="DR53" s="46">
        <f t="shared" si="275"/>
        <v>425</v>
      </c>
      <c r="DS53" s="50">
        <f t="shared" si="30"/>
        <v>79</v>
      </c>
      <c r="DT53" s="103">
        <f t="shared" si="466"/>
        <v>0</v>
      </c>
      <c r="DU53" s="46">
        <f t="shared" si="164"/>
        <v>79</v>
      </c>
      <c r="DW53" s="120">
        <f t="shared" si="467"/>
        <v>22</v>
      </c>
      <c r="DX53" s="7">
        <f t="shared" si="468"/>
        <v>6</v>
      </c>
      <c r="DY53" s="133"/>
      <c r="DZ53" s="14">
        <f t="shared" si="435"/>
        <v>0</v>
      </c>
      <c r="EA53" s="46">
        <f>IFERROR(DZ53-EE53,0)</f>
        <v>0</v>
      </c>
      <c r="EB53" s="405"/>
      <c r="EC53" s="406"/>
      <c r="ED53" s="406"/>
      <c r="EE53" s="14">
        <f t="shared" si="211"/>
        <v>0</v>
      </c>
      <c r="EF53" s="14">
        <f t="shared" si="180"/>
        <v>0</v>
      </c>
      <c r="EG53" s="14">
        <f t="shared" si="31"/>
        <v>0.18</v>
      </c>
      <c r="EH53" s="47">
        <f t="shared" si="212"/>
        <v>0</v>
      </c>
      <c r="EI53" s="35">
        <f t="shared" si="32"/>
        <v>2.56</v>
      </c>
      <c r="EJ53" s="157">
        <f t="shared" si="182"/>
        <v>0</v>
      </c>
      <c r="EK53" s="134"/>
      <c r="EL53" s="14">
        <f t="shared" si="33"/>
        <v>38</v>
      </c>
      <c r="EM53" s="48">
        <f t="shared" si="260"/>
        <v>0</v>
      </c>
      <c r="EN53" s="68">
        <f t="shared" si="183"/>
        <v>0</v>
      </c>
      <c r="EO53" s="51">
        <f t="shared" si="34"/>
        <v>425</v>
      </c>
      <c r="EP53" s="103">
        <f t="shared" si="469"/>
        <v>0</v>
      </c>
      <c r="EQ53" s="46">
        <f t="shared" si="277"/>
        <v>425</v>
      </c>
      <c r="ER53" s="50">
        <f t="shared" si="35"/>
        <v>79</v>
      </c>
      <c r="ES53" s="103">
        <f t="shared" si="470"/>
        <v>0</v>
      </c>
      <c r="ET53" s="46">
        <f t="shared" si="165"/>
        <v>79</v>
      </c>
      <c r="EV53" s="120">
        <f t="shared" si="471"/>
        <v>22</v>
      </c>
      <c r="EW53" s="7">
        <f t="shared" si="472"/>
        <v>6</v>
      </c>
      <c r="EX53" s="133"/>
      <c r="EY53" s="14">
        <f t="shared" si="436"/>
        <v>0</v>
      </c>
      <c r="EZ53" s="46">
        <f>IFERROR(EY53-FD53,0)</f>
        <v>0</v>
      </c>
      <c r="FA53" s="405"/>
      <c r="FB53" s="406"/>
      <c r="FC53" s="406"/>
      <c r="FD53" s="14">
        <f t="shared" si="214"/>
        <v>0</v>
      </c>
      <c r="FE53" s="14">
        <f t="shared" si="185"/>
        <v>0</v>
      </c>
      <c r="FF53" s="14">
        <f t="shared" si="36"/>
        <v>0.18</v>
      </c>
      <c r="FG53" s="47">
        <f t="shared" si="215"/>
        <v>0</v>
      </c>
      <c r="FH53" s="35">
        <f t="shared" si="37"/>
        <v>2.56</v>
      </c>
      <c r="FI53" s="157">
        <f t="shared" si="187"/>
        <v>0</v>
      </c>
      <c r="FJ53" s="134"/>
      <c r="FK53" s="14">
        <f t="shared" si="38"/>
        <v>38</v>
      </c>
      <c r="FL53" s="48">
        <f t="shared" si="261"/>
        <v>0</v>
      </c>
      <c r="FM53" s="68">
        <f t="shared" si="188"/>
        <v>0</v>
      </c>
      <c r="FN53" s="51">
        <f t="shared" si="39"/>
        <v>425</v>
      </c>
      <c r="FO53" s="103">
        <f t="shared" si="473"/>
        <v>0</v>
      </c>
      <c r="FP53" s="46">
        <f t="shared" si="279"/>
        <v>425</v>
      </c>
      <c r="FQ53" s="50">
        <f t="shared" si="40"/>
        <v>79</v>
      </c>
      <c r="FR53" s="103">
        <f t="shared" si="474"/>
        <v>0</v>
      </c>
      <c r="FS53" s="46">
        <f t="shared" si="166"/>
        <v>79</v>
      </c>
      <c r="FU53" s="120">
        <f t="shared" si="475"/>
        <v>22</v>
      </c>
      <c r="FV53" s="7">
        <f t="shared" si="476"/>
        <v>6</v>
      </c>
      <c r="FW53" s="133"/>
      <c r="FX53" s="14">
        <f t="shared" si="437"/>
        <v>0</v>
      </c>
      <c r="FY53" s="46">
        <f>IFERROR(FX53-GC53,0)</f>
        <v>0</v>
      </c>
      <c r="FZ53" s="405"/>
      <c r="GA53" s="406"/>
      <c r="GB53" s="406"/>
      <c r="GC53" s="14">
        <f t="shared" si="217"/>
        <v>0</v>
      </c>
      <c r="GD53" s="14">
        <f t="shared" si="190"/>
        <v>0</v>
      </c>
      <c r="GE53" s="14">
        <f t="shared" si="41"/>
        <v>0.18</v>
      </c>
      <c r="GF53" s="47">
        <f t="shared" si="218"/>
        <v>0</v>
      </c>
      <c r="GG53" s="35">
        <f t="shared" si="42"/>
        <v>2.56</v>
      </c>
      <c r="GH53" s="157">
        <f t="shared" si="192"/>
        <v>0</v>
      </c>
      <c r="GI53" s="134"/>
      <c r="GJ53" s="14">
        <f t="shared" si="43"/>
        <v>38</v>
      </c>
      <c r="GK53" s="48">
        <f t="shared" si="262"/>
        <v>0</v>
      </c>
      <c r="GL53" s="68">
        <f t="shared" si="193"/>
        <v>0</v>
      </c>
      <c r="GM53" s="51">
        <f t="shared" si="44"/>
        <v>425</v>
      </c>
      <c r="GN53" s="103">
        <f t="shared" si="477"/>
        <v>0</v>
      </c>
      <c r="GO53" s="46">
        <f t="shared" si="281"/>
        <v>425</v>
      </c>
      <c r="GP53" s="50">
        <f t="shared" si="45"/>
        <v>79</v>
      </c>
      <c r="GQ53" s="103">
        <f t="shared" si="478"/>
        <v>0</v>
      </c>
      <c r="GR53" s="46">
        <f t="shared" si="167"/>
        <v>79</v>
      </c>
      <c r="GT53" s="120">
        <f t="shared" si="479"/>
        <v>22</v>
      </c>
      <c r="GU53" s="7">
        <f t="shared" si="480"/>
        <v>6</v>
      </c>
      <c r="GV53" s="133"/>
      <c r="GW53" s="14">
        <f t="shared" si="438"/>
        <v>0</v>
      </c>
      <c r="GX53" s="46">
        <f>IFERROR(GW53-HB53,0)</f>
        <v>0</v>
      </c>
      <c r="GY53" s="405"/>
      <c r="GZ53" s="406"/>
      <c r="HA53" s="406"/>
      <c r="HB53" s="14">
        <f t="shared" si="220"/>
        <v>0</v>
      </c>
      <c r="HC53" s="14">
        <f t="shared" si="195"/>
        <v>0</v>
      </c>
      <c r="HD53" s="14">
        <f t="shared" si="46"/>
        <v>0.18</v>
      </c>
      <c r="HE53" s="47">
        <f t="shared" si="221"/>
        <v>0</v>
      </c>
      <c r="HF53" s="35">
        <f t="shared" si="47"/>
        <v>2.56</v>
      </c>
      <c r="HG53" s="157">
        <f t="shared" si="197"/>
        <v>0</v>
      </c>
      <c r="HH53" s="134"/>
      <c r="HI53" s="14">
        <f t="shared" si="48"/>
        <v>38</v>
      </c>
      <c r="HJ53" s="48">
        <f t="shared" si="263"/>
        <v>0</v>
      </c>
      <c r="HK53" s="68">
        <f t="shared" si="198"/>
        <v>0</v>
      </c>
      <c r="HL53" s="51">
        <f t="shared" si="49"/>
        <v>425</v>
      </c>
      <c r="HM53" s="103">
        <f t="shared" si="481"/>
        <v>0</v>
      </c>
      <c r="HN53" s="46">
        <f t="shared" si="283"/>
        <v>425</v>
      </c>
      <c r="HO53" s="50">
        <f t="shared" si="50"/>
        <v>79</v>
      </c>
      <c r="HP53" s="103">
        <f t="shared" si="482"/>
        <v>0</v>
      </c>
      <c r="HQ53" s="46">
        <f t="shared" si="168"/>
        <v>79</v>
      </c>
    </row>
    <row r="54" spans="1:225" ht="17.25" thickBot="1" x14ac:dyDescent="0.3">
      <c r="B54" s="120">
        <f t="shared" si="447"/>
        <v>12</v>
      </c>
      <c r="C54" s="574">
        <f t="shared" si="448"/>
        <v>6</v>
      </c>
      <c r="D54" s="136"/>
      <c r="E54" s="436">
        <f t="shared" si="223"/>
        <v>96443</v>
      </c>
      <c r="F54" s="451">
        <f t="shared" si="0"/>
        <v>96383</v>
      </c>
      <c r="G54" s="137"/>
      <c r="H54" s="138">
        <v>60</v>
      </c>
      <c r="I54" s="138"/>
      <c r="J54" s="32">
        <f t="shared" si="200"/>
        <v>60</v>
      </c>
      <c r="K54" s="32">
        <f t="shared" si="52"/>
        <v>4882</v>
      </c>
      <c r="L54" s="32">
        <f t="shared" si="1"/>
        <v>0.18</v>
      </c>
      <c r="M54" s="96">
        <f t="shared" si="85"/>
        <v>6.2212913327042915E-2</v>
      </c>
      <c r="N54" s="36">
        <f t="shared" si="2"/>
        <v>2.56</v>
      </c>
      <c r="O54" s="132">
        <f t="shared" si="53"/>
        <v>3.6197014969638106</v>
      </c>
      <c r="P54" s="139">
        <v>2730</v>
      </c>
      <c r="Q54" s="32">
        <f t="shared" si="3"/>
        <v>38</v>
      </c>
      <c r="R54" s="443">
        <f t="shared" si="394"/>
        <v>28.306875563804525</v>
      </c>
      <c r="S54" s="471">
        <f t="shared" si="201"/>
        <v>1035.1103803143819</v>
      </c>
      <c r="T54" s="56">
        <f t="shared" si="5"/>
        <v>425</v>
      </c>
      <c r="U54" s="109">
        <f t="shared" si="449"/>
        <v>450</v>
      </c>
      <c r="V54" s="63">
        <f t="shared" si="55"/>
        <v>-25</v>
      </c>
      <c r="W54" s="56">
        <f t="shared" si="395"/>
        <v>79</v>
      </c>
      <c r="X54" s="109">
        <f t="shared" si="450"/>
        <v>49</v>
      </c>
      <c r="Y54" s="63">
        <f t="shared" si="56"/>
        <v>30</v>
      </c>
      <c r="Z54" s="487"/>
      <c r="AA54" s="120">
        <f t="shared" si="451"/>
        <v>12</v>
      </c>
      <c r="AB54" s="8">
        <f t="shared" si="452"/>
        <v>6</v>
      </c>
      <c r="AC54" s="136"/>
      <c r="AD54" s="54">
        <f t="shared" si="483"/>
        <v>87349</v>
      </c>
      <c r="AE54" s="448">
        <f t="shared" si="484"/>
        <v>87266</v>
      </c>
      <c r="AF54" s="137"/>
      <c r="AG54" s="138">
        <v>83</v>
      </c>
      <c r="AH54" s="138"/>
      <c r="AI54" s="34">
        <f t="shared" si="203"/>
        <v>83</v>
      </c>
      <c r="AJ54" s="34">
        <f t="shared" si="321"/>
        <v>5633</v>
      </c>
      <c r="AK54" s="32">
        <f t="shared" si="8"/>
        <v>0.18</v>
      </c>
      <c r="AL54" s="231">
        <f t="shared" si="58"/>
        <v>9.5021122165107788E-2</v>
      </c>
      <c r="AM54" s="36">
        <f t="shared" si="9"/>
        <v>2.56</v>
      </c>
      <c r="AN54" s="157">
        <f t="shared" si="169"/>
        <v>3.6774690552044706</v>
      </c>
      <c r="AO54" s="137">
        <v>4095</v>
      </c>
      <c r="AP54" s="13">
        <f t="shared" si="10"/>
        <v>38</v>
      </c>
      <c r="AQ54" s="443">
        <f t="shared" si="59"/>
        <v>46.880903044110404</v>
      </c>
      <c r="AR54" s="471">
        <f t="shared" si="323"/>
        <v>1047.8565758097659</v>
      </c>
      <c r="AS54" s="50">
        <f t="shared" si="11"/>
        <v>425</v>
      </c>
      <c r="AT54" s="103">
        <f t="shared" si="453"/>
        <v>403</v>
      </c>
      <c r="AU54" s="63">
        <f t="shared" si="271"/>
        <v>22</v>
      </c>
      <c r="AV54" s="56">
        <f t="shared" si="12"/>
        <v>79</v>
      </c>
      <c r="AW54" s="103">
        <f t="shared" si="454"/>
        <v>66</v>
      </c>
      <c r="AX54" s="63">
        <f t="shared" si="170"/>
        <v>13</v>
      </c>
      <c r="AZ54" s="197">
        <f t="shared" si="455"/>
        <v>12</v>
      </c>
      <c r="BA54" s="8">
        <f t="shared" si="456"/>
        <v>6</v>
      </c>
      <c r="BB54" s="136"/>
      <c r="BC54" s="54">
        <f t="shared" si="403"/>
        <v>93213</v>
      </c>
      <c r="BD54" s="448">
        <f t="shared" si="485"/>
        <v>93193</v>
      </c>
      <c r="BE54" s="137"/>
      <c r="BF54" s="138">
        <v>20</v>
      </c>
      <c r="BG54" s="138"/>
      <c r="BH54" s="34">
        <f t="shared" si="204"/>
        <v>20</v>
      </c>
      <c r="BI54" s="34">
        <f t="shared" si="294"/>
        <v>679</v>
      </c>
      <c r="BJ54" s="32">
        <f t="shared" si="14"/>
        <v>0.18</v>
      </c>
      <c r="BK54" s="96">
        <f t="shared" si="92"/>
        <v>2.1456234645382082E-2</v>
      </c>
      <c r="BL54" s="36">
        <f t="shared" si="15"/>
        <v>2.56</v>
      </c>
      <c r="BM54" s="132">
        <f t="shared" si="326"/>
        <v>0.9509803921568627</v>
      </c>
      <c r="BN54" s="137">
        <v>3549</v>
      </c>
      <c r="BO54" s="32">
        <f t="shared" si="17"/>
        <v>38</v>
      </c>
      <c r="BP54" s="443">
        <f t="shared" si="93"/>
        <v>38.074088378230499</v>
      </c>
      <c r="BQ54" s="750">
        <f t="shared" si="137"/>
        <v>971.01777342850778</v>
      </c>
      <c r="BR54" s="56">
        <f t="shared" si="18"/>
        <v>425</v>
      </c>
      <c r="BS54" s="109">
        <f t="shared" si="457"/>
        <v>400</v>
      </c>
      <c r="BT54" s="63">
        <f t="shared" si="272"/>
        <v>25</v>
      </c>
      <c r="BU54" s="56">
        <f t="shared" si="20"/>
        <v>79</v>
      </c>
      <c r="BV54" s="109">
        <f t="shared" si="458"/>
        <v>58</v>
      </c>
      <c r="BW54" s="63">
        <f t="shared" si="171"/>
        <v>21</v>
      </c>
      <c r="BY54" s="120">
        <f t="shared" si="459"/>
        <v>23</v>
      </c>
      <c r="BZ54" s="8">
        <f t="shared" si="460"/>
        <v>6</v>
      </c>
      <c r="CA54" s="136"/>
      <c r="CB54" s="32">
        <f t="shared" si="172"/>
        <v>0</v>
      </c>
      <c r="CC54" s="63">
        <f t="shared" si="205"/>
        <v>0</v>
      </c>
      <c r="CD54" s="421"/>
      <c r="CE54" s="426"/>
      <c r="CF54" s="426"/>
      <c r="CG54" s="34">
        <f t="shared" si="206"/>
        <v>0</v>
      </c>
      <c r="CH54" s="34">
        <f t="shared" si="173"/>
        <v>0</v>
      </c>
      <c r="CI54" s="32">
        <f t="shared" si="21"/>
        <v>0.18</v>
      </c>
      <c r="CJ54" s="96">
        <f t="shared" si="97"/>
        <v>0</v>
      </c>
      <c r="CK54" s="36">
        <f t="shared" si="22"/>
        <v>2.56</v>
      </c>
      <c r="CL54" s="156">
        <f t="shared" si="140"/>
        <v>0</v>
      </c>
      <c r="CM54" s="137"/>
      <c r="CN54" s="13">
        <f t="shared" si="23"/>
        <v>38</v>
      </c>
      <c r="CO54" s="54">
        <f t="shared" si="141"/>
        <v>0</v>
      </c>
      <c r="CP54" s="70">
        <f t="shared" si="98"/>
        <v>0</v>
      </c>
      <c r="CQ54" s="50">
        <f t="shared" si="24"/>
        <v>425</v>
      </c>
      <c r="CR54" s="103">
        <f t="shared" si="461"/>
        <v>0</v>
      </c>
      <c r="CS54" s="63">
        <f t="shared" si="273"/>
        <v>425</v>
      </c>
      <c r="CT54" s="56">
        <f t="shared" si="25"/>
        <v>79</v>
      </c>
      <c r="CU54" s="103">
        <f t="shared" si="462"/>
        <v>0</v>
      </c>
      <c r="CV54" s="63">
        <f t="shared" si="67"/>
        <v>79</v>
      </c>
      <c r="CX54" s="120">
        <f t="shared" si="463"/>
        <v>23</v>
      </c>
      <c r="CY54" s="8">
        <f t="shared" si="464"/>
        <v>6</v>
      </c>
      <c r="CZ54" s="136"/>
      <c r="DA54" s="32">
        <f t="shared" si="434"/>
        <v>0</v>
      </c>
      <c r="DB54" s="63">
        <f t="shared" ref="DB54:DB117" si="486">IFERROR(DA54-DF54,0)</f>
        <v>0</v>
      </c>
      <c r="DC54" s="421"/>
      <c r="DD54" s="426"/>
      <c r="DE54" s="426"/>
      <c r="DF54" s="34">
        <f t="shared" si="208"/>
        <v>0</v>
      </c>
      <c r="DG54" s="34">
        <f t="shared" si="175"/>
        <v>0</v>
      </c>
      <c r="DH54" s="32">
        <f t="shared" si="26"/>
        <v>0.18</v>
      </c>
      <c r="DI54" s="96">
        <f t="shared" si="209"/>
        <v>0</v>
      </c>
      <c r="DJ54" s="36">
        <f t="shared" si="27"/>
        <v>2.56</v>
      </c>
      <c r="DK54" s="156">
        <f t="shared" si="177"/>
        <v>0</v>
      </c>
      <c r="DL54" s="137"/>
      <c r="DM54" s="13">
        <f t="shared" si="28"/>
        <v>38</v>
      </c>
      <c r="DN54" s="54">
        <f t="shared" si="259"/>
        <v>0</v>
      </c>
      <c r="DO54" s="70">
        <f t="shared" si="178"/>
        <v>0</v>
      </c>
      <c r="DP54" s="50">
        <f t="shared" si="29"/>
        <v>425</v>
      </c>
      <c r="DQ54" s="103">
        <f t="shared" si="465"/>
        <v>0</v>
      </c>
      <c r="DR54" s="63">
        <f t="shared" si="275"/>
        <v>425</v>
      </c>
      <c r="DS54" s="56">
        <f t="shared" si="30"/>
        <v>79</v>
      </c>
      <c r="DT54" s="103">
        <f t="shared" si="466"/>
        <v>0</v>
      </c>
      <c r="DU54" s="63">
        <f t="shared" si="164"/>
        <v>79</v>
      </c>
      <c r="DW54" s="120">
        <f t="shared" si="467"/>
        <v>23</v>
      </c>
      <c r="DX54" s="8">
        <f t="shared" si="468"/>
        <v>6</v>
      </c>
      <c r="DY54" s="136"/>
      <c r="DZ54" s="32">
        <f t="shared" si="435"/>
        <v>0</v>
      </c>
      <c r="EA54" s="63">
        <f t="shared" ref="EA54:EA117" si="487">IFERROR(DZ54-EE54,0)</f>
        <v>0</v>
      </c>
      <c r="EB54" s="421"/>
      <c r="EC54" s="426"/>
      <c r="ED54" s="426"/>
      <c r="EE54" s="34">
        <f t="shared" si="211"/>
        <v>0</v>
      </c>
      <c r="EF54" s="34">
        <f t="shared" si="180"/>
        <v>0</v>
      </c>
      <c r="EG54" s="32">
        <f t="shared" si="31"/>
        <v>0.18</v>
      </c>
      <c r="EH54" s="96">
        <f t="shared" si="212"/>
        <v>0</v>
      </c>
      <c r="EI54" s="36">
        <f t="shared" si="32"/>
        <v>2.56</v>
      </c>
      <c r="EJ54" s="156">
        <f t="shared" si="182"/>
        <v>0</v>
      </c>
      <c r="EK54" s="137"/>
      <c r="EL54" s="13">
        <f t="shared" si="33"/>
        <v>38</v>
      </c>
      <c r="EM54" s="54">
        <f t="shared" si="260"/>
        <v>0</v>
      </c>
      <c r="EN54" s="70">
        <f t="shared" si="183"/>
        <v>0</v>
      </c>
      <c r="EO54" s="50">
        <f t="shared" si="34"/>
        <v>425</v>
      </c>
      <c r="EP54" s="103">
        <f t="shared" si="469"/>
        <v>0</v>
      </c>
      <c r="EQ54" s="63">
        <f t="shared" si="277"/>
        <v>425</v>
      </c>
      <c r="ER54" s="56">
        <f t="shared" si="35"/>
        <v>79</v>
      </c>
      <c r="ES54" s="103">
        <f t="shared" si="470"/>
        <v>0</v>
      </c>
      <c r="ET54" s="63">
        <f t="shared" si="165"/>
        <v>79</v>
      </c>
      <c r="EV54" s="120">
        <f t="shared" si="471"/>
        <v>23</v>
      </c>
      <c r="EW54" s="8">
        <f t="shared" si="472"/>
        <v>6</v>
      </c>
      <c r="EX54" s="136"/>
      <c r="EY54" s="32">
        <f t="shared" si="436"/>
        <v>0</v>
      </c>
      <c r="EZ54" s="63">
        <f t="shared" ref="EZ54:EZ117" si="488">IFERROR(EY54-FD54,0)</f>
        <v>0</v>
      </c>
      <c r="FA54" s="421"/>
      <c r="FB54" s="426"/>
      <c r="FC54" s="426"/>
      <c r="FD54" s="34">
        <f t="shared" si="214"/>
        <v>0</v>
      </c>
      <c r="FE54" s="34">
        <f t="shared" si="185"/>
        <v>0</v>
      </c>
      <c r="FF54" s="32">
        <f t="shared" si="36"/>
        <v>0.18</v>
      </c>
      <c r="FG54" s="96">
        <f t="shared" si="215"/>
        <v>0</v>
      </c>
      <c r="FH54" s="36">
        <f t="shared" si="37"/>
        <v>2.56</v>
      </c>
      <c r="FI54" s="156">
        <f t="shared" si="187"/>
        <v>0</v>
      </c>
      <c r="FJ54" s="137"/>
      <c r="FK54" s="13">
        <f t="shared" si="38"/>
        <v>38</v>
      </c>
      <c r="FL54" s="54">
        <f t="shared" si="261"/>
        <v>0</v>
      </c>
      <c r="FM54" s="70">
        <f t="shared" si="188"/>
        <v>0</v>
      </c>
      <c r="FN54" s="50">
        <f t="shared" si="39"/>
        <v>425</v>
      </c>
      <c r="FO54" s="103">
        <f t="shared" si="473"/>
        <v>0</v>
      </c>
      <c r="FP54" s="63">
        <f t="shared" si="279"/>
        <v>425</v>
      </c>
      <c r="FQ54" s="56">
        <f t="shared" si="40"/>
        <v>79</v>
      </c>
      <c r="FR54" s="103">
        <f t="shared" si="474"/>
        <v>0</v>
      </c>
      <c r="FS54" s="63">
        <f t="shared" si="166"/>
        <v>79</v>
      </c>
      <c r="FU54" s="120">
        <f t="shared" si="475"/>
        <v>23</v>
      </c>
      <c r="FV54" s="8">
        <f t="shared" si="476"/>
        <v>6</v>
      </c>
      <c r="FW54" s="136"/>
      <c r="FX54" s="32">
        <f t="shared" si="437"/>
        <v>0</v>
      </c>
      <c r="FY54" s="63">
        <f t="shared" ref="FY54:FY117" si="489">IFERROR(FX54-GC54,0)</f>
        <v>0</v>
      </c>
      <c r="FZ54" s="421"/>
      <c r="GA54" s="426"/>
      <c r="GB54" s="426"/>
      <c r="GC54" s="34">
        <f t="shared" si="217"/>
        <v>0</v>
      </c>
      <c r="GD54" s="34">
        <f t="shared" si="190"/>
        <v>0</v>
      </c>
      <c r="GE54" s="32">
        <f t="shared" si="41"/>
        <v>0.18</v>
      </c>
      <c r="GF54" s="96">
        <f t="shared" si="218"/>
        <v>0</v>
      </c>
      <c r="GG54" s="36">
        <f t="shared" si="42"/>
        <v>2.56</v>
      </c>
      <c r="GH54" s="156">
        <f t="shared" si="192"/>
        <v>0</v>
      </c>
      <c r="GI54" s="137"/>
      <c r="GJ54" s="13">
        <f t="shared" si="43"/>
        <v>38</v>
      </c>
      <c r="GK54" s="54">
        <f t="shared" si="262"/>
        <v>0</v>
      </c>
      <c r="GL54" s="70">
        <f t="shared" si="193"/>
        <v>0</v>
      </c>
      <c r="GM54" s="50">
        <f t="shared" si="44"/>
        <v>425</v>
      </c>
      <c r="GN54" s="103">
        <f t="shared" si="477"/>
        <v>0</v>
      </c>
      <c r="GO54" s="63">
        <f t="shared" si="281"/>
        <v>425</v>
      </c>
      <c r="GP54" s="56">
        <f t="shared" si="45"/>
        <v>79</v>
      </c>
      <c r="GQ54" s="103">
        <f t="shared" si="478"/>
        <v>0</v>
      </c>
      <c r="GR54" s="63">
        <f t="shared" si="167"/>
        <v>79</v>
      </c>
      <c r="GT54" s="120">
        <f t="shared" si="479"/>
        <v>23</v>
      </c>
      <c r="GU54" s="8">
        <f t="shared" si="480"/>
        <v>6</v>
      </c>
      <c r="GV54" s="136"/>
      <c r="GW54" s="32">
        <f t="shared" si="438"/>
        <v>0</v>
      </c>
      <c r="GX54" s="63">
        <f t="shared" ref="GX54:GX117" si="490">IFERROR(GW54-HB54,0)</f>
        <v>0</v>
      </c>
      <c r="GY54" s="421"/>
      <c r="GZ54" s="426"/>
      <c r="HA54" s="426"/>
      <c r="HB54" s="34">
        <f t="shared" si="220"/>
        <v>0</v>
      </c>
      <c r="HC54" s="34">
        <f t="shared" si="195"/>
        <v>0</v>
      </c>
      <c r="HD54" s="32">
        <f t="shared" si="46"/>
        <v>0.18</v>
      </c>
      <c r="HE54" s="96">
        <f t="shared" si="221"/>
        <v>0</v>
      </c>
      <c r="HF54" s="36">
        <f t="shared" si="47"/>
        <v>2.56</v>
      </c>
      <c r="HG54" s="156">
        <f t="shared" si="197"/>
        <v>0</v>
      </c>
      <c r="HH54" s="137"/>
      <c r="HI54" s="13">
        <f t="shared" si="48"/>
        <v>38</v>
      </c>
      <c r="HJ54" s="54">
        <f t="shared" si="263"/>
        <v>0</v>
      </c>
      <c r="HK54" s="70">
        <f t="shared" si="198"/>
        <v>0</v>
      </c>
      <c r="HL54" s="50">
        <f t="shared" si="49"/>
        <v>425</v>
      </c>
      <c r="HM54" s="103">
        <f t="shared" si="481"/>
        <v>0</v>
      </c>
      <c r="HN54" s="63">
        <f t="shared" si="283"/>
        <v>425</v>
      </c>
      <c r="HO54" s="56">
        <f t="shared" si="50"/>
        <v>79</v>
      </c>
      <c r="HP54" s="103">
        <f t="shared" si="482"/>
        <v>0</v>
      </c>
      <c r="HQ54" s="63">
        <f t="shared" si="168"/>
        <v>79</v>
      </c>
    </row>
    <row r="55" spans="1:225" ht="17.25" thickBot="1" x14ac:dyDescent="0.3">
      <c r="B55" s="118">
        <v>13</v>
      </c>
      <c r="C55" s="575">
        <v>7</v>
      </c>
      <c r="D55" s="129"/>
      <c r="E55" s="400">
        <f t="shared" si="223"/>
        <v>96383</v>
      </c>
      <c r="F55" s="561">
        <f t="shared" si="0"/>
        <v>96352</v>
      </c>
      <c r="G55" s="130"/>
      <c r="H55" s="131">
        <v>31</v>
      </c>
      <c r="I55" s="131"/>
      <c r="J55" s="11">
        <f t="shared" si="200"/>
        <v>31</v>
      </c>
      <c r="K55" s="11">
        <f t="shared" si="52"/>
        <v>4913</v>
      </c>
      <c r="L55" s="16">
        <f t="shared" si="1"/>
        <v>0.16</v>
      </c>
      <c r="M55" s="153">
        <f t="shared" si="85"/>
        <v>3.2163348308311634E-2</v>
      </c>
      <c r="N55" s="154">
        <f t="shared" si="2"/>
        <v>2.72</v>
      </c>
      <c r="O55" s="132">
        <f t="shared" si="53"/>
        <v>3.6426860824627614</v>
      </c>
      <c r="P55" s="158">
        <v>4095</v>
      </c>
      <c r="Q55" s="11">
        <f t="shared" si="3"/>
        <v>42</v>
      </c>
      <c r="R55" s="481">
        <f t="shared" si="394"/>
        <v>42.486745587914882</v>
      </c>
      <c r="S55" s="469">
        <f t="shared" si="201"/>
        <v>1077.5971259022967</v>
      </c>
      <c r="T55" s="58">
        <f t="shared" si="5"/>
        <v>524</v>
      </c>
      <c r="U55" s="131">
        <v>504</v>
      </c>
      <c r="V55" s="41">
        <f t="shared" si="55"/>
        <v>20</v>
      </c>
      <c r="W55" s="18">
        <f t="shared" si="395"/>
        <v>79</v>
      </c>
      <c r="X55" s="131">
        <v>68</v>
      </c>
      <c r="Y55" s="41">
        <f t="shared" si="56"/>
        <v>11</v>
      </c>
      <c r="Z55" s="487"/>
      <c r="AA55" s="118">
        <v>13</v>
      </c>
      <c r="AB55" s="9">
        <v>7</v>
      </c>
      <c r="AC55" s="129"/>
      <c r="AD55" s="43">
        <f t="shared" si="483"/>
        <v>87266</v>
      </c>
      <c r="AE55" s="44">
        <f t="shared" si="484"/>
        <v>87201</v>
      </c>
      <c r="AF55" s="130"/>
      <c r="AG55" s="131">
        <v>65</v>
      </c>
      <c r="AH55" s="131"/>
      <c r="AI55" s="11">
        <f t="shared" si="203"/>
        <v>65</v>
      </c>
      <c r="AJ55" s="11">
        <f t="shared" si="321"/>
        <v>5698</v>
      </c>
      <c r="AK55" s="31">
        <f t="shared" si="8"/>
        <v>0.16</v>
      </c>
      <c r="AL55" s="153">
        <f t="shared" si="58"/>
        <v>7.4484908211674652E-2</v>
      </c>
      <c r="AM55" s="37">
        <f t="shared" si="9"/>
        <v>2.72</v>
      </c>
      <c r="AN55" s="157">
        <f t="shared" si="169"/>
        <v>3.7199039013944741</v>
      </c>
      <c r="AO55" s="130">
        <v>4095</v>
      </c>
      <c r="AP55" s="11">
        <f t="shared" si="10"/>
        <v>42</v>
      </c>
      <c r="AQ55" s="481">
        <f t="shared" si="59"/>
        <v>46.925492173355032</v>
      </c>
      <c r="AR55" s="469">
        <f t="shared" si="323"/>
        <v>1094.7820679831209</v>
      </c>
      <c r="AS55" s="58">
        <f t="shared" si="11"/>
        <v>524</v>
      </c>
      <c r="AT55" s="131">
        <v>439</v>
      </c>
      <c r="AU55" s="41">
        <f t="shared" si="271"/>
        <v>85</v>
      </c>
      <c r="AV55" s="18">
        <f t="shared" si="12"/>
        <v>79</v>
      </c>
      <c r="AW55" s="131">
        <v>35</v>
      </c>
      <c r="AX55" s="41">
        <f t="shared" si="170"/>
        <v>44</v>
      </c>
      <c r="AZ55" s="118">
        <v>13</v>
      </c>
      <c r="BA55" s="9">
        <v>7</v>
      </c>
      <c r="BB55" s="129"/>
      <c r="BC55" s="43">
        <f t="shared" si="403"/>
        <v>93193</v>
      </c>
      <c r="BD55" s="44">
        <f t="shared" si="485"/>
        <v>93175</v>
      </c>
      <c r="BE55" s="130"/>
      <c r="BF55" s="131">
        <v>18</v>
      </c>
      <c r="BG55" s="131"/>
      <c r="BH55" s="11">
        <f t="shared" si="204"/>
        <v>18</v>
      </c>
      <c r="BI55" s="11">
        <f t="shared" si="294"/>
        <v>697</v>
      </c>
      <c r="BJ55" s="16">
        <f t="shared" si="14"/>
        <v>0.16</v>
      </c>
      <c r="BK55" s="42">
        <f t="shared" si="92"/>
        <v>1.9314755400083698E-2</v>
      </c>
      <c r="BL55" s="154">
        <f t="shared" si="15"/>
        <v>2.72</v>
      </c>
      <c r="BM55" s="132">
        <f t="shared" si="326"/>
        <v>0.97619047619047616</v>
      </c>
      <c r="BN55" s="130">
        <v>2730</v>
      </c>
      <c r="BO55" s="11">
        <f t="shared" si="17"/>
        <v>42</v>
      </c>
      <c r="BP55" s="441">
        <f t="shared" si="93"/>
        <v>29.294045690126939</v>
      </c>
      <c r="BQ55" s="746">
        <f t="shared" si="137"/>
        <v>1000.3118191186347</v>
      </c>
      <c r="BR55" s="58">
        <f t="shared" si="18"/>
        <v>524</v>
      </c>
      <c r="BS55" s="131">
        <v>492</v>
      </c>
      <c r="BT55" s="41">
        <f t="shared" si="272"/>
        <v>32</v>
      </c>
      <c r="BU55" s="18">
        <f t="shared" si="20"/>
        <v>79</v>
      </c>
      <c r="BV55" s="131">
        <v>54</v>
      </c>
      <c r="BW55" s="41">
        <f t="shared" si="171"/>
        <v>25</v>
      </c>
      <c r="BY55" s="118">
        <v>24</v>
      </c>
      <c r="BZ55" s="9">
        <v>7</v>
      </c>
      <c r="CA55" s="129"/>
      <c r="CB55" s="11">
        <f t="shared" si="172"/>
        <v>0</v>
      </c>
      <c r="CC55" s="41">
        <f t="shared" si="205"/>
        <v>0</v>
      </c>
      <c r="CD55" s="398"/>
      <c r="CE55" s="399"/>
      <c r="CF55" s="399"/>
      <c r="CG55" s="11">
        <f t="shared" si="206"/>
        <v>0</v>
      </c>
      <c r="CH55" s="11">
        <f t="shared" si="173"/>
        <v>0</v>
      </c>
      <c r="CI55" s="17">
        <f t="shared" si="21"/>
        <v>0.16</v>
      </c>
      <c r="CJ55" s="235">
        <f t="shared" si="97"/>
        <v>0</v>
      </c>
      <c r="CK55" s="33">
        <f t="shared" si="22"/>
        <v>2.72</v>
      </c>
      <c r="CL55" s="155">
        <f t="shared" si="140"/>
        <v>0</v>
      </c>
      <c r="CM55" s="130"/>
      <c r="CN55" s="11">
        <f t="shared" si="23"/>
        <v>42</v>
      </c>
      <c r="CO55" s="60">
        <f t="shared" si="141"/>
        <v>0</v>
      </c>
      <c r="CP55" s="377">
        <f t="shared" si="98"/>
        <v>0</v>
      </c>
      <c r="CQ55" s="58">
        <f t="shared" si="24"/>
        <v>524</v>
      </c>
      <c r="CR55" s="131"/>
      <c r="CS55" s="41">
        <f t="shared" si="273"/>
        <v>524</v>
      </c>
      <c r="CT55" s="18">
        <f t="shared" si="25"/>
        <v>79</v>
      </c>
      <c r="CU55" s="131"/>
      <c r="CV55" s="41">
        <f t="shared" si="67"/>
        <v>79</v>
      </c>
      <c r="CX55" s="118">
        <v>24</v>
      </c>
      <c r="CY55" s="9">
        <v>7</v>
      </c>
      <c r="CZ55" s="129"/>
      <c r="DA55" s="11">
        <f t="shared" si="434"/>
        <v>0</v>
      </c>
      <c r="DB55" s="41">
        <f t="shared" si="486"/>
        <v>0</v>
      </c>
      <c r="DC55" s="398"/>
      <c r="DD55" s="399"/>
      <c r="DE55" s="399"/>
      <c r="DF55" s="11">
        <f t="shared" si="208"/>
        <v>0</v>
      </c>
      <c r="DG55" s="11">
        <f t="shared" si="175"/>
        <v>0</v>
      </c>
      <c r="DH55" s="17">
        <f t="shared" si="26"/>
        <v>0.16</v>
      </c>
      <c r="DI55" s="235">
        <f t="shared" si="209"/>
        <v>0</v>
      </c>
      <c r="DJ55" s="33">
        <f t="shared" si="27"/>
        <v>2.72</v>
      </c>
      <c r="DK55" s="155">
        <f t="shared" si="177"/>
        <v>0</v>
      </c>
      <c r="DL55" s="130"/>
      <c r="DM55" s="11">
        <f t="shared" si="28"/>
        <v>42</v>
      </c>
      <c r="DN55" s="60">
        <f t="shared" si="259"/>
        <v>0</v>
      </c>
      <c r="DO55" s="377">
        <f t="shared" si="178"/>
        <v>0</v>
      </c>
      <c r="DP55" s="58">
        <f t="shared" si="29"/>
        <v>524</v>
      </c>
      <c r="DQ55" s="131"/>
      <c r="DR55" s="41">
        <f t="shared" si="275"/>
        <v>524</v>
      </c>
      <c r="DS55" s="18">
        <f t="shared" si="30"/>
        <v>79</v>
      </c>
      <c r="DT55" s="131"/>
      <c r="DU55" s="41">
        <f t="shared" si="164"/>
        <v>79</v>
      </c>
      <c r="DW55" s="118">
        <v>24</v>
      </c>
      <c r="DX55" s="9">
        <v>7</v>
      </c>
      <c r="DY55" s="129"/>
      <c r="DZ55" s="11">
        <f t="shared" si="435"/>
        <v>0</v>
      </c>
      <c r="EA55" s="41">
        <f t="shared" si="487"/>
        <v>0</v>
      </c>
      <c r="EB55" s="398"/>
      <c r="EC55" s="399"/>
      <c r="ED55" s="399"/>
      <c r="EE55" s="11">
        <f t="shared" si="211"/>
        <v>0</v>
      </c>
      <c r="EF55" s="11">
        <f t="shared" si="180"/>
        <v>0</v>
      </c>
      <c r="EG55" s="17">
        <f t="shared" si="31"/>
        <v>0.16</v>
      </c>
      <c r="EH55" s="235">
        <f t="shared" si="212"/>
        <v>0</v>
      </c>
      <c r="EI55" s="33">
        <f t="shared" si="32"/>
        <v>2.72</v>
      </c>
      <c r="EJ55" s="155">
        <f t="shared" si="182"/>
        <v>0</v>
      </c>
      <c r="EK55" s="130"/>
      <c r="EL55" s="11">
        <f t="shared" si="33"/>
        <v>42</v>
      </c>
      <c r="EM55" s="60">
        <f t="shared" si="260"/>
        <v>0</v>
      </c>
      <c r="EN55" s="377">
        <f t="shared" si="183"/>
        <v>0</v>
      </c>
      <c r="EO55" s="58">
        <f t="shared" si="34"/>
        <v>524</v>
      </c>
      <c r="EP55" s="131"/>
      <c r="EQ55" s="41">
        <f t="shared" si="277"/>
        <v>524</v>
      </c>
      <c r="ER55" s="18">
        <f t="shared" si="35"/>
        <v>79</v>
      </c>
      <c r="ES55" s="131"/>
      <c r="ET55" s="41">
        <f t="shared" si="165"/>
        <v>79</v>
      </c>
      <c r="EV55" s="118">
        <v>24</v>
      </c>
      <c r="EW55" s="9">
        <v>7</v>
      </c>
      <c r="EX55" s="129"/>
      <c r="EY55" s="11">
        <f t="shared" si="436"/>
        <v>0</v>
      </c>
      <c r="EZ55" s="41">
        <f t="shared" si="488"/>
        <v>0</v>
      </c>
      <c r="FA55" s="398"/>
      <c r="FB55" s="399"/>
      <c r="FC55" s="399"/>
      <c r="FD55" s="11">
        <f t="shared" si="214"/>
        <v>0</v>
      </c>
      <c r="FE55" s="11">
        <f t="shared" si="185"/>
        <v>0</v>
      </c>
      <c r="FF55" s="17">
        <f t="shared" si="36"/>
        <v>0.16</v>
      </c>
      <c r="FG55" s="235">
        <f t="shared" si="215"/>
        <v>0</v>
      </c>
      <c r="FH55" s="33">
        <f t="shared" si="37"/>
        <v>2.72</v>
      </c>
      <c r="FI55" s="155">
        <f t="shared" si="187"/>
        <v>0</v>
      </c>
      <c r="FJ55" s="130"/>
      <c r="FK55" s="11">
        <f t="shared" si="38"/>
        <v>42</v>
      </c>
      <c r="FL55" s="60">
        <f t="shared" si="261"/>
        <v>0</v>
      </c>
      <c r="FM55" s="377">
        <f t="shared" si="188"/>
        <v>0</v>
      </c>
      <c r="FN55" s="58">
        <f t="shared" si="39"/>
        <v>524</v>
      </c>
      <c r="FO55" s="131"/>
      <c r="FP55" s="41">
        <f t="shared" si="279"/>
        <v>524</v>
      </c>
      <c r="FQ55" s="18">
        <f t="shared" si="40"/>
        <v>79</v>
      </c>
      <c r="FR55" s="131"/>
      <c r="FS55" s="41">
        <f t="shared" si="166"/>
        <v>79</v>
      </c>
      <c r="FU55" s="118">
        <v>24</v>
      </c>
      <c r="FV55" s="9">
        <v>7</v>
      </c>
      <c r="FW55" s="129"/>
      <c r="FX55" s="11">
        <f t="shared" si="437"/>
        <v>0</v>
      </c>
      <c r="FY55" s="41">
        <f t="shared" si="489"/>
        <v>0</v>
      </c>
      <c r="FZ55" s="398"/>
      <c r="GA55" s="399"/>
      <c r="GB55" s="399"/>
      <c r="GC55" s="11">
        <f t="shared" si="217"/>
        <v>0</v>
      </c>
      <c r="GD55" s="11">
        <f t="shared" si="190"/>
        <v>0</v>
      </c>
      <c r="GE55" s="17">
        <f t="shared" si="41"/>
        <v>0.16</v>
      </c>
      <c r="GF55" s="235">
        <f t="shared" si="218"/>
        <v>0</v>
      </c>
      <c r="GG55" s="33">
        <f t="shared" si="42"/>
        <v>2.72</v>
      </c>
      <c r="GH55" s="155">
        <f t="shared" si="192"/>
        <v>0</v>
      </c>
      <c r="GI55" s="130"/>
      <c r="GJ55" s="11">
        <f t="shared" si="43"/>
        <v>42</v>
      </c>
      <c r="GK55" s="60">
        <f t="shared" si="262"/>
        <v>0</v>
      </c>
      <c r="GL55" s="377">
        <f t="shared" si="193"/>
        <v>0</v>
      </c>
      <c r="GM55" s="58">
        <f t="shared" si="44"/>
        <v>524</v>
      </c>
      <c r="GN55" s="131"/>
      <c r="GO55" s="41">
        <f t="shared" si="281"/>
        <v>524</v>
      </c>
      <c r="GP55" s="18">
        <f t="shared" si="45"/>
        <v>79</v>
      </c>
      <c r="GQ55" s="131"/>
      <c r="GR55" s="41">
        <f t="shared" si="167"/>
        <v>79</v>
      </c>
      <c r="GT55" s="118">
        <v>24</v>
      </c>
      <c r="GU55" s="9">
        <v>7</v>
      </c>
      <c r="GV55" s="129"/>
      <c r="GW55" s="11">
        <f t="shared" si="438"/>
        <v>0</v>
      </c>
      <c r="GX55" s="41">
        <f t="shared" si="490"/>
        <v>0</v>
      </c>
      <c r="GY55" s="398"/>
      <c r="GZ55" s="399"/>
      <c r="HA55" s="399"/>
      <c r="HB55" s="11">
        <f t="shared" si="220"/>
        <v>0</v>
      </c>
      <c r="HC55" s="11">
        <f t="shared" si="195"/>
        <v>0</v>
      </c>
      <c r="HD55" s="17">
        <f t="shared" si="46"/>
        <v>0.16</v>
      </c>
      <c r="HE55" s="235">
        <f t="shared" si="221"/>
        <v>0</v>
      </c>
      <c r="HF55" s="33">
        <f t="shared" si="47"/>
        <v>2.72</v>
      </c>
      <c r="HG55" s="155">
        <f t="shared" si="197"/>
        <v>0</v>
      </c>
      <c r="HH55" s="130"/>
      <c r="HI55" s="11">
        <f t="shared" si="48"/>
        <v>42</v>
      </c>
      <c r="HJ55" s="60">
        <f t="shared" si="263"/>
        <v>0</v>
      </c>
      <c r="HK55" s="377">
        <f t="shared" si="198"/>
        <v>0</v>
      </c>
      <c r="HL55" s="58">
        <f t="shared" si="49"/>
        <v>524</v>
      </c>
      <c r="HM55" s="131"/>
      <c r="HN55" s="41">
        <f t="shared" si="283"/>
        <v>524</v>
      </c>
      <c r="HO55" s="18">
        <f t="shared" si="50"/>
        <v>79</v>
      </c>
      <c r="HP55" s="131"/>
      <c r="HQ55" s="41">
        <f t="shared" si="168"/>
        <v>79</v>
      </c>
    </row>
    <row r="56" spans="1:225" ht="17.25" thickBot="1" x14ac:dyDescent="0.3">
      <c r="B56" s="120">
        <f>B55+1</f>
        <v>14</v>
      </c>
      <c r="C56" s="570">
        <f t="shared" si="448"/>
        <v>7</v>
      </c>
      <c r="D56" s="133"/>
      <c r="E56" s="408">
        <f t="shared" si="223"/>
        <v>96352</v>
      </c>
      <c r="F56" s="562">
        <f t="shared" si="0"/>
        <v>96340</v>
      </c>
      <c r="G56" s="134"/>
      <c r="H56" s="135">
        <v>12</v>
      </c>
      <c r="I56" s="135"/>
      <c r="J56" s="14">
        <f t="shared" si="200"/>
        <v>12</v>
      </c>
      <c r="K56" s="14">
        <f t="shared" si="52"/>
        <v>4925</v>
      </c>
      <c r="L56" s="14">
        <f t="shared" si="1"/>
        <v>0.16</v>
      </c>
      <c r="M56" s="47">
        <f t="shared" si="85"/>
        <v>1.2454334108269677E-2</v>
      </c>
      <c r="N56" s="35">
        <f t="shared" si="2"/>
        <v>2.72</v>
      </c>
      <c r="O56" s="132">
        <f t="shared" si="53"/>
        <v>3.6515833413655812</v>
      </c>
      <c r="P56" s="142">
        <v>2730</v>
      </c>
      <c r="Q56" s="14">
        <f t="shared" si="3"/>
        <v>42</v>
      </c>
      <c r="R56" s="442">
        <f t="shared" si="394"/>
        <v>28.333610096313517</v>
      </c>
      <c r="S56" s="470">
        <f t="shared" si="201"/>
        <v>1105.9307359986103</v>
      </c>
      <c r="T56" s="51">
        <f t="shared" si="5"/>
        <v>524</v>
      </c>
      <c r="U56" s="103">
        <f>U55</f>
        <v>504</v>
      </c>
      <c r="V56" s="46">
        <f t="shared" si="55"/>
        <v>20</v>
      </c>
      <c r="W56" s="51">
        <f t="shared" si="395"/>
        <v>79</v>
      </c>
      <c r="X56" s="103">
        <f>X55</f>
        <v>68</v>
      </c>
      <c r="Y56" s="46">
        <f t="shared" si="56"/>
        <v>11</v>
      </c>
      <c r="Z56" s="487"/>
      <c r="AA56" s="120">
        <f>AA55+1</f>
        <v>14</v>
      </c>
      <c r="AB56" s="7">
        <f t="shared" si="452"/>
        <v>7</v>
      </c>
      <c r="AC56" s="133"/>
      <c r="AD56" s="48">
        <f t="shared" si="483"/>
        <v>87201</v>
      </c>
      <c r="AE56" s="447">
        <f t="shared" si="484"/>
        <v>87150</v>
      </c>
      <c r="AF56" s="134"/>
      <c r="AG56" s="135">
        <v>51</v>
      </c>
      <c r="AH56" s="135"/>
      <c r="AI56" s="14">
        <f t="shared" si="203"/>
        <v>51</v>
      </c>
      <c r="AJ56" s="14">
        <f t="shared" si="321"/>
        <v>5749</v>
      </c>
      <c r="AK56" s="14">
        <f t="shared" si="8"/>
        <v>0.16</v>
      </c>
      <c r="AL56" s="47">
        <f t="shared" si="58"/>
        <v>5.8485567826057037E-2</v>
      </c>
      <c r="AM56" s="35">
        <f t="shared" si="9"/>
        <v>2.72</v>
      </c>
      <c r="AN56" s="157">
        <f t="shared" si="169"/>
        <v>3.7531989345589389</v>
      </c>
      <c r="AO56" s="134">
        <v>3003</v>
      </c>
      <c r="AP56" s="14">
        <f t="shared" si="10"/>
        <v>42</v>
      </c>
      <c r="AQ56" s="442">
        <f t="shared" si="59"/>
        <v>34.437678466990057</v>
      </c>
      <c r="AR56" s="470">
        <f t="shared" si="323"/>
        <v>1129.219746450111</v>
      </c>
      <c r="AS56" s="51">
        <f t="shared" si="11"/>
        <v>524</v>
      </c>
      <c r="AT56" s="103">
        <f>AT55</f>
        <v>439</v>
      </c>
      <c r="AU56" s="46">
        <f t="shared" si="271"/>
        <v>85</v>
      </c>
      <c r="AV56" s="51">
        <f t="shared" si="12"/>
        <v>79</v>
      </c>
      <c r="AW56" s="103">
        <f>AW55</f>
        <v>35</v>
      </c>
      <c r="AX56" s="46">
        <f t="shared" si="170"/>
        <v>44</v>
      </c>
      <c r="AZ56" s="120">
        <f>AZ55+1</f>
        <v>14</v>
      </c>
      <c r="BA56" s="7">
        <f t="shared" si="456"/>
        <v>7</v>
      </c>
      <c r="BB56" s="133"/>
      <c r="BC56" s="48">
        <f t="shared" si="403"/>
        <v>93175</v>
      </c>
      <c r="BD56" s="447">
        <f t="shared" si="485"/>
        <v>93160</v>
      </c>
      <c r="BE56" s="134"/>
      <c r="BF56" s="135">
        <v>15</v>
      </c>
      <c r="BG56" s="135"/>
      <c r="BH56" s="14">
        <f t="shared" si="204"/>
        <v>15</v>
      </c>
      <c r="BI56" s="14">
        <f t="shared" si="294"/>
        <v>712</v>
      </c>
      <c r="BJ56" s="14">
        <f t="shared" si="14"/>
        <v>0.16</v>
      </c>
      <c r="BK56" s="47">
        <f t="shared" si="92"/>
        <v>1.6098738932116986E-2</v>
      </c>
      <c r="BL56" s="35">
        <f t="shared" si="15"/>
        <v>2.72</v>
      </c>
      <c r="BM56" s="132">
        <f t="shared" si="326"/>
        <v>0.99719887955182074</v>
      </c>
      <c r="BN56" s="134">
        <v>2730</v>
      </c>
      <c r="BO56" s="14">
        <f t="shared" si="17"/>
        <v>42</v>
      </c>
      <c r="BP56" s="442">
        <f t="shared" si="93"/>
        <v>29.299704856452912</v>
      </c>
      <c r="BQ56" s="747">
        <f t="shared" si="137"/>
        <v>1029.6115239750877</v>
      </c>
      <c r="BR56" s="51">
        <f t="shared" si="18"/>
        <v>524</v>
      </c>
      <c r="BS56" s="103">
        <f>BS55</f>
        <v>492</v>
      </c>
      <c r="BT56" s="46">
        <f t="shared" si="272"/>
        <v>32</v>
      </c>
      <c r="BU56" s="51">
        <f t="shared" si="20"/>
        <v>79</v>
      </c>
      <c r="BV56" s="103">
        <f>BV55</f>
        <v>54</v>
      </c>
      <c r="BW56" s="46">
        <f t="shared" si="171"/>
        <v>25</v>
      </c>
      <c r="BY56" s="120">
        <f>BY55+1</f>
        <v>25</v>
      </c>
      <c r="BZ56" s="7">
        <f t="shared" si="460"/>
        <v>7</v>
      </c>
      <c r="CA56" s="133"/>
      <c r="CB56" s="14">
        <f t="shared" si="172"/>
        <v>0</v>
      </c>
      <c r="CC56" s="62">
        <f t="shared" si="205"/>
        <v>0</v>
      </c>
      <c r="CD56" s="405"/>
      <c r="CE56" s="406"/>
      <c r="CF56" s="406"/>
      <c r="CG56" s="14">
        <f t="shared" si="206"/>
        <v>0</v>
      </c>
      <c r="CH56" s="14">
        <f t="shared" si="173"/>
        <v>0</v>
      </c>
      <c r="CI56" s="14">
        <f t="shared" si="21"/>
        <v>0.16</v>
      </c>
      <c r="CJ56" s="47">
        <f t="shared" si="97"/>
        <v>0</v>
      </c>
      <c r="CK56" s="35">
        <f t="shared" si="22"/>
        <v>2.72</v>
      </c>
      <c r="CL56" s="157">
        <f t="shared" si="140"/>
        <v>0</v>
      </c>
      <c r="CM56" s="134"/>
      <c r="CN56" s="14">
        <f t="shared" si="23"/>
        <v>42</v>
      </c>
      <c r="CO56" s="48">
        <f t="shared" si="141"/>
        <v>0</v>
      </c>
      <c r="CP56" s="68">
        <f t="shared" si="98"/>
        <v>0</v>
      </c>
      <c r="CQ56" s="51">
        <f t="shared" si="24"/>
        <v>524</v>
      </c>
      <c r="CR56" s="103">
        <f>CR55</f>
        <v>0</v>
      </c>
      <c r="CS56" s="46">
        <f t="shared" si="273"/>
        <v>524</v>
      </c>
      <c r="CT56" s="51">
        <f t="shared" si="25"/>
        <v>79</v>
      </c>
      <c r="CU56" s="103">
        <f>CU55</f>
        <v>0</v>
      </c>
      <c r="CV56" s="46">
        <f t="shared" si="67"/>
        <v>79</v>
      </c>
      <c r="CX56" s="120">
        <f>CX55+1</f>
        <v>25</v>
      </c>
      <c r="CY56" s="7">
        <f t="shared" si="464"/>
        <v>7</v>
      </c>
      <c r="CZ56" s="133"/>
      <c r="DA56" s="14">
        <f t="shared" si="434"/>
        <v>0</v>
      </c>
      <c r="DB56" s="62">
        <f t="shared" si="486"/>
        <v>0</v>
      </c>
      <c r="DC56" s="405"/>
      <c r="DD56" s="406"/>
      <c r="DE56" s="406"/>
      <c r="DF56" s="14">
        <f t="shared" si="208"/>
        <v>0</v>
      </c>
      <c r="DG56" s="14">
        <f t="shared" si="175"/>
        <v>0</v>
      </c>
      <c r="DH56" s="14">
        <f t="shared" si="26"/>
        <v>0.16</v>
      </c>
      <c r="DI56" s="47">
        <f t="shared" si="209"/>
        <v>0</v>
      </c>
      <c r="DJ56" s="35">
        <f t="shared" si="27"/>
        <v>2.72</v>
      </c>
      <c r="DK56" s="157">
        <f t="shared" si="177"/>
        <v>0</v>
      </c>
      <c r="DL56" s="134"/>
      <c r="DM56" s="14">
        <f t="shared" si="28"/>
        <v>42</v>
      </c>
      <c r="DN56" s="48">
        <f t="shared" si="259"/>
        <v>0</v>
      </c>
      <c r="DO56" s="68">
        <f t="shared" si="178"/>
        <v>0</v>
      </c>
      <c r="DP56" s="51">
        <f t="shared" si="29"/>
        <v>524</v>
      </c>
      <c r="DQ56" s="103">
        <f>DQ55</f>
        <v>0</v>
      </c>
      <c r="DR56" s="46">
        <f t="shared" si="275"/>
        <v>524</v>
      </c>
      <c r="DS56" s="51">
        <f t="shared" si="30"/>
        <v>79</v>
      </c>
      <c r="DT56" s="103">
        <f>DT55</f>
        <v>0</v>
      </c>
      <c r="DU56" s="46">
        <f t="shared" si="164"/>
        <v>79</v>
      </c>
      <c r="DW56" s="120">
        <f>DW55+1</f>
        <v>25</v>
      </c>
      <c r="DX56" s="7">
        <f t="shared" si="468"/>
        <v>7</v>
      </c>
      <c r="DY56" s="133"/>
      <c r="DZ56" s="14">
        <f t="shared" si="435"/>
        <v>0</v>
      </c>
      <c r="EA56" s="62">
        <f t="shared" si="487"/>
        <v>0</v>
      </c>
      <c r="EB56" s="405"/>
      <c r="EC56" s="406"/>
      <c r="ED56" s="406"/>
      <c r="EE56" s="14">
        <f t="shared" si="211"/>
        <v>0</v>
      </c>
      <c r="EF56" s="14">
        <f t="shared" si="180"/>
        <v>0</v>
      </c>
      <c r="EG56" s="14">
        <f t="shared" si="31"/>
        <v>0.16</v>
      </c>
      <c r="EH56" s="47">
        <f t="shared" si="212"/>
        <v>0</v>
      </c>
      <c r="EI56" s="35">
        <f t="shared" si="32"/>
        <v>2.72</v>
      </c>
      <c r="EJ56" s="157">
        <f t="shared" si="182"/>
        <v>0</v>
      </c>
      <c r="EK56" s="134"/>
      <c r="EL56" s="14">
        <f t="shared" si="33"/>
        <v>42</v>
      </c>
      <c r="EM56" s="48">
        <f t="shared" si="260"/>
        <v>0</v>
      </c>
      <c r="EN56" s="68">
        <f t="shared" si="183"/>
        <v>0</v>
      </c>
      <c r="EO56" s="51">
        <f t="shared" si="34"/>
        <v>524</v>
      </c>
      <c r="EP56" s="103">
        <f>EP55</f>
        <v>0</v>
      </c>
      <c r="EQ56" s="46">
        <f t="shared" si="277"/>
        <v>524</v>
      </c>
      <c r="ER56" s="51">
        <f t="shared" si="35"/>
        <v>79</v>
      </c>
      <c r="ES56" s="103">
        <f>ES55</f>
        <v>0</v>
      </c>
      <c r="ET56" s="46">
        <f t="shared" si="165"/>
        <v>79</v>
      </c>
      <c r="EV56" s="120">
        <f>EV55+1</f>
        <v>25</v>
      </c>
      <c r="EW56" s="7">
        <f t="shared" si="472"/>
        <v>7</v>
      </c>
      <c r="EX56" s="133"/>
      <c r="EY56" s="14">
        <f t="shared" si="436"/>
        <v>0</v>
      </c>
      <c r="EZ56" s="62">
        <f t="shared" si="488"/>
        <v>0</v>
      </c>
      <c r="FA56" s="405"/>
      <c r="FB56" s="406"/>
      <c r="FC56" s="406"/>
      <c r="FD56" s="14">
        <f t="shared" si="214"/>
        <v>0</v>
      </c>
      <c r="FE56" s="14">
        <f t="shared" si="185"/>
        <v>0</v>
      </c>
      <c r="FF56" s="14">
        <f t="shared" si="36"/>
        <v>0.16</v>
      </c>
      <c r="FG56" s="47">
        <f t="shared" si="215"/>
        <v>0</v>
      </c>
      <c r="FH56" s="35">
        <f t="shared" si="37"/>
        <v>2.72</v>
      </c>
      <c r="FI56" s="157">
        <f t="shared" si="187"/>
        <v>0</v>
      </c>
      <c r="FJ56" s="134"/>
      <c r="FK56" s="14">
        <f t="shared" si="38"/>
        <v>42</v>
      </c>
      <c r="FL56" s="48">
        <f t="shared" si="261"/>
        <v>0</v>
      </c>
      <c r="FM56" s="68">
        <f t="shared" si="188"/>
        <v>0</v>
      </c>
      <c r="FN56" s="51">
        <f t="shared" si="39"/>
        <v>524</v>
      </c>
      <c r="FO56" s="103">
        <f>FO55</f>
        <v>0</v>
      </c>
      <c r="FP56" s="46">
        <f t="shared" si="279"/>
        <v>524</v>
      </c>
      <c r="FQ56" s="51">
        <f t="shared" si="40"/>
        <v>79</v>
      </c>
      <c r="FR56" s="103">
        <f>FR55</f>
        <v>0</v>
      </c>
      <c r="FS56" s="46">
        <f t="shared" si="166"/>
        <v>79</v>
      </c>
      <c r="FU56" s="120">
        <f>FU55+1</f>
        <v>25</v>
      </c>
      <c r="FV56" s="7">
        <f t="shared" si="476"/>
        <v>7</v>
      </c>
      <c r="FW56" s="133"/>
      <c r="FX56" s="14">
        <f t="shared" si="437"/>
        <v>0</v>
      </c>
      <c r="FY56" s="62">
        <f t="shared" si="489"/>
        <v>0</v>
      </c>
      <c r="FZ56" s="405"/>
      <c r="GA56" s="406"/>
      <c r="GB56" s="406"/>
      <c r="GC56" s="14">
        <f t="shared" si="217"/>
        <v>0</v>
      </c>
      <c r="GD56" s="14">
        <f t="shared" si="190"/>
        <v>0</v>
      </c>
      <c r="GE56" s="14">
        <f t="shared" si="41"/>
        <v>0.16</v>
      </c>
      <c r="GF56" s="47">
        <f t="shared" si="218"/>
        <v>0</v>
      </c>
      <c r="GG56" s="35">
        <f t="shared" si="42"/>
        <v>2.72</v>
      </c>
      <c r="GH56" s="157">
        <f t="shared" si="192"/>
        <v>0</v>
      </c>
      <c r="GI56" s="134"/>
      <c r="GJ56" s="14">
        <f t="shared" si="43"/>
        <v>42</v>
      </c>
      <c r="GK56" s="48">
        <f t="shared" si="262"/>
        <v>0</v>
      </c>
      <c r="GL56" s="68">
        <f t="shared" si="193"/>
        <v>0</v>
      </c>
      <c r="GM56" s="51">
        <f t="shared" si="44"/>
        <v>524</v>
      </c>
      <c r="GN56" s="103">
        <f>GN55</f>
        <v>0</v>
      </c>
      <c r="GO56" s="46">
        <f t="shared" si="281"/>
        <v>524</v>
      </c>
      <c r="GP56" s="51">
        <f t="shared" si="45"/>
        <v>79</v>
      </c>
      <c r="GQ56" s="103">
        <f>GQ55</f>
        <v>0</v>
      </c>
      <c r="GR56" s="46">
        <f t="shared" si="167"/>
        <v>79</v>
      </c>
      <c r="GT56" s="120">
        <f>GT55+1</f>
        <v>25</v>
      </c>
      <c r="GU56" s="7">
        <f t="shared" si="480"/>
        <v>7</v>
      </c>
      <c r="GV56" s="133"/>
      <c r="GW56" s="14">
        <f t="shared" si="438"/>
        <v>0</v>
      </c>
      <c r="GX56" s="62">
        <f t="shared" si="490"/>
        <v>0</v>
      </c>
      <c r="GY56" s="405"/>
      <c r="GZ56" s="406"/>
      <c r="HA56" s="406"/>
      <c r="HB56" s="14">
        <f t="shared" si="220"/>
        <v>0</v>
      </c>
      <c r="HC56" s="14">
        <f t="shared" si="195"/>
        <v>0</v>
      </c>
      <c r="HD56" s="14">
        <f t="shared" si="46"/>
        <v>0.16</v>
      </c>
      <c r="HE56" s="47">
        <f t="shared" si="221"/>
        <v>0</v>
      </c>
      <c r="HF56" s="35">
        <f t="shared" si="47"/>
        <v>2.72</v>
      </c>
      <c r="HG56" s="157">
        <f t="shared" si="197"/>
        <v>0</v>
      </c>
      <c r="HH56" s="134"/>
      <c r="HI56" s="14">
        <f t="shared" si="48"/>
        <v>42</v>
      </c>
      <c r="HJ56" s="48">
        <f t="shared" si="263"/>
        <v>0</v>
      </c>
      <c r="HK56" s="68">
        <f t="shared" si="198"/>
        <v>0</v>
      </c>
      <c r="HL56" s="51">
        <f t="shared" si="49"/>
        <v>524</v>
      </c>
      <c r="HM56" s="103">
        <f>HM55</f>
        <v>0</v>
      </c>
      <c r="HN56" s="46">
        <f t="shared" si="283"/>
        <v>524</v>
      </c>
      <c r="HO56" s="51">
        <f t="shared" si="50"/>
        <v>79</v>
      </c>
      <c r="HP56" s="103">
        <f>HP55</f>
        <v>0</v>
      </c>
      <c r="HQ56" s="46">
        <f t="shared" si="168"/>
        <v>79</v>
      </c>
    </row>
    <row r="57" spans="1:225" ht="17.25" thickBot="1" x14ac:dyDescent="0.3">
      <c r="B57" s="120">
        <f t="shared" ref="B57:B59" si="491">B56+1</f>
        <v>15</v>
      </c>
      <c r="C57" s="570">
        <f t="shared" si="448"/>
        <v>7</v>
      </c>
      <c r="D57" s="133"/>
      <c r="E57" s="408">
        <f t="shared" si="223"/>
        <v>96340</v>
      </c>
      <c r="F57" s="562">
        <f t="shared" si="0"/>
        <v>96333</v>
      </c>
      <c r="G57" s="134"/>
      <c r="H57" s="135">
        <v>7</v>
      </c>
      <c r="I57" s="135"/>
      <c r="J57" s="14">
        <f t="shared" si="200"/>
        <v>7</v>
      </c>
      <c r="K57" s="14">
        <f t="shared" si="52"/>
        <v>4932</v>
      </c>
      <c r="L57" s="14">
        <f t="shared" si="1"/>
        <v>0.16</v>
      </c>
      <c r="M57" s="231">
        <f t="shared" si="85"/>
        <v>7.2659331534149886E-3</v>
      </c>
      <c r="N57" s="35">
        <f t="shared" si="2"/>
        <v>2.72</v>
      </c>
      <c r="O57" s="132">
        <f t="shared" si="53"/>
        <v>3.6567734090588924</v>
      </c>
      <c r="P57" s="142">
        <v>4095</v>
      </c>
      <c r="Q57" s="14">
        <f t="shared" si="3"/>
        <v>42</v>
      </c>
      <c r="R57" s="480">
        <f t="shared" si="394"/>
        <v>42.505708947477686</v>
      </c>
      <c r="S57" s="470">
        <f t="shared" si="201"/>
        <v>1148.4364449460879</v>
      </c>
      <c r="T57" s="51">
        <f t="shared" si="5"/>
        <v>524</v>
      </c>
      <c r="U57" s="103">
        <f t="shared" ref="U57:U61" si="492">U56</f>
        <v>504</v>
      </c>
      <c r="V57" s="46">
        <f t="shared" si="55"/>
        <v>20</v>
      </c>
      <c r="W57" s="50">
        <f t="shared" si="395"/>
        <v>79</v>
      </c>
      <c r="X57" s="103">
        <f t="shared" ref="X57:X61" si="493">X56</f>
        <v>68</v>
      </c>
      <c r="Y57" s="46">
        <f t="shared" si="56"/>
        <v>11</v>
      </c>
      <c r="Z57" s="487"/>
      <c r="AA57" s="120">
        <f t="shared" ref="AA57:AA59" si="494">AA56+1</f>
        <v>15</v>
      </c>
      <c r="AB57" s="7">
        <f t="shared" si="452"/>
        <v>7</v>
      </c>
      <c r="AC57" s="133"/>
      <c r="AD57" s="48">
        <f t="shared" si="483"/>
        <v>87150</v>
      </c>
      <c r="AE57" s="196">
        <f t="shared" si="484"/>
        <v>87135</v>
      </c>
      <c r="AF57" s="134"/>
      <c r="AG57" s="135">
        <v>15</v>
      </c>
      <c r="AH57" s="135"/>
      <c r="AI57" s="14">
        <f t="shared" si="203"/>
        <v>15</v>
      </c>
      <c r="AJ57" s="14">
        <f t="shared" si="321"/>
        <v>5764</v>
      </c>
      <c r="AK57" s="14">
        <f t="shared" si="8"/>
        <v>0.16</v>
      </c>
      <c r="AL57" s="231">
        <f t="shared" si="58"/>
        <v>1.7211703958691909E-2</v>
      </c>
      <c r="AM57" s="35">
        <f t="shared" si="9"/>
        <v>2.72</v>
      </c>
      <c r="AN57" s="157">
        <f t="shared" si="169"/>
        <v>3.7629915913720167</v>
      </c>
      <c r="AO57" s="134">
        <v>1365</v>
      </c>
      <c r="AP57" s="14">
        <f t="shared" si="10"/>
        <v>42</v>
      </c>
      <c r="AQ57" s="480">
        <f t="shared" si="59"/>
        <v>15.66265060240964</v>
      </c>
      <c r="AR57" s="470">
        <f t="shared" si="323"/>
        <v>1144.8823970525207</v>
      </c>
      <c r="AS57" s="51">
        <f t="shared" si="11"/>
        <v>524</v>
      </c>
      <c r="AT57" s="103">
        <f t="shared" ref="AT57:AT61" si="495">AT56</f>
        <v>439</v>
      </c>
      <c r="AU57" s="46">
        <f t="shared" si="271"/>
        <v>85</v>
      </c>
      <c r="AV57" s="50">
        <f t="shared" si="12"/>
        <v>79</v>
      </c>
      <c r="AW57" s="103">
        <f t="shared" ref="AW57:AW61" si="496">AW56</f>
        <v>35</v>
      </c>
      <c r="AX57" s="46">
        <f t="shared" si="170"/>
        <v>44</v>
      </c>
      <c r="AZ57" s="120">
        <f t="shared" ref="AZ57:AZ59" si="497">AZ56+1</f>
        <v>15</v>
      </c>
      <c r="BA57" s="7">
        <f t="shared" si="456"/>
        <v>7</v>
      </c>
      <c r="BB57" s="133"/>
      <c r="BC57" s="48">
        <f t="shared" si="403"/>
        <v>93160</v>
      </c>
      <c r="BD57" s="196">
        <f t="shared" si="485"/>
        <v>93148</v>
      </c>
      <c r="BE57" s="134"/>
      <c r="BF57" s="135">
        <v>12</v>
      </c>
      <c r="BG57" s="135"/>
      <c r="BH57" s="14">
        <f t="shared" si="204"/>
        <v>12</v>
      </c>
      <c r="BI57" s="14">
        <f t="shared" si="294"/>
        <v>724</v>
      </c>
      <c r="BJ57" s="14">
        <f t="shared" si="14"/>
        <v>0.16</v>
      </c>
      <c r="BK57" s="47">
        <f t="shared" si="92"/>
        <v>1.2881064834693002E-2</v>
      </c>
      <c r="BL57" s="35">
        <f t="shared" si="15"/>
        <v>2.72</v>
      </c>
      <c r="BM57" s="132">
        <f t="shared" si="326"/>
        <v>1.0140056022408963</v>
      </c>
      <c r="BN57" s="134">
        <v>3003</v>
      </c>
      <c r="BO57" s="14">
        <f t="shared" si="17"/>
        <v>42</v>
      </c>
      <c r="BP57" s="442">
        <f t="shared" si="93"/>
        <v>32.234864748819241</v>
      </c>
      <c r="BQ57" s="747">
        <f t="shared" si="137"/>
        <v>1061.846388723907</v>
      </c>
      <c r="BR57" s="51">
        <f t="shared" si="18"/>
        <v>524</v>
      </c>
      <c r="BS57" s="103">
        <f t="shared" ref="BS57:BS61" si="498">BS56</f>
        <v>492</v>
      </c>
      <c r="BT57" s="46">
        <f t="shared" si="272"/>
        <v>32</v>
      </c>
      <c r="BU57" s="50">
        <f t="shared" si="20"/>
        <v>79</v>
      </c>
      <c r="BV57" s="103">
        <f t="shared" ref="BV57:BV61" si="499">BV56</f>
        <v>54</v>
      </c>
      <c r="BW57" s="46">
        <f t="shared" si="171"/>
        <v>25</v>
      </c>
      <c r="BY57" s="120">
        <f t="shared" ref="BY57:BY61" si="500">BY56+1</f>
        <v>26</v>
      </c>
      <c r="BZ57" s="7">
        <f t="shared" si="460"/>
        <v>7</v>
      </c>
      <c r="CA57" s="133"/>
      <c r="CB57" s="14">
        <f t="shared" si="172"/>
        <v>0</v>
      </c>
      <c r="CC57" s="59">
        <f t="shared" si="205"/>
        <v>0</v>
      </c>
      <c r="CD57" s="405"/>
      <c r="CE57" s="406"/>
      <c r="CF57" s="406"/>
      <c r="CG57" s="14">
        <f t="shared" si="206"/>
        <v>0</v>
      </c>
      <c r="CH57" s="14">
        <f t="shared" si="173"/>
        <v>0</v>
      </c>
      <c r="CI57" s="14">
        <f t="shared" si="21"/>
        <v>0.16</v>
      </c>
      <c r="CJ57" s="47">
        <f t="shared" si="97"/>
        <v>0</v>
      </c>
      <c r="CK57" s="35">
        <f t="shared" si="22"/>
        <v>2.72</v>
      </c>
      <c r="CL57" s="157">
        <f t="shared" si="140"/>
        <v>0</v>
      </c>
      <c r="CM57" s="134"/>
      <c r="CN57" s="14">
        <f t="shared" si="23"/>
        <v>42</v>
      </c>
      <c r="CO57" s="48">
        <f t="shared" si="141"/>
        <v>0</v>
      </c>
      <c r="CP57" s="68">
        <f t="shared" si="98"/>
        <v>0</v>
      </c>
      <c r="CQ57" s="51">
        <f t="shared" si="24"/>
        <v>524</v>
      </c>
      <c r="CR57" s="103">
        <f t="shared" ref="CR57:CR61" si="501">CR56</f>
        <v>0</v>
      </c>
      <c r="CS57" s="46">
        <f t="shared" si="273"/>
        <v>524</v>
      </c>
      <c r="CT57" s="51">
        <f t="shared" si="25"/>
        <v>79</v>
      </c>
      <c r="CU57" s="103">
        <f t="shared" ref="CU57:CU61" si="502">CU56</f>
        <v>0</v>
      </c>
      <c r="CV57" s="46">
        <f t="shared" si="67"/>
        <v>79</v>
      </c>
      <c r="CX57" s="120">
        <f t="shared" ref="CX57:CX61" si="503">CX56+1</f>
        <v>26</v>
      </c>
      <c r="CY57" s="7">
        <f t="shared" si="464"/>
        <v>7</v>
      </c>
      <c r="CZ57" s="133"/>
      <c r="DA57" s="14">
        <f t="shared" si="434"/>
        <v>0</v>
      </c>
      <c r="DB57" s="59">
        <f t="shared" si="486"/>
        <v>0</v>
      </c>
      <c r="DC57" s="405"/>
      <c r="DD57" s="406"/>
      <c r="DE57" s="406"/>
      <c r="DF57" s="14">
        <f t="shared" si="208"/>
        <v>0</v>
      </c>
      <c r="DG57" s="14">
        <f t="shared" si="175"/>
        <v>0</v>
      </c>
      <c r="DH57" s="14">
        <f t="shared" si="26"/>
        <v>0.16</v>
      </c>
      <c r="DI57" s="47">
        <f t="shared" si="209"/>
        <v>0</v>
      </c>
      <c r="DJ57" s="35">
        <f t="shared" si="27"/>
        <v>2.72</v>
      </c>
      <c r="DK57" s="157">
        <f t="shared" si="177"/>
        <v>0</v>
      </c>
      <c r="DL57" s="134"/>
      <c r="DM57" s="14">
        <f t="shared" si="28"/>
        <v>42</v>
      </c>
      <c r="DN57" s="48">
        <f t="shared" si="259"/>
        <v>0</v>
      </c>
      <c r="DO57" s="68">
        <f t="shared" si="178"/>
        <v>0</v>
      </c>
      <c r="DP57" s="51">
        <f t="shared" si="29"/>
        <v>524</v>
      </c>
      <c r="DQ57" s="103">
        <f t="shared" ref="DQ57:DQ61" si="504">DQ56</f>
        <v>0</v>
      </c>
      <c r="DR57" s="46">
        <f t="shared" si="275"/>
        <v>524</v>
      </c>
      <c r="DS57" s="51">
        <f t="shared" si="30"/>
        <v>79</v>
      </c>
      <c r="DT57" s="103">
        <f t="shared" ref="DT57:DT61" si="505">DT56</f>
        <v>0</v>
      </c>
      <c r="DU57" s="46">
        <f t="shared" si="164"/>
        <v>79</v>
      </c>
      <c r="DW57" s="120">
        <f t="shared" ref="DW57:DW61" si="506">DW56+1</f>
        <v>26</v>
      </c>
      <c r="DX57" s="7">
        <f t="shared" si="468"/>
        <v>7</v>
      </c>
      <c r="DY57" s="133"/>
      <c r="DZ57" s="14">
        <f t="shared" si="435"/>
        <v>0</v>
      </c>
      <c r="EA57" s="59">
        <f t="shared" si="487"/>
        <v>0</v>
      </c>
      <c r="EB57" s="405"/>
      <c r="EC57" s="406"/>
      <c r="ED57" s="406"/>
      <c r="EE57" s="14">
        <f t="shared" si="211"/>
        <v>0</v>
      </c>
      <c r="EF57" s="14">
        <f t="shared" si="180"/>
        <v>0</v>
      </c>
      <c r="EG57" s="14">
        <f t="shared" si="31"/>
        <v>0.16</v>
      </c>
      <c r="EH57" s="47">
        <f t="shared" si="212"/>
        <v>0</v>
      </c>
      <c r="EI57" s="35">
        <f t="shared" si="32"/>
        <v>2.72</v>
      </c>
      <c r="EJ57" s="157">
        <f t="shared" si="182"/>
        <v>0</v>
      </c>
      <c r="EK57" s="134"/>
      <c r="EL57" s="14">
        <f t="shared" si="33"/>
        <v>42</v>
      </c>
      <c r="EM57" s="48">
        <f t="shared" si="260"/>
        <v>0</v>
      </c>
      <c r="EN57" s="68">
        <f t="shared" si="183"/>
        <v>0</v>
      </c>
      <c r="EO57" s="51">
        <f t="shared" si="34"/>
        <v>524</v>
      </c>
      <c r="EP57" s="103">
        <f t="shared" ref="EP57:EP61" si="507">EP56</f>
        <v>0</v>
      </c>
      <c r="EQ57" s="46">
        <f t="shared" si="277"/>
        <v>524</v>
      </c>
      <c r="ER57" s="51">
        <f t="shared" si="35"/>
        <v>79</v>
      </c>
      <c r="ES57" s="103">
        <f t="shared" ref="ES57:ES61" si="508">ES56</f>
        <v>0</v>
      </c>
      <c r="ET57" s="46">
        <f t="shared" si="165"/>
        <v>79</v>
      </c>
      <c r="EV57" s="120">
        <f t="shared" ref="EV57:EV61" si="509">EV56+1</f>
        <v>26</v>
      </c>
      <c r="EW57" s="7">
        <f t="shared" si="472"/>
        <v>7</v>
      </c>
      <c r="EX57" s="133"/>
      <c r="EY57" s="14">
        <f t="shared" si="436"/>
        <v>0</v>
      </c>
      <c r="EZ57" s="59">
        <f t="shared" si="488"/>
        <v>0</v>
      </c>
      <c r="FA57" s="405"/>
      <c r="FB57" s="406"/>
      <c r="FC57" s="406"/>
      <c r="FD57" s="14">
        <f t="shared" si="214"/>
        <v>0</v>
      </c>
      <c r="FE57" s="14">
        <f t="shared" si="185"/>
        <v>0</v>
      </c>
      <c r="FF57" s="14">
        <f t="shared" si="36"/>
        <v>0.16</v>
      </c>
      <c r="FG57" s="47">
        <f t="shared" si="215"/>
        <v>0</v>
      </c>
      <c r="FH57" s="35">
        <f t="shared" si="37"/>
        <v>2.72</v>
      </c>
      <c r="FI57" s="157">
        <f t="shared" si="187"/>
        <v>0</v>
      </c>
      <c r="FJ57" s="134"/>
      <c r="FK57" s="14">
        <f t="shared" si="38"/>
        <v>42</v>
      </c>
      <c r="FL57" s="48">
        <f t="shared" si="261"/>
        <v>0</v>
      </c>
      <c r="FM57" s="68">
        <f t="shared" si="188"/>
        <v>0</v>
      </c>
      <c r="FN57" s="51">
        <f t="shared" si="39"/>
        <v>524</v>
      </c>
      <c r="FO57" s="103">
        <f t="shared" ref="FO57:FO61" si="510">FO56</f>
        <v>0</v>
      </c>
      <c r="FP57" s="46">
        <f t="shared" si="279"/>
        <v>524</v>
      </c>
      <c r="FQ57" s="51">
        <f t="shared" si="40"/>
        <v>79</v>
      </c>
      <c r="FR57" s="103">
        <f t="shared" ref="FR57:FR61" si="511">FR56</f>
        <v>0</v>
      </c>
      <c r="FS57" s="46">
        <f t="shared" si="166"/>
        <v>79</v>
      </c>
      <c r="FU57" s="120">
        <f t="shared" ref="FU57:FU61" si="512">FU56+1</f>
        <v>26</v>
      </c>
      <c r="FV57" s="7">
        <f t="shared" si="476"/>
        <v>7</v>
      </c>
      <c r="FW57" s="133"/>
      <c r="FX57" s="14">
        <f t="shared" si="437"/>
        <v>0</v>
      </c>
      <c r="FY57" s="59">
        <f t="shared" si="489"/>
        <v>0</v>
      </c>
      <c r="FZ57" s="405"/>
      <c r="GA57" s="406"/>
      <c r="GB57" s="406"/>
      <c r="GC57" s="14">
        <f t="shared" si="217"/>
        <v>0</v>
      </c>
      <c r="GD57" s="14">
        <f t="shared" si="190"/>
        <v>0</v>
      </c>
      <c r="GE57" s="14">
        <f t="shared" si="41"/>
        <v>0.16</v>
      </c>
      <c r="GF57" s="47">
        <f t="shared" si="218"/>
        <v>0</v>
      </c>
      <c r="GG57" s="35">
        <f t="shared" si="42"/>
        <v>2.72</v>
      </c>
      <c r="GH57" s="157">
        <f t="shared" si="192"/>
        <v>0</v>
      </c>
      <c r="GI57" s="134"/>
      <c r="GJ57" s="14">
        <f t="shared" si="43"/>
        <v>42</v>
      </c>
      <c r="GK57" s="48">
        <f t="shared" si="262"/>
        <v>0</v>
      </c>
      <c r="GL57" s="68">
        <f t="shared" si="193"/>
        <v>0</v>
      </c>
      <c r="GM57" s="51">
        <f t="shared" si="44"/>
        <v>524</v>
      </c>
      <c r="GN57" s="103">
        <f t="shared" ref="GN57:GN61" si="513">GN56</f>
        <v>0</v>
      </c>
      <c r="GO57" s="46">
        <f t="shared" si="281"/>
        <v>524</v>
      </c>
      <c r="GP57" s="51">
        <f t="shared" si="45"/>
        <v>79</v>
      </c>
      <c r="GQ57" s="103">
        <f t="shared" ref="GQ57:GQ61" si="514">GQ56</f>
        <v>0</v>
      </c>
      <c r="GR57" s="46">
        <f t="shared" si="167"/>
        <v>79</v>
      </c>
      <c r="GT57" s="120">
        <f t="shared" ref="GT57:GT61" si="515">GT56+1</f>
        <v>26</v>
      </c>
      <c r="GU57" s="7">
        <f t="shared" si="480"/>
        <v>7</v>
      </c>
      <c r="GV57" s="133"/>
      <c r="GW57" s="14">
        <f t="shared" si="438"/>
        <v>0</v>
      </c>
      <c r="GX57" s="59">
        <f t="shared" si="490"/>
        <v>0</v>
      </c>
      <c r="GY57" s="405"/>
      <c r="GZ57" s="406"/>
      <c r="HA57" s="406"/>
      <c r="HB57" s="14">
        <f t="shared" si="220"/>
        <v>0</v>
      </c>
      <c r="HC57" s="14">
        <f t="shared" si="195"/>
        <v>0</v>
      </c>
      <c r="HD57" s="14">
        <f t="shared" si="46"/>
        <v>0.16</v>
      </c>
      <c r="HE57" s="47">
        <f t="shared" si="221"/>
        <v>0</v>
      </c>
      <c r="HF57" s="35">
        <f t="shared" si="47"/>
        <v>2.72</v>
      </c>
      <c r="HG57" s="157">
        <f t="shared" si="197"/>
        <v>0</v>
      </c>
      <c r="HH57" s="134"/>
      <c r="HI57" s="14">
        <f t="shared" si="48"/>
        <v>42</v>
      </c>
      <c r="HJ57" s="48">
        <f t="shared" si="263"/>
        <v>0</v>
      </c>
      <c r="HK57" s="68">
        <f t="shared" si="198"/>
        <v>0</v>
      </c>
      <c r="HL57" s="51">
        <f t="shared" si="49"/>
        <v>524</v>
      </c>
      <c r="HM57" s="103">
        <f t="shared" ref="HM57:HM61" si="516">HM56</f>
        <v>0</v>
      </c>
      <c r="HN57" s="46">
        <f t="shared" si="283"/>
        <v>524</v>
      </c>
      <c r="HO57" s="51">
        <f t="shared" si="50"/>
        <v>79</v>
      </c>
      <c r="HP57" s="103">
        <f t="shared" ref="HP57:HP61" si="517">HP56</f>
        <v>0</v>
      </c>
      <c r="HQ57" s="46">
        <f t="shared" si="168"/>
        <v>79</v>
      </c>
    </row>
    <row r="58" spans="1:225" ht="17.25" thickBot="1" x14ac:dyDescent="0.3">
      <c r="B58" s="120">
        <f t="shared" si="491"/>
        <v>16</v>
      </c>
      <c r="C58" s="570">
        <f t="shared" si="448"/>
        <v>7</v>
      </c>
      <c r="D58" s="133"/>
      <c r="E58" s="408">
        <f t="shared" si="223"/>
        <v>96333</v>
      </c>
      <c r="F58" s="562">
        <f t="shared" si="0"/>
        <v>96319</v>
      </c>
      <c r="G58" s="134"/>
      <c r="H58" s="135">
        <v>14</v>
      </c>
      <c r="I58" s="135"/>
      <c r="J58" s="14">
        <f t="shared" si="200"/>
        <v>14</v>
      </c>
      <c r="K58" s="14">
        <f t="shared" si="52"/>
        <v>4946</v>
      </c>
      <c r="L58" s="14">
        <f t="shared" si="1"/>
        <v>0.16</v>
      </c>
      <c r="M58" s="230">
        <f t="shared" si="85"/>
        <v>1.4532922259246572E-2</v>
      </c>
      <c r="N58" s="35">
        <f t="shared" si="2"/>
        <v>2.72</v>
      </c>
      <c r="O58" s="132">
        <f t="shared" si="53"/>
        <v>3.6671535444455152</v>
      </c>
      <c r="P58" s="142">
        <v>3276</v>
      </c>
      <c r="Q58" s="14">
        <f t="shared" si="3"/>
        <v>42</v>
      </c>
      <c r="R58" s="442">
        <f t="shared" si="394"/>
        <v>34.007038086636982</v>
      </c>
      <c r="S58" s="470">
        <f t="shared" si="201"/>
        <v>1182.443483032725</v>
      </c>
      <c r="T58" s="51">
        <f t="shared" si="5"/>
        <v>524</v>
      </c>
      <c r="U58" s="103">
        <f t="shared" si="492"/>
        <v>504</v>
      </c>
      <c r="V58" s="46">
        <f t="shared" si="55"/>
        <v>20</v>
      </c>
      <c r="W58" s="51">
        <f t="shared" si="395"/>
        <v>79</v>
      </c>
      <c r="X58" s="103">
        <f t="shared" si="493"/>
        <v>68</v>
      </c>
      <c r="Y58" s="46">
        <f t="shared" si="56"/>
        <v>11</v>
      </c>
      <c r="Z58" s="487"/>
      <c r="AA58" s="120">
        <f t="shared" si="494"/>
        <v>16</v>
      </c>
      <c r="AB58" s="7">
        <f t="shared" si="452"/>
        <v>7</v>
      </c>
      <c r="AC58" s="133"/>
      <c r="AD58" s="48">
        <f t="shared" si="483"/>
        <v>87135</v>
      </c>
      <c r="AE58" s="49">
        <f t="shared" si="484"/>
        <v>87123</v>
      </c>
      <c r="AF58" s="134"/>
      <c r="AG58" s="135">
        <v>12</v>
      </c>
      <c r="AH58" s="135"/>
      <c r="AI58" s="14">
        <f t="shared" si="203"/>
        <v>12</v>
      </c>
      <c r="AJ58" s="14">
        <f t="shared" si="321"/>
        <v>5776</v>
      </c>
      <c r="AK58" s="14">
        <f t="shared" si="8"/>
        <v>0.16</v>
      </c>
      <c r="AL58" s="230">
        <f t="shared" si="58"/>
        <v>1.3771733516956448E-2</v>
      </c>
      <c r="AM58" s="35">
        <f t="shared" si="9"/>
        <v>2.72</v>
      </c>
      <c r="AN58" s="157">
        <f t="shared" si="169"/>
        <v>3.7708257168224786</v>
      </c>
      <c r="AO58" s="134">
        <v>3003</v>
      </c>
      <c r="AP58" s="14">
        <f t="shared" si="10"/>
        <v>42</v>
      </c>
      <c r="AQ58" s="442">
        <f t="shared" si="59"/>
        <v>34.463763126183508</v>
      </c>
      <c r="AR58" s="470">
        <f t="shared" si="323"/>
        <v>1179.3461601787042</v>
      </c>
      <c r="AS58" s="51">
        <f t="shared" si="11"/>
        <v>524</v>
      </c>
      <c r="AT58" s="103">
        <f t="shared" si="495"/>
        <v>439</v>
      </c>
      <c r="AU58" s="46">
        <f t="shared" si="271"/>
        <v>85</v>
      </c>
      <c r="AV58" s="51">
        <f t="shared" si="12"/>
        <v>79</v>
      </c>
      <c r="AW58" s="103">
        <f t="shared" si="496"/>
        <v>35</v>
      </c>
      <c r="AX58" s="46">
        <f t="shared" si="170"/>
        <v>44</v>
      </c>
      <c r="AZ58" s="120">
        <f t="shared" si="497"/>
        <v>16</v>
      </c>
      <c r="BA58" s="7">
        <f t="shared" si="456"/>
        <v>7</v>
      </c>
      <c r="BB58" s="133"/>
      <c r="BC58" s="48">
        <f t="shared" si="403"/>
        <v>93148</v>
      </c>
      <c r="BD58" s="49">
        <f t="shared" si="485"/>
        <v>93140</v>
      </c>
      <c r="BE58" s="134"/>
      <c r="BF58" s="135">
        <v>8</v>
      </c>
      <c r="BG58" s="135"/>
      <c r="BH58" s="14">
        <f t="shared" si="204"/>
        <v>8</v>
      </c>
      <c r="BI58" s="14">
        <f t="shared" si="294"/>
        <v>732</v>
      </c>
      <c r="BJ58" s="14">
        <f t="shared" si="14"/>
        <v>0.16</v>
      </c>
      <c r="BK58" s="47">
        <f t="shared" si="92"/>
        <v>8.5884828445055173E-3</v>
      </c>
      <c r="BL58" s="35">
        <f t="shared" si="15"/>
        <v>2.72</v>
      </c>
      <c r="BM58" s="132">
        <f t="shared" si="326"/>
        <v>1.0252100840336134</v>
      </c>
      <c r="BN58" s="134">
        <v>4368</v>
      </c>
      <c r="BO58" s="14">
        <f t="shared" si="17"/>
        <v>42</v>
      </c>
      <c r="BP58" s="442">
        <f t="shared" si="93"/>
        <v>46.89311633100013</v>
      </c>
      <c r="BQ58" s="747">
        <f t="shared" si="137"/>
        <v>1108.7395050549071</v>
      </c>
      <c r="BR58" s="51">
        <f t="shared" si="18"/>
        <v>524</v>
      </c>
      <c r="BS58" s="103">
        <f t="shared" si="498"/>
        <v>492</v>
      </c>
      <c r="BT58" s="46">
        <f t="shared" si="272"/>
        <v>32</v>
      </c>
      <c r="BU58" s="51">
        <f t="shared" si="20"/>
        <v>79</v>
      </c>
      <c r="BV58" s="103">
        <f t="shared" si="499"/>
        <v>54</v>
      </c>
      <c r="BW58" s="46">
        <f t="shared" si="171"/>
        <v>25</v>
      </c>
      <c r="BY58" s="120">
        <f t="shared" si="500"/>
        <v>27</v>
      </c>
      <c r="BZ58" s="7">
        <f t="shared" si="460"/>
        <v>7</v>
      </c>
      <c r="CA58" s="133"/>
      <c r="CB58" s="14">
        <f t="shared" si="172"/>
        <v>0</v>
      </c>
      <c r="CC58" s="46">
        <f t="shared" si="205"/>
        <v>0</v>
      </c>
      <c r="CD58" s="405"/>
      <c r="CE58" s="406"/>
      <c r="CF58" s="406"/>
      <c r="CG58" s="14">
        <f t="shared" si="206"/>
        <v>0</v>
      </c>
      <c r="CH58" s="14">
        <f t="shared" si="173"/>
        <v>0</v>
      </c>
      <c r="CI58" s="14">
        <f t="shared" si="21"/>
        <v>0.16</v>
      </c>
      <c r="CJ58" s="47">
        <f t="shared" si="97"/>
        <v>0</v>
      </c>
      <c r="CK58" s="35">
        <f t="shared" si="22"/>
        <v>2.72</v>
      </c>
      <c r="CL58" s="157">
        <f t="shared" si="140"/>
        <v>0</v>
      </c>
      <c r="CM58" s="134"/>
      <c r="CN58" s="14">
        <f t="shared" si="23"/>
        <v>42</v>
      </c>
      <c r="CO58" s="48">
        <f t="shared" si="141"/>
        <v>0</v>
      </c>
      <c r="CP58" s="68">
        <f t="shared" si="98"/>
        <v>0</v>
      </c>
      <c r="CQ58" s="51">
        <f t="shared" si="24"/>
        <v>524</v>
      </c>
      <c r="CR58" s="103">
        <f t="shared" si="501"/>
        <v>0</v>
      </c>
      <c r="CS58" s="46">
        <f t="shared" si="273"/>
        <v>524</v>
      </c>
      <c r="CT58" s="12">
        <f t="shared" si="25"/>
        <v>79</v>
      </c>
      <c r="CU58" s="103">
        <f t="shared" si="502"/>
        <v>0</v>
      </c>
      <c r="CV58" s="46">
        <f t="shared" si="67"/>
        <v>79</v>
      </c>
      <c r="CX58" s="120">
        <f t="shared" si="503"/>
        <v>27</v>
      </c>
      <c r="CY58" s="7">
        <f t="shared" si="464"/>
        <v>7</v>
      </c>
      <c r="CZ58" s="133"/>
      <c r="DA58" s="14">
        <f t="shared" si="434"/>
        <v>0</v>
      </c>
      <c r="DB58" s="46">
        <f t="shared" si="486"/>
        <v>0</v>
      </c>
      <c r="DC58" s="405"/>
      <c r="DD58" s="406"/>
      <c r="DE58" s="406"/>
      <c r="DF58" s="14">
        <f t="shared" si="208"/>
        <v>0</v>
      </c>
      <c r="DG58" s="14">
        <f t="shared" si="175"/>
        <v>0</v>
      </c>
      <c r="DH58" s="14">
        <f t="shared" si="26"/>
        <v>0.16</v>
      </c>
      <c r="DI58" s="47">
        <f t="shared" si="209"/>
        <v>0</v>
      </c>
      <c r="DJ58" s="35">
        <f t="shared" si="27"/>
        <v>2.72</v>
      </c>
      <c r="DK58" s="157">
        <f t="shared" si="177"/>
        <v>0</v>
      </c>
      <c r="DL58" s="134"/>
      <c r="DM58" s="14">
        <f t="shared" si="28"/>
        <v>42</v>
      </c>
      <c r="DN58" s="48">
        <f t="shared" si="259"/>
        <v>0</v>
      </c>
      <c r="DO58" s="68">
        <f t="shared" si="178"/>
        <v>0</v>
      </c>
      <c r="DP58" s="51">
        <f t="shared" si="29"/>
        <v>524</v>
      </c>
      <c r="DQ58" s="103">
        <f t="shared" si="504"/>
        <v>0</v>
      </c>
      <c r="DR58" s="46">
        <f t="shared" si="275"/>
        <v>524</v>
      </c>
      <c r="DS58" s="12">
        <f t="shared" si="30"/>
        <v>79</v>
      </c>
      <c r="DT58" s="103">
        <f t="shared" si="505"/>
        <v>0</v>
      </c>
      <c r="DU58" s="46">
        <f t="shared" si="164"/>
        <v>79</v>
      </c>
      <c r="DW58" s="120">
        <f t="shared" si="506"/>
        <v>27</v>
      </c>
      <c r="DX58" s="7">
        <f t="shared" si="468"/>
        <v>7</v>
      </c>
      <c r="DY58" s="133"/>
      <c r="DZ58" s="14">
        <f t="shared" si="435"/>
        <v>0</v>
      </c>
      <c r="EA58" s="46">
        <f t="shared" si="487"/>
        <v>0</v>
      </c>
      <c r="EB58" s="405"/>
      <c r="EC58" s="406"/>
      <c r="ED58" s="406"/>
      <c r="EE58" s="14">
        <f t="shared" si="211"/>
        <v>0</v>
      </c>
      <c r="EF58" s="14">
        <f t="shared" si="180"/>
        <v>0</v>
      </c>
      <c r="EG58" s="14">
        <f t="shared" si="31"/>
        <v>0.16</v>
      </c>
      <c r="EH58" s="47">
        <f t="shared" si="212"/>
        <v>0</v>
      </c>
      <c r="EI58" s="35">
        <f t="shared" si="32"/>
        <v>2.72</v>
      </c>
      <c r="EJ58" s="157">
        <f t="shared" si="182"/>
        <v>0</v>
      </c>
      <c r="EK58" s="134"/>
      <c r="EL58" s="14">
        <f t="shared" si="33"/>
        <v>42</v>
      </c>
      <c r="EM58" s="48">
        <f t="shared" si="260"/>
        <v>0</v>
      </c>
      <c r="EN58" s="68">
        <f t="shared" si="183"/>
        <v>0</v>
      </c>
      <c r="EO58" s="51">
        <f t="shared" si="34"/>
        <v>524</v>
      </c>
      <c r="EP58" s="103">
        <f t="shared" si="507"/>
        <v>0</v>
      </c>
      <c r="EQ58" s="46">
        <f t="shared" si="277"/>
        <v>524</v>
      </c>
      <c r="ER58" s="12">
        <f t="shared" si="35"/>
        <v>79</v>
      </c>
      <c r="ES58" s="103">
        <f t="shared" si="508"/>
        <v>0</v>
      </c>
      <c r="ET58" s="46">
        <f t="shared" si="165"/>
        <v>79</v>
      </c>
      <c r="EV58" s="120">
        <f t="shared" si="509"/>
        <v>27</v>
      </c>
      <c r="EW58" s="7">
        <f t="shared" si="472"/>
        <v>7</v>
      </c>
      <c r="EX58" s="133"/>
      <c r="EY58" s="14">
        <f t="shared" si="436"/>
        <v>0</v>
      </c>
      <c r="EZ58" s="46">
        <f t="shared" si="488"/>
        <v>0</v>
      </c>
      <c r="FA58" s="405"/>
      <c r="FB58" s="406"/>
      <c r="FC58" s="406"/>
      <c r="FD58" s="14">
        <f t="shared" si="214"/>
        <v>0</v>
      </c>
      <c r="FE58" s="14">
        <f t="shared" si="185"/>
        <v>0</v>
      </c>
      <c r="FF58" s="14">
        <f t="shared" si="36"/>
        <v>0.16</v>
      </c>
      <c r="FG58" s="47">
        <f t="shared" si="215"/>
        <v>0</v>
      </c>
      <c r="FH58" s="35">
        <f t="shared" si="37"/>
        <v>2.72</v>
      </c>
      <c r="FI58" s="157">
        <f t="shared" si="187"/>
        <v>0</v>
      </c>
      <c r="FJ58" s="134"/>
      <c r="FK58" s="14">
        <f t="shared" si="38"/>
        <v>42</v>
      </c>
      <c r="FL58" s="48">
        <f t="shared" si="261"/>
        <v>0</v>
      </c>
      <c r="FM58" s="68">
        <f t="shared" si="188"/>
        <v>0</v>
      </c>
      <c r="FN58" s="51">
        <f t="shared" si="39"/>
        <v>524</v>
      </c>
      <c r="FO58" s="103">
        <f t="shared" si="510"/>
        <v>0</v>
      </c>
      <c r="FP58" s="46">
        <f t="shared" si="279"/>
        <v>524</v>
      </c>
      <c r="FQ58" s="12">
        <f t="shared" si="40"/>
        <v>79</v>
      </c>
      <c r="FR58" s="103">
        <f t="shared" si="511"/>
        <v>0</v>
      </c>
      <c r="FS58" s="46">
        <f t="shared" si="166"/>
        <v>79</v>
      </c>
      <c r="FU58" s="120">
        <f t="shared" si="512"/>
        <v>27</v>
      </c>
      <c r="FV58" s="7">
        <f t="shared" si="476"/>
        <v>7</v>
      </c>
      <c r="FW58" s="133"/>
      <c r="FX58" s="14">
        <f t="shared" si="437"/>
        <v>0</v>
      </c>
      <c r="FY58" s="46">
        <f t="shared" si="489"/>
        <v>0</v>
      </c>
      <c r="FZ58" s="405"/>
      <c r="GA58" s="406"/>
      <c r="GB58" s="406"/>
      <c r="GC58" s="14">
        <f t="shared" si="217"/>
        <v>0</v>
      </c>
      <c r="GD58" s="14">
        <f t="shared" si="190"/>
        <v>0</v>
      </c>
      <c r="GE58" s="14">
        <f t="shared" si="41"/>
        <v>0.16</v>
      </c>
      <c r="GF58" s="47">
        <f t="shared" si="218"/>
        <v>0</v>
      </c>
      <c r="GG58" s="35">
        <f t="shared" si="42"/>
        <v>2.72</v>
      </c>
      <c r="GH58" s="157">
        <f t="shared" si="192"/>
        <v>0</v>
      </c>
      <c r="GI58" s="134"/>
      <c r="GJ58" s="14">
        <f t="shared" si="43"/>
        <v>42</v>
      </c>
      <c r="GK58" s="48">
        <f t="shared" si="262"/>
        <v>0</v>
      </c>
      <c r="GL58" s="68">
        <f t="shared" si="193"/>
        <v>0</v>
      </c>
      <c r="GM58" s="51">
        <f t="shared" si="44"/>
        <v>524</v>
      </c>
      <c r="GN58" s="103">
        <f t="shared" si="513"/>
        <v>0</v>
      </c>
      <c r="GO58" s="46">
        <f t="shared" si="281"/>
        <v>524</v>
      </c>
      <c r="GP58" s="12">
        <f t="shared" si="45"/>
        <v>79</v>
      </c>
      <c r="GQ58" s="103">
        <f t="shared" si="514"/>
        <v>0</v>
      </c>
      <c r="GR58" s="46">
        <f t="shared" si="167"/>
        <v>79</v>
      </c>
      <c r="GT58" s="120">
        <f t="shared" si="515"/>
        <v>27</v>
      </c>
      <c r="GU58" s="7">
        <f t="shared" si="480"/>
        <v>7</v>
      </c>
      <c r="GV58" s="133"/>
      <c r="GW58" s="14">
        <f t="shared" si="438"/>
        <v>0</v>
      </c>
      <c r="GX58" s="46">
        <f t="shared" si="490"/>
        <v>0</v>
      </c>
      <c r="GY58" s="405"/>
      <c r="GZ58" s="406"/>
      <c r="HA58" s="406"/>
      <c r="HB58" s="14">
        <f t="shared" si="220"/>
        <v>0</v>
      </c>
      <c r="HC58" s="14">
        <f t="shared" si="195"/>
        <v>0</v>
      </c>
      <c r="HD58" s="14">
        <f t="shared" si="46"/>
        <v>0.16</v>
      </c>
      <c r="HE58" s="47">
        <f t="shared" si="221"/>
        <v>0</v>
      </c>
      <c r="HF58" s="35">
        <f t="shared" si="47"/>
        <v>2.72</v>
      </c>
      <c r="HG58" s="157">
        <f t="shared" si="197"/>
        <v>0</v>
      </c>
      <c r="HH58" s="134"/>
      <c r="HI58" s="14">
        <f t="shared" si="48"/>
        <v>42</v>
      </c>
      <c r="HJ58" s="48">
        <f t="shared" si="263"/>
        <v>0</v>
      </c>
      <c r="HK58" s="68">
        <f t="shared" si="198"/>
        <v>0</v>
      </c>
      <c r="HL58" s="51">
        <f t="shared" si="49"/>
        <v>524</v>
      </c>
      <c r="HM58" s="103">
        <f t="shared" si="516"/>
        <v>0</v>
      </c>
      <c r="HN58" s="46">
        <f t="shared" si="283"/>
        <v>524</v>
      </c>
      <c r="HO58" s="12">
        <f t="shared" si="50"/>
        <v>79</v>
      </c>
      <c r="HP58" s="103">
        <f t="shared" si="517"/>
        <v>0</v>
      </c>
      <c r="HQ58" s="46">
        <f t="shared" si="168"/>
        <v>79</v>
      </c>
    </row>
    <row r="59" spans="1:225" ht="17.25" thickBot="1" x14ac:dyDescent="0.3">
      <c r="B59" s="120">
        <f t="shared" si="491"/>
        <v>17</v>
      </c>
      <c r="C59" s="570">
        <f t="shared" si="448"/>
        <v>7</v>
      </c>
      <c r="D59" s="133"/>
      <c r="E59" s="408">
        <f t="shared" si="223"/>
        <v>96319</v>
      </c>
      <c r="F59" s="562">
        <f t="shared" si="0"/>
        <v>96310</v>
      </c>
      <c r="G59" s="134"/>
      <c r="H59" s="135">
        <v>9</v>
      </c>
      <c r="I59" s="135"/>
      <c r="J59" s="14">
        <f t="shared" si="200"/>
        <v>9</v>
      </c>
      <c r="K59" s="14">
        <f t="shared" si="52"/>
        <v>4955</v>
      </c>
      <c r="L59" s="14">
        <f t="shared" si="1"/>
        <v>0.16</v>
      </c>
      <c r="M59" s="230">
        <f t="shared" si="85"/>
        <v>9.343950830054298E-3</v>
      </c>
      <c r="N59" s="35">
        <f t="shared" si="2"/>
        <v>2.72</v>
      </c>
      <c r="O59" s="132">
        <f t="shared" si="53"/>
        <v>3.6738264886226304</v>
      </c>
      <c r="P59" s="142">
        <v>3003</v>
      </c>
      <c r="Q59" s="14">
        <f t="shared" si="3"/>
        <v>42</v>
      </c>
      <c r="R59" s="442">
        <f t="shared" si="394"/>
        <v>31.177649269614509</v>
      </c>
      <c r="S59" s="470">
        <f t="shared" si="201"/>
        <v>1213.6211323023394</v>
      </c>
      <c r="T59" s="51">
        <f t="shared" si="5"/>
        <v>524</v>
      </c>
      <c r="U59" s="103">
        <f t="shared" si="492"/>
        <v>504</v>
      </c>
      <c r="V59" s="71">
        <f t="shared" si="55"/>
        <v>20</v>
      </c>
      <c r="W59" s="12">
        <f t="shared" si="395"/>
        <v>79</v>
      </c>
      <c r="X59" s="103">
        <f t="shared" si="493"/>
        <v>68</v>
      </c>
      <c r="Y59" s="71">
        <f t="shared" si="56"/>
        <v>11</v>
      </c>
      <c r="Z59" s="487"/>
      <c r="AA59" s="120">
        <f t="shared" si="494"/>
        <v>17</v>
      </c>
      <c r="AB59" s="7">
        <f t="shared" si="452"/>
        <v>7</v>
      </c>
      <c r="AC59" s="133"/>
      <c r="AD59" s="48">
        <f t="shared" si="483"/>
        <v>87123</v>
      </c>
      <c r="AE59" s="447">
        <f t="shared" si="484"/>
        <v>87105</v>
      </c>
      <c r="AF59" s="134"/>
      <c r="AG59" s="135">
        <v>18</v>
      </c>
      <c r="AH59" s="135"/>
      <c r="AI59" s="14">
        <f t="shared" si="203"/>
        <v>18</v>
      </c>
      <c r="AJ59" s="14">
        <f t="shared" si="321"/>
        <v>5794</v>
      </c>
      <c r="AK59" s="14">
        <f t="shared" si="8"/>
        <v>0.16</v>
      </c>
      <c r="AL59" s="230">
        <f t="shared" si="58"/>
        <v>2.0660445576942944E-2</v>
      </c>
      <c r="AM59" s="35">
        <f t="shared" si="9"/>
        <v>2.72</v>
      </c>
      <c r="AN59" s="157">
        <f t="shared" si="169"/>
        <v>3.7825769049981721</v>
      </c>
      <c r="AO59" s="134">
        <v>1365</v>
      </c>
      <c r="AP59" s="14">
        <f t="shared" si="10"/>
        <v>42</v>
      </c>
      <c r="AQ59" s="442">
        <f t="shared" si="59"/>
        <v>15.667504562515065</v>
      </c>
      <c r="AR59" s="470">
        <f t="shared" si="323"/>
        <v>1195.0136647412191</v>
      </c>
      <c r="AS59" s="51">
        <f t="shared" si="11"/>
        <v>524</v>
      </c>
      <c r="AT59" s="103">
        <f t="shared" si="495"/>
        <v>439</v>
      </c>
      <c r="AU59" s="71">
        <f t="shared" si="271"/>
        <v>85</v>
      </c>
      <c r="AV59" s="12">
        <f t="shared" si="12"/>
        <v>79</v>
      </c>
      <c r="AW59" s="103">
        <f t="shared" si="496"/>
        <v>35</v>
      </c>
      <c r="AX59" s="71">
        <f t="shared" si="170"/>
        <v>44</v>
      </c>
      <c r="AZ59" s="120">
        <f t="shared" si="497"/>
        <v>17</v>
      </c>
      <c r="BA59" s="7">
        <f t="shared" si="456"/>
        <v>7</v>
      </c>
      <c r="BB59" s="133"/>
      <c r="BC59" s="48">
        <f t="shared" si="403"/>
        <v>93140</v>
      </c>
      <c r="BD59" s="447">
        <f t="shared" si="485"/>
        <v>93135</v>
      </c>
      <c r="BE59" s="134"/>
      <c r="BF59" s="135">
        <v>5</v>
      </c>
      <c r="BG59" s="135"/>
      <c r="BH59" s="14">
        <f t="shared" si="204"/>
        <v>5</v>
      </c>
      <c r="BI59" s="14">
        <f t="shared" si="294"/>
        <v>737</v>
      </c>
      <c r="BJ59" s="14">
        <f t="shared" si="14"/>
        <v>0.16</v>
      </c>
      <c r="BK59" s="47">
        <f t="shared" si="92"/>
        <v>5.3682628301481641E-3</v>
      </c>
      <c r="BL59" s="35">
        <f t="shared" si="15"/>
        <v>2.72</v>
      </c>
      <c r="BM59" s="132">
        <f t="shared" si="326"/>
        <v>1.0322128851540617</v>
      </c>
      <c r="BN59" s="134">
        <v>3003</v>
      </c>
      <c r="BO59" s="14">
        <f t="shared" si="17"/>
        <v>42</v>
      </c>
      <c r="BP59" s="442">
        <f t="shared" si="93"/>
        <v>32.241786557869879</v>
      </c>
      <c r="BQ59" s="747">
        <f t="shared" si="137"/>
        <v>1140.9812916127769</v>
      </c>
      <c r="BR59" s="51">
        <f t="shared" si="18"/>
        <v>524</v>
      </c>
      <c r="BS59" s="103">
        <f t="shared" si="498"/>
        <v>492</v>
      </c>
      <c r="BT59" s="71">
        <f t="shared" si="272"/>
        <v>32</v>
      </c>
      <c r="BU59" s="12">
        <f t="shared" si="20"/>
        <v>79</v>
      </c>
      <c r="BV59" s="103">
        <f t="shared" si="499"/>
        <v>54</v>
      </c>
      <c r="BW59" s="71">
        <f t="shared" si="171"/>
        <v>25</v>
      </c>
      <c r="BY59" s="120">
        <f t="shared" si="500"/>
        <v>28</v>
      </c>
      <c r="BZ59" s="7">
        <f t="shared" si="460"/>
        <v>7</v>
      </c>
      <c r="CA59" s="133"/>
      <c r="CB59" s="14">
        <f t="shared" si="172"/>
        <v>0</v>
      </c>
      <c r="CC59" s="62">
        <f t="shared" si="205"/>
        <v>0</v>
      </c>
      <c r="CD59" s="405"/>
      <c r="CE59" s="406"/>
      <c r="CF59" s="406"/>
      <c r="CG59" s="14">
        <f t="shared" si="206"/>
        <v>0</v>
      </c>
      <c r="CH59" s="14">
        <f t="shared" si="173"/>
        <v>0</v>
      </c>
      <c r="CI59" s="14">
        <f t="shared" si="21"/>
        <v>0.16</v>
      </c>
      <c r="CJ59" s="47">
        <f t="shared" si="97"/>
        <v>0</v>
      </c>
      <c r="CK59" s="35">
        <f t="shared" si="22"/>
        <v>2.72</v>
      </c>
      <c r="CL59" s="157">
        <f t="shared" si="140"/>
        <v>0</v>
      </c>
      <c r="CM59" s="134"/>
      <c r="CN59" s="14">
        <f t="shared" si="23"/>
        <v>42</v>
      </c>
      <c r="CO59" s="48">
        <f t="shared" si="141"/>
        <v>0</v>
      </c>
      <c r="CP59" s="68">
        <f t="shared" si="98"/>
        <v>0</v>
      </c>
      <c r="CQ59" s="51">
        <f t="shared" si="24"/>
        <v>524</v>
      </c>
      <c r="CR59" s="103">
        <f t="shared" si="501"/>
        <v>0</v>
      </c>
      <c r="CS59" s="71">
        <f t="shared" si="273"/>
        <v>524</v>
      </c>
      <c r="CT59" s="50">
        <f t="shared" si="25"/>
        <v>79</v>
      </c>
      <c r="CU59" s="103">
        <f t="shared" si="502"/>
        <v>0</v>
      </c>
      <c r="CV59" s="71">
        <f t="shared" si="67"/>
        <v>79</v>
      </c>
      <c r="CX59" s="120">
        <f t="shared" si="503"/>
        <v>28</v>
      </c>
      <c r="CY59" s="7">
        <f t="shared" si="464"/>
        <v>7</v>
      </c>
      <c r="CZ59" s="133"/>
      <c r="DA59" s="14">
        <f t="shared" si="434"/>
        <v>0</v>
      </c>
      <c r="DB59" s="62">
        <f t="shared" si="486"/>
        <v>0</v>
      </c>
      <c r="DC59" s="405"/>
      <c r="DD59" s="406"/>
      <c r="DE59" s="406"/>
      <c r="DF59" s="14">
        <f t="shared" si="208"/>
        <v>0</v>
      </c>
      <c r="DG59" s="14">
        <f t="shared" si="175"/>
        <v>0</v>
      </c>
      <c r="DH59" s="14">
        <f t="shared" si="26"/>
        <v>0.16</v>
      </c>
      <c r="DI59" s="47">
        <f t="shared" si="209"/>
        <v>0</v>
      </c>
      <c r="DJ59" s="35">
        <f t="shared" si="27"/>
        <v>2.72</v>
      </c>
      <c r="DK59" s="157">
        <f t="shared" si="177"/>
        <v>0</v>
      </c>
      <c r="DL59" s="134"/>
      <c r="DM59" s="14">
        <f t="shared" si="28"/>
        <v>42</v>
      </c>
      <c r="DN59" s="48">
        <f t="shared" si="259"/>
        <v>0</v>
      </c>
      <c r="DO59" s="68">
        <f t="shared" si="178"/>
        <v>0</v>
      </c>
      <c r="DP59" s="51">
        <f t="shared" si="29"/>
        <v>524</v>
      </c>
      <c r="DQ59" s="103">
        <f t="shared" si="504"/>
        <v>0</v>
      </c>
      <c r="DR59" s="71">
        <f t="shared" si="275"/>
        <v>524</v>
      </c>
      <c r="DS59" s="50">
        <f t="shared" si="30"/>
        <v>79</v>
      </c>
      <c r="DT59" s="103">
        <f t="shared" si="505"/>
        <v>0</v>
      </c>
      <c r="DU59" s="71">
        <f t="shared" si="164"/>
        <v>79</v>
      </c>
      <c r="DW59" s="120">
        <f t="shared" si="506"/>
        <v>28</v>
      </c>
      <c r="DX59" s="7">
        <f t="shared" si="468"/>
        <v>7</v>
      </c>
      <c r="DY59" s="133"/>
      <c r="DZ59" s="14">
        <f t="shared" si="435"/>
        <v>0</v>
      </c>
      <c r="EA59" s="62">
        <f t="shared" si="487"/>
        <v>0</v>
      </c>
      <c r="EB59" s="405"/>
      <c r="EC59" s="406"/>
      <c r="ED59" s="406"/>
      <c r="EE59" s="14">
        <f t="shared" si="211"/>
        <v>0</v>
      </c>
      <c r="EF59" s="14">
        <f t="shared" si="180"/>
        <v>0</v>
      </c>
      <c r="EG59" s="14">
        <f t="shared" si="31"/>
        <v>0.16</v>
      </c>
      <c r="EH59" s="47">
        <f t="shared" si="212"/>
        <v>0</v>
      </c>
      <c r="EI59" s="35">
        <f t="shared" si="32"/>
        <v>2.72</v>
      </c>
      <c r="EJ59" s="157">
        <f t="shared" si="182"/>
        <v>0</v>
      </c>
      <c r="EK59" s="134"/>
      <c r="EL59" s="14">
        <f t="shared" si="33"/>
        <v>42</v>
      </c>
      <c r="EM59" s="48">
        <f t="shared" si="260"/>
        <v>0</v>
      </c>
      <c r="EN59" s="68">
        <f t="shared" si="183"/>
        <v>0</v>
      </c>
      <c r="EO59" s="51">
        <f t="shared" si="34"/>
        <v>524</v>
      </c>
      <c r="EP59" s="103">
        <f t="shared" si="507"/>
        <v>0</v>
      </c>
      <c r="EQ59" s="71">
        <f t="shared" si="277"/>
        <v>524</v>
      </c>
      <c r="ER59" s="50">
        <f t="shared" si="35"/>
        <v>79</v>
      </c>
      <c r="ES59" s="103">
        <f t="shared" si="508"/>
        <v>0</v>
      </c>
      <c r="ET59" s="71">
        <f t="shared" si="165"/>
        <v>79</v>
      </c>
      <c r="EV59" s="120">
        <f t="shared" si="509"/>
        <v>28</v>
      </c>
      <c r="EW59" s="7">
        <f t="shared" si="472"/>
        <v>7</v>
      </c>
      <c r="EX59" s="133"/>
      <c r="EY59" s="14">
        <f t="shared" si="436"/>
        <v>0</v>
      </c>
      <c r="EZ59" s="62">
        <f t="shared" si="488"/>
        <v>0</v>
      </c>
      <c r="FA59" s="405"/>
      <c r="FB59" s="406"/>
      <c r="FC59" s="406"/>
      <c r="FD59" s="14">
        <f t="shared" si="214"/>
        <v>0</v>
      </c>
      <c r="FE59" s="14">
        <f t="shared" si="185"/>
        <v>0</v>
      </c>
      <c r="FF59" s="14">
        <f t="shared" si="36"/>
        <v>0.16</v>
      </c>
      <c r="FG59" s="47">
        <f t="shared" si="215"/>
        <v>0</v>
      </c>
      <c r="FH59" s="35">
        <f t="shared" si="37"/>
        <v>2.72</v>
      </c>
      <c r="FI59" s="157">
        <f t="shared" si="187"/>
        <v>0</v>
      </c>
      <c r="FJ59" s="134"/>
      <c r="FK59" s="14">
        <f t="shared" si="38"/>
        <v>42</v>
      </c>
      <c r="FL59" s="48">
        <f t="shared" si="261"/>
        <v>0</v>
      </c>
      <c r="FM59" s="68">
        <f t="shared" si="188"/>
        <v>0</v>
      </c>
      <c r="FN59" s="51">
        <f t="shared" si="39"/>
        <v>524</v>
      </c>
      <c r="FO59" s="103">
        <f t="shared" si="510"/>
        <v>0</v>
      </c>
      <c r="FP59" s="71">
        <f t="shared" si="279"/>
        <v>524</v>
      </c>
      <c r="FQ59" s="50">
        <f t="shared" si="40"/>
        <v>79</v>
      </c>
      <c r="FR59" s="103">
        <f t="shared" si="511"/>
        <v>0</v>
      </c>
      <c r="FS59" s="71">
        <f t="shared" si="166"/>
        <v>79</v>
      </c>
      <c r="FU59" s="120">
        <f t="shared" si="512"/>
        <v>28</v>
      </c>
      <c r="FV59" s="7">
        <f t="shared" si="476"/>
        <v>7</v>
      </c>
      <c r="FW59" s="133"/>
      <c r="FX59" s="14">
        <f t="shared" si="437"/>
        <v>0</v>
      </c>
      <c r="FY59" s="62">
        <f t="shared" si="489"/>
        <v>0</v>
      </c>
      <c r="FZ59" s="405"/>
      <c r="GA59" s="406"/>
      <c r="GB59" s="406"/>
      <c r="GC59" s="14">
        <f t="shared" si="217"/>
        <v>0</v>
      </c>
      <c r="GD59" s="14">
        <f t="shared" si="190"/>
        <v>0</v>
      </c>
      <c r="GE59" s="14">
        <f t="shared" si="41"/>
        <v>0.16</v>
      </c>
      <c r="GF59" s="47">
        <f t="shared" si="218"/>
        <v>0</v>
      </c>
      <c r="GG59" s="35">
        <f t="shared" si="42"/>
        <v>2.72</v>
      </c>
      <c r="GH59" s="157">
        <f t="shared" si="192"/>
        <v>0</v>
      </c>
      <c r="GI59" s="134"/>
      <c r="GJ59" s="14">
        <f t="shared" si="43"/>
        <v>42</v>
      </c>
      <c r="GK59" s="48">
        <f t="shared" si="262"/>
        <v>0</v>
      </c>
      <c r="GL59" s="68">
        <f t="shared" si="193"/>
        <v>0</v>
      </c>
      <c r="GM59" s="51">
        <f t="shared" si="44"/>
        <v>524</v>
      </c>
      <c r="GN59" s="103">
        <f t="shared" si="513"/>
        <v>0</v>
      </c>
      <c r="GO59" s="71">
        <f t="shared" si="281"/>
        <v>524</v>
      </c>
      <c r="GP59" s="50">
        <f t="shared" si="45"/>
        <v>79</v>
      </c>
      <c r="GQ59" s="103">
        <f t="shared" si="514"/>
        <v>0</v>
      </c>
      <c r="GR59" s="71">
        <f t="shared" si="167"/>
        <v>79</v>
      </c>
      <c r="GT59" s="120">
        <f t="shared" si="515"/>
        <v>28</v>
      </c>
      <c r="GU59" s="7">
        <f t="shared" si="480"/>
        <v>7</v>
      </c>
      <c r="GV59" s="133"/>
      <c r="GW59" s="14">
        <f t="shared" si="438"/>
        <v>0</v>
      </c>
      <c r="GX59" s="62">
        <f t="shared" si="490"/>
        <v>0</v>
      </c>
      <c r="GY59" s="405"/>
      <c r="GZ59" s="406"/>
      <c r="HA59" s="406"/>
      <c r="HB59" s="14">
        <f t="shared" si="220"/>
        <v>0</v>
      </c>
      <c r="HC59" s="14">
        <f t="shared" si="195"/>
        <v>0</v>
      </c>
      <c r="HD59" s="14">
        <f t="shared" si="46"/>
        <v>0.16</v>
      </c>
      <c r="HE59" s="47">
        <f t="shared" si="221"/>
        <v>0</v>
      </c>
      <c r="HF59" s="35">
        <f t="shared" si="47"/>
        <v>2.72</v>
      </c>
      <c r="HG59" s="157">
        <f t="shared" si="197"/>
        <v>0</v>
      </c>
      <c r="HH59" s="134"/>
      <c r="HI59" s="14">
        <f t="shared" si="48"/>
        <v>42</v>
      </c>
      <c r="HJ59" s="48">
        <f t="shared" si="263"/>
        <v>0</v>
      </c>
      <c r="HK59" s="68">
        <f t="shared" si="198"/>
        <v>0</v>
      </c>
      <c r="HL59" s="51">
        <f t="shared" si="49"/>
        <v>524</v>
      </c>
      <c r="HM59" s="103">
        <f t="shared" si="516"/>
        <v>0</v>
      </c>
      <c r="HN59" s="71">
        <f t="shared" si="283"/>
        <v>524</v>
      </c>
      <c r="HO59" s="50">
        <f t="shared" si="50"/>
        <v>79</v>
      </c>
      <c r="HP59" s="103">
        <f t="shared" si="517"/>
        <v>0</v>
      </c>
      <c r="HQ59" s="71">
        <f t="shared" si="168"/>
        <v>79</v>
      </c>
    </row>
    <row r="60" spans="1:225" ht="17.25" thickBot="1" x14ac:dyDescent="0.3">
      <c r="A60" s="517"/>
      <c r="B60" s="403">
        <v>18</v>
      </c>
      <c r="C60" s="571">
        <f t="shared" si="448"/>
        <v>7</v>
      </c>
      <c r="D60" s="229"/>
      <c r="E60" s="408">
        <f t="shared" si="223"/>
        <v>96310</v>
      </c>
      <c r="F60" s="562">
        <f t="shared" si="0"/>
        <v>96303</v>
      </c>
      <c r="G60" s="405"/>
      <c r="H60" s="406">
        <v>7</v>
      </c>
      <c r="I60" s="406"/>
      <c r="J60" s="380">
        <f t="shared" si="200"/>
        <v>7</v>
      </c>
      <c r="K60" s="380">
        <f t="shared" si="52"/>
        <v>4962</v>
      </c>
      <c r="L60" s="380">
        <f t="shared" si="1"/>
        <v>0.16</v>
      </c>
      <c r="M60" s="527">
        <f t="shared" si="85"/>
        <v>7.2681964489668778E-3</v>
      </c>
      <c r="N60" s="407">
        <f t="shared" si="2"/>
        <v>2.72</v>
      </c>
      <c r="O60" s="132">
        <f t="shared" si="53"/>
        <v>3.6790165563159416</v>
      </c>
      <c r="P60" s="411">
        <v>3549</v>
      </c>
      <c r="Q60" s="380">
        <f t="shared" si="3"/>
        <v>42</v>
      </c>
      <c r="R60" s="518">
        <f t="shared" si="394"/>
        <v>36.849755996262068</v>
      </c>
      <c r="S60" s="474">
        <f t="shared" si="201"/>
        <v>1250.4708882986015</v>
      </c>
      <c r="T60" s="182">
        <f t="shared" si="5"/>
        <v>524</v>
      </c>
      <c r="U60" s="181">
        <f t="shared" si="492"/>
        <v>504</v>
      </c>
      <c r="V60" s="266">
        <f t="shared" si="55"/>
        <v>20</v>
      </c>
      <c r="W60" s="385">
        <f t="shared" si="395"/>
        <v>79</v>
      </c>
      <c r="X60" s="181">
        <f t="shared" si="493"/>
        <v>68</v>
      </c>
      <c r="Y60" s="266">
        <f t="shared" si="56"/>
        <v>11</v>
      </c>
      <c r="Z60" s="487"/>
      <c r="AA60" s="403">
        <f>AA59+1</f>
        <v>18</v>
      </c>
      <c r="AB60" s="404">
        <f t="shared" si="452"/>
        <v>7</v>
      </c>
      <c r="AC60" s="229"/>
      <c r="AD60" s="408">
        <f t="shared" si="483"/>
        <v>87105</v>
      </c>
      <c r="AE60" s="450">
        <f t="shared" si="484"/>
        <v>86864</v>
      </c>
      <c r="AF60" s="405">
        <v>225</v>
      </c>
      <c r="AG60" s="406">
        <v>16</v>
      </c>
      <c r="AH60" s="406"/>
      <c r="AI60" s="380">
        <f t="shared" si="203"/>
        <v>241</v>
      </c>
      <c r="AJ60" s="380">
        <f t="shared" si="321"/>
        <v>6035</v>
      </c>
      <c r="AK60" s="380">
        <f t="shared" si="8"/>
        <v>0.16</v>
      </c>
      <c r="AL60" s="527">
        <f t="shared" si="58"/>
        <v>0.27667757304402735</v>
      </c>
      <c r="AM60" s="407">
        <f t="shared" si="9"/>
        <v>2.72</v>
      </c>
      <c r="AN60" s="157">
        <f t="shared" si="169"/>
        <v>3.9399122577949548</v>
      </c>
      <c r="AO60" s="405">
        <v>3003</v>
      </c>
      <c r="AP60" s="380">
        <f t="shared" si="10"/>
        <v>42</v>
      </c>
      <c r="AQ60" s="518">
        <f t="shared" si="59"/>
        <v>34.475632856896851</v>
      </c>
      <c r="AR60" s="474">
        <f t="shared" si="323"/>
        <v>1229.4892975981161</v>
      </c>
      <c r="AS60" s="182">
        <f t="shared" si="11"/>
        <v>524</v>
      </c>
      <c r="AT60" s="181">
        <f t="shared" si="495"/>
        <v>439</v>
      </c>
      <c r="AU60" s="266">
        <f t="shared" si="271"/>
        <v>85</v>
      </c>
      <c r="AV60" s="385">
        <f t="shared" si="12"/>
        <v>79</v>
      </c>
      <c r="AW60" s="181">
        <f t="shared" si="496"/>
        <v>35</v>
      </c>
      <c r="AX60" s="266">
        <f t="shared" si="170"/>
        <v>44</v>
      </c>
      <c r="AZ60" s="403">
        <v>18</v>
      </c>
      <c r="BA60" s="404">
        <f t="shared" si="456"/>
        <v>7</v>
      </c>
      <c r="BB60" s="229"/>
      <c r="BC60" s="408">
        <f t="shared" si="403"/>
        <v>93135</v>
      </c>
      <c r="BD60" s="450">
        <f t="shared" si="485"/>
        <v>93130</v>
      </c>
      <c r="BE60" s="405"/>
      <c r="BF60" s="406">
        <v>5</v>
      </c>
      <c r="BG60" s="406"/>
      <c r="BH60" s="380">
        <f t="shared" si="204"/>
        <v>5</v>
      </c>
      <c r="BI60" s="380">
        <f t="shared" si="294"/>
        <v>742</v>
      </c>
      <c r="BJ60" s="380">
        <f t="shared" si="14"/>
        <v>0.16</v>
      </c>
      <c r="BK60" s="410">
        <f t="shared" si="92"/>
        <v>5.3685510280775221E-3</v>
      </c>
      <c r="BL60" s="407">
        <f t="shared" si="15"/>
        <v>2.72</v>
      </c>
      <c r="BM60" s="132">
        <f t="shared" si="326"/>
        <v>1.0392156862745099</v>
      </c>
      <c r="BN60" s="405">
        <v>4368</v>
      </c>
      <c r="BO60" s="380">
        <f t="shared" si="17"/>
        <v>42</v>
      </c>
      <c r="BP60" s="536">
        <f t="shared" si="93"/>
        <v>46.899661781285232</v>
      </c>
      <c r="BQ60" s="753">
        <f t="shared" si="137"/>
        <v>1187.8809533940621</v>
      </c>
      <c r="BR60" s="182">
        <f t="shared" si="18"/>
        <v>524</v>
      </c>
      <c r="BS60" s="181">
        <f t="shared" si="498"/>
        <v>492</v>
      </c>
      <c r="BT60" s="266">
        <f t="shared" si="272"/>
        <v>32</v>
      </c>
      <c r="BU60" s="385">
        <f t="shared" si="20"/>
        <v>79</v>
      </c>
      <c r="BV60" s="181">
        <f t="shared" si="499"/>
        <v>54</v>
      </c>
      <c r="BW60" s="266">
        <f t="shared" si="171"/>
        <v>25</v>
      </c>
      <c r="BX60" s="425"/>
      <c r="BY60" s="403">
        <v>1</v>
      </c>
      <c r="BZ60" s="404">
        <f t="shared" si="460"/>
        <v>7</v>
      </c>
      <c r="CA60" s="229"/>
      <c r="CB60" s="380">
        <f t="shared" si="172"/>
        <v>0</v>
      </c>
      <c r="CC60" s="267">
        <f t="shared" si="205"/>
        <v>0</v>
      </c>
      <c r="CD60" s="405"/>
      <c r="CE60" s="406"/>
      <c r="CF60" s="406"/>
      <c r="CG60" s="380">
        <f t="shared" si="206"/>
        <v>0</v>
      </c>
      <c r="CH60" s="380">
        <f t="shared" si="173"/>
        <v>0</v>
      </c>
      <c r="CI60" s="380">
        <f t="shared" si="21"/>
        <v>0.16</v>
      </c>
      <c r="CJ60" s="410">
        <f t="shared" si="97"/>
        <v>0</v>
      </c>
      <c r="CK60" s="407">
        <f t="shared" si="22"/>
        <v>2.72</v>
      </c>
      <c r="CL60" s="424">
        <f t="shared" si="140"/>
        <v>0</v>
      </c>
      <c r="CM60" s="405"/>
      <c r="CN60" s="380">
        <f t="shared" si="23"/>
        <v>42</v>
      </c>
      <c r="CO60" s="408">
        <f t="shared" si="141"/>
        <v>0</v>
      </c>
      <c r="CP60" s="409">
        <f t="shared" si="98"/>
        <v>0</v>
      </c>
      <c r="CQ60" s="182">
        <f t="shared" si="24"/>
        <v>524</v>
      </c>
      <c r="CR60" s="181">
        <f t="shared" si="501"/>
        <v>0</v>
      </c>
      <c r="CS60" s="266">
        <f t="shared" si="273"/>
        <v>524</v>
      </c>
      <c r="CT60" s="182">
        <f t="shared" si="25"/>
        <v>79</v>
      </c>
      <c r="CU60" s="181">
        <f t="shared" si="502"/>
        <v>0</v>
      </c>
      <c r="CV60" s="266">
        <f t="shared" si="67"/>
        <v>79</v>
      </c>
      <c r="CX60" s="403">
        <v>1</v>
      </c>
      <c r="CY60" s="404">
        <f t="shared" si="464"/>
        <v>7</v>
      </c>
      <c r="CZ60" s="229"/>
      <c r="DA60" s="380">
        <f t="shared" si="434"/>
        <v>0</v>
      </c>
      <c r="DB60" s="267">
        <f t="shared" si="486"/>
        <v>0</v>
      </c>
      <c r="DC60" s="405"/>
      <c r="DD60" s="406"/>
      <c r="DE60" s="406"/>
      <c r="DF60" s="380">
        <f t="shared" si="208"/>
        <v>0</v>
      </c>
      <c r="DG60" s="380">
        <f t="shared" si="175"/>
        <v>0</v>
      </c>
      <c r="DH60" s="380">
        <f t="shared" si="26"/>
        <v>0.16</v>
      </c>
      <c r="DI60" s="410">
        <f t="shared" si="209"/>
        <v>0</v>
      </c>
      <c r="DJ60" s="407">
        <f t="shared" si="27"/>
        <v>2.72</v>
      </c>
      <c r="DK60" s="424">
        <f t="shared" si="177"/>
        <v>0</v>
      </c>
      <c r="DL60" s="405"/>
      <c r="DM60" s="380">
        <f t="shared" si="28"/>
        <v>42</v>
      </c>
      <c r="DN60" s="408">
        <f t="shared" si="259"/>
        <v>0</v>
      </c>
      <c r="DO60" s="409">
        <f t="shared" si="178"/>
        <v>0</v>
      </c>
      <c r="DP60" s="182">
        <f t="shared" si="29"/>
        <v>524</v>
      </c>
      <c r="DQ60" s="181">
        <f t="shared" si="504"/>
        <v>0</v>
      </c>
      <c r="DR60" s="266">
        <f t="shared" si="275"/>
        <v>524</v>
      </c>
      <c r="DS60" s="182">
        <f t="shared" si="30"/>
        <v>79</v>
      </c>
      <c r="DT60" s="181">
        <f t="shared" si="505"/>
        <v>0</v>
      </c>
      <c r="DU60" s="266">
        <f t="shared" si="164"/>
        <v>79</v>
      </c>
      <c r="DW60" s="403">
        <v>1</v>
      </c>
      <c r="DX60" s="404">
        <f t="shared" si="468"/>
        <v>7</v>
      </c>
      <c r="DY60" s="229"/>
      <c r="DZ60" s="380">
        <f t="shared" si="435"/>
        <v>0</v>
      </c>
      <c r="EA60" s="267">
        <f t="shared" si="487"/>
        <v>0</v>
      </c>
      <c r="EB60" s="405"/>
      <c r="EC60" s="406"/>
      <c r="ED60" s="406"/>
      <c r="EE60" s="380">
        <f t="shared" si="211"/>
        <v>0</v>
      </c>
      <c r="EF60" s="380">
        <f t="shared" si="180"/>
        <v>0</v>
      </c>
      <c r="EG60" s="380">
        <f t="shared" si="31"/>
        <v>0.16</v>
      </c>
      <c r="EH60" s="410">
        <f t="shared" si="212"/>
        <v>0</v>
      </c>
      <c r="EI60" s="407">
        <f t="shared" si="32"/>
        <v>2.72</v>
      </c>
      <c r="EJ60" s="424">
        <f t="shared" si="182"/>
        <v>0</v>
      </c>
      <c r="EK60" s="405"/>
      <c r="EL60" s="380">
        <f t="shared" si="33"/>
        <v>42</v>
      </c>
      <c r="EM60" s="408">
        <f t="shared" si="260"/>
        <v>0</v>
      </c>
      <c r="EN60" s="409">
        <f t="shared" si="183"/>
        <v>0</v>
      </c>
      <c r="EO60" s="182">
        <f t="shared" si="34"/>
        <v>524</v>
      </c>
      <c r="EP60" s="181">
        <f t="shared" si="507"/>
        <v>0</v>
      </c>
      <c r="EQ60" s="266">
        <f t="shared" si="277"/>
        <v>524</v>
      </c>
      <c r="ER60" s="182">
        <f t="shared" si="35"/>
        <v>79</v>
      </c>
      <c r="ES60" s="181">
        <f t="shared" si="508"/>
        <v>0</v>
      </c>
      <c r="ET60" s="266">
        <f t="shared" si="165"/>
        <v>79</v>
      </c>
      <c r="EV60" s="403">
        <v>1</v>
      </c>
      <c r="EW60" s="404">
        <f t="shared" si="472"/>
        <v>7</v>
      </c>
      <c r="EX60" s="229"/>
      <c r="EY60" s="380">
        <f t="shared" si="436"/>
        <v>0</v>
      </c>
      <c r="EZ60" s="267">
        <f t="shared" si="488"/>
        <v>0</v>
      </c>
      <c r="FA60" s="405"/>
      <c r="FB60" s="406"/>
      <c r="FC60" s="406"/>
      <c r="FD60" s="380">
        <f t="shared" si="214"/>
        <v>0</v>
      </c>
      <c r="FE60" s="380">
        <f t="shared" si="185"/>
        <v>0</v>
      </c>
      <c r="FF60" s="380">
        <f t="shared" si="36"/>
        <v>0.16</v>
      </c>
      <c r="FG60" s="410">
        <f t="shared" si="215"/>
        <v>0</v>
      </c>
      <c r="FH60" s="407">
        <f t="shared" si="37"/>
        <v>2.72</v>
      </c>
      <c r="FI60" s="424">
        <f t="shared" si="187"/>
        <v>0</v>
      </c>
      <c r="FJ60" s="405"/>
      <c r="FK60" s="380">
        <f t="shared" si="38"/>
        <v>42</v>
      </c>
      <c r="FL60" s="408">
        <f t="shared" si="261"/>
        <v>0</v>
      </c>
      <c r="FM60" s="409">
        <f t="shared" si="188"/>
        <v>0</v>
      </c>
      <c r="FN60" s="182">
        <f t="shared" si="39"/>
        <v>524</v>
      </c>
      <c r="FO60" s="181">
        <f t="shared" si="510"/>
        <v>0</v>
      </c>
      <c r="FP60" s="266">
        <f t="shared" si="279"/>
        <v>524</v>
      </c>
      <c r="FQ60" s="182">
        <f t="shared" si="40"/>
        <v>79</v>
      </c>
      <c r="FR60" s="181">
        <f t="shared" si="511"/>
        <v>0</v>
      </c>
      <c r="FS60" s="266">
        <f t="shared" si="166"/>
        <v>79</v>
      </c>
      <c r="FU60" s="403">
        <v>1</v>
      </c>
      <c r="FV60" s="404">
        <f t="shared" si="476"/>
        <v>7</v>
      </c>
      <c r="FW60" s="229"/>
      <c r="FX60" s="380">
        <f t="shared" si="437"/>
        <v>0</v>
      </c>
      <c r="FY60" s="267">
        <f t="shared" si="489"/>
        <v>0</v>
      </c>
      <c r="FZ60" s="405"/>
      <c r="GA60" s="406"/>
      <c r="GB60" s="406"/>
      <c r="GC60" s="380">
        <f t="shared" si="217"/>
        <v>0</v>
      </c>
      <c r="GD60" s="380">
        <f t="shared" si="190"/>
        <v>0</v>
      </c>
      <c r="GE60" s="380">
        <f t="shared" si="41"/>
        <v>0.16</v>
      </c>
      <c r="GF60" s="410">
        <f t="shared" si="218"/>
        <v>0</v>
      </c>
      <c r="GG60" s="407">
        <f t="shared" si="42"/>
        <v>2.72</v>
      </c>
      <c r="GH60" s="424">
        <f t="shared" si="192"/>
        <v>0</v>
      </c>
      <c r="GI60" s="405"/>
      <c r="GJ60" s="380">
        <f t="shared" si="43"/>
        <v>42</v>
      </c>
      <c r="GK60" s="408">
        <f t="shared" si="262"/>
        <v>0</v>
      </c>
      <c r="GL60" s="409">
        <f t="shared" si="193"/>
        <v>0</v>
      </c>
      <c r="GM60" s="182">
        <f t="shared" si="44"/>
        <v>524</v>
      </c>
      <c r="GN60" s="181">
        <f t="shared" si="513"/>
        <v>0</v>
      </c>
      <c r="GO60" s="266">
        <f t="shared" si="281"/>
        <v>524</v>
      </c>
      <c r="GP60" s="182">
        <f t="shared" si="45"/>
        <v>79</v>
      </c>
      <c r="GQ60" s="181">
        <f t="shared" si="514"/>
        <v>0</v>
      </c>
      <c r="GR60" s="266">
        <f t="shared" si="167"/>
        <v>79</v>
      </c>
      <c r="GT60" s="403">
        <v>1</v>
      </c>
      <c r="GU60" s="404">
        <f t="shared" si="480"/>
        <v>7</v>
      </c>
      <c r="GV60" s="229"/>
      <c r="GW60" s="380">
        <f t="shared" si="438"/>
        <v>0</v>
      </c>
      <c r="GX60" s="267">
        <f t="shared" si="490"/>
        <v>0</v>
      </c>
      <c r="GY60" s="405"/>
      <c r="GZ60" s="406"/>
      <c r="HA60" s="406"/>
      <c r="HB60" s="380">
        <f t="shared" si="220"/>
        <v>0</v>
      </c>
      <c r="HC60" s="380">
        <f t="shared" si="195"/>
        <v>0</v>
      </c>
      <c r="HD60" s="380">
        <f t="shared" si="46"/>
        <v>0.16</v>
      </c>
      <c r="HE60" s="410">
        <f t="shared" si="221"/>
        <v>0</v>
      </c>
      <c r="HF60" s="407">
        <f t="shared" si="47"/>
        <v>2.72</v>
      </c>
      <c r="HG60" s="424">
        <f t="shared" si="197"/>
        <v>0</v>
      </c>
      <c r="HH60" s="405"/>
      <c r="HI60" s="380">
        <f t="shared" si="48"/>
        <v>42</v>
      </c>
      <c r="HJ60" s="408">
        <f t="shared" si="263"/>
        <v>0</v>
      </c>
      <c r="HK60" s="409">
        <f t="shared" si="198"/>
        <v>0</v>
      </c>
      <c r="HL60" s="182">
        <f t="shared" si="49"/>
        <v>524</v>
      </c>
      <c r="HM60" s="181">
        <f t="shared" si="516"/>
        <v>0</v>
      </c>
      <c r="HN60" s="266">
        <f t="shared" si="283"/>
        <v>524</v>
      </c>
      <c r="HO60" s="182">
        <f t="shared" si="50"/>
        <v>79</v>
      </c>
      <c r="HP60" s="181">
        <f t="shared" si="517"/>
        <v>0</v>
      </c>
      <c r="HQ60" s="266">
        <f t="shared" si="168"/>
        <v>79</v>
      </c>
    </row>
    <row r="61" spans="1:225" ht="17.25" thickBot="1" x14ac:dyDescent="0.3">
      <c r="A61" s="454"/>
      <c r="B61" s="403">
        <v>19</v>
      </c>
      <c r="C61" s="576">
        <f t="shared" si="448"/>
        <v>7</v>
      </c>
      <c r="D61" s="434"/>
      <c r="E61" s="436">
        <f t="shared" si="223"/>
        <v>96303</v>
      </c>
      <c r="F61" s="451">
        <f t="shared" si="0"/>
        <v>96296</v>
      </c>
      <c r="G61" s="421"/>
      <c r="H61" s="426">
        <v>7</v>
      </c>
      <c r="I61" s="426"/>
      <c r="J61" s="452">
        <f t="shared" si="200"/>
        <v>7</v>
      </c>
      <c r="K61" s="452">
        <f t="shared" si="52"/>
        <v>4969</v>
      </c>
      <c r="L61" s="384">
        <f t="shared" si="1"/>
        <v>0.16</v>
      </c>
      <c r="M61" s="96">
        <f t="shared" si="85"/>
        <v>7.2687247541613452E-3</v>
      </c>
      <c r="N61" s="420">
        <f t="shared" si="2"/>
        <v>2.72</v>
      </c>
      <c r="O61" s="132">
        <f t="shared" si="53"/>
        <v>3.6842066240092533</v>
      </c>
      <c r="P61" s="567">
        <v>2730</v>
      </c>
      <c r="Q61" s="384">
        <f t="shared" si="3"/>
        <v>42</v>
      </c>
      <c r="R61" s="443">
        <f t="shared" si="394"/>
        <v>28.348026541229245</v>
      </c>
      <c r="S61" s="473">
        <f t="shared" si="201"/>
        <v>1278.8189148398308</v>
      </c>
      <c r="T61" s="382">
        <f t="shared" si="5"/>
        <v>524</v>
      </c>
      <c r="U61" s="591">
        <f t="shared" si="492"/>
        <v>504</v>
      </c>
      <c r="V61" s="381">
        <f t="shared" si="55"/>
        <v>20</v>
      </c>
      <c r="W61" s="382">
        <f t="shared" si="395"/>
        <v>79</v>
      </c>
      <c r="X61" s="591">
        <f t="shared" si="493"/>
        <v>68</v>
      </c>
      <c r="Y61" s="381">
        <f t="shared" si="56"/>
        <v>11</v>
      </c>
      <c r="Z61" s="487"/>
      <c r="AA61" s="403">
        <f>AA60+1</f>
        <v>19</v>
      </c>
      <c r="AB61" s="433">
        <f t="shared" si="452"/>
        <v>7</v>
      </c>
      <c r="AC61" s="434"/>
      <c r="AD61" s="436">
        <f t="shared" si="483"/>
        <v>86864</v>
      </c>
      <c r="AE61" s="437">
        <f t="shared" si="484"/>
        <v>86844</v>
      </c>
      <c r="AF61" s="421"/>
      <c r="AG61" s="426">
        <v>20</v>
      </c>
      <c r="AH61" s="426"/>
      <c r="AI61" s="452">
        <f t="shared" si="203"/>
        <v>20</v>
      </c>
      <c r="AJ61" s="452">
        <f t="shared" si="321"/>
        <v>6055</v>
      </c>
      <c r="AK61" s="384">
        <f t="shared" si="8"/>
        <v>0.16</v>
      </c>
      <c r="AL61" s="96">
        <f t="shared" si="58"/>
        <v>2.3024498065942162E-2</v>
      </c>
      <c r="AM61" s="420">
        <f t="shared" si="9"/>
        <v>2.72</v>
      </c>
      <c r="AN61" s="157">
        <f t="shared" si="169"/>
        <v>3.9529691335457251</v>
      </c>
      <c r="AO61" s="421">
        <v>4095</v>
      </c>
      <c r="AP61" s="387">
        <f t="shared" si="10"/>
        <v>42</v>
      </c>
      <c r="AQ61" s="443">
        <f t="shared" si="59"/>
        <v>47.142659790016573</v>
      </c>
      <c r="AR61" s="473">
        <f t="shared" si="323"/>
        <v>1276.6319573881326</v>
      </c>
      <c r="AS61" s="382">
        <f t="shared" si="11"/>
        <v>524</v>
      </c>
      <c r="AT61" s="181">
        <f t="shared" si="495"/>
        <v>439</v>
      </c>
      <c r="AU61" s="381">
        <f t="shared" si="271"/>
        <v>85</v>
      </c>
      <c r="AV61" s="382">
        <f t="shared" si="12"/>
        <v>79</v>
      </c>
      <c r="AW61" s="181">
        <f t="shared" si="496"/>
        <v>35</v>
      </c>
      <c r="AX61" s="381">
        <f t="shared" si="170"/>
        <v>44</v>
      </c>
      <c r="AZ61" s="432">
        <v>19</v>
      </c>
      <c r="BA61" s="433">
        <f t="shared" si="456"/>
        <v>7</v>
      </c>
      <c r="BB61" s="434"/>
      <c r="BC61" s="436">
        <f t="shared" si="403"/>
        <v>93130</v>
      </c>
      <c r="BD61" s="437">
        <f t="shared" si="485"/>
        <v>93127</v>
      </c>
      <c r="BE61" s="421"/>
      <c r="BF61" s="426">
        <v>3</v>
      </c>
      <c r="BG61" s="426"/>
      <c r="BH61" s="452">
        <f t="shared" si="204"/>
        <v>3</v>
      </c>
      <c r="BI61" s="452">
        <f t="shared" si="294"/>
        <v>745</v>
      </c>
      <c r="BJ61" s="384">
        <f t="shared" si="14"/>
        <v>0.16</v>
      </c>
      <c r="BK61" s="96">
        <f t="shared" si="92"/>
        <v>3.221303554171588E-3</v>
      </c>
      <c r="BL61" s="420">
        <f t="shared" si="15"/>
        <v>2.72</v>
      </c>
      <c r="BM61" s="132">
        <f t="shared" si="326"/>
        <v>1.0434173669467788</v>
      </c>
      <c r="BN61" s="421">
        <v>3003</v>
      </c>
      <c r="BO61" s="384">
        <f t="shared" si="17"/>
        <v>42</v>
      </c>
      <c r="BP61" s="443">
        <f t="shared" si="93"/>
        <v>32.245248577257598</v>
      </c>
      <c r="BQ61" s="754">
        <f t="shared" si="137"/>
        <v>1220.1262019713197</v>
      </c>
      <c r="BR61" s="382">
        <f t="shared" si="18"/>
        <v>524</v>
      </c>
      <c r="BS61" s="591">
        <f t="shared" si="498"/>
        <v>492</v>
      </c>
      <c r="BT61" s="381">
        <f t="shared" si="272"/>
        <v>32</v>
      </c>
      <c r="BU61" s="382">
        <f t="shared" si="20"/>
        <v>79</v>
      </c>
      <c r="BV61" s="591">
        <f t="shared" si="499"/>
        <v>54</v>
      </c>
      <c r="BW61" s="381">
        <f t="shared" si="171"/>
        <v>25</v>
      </c>
      <c r="BY61" s="120">
        <f t="shared" si="500"/>
        <v>2</v>
      </c>
      <c r="BZ61" s="8">
        <f t="shared" si="460"/>
        <v>7</v>
      </c>
      <c r="CA61" s="136"/>
      <c r="CB61" s="32">
        <f t="shared" si="172"/>
        <v>0</v>
      </c>
      <c r="CC61" s="69">
        <f t="shared" si="205"/>
        <v>0</v>
      </c>
      <c r="CD61" s="421"/>
      <c r="CE61" s="426"/>
      <c r="CF61" s="426"/>
      <c r="CG61" s="34">
        <f t="shared" si="206"/>
        <v>0</v>
      </c>
      <c r="CH61" s="34">
        <f t="shared" si="173"/>
        <v>0</v>
      </c>
      <c r="CI61" s="17">
        <f t="shared" si="21"/>
        <v>0.16</v>
      </c>
      <c r="CJ61" s="166">
        <f t="shared" si="97"/>
        <v>0</v>
      </c>
      <c r="CK61" s="33">
        <f t="shared" si="22"/>
        <v>2.72</v>
      </c>
      <c r="CL61" s="156">
        <f t="shared" si="140"/>
        <v>0</v>
      </c>
      <c r="CM61" s="137"/>
      <c r="CN61" s="32">
        <f t="shared" si="23"/>
        <v>42</v>
      </c>
      <c r="CO61" s="54">
        <f t="shared" si="141"/>
        <v>0</v>
      </c>
      <c r="CP61" s="70">
        <f t="shared" si="98"/>
        <v>0</v>
      </c>
      <c r="CQ61" s="50">
        <f t="shared" si="24"/>
        <v>524</v>
      </c>
      <c r="CR61" s="103">
        <f t="shared" si="501"/>
        <v>0</v>
      </c>
      <c r="CS61" s="53">
        <f t="shared" si="273"/>
        <v>524</v>
      </c>
      <c r="CT61" s="12">
        <f t="shared" si="25"/>
        <v>79</v>
      </c>
      <c r="CU61" s="103">
        <f t="shared" si="502"/>
        <v>0</v>
      </c>
      <c r="CV61" s="53">
        <f t="shared" si="67"/>
        <v>79</v>
      </c>
      <c r="CX61" s="120">
        <f t="shared" si="503"/>
        <v>2</v>
      </c>
      <c r="CY61" s="8">
        <f t="shared" si="464"/>
        <v>7</v>
      </c>
      <c r="CZ61" s="136"/>
      <c r="DA61" s="32">
        <f t="shared" si="434"/>
        <v>0</v>
      </c>
      <c r="DB61" s="69">
        <f t="shared" si="486"/>
        <v>0</v>
      </c>
      <c r="DC61" s="421"/>
      <c r="DD61" s="426"/>
      <c r="DE61" s="426"/>
      <c r="DF61" s="34">
        <f t="shared" si="208"/>
        <v>0</v>
      </c>
      <c r="DG61" s="34">
        <f t="shared" si="175"/>
        <v>0</v>
      </c>
      <c r="DH61" s="17">
        <f t="shared" si="26"/>
        <v>0.16</v>
      </c>
      <c r="DI61" s="166">
        <f t="shared" si="209"/>
        <v>0</v>
      </c>
      <c r="DJ61" s="33">
        <f t="shared" si="27"/>
        <v>2.72</v>
      </c>
      <c r="DK61" s="156">
        <f t="shared" si="177"/>
        <v>0</v>
      </c>
      <c r="DL61" s="137"/>
      <c r="DM61" s="32">
        <f t="shared" si="28"/>
        <v>42</v>
      </c>
      <c r="DN61" s="54">
        <f t="shared" si="259"/>
        <v>0</v>
      </c>
      <c r="DO61" s="70">
        <f t="shared" si="178"/>
        <v>0</v>
      </c>
      <c r="DP61" s="50">
        <f t="shared" si="29"/>
        <v>524</v>
      </c>
      <c r="DQ61" s="103">
        <f t="shared" si="504"/>
        <v>0</v>
      </c>
      <c r="DR61" s="53">
        <f t="shared" si="275"/>
        <v>524</v>
      </c>
      <c r="DS61" s="12">
        <f t="shared" si="30"/>
        <v>79</v>
      </c>
      <c r="DT61" s="103">
        <f t="shared" si="505"/>
        <v>0</v>
      </c>
      <c r="DU61" s="53">
        <f t="shared" si="164"/>
        <v>79</v>
      </c>
      <c r="DW61" s="120">
        <f t="shared" si="506"/>
        <v>2</v>
      </c>
      <c r="DX61" s="8">
        <f t="shared" si="468"/>
        <v>7</v>
      </c>
      <c r="DY61" s="136"/>
      <c r="DZ61" s="32">
        <f t="shared" si="435"/>
        <v>0</v>
      </c>
      <c r="EA61" s="69">
        <f t="shared" si="487"/>
        <v>0</v>
      </c>
      <c r="EB61" s="421"/>
      <c r="EC61" s="426"/>
      <c r="ED61" s="426"/>
      <c r="EE61" s="34">
        <f t="shared" si="211"/>
        <v>0</v>
      </c>
      <c r="EF61" s="34">
        <f t="shared" si="180"/>
        <v>0</v>
      </c>
      <c r="EG61" s="17">
        <f t="shared" si="31"/>
        <v>0.16</v>
      </c>
      <c r="EH61" s="166">
        <f t="shared" si="212"/>
        <v>0</v>
      </c>
      <c r="EI61" s="33">
        <f t="shared" si="32"/>
        <v>2.72</v>
      </c>
      <c r="EJ61" s="156">
        <f t="shared" si="182"/>
        <v>0</v>
      </c>
      <c r="EK61" s="137"/>
      <c r="EL61" s="32">
        <f t="shared" si="33"/>
        <v>42</v>
      </c>
      <c r="EM61" s="54">
        <f t="shared" si="260"/>
        <v>0</v>
      </c>
      <c r="EN61" s="70">
        <f t="shared" si="183"/>
        <v>0</v>
      </c>
      <c r="EO61" s="50">
        <f t="shared" si="34"/>
        <v>524</v>
      </c>
      <c r="EP61" s="103">
        <f t="shared" si="507"/>
        <v>0</v>
      </c>
      <c r="EQ61" s="53">
        <f t="shared" si="277"/>
        <v>524</v>
      </c>
      <c r="ER61" s="12">
        <f t="shared" si="35"/>
        <v>79</v>
      </c>
      <c r="ES61" s="103">
        <f t="shared" si="508"/>
        <v>0</v>
      </c>
      <c r="ET61" s="53">
        <f t="shared" si="165"/>
        <v>79</v>
      </c>
      <c r="EV61" s="120">
        <f t="shared" si="509"/>
        <v>2</v>
      </c>
      <c r="EW61" s="8">
        <f t="shared" si="472"/>
        <v>7</v>
      </c>
      <c r="EX61" s="136"/>
      <c r="EY61" s="32">
        <f t="shared" si="436"/>
        <v>0</v>
      </c>
      <c r="EZ61" s="69">
        <f t="shared" si="488"/>
        <v>0</v>
      </c>
      <c r="FA61" s="421"/>
      <c r="FB61" s="426"/>
      <c r="FC61" s="426"/>
      <c r="FD61" s="34">
        <f t="shared" si="214"/>
        <v>0</v>
      </c>
      <c r="FE61" s="34">
        <f t="shared" si="185"/>
        <v>0</v>
      </c>
      <c r="FF61" s="17">
        <f t="shared" si="36"/>
        <v>0.16</v>
      </c>
      <c r="FG61" s="166">
        <f t="shared" si="215"/>
        <v>0</v>
      </c>
      <c r="FH61" s="33">
        <f t="shared" si="37"/>
        <v>2.72</v>
      </c>
      <c r="FI61" s="156">
        <f t="shared" si="187"/>
        <v>0</v>
      </c>
      <c r="FJ61" s="137"/>
      <c r="FK61" s="32">
        <f t="shared" si="38"/>
        <v>42</v>
      </c>
      <c r="FL61" s="54">
        <f t="shared" si="261"/>
        <v>0</v>
      </c>
      <c r="FM61" s="70">
        <f t="shared" si="188"/>
        <v>0</v>
      </c>
      <c r="FN61" s="50">
        <f t="shared" si="39"/>
        <v>524</v>
      </c>
      <c r="FO61" s="103">
        <f t="shared" si="510"/>
        <v>0</v>
      </c>
      <c r="FP61" s="53">
        <f t="shared" si="279"/>
        <v>524</v>
      </c>
      <c r="FQ61" s="12">
        <f t="shared" si="40"/>
        <v>79</v>
      </c>
      <c r="FR61" s="103">
        <f t="shared" si="511"/>
        <v>0</v>
      </c>
      <c r="FS61" s="53">
        <f t="shared" si="166"/>
        <v>79</v>
      </c>
      <c r="FU61" s="120">
        <f t="shared" si="512"/>
        <v>2</v>
      </c>
      <c r="FV61" s="8">
        <f t="shared" si="476"/>
        <v>7</v>
      </c>
      <c r="FW61" s="136"/>
      <c r="FX61" s="32">
        <f t="shared" si="437"/>
        <v>0</v>
      </c>
      <c r="FY61" s="69">
        <f t="shared" si="489"/>
        <v>0</v>
      </c>
      <c r="FZ61" s="421"/>
      <c r="GA61" s="426"/>
      <c r="GB61" s="426"/>
      <c r="GC61" s="34">
        <f t="shared" si="217"/>
        <v>0</v>
      </c>
      <c r="GD61" s="34">
        <f t="shared" si="190"/>
        <v>0</v>
      </c>
      <c r="GE61" s="17">
        <f t="shared" si="41"/>
        <v>0.16</v>
      </c>
      <c r="GF61" s="166">
        <f t="shared" si="218"/>
        <v>0</v>
      </c>
      <c r="GG61" s="33">
        <f t="shared" si="42"/>
        <v>2.72</v>
      </c>
      <c r="GH61" s="156">
        <f t="shared" si="192"/>
        <v>0</v>
      </c>
      <c r="GI61" s="137"/>
      <c r="GJ61" s="32">
        <f t="shared" si="43"/>
        <v>42</v>
      </c>
      <c r="GK61" s="54">
        <f t="shared" si="262"/>
        <v>0</v>
      </c>
      <c r="GL61" s="70">
        <f t="shared" si="193"/>
        <v>0</v>
      </c>
      <c r="GM61" s="50">
        <f t="shared" si="44"/>
        <v>524</v>
      </c>
      <c r="GN61" s="103">
        <f t="shared" si="513"/>
        <v>0</v>
      </c>
      <c r="GO61" s="53">
        <f t="shared" si="281"/>
        <v>524</v>
      </c>
      <c r="GP61" s="12">
        <f t="shared" si="45"/>
        <v>79</v>
      </c>
      <c r="GQ61" s="103">
        <f t="shared" si="514"/>
        <v>0</v>
      </c>
      <c r="GR61" s="53">
        <f t="shared" si="167"/>
        <v>79</v>
      </c>
      <c r="GT61" s="120">
        <f t="shared" si="515"/>
        <v>2</v>
      </c>
      <c r="GU61" s="8">
        <f t="shared" si="480"/>
        <v>7</v>
      </c>
      <c r="GV61" s="136"/>
      <c r="GW61" s="32">
        <f t="shared" si="438"/>
        <v>0</v>
      </c>
      <c r="GX61" s="69">
        <f t="shared" si="490"/>
        <v>0</v>
      </c>
      <c r="GY61" s="421"/>
      <c r="GZ61" s="426"/>
      <c r="HA61" s="426"/>
      <c r="HB61" s="34">
        <f t="shared" si="220"/>
        <v>0</v>
      </c>
      <c r="HC61" s="34">
        <f t="shared" si="195"/>
        <v>0</v>
      </c>
      <c r="HD61" s="17">
        <f t="shared" si="46"/>
        <v>0.16</v>
      </c>
      <c r="HE61" s="166">
        <f t="shared" si="221"/>
        <v>0</v>
      </c>
      <c r="HF61" s="33">
        <f t="shared" si="47"/>
        <v>2.72</v>
      </c>
      <c r="HG61" s="156">
        <f t="shared" si="197"/>
        <v>0</v>
      </c>
      <c r="HH61" s="137"/>
      <c r="HI61" s="32">
        <f t="shared" si="48"/>
        <v>42</v>
      </c>
      <c r="HJ61" s="54">
        <f t="shared" si="263"/>
        <v>0</v>
      </c>
      <c r="HK61" s="70">
        <f t="shared" si="198"/>
        <v>0</v>
      </c>
      <c r="HL61" s="50">
        <f t="shared" si="49"/>
        <v>524</v>
      </c>
      <c r="HM61" s="103">
        <f t="shared" si="516"/>
        <v>0</v>
      </c>
      <c r="HN61" s="53">
        <f t="shared" si="283"/>
        <v>524</v>
      </c>
      <c r="HO61" s="12">
        <f t="shared" si="50"/>
        <v>79</v>
      </c>
      <c r="HP61" s="103">
        <f t="shared" si="517"/>
        <v>0</v>
      </c>
      <c r="HQ61" s="53">
        <f t="shared" si="168"/>
        <v>79</v>
      </c>
    </row>
    <row r="62" spans="1:225" ht="17.25" thickBot="1" x14ac:dyDescent="0.3">
      <c r="B62" s="118">
        <v>20</v>
      </c>
      <c r="C62" s="575">
        <v>8</v>
      </c>
      <c r="D62" s="129"/>
      <c r="E62" s="400">
        <f t="shared" si="223"/>
        <v>96296</v>
      </c>
      <c r="F62" s="561">
        <f t="shared" si="0"/>
        <v>96155</v>
      </c>
      <c r="G62" s="130">
        <v>135</v>
      </c>
      <c r="H62" s="131">
        <v>6</v>
      </c>
      <c r="I62" s="131"/>
      <c r="J62" s="11">
        <f t="shared" si="200"/>
        <v>141</v>
      </c>
      <c r="K62" s="11">
        <f t="shared" si="52"/>
        <v>5110</v>
      </c>
      <c r="L62" s="11">
        <f t="shared" si="1"/>
        <v>0.16</v>
      </c>
      <c r="M62" s="153">
        <f t="shared" si="85"/>
        <v>0.14642352745700757</v>
      </c>
      <c r="N62" s="21">
        <f t="shared" si="2"/>
        <v>2.8800000000000003</v>
      </c>
      <c r="O62" s="132">
        <f t="shared" si="53"/>
        <v>3.7887494161173847</v>
      </c>
      <c r="P62" s="158">
        <v>2730</v>
      </c>
      <c r="Q62" s="11">
        <f t="shared" si="3"/>
        <v>46</v>
      </c>
      <c r="R62" s="441">
        <f t="shared" si="394"/>
        <v>28.350087231037634</v>
      </c>
      <c r="S62" s="469">
        <f t="shared" si="201"/>
        <v>1307.1690020708684</v>
      </c>
      <c r="T62" s="58">
        <f t="shared" si="5"/>
        <v>618</v>
      </c>
      <c r="U62" s="131">
        <v>628</v>
      </c>
      <c r="V62" s="41">
        <f t="shared" si="55"/>
        <v>-10</v>
      </c>
      <c r="W62" s="18">
        <f t="shared" si="395"/>
        <v>79</v>
      </c>
      <c r="X62" s="131">
        <v>94</v>
      </c>
      <c r="Y62" s="41">
        <f t="shared" si="56"/>
        <v>-15</v>
      </c>
      <c r="Z62" s="487"/>
      <c r="AA62" s="118">
        <v>20</v>
      </c>
      <c r="AB62" s="9">
        <v>8</v>
      </c>
      <c r="AC62" s="129"/>
      <c r="AD62" s="43">
        <f t="shared" si="483"/>
        <v>86844</v>
      </c>
      <c r="AE62" s="449">
        <f t="shared" si="484"/>
        <v>86837</v>
      </c>
      <c r="AF62" s="130"/>
      <c r="AG62" s="131">
        <v>7</v>
      </c>
      <c r="AH62" s="131"/>
      <c r="AI62" s="11">
        <f t="shared" si="203"/>
        <v>7</v>
      </c>
      <c r="AJ62" s="11">
        <f t="shared" si="321"/>
        <v>6062</v>
      </c>
      <c r="AK62" s="17">
        <f t="shared" si="8"/>
        <v>0.16</v>
      </c>
      <c r="AL62" s="153">
        <f t="shared" si="58"/>
        <v>8.0604301966744965E-3</v>
      </c>
      <c r="AM62" s="33">
        <f t="shared" si="9"/>
        <v>2.8800000000000003</v>
      </c>
      <c r="AN62" s="157">
        <f t="shared" si="169"/>
        <v>3.9575390400584949</v>
      </c>
      <c r="AO62" s="130">
        <v>4368</v>
      </c>
      <c r="AP62" s="11">
        <f t="shared" si="10"/>
        <v>46</v>
      </c>
      <c r="AQ62" s="441">
        <f t="shared" si="59"/>
        <v>50.297084427248862</v>
      </c>
      <c r="AR62" s="469">
        <f t="shared" si="323"/>
        <v>1326.9290418153814</v>
      </c>
      <c r="AS62" s="61">
        <f t="shared" si="11"/>
        <v>618</v>
      </c>
      <c r="AT62" s="131">
        <v>561</v>
      </c>
      <c r="AU62" s="41">
        <f t="shared" si="271"/>
        <v>57</v>
      </c>
      <c r="AV62" s="18">
        <f t="shared" si="12"/>
        <v>79</v>
      </c>
      <c r="AW62" s="131">
        <v>81</v>
      </c>
      <c r="AX62" s="41">
        <f t="shared" si="170"/>
        <v>-2</v>
      </c>
      <c r="AZ62" s="118">
        <v>20</v>
      </c>
      <c r="BA62" s="9">
        <v>8</v>
      </c>
      <c r="BB62" s="129"/>
      <c r="BC62" s="43">
        <f t="shared" si="403"/>
        <v>93127</v>
      </c>
      <c r="BD62" s="449">
        <f t="shared" si="485"/>
        <v>93125</v>
      </c>
      <c r="BE62" s="130"/>
      <c r="BF62" s="131">
        <v>2</v>
      </c>
      <c r="BG62" s="131"/>
      <c r="BH62" s="11">
        <f t="shared" si="204"/>
        <v>2</v>
      </c>
      <c r="BI62" s="11">
        <f t="shared" si="294"/>
        <v>747</v>
      </c>
      <c r="BJ62" s="11">
        <f t="shared" si="14"/>
        <v>0.16</v>
      </c>
      <c r="BK62" s="42">
        <f t="shared" si="92"/>
        <v>2.1476048836535054E-3</v>
      </c>
      <c r="BL62" s="21">
        <f t="shared" si="15"/>
        <v>2.8800000000000003</v>
      </c>
      <c r="BM62" s="132">
        <f t="shared" si="326"/>
        <v>1.046218487394958</v>
      </c>
      <c r="BN62" s="130">
        <v>4095</v>
      </c>
      <c r="BO62" s="11">
        <f t="shared" si="17"/>
        <v>46</v>
      </c>
      <c r="BP62" s="441">
        <f t="shared" si="93"/>
        <v>43.972209992805524</v>
      </c>
      <c r="BQ62" s="746">
        <f t="shared" si="137"/>
        <v>1264.0984119641253</v>
      </c>
      <c r="BR62" s="58">
        <f t="shared" si="18"/>
        <v>618</v>
      </c>
      <c r="BS62" s="131">
        <v>615</v>
      </c>
      <c r="BT62" s="41">
        <f t="shared" si="272"/>
        <v>3</v>
      </c>
      <c r="BU62" s="18">
        <f t="shared" si="20"/>
        <v>79</v>
      </c>
      <c r="BV62" s="131">
        <v>66</v>
      </c>
      <c r="BW62" s="41">
        <f t="shared" si="171"/>
        <v>13</v>
      </c>
      <c r="BY62" s="118">
        <v>3</v>
      </c>
      <c r="BZ62" s="9">
        <v>8</v>
      </c>
      <c r="CA62" s="129"/>
      <c r="CB62" s="11">
        <f t="shared" si="172"/>
        <v>0</v>
      </c>
      <c r="CC62" s="57">
        <f t="shared" si="205"/>
        <v>0</v>
      </c>
      <c r="CD62" s="398"/>
      <c r="CE62" s="399"/>
      <c r="CF62" s="399"/>
      <c r="CG62" s="11">
        <f t="shared" si="206"/>
        <v>0</v>
      </c>
      <c r="CH62" s="11">
        <f t="shared" si="173"/>
        <v>0</v>
      </c>
      <c r="CI62" s="16">
        <f t="shared" si="21"/>
        <v>0.16</v>
      </c>
      <c r="CJ62" s="231">
        <f t="shared" si="97"/>
        <v>0</v>
      </c>
      <c r="CK62" s="154">
        <f t="shared" si="22"/>
        <v>2.8800000000000003</v>
      </c>
      <c r="CL62" s="155">
        <f t="shared" si="140"/>
        <v>0</v>
      </c>
      <c r="CM62" s="130"/>
      <c r="CN62" s="17">
        <f t="shared" si="23"/>
        <v>46</v>
      </c>
      <c r="CO62" s="60">
        <f t="shared" si="141"/>
        <v>0</v>
      </c>
      <c r="CP62" s="377">
        <f t="shared" si="98"/>
        <v>0</v>
      </c>
      <c r="CQ62" s="58">
        <f t="shared" si="24"/>
        <v>618</v>
      </c>
      <c r="CR62" s="131"/>
      <c r="CS62" s="41">
        <f t="shared" si="273"/>
        <v>618</v>
      </c>
      <c r="CT62" s="58">
        <f t="shared" si="25"/>
        <v>79</v>
      </c>
      <c r="CU62" s="131"/>
      <c r="CV62" s="41">
        <f t="shared" si="67"/>
        <v>79</v>
      </c>
      <c r="CX62" s="118">
        <v>3</v>
      </c>
      <c r="CY62" s="9">
        <v>8</v>
      </c>
      <c r="CZ62" s="129"/>
      <c r="DA62" s="11">
        <f t="shared" si="434"/>
        <v>0</v>
      </c>
      <c r="DB62" s="57">
        <f t="shared" si="486"/>
        <v>0</v>
      </c>
      <c r="DC62" s="398"/>
      <c r="DD62" s="399"/>
      <c r="DE62" s="399"/>
      <c r="DF62" s="11">
        <f t="shared" si="208"/>
        <v>0</v>
      </c>
      <c r="DG62" s="11">
        <f t="shared" si="175"/>
        <v>0</v>
      </c>
      <c r="DH62" s="16">
        <f t="shared" si="26"/>
        <v>0.16</v>
      </c>
      <c r="DI62" s="231">
        <f t="shared" si="209"/>
        <v>0</v>
      </c>
      <c r="DJ62" s="154">
        <f t="shared" si="27"/>
        <v>2.8800000000000003</v>
      </c>
      <c r="DK62" s="155">
        <f t="shared" si="177"/>
        <v>0</v>
      </c>
      <c r="DL62" s="130"/>
      <c r="DM62" s="17">
        <f t="shared" si="28"/>
        <v>46</v>
      </c>
      <c r="DN62" s="60">
        <f t="shared" si="259"/>
        <v>0</v>
      </c>
      <c r="DO62" s="377">
        <f t="shared" si="178"/>
        <v>0</v>
      </c>
      <c r="DP62" s="58">
        <f t="shared" si="29"/>
        <v>618</v>
      </c>
      <c r="DQ62" s="131"/>
      <c r="DR62" s="41">
        <f t="shared" si="275"/>
        <v>618</v>
      </c>
      <c r="DS62" s="58">
        <f t="shared" si="30"/>
        <v>79</v>
      </c>
      <c r="DT62" s="131"/>
      <c r="DU62" s="41">
        <f t="shared" si="164"/>
        <v>79</v>
      </c>
      <c r="DW62" s="118">
        <v>3</v>
      </c>
      <c r="DX62" s="9">
        <v>8</v>
      </c>
      <c r="DY62" s="129"/>
      <c r="DZ62" s="11">
        <f t="shared" si="435"/>
        <v>0</v>
      </c>
      <c r="EA62" s="57">
        <f t="shared" si="487"/>
        <v>0</v>
      </c>
      <c r="EB62" s="398"/>
      <c r="EC62" s="399"/>
      <c r="ED62" s="399"/>
      <c r="EE62" s="11">
        <f t="shared" si="211"/>
        <v>0</v>
      </c>
      <c r="EF62" s="11">
        <f t="shared" si="180"/>
        <v>0</v>
      </c>
      <c r="EG62" s="16">
        <f t="shared" si="31"/>
        <v>0.16</v>
      </c>
      <c r="EH62" s="231">
        <f t="shared" si="212"/>
        <v>0</v>
      </c>
      <c r="EI62" s="154">
        <f t="shared" si="32"/>
        <v>2.8800000000000003</v>
      </c>
      <c r="EJ62" s="155">
        <f t="shared" si="182"/>
        <v>0</v>
      </c>
      <c r="EK62" s="130"/>
      <c r="EL62" s="17">
        <f t="shared" si="33"/>
        <v>46</v>
      </c>
      <c r="EM62" s="60">
        <f t="shared" si="260"/>
        <v>0</v>
      </c>
      <c r="EN62" s="377">
        <f t="shared" si="183"/>
        <v>0</v>
      </c>
      <c r="EO62" s="58">
        <f t="shared" si="34"/>
        <v>618</v>
      </c>
      <c r="EP62" s="131"/>
      <c r="EQ62" s="41">
        <f t="shared" si="277"/>
        <v>618</v>
      </c>
      <c r="ER62" s="58">
        <f t="shared" si="35"/>
        <v>79</v>
      </c>
      <c r="ES62" s="131"/>
      <c r="ET62" s="41">
        <f t="shared" si="165"/>
        <v>79</v>
      </c>
      <c r="EV62" s="118">
        <v>3</v>
      </c>
      <c r="EW62" s="9">
        <v>8</v>
      </c>
      <c r="EX62" s="129"/>
      <c r="EY62" s="11">
        <f t="shared" si="436"/>
        <v>0</v>
      </c>
      <c r="EZ62" s="57">
        <f t="shared" si="488"/>
        <v>0</v>
      </c>
      <c r="FA62" s="398"/>
      <c r="FB62" s="399"/>
      <c r="FC62" s="399"/>
      <c r="FD62" s="11">
        <f t="shared" si="214"/>
        <v>0</v>
      </c>
      <c r="FE62" s="11">
        <f t="shared" si="185"/>
        <v>0</v>
      </c>
      <c r="FF62" s="16">
        <f t="shared" si="36"/>
        <v>0.16</v>
      </c>
      <c r="FG62" s="231">
        <f t="shared" si="215"/>
        <v>0</v>
      </c>
      <c r="FH62" s="154">
        <f t="shared" si="37"/>
        <v>2.8800000000000003</v>
      </c>
      <c r="FI62" s="155">
        <f t="shared" si="187"/>
        <v>0</v>
      </c>
      <c r="FJ62" s="130"/>
      <c r="FK62" s="17">
        <f t="shared" si="38"/>
        <v>46</v>
      </c>
      <c r="FL62" s="60">
        <f t="shared" si="261"/>
        <v>0</v>
      </c>
      <c r="FM62" s="377">
        <f t="shared" si="188"/>
        <v>0</v>
      </c>
      <c r="FN62" s="58">
        <f t="shared" si="39"/>
        <v>618</v>
      </c>
      <c r="FO62" s="131"/>
      <c r="FP62" s="41">
        <f t="shared" si="279"/>
        <v>618</v>
      </c>
      <c r="FQ62" s="58">
        <f t="shared" si="40"/>
        <v>79</v>
      </c>
      <c r="FR62" s="131"/>
      <c r="FS62" s="41">
        <f t="shared" si="166"/>
        <v>79</v>
      </c>
      <c r="FU62" s="118">
        <v>3</v>
      </c>
      <c r="FV62" s="9">
        <v>8</v>
      </c>
      <c r="FW62" s="129"/>
      <c r="FX62" s="11">
        <f t="shared" si="437"/>
        <v>0</v>
      </c>
      <c r="FY62" s="57">
        <f t="shared" si="489"/>
        <v>0</v>
      </c>
      <c r="FZ62" s="398"/>
      <c r="GA62" s="399"/>
      <c r="GB62" s="399"/>
      <c r="GC62" s="11">
        <f t="shared" si="217"/>
        <v>0</v>
      </c>
      <c r="GD62" s="11">
        <f t="shared" si="190"/>
        <v>0</v>
      </c>
      <c r="GE62" s="16">
        <f t="shared" si="41"/>
        <v>0.16</v>
      </c>
      <c r="GF62" s="231">
        <f t="shared" si="218"/>
        <v>0</v>
      </c>
      <c r="GG62" s="154">
        <f t="shared" si="42"/>
        <v>2.8800000000000003</v>
      </c>
      <c r="GH62" s="155">
        <f t="shared" si="192"/>
        <v>0</v>
      </c>
      <c r="GI62" s="130"/>
      <c r="GJ62" s="17">
        <f t="shared" si="43"/>
        <v>46</v>
      </c>
      <c r="GK62" s="60">
        <f t="shared" si="262"/>
        <v>0</v>
      </c>
      <c r="GL62" s="377">
        <f t="shared" si="193"/>
        <v>0</v>
      </c>
      <c r="GM62" s="58">
        <f t="shared" si="44"/>
        <v>618</v>
      </c>
      <c r="GN62" s="131"/>
      <c r="GO62" s="41">
        <f t="shared" si="281"/>
        <v>618</v>
      </c>
      <c r="GP62" s="58">
        <f t="shared" si="45"/>
        <v>79</v>
      </c>
      <c r="GQ62" s="131"/>
      <c r="GR62" s="41">
        <f t="shared" si="167"/>
        <v>79</v>
      </c>
      <c r="GT62" s="118">
        <v>3</v>
      </c>
      <c r="GU62" s="9">
        <v>8</v>
      </c>
      <c r="GV62" s="129"/>
      <c r="GW62" s="11">
        <f t="shared" si="438"/>
        <v>0</v>
      </c>
      <c r="GX62" s="57">
        <f t="shared" si="490"/>
        <v>0</v>
      </c>
      <c r="GY62" s="398"/>
      <c r="GZ62" s="399"/>
      <c r="HA62" s="399"/>
      <c r="HB62" s="11">
        <f t="shared" si="220"/>
        <v>0</v>
      </c>
      <c r="HC62" s="11">
        <f t="shared" si="195"/>
        <v>0</v>
      </c>
      <c r="HD62" s="16">
        <f t="shared" si="46"/>
        <v>0.16</v>
      </c>
      <c r="HE62" s="231">
        <f t="shared" si="221"/>
        <v>0</v>
      </c>
      <c r="HF62" s="154">
        <f t="shared" si="47"/>
        <v>2.8800000000000003</v>
      </c>
      <c r="HG62" s="155">
        <f t="shared" si="197"/>
        <v>0</v>
      </c>
      <c r="HH62" s="130"/>
      <c r="HI62" s="17">
        <f t="shared" si="48"/>
        <v>46</v>
      </c>
      <c r="HJ62" s="60">
        <f t="shared" si="263"/>
        <v>0</v>
      </c>
      <c r="HK62" s="377">
        <f t="shared" si="198"/>
        <v>0</v>
      </c>
      <c r="HL62" s="58">
        <f t="shared" si="49"/>
        <v>618</v>
      </c>
      <c r="HM62" s="131"/>
      <c r="HN62" s="41">
        <f t="shared" si="283"/>
        <v>618</v>
      </c>
      <c r="HO62" s="58">
        <f t="shared" si="50"/>
        <v>79</v>
      </c>
      <c r="HP62" s="131"/>
      <c r="HQ62" s="41">
        <f t="shared" si="168"/>
        <v>79</v>
      </c>
    </row>
    <row r="63" spans="1:225" ht="17.25" thickBot="1" x14ac:dyDescent="0.3">
      <c r="B63" s="120">
        <f>B62+1</f>
        <v>21</v>
      </c>
      <c r="C63" s="570">
        <f>C62</f>
        <v>8</v>
      </c>
      <c r="D63" s="133"/>
      <c r="E63" s="408">
        <f t="shared" si="223"/>
        <v>96155</v>
      </c>
      <c r="F63" s="562">
        <f t="shared" si="0"/>
        <v>96149</v>
      </c>
      <c r="G63" s="134"/>
      <c r="H63" s="135">
        <v>6</v>
      </c>
      <c r="I63" s="135"/>
      <c r="J63" s="14">
        <f t="shared" si="200"/>
        <v>6</v>
      </c>
      <c r="K63" s="14">
        <f t="shared" si="52"/>
        <v>5116</v>
      </c>
      <c r="L63" s="14">
        <f t="shared" si="1"/>
        <v>0.16</v>
      </c>
      <c r="M63" s="47">
        <f t="shared" si="85"/>
        <v>6.2399251208985493E-3</v>
      </c>
      <c r="N63" s="35">
        <f t="shared" si="2"/>
        <v>2.8800000000000003</v>
      </c>
      <c r="O63" s="132">
        <f t="shared" si="53"/>
        <v>3.7931980455687944</v>
      </c>
      <c r="P63" s="142">
        <v>5460</v>
      </c>
      <c r="Q63" s="14">
        <f t="shared" si="3"/>
        <v>46</v>
      </c>
      <c r="R63" s="442">
        <f t="shared" si="394"/>
        <v>56.783318600176798</v>
      </c>
      <c r="S63" s="470">
        <f t="shared" si="201"/>
        <v>1363.9523206710451</v>
      </c>
      <c r="T63" s="51">
        <f t="shared" si="5"/>
        <v>618</v>
      </c>
      <c r="U63" s="103">
        <f>U62</f>
        <v>628</v>
      </c>
      <c r="V63" s="46">
        <f t="shared" si="55"/>
        <v>-10</v>
      </c>
      <c r="W63" s="51">
        <f t="shared" si="395"/>
        <v>79</v>
      </c>
      <c r="X63" s="103">
        <f>X62</f>
        <v>94</v>
      </c>
      <c r="Y63" s="46">
        <f t="shared" si="56"/>
        <v>-15</v>
      </c>
      <c r="Z63" s="487"/>
      <c r="AA63" s="120">
        <f>AA62+1</f>
        <v>21</v>
      </c>
      <c r="AB63" s="7">
        <f>AB62</f>
        <v>8</v>
      </c>
      <c r="AC63" s="133"/>
      <c r="AD63" s="48">
        <f t="shared" si="483"/>
        <v>86837</v>
      </c>
      <c r="AE63" s="196">
        <f t="shared" si="484"/>
        <v>86832</v>
      </c>
      <c r="AF63" s="134"/>
      <c r="AG63" s="135">
        <v>5</v>
      </c>
      <c r="AH63" s="135"/>
      <c r="AI63" s="14">
        <f t="shared" si="203"/>
        <v>5</v>
      </c>
      <c r="AJ63" s="14">
        <f t="shared" si="321"/>
        <v>6067</v>
      </c>
      <c r="AK63" s="14">
        <f t="shared" si="8"/>
        <v>0.16</v>
      </c>
      <c r="AL63" s="47">
        <f t="shared" si="58"/>
        <v>5.7579142531409425E-3</v>
      </c>
      <c r="AM63" s="35">
        <f t="shared" si="9"/>
        <v>2.8800000000000003</v>
      </c>
      <c r="AN63" s="157">
        <f t="shared" si="169"/>
        <v>3.9608032589961875</v>
      </c>
      <c r="AO63" s="134">
        <v>2730</v>
      </c>
      <c r="AP63" s="14">
        <f t="shared" si="10"/>
        <v>46</v>
      </c>
      <c r="AQ63" s="442">
        <f t="shared" si="59"/>
        <v>31.438211822149544</v>
      </c>
      <c r="AR63" s="470">
        <f t="shared" si="323"/>
        <v>1358.3672536375309</v>
      </c>
      <c r="AS63" s="51">
        <f t="shared" si="11"/>
        <v>618</v>
      </c>
      <c r="AT63" s="103">
        <f>AT62</f>
        <v>561</v>
      </c>
      <c r="AU63" s="46">
        <f t="shared" si="271"/>
        <v>57</v>
      </c>
      <c r="AV63" s="51">
        <f t="shared" si="12"/>
        <v>79</v>
      </c>
      <c r="AW63" s="103">
        <f>AW62</f>
        <v>81</v>
      </c>
      <c r="AX63" s="46">
        <f t="shared" si="170"/>
        <v>-2</v>
      </c>
      <c r="AZ63" s="120">
        <f>AZ62+1</f>
        <v>21</v>
      </c>
      <c r="BA63" s="7">
        <f>BA62</f>
        <v>8</v>
      </c>
      <c r="BB63" s="133"/>
      <c r="BC63" s="48">
        <f t="shared" ref="BC63:BC114" si="518">IFERROR(BD62+BB63,0)</f>
        <v>93125</v>
      </c>
      <c r="BD63" s="196">
        <f t="shared" si="485"/>
        <v>93078</v>
      </c>
      <c r="BE63" s="134">
        <v>42</v>
      </c>
      <c r="BF63" s="135">
        <v>5</v>
      </c>
      <c r="BG63" s="135"/>
      <c r="BH63" s="14">
        <f t="shared" si="204"/>
        <v>47</v>
      </c>
      <c r="BI63" s="14">
        <f t="shared" si="294"/>
        <v>794</v>
      </c>
      <c r="BJ63" s="14">
        <f t="shared" si="14"/>
        <v>0.16</v>
      </c>
      <c r="BK63" s="47">
        <f t="shared" si="92"/>
        <v>5.0469798657718119E-2</v>
      </c>
      <c r="BL63" s="35">
        <f t="shared" si="15"/>
        <v>2.8800000000000003</v>
      </c>
      <c r="BM63" s="132">
        <f t="shared" si="326"/>
        <v>1.1120448179271709</v>
      </c>
      <c r="BN63" s="134">
        <v>4095</v>
      </c>
      <c r="BO63" s="14">
        <f t="shared" si="17"/>
        <v>46</v>
      </c>
      <c r="BP63" s="442">
        <f t="shared" si="93"/>
        <v>43.973154362416103</v>
      </c>
      <c r="BQ63" s="747">
        <f t="shared" si="137"/>
        <v>1308.0715663265414</v>
      </c>
      <c r="BR63" s="51">
        <f t="shared" si="18"/>
        <v>618</v>
      </c>
      <c r="BS63" s="103">
        <f>BS62</f>
        <v>615</v>
      </c>
      <c r="BT63" s="46">
        <f t="shared" si="272"/>
        <v>3</v>
      </c>
      <c r="BU63" s="51">
        <f t="shared" si="20"/>
        <v>79</v>
      </c>
      <c r="BV63" s="103">
        <f>BV62</f>
        <v>66</v>
      </c>
      <c r="BW63" s="46">
        <f t="shared" si="171"/>
        <v>13</v>
      </c>
      <c r="BY63" s="120">
        <f>BY62+1</f>
        <v>4</v>
      </c>
      <c r="BZ63" s="7">
        <f>BZ62</f>
        <v>8</v>
      </c>
      <c r="CA63" s="133"/>
      <c r="CB63" s="14">
        <f t="shared" si="172"/>
        <v>0</v>
      </c>
      <c r="CC63" s="59">
        <f t="shared" si="205"/>
        <v>0</v>
      </c>
      <c r="CD63" s="405"/>
      <c r="CE63" s="406"/>
      <c r="CF63" s="406"/>
      <c r="CG63" s="14">
        <f t="shared" si="206"/>
        <v>0</v>
      </c>
      <c r="CH63" s="14">
        <f t="shared" si="173"/>
        <v>0</v>
      </c>
      <c r="CI63" s="14">
        <f t="shared" si="21"/>
        <v>0.16</v>
      </c>
      <c r="CJ63" s="47">
        <f t="shared" si="97"/>
        <v>0</v>
      </c>
      <c r="CK63" s="35">
        <f t="shared" si="22"/>
        <v>2.8800000000000003</v>
      </c>
      <c r="CL63" s="157">
        <f t="shared" si="140"/>
        <v>0</v>
      </c>
      <c r="CM63" s="134"/>
      <c r="CN63" s="14">
        <f t="shared" si="23"/>
        <v>46</v>
      </c>
      <c r="CO63" s="48">
        <f t="shared" si="141"/>
        <v>0</v>
      </c>
      <c r="CP63" s="68">
        <f t="shared" si="98"/>
        <v>0</v>
      </c>
      <c r="CQ63" s="51">
        <f t="shared" si="24"/>
        <v>618</v>
      </c>
      <c r="CR63" s="103">
        <f>CR62</f>
        <v>0</v>
      </c>
      <c r="CS63" s="46">
        <f t="shared" si="273"/>
        <v>618</v>
      </c>
      <c r="CT63" s="51">
        <f t="shared" si="25"/>
        <v>79</v>
      </c>
      <c r="CU63" s="103">
        <f>CU62</f>
        <v>0</v>
      </c>
      <c r="CV63" s="46">
        <f t="shared" si="67"/>
        <v>79</v>
      </c>
      <c r="CX63" s="120">
        <f>CX62+1</f>
        <v>4</v>
      </c>
      <c r="CY63" s="7">
        <f>CY62</f>
        <v>8</v>
      </c>
      <c r="CZ63" s="133"/>
      <c r="DA63" s="14">
        <f t="shared" si="434"/>
        <v>0</v>
      </c>
      <c r="DB63" s="59">
        <f t="shared" si="486"/>
        <v>0</v>
      </c>
      <c r="DC63" s="405"/>
      <c r="DD63" s="406"/>
      <c r="DE63" s="406"/>
      <c r="DF63" s="14">
        <f t="shared" si="208"/>
        <v>0</v>
      </c>
      <c r="DG63" s="14">
        <f t="shared" si="175"/>
        <v>0</v>
      </c>
      <c r="DH63" s="14">
        <f t="shared" si="26"/>
        <v>0.16</v>
      </c>
      <c r="DI63" s="47">
        <f t="shared" si="209"/>
        <v>0</v>
      </c>
      <c r="DJ63" s="35">
        <f t="shared" si="27"/>
        <v>2.8800000000000003</v>
      </c>
      <c r="DK63" s="157">
        <f t="shared" si="177"/>
        <v>0</v>
      </c>
      <c r="DL63" s="134"/>
      <c r="DM63" s="14">
        <f t="shared" si="28"/>
        <v>46</v>
      </c>
      <c r="DN63" s="48">
        <f t="shared" si="259"/>
        <v>0</v>
      </c>
      <c r="DO63" s="68">
        <f t="shared" si="178"/>
        <v>0</v>
      </c>
      <c r="DP63" s="51">
        <f t="shared" si="29"/>
        <v>618</v>
      </c>
      <c r="DQ63" s="103">
        <f>DQ62</f>
        <v>0</v>
      </c>
      <c r="DR63" s="46">
        <f t="shared" si="275"/>
        <v>618</v>
      </c>
      <c r="DS63" s="51">
        <f t="shared" si="30"/>
        <v>79</v>
      </c>
      <c r="DT63" s="103">
        <f>DT62</f>
        <v>0</v>
      </c>
      <c r="DU63" s="46">
        <f t="shared" si="164"/>
        <v>79</v>
      </c>
      <c r="DW63" s="120">
        <f>DW62+1</f>
        <v>4</v>
      </c>
      <c r="DX63" s="7">
        <f>DX62</f>
        <v>8</v>
      </c>
      <c r="DY63" s="133"/>
      <c r="DZ63" s="14">
        <f t="shared" si="435"/>
        <v>0</v>
      </c>
      <c r="EA63" s="59">
        <f t="shared" si="487"/>
        <v>0</v>
      </c>
      <c r="EB63" s="405"/>
      <c r="EC63" s="406"/>
      <c r="ED63" s="406"/>
      <c r="EE63" s="14">
        <f t="shared" si="211"/>
        <v>0</v>
      </c>
      <c r="EF63" s="14">
        <f t="shared" si="180"/>
        <v>0</v>
      </c>
      <c r="EG63" s="14">
        <f t="shared" si="31"/>
        <v>0.16</v>
      </c>
      <c r="EH63" s="47">
        <f t="shared" si="212"/>
        <v>0</v>
      </c>
      <c r="EI63" s="35">
        <f t="shared" si="32"/>
        <v>2.8800000000000003</v>
      </c>
      <c r="EJ63" s="157">
        <f t="shared" si="182"/>
        <v>0</v>
      </c>
      <c r="EK63" s="134"/>
      <c r="EL63" s="14">
        <f t="shared" si="33"/>
        <v>46</v>
      </c>
      <c r="EM63" s="48">
        <f t="shared" si="260"/>
        <v>0</v>
      </c>
      <c r="EN63" s="68">
        <f t="shared" si="183"/>
        <v>0</v>
      </c>
      <c r="EO63" s="51">
        <f t="shared" si="34"/>
        <v>618</v>
      </c>
      <c r="EP63" s="103">
        <f>EP62</f>
        <v>0</v>
      </c>
      <c r="EQ63" s="46">
        <f t="shared" si="277"/>
        <v>618</v>
      </c>
      <c r="ER63" s="51">
        <f t="shared" si="35"/>
        <v>79</v>
      </c>
      <c r="ES63" s="103">
        <f>ES62</f>
        <v>0</v>
      </c>
      <c r="ET63" s="46">
        <f t="shared" si="165"/>
        <v>79</v>
      </c>
      <c r="EV63" s="120">
        <f>EV62+1</f>
        <v>4</v>
      </c>
      <c r="EW63" s="7">
        <f>EW62</f>
        <v>8</v>
      </c>
      <c r="EX63" s="133"/>
      <c r="EY63" s="14">
        <f t="shared" si="436"/>
        <v>0</v>
      </c>
      <c r="EZ63" s="59">
        <f t="shared" si="488"/>
        <v>0</v>
      </c>
      <c r="FA63" s="405"/>
      <c r="FB63" s="406"/>
      <c r="FC63" s="406"/>
      <c r="FD63" s="14">
        <f t="shared" si="214"/>
        <v>0</v>
      </c>
      <c r="FE63" s="14">
        <f t="shared" si="185"/>
        <v>0</v>
      </c>
      <c r="FF63" s="14">
        <f t="shared" si="36"/>
        <v>0.16</v>
      </c>
      <c r="FG63" s="47">
        <f t="shared" si="215"/>
        <v>0</v>
      </c>
      <c r="FH63" s="35">
        <f t="shared" si="37"/>
        <v>2.8800000000000003</v>
      </c>
      <c r="FI63" s="157">
        <f t="shared" si="187"/>
        <v>0</v>
      </c>
      <c r="FJ63" s="134"/>
      <c r="FK63" s="14">
        <f t="shared" si="38"/>
        <v>46</v>
      </c>
      <c r="FL63" s="48">
        <f t="shared" si="261"/>
        <v>0</v>
      </c>
      <c r="FM63" s="68">
        <f t="shared" si="188"/>
        <v>0</v>
      </c>
      <c r="FN63" s="51">
        <f t="shared" si="39"/>
        <v>618</v>
      </c>
      <c r="FO63" s="103">
        <f>FO62</f>
        <v>0</v>
      </c>
      <c r="FP63" s="46">
        <f t="shared" si="279"/>
        <v>618</v>
      </c>
      <c r="FQ63" s="51">
        <f t="shared" si="40"/>
        <v>79</v>
      </c>
      <c r="FR63" s="103">
        <f>FR62</f>
        <v>0</v>
      </c>
      <c r="FS63" s="46">
        <f t="shared" si="166"/>
        <v>79</v>
      </c>
      <c r="FU63" s="120">
        <f>FU62+1</f>
        <v>4</v>
      </c>
      <c r="FV63" s="7">
        <f>FV62</f>
        <v>8</v>
      </c>
      <c r="FW63" s="133"/>
      <c r="FX63" s="14">
        <f t="shared" si="437"/>
        <v>0</v>
      </c>
      <c r="FY63" s="59">
        <f t="shared" si="489"/>
        <v>0</v>
      </c>
      <c r="FZ63" s="405"/>
      <c r="GA63" s="406"/>
      <c r="GB63" s="406"/>
      <c r="GC63" s="14">
        <f t="shared" si="217"/>
        <v>0</v>
      </c>
      <c r="GD63" s="14">
        <f t="shared" si="190"/>
        <v>0</v>
      </c>
      <c r="GE63" s="14">
        <f t="shared" si="41"/>
        <v>0.16</v>
      </c>
      <c r="GF63" s="47">
        <f t="shared" si="218"/>
        <v>0</v>
      </c>
      <c r="GG63" s="35">
        <f t="shared" si="42"/>
        <v>2.8800000000000003</v>
      </c>
      <c r="GH63" s="157">
        <f t="shared" si="192"/>
        <v>0</v>
      </c>
      <c r="GI63" s="134"/>
      <c r="GJ63" s="14">
        <f t="shared" si="43"/>
        <v>46</v>
      </c>
      <c r="GK63" s="48">
        <f t="shared" si="262"/>
        <v>0</v>
      </c>
      <c r="GL63" s="68">
        <f t="shared" si="193"/>
        <v>0</v>
      </c>
      <c r="GM63" s="51">
        <f t="shared" si="44"/>
        <v>618</v>
      </c>
      <c r="GN63" s="103">
        <f>GN62</f>
        <v>0</v>
      </c>
      <c r="GO63" s="46">
        <f t="shared" si="281"/>
        <v>618</v>
      </c>
      <c r="GP63" s="51">
        <f t="shared" si="45"/>
        <v>79</v>
      </c>
      <c r="GQ63" s="103">
        <f>GQ62</f>
        <v>0</v>
      </c>
      <c r="GR63" s="46">
        <f t="shared" si="167"/>
        <v>79</v>
      </c>
      <c r="GT63" s="120">
        <f>GT62+1</f>
        <v>4</v>
      </c>
      <c r="GU63" s="7">
        <f>GU62</f>
        <v>8</v>
      </c>
      <c r="GV63" s="133"/>
      <c r="GW63" s="14">
        <f t="shared" si="438"/>
        <v>0</v>
      </c>
      <c r="GX63" s="59">
        <f t="shared" si="490"/>
        <v>0</v>
      </c>
      <c r="GY63" s="405"/>
      <c r="GZ63" s="406"/>
      <c r="HA63" s="406"/>
      <c r="HB63" s="14">
        <f t="shared" si="220"/>
        <v>0</v>
      </c>
      <c r="HC63" s="14">
        <f t="shared" si="195"/>
        <v>0</v>
      </c>
      <c r="HD63" s="14">
        <f t="shared" si="46"/>
        <v>0.16</v>
      </c>
      <c r="HE63" s="47">
        <f t="shared" si="221"/>
        <v>0</v>
      </c>
      <c r="HF63" s="35">
        <f t="shared" si="47"/>
        <v>2.8800000000000003</v>
      </c>
      <c r="HG63" s="157">
        <f t="shared" si="197"/>
        <v>0</v>
      </c>
      <c r="HH63" s="134"/>
      <c r="HI63" s="14">
        <f t="shared" si="48"/>
        <v>46</v>
      </c>
      <c r="HJ63" s="48">
        <f t="shared" si="263"/>
        <v>0</v>
      </c>
      <c r="HK63" s="68">
        <f t="shared" si="198"/>
        <v>0</v>
      </c>
      <c r="HL63" s="51">
        <f t="shared" si="49"/>
        <v>618</v>
      </c>
      <c r="HM63" s="103">
        <f>HM62</f>
        <v>0</v>
      </c>
      <c r="HN63" s="46">
        <f t="shared" si="283"/>
        <v>618</v>
      </c>
      <c r="HO63" s="51">
        <f t="shared" si="50"/>
        <v>79</v>
      </c>
      <c r="HP63" s="103">
        <f>HP62</f>
        <v>0</v>
      </c>
      <c r="HQ63" s="46">
        <f t="shared" si="168"/>
        <v>79</v>
      </c>
    </row>
    <row r="64" spans="1:225" ht="17.25" thickBot="1" x14ac:dyDescent="0.3">
      <c r="B64" s="120">
        <f t="shared" ref="B64:B68" si="519">B63+1</f>
        <v>22</v>
      </c>
      <c r="C64" s="570">
        <f t="shared" ref="C64:C68" si="520">C63</f>
        <v>8</v>
      </c>
      <c r="D64" s="133"/>
      <c r="E64" s="408">
        <f t="shared" si="223"/>
        <v>96149</v>
      </c>
      <c r="F64" s="562">
        <f t="shared" si="0"/>
        <v>96140</v>
      </c>
      <c r="G64" s="134"/>
      <c r="H64" s="135">
        <v>9</v>
      </c>
      <c r="I64" s="135"/>
      <c r="J64" s="14">
        <f t="shared" si="200"/>
        <v>9</v>
      </c>
      <c r="K64" s="14">
        <f t="shared" si="52"/>
        <v>5125</v>
      </c>
      <c r="L64" s="14">
        <f t="shared" si="1"/>
        <v>0.16</v>
      </c>
      <c r="M64" s="231">
        <f t="shared" si="85"/>
        <v>9.3604717677770958E-3</v>
      </c>
      <c r="N64" s="35">
        <f t="shared" si="2"/>
        <v>2.8800000000000003</v>
      </c>
      <c r="O64" s="132">
        <f t="shared" si="53"/>
        <v>3.7998709897459091</v>
      </c>
      <c r="P64" s="142">
        <v>4095</v>
      </c>
      <c r="Q64" s="14">
        <f t="shared" si="3"/>
        <v>46</v>
      </c>
      <c r="R64" s="480">
        <f t="shared" si="394"/>
        <v>42.590146543385792</v>
      </c>
      <c r="S64" s="470">
        <f t="shared" si="201"/>
        <v>1406.5424672144309</v>
      </c>
      <c r="T64" s="51">
        <f t="shared" si="5"/>
        <v>618</v>
      </c>
      <c r="U64" s="103">
        <f t="shared" ref="U64:U68" si="521">U63</f>
        <v>628</v>
      </c>
      <c r="V64" s="46">
        <f t="shared" si="55"/>
        <v>-10</v>
      </c>
      <c r="W64" s="51">
        <f t="shared" si="395"/>
        <v>79</v>
      </c>
      <c r="X64" s="103">
        <f t="shared" ref="X64:X68" si="522">X63</f>
        <v>94</v>
      </c>
      <c r="Y64" s="46">
        <f t="shared" si="56"/>
        <v>-15</v>
      </c>
      <c r="Z64" s="487"/>
      <c r="AA64" s="120">
        <f t="shared" ref="AA64:AA68" si="523">AA63+1</f>
        <v>22</v>
      </c>
      <c r="AB64" s="7">
        <f t="shared" ref="AB64:AB68" si="524">AB63</f>
        <v>8</v>
      </c>
      <c r="AC64" s="133"/>
      <c r="AD64" s="48">
        <f t="shared" si="483"/>
        <v>86832</v>
      </c>
      <c r="AE64" s="196">
        <f t="shared" si="484"/>
        <v>86825</v>
      </c>
      <c r="AF64" s="134"/>
      <c r="AG64" s="135">
        <v>7</v>
      </c>
      <c r="AH64" s="135"/>
      <c r="AI64" s="14">
        <f t="shared" si="203"/>
        <v>7</v>
      </c>
      <c r="AJ64" s="14">
        <f t="shared" si="321"/>
        <v>6074</v>
      </c>
      <c r="AK64" s="14">
        <f t="shared" si="8"/>
        <v>0.16</v>
      </c>
      <c r="AL64" s="231">
        <f t="shared" si="58"/>
        <v>8.0615441311958722E-3</v>
      </c>
      <c r="AM64" s="35">
        <f t="shared" si="9"/>
        <v>2.8800000000000003</v>
      </c>
      <c r="AN64" s="157">
        <f t="shared" si="169"/>
        <v>3.9653731655089568</v>
      </c>
      <c r="AO64" s="134">
        <v>2730</v>
      </c>
      <c r="AP64" s="14">
        <f t="shared" si="10"/>
        <v>46</v>
      </c>
      <c r="AQ64" s="480">
        <f t="shared" si="59"/>
        <v>31.440022111663904</v>
      </c>
      <c r="AR64" s="470">
        <f t="shared" si="323"/>
        <v>1389.8072757491948</v>
      </c>
      <c r="AS64" s="51">
        <f t="shared" si="11"/>
        <v>618</v>
      </c>
      <c r="AT64" s="103">
        <f t="shared" ref="AT64:AT68" si="525">AT63</f>
        <v>561</v>
      </c>
      <c r="AU64" s="46">
        <f t="shared" si="271"/>
        <v>57</v>
      </c>
      <c r="AV64" s="51">
        <f t="shared" si="12"/>
        <v>79</v>
      </c>
      <c r="AW64" s="103">
        <f t="shared" ref="AW64:AW68" si="526">AW63</f>
        <v>81</v>
      </c>
      <c r="AX64" s="46">
        <f t="shared" si="170"/>
        <v>-2</v>
      </c>
      <c r="AZ64" s="120">
        <f t="shared" ref="AZ64:AZ68" si="527">AZ63+1</f>
        <v>22</v>
      </c>
      <c r="BA64" s="7">
        <f t="shared" ref="BA64:BA68" si="528">BA63</f>
        <v>8</v>
      </c>
      <c r="BB64" s="133"/>
      <c r="BC64" s="48">
        <f t="shared" si="518"/>
        <v>93078</v>
      </c>
      <c r="BD64" s="196">
        <f t="shared" si="485"/>
        <v>93075</v>
      </c>
      <c r="BE64" s="134"/>
      <c r="BF64" s="135">
        <v>3</v>
      </c>
      <c r="BG64" s="135"/>
      <c r="BH64" s="14">
        <f t="shared" si="204"/>
        <v>3</v>
      </c>
      <c r="BI64" s="14">
        <f t="shared" si="294"/>
        <v>797</v>
      </c>
      <c r="BJ64" s="14">
        <f t="shared" si="14"/>
        <v>0.16</v>
      </c>
      <c r="BK64" s="47">
        <f t="shared" si="92"/>
        <v>3.2231032037645844E-3</v>
      </c>
      <c r="BL64" s="35">
        <f t="shared" si="15"/>
        <v>2.8800000000000003</v>
      </c>
      <c r="BM64" s="132">
        <f t="shared" si="326"/>
        <v>1.1162464985994398</v>
      </c>
      <c r="BN64" s="134">
        <v>4095</v>
      </c>
      <c r="BO64" s="14">
        <f t="shared" si="17"/>
        <v>46</v>
      </c>
      <c r="BP64" s="442">
        <f t="shared" si="93"/>
        <v>43.995358731386581</v>
      </c>
      <c r="BQ64" s="747">
        <f t="shared" si="137"/>
        <v>1352.0669250579281</v>
      </c>
      <c r="BR64" s="51">
        <f t="shared" si="18"/>
        <v>618</v>
      </c>
      <c r="BS64" s="103">
        <f t="shared" ref="BS64:BS68" si="529">BS63</f>
        <v>615</v>
      </c>
      <c r="BT64" s="46">
        <f t="shared" si="272"/>
        <v>3</v>
      </c>
      <c r="BU64" s="51">
        <f t="shared" si="20"/>
        <v>79</v>
      </c>
      <c r="BV64" s="103">
        <f t="shared" ref="BV64:BV68" si="530">BV63</f>
        <v>66</v>
      </c>
      <c r="BW64" s="46">
        <f t="shared" si="171"/>
        <v>13</v>
      </c>
      <c r="BY64" s="120">
        <f t="shared" ref="BY64:BY68" si="531">BY63+1</f>
        <v>5</v>
      </c>
      <c r="BZ64" s="7">
        <f t="shared" ref="BZ64:BZ68" si="532">BZ63</f>
        <v>8</v>
      </c>
      <c r="CA64" s="133"/>
      <c r="CB64" s="14">
        <f t="shared" si="172"/>
        <v>0</v>
      </c>
      <c r="CC64" s="59">
        <f t="shared" si="205"/>
        <v>0</v>
      </c>
      <c r="CD64" s="405"/>
      <c r="CE64" s="406"/>
      <c r="CF64" s="406"/>
      <c r="CG64" s="14">
        <f t="shared" si="206"/>
        <v>0</v>
      </c>
      <c r="CH64" s="14">
        <f t="shared" si="173"/>
        <v>0</v>
      </c>
      <c r="CI64" s="14">
        <f t="shared" si="21"/>
        <v>0.16</v>
      </c>
      <c r="CJ64" s="47">
        <f t="shared" si="97"/>
        <v>0</v>
      </c>
      <c r="CK64" s="35">
        <f t="shared" si="22"/>
        <v>2.8800000000000003</v>
      </c>
      <c r="CL64" s="157">
        <f t="shared" si="140"/>
        <v>0</v>
      </c>
      <c r="CM64" s="134"/>
      <c r="CN64" s="14">
        <f t="shared" si="23"/>
        <v>46</v>
      </c>
      <c r="CO64" s="48">
        <f t="shared" si="141"/>
        <v>0</v>
      </c>
      <c r="CP64" s="68">
        <f t="shared" si="98"/>
        <v>0</v>
      </c>
      <c r="CQ64" s="51">
        <f t="shared" si="24"/>
        <v>618</v>
      </c>
      <c r="CR64" s="103">
        <f t="shared" ref="CR64:CR68" si="533">CR63</f>
        <v>0</v>
      </c>
      <c r="CS64" s="46">
        <f t="shared" si="273"/>
        <v>618</v>
      </c>
      <c r="CT64" s="12">
        <f t="shared" si="25"/>
        <v>79</v>
      </c>
      <c r="CU64" s="103">
        <f t="shared" ref="CU64:CU68" si="534">CU63</f>
        <v>0</v>
      </c>
      <c r="CV64" s="46">
        <f t="shared" si="67"/>
        <v>79</v>
      </c>
      <c r="CX64" s="120">
        <f t="shared" ref="CX64:CX68" si="535">CX63+1</f>
        <v>5</v>
      </c>
      <c r="CY64" s="7">
        <f t="shared" ref="CY64:CY68" si="536">CY63</f>
        <v>8</v>
      </c>
      <c r="CZ64" s="133"/>
      <c r="DA64" s="14">
        <f t="shared" si="434"/>
        <v>0</v>
      </c>
      <c r="DB64" s="59">
        <f t="shared" si="486"/>
        <v>0</v>
      </c>
      <c r="DC64" s="405"/>
      <c r="DD64" s="406"/>
      <c r="DE64" s="406"/>
      <c r="DF64" s="14">
        <f t="shared" si="208"/>
        <v>0</v>
      </c>
      <c r="DG64" s="14">
        <f t="shared" si="175"/>
        <v>0</v>
      </c>
      <c r="DH64" s="14">
        <f t="shared" si="26"/>
        <v>0.16</v>
      </c>
      <c r="DI64" s="47">
        <f t="shared" si="209"/>
        <v>0</v>
      </c>
      <c r="DJ64" s="35">
        <f t="shared" si="27"/>
        <v>2.8800000000000003</v>
      </c>
      <c r="DK64" s="157">
        <f t="shared" si="177"/>
        <v>0</v>
      </c>
      <c r="DL64" s="134"/>
      <c r="DM64" s="14">
        <f t="shared" si="28"/>
        <v>46</v>
      </c>
      <c r="DN64" s="48">
        <f t="shared" si="259"/>
        <v>0</v>
      </c>
      <c r="DO64" s="68">
        <f t="shared" si="178"/>
        <v>0</v>
      </c>
      <c r="DP64" s="51">
        <f t="shared" si="29"/>
        <v>618</v>
      </c>
      <c r="DQ64" s="103">
        <f t="shared" ref="DQ64:DQ68" si="537">DQ63</f>
        <v>0</v>
      </c>
      <c r="DR64" s="46">
        <f t="shared" si="275"/>
        <v>618</v>
      </c>
      <c r="DS64" s="12">
        <f t="shared" si="30"/>
        <v>79</v>
      </c>
      <c r="DT64" s="103">
        <f t="shared" ref="DT64:DT68" si="538">DT63</f>
        <v>0</v>
      </c>
      <c r="DU64" s="46">
        <f t="shared" si="164"/>
        <v>79</v>
      </c>
      <c r="DW64" s="120">
        <f t="shared" ref="DW64:DW68" si="539">DW63+1</f>
        <v>5</v>
      </c>
      <c r="DX64" s="7">
        <f t="shared" ref="DX64:DX68" si="540">DX63</f>
        <v>8</v>
      </c>
      <c r="DY64" s="133"/>
      <c r="DZ64" s="14">
        <f t="shared" si="435"/>
        <v>0</v>
      </c>
      <c r="EA64" s="59">
        <f t="shared" si="487"/>
        <v>0</v>
      </c>
      <c r="EB64" s="405"/>
      <c r="EC64" s="406"/>
      <c r="ED64" s="406"/>
      <c r="EE64" s="14">
        <f t="shared" si="211"/>
        <v>0</v>
      </c>
      <c r="EF64" s="14">
        <f t="shared" si="180"/>
        <v>0</v>
      </c>
      <c r="EG64" s="14">
        <f t="shared" si="31"/>
        <v>0.16</v>
      </c>
      <c r="EH64" s="47">
        <f t="shared" si="212"/>
        <v>0</v>
      </c>
      <c r="EI64" s="35">
        <f t="shared" si="32"/>
        <v>2.8800000000000003</v>
      </c>
      <c r="EJ64" s="157">
        <f t="shared" si="182"/>
        <v>0</v>
      </c>
      <c r="EK64" s="134"/>
      <c r="EL64" s="14">
        <f t="shared" si="33"/>
        <v>46</v>
      </c>
      <c r="EM64" s="48">
        <f t="shared" si="260"/>
        <v>0</v>
      </c>
      <c r="EN64" s="68">
        <f t="shared" si="183"/>
        <v>0</v>
      </c>
      <c r="EO64" s="51">
        <f t="shared" si="34"/>
        <v>618</v>
      </c>
      <c r="EP64" s="103">
        <f t="shared" ref="EP64:EP68" si="541">EP63</f>
        <v>0</v>
      </c>
      <c r="EQ64" s="46">
        <f t="shared" si="277"/>
        <v>618</v>
      </c>
      <c r="ER64" s="12">
        <f t="shared" si="35"/>
        <v>79</v>
      </c>
      <c r="ES64" s="103">
        <f t="shared" ref="ES64:ES68" si="542">ES63</f>
        <v>0</v>
      </c>
      <c r="ET64" s="46">
        <f t="shared" si="165"/>
        <v>79</v>
      </c>
      <c r="EV64" s="120">
        <f t="shared" ref="EV64:EV68" si="543">EV63+1</f>
        <v>5</v>
      </c>
      <c r="EW64" s="7">
        <f t="shared" ref="EW64:EW68" si="544">EW63</f>
        <v>8</v>
      </c>
      <c r="EX64" s="133"/>
      <c r="EY64" s="14">
        <f t="shared" si="436"/>
        <v>0</v>
      </c>
      <c r="EZ64" s="59">
        <f t="shared" si="488"/>
        <v>0</v>
      </c>
      <c r="FA64" s="405"/>
      <c r="FB64" s="406"/>
      <c r="FC64" s="406"/>
      <c r="FD64" s="14">
        <f t="shared" si="214"/>
        <v>0</v>
      </c>
      <c r="FE64" s="14">
        <f t="shared" si="185"/>
        <v>0</v>
      </c>
      <c r="FF64" s="14">
        <f t="shared" si="36"/>
        <v>0.16</v>
      </c>
      <c r="FG64" s="47">
        <f t="shared" si="215"/>
        <v>0</v>
      </c>
      <c r="FH64" s="35">
        <f t="shared" si="37"/>
        <v>2.8800000000000003</v>
      </c>
      <c r="FI64" s="157">
        <f t="shared" si="187"/>
        <v>0</v>
      </c>
      <c r="FJ64" s="134"/>
      <c r="FK64" s="14">
        <f t="shared" si="38"/>
        <v>46</v>
      </c>
      <c r="FL64" s="48">
        <f t="shared" si="261"/>
        <v>0</v>
      </c>
      <c r="FM64" s="68">
        <f t="shared" si="188"/>
        <v>0</v>
      </c>
      <c r="FN64" s="51">
        <f t="shared" si="39"/>
        <v>618</v>
      </c>
      <c r="FO64" s="103">
        <f t="shared" ref="FO64:FO68" si="545">FO63</f>
        <v>0</v>
      </c>
      <c r="FP64" s="46">
        <f t="shared" si="279"/>
        <v>618</v>
      </c>
      <c r="FQ64" s="12">
        <f t="shared" si="40"/>
        <v>79</v>
      </c>
      <c r="FR64" s="103">
        <f t="shared" ref="FR64:FR68" si="546">FR63</f>
        <v>0</v>
      </c>
      <c r="FS64" s="46">
        <f t="shared" si="166"/>
        <v>79</v>
      </c>
      <c r="FU64" s="120">
        <f t="shared" ref="FU64:FU68" si="547">FU63+1</f>
        <v>5</v>
      </c>
      <c r="FV64" s="7">
        <f t="shared" ref="FV64:FV68" si="548">FV63</f>
        <v>8</v>
      </c>
      <c r="FW64" s="133"/>
      <c r="FX64" s="14">
        <f t="shared" si="437"/>
        <v>0</v>
      </c>
      <c r="FY64" s="59">
        <f t="shared" si="489"/>
        <v>0</v>
      </c>
      <c r="FZ64" s="405"/>
      <c r="GA64" s="406"/>
      <c r="GB64" s="406"/>
      <c r="GC64" s="14">
        <f t="shared" si="217"/>
        <v>0</v>
      </c>
      <c r="GD64" s="14">
        <f t="shared" si="190"/>
        <v>0</v>
      </c>
      <c r="GE64" s="14">
        <f t="shared" si="41"/>
        <v>0.16</v>
      </c>
      <c r="GF64" s="47">
        <f t="shared" si="218"/>
        <v>0</v>
      </c>
      <c r="GG64" s="35">
        <f t="shared" si="42"/>
        <v>2.8800000000000003</v>
      </c>
      <c r="GH64" s="157">
        <f t="shared" si="192"/>
        <v>0</v>
      </c>
      <c r="GI64" s="134"/>
      <c r="GJ64" s="14">
        <f t="shared" si="43"/>
        <v>46</v>
      </c>
      <c r="GK64" s="48">
        <f t="shared" si="262"/>
        <v>0</v>
      </c>
      <c r="GL64" s="68">
        <f t="shared" si="193"/>
        <v>0</v>
      </c>
      <c r="GM64" s="51">
        <f t="shared" si="44"/>
        <v>618</v>
      </c>
      <c r="GN64" s="103">
        <f t="shared" ref="GN64:GN68" si="549">GN63</f>
        <v>0</v>
      </c>
      <c r="GO64" s="46">
        <f t="shared" si="281"/>
        <v>618</v>
      </c>
      <c r="GP64" s="12">
        <f t="shared" si="45"/>
        <v>79</v>
      </c>
      <c r="GQ64" s="103">
        <f t="shared" ref="GQ64:GQ68" si="550">GQ63</f>
        <v>0</v>
      </c>
      <c r="GR64" s="46">
        <f t="shared" si="167"/>
        <v>79</v>
      </c>
      <c r="GT64" s="120">
        <f t="shared" ref="GT64:GT68" si="551">GT63+1</f>
        <v>5</v>
      </c>
      <c r="GU64" s="7">
        <f t="shared" ref="GU64:GU68" si="552">GU63</f>
        <v>8</v>
      </c>
      <c r="GV64" s="133"/>
      <c r="GW64" s="14">
        <f t="shared" si="438"/>
        <v>0</v>
      </c>
      <c r="GX64" s="59">
        <f t="shared" si="490"/>
        <v>0</v>
      </c>
      <c r="GY64" s="405"/>
      <c r="GZ64" s="406"/>
      <c r="HA64" s="406"/>
      <c r="HB64" s="14">
        <f t="shared" si="220"/>
        <v>0</v>
      </c>
      <c r="HC64" s="14">
        <f t="shared" si="195"/>
        <v>0</v>
      </c>
      <c r="HD64" s="14">
        <f t="shared" si="46"/>
        <v>0.16</v>
      </c>
      <c r="HE64" s="47">
        <f t="shared" si="221"/>
        <v>0</v>
      </c>
      <c r="HF64" s="35">
        <f t="shared" si="47"/>
        <v>2.8800000000000003</v>
      </c>
      <c r="HG64" s="157">
        <f t="shared" si="197"/>
        <v>0</v>
      </c>
      <c r="HH64" s="134"/>
      <c r="HI64" s="14">
        <f t="shared" si="48"/>
        <v>46</v>
      </c>
      <c r="HJ64" s="48">
        <f t="shared" si="263"/>
        <v>0</v>
      </c>
      <c r="HK64" s="68">
        <f t="shared" si="198"/>
        <v>0</v>
      </c>
      <c r="HL64" s="51">
        <f t="shared" si="49"/>
        <v>618</v>
      </c>
      <c r="HM64" s="103">
        <f t="shared" ref="HM64:HM68" si="553">HM63</f>
        <v>0</v>
      </c>
      <c r="HN64" s="46">
        <f t="shared" si="283"/>
        <v>618</v>
      </c>
      <c r="HO64" s="12">
        <f t="shared" si="50"/>
        <v>79</v>
      </c>
      <c r="HP64" s="103">
        <f t="shared" ref="HP64:HP68" si="554">HP63</f>
        <v>0</v>
      </c>
      <c r="HQ64" s="46">
        <f t="shared" si="168"/>
        <v>79</v>
      </c>
    </row>
    <row r="65" spans="1:225" ht="17.25" thickBot="1" x14ac:dyDescent="0.3">
      <c r="B65" s="120">
        <f t="shared" si="519"/>
        <v>23</v>
      </c>
      <c r="C65" s="570">
        <f t="shared" si="520"/>
        <v>8</v>
      </c>
      <c r="D65" s="133"/>
      <c r="E65" s="408">
        <f t="shared" si="223"/>
        <v>96140</v>
      </c>
      <c r="F65" s="562">
        <f t="shared" si="0"/>
        <v>96128</v>
      </c>
      <c r="G65" s="134"/>
      <c r="H65" s="135">
        <v>12</v>
      </c>
      <c r="I65" s="135"/>
      <c r="J65" s="14">
        <f t="shared" si="200"/>
        <v>12</v>
      </c>
      <c r="K65" s="14">
        <f t="shared" si="52"/>
        <v>5137</v>
      </c>
      <c r="L65" s="14">
        <f t="shared" si="1"/>
        <v>0.16</v>
      </c>
      <c r="M65" s="230">
        <f t="shared" si="85"/>
        <v>1.2481797378822551E-2</v>
      </c>
      <c r="N65" s="35">
        <f t="shared" si="2"/>
        <v>2.8800000000000003</v>
      </c>
      <c r="O65" s="132">
        <f t="shared" si="53"/>
        <v>3.8087682486487289</v>
      </c>
      <c r="P65" s="142">
        <v>3003</v>
      </c>
      <c r="Q65" s="14">
        <f t="shared" si="3"/>
        <v>46</v>
      </c>
      <c r="R65" s="442">
        <f t="shared" si="394"/>
        <v>31.235697940503432</v>
      </c>
      <c r="S65" s="470">
        <f t="shared" si="201"/>
        <v>1437.7781651549344</v>
      </c>
      <c r="T65" s="51">
        <f t="shared" si="5"/>
        <v>618</v>
      </c>
      <c r="U65" s="103">
        <f t="shared" si="521"/>
        <v>628</v>
      </c>
      <c r="V65" s="46">
        <f t="shared" si="55"/>
        <v>-10</v>
      </c>
      <c r="W65" s="12">
        <f t="shared" si="395"/>
        <v>79</v>
      </c>
      <c r="X65" s="103">
        <f t="shared" si="522"/>
        <v>94</v>
      </c>
      <c r="Y65" s="46">
        <f t="shared" si="56"/>
        <v>-15</v>
      </c>
      <c r="Z65" s="487"/>
      <c r="AA65" s="120">
        <f t="shared" si="523"/>
        <v>23</v>
      </c>
      <c r="AB65" s="7">
        <f t="shared" si="524"/>
        <v>8</v>
      </c>
      <c r="AC65" s="133"/>
      <c r="AD65" s="48">
        <f t="shared" si="483"/>
        <v>86825</v>
      </c>
      <c r="AE65" s="196">
        <f t="shared" si="484"/>
        <v>86814</v>
      </c>
      <c r="AF65" s="134"/>
      <c r="AG65" s="135">
        <v>11</v>
      </c>
      <c r="AH65" s="135"/>
      <c r="AI65" s="14">
        <f t="shared" si="203"/>
        <v>11</v>
      </c>
      <c r="AJ65" s="14">
        <f t="shared" si="321"/>
        <v>6085</v>
      </c>
      <c r="AK65" s="14">
        <f t="shared" si="8"/>
        <v>0.16</v>
      </c>
      <c r="AL65" s="230">
        <f t="shared" si="58"/>
        <v>1.2669162107687877E-2</v>
      </c>
      <c r="AM65" s="35">
        <f t="shared" si="9"/>
        <v>2.8800000000000003</v>
      </c>
      <c r="AN65" s="157">
        <f t="shared" si="169"/>
        <v>3.9725544471718806</v>
      </c>
      <c r="AO65" s="134">
        <v>2730</v>
      </c>
      <c r="AP65" s="14">
        <f t="shared" si="10"/>
        <v>46</v>
      </c>
      <c r="AQ65" s="442">
        <f t="shared" si="59"/>
        <v>31.442556867261732</v>
      </c>
      <c r="AR65" s="470">
        <f t="shared" si="323"/>
        <v>1421.2498326164566</v>
      </c>
      <c r="AS65" s="51">
        <f t="shared" si="11"/>
        <v>618</v>
      </c>
      <c r="AT65" s="103">
        <f t="shared" si="525"/>
        <v>561</v>
      </c>
      <c r="AU65" s="46">
        <f t="shared" si="271"/>
        <v>57</v>
      </c>
      <c r="AV65" s="12">
        <f t="shared" si="12"/>
        <v>79</v>
      </c>
      <c r="AW65" s="103">
        <f t="shared" si="526"/>
        <v>81</v>
      </c>
      <c r="AX65" s="46">
        <f t="shared" si="170"/>
        <v>-2</v>
      </c>
      <c r="AZ65" s="120">
        <f t="shared" si="527"/>
        <v>23</v>
      </c>
      <c r="BA65" s="7">
        <f t="shared" si="528"/>
        <v>8</v>
      </c>
      <c r="BB65" s="133"/>
      <c r="BC65" s="48">
        <f t="shared" si="518"/>
        <v>93075</v>
      </c>
      <c r="BD65" s="196">
        <f t="shared" si="485"/>
        <v>93001</v>
      </c>
      <c r="BE65" s="134">
        <v>69</v>
      </c>
      <c r="BF65" s="135">
        <v>5</v>
      </c>
      <c r="BG65" s="135"/>
      <c r="BH65" s="14">
        <f t="shared" si="204"/>
        <v>74</v>
      </c>
      <c r="BI65" s="14">
        <f t="shared" si="294"/>
        <v>871</v>
      </c>
      <c r="BJ65" s="14">
        <f t="shared" si="14"/>
        <v>0.16</v>
      </c>
      <c r="BK65" s="47">
        <f t="shared" si="92"/>
        <v>7.9505774912704802E-2</v>
      </c>
      <c r="BL65" s="35">
        <f t="shared" si="15"/>
        <v>2.8800000000000003</v>
      </c>
      <c r="BM65" s="132">
        <f t="shared" si="326"/>
        <v>1.2198879551820729</v>
      </c>
      <c r="BN65" s="134">
        <v>2730</v>
      </c>
      <c r="BO65" s="14">
        <f t="shared" si="17"/>
        <v>46</v>
      </c>
      <c r="BP65" s="442">
        <f t="shared" si="93"/>
        <v>29.331184528605963</v>
      </c>
      <c r="BQ65" s="747">
        <f t="shared" si="137"/>
        <v>1381.398109586534</v>
      </c>
      <c r="BR65" s="51">
        <f t="shared" si="18"/>
        <v>618</v>
      </c>
      <c r="BS65" s="103">
        <f t="shared" si="529"/>
        <v>615</v>
      </c>
      <c r="BT65" s="46">
        <f t="shared" si="272"/>
        <v>3</v>
      </c>
      <c r="BU65" s="12">
        <f t="shared" si="20"/>
        <v>79</v>
      </c>
      <c r="BV65" s="103">
        <f t="shared" si="530"/>
        <v>66</v>
      </c>
      <c r="BW65" s="46">
        <f t="shared" si="171"/>
        <v>13</v>
      </c>
      <c r="BY65" s="120">
        <f t="shared" si="531"/>
        <v>6</v>
      </c>
      <c r="BZ65" s="7">
        <f t="shared" si="532"/>
        <v>8</v>
      </c>
      <c r="CA65" s="133"/>
      <c r="CB65" s="14">
        <f t="shared" si="172"/>
        <v>0</v>
      </c>
      <c r="CC65" s="59">
        <f t="shared" si="205"/>
        <v>0</v>
      </c>
      <c r="CD65" s="405"/>
      <c r="CE65" s="406"/>
      <c r="CF65" s="406"/>
      <c r="CG65" s="14">
        <f t="shared" si="206"/>
        <v>0</v>
      </c>
      <c r="CH65" s="14">
        <f t="shared" si="173"/>
        <v>0</v>
      </c>
      <c r="CI65" s="14">
        <f t="shared" si="21"/>
        <v>0.16</v>
      </c>
      <c r="CJ65" s="47">
        <f t="shared" si="97"/>
        <v>0</v>
      </c>
      <c r="CK65" s="35">
        <f t="shared" si="22"/>
        <v>2.8800000000000003</v>
      </c>
      <c r="CL65" s="157">
        <f t="shared" si="140"/>
        <v>0</v>
      </c>
      <c r="CM65" s="134"/>
      <c r="CN65" s="14">
        <f t="shared" si="23"/>
        <v>46</v>
      </c>
      <c r="CO65" s="48">
        <f t="shared" si="141"/>
        <v>0</v>
      </c>
      <c r="CP65" s="68">
        <f t="shared" si="98"/>
        <v>0</v>
      </c>
      <c r="CQ65" s="51">
        <f t="shared" si="24"/>
        <v>618</v>
      </c>
      <c r="CR65" s="103">
        <f t="shared" si="533"/>
        <v>0</v>
      </c>
      <c r="CS65" s="46">
        <f t="shared" si="273"/>
        <v>618</v>
      </c>
      <c r="CT65" s="50">
        <f t="shared" si="25"/>
        <v>79</v>
      </c>
      <c r="CU65" s="103">
        <f t="shared" si="534"/>
        <v>0</v>
      </c>
      <c r="CV65" s="46">
        <f t="shared" si="67"/>
        <v>79</v>
      </c>
      <c r="CX65" s="120">
        <f t="shared" si="535"/>
        <v>6</v>
      </c>
      <c r="CY65" s="7">
        <f t="shared" si="536"/>
        <v>8</v>
      </c>
      <c r="CZ65" s="133"/>
      <c r="DA65" s="14">
        <f t="shared" si="434"/>
        <v>0</v>
      </c>
      <c r="DB65" s="59">
        <f t="shared" si="486"/>
        <v>0</v>
      </c>
      <c r="DC65" s="405"/>
      <c r="DD65" s="406"/>
      <c r="DE65" s="406"/>
      <c r="DF65" s="14">
        <f t="shared" si="208"/>
        <v>0</v>
      </c>
      <c r="DG65" s="14">
        <f t="shared" si="175"/>
        <v>0</v>
      </c>
      <c r="DH65" s="14">
        <f t="shared" si="26"/>
        <v>0.16</v>
      </c>
      <c r="DI65" s="47">
        <f t="shared" si="209"/>
        <v>0</v>
      </c>
      <c r="DJ65" s="35">
        <f t="shared" si="27"/>
        <v>2.8800000000000003</v>
      </c>
      <c r="DK65" s="157">
        <f t="shared" si="177"/>
        <v>0</v>
      </c>
      <c r="DL65" s="134"/>
      <c r="DM65" s="14">
        <f t="shared" si="28"/>
        <v>46</v>
      </c>
      <c r="DN65" s="48">
        <f t="shared" si="259"/>
        <v>0</v>
      </c>
      <c r="DO65" s="68">
        <f t="shared" si="178"/>
        <v>0</v>
      </c>
      <c r="DP65" s="51">
        <f t="shared" si="29"/>
        <v>618</v>
      </c>
      <c r="DQ65" s="103">
        <f t="shared" si="537"/>
        <v>0</v>
      </c>
      <c r="DR65" s="46">
        <f t="shared" si="275"/>
        <v>618</v>
      </c>
      <c r="DS65" s="50">
        <f t="shared" si="30"/>
        <v>79</v>
      </c>
      <c r="DT65" s="103">
        <f t="shared" si="538"/>
        <v>0</v>
      </c>
      <c r="DU65" s="46">
        <f t="shared" si="164"/>
        <v>79</v>
      </c>
      <c r="DW65" s="120">
        <f t="shared" si="539"/>
        <v>6</v>
      </c>
      <c r="DX65" s="7">
        <f t="shared" si="540"/>
        <v>8</v>
      </c>
      <c r="DY65" s="133"/>
      <c r="DZ65" s="14">
        <f t="shared" si="435"/>
        <v>0</v>
      </c>
      <c r="EA65" s="59">
        <f t="shared" si="487"/>
        <v>0</v>
      </c>
      <c r="EB65" s="405"/>
      <c r="EC65" s="406"/>
      <c r="ED65" s="406"/>
      <c r="EE65" s="14">
        <f t="shared" si="211"/>
        <v>0</v>
      </c>
      <c r="EF65" s="14">
        <f t="shared" si="180"/>
        <v>0</v>
      </c>
      <c r="EG65" s="14">
        <f t="shared" si="31"/>
        <v>0.16</v>
      </c>
      <c r="EH65" s="47">
        <f t="shared" si="212"/>
        <v>0</v>
      </c>
      <c r="EI65" s="35">
        <f t="shared" si="32"/>
        <v>2.8800000000000003</v>
      </c>
      <c r="EJ65" s="157">
        <f t="shared" si="182"/>
        <v>0</v>
      </c>
      <c r="EK65" s="134"/>
      <c r="EL65" s="14">
        <f t="shared" si="33"/>
        <v>46</v>
      </c>
      <c r="EM65" s="48">
        <f t="shared" si="260"/>
        <v>0</v>
      </c>
      <c r="EN65" s="68">
        <f t="shared" si="183"/>
        <v>0</v>
      </c>
      <c r="EO65" s="51">
        <f t="shared" si="34"/>
        <v>618</v>
      </c>
      <c r="EP65" s="103">
        <f t="shared" si="541"/>
        <v>0</v>
      </c>
      <c r="EQ65" s="46">
        <f t="shared" si="277"/>
        <v>618</v>
      </c>
      <c r="ER65" s="50">
        <f t="shared" si="35"/>
        <v>79</v>
      </c>
      <c r="ES65" s="103">
        <f t="shared" si="542"/>
        <v>0</v>
      </c>
      <c r="ET65" s="46">
        <f t="shared" si="165"/>
        <v>79</v>
      </c>
      <c r="EV65" s="120">
        <f t="shared" si="543"/>
        <v>6</v>
      </c>
      <c r="EW65" s="7">
        <f t="shared" si="544"/>
        <v>8</v>
      </c>
      <c r="EX65" s="133"/>
      <c r="EY65" s="14">
        <f t="shared" si="436"/>
        <v>0</v>
      </c>
      <c r="EZ65" s="59">
        <f t="shared" si="488"/>
        <v>0</v>
      </c>
      <c r="FA65" s="405"/>
      <c r="FB65" s="406"/>
      <c r="FC65" s="406"/>
      <c r="FD65" s="14">
        <f t="shared" si="214"/>
        <v>0</v>
      </c>
      <c r="FE65" s="14">
        <f t="shared" si="185"/>
        <v>0</v>
      </c>
      <c r="FF65" s="14">
        <f t="shared" si="36"/>
        <v>0.16</v>
      </c>
      <c r="FG65" s="47">
        <f t="shared" si="215"/>
        <v>0</v>
      </c>
      <c r="FH65" s="35">
        <f t="shared" si="37"/>
        <v>2.8800000000000003</v>
      </c>
      <c r="FI65" s="157">
        <f t="shared" si="187"/>
        <v>0</v>
      </c>
      <c r="FJ65" s="134"/>
      <c r="FK65" s="14">
        <f t="shared" si="38"/>
        <v>46</v>
      </c>
      <c r="FL65" s="48">
        <f t="shared" si="261"/>
        <v>0</v>
      </c>
      <c r="FM65" s="68">
        <f t="shared" si="188"/>
        <v>0</v>
      </c>
      <c r="FN65" s="51">
        <f t="shared" si="39"/>
        <v>618</v>
      </c>
      <c r="FO65" s="103">
        <f t="shared" si="545"/>
        <v>0</v>
      </c>
      <c r="FP65" s="46">
        <f t="shared" si="279"/>
        <v>618</v>
      </c>
      <c r="FQ65" s="50">
        <f t="shared" si="40"/>
        <v>79</v>
      </c>
      <c r="FR65" s="103">
        <f t="shared" si="546"/>
        <v>0</v>
      </c>
      <c r="FS65" s="46">
        <f t="shared" si="166"/>
        <v>79</v>
      </c>
      <c r="FU65" s="120">
        <f t="shared" si="547"/>
        <v>6</v>
      </c>
      <c r="FV65" s="7">
        <f t="shared" si="548"/>
        <v>8</v>
      </c>
      <c r="FW65" s="133"/>
      <c r="FX65" s="14">
        <f t="shared" si="437"/>
        <v>0</v>
      </c>
      <c r="FY65" s="59">
        <f t="shared" si="489"/>
        <v>0</v>
      </c>
      <c r="FZ65" s="405"/>
      <c r="GA65" s="406"/>
      <c r="GB65" s="406"/>
      <c r="GC65" s="14">
        <f t="shared" si="217"/>
        <v>0</v>
      </c>
      <c r="GD65" s="14">
        <f t="shared" si="190"/>
        <v>0</v>
      </c>
      <c r="GE65" s="14">
        <f t="shared" si="41"/>
        <v>0.16</v>
      </c>
      <c r="GF65" s="47">
        <f t="shared" si="218"/>
        <v>0</v>
      </c>
      <c r="GG65" s="35">
        <f t="shared" si="42"/>
        <v>2.8800000000000003</v>
      </c>
      <c r="GH65" s="157">
        <f t="shared" si="192"/>
        <v>0</v>
      </c>
      <c r="GI65" s="134"/>
      <c r="GJ65" s="14">
        <f t="shared" si="43"/>
        <v>46</v>
      </c>
      <c r="GK65" s="48">
        <f t="shared" si="262"/>
        <v>0</v>
      </c>
      <c r="GL65" s="68">
        <f t="shared" si="193"/>
        <v>0</v>
      </c>
      <c r="GM65" s="51">
        <f t="shared" si="44"/>
        <v>618</v>
      </c>
      <c r="GN65" s="103">
        <f t="shared" si="549"/>
        <v>0</v>
      </c>
      <c r="GO65" s="46">
        <f t="shared" si="281"/>
        <v>618</v>
      </c>
      <c r="GP65" s="50">
        <f t="shared" si="45"/>
        <v>79</v>
      </c>
      <c r="GQ65" s="103">
        <f t="shared" si="550"/>
        <v>0</v>
      </c>
      <c r="GR65" s="46">
        <f t="shared" si="167"/>
        <v>79</v>
      </c>
      <c r="GT65" s="120">
        <f t="shared" si="551"/>
        <v>6</v>
      </c>
      <c r="GU65" s="7">
        <f t="shared" si="552"/>
        <v>8</v>
      </c>
      <c r="GV65" s="133"/>
      <c r="GW65" s="14">
        <f t="shared" si="438"/>
        <v>0</v>
      </c>
      <c r="GX65" s="59">
        <f t="shared" si="490"/>
        <v>0</v>
      </c>
      <c r="GY65" s="405"/>
      <c r="GZ65" s="406"/>
      <c r="HA65" s="406"/>
      <c r="HB65" s="14">
        <f t="shared" si="220"/>
        <v>0</v>
      </c>
      <c r="HC65" s="14">
        <f t="shared" si="195"/>
        <v>0</v>
      </c>
      <c r="HD65" s="14">
        <f t="shared" si="46"/>
        <v>0.16</v>
      </c>
      <c r="HE65" s="47">
        <f t="shared" si="221"/>
        <v>0</v>
      </c>
      <c r="HF65" s="35">
        <f t="shared" si="47"/>
        <v>2.8800000000000003</v>
      </c>
      <c r="HG65" s="157">
        <f t="shared" si="197"/>
        <v>0</v>
      </c>
      <c r="HH65" s="134"/>
      <c r="HI65" s="14">
        <f t="shared" si="48"/>
        <v>46</v>
      </c>
      <c r="HJ65" s="48">
        <f t="shared" si="263"/>
        <v>0</v>
      </c>
      <c r="HK65" s="68">
        <f t="shared" si="198"/>
        <v>0</v>
      </c>
      <c r="HL65" s="51">
        <f t="shared" si="49"/>
        <v>618</v>
      </c>
      <c r="HM65" s="103">
        <f t="shared" si="553"/>
        <v>0</v>
      </c>
      <c r="HN65" s="46">
        <f t="shared" si="283"/>
        <v>618</v>
      </c>
      <c r="HO65" s="50">
        <f t="shared" si="50"/>
        <v>79</v>
      </c>
      <c r="HP65" s="103">
        <f t="shared" si="554"/>
        <v>0</v>
      </c>
      <c r="HQ65" s="46">
        <f t="shared" si="168"/>
        <v>79</v>
      </c>
    </row>
    <row r="66" spans="1:225" ht="17.25" thickBot="1" x14ac:dyDescent="0.3">
      <c r="B66" s="120">
        <f t="shared" si="519"/>
        <v>24</v>
      </c>
      <c r="C66" s="570">
        <f t="shared" si="520"/>
        <v>8</v>
      </c>
      <c r="D66" s="133"/>
      <c r="E66" s="563">
        <f t="shared" si="223"/>
        <v>96128</v>
      </c>
      <c r="F66" s="560">
        <f t="shared" si="0"/>
        <v>96122</v>
      </c>
      <c r="G66" s="565"/>
      <c r="H66" s="566">
        <v>6</v>
      </c>
      <c r="I66" s="205"/>
      <c r="J66" s="13">
        <f t="shared" si="200"/>
        <v>6</v>
      </c>
      <c r="K66" s="13">
        <f t="shared" si="52"/>
        <v>5143</v>
      </c>
      <c r="L66" s="14">
        <f t="shared" si="1"/>
        <v>0.16</v>
      </c>
      <c r="M66" s="47">
        <f t="shared" si="85"/>
        <v>6.2416777629826893E-3</v>
      </c>
      <c r="N66" s="35">
        <f t="shared" si="2"/>
        <v>2.8800000000000003</v>
      </c>
      <c r="O66" s="132">
        <f t="shared" si="53"/>
        <v>3.8132168781001385</v>
      </c>
      <c r="P66" s="142">
        <v>4095</v>
      </c>
      <c r="Q66" s="14">
        <f t="shared" si="3"/>
        <v>46</v>
      </c>
      <c r="R66" s="480">
        <f t="shared" si="394"/>
        <v>42.599450732356857</v>
      </c>
      <c r="S66" s="470">
        <f t="shared" si="201"/>
        <v>1480.3776158872913</v>
      </c>
      <c r="T66" s="51">
        <f t="shared" si="5"/>
        <v>618</v>
      </c>
      <c r="U66" s="103">
        <f t="shared" si="521"/>
        <v>628</v>
      </c>
      <c r="V66" s="46">
        <f t="shared" si="55"/>
        <v>-10</v>
      </c>
      <c r="W66" s="50">
        <f t="shared" si="395"/>
        <v>79</v>
      </c>
      <c r="X66" s="103">
        <f t="shared" si="522"/>
        <v>94</v>
      </c>
      <c r="Y66" s="46">
        <f t="shared" si="56"/>
        <v>-15</v>
      </c>
      <c r="Z66" s="487"/>
      <c r="AA66" s="120">
        <f t="shared" si="523"/>
        <v>24</v>
      </c>
      <c r="AB66" s="7">
        <f t="shared" si="524"/>
        <v>8</v>
      </c>
      <c r="AC66" s="133"/>
      <c r="AD66" s="48">
        <f t="shared" si="483"/>
        <v>86814</v>
      </c>
      <c r="AE66" s="49">
        <f t="shared" si="484"/>
        <v>86804</v>
      </c>
      <c r="AF66" s="134"/>
      <c r="AG66" s="135">
        <v>10</v>
      </c>
      <c r="AH66" s="135"/>
      <c r="AI66" s="14">
        <f t="shared" si="203"/>
        <v>10</v>
      </c>
      <c r="AJ66" s="14">
        <f t="shared" si="321"/>
        <v>6095</v>
      </c>
      <c r="AK66" s="14">
        <f t="shared" si="8"/>
        <v>0.16</v>
      </c>
      <c r="AL66" s="47">
        <f t="shared" si="58"/>
        <v>1.1518879443407746E-2</v>
      </c>
      <c r="AM66" s="35">
        <f t="shared" si="9"/>
        <v>2.8800000000000003</v>
      </c>
      <c r="AN66" s="157">
        <f t="shared" si="169"/>
        <v>3.9790828850472657</v>
      </c>
      <c r="AO66" s="134">
        <v>3276</v>
      </c>
      <c r="AP66" s="14">
        <f t="shared" si="10"/>
        <v>46</v>
      </c>
      <c r="AQ66" s="480">
        <f t="shared" si="59"/>
        <v>37.735849056603769</v>
      </c>
      <c r="AR66" s="470">
        <f t="shared" si="323"/>
        <v>1458.9856816730603</v>
      </c>
      <c r="AS66" s="51">
        <f t="shared" si="11"/>
        <v>618</v>
      </c>
      <c r="AT66" s="103">
        <f t="shared" si="525"/>
        <v>561</v>
      </c>
      <c r="AU66" s="46">
        <f t="shared" si="271"/>
        <v>57</v>
      </c>
      <c r="AV66" s="50">
        <f t="shared" si="12"/>
        <v>79</v>
      </c>
      <c r="AW66" s="103">
        <f t="shared" si="526"/>
        <v>81</v>
      </c>
      <c r="AX66" s="46">
        <f t="shared" si="170"/>
        <v>-2</v>
      </c>
      <c r="AZ66" s="120">
        <f t="shared" si="527"/>
        <v>24</v>
      </c>
      <c r="BA66" s="7">
        <f t="shared" si="528"/>
        <v>8</v>
      </c>
      <c r="BB66" s="133"/>
      <c r="BC66" s="48">
        <f t="shared" si="518"/>
        <v>93001</v>
      </c>
      <c r="BD66" s="49">
        <f t="shared" si="485"/>
        <v>92980</v>
      </c>
      <c r="BE66" s="134">
        <v>18</v>
      </c>
      <c r="BF66" s="135">
        <v>3</v>
      </c>
      <c r="BG66" s="135"/>
      <c r="BH66" s="14">
        <f t="shared" si="204"/>
        <v>21</v>
      </c>
      <c r="BI66" s="14">
        <f t="shared" si="294"/>
        <v>892</v>
      </c>
      <c r="BJ66" s="14">
        <f t="shared" si="14"/>
        <v>0.16</v>
      </c>
      <c r="BK66" s="47">
        <f t="shared" si="92"/>
        <v>2.2580402361264934E-2</v>
      </c>
      <c r="BL66" s="35">
        <f t="shared" si="15"/>
        <v>2.8800000000000003</v>
      </c>
      <c r="BM66" s="132">
        <f t="shared" si="326"/>
        <v>1.2492997198879552</v>
      </c>
      <c r="BN66" s="134">
        <v>4095</v>
      </c>
      <c r="BO66" s="14">
        <f t="shared" si="17"/>
        <v>46</v>
      </c>
      <c r="BP66" s="442">
        <f t="shared" si="93"/>
        <v>44.031784604466623</v>
      </c>
      <c r="BQ66" s="747">
        <f t="shared" si="137"/>
        <v>1425.4298941910006</v>
      </c>
      <c r="BR66" s="51">
        <f t="shared" si="18"/>
        <v>618</v>
      </c>
      <c r="BS66" s="103">
        <f t="shared" si="529"/>
        <v>615</v>
      </c>
      <c r="BT66" s="46">
        <f t="shared" si="272"/>
        <v>3</v>
      </c>
      <c r="BU66" s="50">
        <f t="shared" si="20"/>
        <v>79</v>
      </c>
      <c r="BV66" s="103">
        <f t="shared" si="530"/>
        <v>66</v>
      </c>
      <c r="BW66" s="46">
        <f t="shared" si="171"/>
        <v>13</v>
      </c>
      <c r="BY66" s="120">
        <f t="shared" si="531"/>
        <v>7</v>
      </c>
      <c r="BZ66" s="7">
        <f t="shared" si="532"/>
        <v>8</v>
      </c>
      <c r="CA66" s="133"/>
      <c r="CB66" s="14">
        <f t="shared" si="172"/>
        <v>0</v>
      </c>
      <c r="CC66" s="46">
        <f t="shared" si="205"/>
        <v>0</v>
      </c>
      <c r="CD66" s="405"/>
      <c r="CE66" s="406"/>
      <c r="CF66" s="406"/>
      <c r="CG66" s="14">
        <f t="shared" si="206"/>
        <v>0</v>
      </c>
      <c r="CH66" s="14">
        <f t="shared" si="173"/>
        <v>0</v>
      </c>
      <c r="CI66" s="14">
        <f t="shared" si="21"/>
        <v>0.16</v>
      </c>
      <c r="CJ66" s="47">
        <f t="shared" si="97"/>
        <v>0</v>
      </c>
      <c r="CK66" s="35">
        <f t="shared" si="22"/>
        <v>2.8800000000000003</v>
      </c>
      <c r="CL66" s="157">
        <f t="shared" si="140"/>
        <v>0</v>
      </c>
      <c r="CM66" s="134"/>
      <c r="CN66" s="14">
        <f t="shared" si="23"/>
        <v>46</v>
      </c>
      <c r="CO66" s="48">
        <f t="shared" si="141"/>
        <v>0</v>
      </c>
      <c r="CP66" s="68">
        <f t="shared" si="98"/>
        <v>0</v>
      </c>
      <c r="CQ66" s="51">
        <f t="shared" si="24"/>
        <v>618</v>
      </c>
      <c r="CR66" s="103">
        <f t="shared" si="533"/>
        <v>0</v>
      </c>
      <c r="CS66" s="46">
        <f t="shared" si="273"/>
        <v>618</v>
      </c>
      <c r="CT66" s="50">
        <f t="shared" si="25"/>
        <v>79</v>
      </c>
      <c r="CU66" s="103">
        <f t="shared" si="534"/>
        <v>0</v>
      </c>
      <c r="CV66" s="46">
        <f t="shared" si="67"/>
        <v>79</v>
      </c>
      <c r="CX66" s="120">
        <f t="shared" si="535"/>
        <v>7</v>
      </c>
      <c r="CY66" s="7">
        <f t="shared" si="536"/>
        <v>8</v>
      </c>
      <c r="CZ66" s="133"/>
      <c r="DA66" s="14">
        <f t="shared" si="434"/>
        <v>0</v>
      </c>
      <c r="DB66" s="46">
        <f t="shared" si="486"/>
        <v>0</v>
      </c>
      <c r="DC66" s="405"/>
      <c r="DD66" s="406"/>
      <c r="DE66" s="406"/>
      <c r="DF66" s="14">
        <f t="shared" si="208"/>
        <v>0</v>
      </c>
      <c r="DG66" s="14">
        <f t="shared" si="175"/>
        <v>0</v>
      </c>
      <c r="DH66" s="14">
        <f t="shared" si="26"/>
        <v>0.16</v>
      </c>
      <c r="DI66" s="47">
        <f t="shared" si="209"/>
        <v>0</v>
      </c>
      <c r="DJ66" s="35">
        <f t="shared" si="27"/>
        <v>2.8800000000000003</v>
      </c>
      <c r="DK66" s="157">
        <f t="shared" si="177"/>
        <v>0</v>
      </c>
      <c r="DL66" s="134"/>
      <c r="DM66" s="14">
        <f t="shared" si="28"/>
        <v>46</v>
      </c>
      <c r="DN66" s="48">
        <f t="shared" si="259"/>
        <v>0</v>
      </c>
      <c r="DO66" s="68">
        <f t="shared" si="178"/>
        <v>0</v>
      </c>
      <c r="DP66" s="51">
        <f t="shared" si="29"/>
        <v>618</v>
      </c>
      <c r="DQ66" s="103">
        <f t="shared" si="537"/>
        <v>0</v>
      </c>
      <c r="DR66" s="46">
        <f t="shared" si="275"/>
        <v>618</v>
      </c>
      <c r="DS66" s="50">
        <f t="shared" si="30"/>
        <v>79</v>
      </c>
      <c r="DT66" s="103">
        <f t="shared" si="538"/>
        <v>0</v>
      </c>
      <c r="DU66" s="46">
        <f t="shared" si="164"/>
        <v>79</v>
      </c>
      <c r="DW66" s="120">
        <f t="shared" si="539"/>
        <v>7</v>
      </c>
      <c r="DX66" s="7">
        <f t="shared" si="540"/>
        <v>8</v>
      </c>
      <c r="DY66" s="133"/>
      <c r="DZ66" s="14">
        <f t="shared" si="435"/>
        <v>0</v>
      </c>
      <c r="EA66" s="46">
        <f t="shared" si="487"/>
        <v>0</v>
      </c>
      <c r="EB66" s="405"/>
      <c r="EC66" s="406"/>
      <c r="ED66" s="406"/>
      <c r="EE66" s="14">
        <f t="shared" si="211"/>
        <v>0</v>
      </c>
      <c r="EF66" s="14">
        <f t="shared" si="180"/>
        <v>0</v>
      </c>
      <c r="EG66" s="14">
        <f t="shared" si="31"/>
        <v>0.16</v>
      </c>
      <c r="EH66" s="47">
        <f t="shared" si="212"/>
        <v>0</v>
      </c>
      <c r="EI66" s="35">
        <f t="shared" si="32"/>
        <v>2.8800000000000003</v>
      </c>
      <c r="EJ66" s="157">
        <f t="shared" si="182"/>
        <v>0</v>
      </c>
      <c r="EK66" s="134"/>
      <c r="EL66" s="14">
        <f t="shared" si="33"/>
        <v>46</v>
      </c>
      <c r="EM66" s="48">
        <f t="shared" si="260"/>
        <v>0</v>
      </c>
      <c r="EN66" s="68">
        <f t="shared" si="183"/>
        <v>0</v>
      </c>
      <c r="EO66" s="51">
        <f t="shared" si="34"/>
        <v>618</v>
      </c>
      <c r="EP66" s="103">
        <f t="shared" si="541"/>
        <v>0</v>
      </c>
      <c r="EQ66" s="46">
        <f t="shared" si="277"/>
        <v>618</v>
      </c>
      <c r="ER66" s="50">
        <f t="shared" si="35"/>
        <v>79</v>
      </c>
      <c r="ES66" s="103">
        <f t="shared" si="542"/>
        <v>0</v>
      </c>
      <c r="ET66" s="46">
        <f t="shared" si="165"/>
        <v>79</v>
      </c>
      <c r="EV66" s="120">
        <f t="shared" si="543"/>
        <v>7</v>
      </c>
      <c r="EW66" s="7">
        <f t="shared" si="544"/>
        <v>8</v>
      </c>
      <c r="EX66" s="133"/>
      <c r="EY66" s="14">
        <f t="shared" si="436"/>
        <v>0</v>
      </c>
      <c r="EZ66" s="46">
        <f t="shared" si="488"/>
        <v>0</v>
      </c>
      <c r="FA66" s="405"/>
      <c r="FB66" s="406"/>
      <c r="FC66" s="406"/>
      <c r="FD66" s="14">
        <f t="shared" si="214"/>
        <v>0</v>
      </c>
      <c r="FE66" s="14">
        <f t="shared" si="185"/>
        <v>0</v>
      </c>
      <c r="FF66" s="14">
        <f t="shared" si="36"/>
        <v>0.16</v>
      </c>
      <c r="FG66" s="47">
        <f t="shared" si="215"/>
        <v>0</v>
      </c>
      <c r="FH66" s="35">
        <f t="shared" si="37"/>
        <v>2.8800000000000003</v>
      </c>
      <c r="FI66" s="157">
        <f t="shared" si="187"/>
        <v>0</v>
      </c>
      <c r="FJ66" s="134"/>
      <c r="FK66" s="14">
        <f t="shared" si="38"/>
        <v>46</v>
      </c>
      <c r="FL66" s="48">
        <f t="shared" si="261"/>
        <v>0</v>
      </c>
      <c r="FM66" s="68">
        <f t="shared" si="188"/>
        <v>0</v>
      </c>
      <c r="FN66" s="51">
        <f t="shared" si="39"/>
        <v>618</v>
      </c>
      <c r="FO66" s="103">
        <f t="shared" si="545"/>
        <v>0</v>
      </c>
      <c r="FP66" s="46">
        <f t="shared" si="279"/>
        <v>618</v>
      </c>
      <c r="FQ66" s="50">
        <f t="shared" si="40"/>
        <v>79</v>
      </c>
      <c r="FR66" s="103">
        <f t="shared" si="546"/>
        <v>0</v>
      </c>
      <c r="FS66" s="46">
        <f t="shared" si="166"/>
        <v>79</v>
      </c>
      <c r="FU66" s="120">
        <f t="shared" si="547"/>
        <v>7</v>
      </c>
      <c r="FV66" s="7">
        <f t="shared" si="548"/>
        <v>8</v>
      </c>
      <c r="FW66" s="133"/>
      <c r="FX66" s="14">
        <f t="shared" si="437"/>
        <v>0</v>
      </c>
      <c r="FY66" s="46">
        <f t="shared" si="489"/>
        <v>0</v>
      </c>
      <c r="FZ66" s="405"/>
      <c r="GA66" s="406"/>
      <c r="GB66" s="406"/>
      <c r="GC66" s="14">
        <f t="shared" si="217"/>
        <v>0</v>
      </c>
      <c r="GD66" s="14">
        <f t="shared" si="190"/>
        <v>0</v>
      </c>
      <c r="GE66" s="14">
        <f t="shared" si="41"/>
        <v>0.16</v>
      </c>
      <c r="GF66" s="47">
        <f t="shared" si="218"/>
        <v>0</v>
      </c>
      <c r="GG66" s="35">
        <f t="shared" si="42"/>
        <v>2.8800000000000003</v>
      </c>
      <c r="GH66" s="157">
        <f t="shared" si="192"/>
        <v>0</v>
      </c>
      <c r="GI66" s="134"/>
      <c r="GJ66" s="14">
        <f t="shared" si="43"/>
        <v>46</v>
      </c>
      <c r="GK66" s="48">
        <f t="shared" si="262"/>
        <v>0</v>
      </c>
      <c r="GL66" s="68">
        <f t="shared" si="193"/>
        <v>0</v>
      </c>
      <c r="GM66" s="51">
        <f t="shared" si="44"/>
        <v>618</v>
      </c>
      <c r="GN66" s="103">
        <f t="shared" si="549"/>
        <v>0</v>
      </c>
      <c r="GO66" s="46">
        <f t="shared" si="281"/>
        <v>618</v>
      </c>
      <c r="GP66" s="50">
        <f t="shared" si="45"/>
        <v>79</v>
      </c>
      <c r="GQ66" s="103">
        <f t="shared" si="550"/>
        <v>0</v>
      </c>
      <c r="GR66" s="46">
        <f t="shared" si="167"/>
        <v>79</v>
      </c>
      <c r="GT66" s="120">
        <f t="shared" si="551"/>
        <v>7</v>
      </c>
      <c r="GU66" s="7">
        <f t="shared" si="552"/>
        <v>8</v>
      </c>
      <c r="GV66" s="133"/>
      <c r="GW66" s="14">
        <f t="shared" si="438"/>
        <v>0</v>
      </c>
      <c r="GX66" s="46">
        <f t="shared" si="490"/>
        <v>0</v>
      </c>
      <c r="GY66" s="405"/>
      <c r="GZ66" s="406"/>
      <c r="HA66" s="406"/>
      <c r="HB66" s="14">
        <f t="shared" si="220"/>
        <v>0</v>
      </c>
      <c r="HC66" s="14">
        <f t="shared" si="195"/>
        <v>0</v>
      </c>
      <c r="HD66" s="14">
        <f t="shared" si="46"/>
        <v>0.16</v>
      </c>
      <c r="HE66" s="47">
        <f t="shared" si="221"/>
        <v>0</v>
      </c>
      <c r="HF66" s="35">
        <f t="shared" si="47"/>
        <v>2.8800000000000003</v>
      </c>
      <c r="HG66" s="157">
        <f t="shared" si="197"/>
        <v>0</v>
      </c>
      <c r="HH66" s="134"/>
      <c r="HI66" s="14">
        <f t="shared" si="48"/>
        <v>46</v>
      </c>
      <c r="HJ66" s="48">
        <f t="shared" si="263"/>
        <v>0</v>
      </c>
      <c r="HK66" s="68">
        <f t="shared" si="198"/>
        <v>0</v>
      </c>
      <c r="HL66" s="51">
        <f t="shared" si="49"/>
        <v>618</v>
      </c>
      <c r="HM66" s="103">
        <f t="shared" si="553"/>
        <v>0</v>
      </c>
      <c r="HN66" s="46">
        <f t="shared" si="283"/>
        <v>618</v>
      </c>
      <c r="HO66" s="50">
        <f t="shared" si="50"/>
        <v>79</v>
      </c>
      <c r="HP66" s="103">
        <f t="shared" si="554"/>
        <v>0</v>
      </c>
      <c r="HQ66" s="46">
        <f t="shared" si="168"/>
        <v>79</v>
      </c>
    </row>
    <row r="67" spans="1:225" ht="17.25" thickBot="1" x14ac:dyDescent="0.3">
      <c r="B67" s="120">
        <f t="shared" si="519"/>
        <v>25</v>
      </c>
      <c r="C67" s="570">
        <f t="shared" si="520"/>
        <v>8</v>
      </c>
      <c r="D67" s="133"/>
      <c r="E67" s="408">
        <f t="shared" si="223"/>
        <v>96122</v>
      </c>
      <c r="F67" s="562">
        <f t="shared" si="0"/>
        <v>96114</v>
      </c>
      <c r="G67" s="134"/>
      <c r="H67" s="135">
        <v>8</v>
      </c>
      <c r="I67" s="135"/>
      <c r="J67" s="14">
        <f t="shared" si="200"/>
        <v>8</v>
      </c>
      <c r="K67" s="14">
        <f t="shared" si="52"/>
        <v>5151</v>
      </c>
      <c r="L67" s="14">
        <f t="shared" si="1"/>
        <v>0.16</v>
      </c>
      <c r="M67" s="231">
        <f t="shared" si="85"/>
        <v>8.3227564969517911E-3</v>
      </c>
      <c r="N67" s="35">
        <f t="shared" si="2"/>
        <v>2.8800000000000003</v>
      </c>
      <c r="O67" s="132">
        <f t="shared" si="53"/>
        <v>3.8191483840353517</v>
      </c>
      <c r="P67" s="142">
        <v>4095</v>
      </c>
      <c r="Q67" s="14">
        <f t="shared" si="3"/>
        <v>46</v>
      </c>
      <c r="R67" s="482">
        <f t="shared" si="394"/>
        <v>42.602109818771979</v>
      </c>
      <c r="S67" s="470">
        <f t="shared" si="201"/>
        <v>1522.9797257060634</v>
      </c>
      <c r="T67" s="51">
        <f t="shared" si="5"/>
        <v>618</v>
      </c>
      <c r="U67" s="103">
        <f t="shared" si="521"/>
        <v>628</v>
      </c>
      <c r="V67" s="46">
        <f t="shared" si="55"/>
        <v>-10</v>
      </c>
      <c r="W67" s="50">
        <f t="shared" si="395"/>
        <v>79</v>
      </c>
      <c r="X67" s="103">
        <f t="shared" si="522"/>
        <v>94</v>
      </c>
      <c r="Y67" s="46">
        <f t="shared" si="56"/>
        <v>-15</v>
      </c>
      <c r="Z67" s="487"/>
      <c r="AA67" s="120">
        <f t="shared" si="523"/>
        <v>25</v>
      </c>
      <c r="AB67" s="7">
        <f t="shared" si="524"/>
        <v>8</v>
      </c>
      <c r="AC67" s="133"/>
      <c r="AD67" s="48">
        <f t="shared" si="483"/>
        <v>86804</v>
      </c>
      <c r="AE67" s="447">
        <f t="shared" si="484"/>
        <v>86795</v>
      </c>
      <c r="AF67" s="134"/>
      <c r="AG67" s="135">
        <v>9</v>
      </c>
      <c r="AH67" s="135"/>
      <c r="AI67" s="14">
        <f t="shared" si="203"/>
        <v>9</v>
      </c>
      <c r="AJ67" s="14">
        <f t="shared" si="321"/>
        <v>6104</v>
      </c>
      <c r="AK67" s="14">
        <f t="shared" si="8"/>
        <v>0.16</v>
      </c>
      <c r="AL67" s="231">
        <f t="shared" si="58"/>
        <v>1.0368185797889498E-2</v>
      </c>
      <c r="AM67" s="35">
        <f t="shared" si="9"/>
        <v>2.8800000000000003</v>
      </c>
      <c r="AN67" s="157">
        <f t="shared" si="169"/>
        <v>3.9849584791351127</v>
      </c>
      <c r="AO67" s="134">
        <v>4095</v>
      </c>
      <c r="AP67" s="14">
        <f t="shared" si="10"/>
        <v>46</v>
      </c>
      <c r="AQ67" s="482">
        <f t="shared" si="59"/>
        <v>47.175245380397222</v>
      </c>
      <c r="AR67" s="470">
        <f t="shared" si="323"/>
        <v>1506.1609270534575</v>
      </c>
      <c r="AS67" s="51">
        <f t="shared" si="11"/>
        <v>618</v>
      </c>
      <c r="AT67" s="103">
        <f t="shared" si="525"/>
        <v>561</v>
      </c>
      <c r="AU67" s="46">
        <f t="shared" si="271"/>
        <v>57</v>
      </c>
      <c r="AV67" s="50">
        <f t="shared" si="12"/>
        <v>79</v>
      </c>
      <c r="AW67" s="103">
        <f t="shared" si="526"/>
        <v>81</v>
      </c>
      <c r="AX67" s="46">
        <f t="shared" si="170"/>
        <v>-2</v>
      </c>
      <c r="AZ67" s="120">
        <f t="shared" si="527"/>
        <v>25</v>
      </c>
      <c r="BA67" s="7">
        <f t="shared" si="528"/>
        <v>8</v>
      </c>
      <c r="BB67" s="133"/>
      <c r="BC67" s="48">
        <f t="shared" si="518"/>
        <v>92980</v>
      </c>
      <c r="BD67" s="447">
        <f t="shared" si="485"/>
        <v>92975</v>
      </c>
      <c r="BE67" s="134"/>
      <c r="BF67" s="135">
        <v>5</v>
      </c>
      <c r="BG67" s="135"/>
      <c r="BH67" s="14">
        <f t="shared" si="204"/>
        <v>5</v>
      </c>
      <c r="BI67" s="14">
        <f t="shared" si="294"/>
        <v>897</v>
      </c>
      <c r="BJ67" s="14">
        <f t="shared" si="14"/>
        <v>0.16</v>
      </c>
      <c r="BK67" s="47">
        <f t="shared" si="92"/>
        <v>5.377500537750054E-3</v>
      </c>
      <c r="BL67" s="35">
        <f t="shared" si="15"/>
        <v>2.8800000000000003</v>
      </c>
      <c r="BM67" s="132">
        <f t="shared" si="326"/>
        <v>1.2563025210084033</v>
      </c>
      <c r="BN67" s="134">
        <v>4641</v>
      </c>
      <c r="BO67" s="14">
        <f t="shared" si="17"/>
        <v>46</v>
      </c>
      <c r="BP67" s="442">
        <f t="shared" si="93"/>
        <v>49.913959991395998</v>
      </c>
      <c r="BQ67" s="747">
        <f t="shared" si="137"/>
        <v>1475.3438541823966</v>
      </c>
      <c r="BR67" s="51">
        <f t="shared" si="18"/>
        <v>618</v>
      </c>
      <c r="BS67" s="103">
        <f t="shared" si="529"/>
        <v>615</v>
      </c>
      <c r="BT67" s="46">
        <f t="shared" si="272"/>
        <v>3</v>
      </c>
      <c r="BU67" s="50">
        <f t="shared" si="20"/>
        <v>79</v>
      </c>
      <c r="BV67" s="103">
        <f t="shared" si="530"/>
        <v>66</v>
      </c>
      <c r="BW67" s="46">
        <f t="shared" si="171"/>
        <v>13</v>
      </c>
      <c r="BY67" s="120">
        <f t="shared" si="531"/>
        <v>8</v>
      </c>
      <c r="BZ67" s="7">
        <f t="shared" si="532"/>
        <v>8</v>
      </c>
      <c r="CA67" s="133"/>
      <c r="CB67" s="14">
        <f t="shared" si="172"/>
        <v>0</v>
      </c>
      <c r="CC67" s="62">
        <f t="shared" si="205"/>
        <v>0</v>
      </c>
      <c r="CD67" s="405"/>
      <c r="CE67" s="406"/>
      <c r="CF67" s="406"/>
      <c r="CG67" s="14">
        <f t="shared" si="206"/>
        <v>0</v>
      </c>
      <c r="CH67" s="14">
        <f t="shared" si="173"/>
        <v>0</v>
      </c>
      <c r="CI67" s="14">
        <f t="shared" si="21"/>
        <v>0.16</v>
      </c>
      <c r="CJ67" s="47">
        <f t="shared" si="97"/>
        <v>0</v>
      </c>
      <c r="CK67" s="35">
        <f t="shared" si="22"/>
        <v>2.8800000000000003</v>
      </c>
      <c r="CL67" s="157">
        <f t="shared" si="140"/>
        <v>0</v>
      </c>
      <c r="CM67" s="134"/>
      <c r="CN67" s="14">
        <f t="shared" si="23"/>
        <v>46</v>
      </c>
      <c r="CO67" s="48">
        <f t="shared" si="141"/>
        <v>0</v>
      </c>
      <c r="CP67" s="68">
        <f t="shared" si="98"/>
        <v>0</v>
      </c>
      <c r="CQ67" s="51">
        <f t="shared" si="24"/>
        <v>618</v>
      </c>
      <c r="CR67" s="103">
        <f t="shared" si="533"/>
        <v>0</v>
      </c>
      <c r="CS67" s="46">
        <f t="shared" si="273"/>
        <v>618</v>
      </c>
      <c r="CT67" s="51">
        <f t="shared" si="25"/>
        <v>79</v>
      </c>
      <c r="CU67" s="103">
        <f t="shared" si="534"/>
        <v>0</v>
      </c>
      <c r="CV67" s="46">
        <f t="shared" si="67"/>
        <v>79</v>
      </c>
      <c r="CX67" s="120">
        <f t="shared" si="535"/>
        <v>8</v>
      </c>
      <c r="CY67" s="7">
        <f t="shared" si="536"/>
        <v>8</v>
      </c>
      <c r="CZ67" s="133"/>
      <c r="DA67" s="14">
        <f t="shared" si="434"/>
        <v>0</v>
      </c>
      <c r="DB67" s="62">
        <f t="shared" si="486"/>
        <v>0</v>
      </c>
      <c r="DC67" s="405"/>
      <c r="DD67" s="406"/>
      <c r="DE67" s="406"/>
      <c r="DF67" s="14">
        <f t="shared" si="208"/>
        <v>0</v>
      </c>
      <c r="DG67" s="14">
        <f t="shared" si="175"/>
        <v>0</v>
      </c>
      <c r="DH67" s="14">
        <f t="shared" si="26"/>
        <v>0.16</v>
      </c>
      <c r="DI67" s="47">
        <f t="shared" si="209"/>
        <v>0</v>
      </c>
      <c r="DJ67" s="35">
        <f t="shared" si="27"/>
        <v>2.8800000000000003</v>
      </c>
      <c r="DK67" s="157">
        <f t="shared" si="177"/>
        <v>0</v>
      </c>
      <c r="DL67" s="134"/>
      <c r="DM67" s="14">
        <f t="shared" si="28"/>
        <v>46</v>
      </c>
      <c r="DN67" s="48">
        <f t="shared" si="259"/>
        <v>0</v>
      </c>
      <c r="DO67" s="68">
        <f t="shared" si="178"/>
        <v>0</v>
      </c>
      <c r="DP67" s="51">
        <f t="shared" si="29"/>
        <v>618</v>
      </c>
      <c r="DQ67" s="103">
        <f t="shared" si="537"/>
        <v>0</v>
      </c>
      <c r="DR67" s="46">
        <f t="shared" si="275"/>
        <v>618</v>
      </c>
      <c r="DS67" s="51">
        <f t="shared" si="30"/>
        <v>79</v>
      </c>
      <c r="DT67" s="103">
        <f t="shared" si="538"/>
        <v>0</v>
      </c>
      <c r="DU67" s="46">
        <f t="shared" si="164"/>
        <v>79</v>
      </c>
      <c r="DW67" s="120">
        <f t="shared" si="539"/>
        <v>8</v>
      </c>
      <c r="DX67" s="7">
        <f t="shared" si="540"/>
        <v>8</v>
      </c>
      <c r="DY67" s="133"/>
      <c r="DZ67" s="14">
        <f t="shared" si="435"/>
        <v>0</v>
      </c>
      <c r="EA67" s="62">
        <f t="shared" si="487"/>
        <v>0</v>
      </c>
      <c r="EB67" s="405"/>
      <c r="EC67" s="406"/>
      <c r="ED67" s="406"/>
      <c r="EE67" s="14">
        <f t="shared" si="211"/>
        <v>0</v>
      </c>
      <c r="EF67" s="14">
        <f t="shared" si="180"/>
        <v>0</v>
      </c>
      <c r="EG67" s="14">
        <f t="shared" si="31"/>
        <v>0.16</v>
      </c>
      <c r="EH67" s="47">
        <f t="shared" si="212"/>
        <v>0</v>
      </c>
      <c r="EI67" s="35">
        <f t="shared" si="32"/>
        <v>2.8800000000000003</v>
      </c>
      <c r="EJ67" s="157">
        <f t="shared" si="182"/>
        <v>0</v>
      </c>
      <c r="EK67" s="134"/>
      <c r="EL67" s="14">
        <f t="shared" si="33"/>
        <v>46</v>
      </c>
      <c r="EM67" s="48">
        <f t="shared" si="260"/>
        <v>0</v>
      </c>
      <c r="EN67" s="68">
        <f t="shared" si="183"/>
        <v>0</v>
      </c>
      <c r="EO67" s="51">
        <f t="shared" si="34"/>
        <v>618</v>
      </c>
      <c r="EP67" s="103">
        <f t="shared" si="541"/>
        <v>0</v>
      </c>
      <c r="EQ67" s="46">
        <f t="shared" si="277"/>
        <v>618</v>
      </c>
      <c r="ER67" s="51">
        <f t="shared" si="35"/>
        <v>79</v>
      </c>
      <c r="ES67" s="103">
        <f t="shared" si="542"/>
        <v>0</v>
      </c>
      <c r="ET67" s="46">
        <f t="shared" si="165"/>
        <v>79</v>
      </c>
      <c r="EV67" s="120">
        <f t="shared" si="543"/>
        <v>8</v>
      </c>
      <c r="EW67" s="7">
        <f t="shared" si="544"/>
        <v>8</v>
      </c>
      <c r="EX67" s="133"/>
      <c r="EY67" s="14">
        <f t="shared" si="436"/>
        <v>0</v>
      </c>
      <c r="EZ67" s="62">
        <f t="shared" si="488"/>
        <v>0</v>
      </c>
      <c r="FA67" s="405"/>
      <c r="FB67" s="406"/>
      <c r="FC67" s="406"/>
      <c r="FD67" s="14">
        <f t="shared" si="214"/>
        <v>0</v>
      </c>
      <c r="FE67" s="14">
        <f t="shared" si="185"/>
        <v>0</v>
      </c>
      <c r="FF67" s="14">
        <f t="shared" si="36"/>
        <v>0.16</v>
      </c>
      <c r="FG67" s="47">
        <f t="shared" si="215"/>
        <v>0</v>
      </c>
      <c r="FH67" s="35">
        <f t="shared" si="37"/>
        <v>2.8800000000000003</v>
      </c>
      <c r="FI67" s="157">
        <f t="shared" si="187"/>
        <v>0</v>
      </c>
      <c r="FJ67" s="134"/>
      <c r="FK67" s="14">
        <f t="shared" si="38"/>
        <v>46</v>
      </c>
      <c r="FL67" s="48">
        <f t="shared" si="261"/>
        <v>0</v>
      </c>
      <c r="FM67" s="68">
        <f t="shared" si="188"/>
        <v>0</v>
      </c>
      <c r="FN67" s="51">
        <f t="shared" si="39"/>
        <v>618</v>
      </c>
      <c r="FO67" s="103">
        <f t="shared" si="545"/>
        <v>0</v>
      </c>
      <c r="FP67" s="46">
        <f t="shared" si="279"/>
        <v>618</v>
      </c>
      <c r="FQ67" s="51">
        <f t="shared" si="40"/>
        <v>79</v>
      </c>
      <c r="FR67" s="103">
        <f t="shared" si="546"/>
        <v>0</v>
      </c>
      <c r="FS67" s="46">
        <f t="shared" si="166"/>
        <v>79</v>
      </c>
      <c r="FU67" s="120">
        <f t="shared" si="547"/>
        <v>8</v>
      </c>
      <c r="FV67" s="7">
        <f t="shared" si="548"/>
        <v>8</v>
      </c>
      <c r="FW67" s="133"/>
      <c r="FX67" s="14">
        <f t="shared" si="437"/>
        <v>0</v>
      </c>
      <c r="FY67" s="62">
        <f t="shared" si="489"/>
        <v>0</v>
      </c>
      <c r="FZ67" s="405"/>
      <c r="GA67" s="406"/>
      <c r="GB67" s="406"/>
      <c r="GC67" s="14">
        <f t="shared" si="217"/>
        <v>0</v>
      </c>
      <c r="GD67" s="14">
        <f t="shared" si="190"/>
        <v>0</v>
      </c>
      <c r="GE67" s="14">
        <f t="shared" si="41"/>
        <v>0.16</v>
      </c>
      <c r="GF67" s="47">
        <f t="shared" si="218"/>
        <v>0</v>
      </c>
      <c r="GG67" s="35">
        <f t="shared" si="42"/>
        <v>2.8800000000000003</v>
      </c>
      <c r="GH67" s="157">
        <f t="shared" si="192"/>
        <v>0</v>
      </c>
      <c r="GI67" s="134"/>
      <c r="GJ67" s="14">
        <f t="shared" si="43"/>
        <v>46</v>
      </c>
      <c r="GK67" s="48">
        <f t="shared" si="262"/>
        <v>0</v>
      </c>
      <c r="GL67" s="68">
        <f t="shared" si="193"/>
        <v>0</v>
      </c>
      <c r="GM67" s="51">
        <f t="shared" si="44"/>
        <v>618</v>
      </c>
      <c r="GN67" s="103">
        <f t="shared" si="549"/>
        <v>0</v>
      </c>
      <c r="GO67" s="46">
        <f t="shared" si="281"/>
        <v>618</v>
      </c>
      <c r="GP67" s="51">
        <f t="shared" si="45"/>
        <v>79</v>
      </c>
      <c r="GQ67" s="103">
        <f t="shared" si="550"/>
        <v>0</v>
      </c>
      <c r="GR67" s="46">
        <f t="shared" si="167"/>
        <v>79</v>
      </c>
      <c r="GT67" s="120">
        <f t="shared" si="551"/>
        <v>8</v>
      </c>
      <c r="GU67" s="7">
        <f t="shared" si="552"/>
        <v>8</v>
      </c>
      <c r="GV67" s="133"/>
      <c r="GW67" s="14">
        <f t="shared" si="438"/>
        <v>0</v>
      </c>
      <c r="GX67" s="62">
        <f t="shared" si="490"/>
        <v>0</v>
      </c>
      <c r="GY67" s="405"/>
      <c r="GZ67" s="406"/>
      <c r="HA67" s="406"/>
      <c r="HB67" s="14">
        <f t="shared" si="220"/>
        <v>0</v>
      </c>
      <c r="HC67" s="14">
        <f t="shared" si="195"/>
        <v>0</v>
      </c>
      <c r="HD67" s="14">
        <f t="shared" si="46"/>
        <v>0.16</v>
      </c>
      <c r="HE67" s="47">
        <f t="shared" si="221"/>
        <v>0</v>
      </c>
      <c r="HF67" s="35">
        <f t="shared" si="47"/>
        <v>2.8800000000000003</v>
      </c>
      <c r="HG67" s="157">
        <f t="shared" si="197"/>
        <v>0</v>
      </c>
      <c r="HH67" s="134"/>
      <c r="HI67" s="14">
        <f t="shared" si="48"/>
        <v>46</v>
      </c>
      <c r="HJ67" s="48">
        <f t="shared" si="263"/>
        <v>0</v>
      </c>
      <c r="HK67" s="68">
        <f t="shared" si="198"/>
        <v>0</v>
      </c>
      <c r="HL67" s="51">
        <f t="shared" si="49"/>
        <v>618</v>
      </c>
      <c r="HM67" s="103">
        <f t="shared" si="553"/>
        <v>0</v>
      </c>
      <c r="HN67" s="46">
        <f t="shared" si="283"/>
        <v>618</v>
      </c>
      <c r="HO67" s="51">
        <f t="shared" si="50"/>
        <v>79</v>
      </c>
      <c r="HP67" s="103">
        <f t="shared" si="554"/>
        <v>0</v>
      </c>
      <c r="HQ67" s="46">
        <f t="shared" si="168"/>
        <v>79</v>
      </c>
    </row>
    <row r="68" spans="1:225" ht="17.25" thickBot="1" x14ac:dyDescent="0.3">
      <c r="B68" s="120">
        <f t="shared" si="519"/>
        <v>26</v>
      </c>
      <c r="C68" s="574">
        <f t="shared" si="520"/>
        <v>8</v>
      </c>
      <c r="D68" s="136"/>
      <c r="E68" s="436">
        <f t="shared" si="223"/>
        <v>96114</v>
      </c>
      <c r="F68" s="451">
        <f t="shared" si="0"/>
        <v>96110</v>
      </c>
      <c r="G68" s="137"/>
      <c r="H68" s="138">
        <v>4</v>
      </c>
      <c r="I68" s="138"/>
      <c r="J68" s="32">
        <f t="shared" si="200"/>
        <v>4</v>
      </c>
      <c r="K68" s="32">
        <f t="shared" si="52"/>
        <v>5155</v>
      </c>
      <c r="L68" s="34">
        <f t="shared" si="1"/>
        <v>0.16</v>
      </c>
      <c r="M68" s="96">
        <f t="shared" si="85"/>
        <v>4.1617246186819818E-3</v>
      </c>
      <c r="N68" s="40">
        <f t="shared" si="2"/>
        <v>2.8800000000000003</v>
      </c>
      <c r="O68" s="132">
        <f t="shared" si="53"/>
        <v>3.8221141370029583</v>
      </c>
      <c r="P68" s="139">
        <v>4095</v>
      </c>
      <c r="Q68" s="32">
        <f t="shared" si="3"/>
        <v>46</v>
      </c>
      <c r="R68" s="443">
        <f t="shared" si="394"/>
        <v>42.605655783756788</v>
      </c>
      <c r="S68" s="471">
        <f t="shared" si="201"/>
        <v>1565.5853814898201</v>
      </c>
      <c r="T68" s="56">
        <f t="shared" si="5"/>
        <v>618</v>
      </c>
      <c r="U68" s="109">
        <f t="shared" si="521"/>
        <v>628</v>
      </c>
      <c r="V68" s="63">
        <f t="shared" si="55"/>
        <v>-10</v>
      </c>
      <c r="W68" s="56">
        <f t="shared" si="395"/>
        <v>79</v>
      </c>
      <c r="X68" s="109">
        <f t="shared" si="522"/>
        <v>94</v>
      </c>
      <c r="Y68" s="63">
        <f t="shared" si="56"/>
        <v>-15</v>
      </c>
      <c r="Z68" s="487"/>
      <c r="AA68" s="120">
        <f t="shared" si="523"/>
        <v>26</v>
      </c>
      <c r="AB68" s="8">
        <f t="shared" si="524"/>
        <v>8</v>
      </c>
      <c r="AC68" s="136"/>
      <c r="AD68" s="54">
        <f t="shared" si="483"/>
        <v>86795</v>
      </c>
      <c r="AE68" s="55">
        <f t="shared" si="484"/>
        <v>86787</v>
      </c>
      <c r="AF68" s="137"/>
      <c r="AG68" s="138">
        <v>8</v>
      </c>
      <c r="AH68" s="138"/>
      <c r="AI68" s="34">
        <f t="shared" si="203"/>
        <v>8</v>
      </c>
      <c r="AJ68" s="34">
        <f t="shared" si="321"/>
        <v>6112</v>
      </c>
      <c r="AK68" s="17">
        <f t="shared" si="8"/>
        <v>0.16</v>
      </c>
      <c r="AL68" s="96">
        <f t="shared" si="58"/>
        <v>9.2171208018895102E-3</v>
      </c>
      <c r="AM68" s="33">
        <f t="shared" si="9"/>
        <v>2.8800000000000003</v>
      </c>
      <c r="AN68" s="157">
        <f t="shared" si="169"/>
        <v>3.9901812294354206</v>
      </c>
      <c r="AO68" s="137">
        <v>4095</v>
      </c>
      <c r="AP68" s="32">
        <f t="shared" si="10"/>
        <v>46</v>
      </c>
      <c r="AQ68" s="443">
        <f t="shared" si="59"/>
        <v>47.180137104671928</v>
      </c>
      <c r="AR68" s="471">
        <f t="shared" si="323"/>
        <v>1553.3410641581295</v>
      </c>
      <c r="AS68" s="50">
        <f t="shared" si="11"/>
        <v>618</v>
      </c>
      <c r="AT68" s="103">
        <f t="shared" si="525"/>
        <v>561</v>
      </c>
      <c r="AU68" s="63">
        <f t="shared" si="271"/>
        <v>57</v>
      </c>
      <c r="AV68" s="56">
        <f t="shared" si="12"/>
        <v>79</v>
      </c>
      <c r="AW68" s="103">
        <f t="shared" si="526"/>
        <v>81</v>
      </c>
      <c r="AX68" s="63">
        <f t="shared" si="170"/>
        <v>-2</v>
      </c>
      <c r="AZ68" s="197">
        <f t="shared" si="527"/>
        <v>26</v>
      </c>
      <c r="BA68" s="8">
        <f t="shared" si="528"/>
        <v>8</v>
      </c>
      <c r="BB68" s="136"/>
      <c r="BC68" s="54">
        <f t="shared" si="518"/>
        <v>92975</v>
      </c>
      <c r="BD68" s="55">
        <f t="shared" si="485"/>
        <v>92969</v>
      </c>
      <c r="BE68" s="137"/>
      <c r="BF68" s="138">
        <v>6</v>
      </c>
      <c r="BG68" s="138"/>
      <c r="BH68" s="34">
        <f t="shared" si="204"/>
        <v>6</v>
      </c>
      <c r="BI68" s="34">
        <f t="shared" si="294"/>
        <v>903</v>
      </c>
      <c r="BJ68" s="34">
        <f t="shared" si="14"/>
        <v>0.16</v>
      </c>
      <c r="BK68" s="96">
        <f t="shared" si="92"/>
        <v>6.4533476741059428E-3</v>
      </c>
      <c r="BL68" s="40">
        <f t="shared" si="15"/>
        <v>2.8800000000000003</v>
      </c>
      <c r="BM68" s="132">
        <f t="shared" si="326"/>
        <v>1.2647058823529411</v>
      </c>
      <c r="BN68" s="137">
        <v>4368</v>
      </c>
      <c r="BO68" s="32">
        <f t="shared" si="17"/>
        <v>46</v>
      </c>
      <c r="BP68" s="443">
        <f t="shared" si="93"/>
        <v>46.980371067491262</v>
      </c>
      <c r="BQ68" s="750">
        <f t="shared" si="137"/>
        <v>1522.3242252498878</v>
      </c>
      <c r="BR68" s="56">
        <f t="shared" si="18"/>
        <v>618</v>
      </c>
      <c r="BS68" s="109">
        <f t="shared" si="529"/>
        <v>615</v>
      </c>
      <c r="BT68" s="63">
        <f t="shared" si="272"/>
        <v>3</v>
      </c>
      <c r="BU68" s="56">
        <f t="shared" si="20"/>
        <v>79</v>
      </c>
      <c r="BV68" s="109">
        <f t="shared" si="530"/>
        <v>66</v>
      </c>
      <c r="BW68" s="63">
        <f t="shared" si="171"/>
        <v>13</v>
      </c>
      <c r="BY68" s="197">
        <f t="shared" si="531"/>
        <v>9</v>
      </c>
      <c r="BZ68" s="8">
        <f t="shared" si="532"/>
        <v>8</v>
      </c>
      <c r="CA68" s="136"/>
      <c r="CB68" s="32">
        <f t="shared" si="172"/>
        <v>0</v>
      </c>
      <c r="CC68" s="53">
        <f t="shared" si="205"/>
        <v>0</v>
      </c>
      <c r="CD68" s="421"/>
      <c r="CE68" s="426"/>
      <c r="CF68" s="426"/>
      <c r="CG68" s="34">
        <f t="shared" si="206"/>
        <v>0</v>
      </c>
      <c r="CH68" s="34">
        <f t="shared" si="173"/>
        <v>0</v>
      </c>
      <c r="CI68" s="32">
        <f t="shared" si="21"/>
        <v>0.16</v>
      </c>
      <c r="CJ68" s="96">
        <f t="shared" si="97"/>
        <v>0</v>
      </c>
      <c r="CK68" s="36">
        <f t="shared" si="22"/>
        <v>2.8800000000000003</v>
      </c>
      <c r="CL68" s="156">
        <f t="shared" si="140"/>
        <v>0</v>
      </c>
      <c r="CM68" s="137"/>
      <c r="CN68" s="13">
        <f t="shared" si="23"/>
        <v>46</v>
      </c>
      <c r="CO68" s="54">
        <f t="shared" si="141"/>
        <v>0</v>
      </c>
      <c r="CP68" s="70">
        <f t="shared" si="98"/>
        <v>0</v>
      </c>
      <c r="CQ68" s="56">
        <f t="shared" si="24"/>
        <v>618</v>
      </c>
      <c r="CR68" s="109">
        <f t="shared" si="533"/>
        <v>0</v>
      </c>
      <c r="CS68" s="63">
        <f t="shared" si="273"/>
        <v>618</v>
      </c>
      <c r="CT68" s="56">
        <f t="shared" si="25"/>
        <v>79</v>
      </c>
      <c r="CU68" s="109">
        <f t="shared" si="534"/>
        <v>0</v>
      </c>
      <c r="CV68" s="63">
        <f t="shared" si="67"/>
        <v>79</v>
      </c>
      <c r="CX68" s="197">
        <f t="shared" si="535"/>
        <v>9</v>
      </c>
      <c r="CY68" s="8">
        <f t="shared" si="536"/>
        <v>8</v>
      </c>
      <c r="CZ68" s="136"/>
      <c r="DA68" s="32">
        <f t="shared" si="434"/>
        <v>0</v>
      </c>
      <c r="DB68" s="53">
        <f t="shared" si="486"/>
        <v>0</v>
      </c>
      <c r="DC68" s="421"/>
      <c r="DD68" s="426"/>
      <c r="DE68" s="426"/>
      <c r="DF68" s="34">
        <f t="shared" si="208"/>
        <v>0</v>
      </c>
      <c r="DG68" s="34">
        <f t="shared" si="175"/>
        <v>0</v>
      </c>
      <c r="DH68" s="32">
        <f t="shared" si="26"/>
        <v>0.16</v>
      </c>
      <c r="DI68" s="96">
        <f t="shared" si="209"/>
        <v>0</v>
      </c>
      <c r="DJ68" s="36">
        <f t="shared" si="27"/>
        <v>2.8800000000000003</v>
      </c>
      <c r="DK68" s="156">
        <f t="shared" si="177"/>
        <v>0</v>
      </c>
      <c r="DL68" s="137"/>
      <c r="DM68" s="13">
        <f t="shared" si="28"/>
        <v>46</v>
      </c>
      <c r="DN68" s="54">
        <f t="shared" si="259"/>
        <v>0</v>
      </c>
      <c r="DO68" s="70">
        <f t="shared" si="178"/>
        <v>0</v>
      </c>
      <c r="DP68" s="56">
        <f t="shared" si="29"/>
        <v>618</v>
      </c>
      <c r="DQ68" s="109">
        <f t="shared" si="537"/>
        <v>0</v>
      </c>
      <c r="DR68" s="63">
        <f t="shared" si="275"/>
        <v>618</v>
      </c>
      <c r="DS68" s="56">
        <f t="shared" si="30"/>
        <v>79</v>
      </c>
      <c r="DT68" s="109">
        <f t="shared" si="538"/>
        <v>0</v>
      </c>
      <c r="DU68" s="63">
        <f t="shared" si="164"/>
        <v>79</v>
      </c>
      <c r="DW68" s="197">
        <f t="shared" si="539"/>
        <v>9</v>
      </c>
      <c r="DX68" s="8">
        <f t="shared" si="540"/>
        <v>8</v>
      </c>
      <c r="DY68" s="136"/>
      <c r="DZ68" s="32">
        <f t="shared" si="435"/>
        <v>0</v>
      </c>
      <c r="EA68" s="53">
        <f t="shared" si="487"/>
        <v>0</v>
      </c>
      <c r="EB68" s="421"/>
      <c r="EC68" s="426"/>
      <c r="ED68" s="426"/>
      <c r="EE68" s="34">
        <f t="shared" si="211"/>
        <v>0</v>
      </c>
      <c r="EF68" s="34">
        <f t="shared" si="180"/>
        <v>0</v>
      </c>
      <c r="EG68" s="32">
        <f t="shared" si="31"/>
        <v>0.16</v>
      </c>
      <c r="EH68" s="96">
        <f t="shared" si="212"/>
        <v>0</v>
      </c>
      <c r="EI68" s="36">
        <f t="shared" si="32"/>
        <v>2.8800000000000003</v>
      </c>
      <c r="EJ68" s="156">
        <f t="shared" si="182"/>
        <v>0</v>
      </c>
      <c r="EK68" s="137"/>
      <c r="EL68" s="13">
        <f t="shared" si="33"/>
        <v>46</v>
      </c>
      <c r="EM68" s="54">
        <f t="shared" si="260"/>
        <v>0</v>
      </c>
      <c r="EN68" s="70">
        <f t="shared" si="183"/>
        <v>0</v>
      </c>
      <c r="EO68" s="56">
        <f t="shared" si="34"/>
        <v>618</v>
      </c>
      <c r="EP68" s="109">
        <f t="shared" si="541"/>
        <v>0</v>
      </c>
      <c r="EQ68" s="63">
        <f t="shared" si="277"/>
        <v>618</v>
      </c>
      <c r="ER68" s="56">
        <f t="shared" si="35"/>
        <v>79</v>
      </c>
      <c r="ES68" s="109">
        <f t="shared" si="542"/>
        <v>0</v>
      </c>
      <c r="ET68" s="63">
        <f t="shared" si="165"/>
        <v>79</v>
      </c>
      <c r="EV68" s="197">
        <f t="shared" si="543"/>
        <v>9</v>
      </c>
      <c r="EW68" s="8">
        <f t="shared" si="544"/>
        <v>8</v>
      </c>
      <c r="EX68" s="136"/>
      <c r="EY68" s="32">
        <f t="shared" si="436"/>
        <v>0</v>
      </c>
      <c r="EZ68" s="53">
        <f t="shared" si="488"/>
        <v>0</v>
      </c>
      <c r="FA68" s="421"/>
      <c r="FB68" s="426"/>
      <c r="FC68" s="426"/>
      <c r="FD68" s="34">
        <f t="shared" si="214"/>
        <v>0</v>
      </c>
      <c r="FE68" s="34">
        <f t="shared" si="185"/>
        <v>0</v>
      </c>
      <c r="FF68" s="32">
        <f t="shared" si="36"/>
        <v>0.16</v>
      </c>
      <c r="FG68" s="96">
        <f t="shared" si="215"/>
        <v>0</v>
      </c>
      <c r="FH68" s="36">
        <f t="shared" si="37"/>
        <v>2.8800000000000003</v>
      </c>
      <c r="FI68" s="156">
        <f t="shared" si="187"/>
        <v>0</v>
      </c>
      <c r="FJ68" s="137"/>
      <c r="FK68" s="13">
        <f t="shared" si="38"/>
        <v>46</v>
      </c>
      <c r="FL68" s="54">
        <f t="shared" si="261"/>
        <v>0</v>
      </c>
      <c r="FM68" s="70">
        <f t="shared" si="188"/>
        <v>0</v>
      </c>
      <c r="FN68" s="56">
        <f t="shared" si="39"/>
        <v>618</v>
      </c>
      <c r="FO68" s="109">
        <f t="shared" si="545"/>
        <v>0</v>
      </c>
      <c r="FP68" s="63">
        <f t="shared" si="279"/>
        <v>618</v>
      </c>
      <c r="FQ68" s="56">
        <f t="shared" si="40"/>
        <v>79</v>
      </c>
      <c r="FR68" s="109">
        <f t="shared" si="546"/>
        <v>0</v>
      </c>
      <c r="FS68" s="63">
        <f t="shared" si="166"/>
        <v>79</v>
      </c>
      <c r="FU68" s="197">
        <f t="shared" si="547"/>
        <v>9</v>
      </c>
      <c r="FV68" s="8">
        <f t="shared" si="548"/>
        <v>8</v>
      </c>
      <c r="FW68" s="136"/>
      <c r="FX68" s="32">
        <f t="shared" si="437"/>
        <v>0</v>
      </c>
      <c r="FY68" s="53">
        <f t="shared" si="489"/>
        <v>0</v>
      </c>
      <c r="FZ68" s="421"/>
      <c r="GA68" s="426"/>
      <c r="GB68" s="426"/>
      <c r="GC68" s="34">
        <f t="shared" si="217"/>
        <v>0</v>
      </c>
      <c r="GD68" s="34">
        <f t="shared" si="190"/>
        <v>0</v>
      </c>
      <c r="GE68" s="32">
        <f t="shared" si="41"/>
        <v>0.16</v>
      </c>
      <c r="GF68" s="96">
        <f t="shared" si="218"/>
        <v>0</v>
      </c>
      <c r="GG68" s="36">
        <f t="shared" si="42"/>
        <v>2.8800000000000003</v>
      </c>
      <c r="GH68" s="156">
        <f t="shared" si="192"/>
        <v>0</v>
      </c>
      <c r="GI68" s="137"/>
      <c r="GJ68" s="13">
        <f t="shared" si="43"/>
        <v>46</v>
      </c>
      <c r="GK68" s="54">
        <f t="shared" si="262"/>
        <v>0</v>
      </c>
      <c r="GL68" s="70">
        <f t="shared" si="193"/>
        <v>0</v>
      </c>
      <c r="GM68" s="56">
        <f t="shared" si="44"/>
        <v>618</v>
      </c>
      <c r="GN68" s="109">
        <f t="shared" si="549"/>
        <v>0</v>
      </c>
      <c r="GO68" s="63">
        <f t="shared" si="281"/>
        <v>618</v>
      </c>
      <c r="GP68" s="56">
        <f t="shared" si="45"/>
        <v>79</v>
      </c>
      <c r="GQ68" s="109">
        <f t="shared" si="550"/>
        <v>0</v>
      </c>
      <c r="GR68" s="63">
        <f t="shared" si="167"/>
        <v>79</v>
      </c>
      <c r="GT68" s="197">
        <f t="shared" si="551"/>
        <v>9</v>
      </c>
      <c r="GU68" s="8">
        <f t="shared" si="552"/>
        <v>8</v>
      </c>
      <c r="GV68" s="136"/>
      <c r="GW68" s="32">
        <f t="shared" si="438"/>
        <v>0</v>
      </c>
      <c r="GX68" s="53">
        <f t="shared" si="490"/>
        <v>0</v>
      </c>
      <c r="GY68" s="421"/>
      <c r="GZ68" s="426"/>
      <c r="HA68" s="426"/>
      <c r="HB68" s="34">
        <f t="shared" si="220"/>
        <v>0</v>
      </c>
      <c r="HC68" s="34">
        <f t="shared" si="195"/>
        <v>0</v>
      </c>
      <c r="HD68" s="32">
        <f t="shared" si="46"/>
        <v>0.16</v>
      </c>
      <c r="HE68" s="96">
        <f t="shared" si="221"/>
        <v>0</v>
      </c>
      <c r="HF68" s="36">
        <f t="shared" si="47"/>
        <v>2.8800000000000003</v>
      </c>
      <c r="HG68" s="156">
        <f t="shared" si="197"/>
        <v>0</v>
      </c>
      <c r="HH68" s="137"/>
      <c r="HI68" s="13">
        <f t="shared" si="48"/>
        <v>46</v>
      </c>
      <c r="HJ68" s="54">
        <f t="shared" si="263"/>
        <v>0</v>
      </c>
      <c r="HK68" s="70">
        <f t="shared" si="198"/>
        <v>0</v>
      </c>
      <c r="HL68" s="56">
        <f t="shared" si="49"/>
        <v>618</v>
      </c>
      <c r="HM68" s="109">
        <f t="shared" si="553"/>
        <v>0</v>
      </c>
      <c r="HN68" s="63">
        <f t="shared" si="283"/>
        <v>618</v>
      </c>
      <c r="HO68" s="56">
        <f t="shared" si="50"/>
        <v>79</v>
      </c>
      <c r="HP68" s="109">
        <f t="shared" si="554"/>
        <v>0</v>
      </c>
      <c r="HQ68" s="63">
        <f t="shared" si="168"/>
        <v>79</v>
      </c>
    </row>
    <row r="69" spans="1:225" ht="17.25" thickBot="1" x14ac:dyDescent="0.3">
      <c r="B69" s="118">
        <v>27</v>
      </c>
      <c r="C69" s="575">
        <v>9</v>
      </c>
      <c r="D69" s="129"/>
      <c r="E69" s="400">
        <f t="shared" si="223"/>
        <v>96110</v>
      </c>
      <c r="F69" s="561">
        <f t="shared" si="0"/>
        <v>96103</v>
      </c>
      <c r="G69" s="130"/>
      <c r="H69" s="131">
        <v>7</v>
      </c>
      <c r="I69" s="131"/>
      <c r="J69" s="11">
        <f t="shared" si="200"/>
        <v>7</v>
      </c>
      <c r="K69" s="11">
        <f t="shared" si="52"/>
        <v>5162</v>
      </c>
      <c r="L69" s="16">
        <f t="shared" si="1"/>
        <v>0.16</v>
      </c>
      <c r="M69" s="153">
        <f t="shared" si="85"/>
        <v>7.2833211944646759E-3</v>
      </c>
      <c r="N69" s="154">
        <f t="shared" si="2"/>
        <v>3.0400000000000005</v>
      </c>
      <c r="O69" s="132">
        <f t="shared" si="53"/>
        <v>3.82730420469627</v>
      </c>
      <c r="P69" s="158">
        <v>2730</v>
      </c>
      <c r="Q69" s="11">
        <f t="shared" si="3"/>
        <v>49</v>
      </c>
      <c r="R69" s="441">
        <f t="shared" si="394"/>
        <v>28.404952658412235</v>
      </c>
      <c r="S69" s="469">
        <f t="shared" si="201"/>
        <v>1593.9903341482323</v>
      </c>
      <c r="T69" s="58">
        <f t="shared" si="5"/>
        <v>712</v>
      </c>
      <c r="U69" s="131">
        <v>614</v>
      </c>
      <c r="V69" s="41">
        <f t="shared" si="55"/>
        <v>98</v>
      </c>
      <c r="W69" s="18">
        <f t="shared" si="395"/>
        <v>79</v>
      </c>
      <c r="X69" s="131">
        <v>66</v>
      </c>
      <c r="Y69" s="41">
        <f t="shared" si="56"/>
        <v>13</v>
      </c>
      <c r="Z69" s="487"/>
      <c r="AA69" s="118">
        <v>27</v>
      </c>
      <c r="AB69" s="9">
        <v>9</v>
      </c>
      <c r="AC69" s="129"/>
      <c r="AD69" s="43">
        <f t="shared" si="483"/>
        <v>86787</v>
      </c>
      <c r="AE69" s="44">
        <f t="shared" si="484"/>
        <v>86770</v>
      </c>
      <c r="AF69" s="130"/>
      <c r="AG69" s="131">
        <v>17</v>
      </c>
      <c r="AH69" s="131"/>
      <c r="AI69" s="11">
        <f t="shared" si="203"/>
        <v>17</v>
      </c>
      <c r="AJ69" s="11">
        <f t="shared" si="321"/>
        <v>6129</v>
      </c>
      <c r="AK69" s="16">
        <f t="shared" si="8"/>
        <v>0.16</v>
      </c>
      <c r="AL69" s="153">
        <f t="shared" si="58"/>
        <v>1.958818717088965E-2</v>
      </c>
      <c r="AM69" s="154">
        <f t="shared" si="9"/>
        <v>3.0400000000000005</v>
      </c>
      <c r="AN69" s="157">
        <f t="shared" si="169"/>
        <v>4.0012795738235756</v>
      </c>
      <c r="AO69" s="158">
        <v>546</v>
      </c>
      <c r="AP69" s="17">
        <f t="shared" si="10"/>
        <v>49</v>
      </c>
      <c r="AQ69" s="441">
        <f t="shared" si="59"/>
        <v>6.2912648207680872</v>
      </c>
      <c r="AR69" s="469">
        <f t="shared" si="323"/>
        <v>1559.6323289788975</v>
      </c>
      <c r="AS69" s="58">
        <f t="shared" si="11"/>
        <v>712</v>
      </c>
      <c r="AT69" s="131">
        <v>679</v>
      </c>
      <c r="AU69" s="41">
        <f t="shared" si="271"/>
        <v>33</v>
      </c>
      <c r="AV69" s="18">
        <f t="shared" si="12"/>
        <v>79</v>
      </c>
      <c r="AW69" s="131">
        <v>90</v>
      </c>
      <c r="AX69" s="41">
        <f t="shared" si="170"/>
        <v>-11</v>
      </c>
      <c r="AZ69" s="118">
        <v>27</v>
      </c>
      <c r="BA69" s="9">
        <v>9</v>
      </c>
      <c r="BB69" s="129"/>
      <c r="BC69" s="43">
        <f t="shared" si="518"/>
        <v>92969</v>
      </c>
      <c r="BD69" s="44">
        <f t="shared" si="485"/>
        <v>92950</v>
      </c>
      <c r="BE69" s="130">
        <v>8</v>
      </c>
      <c r="BF69" s="131">
        <v>11</v>
      </c>
      <c r="BG69" s="131"/>
      <c r="BH69" s="11">
        <f t="shared" si="204"/>
        <v>19</v>
      </c>
      <c r="BI69" s="11">
        <f t="shared" si="294"/>
        <v>922</v>
      </c>
      <c r="BJ69" s="16">
        <f t="shared" si="14"/>
        <v>0.16</v>
      </c>
      <c r="BK69" s="42">
        <f t="shared" si="92"/>
        <v>2.0436919833492884E-2</v>
      </c>
      <c r="BL69" s="154">
        <f t="shared" si="15"/>
        <v>3.0400000000000005</v>
      </c>
      <c r="BM69" s="132">
        <f t="shared" si="326"/>
        <v>1.2913165266106443</v>
      </c>
      <c r="BN69" s="158">
        <v>2730</v>
      </c>
      <c r="BO69" s="11">
        <f t="shared" si="17"/>
        <v>49</v>
      </c>
      <c r="BP69" s="441">
        <f t="shared" si="93"/>
        <v>29.364626918650302</v>
      </c>
      <c r="BQ69" s="746">
        <f t="shared" si="137"/>
        <v>1551.6888521685382</v>
      </c>
      <c r="BR69" s="58">
        <f t="shared" si="18"/>
        <v>712</v>
      </c>
      <c r="BS69" s="131">
        <v>680</v>
      </c>
      <c r="BT69" s="41">
        <f t="shared" si="272"/>
        <v>32</v>
      </c>
      <c r="BU69" s="18">
        <f t="shared" si="20"/>
        <v>79</v>
      </c>
      <c r="BV69" s="131">
        <v>76</v>
      </c>
      <c r="BW69" s="41">
        <f t="shared" si="171"/>
        <v>3</v>
      </c>
      <c r="BY69" s="198">
        <v>10</v>
      </c>
      <c r="BZ69" s="38">
        <v>9</v>
      </c>
      <c r="CA69" s="143"/>
      <c r="CB69" s="17">
        <f t="shared" si="172"/>
        <v>0</v>
      </c>
      <c r="CC69" s="71">
        <f t="shared" si="205"/>
        <v>0</v>
      </c>
      <c r="CD69" s="427"/>
      <c r="CE69" s="428"/>
      <c r="CF69" s="428"/>
      <c r="CG69" s="17">
        <f t="shared" si="206"/>
        <v>0</v>
      </c>
      <c r="CH69" s="17">
        <f t="shared" si="173"/>
        <v>0</v>
      </c>
      <c r="CI69" s="17">
        <f t="shared" si="21"/>
        <v>0.16</v>
      </c>
      <c r="CJ69" s="235">
        <f t="shared" si="97"/>
        <v>0</v>
      </c>
      <c r="CK69" s="33">
        <f t="shared" si="22"/>
        <v>3.0400000000000005</v>
      </c>
      <c r="CL69" s="155">
        <f t="shared" si="140"/>
        <v>0</v>
      </c>
      <c r="CM69" s="145"/>
      <c r="CN69" s="11">
        <f t="shared" si="23"/>
        <v>49</v>
      </c>
      <c r="CO69" s="60">
        <f t="shared" si="141"/>
        <v>0</v>
      </c>
      <c r="CP69" s="73">
        <f t="shared" si="98"/>
        <v>0</v>
      </c>
      <c r="CQ69" s="61">
        <f t="shared" si="24"/>
        <v>712</v>
      </c>
      <c r="CR69" s="141"/>
      <c r="CS69" s="71">
        <f t="shared" si="273"/>
        <v>712</v>
      </c>
      <c r="CT69" s="18">
        <f t="shared" si="25"/>
        <v>79</v>
      </c>
      <c r="CU69" s="141"/>
      <c r="CV69" s="71">
        <f t="shared" si="67"/>
        <v>79</v>
      </c>
      <c r="CX69" s="198">
        <v>10</v>
      </c>
      <c r="CY69" s="38">
        <v>9</v>
      </c>
      <c r="CZ69" s="143"/>
      <c r="DA69" s="17">
        <f t="shared" si="434"/>
        <v>0</v>
      </c>
      <c r="DB69" s="71">
        <f t="shared" si="486"/>
        <v>0</v>
      </c>
      <c r="DC69" s="427"/>
      <c r="DD69" s="428"/>
      <c r="DE69" s="428"/>
      <c r="DF69" s="17">
        <f t="shared" si="208"/>
        <v>0</v>
      </c>
      <c r="DG69" s="17">
        <f t="shared" si="175"/>
        <v>0</v>
      </c>
      <c r="DH69" s="17">
        <f t="shared" si="26"/>
        <v>0.16</v>
      </c>
      <c r="DI69" s="235">
        <f t="shared" si="209"/>
        <v>0</v>
      </c>
      <c r="DJ69" s="33">
        <f t="shared" si="27"/>
        <v>3.0400000000000005</v>
      </c>
      <c r="DK69" s="155">
        <f t="shared" si="177"/>
        <v>0</v>
      </c>
      <c r="DL69" s="145"/>
      <c r="DM69" s="11">
        <f t="shared" si="28"/>
        <v>49</v>
      </c>
      <c r="DN69" s="60">
        <f t="shared" si="259"/>
        <v>0</v>
      </c>
      <c r="DO69" s="73">
        <f t="shared" si="178"/>
        <v>0</v>
      </c>
      <c r="DP69" s="61">
        <f t="shared" si="29"/>
        <v>712</v>
      </c>
      <c r="DQ69" s="141"/>
      <c r="DR69" s="71">
        <f t="shared" si="275"/>
        <v>712</v>
      </c>
      <c r="DS69" s="18">
        <f t="shared" si="30"/>
        <v>79</v>
      </c>
      <c r="DT69" s="141"/>
      <c r="DU69" s="71">
        <f t="shared" si="164"/>
        <v>79</v>
      </c>
      <c r="DW69" s="198">
        <v>10</v>
      </c>
      <c r="DX69" s="38">
        <v>9</v>
      </c>
      <c r="DY69" s="143"/>
      <c r="DZ69" s="17">
        <f t="shared" si="435"/>
        <v>0</v>
      </c>
      <c r="EA69" s="71">
        <f t="shared" si="487"/>
        <v>0</v>
      </c>
      <c r="EB69" s="427"/>
      <c r="EC69" s="428"/>
      <c r="ED69" s="428"/>
      <c r="EE69" s="17">
        <f t="shared" si="211"/>
        <v>0</v>
      </c>
      <c r="EF69" s="17">
        <f t="shared" si="180"/>
        <v>0</v>
      </c>
      <c r="EG69" s="17">
        <f t="shared" si="31"/>
        <v>0.16</v>
      </c>
      <c r="EH69" s="235">
        <f t="shared" si="212"/>
        <v>0</v>
      </c>
      <c r="EI69" s="33">
        <f t="shared" si="32"/>
        <v>3.0400000000000005</v>
      </c>
      <c r="EJ69" s="155">
        <f t="shared" si="182"/>
        <v>0</v>
      </c>
      <c r="EK69" s="145"/>
      <c r="EL69" s="11">
        <f t="shared" si="33"/>
        <v>49</v>
      </c>
      <c r="EM69" s="60">
        <f t="shared" si="260"/>
        <v>0</v>
      </c>
      <c r="EN69" s="73">
        <f t="shared" si="183"/>
        <v>0</v>
      </c>
      <c r="EO69" s="61">
        <f t="shared" si="34"/>
        <v>712</v>
      </c>
      <c r="EP69" s="141"/>
      <c r="EQ69" s="71">
        <f t="shared" si="277"/>
        <v>712</v>
      </c>
      <c r="ER69" s="18">
        <f t="shared" si="35"/>
        <v>79</v>
      </c>
      <c r="ES69" s="141"/>
      <c r="ET69" s="71">
        <f t="shared" si="165"/>
        <v>79</v>
      </c>
      <c r="EV69" s="198">
        <v>10</v>
      </c>
      <c r="EW69" s="38">
        <v>9</v>
      </c>
      <c r="EX69" s="143"/>
      <c r="EY69" s="17">
        <f t="shared" si="436"/>
        <v>0</v>
      </c>
      <c r="EZ69" s="71">
        <f t="shared" si="488"/>
        <v>0</v>
      </c>
      <c r="FA69" s="427"/>
      <c r="FB69" s="428"/>
      <c r="FC69" s="428"/>
      <c r="FD69" s="17">
        <f t="shared" si="214"/>
        <v>0</v>
      </c>
      <c r="FE69" s="17">
        <f t="shared" si="185"/>
        <v>0</v>
      </c>
      <c r="FF69" s="17">
        <f t="shared" si="36"/>
        <v>0.16</v>
      </c>
      <c r="FG69" s="235">
        <f t="shared" si="215"/>
        <v>0</v>
      </c>
      <c r="FH69" s="33">
        <f t="shared" si="37"/>
        <v>3.0400000000000005</v>
      </c>
      <c r="FI69" s="155">
        <f t="shared" si="187"/>
        <v>0</v>
      </c>
      <c r="FJ69" s="145"/>
      <c r="FK69" s="11">
        <f t="shared" si="38"/>
        <v>49</v>
      </c>
      <c r="FL69" s="60">
        <f t="shared" si="261"/>
        <v>0</v>
      </c>
      <c r="FM69" s="73">
        <f t="shared" si="188"/>
        <v>0</v>
      </c>
      <c r="FN69" s="61">
        <f t="shared" si="39"/>
        <v>712</v>
      </c>
      <c r="FO69" s="141"/>
      <c r="FP69" s="71">
        <f t="shared" si="279"/>
        <v>712</v>
      </c>
      <c r="FQ69" s="18">
        <f t="shared" si="40"/>
        <v>79</v>
      </c>
      <c r="FR69" s="141"/>
      <c r="FS69" s="71">
        <f t="shared" si="166"/>
        <v>79</v>
      </c>
      <c r="FU69" s="198">
        <v>10</v>
      </c>
      <c r="FV69" s="38">
        <v>9</v>
      </c>
      <c r="FW69" s="143"/>
      <c r="FX69" s="17">
        <f t="shared" si="437"/>
        <v>0</v>
      </c>
      <c r="FY69" s="71">
        <f t="shared" si="489"/>
        <v>0</v>
      </c>
      <c r="FZ69" s="427"/>
      <c r="GA69" s="428"/>
      <c r="GB69" s="428"/>
      <c r="GC69" s="17">
        <f t="shared" si="217"/>
        <v>0</v>
      </c>
      <c r="GD69" s="17">
        <f t="shared" si="190"/>
        <v>0</v>
      </c>
      <c r="GE69" s="17">
        <f t="shared" si="41"/>
        <v>0.16</v>
      </c>
      <c r="GF69" s="235">
        <f t="shared" si="218"/>
        <v>0</v>
      </c>
      <c r="GG69" s="33">
        <f t="shared" si="42"/>
        <v>3.0400000000000005</v>
      </c>
      <c r="GH69" s="155">
        <f t="shared" si="192"/>
        <v>0</v>
      </c>
      <c r="GI69" s="145"/>
      <c r="GJ69" s="11">
        <f t="shared" si="43"/>
        <v>49</v>
      </c>
      <c r="GK69" s="60">
        <f t="shared" si="262"/>
        <v>0</v>
      </c>
      <c r="GL69" s="73">
        <f t="shared" si="193"/>
        <v>0</v>
      </c>
      <c r="GM69" s="61">
        <f t="shared" si="44"/>
        <v>712</v>
      </c>
      <c r="GN69" s="141"/>
      <c r="GO69" s="71">
        <f t="shared" si="281"/>
        <v>712</v>
      </c>
      <c r="GP69" s="18">
        <f t="shared" si="45"/>
        <v>79</v>
      </c>
      <c r="GQ69" s="141"/>
      <c r="GR69" s="71">
        <f t="shared" si="167"/>
        <v>79</v>
      </c>
      <c r="GT69" s="198">
        <v>10</v>
      </c>
      <c r="GU69" s="38">
        <v>9</v>
      </c>
      <c r="GV69" s="143"/>
      <c r="GW69" s="17">
        <f t="shared" si="438"/>
        <v>0</v>
      </c>
      <c r="GX69" s="71">
        <f t="shared" si="490"/>
        <v>0</v>
      </c>
      <c r="GY69" s="427"/>
      <c r="GZ69" s="428"/>
      <c r="HA69" s="428"/>
      <c r="HB69" s="17">
        <f t="shared" si="220"/>
        <v>0</v>
      </c>
      <c r="HC69" s="17">
        <f t="shared" si="195"/>
        <v>0</v>
      </c>
      <c r="HD69" s="17">
        <f t="shared" si="46"/>
        <v>0.16</v>
      </c>
      <c r="HE69" s="235">
        <f t="shared" si="221"/>
        <v>0</v>
      </c>
      <c r="HF69" s="33">
        <f t="shared" si="47"/>
        <v>3.0400000000000005</v>
      </c>
      <c r="HG69" s="155">
        <f t="shared" si="197"/>
        <v>0</v>
      </c>
      <c r="HH69" s="145"/>
      <c r="HI69" s="11">
        <f t="shared" si="48"/>
        <v>49</v>
      </c>
      <c r="HJ69" s="60">
        <f t="shared" si="263"/>
        <v>0</v>
      </c>
      <c r="HK69" s="73">
        <f t="shared" si="198"/>
        <v>0</v>
      </c>
      <c r="HL69" s="61">
        <f t="shared" si="49"/>
        <v>712</v>
      </c>
      <c r="HM69" s="141"/>
      <c r="HN69" s="71">
        <f t="shared" si="283"/>
        <v>712</v>
      </c>
      <c r="HO69" s="18">
        <f t="shared" si="50"/>
        <v>79</v>
      </c>
      <c r="HP69" s="141"/>
      <c r="HQ69" s="71">
        <f t="shared" si="168"/>
        <v>79</v>
      </c>
    </row>
    <row r="70" spans="1:225" ht="17.25" thickBot="1" x14ac:dyDescent="0.3">
      <c r="B70" s="120">
        <f>B69+1</f>
        <v>28</v>
      </c>
      <c r="C70" s="570">
        <f>C69</f>
        <v>9</v>
      </c>
      <c r="D70" s="133"/>
      <c r="E70" s="408">
        <f t="shared" si="223"/>
        <v>96103</v>
      </c>
      <c r="F70" s="562">
        <f t="shared" ref="F70:F133" si="555">IFERROR(E70-J70,0)</f>
        <v>96096</v>
      </c>
      <c r="G70" s="134"/>
      <c r="H70" s="135">
        <v>7</v>
      </c>
      <c r="I70" s="135"/>
      <c r="J70" s="14">
        <f t="shared" si="200"/>
        <v>7</v>
      </c>
      <c r="K70" s="14">
        <f t="shared" si="52"/>
        <v>5169</v>
      </c>
      <c r="L70" s="14">
        <f t="shared" ref="L70:L133" si="556">VLOOKUP($C70,LOHMANN,4,FALSE)</f>
        <v>0.16</v>
      </c>
      <c r="M70" s="230">
        <f t="shared" si="85"/>
        <v>7.2838517007793721E-3</v>
      </c>
      <c r="N70" s="35">
        <f t="shared" ref="N70:N133" si="557">VLOOKUP($C70,LOHMANN,5,FALSE)</f>
        <v>3.0400000000000005</v>
      </c>
      <c r="O70" s="132">
        <f t="shared" si="53"/>
        <v>3.8324942723895812</v>
      </c>
      <c r="P70" s="145">
        <v>4095</v>
      </c>
      <c r="Q70" s="14">
        <f t="shared" ref="Q70:Q133" si="558">VLOOKUP($C70,LOHMANN,6,FALSE)</f>
        <v>49</v>
      </c>
      <c r="R70" s="480">
        <f t="shared" ref="R70:R101" si="559">IFERROR((P70/E70)*1000,0)</f>
        <v>42.610532449559329</v>
      </c>
      <c r="S70" s="475">
        <f t="shared" si="201"/>
        <v>1636.6008665977915</v>
      </c>
      <c r="T70" s="51">
        <f t="shared" ref="T70:T133" si="560">VLOOKUP($C70,LOHMANN,2,FALSE)</f>
        <v>712</v>
      </c>
      <c r="U70" s="103">
        <f>U69</f>
        <v>614</v>
      </c>
      <c r="V70" s="46">
        <f t="shared" si="55"/>
        <v>98</v>
      </c>
      <c r="W70" s="50">
        <f t="shared" ref="W70:W101" si="561">VLOOKUP(C70,LOHMANN,3,FALSE)</f>
        <v>79</v>
      </c>
      <c r="X70" s="103">
        <f>X69</f>
        <v>66</v>
      </c>
      <c r="Y70" s="46">
        <f t="shared" si="56"/>
        <v>13</v>
      </c>
      <c r="Z70" s="487"/>
      <c r="AA70" s="120">
        <f>AA69+1</f>
        <v>28</v>
      </c>
      <c r="AB70" s="7">
        <f>AB69</f>
        <v>9</v>
      </c>
      <c r="AC70" s="133"/>
      <c r="AD70" s="48">
        <f t="shared" si="483"/>
        <v>86770</v>
      </c>
      <c r="AE70" s="447">
        <f t="shared" si="484"/>
        <v>86763</v>
      </c>
      <c r="AF70" s="134"/>
      <c r="AG70" s="135">
        <v>7</v>
      </c>
      <c r="AH70" s="135"/>
      <c r="AI70" s="14">
        <f t="shared" si="203"/>
        <v>7</v>
      </c>
      <c r="AJ70" s="14">
        <f t="shared" si="321"/>
        <v>6136</v>
      </c>
      <c r="AK70" s="14">
        <f t="shared" ref="AK70:AK133" si="562">VLOOKUP($C70,LOHMANN,4,FALSE)</f>
        <v>0.16</v>
      </c>
      <c r="AL70" s="230">
        <f t="shared" si="58"/>
        <v>8.0673043678690798E-3</v>
      </c>
      <c r="AM70" s="35">
        <f t="shared" ref="AM70:AM133" si="563">VLOOKUP($C70,LOHMANN,5,FALSE)</f>
        <v>3.0400000000000005</v>
      </c>
      <c r="AN70" s="157">
        <f t="shared" si="169"/>
        <v>4.0058494803363454</v>
      </c>
      <c r="AO70" s="145">
        <v>2730</v>
      </c>
      <c r="AP70" s="14">
        <f t="shared" ref="AP70:AP133" si="564">VLOOKUP($C70,LOHMANN,6,FALSE)</f>
        <v>49</v>
      </c>
      <c r="AQ70" s="480">
        <f t="shared" si="59"/>
        <v>31.46248703468941</v>
      </c>
      <c r="AR70" s="475">
        <f t="shared" si="323"/>
        <v>1591.094816013587</v>
      </c>
      <c r="AS70" s="51">
        <f t="shared" ref="AS70:AS133" si="565">VLOOKUP($C70,LOHMANN,2,FALSE)</f>
        <v>712</v>
      </c>
      <c r="AT70" s="103">
        <f>AT69</f>
        <v>679</v>
      </c>
      <c r="AU70" s="46">
        <f t="shared" si="271"/>
        <v>33</v>
      </c>
      <c r="AV70" s="50">
        <f t="shared" ref="AV70:AV133" si="566">VLOOKUP(AB70,LOHMANN,3,FALSE)</f>
        <v>79</v>
      </c>
      <c r="AW70" s="103">
        <f>AW69</f>
        <v>90</v>
      </c>
      <c r="AX70" s="46">
        <f t="shared" si="170"/>
        <v>-11</v>
      </c>
      <c r="AZ70" s="120">
        <f>AZ69+1</f>
        <v>28</v>
      </c>
      <c r="BA70" s="7">
        <f>BA69</f>
        <v>9</v>
      </c>
      <c r="BB70" s="133"/>
      <c r="BC70" s="48">
        <f t="shared" si="518"/>
        <v>92950</v>
      </c>
      <c r="BD70" s="447">
        <f t="shared" si="485"/>
        <v>92924</v>
      </c>
      <c r="BE70" s="134">
        <v>22</v>
      </c>
      <c r="BF70" s="135">
        <v>4</v>
      </c>
      <c r="BG70" s="135"/>
      <c r="BH70" s="14">
        <f t="shared" si="204"/>
        <v>26</v>
      </c>
      <c r="BI70" s="14">
        <f t="shared" si="294"/>
        <v>948</v>
      </c>
      <c r="BJ70" s="14">
        <f t="shared" ref="BJ70:BJ133" si="567">VLOOKUP($C70,LOHMANN,4,FALSE)</f>
        <v>0.16</v>
      </c>
      <c r="BK70" s="47">
        <f t="shared" si="92"/>
        <v>2.7972027972027972E-2</v>
      </c>
      <c r="BL70" s="35">
        <f t="shared" ref="BL70:BL133" si="568">VLOOKUP($C70,LOHMANN,5,FALSE)</f>
        <v>3.0400000000000005</v>
      </c>
      <c r="BM70" s="132">
        <f t="shared" si="326"/>
        <v>1.3277310924369747</v>
      </c>
      <c r="BN70" s="145">
        <v>4095</v>
      </c>
      <c r="BO70" s="14">
        <f t="shared" ref="BO70:BO133" si="569">VLOOKUP($C70,LOHMANN,6,FALSE)</f>
        <v>49</v>
      </c>
      <c r="BP70" s="442">
        <f t="shared" si="93"/>
        <v>44.055944055944053</v>
      </c>
      <c r="BQ70" s="751">
        <f t="shared" si="137"/>
        <v>1595.7447962244823</v>
      </c>
      <c r="BR70" s="51">
        <f t="shared" ref="BR70:BR133" si="570">VLOOKUP($C70,LOHMANN,2,FALSE)</f>
        <v>712</v>
      </c>
      <c r="BS70" s="103">
        <f>BS69</f>
        <v>680</v>
      </c>
      <c r="BT70" s="46">
        <f t="shared" si="272"/>
        <v>32</v>
      </c>
      <c r="BU70" s="50">
        <f t="shared" ref="BU70:BU133" si="571">VLOOKUP(BA70,LOHMANN,3,FALSE)</f>
        <v>79</v>
      </c>
      <c r="BV70" s="103">
        <f>BV69</f>
        <v>76</v>
      </c>
      <c r="BW70" s="46">
        <f t="shared" si="171"/>
        <v>3</v>
      </c>
      <c r="BY70" s="120">
        <f>BY69+1</f>
        <v>11</v>
      </c>
      <c r="BZ70" s="7">
        <f>BZ69</f>
        <v>9</v>
      </c>
      <c r="CA70" s="133"/>
      <c r="CB70" s="14">
        <f t="shared" si="172"/>
        <v>0</v>
      </c>
      <c r="CC70" s="62">
        <f t="shared" si="205"/>
        <v>0</v>
      </c>
      <c r="CD70" s="405"/>
      <c r="CE70" s="406"/>
      <c r="CF70" s="406"/>
      <c r="CG70" s="14">
        <f t="shared" si="206"/>
        <v>0</v>
      </c>
      <c r="CH70" s="14">
        <f t="shared" si="173"/>
        <v>0</v>
      </c>
      <c r="CI70" s="14">
        <f t="shared" ref="CI70:CI133" si="572">VLOOKUP($C70,LOHMANN,4,FALSE)</f>
        <v>0.16</v>
      </c>
      <c r="CJ70" s="47">
        <f t="shared" si="97"/>
        <v>0</v>
      </c>
      <c r="CK70" s="35">
        <f t="shared" ref="CK70:CK133" si="573">VLOOKUP($C70,LOHMANN,5,FALSE)</f>
        <v>3.0400000000000005</v>
      </c>
      <c r="CL70" s="157">
        <f t="shared" si="140"/>
        <v>0</v>
      </c>
      <c r="CM70" s="145"/>
      <c r="CN70" s="14">
        <f t="shared" ref="CN70:CN133" si="574">VLOOKUP($C70,LOHMANN,6,FALSE)</f>
        <v>49</v>
      </c>
      <c r="CO70" s="48">
        <f t="shared" si="141"/>
        <v>0</v>
      </c>
      <c r="CP70" s="73">
        <f t="shared" si="98"/>
        <v>0</v>
      </c>
      <c r="CQ70" s="51">
        <f t="shared" ref="CQ70:CQ133" si="575">VLOOKUP($C70,LOHMANN,2,FALSE)</f>
        <v>712</v>
      </c>
      <c r="CR70" s="103">
        <f>CR69</f>
        <v>0</v>
      </c>
      <c r="CS70" s="46">
        <f t="shared" si="273"/>
        <v>712</v>
      </c>
      <c r="CT70" s="51">
        <f t="shared" ref="CT70:CT133" si="576">VLOOKUP(BZ70,LOHMANN,3,FALSE)</f>
        <v>79</v>
      </c>
      <c r="CU70" s="103">
        <f>CU69</f>
        <v>0</v>
      </c>
      <c r="CV70" s="46">
        <f t="shared" si="67"/>
        <v>79</v>
      </c>
      <c r="CX70" s="120">
        <f>CX69+1</f>
        <v>11</v>
      </c>
      <c r="CY70" s="7">
        <f>CY69</f>
        <v>9</v>
      </c>
      <c r="CZ70" s="133"/>
      <c r="DA70" s="14">
        <f t="shared" si="434"/>
        <v>0</v>
      </c>
      <c r="DB70" s="62">
        <f t="shared" si="486"/>
        <v>0</v>
      </c>
      <c r="DC70" s="405"/>
      <c r="DD70" s="406"/>
      <c r="DE70" s="406"/>
      <c r="DF70" s="14">
        <f t="shared" si="208"/>
        <v>0</v>
      </c>
      <c r="DG70" s="14">
        <f t="shared" si="175"/>
        <v>0</v>
      </c>
      <c r="DH70" s="14">
        <f t="shared" ref="DH70:DH133" si="577">VLOOKUP($C70,LOHMANN,4,FALSE)</f>
        <v>0.16</v>
      </c>
      <c r="DI70" s="47">
        <f t="shared" si="209"/>
        <v>0</v>
      </c>
      <c r="DJ70" s="35">
        <f t="shared" ref="DJ70:DJ133" si="578">VLOOKUP($C70,LOHMANN,5,FALSE)</f>
        <v>3.0400000000000005</v>
      </c>
      <c r="DK70" s="157">
        <f t="shared" si="177"/>
        <v>0</v>
      </c>
      <c r="DL70" s="145"/>
      <c r="DM70" s="14">
        <f t="shared" ref="DM70:DM133" si="579">VLOOKUP($C70,LOHMANN,6,FALSE)</f>
        <v>49</v>
      </c>
      <c r="DN70" s="48">
        <f t="shared" si="259"/>
        <v>0</v>
      </c>
      <c r="DO70" s="73">
        <f t="shared" si="178"/>
        <v>0</v>
      </c>
      <c r="DP70" s="51">
        <f t="shared" ref="DP70:DP133" si="580">VLOOKUP($C70,LOHMANN,2,FALSE)</f>
        <v>712</v>
      </c>
      <c r="DQ70" s="103">
        <f>DQ69</f>
        <v>0</v>
      </c>
      <c r="DR70" s="46">
        <f t="shared" si="275"/>
        <v>712</v>
      </c>
      <c r="DS70" s="51">
        <f t="shared" ref="DS70:DS133" si="581">VLOOKUP(CY70,LOHMANN,3,FALSE)</f>
        <v>79</v>
      </c>
      <c r="DT70" s="103">
        <f>DT69</f>
        <v>0</v>
      </c>
      <c r="DU70" s="46">
        <f t="shared" si="164"/>
        <v>79</v>
      </c>
      <c r="DW70" s="120">
        <f>DW69+1</f>
        <v>11</v>
      </c>
      <c r="DX70" s="7">
        <f>DX69</f>
        <v>9</v>
      </c>
      <c r="DY70" s="133"/>
      <c r="DZ70" s="14">
        <f t="shared" si="435"/>
        <v>0</v>
      </c>
      <c r="EA70" s="62">
        <f t="shared" si="487"/>
        <v>0</v>
      </c>
      <c r="EB70" s="405"/>
      <c r="EC70" s="406"/>
      <c r="ED70" s="406"/>
      <c r="EE70" s="14">
        <f t="shared" si="211"/>
        <v>0</v>
      </c>
      <c r="EF70" s="14">
        <f t="shared" si="180"/>
        <v>0</v>
      </c>
      <c r="EG70" s="14">
        <f t="shared" ref="EG70:EG133" si="582">VLOOKUP($C70,LOHMANN,4,FALSE)</f>
        <v>0.16</v>
      </c>
      <c r="EH70" s="47">
        <f t="shared" si="212"/>
        <v>0</v>
      </c>
      <c r="EI70" s="35">
        <f t="shared" ref="EI70:EI133" si="583">VLOOKUP($C70,LOHMANN,5,FALSE)</f>
        <v>3.0400000000000005</v>
      </c>
      <c r="EJ70" s="157">
        <f t="shared" si="182"/>
        <v>0</v>
      </c>
      <c r="EK70" s="145"/>
      <c r="EL70" s="14">
        <f t="shared" ref="EL70:EL133" si="584">VLOOKUP($C70,LOHMANN,6,FALSE)</f>
        <v>49</v>
      </c>
      <c r="EM70" s="48">
        <f t="shared" si="260"/>
        <v>0</v>
      </c>
      <c r="EN70" s="73">
        <f t="shared" si="183"/>
        <v>0</v>
      </c>
      <c r="EO70" s="51">
        <f t="shared" ref="EO70:EO133" si="585">VLOOKUP($C70,LOHMANN,2,FALSE)</f>
        <v>712</v>
      </c>
      <c r="EP70" s="103">
        <f>EP69</f>
        <v>0</v>
      </c>
      <c r="EQ70" s="46">
        <f t="shared" si="277"/>
        <v>712</v>
      </c>
      <c r="ER70" s="51">
        <f t="shared" ref="ER70:ER133" si="586">VLOOKUP(DX70,LOHMANN,3,FALSE)</f>
        <v>79</v>
      </c>
      <c r="ES70" s="103">
        <f>ES69</f>
        <v>0</v>
      </c>
      <c r="ET70" s="46">
        <f t="shared" si="165"/>
        <v>79</v>
      </c>
      <c r="EV70" s="120">
        <f>EV69+1</f>
        <v>11</v>
      </c>
      <c r="EW70" s="7">
        <f>EW69</f>
        <v>9</v>
      </c>
      <c r="EX70" s="133"/>
      <c r="EY70" s="14">
        <f t="shared" si="436"/>
        <v>0</v>
      </c>
      <c r="EZ70" s="62">
        <f t="shared" si="488"/>
        <v>0</v>
      </c>
      <c r="FA70" s="405"/>
      <c r="FB70" s="406"/>
      <c r="FC70" s="406"/>
      <c r="FD70" s="14">
        <f t="shared" si="214"/>
        <v>0</v>
      </c>
      <c r="FE70" s="14">
        <f t="shared" si="185"/>
        <v>0</v>
      </c>
      <c r="FF70" s="14">
        <f t="shared" ref="FF70:FF133" si="587">VLOOKUP($C70,LOHMANN,4,FALSE)</f>
        <v>0.16</v>
      </c>
      <c r="FG70" s="47">
        <f t="shared" si="215"/>
        <v>0</v>
      </c>
      <c r="FH70" s="35">
        <f t="shared" ref="FH70:FH133" si="588">VLOOKUP($C70,LOHMANN,5,FALSE)</f>
        <v>3.0400000000000005</v>
      </c>
      <c r="FI70" s="157">
        <f t="shared" si="187"/>
        <v>0</v>
      </c>
      <c r="FJ70" s="145"/>
      <c r="FK70" s="14">
        <f t="shared" ref="FK70:FK133" si="589">VLOOKUP($C70,LOHMANN,6,FALSE)</f>
        <v>49</v>
      </c>
      <c r="FL70" s="48">
        <f t="shared" si="261"/>
        <v>0</v>
      </c>
      <c r="FM70" s="73">
        <f t="shared" si="188"/>
        <v>0</v>
      </c>
      <c r="FN70" s="51">
        <f t="shared" ref="FN70:FN133" si="590">VLOOKUP($C70,LOHMANN,2,FALSE)</f>
        <v>712</v>
      </c>
      <c r="FO70" s="103">
        <f>FO69</f>
        <v>0</v>
      </c>
      <c r="FP70" s="46">
        <f t="shared" si="279"/>
        <v>712</v>
      </c>
      <c r="FQ70" s="51">
        <f t="shared" ref="FQ70:FQ133" si="591">VLOOKUP(EW70,LOHMANN,3,FALSE)</f>
        <v>79</v>
      </c>
      <c r="FR70" s="103">
        <f>FR69</f>
        <v>0</v>
      </c>
      <c r="FS70" s="46">
        <f t="shared" si="166"/>
        <v>79</v>
      </c>
      <c r="FU70" s="120">
        <f>FU69+1</f>
        <v>11</v>
      </c>
      <c r="FV70" s="7">
        <f>FV69</f>
        <v>9</v>
      </c>
      <c r="FW70" s="133"/>
      <c r="FX70" s="14">
        <f t="shared" si="437"/>
        <v>0</v>
      </c>
      <c r="FY70" s="62">
        <f t="shared" si="489"/>
        <v>0</v>
      </c>
      <c r="FZ70" s="405"/>
      <c r="GA70" s="406"/>
      <c r="GB70" s="406"/>
      <c r="GC70" s="14">
        <f t="shared" si="217"/>
        <v>0</v>
      </c>
      <c r="GD70" s="14">
        <f t="shared" si="190"/>
        <v>0</v>
      </c>
      <c r="GE70" s="14">
        <f t="shared" ref="GE70:GE133" si="592">VLOOKUP($C70,LOHMANN,4,FALSE)</f>
        <v>0.16</v>
      </c>
      <c r="GF70" s="47">
        <f t="shared" si="218"/>
        <v>0</v>
      </c>
      <c r="GG70" s="35">
        <f t="shared" ref="GG70:GG133" si="593">VLOOKUP($C70,LOHMANN,5,FALSE)</f>
        <v>3.0400000000000005</v>
      </c>
      <c r="GH70" s="157">
        <f t="shared" si="192"/>
        <v>0</v>
      </c>
      <c r="GI70" s="145"/>
      <c r="GJ70" s="14">
        <f t="shared" ref="GJ70:GJ133" si="594">VLOOKUP($C70,LOHMANN,6,FALSE)</f>
        <v>49</v>
      </c>
      <c r="GK70" s="48">
        <f t="shared" si="262"/>
        <v>0</v>
      </c>
      <c r="GL70" s="73">
        <f t="shared" si="193"/>
        <v>0</v>
      </c>
      <c r="GM70" s="51">
        <f t="shared" ref="GM70:GM133" si="595">VLOOKUP($C70,LOHMANN,2,FALSE)</f>
        <v>712</v>
      </c>
      <c r="GN70" s="103">
        <f>GN69</f>
        <v>0</v>
      </c>
      <c r="GO70" s="46">
        <f t="shared" si="281"/>
        <v>712</v>
      </c>
      <c r="GP70" s="51">
        <f t="shared" ref="GP70:GP133" si="596">VLOOKUP(FV70,LOHMANN,3,FALSE)</f>
        <v>79</v>
      </c>
      <c r="GQ70" s="103">
        <f>GQ69</f>
        <v>0</v>
      </c>
      <c r="GR70" s="46">
        <f t="shared" si="167"/>
        <v>79</v>
      </c>
      <c r="GT70" s="120">
        <f>GT69+1</f>
        <v>11</v>
      </c>
      <c r="GU70" s="7">
        <f>GU69</f>
        <v>9</v>
      </c>
      <c r="GV70" s="133"/>
      <c r="GW70" s="14">
        <f t="shared" si="438"/>
        <v>0</v>
      </c>
      <c r="GX70" s="62">
        <f t="shared" si="490"/>
        <v>0</v>
      </c>
      <c r="GY70" s="405"/>
      <c r="GZ70" s="406"/>
      <c r="HA70" s="406"/>
      <c r="HB70" s="14">
        <f t="shared" si="220"/>
        <v>0</v>
      </c>
      <c r="HC70" s="14">
        <f t="shared" si="195"/>
        <v>0</v>
      </c>
      <c r="HD70" s="14">
        <f t="shared" ref="HD70:HD133" si="597">VLOOKUP($C70,LOHMANN,4,FALSE)</f>
        <v>0.16</v>
      </c>
      <c r="HE70" s="47">
        <f t="shared" si="221"/>
        <v>0</v>
      </c>
      <c r="HF70" s="35">
        <f t="shared" ref="HF70:HF133" si="598">VLOOKUP($C70,LOHMANN,5,FALSE)</f>
        <v>3.0400000000000005</v>
      </c>
      <c r="HG70" s="157">
        <f t="shared" si="197"/>
        <v>0</v>
      </c>
      <c r="HH70" s="145"/>
      <c r="HI70" s="14">
        <f t="shared" ref="HI70:HI133" si="599">VLOOKUP($C70,LOHMANN,6,FALSE)</f>
        <v>49</v>
      </c>
      <c r="HJ70" s="48">
        <f t="shared" si="263"/>
        <v>0</v>
      </c>
      <c r="HK70" s="73">
        <f t="shared" si="198"/>
        <v>0</v>
      </c>
      <c r="HL70" s="51">
        <f t="shared" ref="HL70:HL133" si="600">VLOOKUP($C70,LOHMANN,2,FALSE)</f>
        <v>712</v>
      </c>
      <c r="HM70" s="103">
        <f>HM69</f>
        <v>0</v>
      </c>
      <c r="HN70" s="46">
        <f t="shared" si="283"/>
        <v>712</v>
      </c>
      <c r="HO70" s="51">
        <f t="shared" ref="HO70:HO133" si="601">VLOOKUP(GU70,LOHMANN,3,FALSE)</f>
        <v>79</v>
      </c>
      <c r="HP70" s="103">
        <f>HP69</f>
        <v>0</v>
      </c>
      <c r="HQ70" s="46">
        <f t="shared" si="168"/>
        <v>79</v>
      </c>
    </row>
    <row r="71" spans="1:225" ht="17.25" thickBot="1" x14ac:dyDescent="0.3">
      <c r="B71" s="120">
        <f t="shared" ref="B71:B75" si="602">B70+1</f>
        <v>29</v>
      </c>
      <c r="C71" s="570">
        <f t="shared" ref="C71:C75" si="603">C70</f>
        <v>9</v>
      </c>
      <c r="D71" s="133"/>
      <c r="E71" s="408">
        <f t="shared" si="223"/>
        <v>96096</v>
      </c>
      <c r="F71" s="562">
        <f t="shared" si="555"/>
        <v>96095</v>
      </c>
      <c r="G71" s="134"/>
      <c r="H71" s="135">
        <v>1</v>
      </c>
      <c r="I71" s="135"/>
      <c r="J71" s="14">
        <f t="shared" si="200"/>
        <v>1</v>
      </c>
      <c r="K71" s="14">
        <f t="shared" ref="K71:K134" si="604">K70+J71</f>
        <v>5170</v>
      </c>
      <c r="L71" s="14">
        <f t="shared" si="556"/>
        <v>0.16</v>
      </c>
      <c r="M71" s="230">
        <f t="shared" ref="M71:M134" si="605">IFERROR((J71*100)/E71,0)</f>
        <v>1.0406260406260407E-3</v>
      </c>
      <c r="N71" s="35">
        <f t="shared" si="557"/>
        <v>3.0400000000000005</v>
      </c>
      <c r="O71" s="132">
        <f t="shared" ref="O71:O134" si="606">IFERROR((K71*100)/$D$12,0)</f>
        <v>3.8332357106314832</v>
      </c>
      <c r="P71" s="142"/>
      <c r="Q71" s="14">
        <f t="shared" si="558"/>
        <v>49</v>
      </c>
      <c r="R71" s="482">
        <f t="shared" si="559"/>
        <v>0</v>
      </c>
      <c r="S71" s="470">
        <f t="shared" si="201"/>
        <v>1636.6008665977915</v>
      </c>
      <c r="T71" s="51">
        <f t="shared" si="560"/>
        <v>712</v>
      </c>
      <c r="U71" s="103">
        <f t="shared" ref="U71:U75" si="607">U70</f>
        <v>614</v>
      </c>
      <c r="V71" s="46">
        <f t="shared" ref="V71:V134" si="608">T71-U71</f>
        <v>98</v>
      </c>
      <c r="W71" s="51">
        <f t="shared" si="561"/>
        <v>79</v>
      </c>
      <c r="X71" s="103">
        <f t="shared" ref="X71:X75" si="609">X70</f>
        <v>66</v>
      </c>
      <c r="Y71" s="46">
        <f t="shared" ref="Y71:Y134" si="610">W71-X71</f>
        <v>13</v>
      </c>
      <c r="Z71" s="487"/>
      <c r="AA71" s="120">
        <f t="shared" ref="AA71:AA75" si="611">AA70+1</f>
        <v>29</v>
      </c>
      <c r="AB71" s="7">
        <f t="shared" ref="AB71:AB75" si="612">AB70</f>
        <v>9</v>
      </c>
      <c r="AC71" s="133"/>
      <c r="AD71" s="48">
        <f t="shared" si="483"/>
        <v>86763</v>
      </c>
      <c r="AE71" s="196">
        <f t="shared" si="484"/>
        <v>86756</v>
      </c>
      <c r="AF71" s="134"/>
      <c r="AG71" s="135">
        <v>7</v>
      </c>
      <c r="AH71" s="135"/>
      <c r="AI71" s="14">
        <f t="shared" si="203"/>
        <v>7</v>
      </c>
      <c r="AJ71" s="14">
        <f t="shared" si="321"/>
        <v>6143</v>
      </c>
      <c r="AK71" s="14">
        <f t="shared" si="562"/>
        <v>0.16</v>
      </c>
      <c r="AL71" s="230">
        <f t="shared" ref="AL71:AL134" si="613">IFERROR((AI71*100)/AD71,0)</f>
        <v>8.0679552343740999E-3</v>
      </c>
      <c r="AM71" s="35">
        <f t="shared" si="563"/>
        <v>3.0400000000000005</v>
      </c>
      <c r="AN71" s="157">
        <f t="shared" si="169"/>
        <v>4.0104193868491151</v>
      </c>
      <c r="AO71" s="134">
        <v>4368</v>
      </c>
      <c r="AP71" s="14">
        <f t="shared" si="564"/>
        <v>49</v>
      </c>
      <c r="AQ71" s="482">
        <f t="shared" ref="AQ71:AQ134" si="614">IFERROR((AO71/AD71)*1000,0)</f>
        <v>50.344040662494379</v>
      </c>
      <c r="AR71" s="470">
        <f t="shared" si="323"/>
        <v>1641.4388566760813</v>
      </c>
      <c r="AS71" s="51">
        <f t="shared" si="565"/>
        <v>712</v>
      </c>
      <c r="AT71" s="103">
        <f t="shared" ref="AT71:AT75" si="615">AT70</f>
        <v>679</v>
      </c>
      <c r="AU71" s="46">
        <f t="shared" si="271"/>
        <v>33</v>
      </c>
      <c r="AV71" s="51">
        <f t="shared" si="566"/>
        <v>79</v>
      </c>
      <c r="AW71" s="103">
        <f t="shared" ref="AW71:AW75" si="616">AW70</f>
        <v>90</v>
      </c>
      <c r="AX71" s="46">
        <f t="shared" si="170"/>
        <v>-11</v>
      </c>
      <c r="AZ71" s="120">
        <f t="shared" ref="AZ71:AZ75" si="617">AZ70+1</f>
        <v>29</v>
      </c>
      <c r="BA71" s="7">
        <f t="shared" ref="BA71:BA75" si="618">BA70</f>
        <v>9</v>
      </c>
      <c r="BB71" s="133"/>
      <c r="BC71" s="48">
        <f t="shared" si="518"/>
        <v>92924</v>
      </c>
      <c r="BD71" s="196">
        <f t="shared" si="485"/>
        <v>92907</v>
      </c>
      <c r="BE71" s="134"/>
      <c r="BF71" s="135">
        <v>17</v>
      </c>
      <c r="BG71" s="135"/>
      <c r="BH71" s="14">
        <f t="shared" si="204"/>
        <v>17</v>
      </c>
      <c r="BI71" s="14">
        <f t="shared" si="294"/>
        <v>965</v>
      </c>
      <c r="BJ71" s="14">
        <f t="shared" si="567"/>
        <v>0.16</v>
      </c>
      <c r="BK71" s="47">
        <f t="shared" si="92"/>
        <v>1.8294520253110069E-2</v>
      </c>
      <c r="BL71" s="35">
        <f t="shared" si="568"/>
        <v>3.0400000000000005</v>
      </c>
      <c r="BM71" s="132">
        <f t="shared" si="326"/>
        <v>1.3515406162464987</v>
      </c>
      <c r="BN71" s="134">
        <v>2730</v>
      </c>
      <c r="BO71" s="14">
        <f t="shared" si="569"/>
        <v>49</v>
      </c>
      <c r="BP71" s="442">
        <f t="shared" si="93"/>
        <v>29.378847229994406</v>
      </c>
      <c r="BQ71" s="747">
        <f t="shared" si="137"/>
        <v>1625.1236434544767</v>
      </c>
      <c r="BR71" s="51">
        <f t="shared" si="570"/>
        <v>712</v>
      </c>
      <c r="BS71" s="103">
        <f t="shared" ref="BS71:BS75" si="619">BS70</f>
        <v>680</v>
      </c>
      <c r="BT71" s="46">
        <f t="shared" si="272"/>
        <v>32</v>
      </c>
      <c r="BU71" s="51">
        <f t="shared" si="571"/>
        <v>79</v>
      </c>
      <c r="BV71" s="103">
        <f t="shared" ref="BV71:BV75" si="620">BV70</f>
        <v>76</v>
      </c>
      <c r="BW71" s="46">
        <f t="shared" si="171"/>
        <v>3</v>
      </c>
      <c r="BY71" s="120">
        <f t="shared" ref="BY71:BY75" si="621">BY70+1</f>
        <v>12</v>
      </c>
      <c r="BZ71" s="7">
        <f t="shared" ref="BZ71:BZ75" si="622">BZ70</f>
        <v>9</v>
      </c>
      <c r="CA71" s="133"/>
      <c r="CB71" s="14">
        <f t="shared" si="172"/>
        <v>0</v>
      </c>
      <c r="CC71" s="59">
        <f t="shared" si="205"/>
        <v>0</v>
      </c>
      <c r="CD71" s="405"/>
      <c r="CE71" s="406"/>
      <c r="CF71" s="406"/>
      <c r="CG71" s="14">
        <f t="shared" si="206"/>
        <v>0</v>
      </c>
      <c r="CH71" s="14">
        <f t="shared" si="173"/>
        <v>0</v>
      </c>
      <c r="CI71" s="14">
        <f t="shared" si="572"/>
        <v>0.16</v>
      </c>
      <c r="CJ71" s="47">
        <f t="shared" si="97"/>
        <v>0</v>
      </c>
      <c r="CK71" s="35">
        <f t="shared" si="573"/>
        <v>3.0400000000000005</v>
      </c>
      <c r="CL71" s="157">
        <f t="shared" si="140"/>
        <v>0</v>
      </c>
      <c r="CM71" s="134"/>
      <c r="CN71" s="14">
        <f t="shared" si="574"/>
        <v>49</v>
      </c>
      <c r="CO71" s="48">
        <f t="shared" si="141"/>
        <v>0</v>
      </c>
      <c r="CP71" s="68">
        <f t="shared" si="98"/>
        <v>0</v>
      </c>
      <c r="CQ71" s="51">
        <f t="shared" si="575"/>
        <v>712</v>
      </c>
      <c r="CR71" s="103">
        <f t="shared" ref="CR71:CR75" si="623">CR70</f>
        <v>0</v>
      </c>
      <c r="CS71" s="46">
        <f t="shared" si="273"/>
        <v>712</v>
      </c>
      <c r="CT71" s="12">
        <f t="shared" si="576"/>
        <v>79</v>
      </c>
      <c r="CU71" s="103">
        <f t="shared" ref="CU71:CU75" si="624">CU70</f>
        <v>0</v>
      </c>
      <c r="CV71" s="46">
        <f t="shared" ref="CV71:CV134" si="625">CT71-CU71</f>
        <v>79</v>
      </c>
      <c r="CX71" s="120">
        <f t="shared" ref="CX71:CX75" si="626">CX70+1</f>
        <v>12</v>
      </c>
      <c r="CY71" s="7">
        <f t="shared" ref="CY71:CY75" si="627">CY70</f>
        <v>9</v>
      </c>
      <c r="CZ71" s="133"/>
      <c r="DA71" s="14">
        <f t="shared" si="434"/>
        <v>0</v>
      </c>
      <c r="DB71" s="59">
        <f t="shared" si="486"/>
        <v>0</v>
      </c>
      <c r="DC71" s="405"/>
      <c r="DD71" s="406"/>
      <c r="DE71" s="406"/>
      <c r="DF71" s="14">
        <f t="shared" si="208"/>
        <v>0</v>
      </c>
      <c r="DG71" s="14">
        <f t="shared" si="175"/>
        <v>0</v>
      </c>
      <c r="DH71" s="14">
        <f t="shared" si="577"/>
        <v>0.16</v>
      </c>
      <c r="DI71" s="47">
        <f t="shared" si="209"/>
        <v>0</v>
      </c>
      <c r="DJ71" s="35">
        <f t="shared" si="578"/>
        <v>3.0400000000000005</v>
      </c>
      <c r="DK71" s="157">
        <f t="shared" si="177"/>
        <v>0</v>
      </c>
      <c r="DL71" s="134"/>
      <c r="DM71" s="14">
        <f t="shared" si="579"/>
        <v>49</v>
      </c>
      <c r="DN71" s="48">
        <f t="shared" si="259"/>
        <v>0</v>
      </c>
      <c r="DO71" s="68">
        <f t="shared" si="178"/>
        <v>0</v>
      </c>
      <c r="DP71" s="51">
        <f t="shared" si="580"/>
        <v>712</v>
      </c>
      <c r="DQ71" s="103">
        <f t="shared" ref="DQ71:DQ75" si="628">DQ70</f>
        <v>0</v>
      </c>
      <c r="DR71" s="46">
        <f t="shared" si="275"/>
        <v>712</v>
      </c>
      <c r="DS71" s="12">
        <f t="shared" si="581"/>
        <v>79</v>
      </c>
      <c r="DT71" s="103">
        <f t="shared" ref="DT71:DT75" si="629">DT70</f>
        <v>0</v>
      </c>
      <c r="DU71" s="46">
        <f t="shared" si="164"/>
        <v>79</v>
      </c>
      <c r="DW71" s="120">
        <f t="shared" ref="DW71:DW75" si="630">DW70+1</f>
        <v>12</v>
      </c>
      <c r="DX71" s="7">
        <f t="shared" ref="DX71:DX75" si="631">DX70</f>
        <v>9</v>
      </c>
      <c r="DY71" s="133"/>
      <c r="DZ71" s="14">
        <f t="shared" si="435"/>
        <v>0</v>
      </c>
      <c r="EA71" s="59">
        <f t="shared" si="487"/>
        <v>0</v>
      </c>
      <c r="EB71" s="405"/>
      <c r="EC71" s="406"/>
      <c r="ED71" s="406"/>
      <c r="EE71" s="14">
        <f t="shared" si="211"/>
        <v>0</v>
      </c>
      <c r="EF71" s="14">
        <f t="shared" si="180"/>
        <v>0</v>
      </c>
      <c r="EG71" s="14">
        <f t="shared" si="582"/>
        <v>0.16</v>
      </c>
      <c r="EH71" s="47">
        <f t="shared" si="212"/>
        <v>0</v>
      </c>
      <c r="EI71" s="35">
        <f t="shared" si="583"/>
        <v>3.0400000000000005</v>
      </c>
      <c r="EJ71" s="157">
        <f t="shared" si="182"/>
        <v>0</v>
      </c>
      <c r="EK71" s="134"/>
      <c r="EL71" s="14">
        <f t="shared" si="584"/>
        <v>49</v>
      </c>
      <c r="EM71" s="48">
        <f t="shared" si="260"/>
        <v>0</v>
      </c>
      <c r="EN71" s="68">
        <f t="shared" si="183"/>
        <v>0</v>
      </c>
      <c r="EO71" s="51">
        <f t="shared" si="585"/>
        <v>712</v>
      </c>
      <c r="EP71" s="103">
        <f t="shared" ref="EP71:EP75" si="632">EP70</f>
        <v>0</v>
      </c>
      <c r="EQ71" s="46">
        <f t="shared" si="277"/>
        <v>712</v>
      </c>
      <c r="ER71" s="12">
        <f t="shared" si="586"/>
        <v>79</v>
      </c>
      <c r="ES71" s="103">
        <f t="shared" ref="ES71:ES75" si="633">ES70</f>
        <v>0</v>
      </c>
      <c r="ET71" s="46">
        <f t="shared" si="165"/>
        <v>79</v>
      </c>
      <c r="EV71" s="120">
        <f t="shared" ref="EV71:EV75" si="634">EV70+1</f>
        <v>12</v>
      </c>
      <c r="EW71" s="7">
        <f t="shared" ref="EW71:EW75" si="635">EW70</f>
        <v>9</v>
      </c>
      <c r="EX71" s="133"/>
      <c r="EY71" s="14">
        <f t="shared" si="436"/>
        <v>0</v>
      </c>
      <c r="EZ71" s="59">
        <f t="shared" si="488"/>
        <v>0</v>
      </c>
      <c r="FA71" s="405"/>
      <c r="FB71" s="406"/>
      <c r="FC71" s="406"/>
      <c r="FD71" s="14">
        <f t="shared" si="214"/>
        <v>0</v>
      </c>
      <c r="FE71" s="14">
        <f t="shared" si="185"/>
        <v>0</v>
      </c>
      <c r="FF71" s="14">
        <f t="shared" si="587"/>
        <v>0.16</v>
      </c>
      <c r="FG71" s="47">
        <f t="shared" si="215"/>
        <v>0</v>
      </c>
      <c r="FH71" s="35">
        <f t="shared" si="588"/>
        <v>3.0400000000000005</v>
      </c>
      <c r="FI71" s="157">
        <f t="shared" si="187"/>
        <v>0</v>
      </c>
      <c r="FJ71" s="134"/>
      <c r="FK71" s="14">
        <f t="shared" si="589"/>
        <v>49</v>
      </c>
      <c r="FL71" s="48">
        <f t="shared" si="261"/>
        <v>0</v>
      </c>
      <c r="FM71" s="68">
        <f t="shared" si="188"/>
        <v>0</v>
      </c>
      <c r="FN71" s="51">
        <f t="shared" si="590"/>
        <v>712</v>
      </c>
      <c r="FO71" s="103">
        <f t="shared" ref="FO71:FO75" si="636">FO70</f>
        <v>0</v>
      </c>
      <c r="FP71" s="46">
        <f t="shared" si="279"/>
        <v>712</v>
      </c>
      <c r="FQ71" s="12">
        <f t="shared" si="591"/>
        <v>79</v>
      </c>
      <c r="FR71" s="103">
        <f t="shared" ref="FR71:FR75" si="637">FR70</f>
        <v>0</v>
      </c>
      <c r="FS71" s="46">
        <f t="shared" si="166"/>
        <v>79</v>
      </c>
      <c r="FU71" s="120">
        <f t="shared" ref="FU71:FU75" si="638">FU70+1</f>
        <v>12</v>
      </c>
      <c r="FV71" s="7">
        <f t="shared" ref="FV71:FV75" si="639">FV70</f>
        <v>9</v>
      </c>
      <c r="FW71" s="133"/>
      <c r="FX71" s="14">
        <f t="shared" si="437"/>
        <v>0</v>
      </c>
      <c r="FY71" s="59">
        <f t="shared" si="489"/>
        <v>0</v>
      </c>
      <c r="FZ71" s="405"/>
      <c r="GA71" s="406"/>
      <c r="GB71" s="406"/>
      <c r="GC71" s="14">
        <f t="shared" si="217"/>
        <v>0</v>
      </c>
      <c r="GD71" s="14">
        <f t="shared" si="190"/>
        <v>0</v>
      </c>
      <c r="GE71" s="14">
        <f t="shared" si="592"/>
        <v>0.16</v>
      </c>
      <c r="GF71" s="47">
        <f t="shared" si="218"/>
        <v>0</v>
      </c>
      <c r="GG71" s="35">
        <f t="shared" si="593"/>
        <v>3.0400000000000005</v>
      </c>
      <c r="GH71" s="157">
        <f t="shared" si="192"/>
        <v>0</v>
      </c>
      <c r="GI71" s="134"/>
      <c r="GJ71" s="14">
        <f t="shared" si="594"/>
        <v>49</v>
      </c>
      <c r="GK71" s="48">
        <f t="shared" si="262"/>
        <v>0</v>
      </c>
      <c r="GL71" s="68">
        <f t="shared" si="193"/>
        <v>0</v>
      </c>
      <c r="GM71" s="51">
        <f t="shared" si="595"/>
        <v>712</v>
      </c>
      <c r="GN71" s="103">
        <f t="shared" ref="GN71:GN75" si="640">GN70</f>
        <v>0</v>
      </c>
      <c r="GO71" s="46">
        <f t="shared" si="281"/>
        <v>712</v>
      </c>
      <c r="GP71" s="12">
        <f t="shared" si="596"/>
        <v>79</v>
      </c>
      <c r="GQ71" s="103">
        <f t="shared" ref="GQ71:GQ75" si="641">GQ70</f>
        <v>0</v>
      </c>
      <c r="GR71" s="46">
        <f t="shared" si="167"/>
        <v>79</v>
      </c>
      <c r="GT71" s="120">
        <f t="shared" ref="GT71:GT75" si="642">GT70+1</f>
        <v>12</v>
      </c>
      <c r="GU71" s="7">
        <f t="shared" ref="GU71:GU75" si="643">GU70</f>
        <v>9</v>
      </c>
      <c r="GV71" s="133"/>
      <c r="GW71" s="14">
        <f t="shared" si="438"/>
        <v>0</v>
      </c>
      <c r="GX71" s="59">
        <f t="shared" si="490"/>
        <v>0</v>
      </c>
      <c r="GY71" s="405"/>
      <c r="GZ71" s="406"/>
      <c r="HA71" s="406"/>
      <c r="HB71" s="14">
        <f t="shared" si="220"/>
        <v>0</v>
      </c>
      <c r="HC71" s="14">
        <f t="shared" si="195"/>
        <v>0</v>
      </c>
      <c r="HD71" s="14">
        <f t="shared" si="597"/>
        <v>0.16</v>
      </c>
      <c r="HE71" s="47">
        <f t="shared" si="221"/>
        <v>0</v>
      </c>
      <c r="HF71" s="35">
        <f t="shared" si="598"/>
        <v>3.0400000000000005</v>
      </c>
      <c r="HG71" s="157">
        <f t="shared" si="197"/>
        <v>0</v>
      </c>
      <c r="HH71" s="134"/>
      <c r="HI71" s="14">
        <f t="shared" si="599"/>
        <v>49</v>
      </c>
      <c r="HJ71" s="48">
        <f t="shared" si="263"/>
        <v>0</v>
      </c>
      <c r="HK71" s="68">
        <f t="shared" si="198"/>
        <v>0</v>
      </c>
      <c r="HL71" s="51">
        <f t="shared" si="600"/>
        <v>712</v>
      </c>
      <c r="HM71" s="103">
        <f t="shared" ref="HM71:HM75" si="644">HM70</f>
        <v>0</v>
      </c>
      <c r="HN71" s="46">
        <f t="shared" si="283"/>
        <v>712</v>
      </c>
      <c r="HO71" s="12">
        <f t="shared" si="601"/>
        <v>79</v>
      </c>
      <c r="HP71" s="103">
        <f t="shared" ref="HP71:HP75" si="645">HP70</f>
        <v>0</v>
      </c>
      <c r="HQ71" s="46">
        <f t="shared" si="168"/>
        <v>79</v>
      </c>
    </row>
    <row r="72" spans="1:225" ht="17.25" thickBot="1" x14ac:dyDescent="0.3">
      <c r="B72" s="120">
        <f t="shared" si="602"/>
        <v>30</v>
      </c>
      <c r="C72" s="570">
        <f t="shared" si="603"/>
        <v>9</v>
      </c>
      <c r="D72" s="133"/>
      <c r="E72" s="408">
        <f t="shared" si="223"/>
        <v>96095</v>
      </c>
      <c r="F72" s="562">
        <f t="shared" si="555"/>
        <v>96088</v>
      </c>
      <c r="G72" s="134"/>
      <c r="H72" s="135">
        <v>7</v>
      </c>
      <c r="I72" s="135"/>
      <c r="J72" s="14">
        <f t="shared" si="200"/>
        <v>7</v>
      </c>
      <c r="K72" s="14">
        <f t="shared" si="604"/>
        <v>5177</v>
      </c>
      <c r="L72" s="14">
        <f t="shared" si="556"/>
        <v>0.16</v>
      </c>
      <c r="M72" s="230">
        <f t="shared" si="605"/>
        <v>7.28445808835007E-3</v>
      </c>
      <c r="N72" s="35">
        <f t="shared" si="557"/>
        <v>3.0400000000000005</v>
      </c>
      <c r="O72" s="132">
        <f t="shared" si="606"/>
        <v>3.8384257783247944</v>
      </c>
      <c r="P72" s="142"/>
      <c r="Q72" s="14">
        <f t="shared" si="558"/>
        <v>49</v>
      </c>
      <c r="R72" s="442">
        <f t="shared" si="559"/>
        <v>0</v>
      </c>
      <c r="S72" s="470">
        <f t="shared" si="201"/>
        <v>1636.6008665977915</v>
      </c>
      <c r="T72" s="51">
        <f t="shared" si="560"/>
        <v>712</v>
      </c>
      <c r="U72" s="103">
        <f t="shared" si="607"/>
        <v>614</v>
      </c>
      <c r="V72" s="46">
        <f t="shared" si="608"/>
        <v>98</v>
      </c>
      <c r="W72" s="51">
        <f t="shared" si="561"/>
        <v>79</v>
      </c>
      <c r="X72" s="103">
        <f t="shared" si="609"/>
        <v>66</v>
      </c>
      <c r="Y72" s="46">
        <f t="shared" si="610"/>
        <v>13</v>
      </c>
      <c r="Z72" s="487"/>
      <c r="AA72" s="120">
        <f t="shared" si="611"/>
        <v>30</v>
      </c>
      <c r="AB72" s="7">
        <f t="shared" si="612"/>
        <v>9</v>
      </c>
      <c r="AC72" s="133"/>
      <c r="AD72" s="48">
        <f t="shared" si="483"/>
        <v>86756</v>
      </c>
      <c r="AE72" s="196">
        <f t="shared" si="484"/>
        <v>86747</v>
      </c>
      <c r="AF72" s="134"/>
      <c r="AG72" s="135">
        <v>9</v>
      </c>
      <c r="AH72" s="135"/>
      <c r="AI72" s="14">
        <f t="shared" si="203"/>
        <v>9</v>
      </c>
      <c r="AJ72" s="14">
        <f t="shared" si="321"/>
        <v>6152</v>
      </c>
      <c r="AK72" s="14">
        <f t="shared" si="562"/>
        <v>0.16</v>
      </c>
      <c r="AL72" s="230">
        <f t="shared" si="613"/>
        <v>1.0373922264742496E-2</v>
      </c>
      <c r="AM72" s="35">
        <f t="shared" si="563"/>
        <v>3.0400000000000005</v>
      </c>
      <c r="AN72" s="157">
        <f t="shared" si="169"/>
        <v>4.0162949809369612</v>
      </c>
      <c r="AO72" s="134"/>
      <c r="AP72" s="14">
        <f t="shared" si="564"/>
        <v>49</v>
      </c>
      <c r="AQ72" s="442">
        <f t="shared" si="614"/>
        <v>0</v>
      </c>
      <c r="AR72" s="470">
        <f t="shared" si="323"/>
        <v>1641.4388566760813</v>
      </c>
      <c r="AS72" s="51">
        <f t="shared" si="565"/>
        <v>712</v>
      </c>
      <c r="AT72" s="103">
        <f t="shared" si="615"/>
        <v>679</v>
      </c>
      <c r="AU72" s="46">
        <f t="shared" si="271"/>
        <v>33</v>
      </c>
      <c r="AV72" s="51">
        <f t="shared" si="566"/>
        <v>79</v>
      </c>
      <c r="AW72" s="103">
        <f t="shared" si="616"/>
        <v>90</v>
      </c>
      <c r="AX72" s="46">
        <f t="shared" si="170"/>
        <v>-11</v>
      </c>
      <c r="AZ72" s="120">
        <f t="shared" si="617"/>
        <v>30</v>
      </c>
      <c r="BA72" s="7">
        <f t="shared" si="618"/>
        <v>9</v>
      </c>
      <c r="BB72" s="133"/>
      <c r="BC72" s="48">
        <f t="shared" si="518"/>
        <v>92907</v>
      </c>
      <c r="BD72" s="196">
        <f t="shared" si="485"/>
        <v>92904</v>
      </c>
      <c r="BE72" s="134"/>
      <c r="BF72" s="135">
        <v>3</v>
      </c>
      <c r="BG72" s="135"/>
      <c r="BH72" s="14">
        <f t="shared" si="204"/>
        <v>3</v>
      </c>
      <c r="BI72" s="14">
        <f t="shared" si="294"/>
        <v>968</v>
      </c>
      <c r="BJ72" s="14">
        <f t="shared" si="567"/>
        <v>0.16</v>
      </c>
      <c r="BK72" s="47">
        <f t="shared" ref="BK72:BK135" si="646">IFERROR((BH72*100)/BC72,0)</f>
        <v>3.229035487100003E-3</v>
      </c>
      <c r="BL72" s="35">
        <f t="shared" si="568"/>
        <v>3.0400000000000005</v>
      </c>
      <c r="BM72" s="132">
        <f t="shared" si="326"/>
        <v>1.3557422969187676</v>
      </c>
      <c r="BN72" s="134"/>
      <c r="BO72" s="14">
        <f t="shared" si="569"/>
        <v>49</v>
      </c>
      <c r="BP72" s="442">
        <f t="shared" ref="BP72:BP135" si="647">IFERROR((BN72/BC72)*1000,0)</f>
        <v>0</v>
      </c>
      <c r="BQ72" s="747">
        <f t="shared" si="137"/>
        <v>1625.1236434544767</v>
      </c>
      <c r="BR72" s="51">
        <f t="shared" si="570"/>
        <v>712</v>
      </c>
      <c r="BS72" s="103">
        <f t="shared" si="619"/>
        <v>680</v>
      </c>
      <c r="BT72" s="46">
        <f t="shared" si="272"/>
        <v>32</v>
      </c>
      <c r="BU72" s="51">
        <f t="shared" si="571"/>
        <v>79</v>
      </c>
      <c r="BV72" s="103">
        <f t="shared" si="620"/>
        <v>76</v>
      </c>
      <c r="BW72" s="46">
        <f t="shared" si="171"/>
        <v>3</v>
      </c>
      <c r="BY72" s="120">
        <f t="shared" si="621"/>
        <v>13</v>
      </c>
      <c r="BZ72" s="7">
        <f t="shared" si="622"/>
        <v>9</v>
      </c>
      <c r="CA72" s="133"/>
      <c r="CB72" s="14">
        <f t="shared" si="172"/>
        <v>0</v>
      </c>
      <c r="CC72" s="59">
        <f t="shared" si="205"/>
        <v>0</v>
      </c>
      <c r="CD72" s="405"/>
      <c r="CE72" s="406"/>
      <c r="CF72" s="406"/>
      <c r="CG72" s="14">
        <f t="shared" si="206"/>
        <v>0</v>
      </c>
      <c r="CH72" s="14">
        <f t="shared" si="173"/>
        <v>0</v>
      </c>
      <c r="CI72" s="14">
        <f t="shared" si="572"/>
        <v>0.16</v>
      </c>
      <c r="CJ72" s="47">
        <f t="shared" ref="CJ72:CJ85" si="648">IFERROR((CG72*1000)/CB72,0)</f>
        <v>0</v>
      </c>
      <c r="CK72" s="35">
        <f t="shared" si="573"/>
        <v>3.0400000000000005</v>
      </c>
      <c r="CL72" s="157">
        <f t="shared" si="140"/>
        <v>0</v>
      </c>
      <c r="CM72" s="134"/>
      <c r="CN72" s="14">
        <f t="shared" si="574"/>
        <v>49</v>
      </c>
      <c r="CO72" s="48">
        <f t="shared" si="141"/>
        <v>0</v>
      </c>
      <c r="CP72" s="68">
        <f t="shared" ref="CP72:CP135" si="649">CP71+CO72</f>
        <v>0</v>
      </c>
      <c r="CQ72" s="51">
        <f t="shared" si="575"/>
        <v>712</v>
      </c>
      <c r="CR72" s="103">
        <f t="shared" si="623"/>
        <v>0</v>
      </c>
      <c r="CS72" s="46">
        <f t="shared" si="273"/>
        <v>712</v>
      </c>
      <c r="CT72" s="51">
        <f t="shared" si="576"/>
        <v>79</v>
      </c>
      <c r="CU72" s="103">
        <f t="shared" si="624"/>
        <v>0</v>
      </c>
      <c r="CV72" s="46">
        <f t="shared" si="625"/>
        <v>79</v>
      </c>
      <c r="CX72" s="120">
        <f t="shared" si="626"/>
        <v>13</v>
      </c>
      <c r="CY72" s="7">
        <f t="shared" si="627"/>
        <v>9</v>
      </c>
      <c r="CZ72" s="133"/>
      <c r="DA72" s="14">
        <f t="shared" si="434"/>
        <v>0</v>
      </c>
      <c r="DB72" s="59">
        <f t="shared" si="486"/>
        <v>0</v>
      </c>
      <c r="DC72" s="405"/>
      <c r="DD72" s="406"/>
      <c r="DE72" s="406"/>
      <c r="DF72" s="14">
        <f t="shared" si="208"/>
        <v>0</v>
      </c>
      <c r="DG72" s="14">
        <f t="shared" si="175"/>
        <v>0</v>
      </c>
      <c r="DH72" s="14">
        <f t="shared" si="577"/>
        <v>0.16</v>
      </c>
      <c r="DI72" s="47">
        <f t="shared" si="209"/>
        <v>0</v>
      </c>
      <c r="DJ72" s="35">
        <f t="shared" si="578"/>
        <v>3.0400000000000005</v>
      </c>
      <c r="DK72" s="157">
        <f t="shared" si="177"/>
        <v>0</v>
      </c>
      <c r="DL72" s="134"/>
      <c r="DM72" s="14">
        <f t="shared" si="579"/>
        <v>49</v>
      </c>
      <c r="DN72" s="48">
        <f t="shared" si="259"/>
        <v>0</v>
      </c>
      <c r="DO72" s="68">
        <f t="shared" si="178"/>
        <v>0</v>
      </c>
      <c r="DP72" s="51">
        <f t="shared" si="580"/>
        <v>712</v>
      </c>
      <c r="DQ72" s="103">
        <f t="shared" si="628"/>
        <v>0</v>
      </c>
      <c r="DR72" s="46">
        <f t="shared" si="275"/>
        <v>712</v>
      </c>
      <c r="DS72" s="51">
        <f t="shared" si="581"/>
        <v>79</v>
      </c>
      <c r="DT72" s="103">
        <f t="shared" si="629"/>
        <v>0</v>
      </c>
      <c r="DU72" s="46">
        <f t="shared" si="164"/>
        <v>79</v>
      </c>
      <c r="DW72" s="120">
        <f t="shared" si="630"/>
        <v>13</v>
      </c>
      <c r="DX72" s="7">
        <f t="shared" si="631"/>
        <v>9</v>
      </c>
      <c r="DY72" s="133"/>
      <c r="DZ72" s="14">
        <f t="shared" si="435"/>
        <v>0</v>
      </c>
      <c r="EA72" s="59">
        <f t="shared" si="487"/>
        <v>0</v>
      </c>
      <c r="EB72" s="405"/>
      <c r="EC72" s="406"/>
      <c r="ED72" s="406"/>
      <c r="EE72" s="14">
        <f t="shared" si="211"/>
        <v>0</v>
      </c>
      <c r="EF72" s="14">
        <f t="shared" si="180"/>
        <v>0</v>
      </c>
      <c r="EG72" s="14">
        <f t="shared" si="582"/>
        <v>0.16</v>
      </c>
      <c r="EH72" s="47">
        <f t="shared" si="212"/>
        <v>0</v>
      </c>
      <c r="EI72" s="35">
        <f t="shared" si="583"/>
        <v>3.0400000000000005</v>
      </c>
      <c r="EJ72" s="157">
        <f t="shared" si="182"/>
        <v>0</v>
      </c>
      <c r="EK72" s="134"/>
      <c r="EL72" s="14">
        <f t="shared" si="584"/>
        <v>49</v>
      </c>
      <c r="EM72" s="48">
        <f t="shared" si="260"/>
        <v>0</v>
      </c>
      <c r="EN72" s="68">
        <f t="shared" si="183"/>
        <v>0</v>
      </c>
      <c r="EO72" s="51">
        <f t="shared" si="585"/>
        <v>712</v>
      </c>
      <c r="EP72" s="103">
        <f t="shared" si="632"/>
        <v>0</v>
      </c>
      <c r="EQ72" s="46">
        <f t="shared" si="277"/>
        <v>712</v>
      </c>
      <c r="ER72" s="51">
        <f t="shared" si="586"/>
        <v>79</v>
      </c>
      <c r="ES72" s="103">
        <f t="shared" si="633"/>
        <v>0</v>
      </c>
      <c r="ET72" s="46">
        <f t="shared" si="165"/>
        <v>79</v>
      </c>
      <c r="EV72" s="120">
        <f t="shared" si="634"/>
        <v>13</v>
      </c>
      <c r="EW72" s="7">
        <f t="shared" si="635"/>
        <v>9</v>
      </c>
      <c r="EX72" s="133"/>
      <c r="EY72" s="14">
        <f t="shared" si="436"/>
        <v>0</v>
      </c>
      <c r="EZ72" s="59">
        <f t="shared" si="488"/>
        <v>0</v>
      </c>
      <c r="FA72" s="405"/>
      <c r="FB72" s="406"/>
      <c r="FC72" s="406"/>
      <c r="FD72" s="14">
        <f t="shared" si="214"/>
        <v>0</v>
      </c>
      <c r="FE72" s="14">
        <f t="shared" si="185"/>
        <v>0</v>
      </c>
      <c r="FF72" s="14">
        <f t="shared" si="587"/>
        <v>0.16</v>
      </c>
      <c r="FG72" s="47">
        <f t="shared" si="215"/>
        <v>0</v>
      </c>
      <c r="FH72" s="35">
        <f t="shared" si="588"/>
        <v>3.0400000000000005</v>
      </c>
      <c r="FI72" s="157">
        <f t="shared" si="187"/>
        <v>0</v>
      </c>
      <c r="FJ72" s="134"/>
      <c r="FK72" s="14">
        <f t="shared" si="589"/>
        <v>49</v>
      </c>
      <c r="FL72" s="48">
        <f t="shared" si="261"/>
        <v>0</v>
      </c>
      <c r="FM72" s="68">
        <f t="shared" si="188"/>
        <v>0</v>
      </c>
      <c r="FN72" s="51">
        <f t="shared" si="590"/>
        <v>712</v>
      </c>
      <c r="FO72" s="103">
        <f t="shared" si="636"/>
        <v>0</v>
      </c>
      <c r="FP72" s="46">
        <f t="shared" si="279"/>
        <v>712</v>
      </c>
      <c r="FQ72" s="51">
        <f t="shared" si="591"/>
        <v>79</v>
      </c>
      <c r="FR72" s="103">
        <f t="shared" si="637"/>
        <v>0</v>
      </c>
      <c r="FS72" s="46">
        <f t="shared" si="166"/>
        <v>79</v>
      </c>
      <c r="FU72" s="120">
        <f t="shared" si="638"/>
        <v>13</v>
      </c>
      <c r="FV72" s="7">
        <f t="shared" si="639"/>
        <v>9</v>
      </c>
      <c r="FW72" s="133"/>
      <c r="FX72" s="14">
        <f t="shared" si="437"/>
        <v>0</v>
      </c>
      <c r="FY72" s="59">
        <f t="shared" si="489"/>
        <v>0</v>
      </c>
      <c r="FZ72" s="405"/>
      <c r="GA72" s="406"/>
      <c r="GB72" s="406"/>
      <c r="GC72" s="14">
        <f t="shared" si="217"/>
        <v>0</v>
      </c>
      <c r="GD72" s="14">
        <f t="shared" si="190"/>
        <v>0</v>
      </c>
      <c r="GE72" s="14">
        <f t="shared" si="592"/>
        <v>0.16</v>
      </c>
      <c r="GF72" s="47">
        <f t="shared" si="218"/>
        <v>0</v>
      </c>
      <c r="GG72" s="35">
        <f t="shared" si="593"/>
        <v>3.0400000000000005</v>
      </c>
      <c r="GH72" s="157">
        <f t="shared" si="192"/>
        <v>0</v>
      </c>
      <c r="GI72" s="134"/>
      <c r="GJ72" s="14">
        <f t="shared" si="594"/>
        <v>49</v>
      </c>
      <c r="GK72" s="48">
        <f t="shared" si="262"/>
        <v>0</v>
      </c>
      <c r="GL72" s="68">
        <f t="shared" si="193"/>
        <v>0</v>
      </c>
      <c r="GM72" s="51">
        <f t="shared" si="595"/>
        <v>712</v>
      </c>
      <c r="GN72" s="103">
        <f t="shared" si="640"/>
        <v>0</v>
      </c>
      <c r="GO72" s="46">
        <f t="shared" si="281"/>
        <v>712</v>
      </c>
      <c r="GP72" s="51">
        <f t="shared" si="596"/>
        <v>79</v>
      </c>
      <c r="GQ72" s="103">
        <f t="shared" si="641"/>
        <v>0</v>
      </c>
      <c r="GR72" s="46">
        <f t="shared" si="167"/>
        <v>79</v>
      </c>
      <c r="GT72" s="120">
        <f t="shared" si="642"/>
        <v>13</v>
      </c>
      <c r="GU72" s="7">
        <f t="shared" si="643"/>
        <v>9</v>
      </c>
      <c r="GV72" s="133"/>
      <c r="GW72" s="14">
        <f t="shared" si="438"/>
        <v>0</v>
      </c>
      <c r="GX72" s="59">
        <f t="shared" si="490"/>
        <v>0</v>
      </c>
      <c r="GY72" s="405"/>
      <c r="GZ72" s="406"/>
      <c r="HA72" s="406"/>
      <c r="HB72" s="14">
        <f t="shared" si="220"/>
        <v>0</v>
      </c>
      <c r="HC72" s="14">
        <f t="shared" si="195"/>
        <v>0</v>
      </c>
      <c r="HD72" s="14">
        <f t="shared" si="597"/>
        <v>0.16</v>
      </c>
      <c r="HE72" s="47">
        <f t="shared" si="221"/>
        <v>0</v>
      </c>
      <c r="HF72" s="35">
        <f t="shared" si="598"/>
        <v>3.0400000000000005</v>
      </c>
      <c r="HG72" s="157">
        <f t="shared" si="197"/>
        <v>0</v>
      </c>
      <c r="HH72" s="134"/>
      <c r="HI72" s="14">
        <f t="shared" si="599"/>
        <v>49</v>
      </c>
      <c r="HJ72" s="48">
        <f t="shared" si="263"/>
        <v>0</v>
      </c>
      <c r="HK72" s="68">
        <f t="shared" si="198"/>
        <v>0</v>
      </c>
      <c r="HL72" s="51">
        <f t="shared" si="600"/>
        <v>712</v>
      </c>
      <c r="HM72" s="103">
        <f t="shared" si="644"/>
        <v>0</v>
      </c>
      <c r="HN72" s="46">
        <f t="shared" si="283"/>
        <v>712</v>
      </c>
      <c r="HO72" s="51">
        <f t="shared" si="601"/>
        <v>79</v>
      </c>
      <c r="HP72" s="103">
        <f t="shared" si="645"/>
        <v>0</v>
      </c>
      <c r="HQ72" s="46">
        <f t="shared" si="168"/>
        <v>79</v>
      </c>
    </row>
    <row r="73" spans="1:225" ht="18.75" thickBot="1" x14ac:dyDescent="0.3">
      <c r="A73" s="535" t="s">
        <v>80</v>
      </c>
      <c r="B73" s="502">
        <v>1</v>
      </c>
      <c r="C73" s="577">
        <f t="shared" si="603"/>
        <v>9</v>
      </c>
      <c r="D73" s="528"/>
      <c r="E73" s="564">
        <f t="shared" si="223"/>
        <v>96088</v>
      </c>
      <c r="F73" s="582">
        <f t="shared" si="555"/>
        <v>96086</v>
      </c>
      <c r="G73" s="519"/>
      <c r="H73" s="520">
        <v>2</v>
      </c>
      <c r="I73" s="520"/>
      <c r="J73" s="521">
        <f t="shared" si="200"/>
        <v>2</v>
      </c>
      <c r="K73" s="521">
        <f t="shared" si="604"/>
        <v>5179</v>
      </c>
      <c r="L73" s="521">
        <f t="shared" si="556"/>
        <v>0.16</v>
      </c>
      <c r="M73" s="529">
        <f t="shared" si="605"/>
        <v>2.0814253600865873E-3</v>
      </c>
      <c r="N73" s="522">
        <f t="shared" si="557"/>
        <v>3.0400000000000005</v>
      </c>
      <c r="O73" s="132">
        <f t="shared" si="606"/>
        <v>3.8399086548085979</v>
      </c>
      <c r="P73" s="578">
        <v>3003</v>
      </c>
      <c r="Q73" s="521">
        <f t="shared" si="558"/>
        <v>49</v>
      </c>
      <c r="R73" s="530">
        <f t="shared" si="559"/>
        <v>31.252601781700104</v>
      </c>
      <c r="S73" s="524">
        <f t="shared" ref="S73:S136" si="650">S72+R73</f>
        <v>1667.8534683794917</v>
      </c>
      <c r="T73" s="525">
        <f t="shared" si="560"/>
        <v>712</v>
      </c>
      <c r="U73" s="514">
        <f t="shared" si="607"/>
        <v>614</v>
      </c>
      <c r="V73" s="531">
        <f t="shared" si="608"/>
        <v>98</v>
      </c>
      <c r="W73" s="532">
        <f t="shared" si="561"/>
        <v>79</v>
      </c>
      <c r="X73" s="514">
        <f t="shared" si="609"/>
        <v>66</v>
      </c>
      <c r="Y73" s="531">
        <f t="shared" si="610"/>
        <v>13</v>
      </c>
      <c r="Z73" s="535" t="s">
        <v>80</v>
      </c>
      <c r="AA73" s="502">
        <v>1</v>
      </c>
      <c r="AB73" s="694">
        <f t="shared" si="612"/>
        <v>9</v>
      </c>
      <c r="AC73" s="528"/>
      <c r="AD73" s="564">
        <f t="shared" si="483"/>
        <v>86747</v>
      </c>
      <c r="AE73" s="695">
        <f t="shared" si="484"/>
        <v>86732</v>
      </c>
      <c r="AF73" s="519">
        <v>7</v>
      </c>
      <c r="AG73" s="520">
        <v>8</v>
      </c>
      <c r="AH73" s="520"/>
      <c r="AI73" s="521">
        <f t="shared" si="203"/>
        <v>15</v>
      </c>
      <c r="AJ73" s="521">
        <f t="shared" si="321"/>
        <v>6167</v>
      </c>
      <c r="AK73" s="521">
        <f t="shared" si="562"/>
        <v>0.16</v>
      </c>
      <c r="AL73" s="529">
        <f t="shared" si="613"/>
        <v>1.7291664265046629E-2</v>
      </c>
      <c r="AM73" s="522">
        <f t="shared" si="563"/>
        <v>3.0400000000000005</v>
      </c>
      <c r="AN73" s="157">
        <f t="shared" si="169"/>
        <v>4.026087637750039</v>
      </c>
      <c r="AO73" s="519">
        <v>3003</v>
      </c>
      <c r="AP73" s="521">
        <f t="shared" si="564"/>
        <v>49</v>
      </c>
      <c r="AQ73" s="530">
        <f t="shared" si="614"/>
        <v>34.617911858623351</v>
      </c>
      <c r="AR73" s="524">
        <f t="shared" si="323"/>
        <v>1676.0567685347046</v>
      </c>
      <c r="AS73" s="525">
        <f t="shared" si="565"/>
        <v>712</v>
      </c>
      <c r="AT73" s="514">
        <f t="shared" si="615"/>
        <v>679</v>
      </c>
      <c r="AU73" s="531">
        <f t="shared" si="271"/>
        <v>33</v>
      </c>
      <c r="AV73" s="532">
        <f t="shared" si="566"/>
        <v>79</v>
      </c>
      <c r="AW73" s="514">
        <f t="shared" si="616"/>
        <v>90</v>
      </c>
      <c r="AX73" s="531">
        <f t="shared" si="170"/>
        <v>-11</v>
      </c>
      <c r="AY73" s="535" t="s">
        <v>80</v>
      </c>
      <c r="AZ73" s="502">
        <v>1</v>
      </c>
      <c r="BA73" s="694">
        <f t="shared" si="618"/>
        <v>9</v>
      </c>
      <c r="BB73" s="528"/>
      <c r="BC73" s="564">
        <f t="shared" si="518"/>
        <v>92904</v>
      </c>
      <c r="BD73" s="695">
        <f t="shared" si="485"/>
        <v>92899</v>
      </c>
      <c r="BE73" s="519"/>
      <c r="BF73" s="520">
        <v>5</v>
      </c>
      <c r="BG73" s="520"/>
      <c r="BH73" s="521">
        <f t="shared" si="204"/>
        <v>5</v>
      </c>
      <c r="BI73" s="521">
        <f t="shared" si="294"/>
        <v>973</v>
      </c>
      <c r="BJ73" s="521">
        <f t="shared" si="567"/>
        <v>0.16</v>
      </c>
      <c r="BK73" s="529">
        <f t="shared" si="646"/>
        <v>5.3818995952811506E-3</v>
      </c>
      <c r="BL73" s="522">
        <f t="shared" si="568"/>
        <v>3.0400000000000005</v>
      </c>
      <c r="BM73" s="132">
        <f t="shared" si="326"/>
        <v>1.3627450980392157</v>
      </c>
      <c r="BN73" s="519">
        <v>4095</v>
      </c>
      <c r="BO73" s="521">
        <f t="shared" si="569"/>
        <v>49</v>
      </c>
      <c r="BP73" s="537">
        <f t="shared" si="647"/>
        <v>44.077757685352623</v>
      </c>
      <c r="BQ73" s="755">
        <f t="shared" ref="BQ73:BQ136" si="651">BQ72+BP73</f>
        <v>1669.2014011398294</v>
      </c>
      <c r="BR73" s="525">
        <f t="shared" si="570"/>
        <v>712</v>
      </c>
      <c r="BS73" s="514">
        <f t="shared" si="619"/>
        <v>680</v>
      </c>
      <c r="BT73" s="531">
        <f t="shared" si="272"/>
        <v>32</v>
      </c>
      <c r="BU73" s="532">
        <f t="shared" si="571"/>
        <v>79</v>
      </c>
      <c r="BV73" s="514">
        <f t="shared" si="620"/>
        <v>76</v>
      </c>
      <c r="BW73" s="531">
        <f t="shared" si="171"/>
        <v>3</v>
      </c>
      <c r="BX73" s="790"/>
      <c r="BY73" s="502">
        <v>1</v>
      </c>
      <c r="BZ73" s="694">
        <f t="shared" si="622"/>
        <v>9</v>
      </c>
      <c r="CA73" s="528"/>
      <c r="CB73" s="521">
        <f t="shared" si="172"/>
        <v>0</v>
      </c>
      <c r="CC73" s="728">
        <f t="shared" si="205"/>
        <v>0</v>
      </c>
      <c r="CD73" s="519"/>
      <c r="CE73" s="520"/>
      <c r="CF73" s="520"/>
      <c r="CG73" s="521">
        <f t="shared" si="206"/>
        <v>0</v>
      </c>
      <c r="CH73" s="521">
        <f t="shared" si="173"/>
        <v>0</v>
      </c>
      <c r="CI73" s="521">
        <f t="shared" si="572"/>
        <v>0.16</v>
      </c>
      <c r="CJ73" s="529">
        <f t="shared" si="648"/>
        <v>0</v>
      </c>
      <c r="CK73" s="522">
        <f t="shared" si="573"/>
        <v>3.0400000000000005</v>
      </c>
      <c r="CL73" s="523">
        <f t="shared" ref="CL73:CL85" si="652">IFERROR((CH73*100)/CB73,0)</f>
        <v>0</v>
      </c>
      <c r="CM73" s="519"/>
      <c r="CN73" s="521">
        <f t="shared" si="574"/>
        <v>49</v>
      </c>
      <c r="CO73" s="564">
        <f t="shared" ref="CO73:CO85" si="653">IFERROR(CM73/CB73,0)</f>
        <v>0</v>
      </c>
      <c r="CP73" s="791">
        <f t="shared" si="649"/>
        <v>0</v>
      </c>
      <c r="CQ73" s="525">
        <f t="shared" si="575"/>
        <v>712</v>
      </c>
      <c r="CR73" s="514">
        <f t="shared" si="623"/>
        <v>0</v>
      </c>
      <c r="CS73" s="531">
        <f t="shared" si="273"/>
        <v>712</v>
      </c>
      <c r="CT73" s="532">
        <f t="shared" si="576"/>
        <v>79</v>
      </c>
      <c r="CU73" s="514">
        <f t="shared" si="624"/>
        <v>0</v>
      </c>
      <c r="CV73" s="531">
        <f t="shared" si="625"/>
        <v>79</v>
      </c>
      <c r="CW73" s="790"/>
      <c r="CX73" s="502">
        <v>1</v>
      </c>
      <c r="CY73" s="694">
        <f t="shared" si="627"/>
        <v>9</v>
      </c>
      <c r="CZ73" s="528"/>
      <c r="DA73" s="521">
        <f t="shared" si="434"/>
        <v>0</v>
      </c>
      <c r="DB73" s="728">
        <f t="shared" si="486"/>
        <v>0</v>
      </c>
      <c r="DC73" s="519"/>
      <c r="DD73" s="520"/>
      <c r="DE73" s="520"/>
      <c r="DF73" s="521">
        <f t="shared" si="208"/>
        <v>0</v>
      </c>
      <c r="DG73" s="521">
        <f t="shared" si="175"/>
        <v>0</v>
      </c>
      <c r="DH73" s="521">
        <f t="shared" si="577"/>
        <v>0.16</v>
      </c>
      <c r="DI73" s="529">
        <f t="shared" si="209"/>
        <v>0</v>
      </c>
      <c r="DJ73" s="522">
        <f t="shared" si="578"/>
        <v>3.0400000000000005</v>
      </c>
      <c r="DK73" s="523">
        <f t="shared" si="177"/>
        <v>0</v>
      </c>
      <c r="DL73" s="519"/>
      <c r="DM73" s="521">
        <f t="shared" si="579"/>
        <v>49</v>
      </c>
      <c r="DN73" s="564">
        <f t="shared" si="259"/>
        <v>0</v>
      </c>
      <c r="DO73" s="791">
        <f t="shared" si="178"/>
        <v>0</v>
      </c>
      <c r="DP73" s="525">
        <f t="shared" si="580"/>
        <v>712</v>
      </c>
      <c r="DQ73" s="514">
        <f t="shared" si="628"/>
        <v>0</v>
      </c>
      <c r="DR73" s="531">
        <f t="shared" si="275"/>
        <v>712</v>
      </c>
      <c r="DS73" s="532">
        <f t="shared" si="581"/>
        <v>79</v>
      </c>
      <c r="DT73" s="514">
        <f t="shared" si="629"/>
        <v>0</v>
      </c>
      <c r="DU73" s="531">
        <f t="shared" si="164"/>
        <v>79</v>
      </c>
      <c r="DV73" s="790"/>
      <c r="DW73" s="502">
        <v>1</v>
      </c>
      <c r="DX73" s="694">
        <f t="shared" si="631"/>
        <v>9</v>
      </c>
      <c r="DY73" s="528"/>
      <c r="DZ73" s="521">
        <f t="shared" si="435"/>
        <v>0</v>
      </c>
      <c r="EA73" s="728">
        <f t="shared" si="487"/>
        <v>0</v>
      </c>
      <c r="EB73" s="519"/>
      <c r="EC73" s="520"/>
      <c r="ED73" s="520"/>
      <c r="EE73" s="521">
        <f t="shared" si="211"/>
        <v>0</v>
      </c>
      <c r="EF73" s="521">
        <f t="shared" si="180"/>
        <v>0</v>
      </c>
      <c r="EG73" s="521">
        <f t="shared" si="582"/>
        <v>0.16</v>
      </c>
      <c r="EH73" s="529">
        <f t="shared" si="212"/>
        <v>0</v>
      </c>
      <c r="EI73" s="522">
        <f t="shared" si="583"/>
        <v>3.0400000000000005</v>
      </c>
      <c r="EJ73" s="523">
        <f t="shared" si="182"/>
        <v>0</v>
      </c>
      <c r="EK73" s="519"/>
      <c r="EL73" s="521">
        <f t="shared" si="584"/>
        <v>49</v>
      </c>
      <c r="EM73" s="564">
        <f t="shared" si="260"/>
        <v>0</v>
      </c>
      <c r="EN73" s="791">
        <f t="shared" si="183"/>
        <v>0</v>
      </c>
      <c r="EO73" s="525">
        <f t="shared" si="585"/>
        <v>712</v>
      </c>
      <c r="EP73" s="514">
        <f t="shared" si="632"/>
        <v>0</v>
      </c>
      <c r="EQ73" s="531">
        <f t="shared" si="277"/>
        <v>712</v>
      </c>
      <c r="ER73" s="532">
        <f t="shared" si="586"/>
        <v>79</v>
      </c>
      <c r="ES73" s="514">
        <f t="shared" si="633"/>
        <v>0</v>
      </c>
      <c r="ET73" s="531">
        <f t="shared" si="165"/>
        <v>79</v>
      </c>
      <c r="EU73" s="790"/>
      <c r="EV73" s="502">
        <v>1</v>
      </c>
      <c r="EW73" s="694">
        <f t="shared" si="635"/>
        <v>9</v>
      </c>
      <c r="EX73" s="528"/>
      <c r="EY73" s="521">
        <f t="shared" si="436"/>
        <v>0</v>
      </c>
      <c r="EZ73" s="728">
        <f t="shared" si="488"/>
        <v>0</v>
      </c>
      <c r="FA73" s="519"/>
      <c r="FB73" s="520"/>
      <c r="FC73" s="520"/>
      <c r="FD73" s="521">
        <f t="shared" si="214"/>
        <v>0</v>
      </c>
      <c r="FE73" s="521">
        <f t="shared" si="185"/>
        <v>0</v>
      </c>
      <c r="FF73" s="521">
        <f t="shared" si="587"/>
        <v>0.16</v>
      </c>
      <c r="FG73" s="529">
        <f t="shared" si="215"/>
        <v>0</v>
      </c>
      <c r="FH73" s="522">
        <f t="shared" si="588"/>
        <v>3.0400000000000005</v>
      </c>
      <c r="FI73" s="523">
        <f t="shared" si="187"/>
        <v>0</v>
      </c>
      <c r="FJ73" s="519"/>
      <c r="FK73" s="521">
        <f t="shared" si="589"/>
        <v>49</v>
      </c>
      <c r="FL73" s="564">
        <f t="shared" si="261"/>
        <v>0</v>
      </c>
      <c r="FM73" s="791">
        <f t="shared" si="188"/>
        <v>0</v>
      </c>
      <c r="FN73" s="525">
        <f t="shared" si="590"/>
        <v>712</v>
      </c>
      <c r="FO73" s="514">
        <f t="shared" si="636"/>
        <v>0</v>
      </c>
      <c r="FP73" s="531">
        <f t="shared" si="279"/>
        <v>712</v>
      </c>
      <c r="FQ73" s="532">
        <f t="shared" si="591"/>
        <v>79</v>
      </c>
      <c r="FR73" s="514">
        <f t="shared" si="637"/>
        <v>0</v>
      </c>
      <c r="FS73" s="531">
        <f t="shared" si="166"/>
        <v>79</v>
      </c>
      <c r="FT73" s="790"/>
      <c r="FU73" s="502">
        <v>1</v>
      </c>
      <c r="FV73" s="694">
        <f t="shared" si="639"/>
        <v>9</v>
      </c>
      <c r="FW73" s="528"/>
      <c r="FX73" s="521">
        <f t="shared" si="437"/>
        <v>0</v>
      </c>
      <c r="FY73" s="728">
        <f t="shared" si="489"/>
        <v>0</v>
      </c>
      <c r="FZ73" s="519"/>
      <c r="GA73" s="520"/>
      <c r="GB73" s="520"/>
      <c r="GC73" s="521">
        <f t="shared" si="217"/>
        <v>0</v>
      </c>
      <c r="GD73" s="521">
        <f t="shared" si="190"/>
        <v>0</v>
      </c>
      <c r="GE73" s="521">
        <f t="shared" si="592"/>
        <v>0.16</v>
      </c>
      <c r="GF73" s="529">
        <f t="shared" si="218"/>
        <v>0</v>
      </c>
      <c r="GG73" s="522">
        <f t="shared" si="593"/>
        <v>3.0400000000000005</v>
      </c>
      <c r="GH73" s="523">
        <f t="shared" si="192"/>
        <v>0</v>
      </c>
      <c r="GI73" s="519"/>
      <c r="GJ73" s="521">
        <f t="shared" si="594"/>
        <v>49</v>
      </c>
      <c r="GK73" s="564">
        <f t="shared" si="262"/>
        <v>0</v>
      </c>
      <c r="GL73" s="791">
        <f t="shared" si="193"/>
        <v>0</v>
      </c>
      <c r="GM73" s="525">
        <f t="shared" si="595"/>
        <v>712</v>
      </c>
      <c r="GN73" s="514">
        <f t="shared" si="640"/>
        <v>0</v>
      </c>
      <c r="GO73" s="531">
        <f t="shared" si="281"/>
        <v>712</v>
      </c>
      <c r="GP73" s="532">
        <f t="shared" si="596"/>
        <v>79</v>
      </c>
      <c r="GQ73" s="514">
        <f t="shared" si="641"/>
        <v>0</v>
      </c>
      <c r="GR73" s="531">
        <f t="shared" si="167"/>
        <v>79</v>
      </c>
      <c r="GS73" s="790"/>
      <c r="GT73" s="502">
        <v>1</v>
      </c>
      <c r="GU73" s="694">
        <f t="shared" si="643"/>
        <v>9</v>
      </c>
      <c r="GV73" s="528"/>
      <c r="GW73" s="521">
        <f t="shared" si="438"/>
        <v>0</v>
      </c>
      <c r="GX73" s="728">
        <f t="shared" si="490"/>
        <v>0</v>
      </c>
      <c r="GY73" s="519"/>
      <c r="GZ73" s="520"/>
      <c r="HA73" s="520"/>
      <c r="HB73" s="521">
        <f t="shared" si="220"/>
        <v>0</v>
      </c>
      <c r="HC73" s="521">
        <f t="shared" si="195"/>
        <v>0</v>
      </c>
      <c r="HD73" s="521">
        <f t="shared" si="597"/>
        <v>0.16</v>
      </c>
      <c r="HE73" s="529">
        <f t="shared" si="221"/>
        <v>0</v>
      </c>
      <c r="HF73" s="522">
        <f t="shared" si="598"/>
        <v>3.0400000000000005</v>
      </c>
      <c r="HG73" s="523">
        <f t="shared" si="197"/>
        <v>0</v>
      </c>
      <c r="HH73" s="519"/>
      <c r="HI73" s="521">
        <f t="shared" si="599"/>
        <v>49</v>
      </c>
      <c r="HJ73" s="564">
        <f t="shared" si="263"/>
        <v>0</v>
      </c>
      <c r="HK73" s="791">
        <f t="shared" si="198"/>
        <v>0</v>
      </c>
      <c r="HL73" s="525">
        <f t="shared" si="600"/>
        <v>712</v>
      </c>
      <c r="HM73" s="514">
        <f t="shared" si="644"/>
        <v>0</v>
      </c>
      <c r="HN73" s="531">
        <f t="shared" si="283"/>
        <v>712</v>
      </c>
      <c r="HO73" s="532">
        <f t="shared" si="601"/>
        <v>79</v>
      </c>
      <c r="HP73" s="514">
        <f t="shared" si="645"/>
        <v>0</v>
      </c>
      <c r="HQ73" s="531">
        <f t="shared" si="168"/>
        <v>79</v>
      </c>
    </row>
    <row r="74" spans="1:225" ht="17.25" thickBot="1" x14ac:dyDescent="0.3">
      <c r="A74" s="423"/>
      <c r="B74" s="403">
        <f>B73+1</f>
        <v>2</v>
      </c>
      <c r="C74" s="571">
        <f t="shared" si="603"/>
        <v>9</v>
      </c>
      <c r="D74" s="229"/>
      <c r="E74" s="408">
        <f t="shared" si="223"/>
        <v>96086</v>
      </c>
      <c r="F74" s="562">
        <f t="shared" si="555"/>
        <v>96082</v>
      </c>
      <c r="G74" s="405"/>
      <c r="H74" s="406">
        <v>4</v>
      </c>
      <c r="I74" s="406"/>
      <c r="J74" s="380">
        <f t="shared" si="200"/>
        <v>4</v>
      </c>
      <c r="K74" s="380">
        <f t="shared" si="604"/>
        <v>5183</v>
      </c>
      <c r="L74" s="380">
        <f t="shared" si="556"/>
        <v>0.16</v>
      </c>
      <c r="M74" s="231">
        <f t="shared" si="605"/>
        <v>4.162937368607289E-3</v>
      </c>
      <c r="N74" s="407">
        <f t="shared" si="557"/>
        <v>3.0400000000000005</v>
      </c>
      <c r="O74" s="132">
        <f t="shared" si="606"/>
        <v>3.8428744077762045</v>
      </c>
      <c r="P74" s="411">
        <v>5460</v>
      </c>
      <c r="Q74" s="380">
        <f t="shared" si="558"/>
        <v>49</v>
      </c>
      <c r="R74" s="442">
        <f t="shared" si="559"/>
        <v>56.824095081489503</v>
      </c>
      <c r="S74" s="474">
        <f t="shared" si="650"/>
        <v>1724.6775634609812</v>
      </c>
      <c r="T74" s="182">
        <f t="shared" si="560"/>
        <v>712</v>
      </c>
      <c r="U74" s="181">
        <f t="shared" si="607"/>
        <v>614</v>
      </c>
      <c r="V74" s="206">
        <f t="shared" si="608"/>
        <v>98</v>
      </c>
      <c r="W74" s="182">
        <f t="shared" si="561"/>
        <v>79</v>
      </c>
      <c r="X74" s="181">
        <f t="shared" si="609"/>
        <v>66</v>
      </c>
      <c r="Y74" s="206">
        <f t="shared" si="610"/>
        <v>13</v>
      </c>
      <c r="Z74" s="487"/>
      <c r="AA74" s="403">
        <f>AA73+1</f>
        <v>2</v>
      </c>
      <c r="AB74" s="404">
        <f t="shared" si="612"/>
        <v>9</v>
      </c>
      <c r="AC74" s="229"/>
      <c r="AD74" s="408">
        <f t="shared" si="483"/>
        <v>86732</v>
      </c>
      <c r="AE74" s="450">
        <f t="shared" si="484"/>
        <v>86726</v>
      </c>
      <c r="AF74" s="405"/>
      <c r="AG74" s="406">
        <v>6</v>
      </c>
      <c r="AH74" s="406"/>
      <c r="AI74" s="380">
        <f t="shared" si="203"/>
        <v>6</v>
      </c>
      <c r="AJ74" s="380">
        <f t="shared" si="321"/>
        <v>6173</v>
      </c>
      <c r="AK74" s="380">
        <f t="shared" si="562"/>
        <v>0.16</v>
      </c>
      <c r="AL74" s="231">
        <f t="shared" si="613"/>
        <v>6.9178619194760873E-3</v>
      </c>
      <c r="AM74" s="407">
        <f t="shared" si="563"/>
        <v>3.0400000000000005</v>
      </c>
      <c r="AN74" s="157">
        <f t="shared" si="169"/>
        <v>4.0300047004752706</v>
      </c>
      <c r="AO74" s="405">
        <v>3549</v>
      </c>
      <c r="AP74" s="380">
        <f t="shared" si="564"/>
        <v>49</v>
      </c>
      <c r="AQ74" s="442">
        <f t="shared" si="614"/>
        <v>40.919153253701054</v>
      </c>
      <c r="AR74" s="474">
        <f t="shared" si="323"/>
        <v>1716.9759217884057</v>
      </c>
      <c r="AS74" s="182">
        <f t="shared" si="565"/>
        <v>712</v>
      </c>
      <c r="AT74" s="181">
        <f t="shared" si="615"/>
        <v>679</v>
      </c>
      <c r="AU74" s="206">
        <f t="shared" si="271"/>
        <v>33</v>
      </c>
      <c r="AV74" s="182">
        <f t="shared" si="566"/>
        <v>79</v>
      </c>
      <c r="AW74" s="181">
        <f t="shared" si="616"/>
        <v>90</v>
      </c>
      <c r="AX74" s="206">
        <f t="shared" si="170"/>
        <v>-11</v>
      </c>
      <c r="AY74" s="412"/>
      <c r="AZ74" s="403">
        <f>AZ73+1</f>
        <v>2</v>
      </c>
      <c r="BA74" s="404">
        <f t="shared" si="618"/>
        <v>9</v>
      </c>
      <c r="BB74" s="229"/>
      <c r="BC74" s="408">
        <f t="shared" si="518"/>
        <v>92899</v>
      </c>
      <c r="BD74" s="450">
        <f t="shared" si="485"/>
        <v>92891</v>
      </c>
      <c r="BE74" s="405">
        <v>2</v>
      </c>
      <c r="BF74" s="406">
        <v>6</v>
      </c>
      <c r="BG74" s="406"/>
      <c r="BH74" s="380">
        <f t="shared" si="204"/>
        <v>8</v>
      </c>
      <c r="BI74" s="380">
        <f t="shared" si="294"/>
        <v>981</v>
      </c>
      <c r="BJ74" s="380">
        <f t="shared" si="567"/>
        <v>0.16</v>
      </c>
      <c r="BK74" s="47">
        <f t="shared" si="646"/>
        <v>8.6115028148849825E-3</v>
      </c>
      <c r="BL74" s="407">
        <f t="shared" si="568"/>
        <v>3.0400000000000005</v>
      </c>
      <c r="BM74" s="132">
        <f t="shared" si="326"/>
        <v>1.3739495798319328</v>
      </c>
      <c r="BN74" s="405">
        <v>4095</v>
      </c>
      <c r="BO74" s="380">
        <f t="shared" si="569"/>
        <v>49</v>
      </c>
      <c r="BP74" s="442">
        <f t="shared" si="647"/>
        <v>44.080130033692505</v>
      </c>
      <c r="BQ74" s="753">
        <f t="shared" si="651"/>
        <v>1713.2815311735219</v>
      </c>
      <c r="BR74" s="182">
        <f t="shared" si="570"/>
        <v>712</v>
      </c>
      <c r="BS74" s="181">
        <f t="shared" si="619"/>
        <v>680</v>
      </c>
      <c r="BT74" s="206">
        <f t="shared" si="272"/>
        <v>32</v>
      </c>
      <c r="BU74" s="182">
        <f t="shared" si="571"/>
        <v>79</v>
      </c>
      <c r="BV74" s="181">
        <f t="shared" si="620"/>
        <v>76</v>
      </c>
      <c r="BW74" s="206">
        <f t="shared" si="171"/>
        <v>3</v>
      </c>
      <c r="BX74" s="412"/>
      <c r="BY74" s="403">
        <f>BY73+1</f>
        <v>2</v>
      </c>
      <c r="BZ74" s="404">
        <f t="shared" si="622"/>
        <v>9</v>
      </c>
      <c r="CA74" s="229"/>
      <c r="CB74" s="380">
        <f t="shared" si="172"/>
        <v>0</v>
      </c>
      <c r="CC74" s="267">
        <f t="shared" si="205"/>
        <v>0</v>
      </c>
      <c r="CD74" s="405"/>
      <c r="CE74" s="406"/>
      <c r="CF74" s="406"/>
      <c r="CG74" s="380">
        <f t="shared" si="206"/>
        <v>0</v>
      </c>
      <c r="CH74" s="380">
        <f t="shared" si="173"/>
        <v>0</v>
      </c>
      <c r="CI74" s="380">
        <f t="shared" si="572"/>
        <v>0.16</v>
      </c>
      <c r="CJ74" s="410">
        <f t="shared" si="648"/>
        <v>0</v>
      </c>
      <c r="CK74" s="407">
        <f t="shared" si="573"/>
        <v>3.0400000000000005</v>
      </c>
      <c r="CL74" s="424">
        <f t="shared" si="652"/>
        <v>0</v>
      </c>
      <c r="CM74" s="405"/>
      <c r="CN74" s="380">
        <f t="shared" si="574"/>
        <v>49</v>
      </c>
      <c r="CO74" s="408">
        <f t="shared" si="653"/>
        <v>0</v>
      </c>
      <c r="CP74" s="409">
        <f t="shared" si="649"/>
        <v>0</v>
      </c>
      <c r="CQ74" s="182">
        <f t="shared" si="575"/>
        <v>712</v>
      </c>
      <c r="CR74" s="181">
        <f t="shared" si="623"/>
        <v>0</v>
      </c>
      <c r="CS74" s="206">
        <f t="shared" si="273"/>
        <v>712</v>
      </c>
      <c r="CT74" s="182">
        <f t="shared" si="576"/>
        <v>79</v>
      </c>
      <c r="CU74" s="181">
        <f t="shared" si="624"/>
        <v>0</v>
      </c>
      <c r="CV74" s="206">
        <f t="shared" si="625"/>
        <v>79</v>
      </c>
      <c r="CX74" s="403">
        <f>CX73+1</f>
        <v>2</v>
      </c>
      <c r="CY74" s="404">
        <f t="shared" si="627"/>
        <v>9</v>
      </c>
      <c r="CZ74" s="229"/>
      <c r="DA74" s="380">
        <f t="shared" si="434"/>
        <v>0</v>
      </c>
      <c r="DB74" s="267">
        <f t="shared" si="486"/>
        <v>0</v>
      </c>
      <c r="DC74" s="405"/>
      <c r="DD74" s="406"/>
      <c r="DE74" s="406"/>
      <c r="DF74" s="380">
        <f t="shared" si="208"/>
        <v>0</v>
      </c>
      <c r="DG74" s="380">
        <f t="shared" si="175"/>
        <v>0</v>
      </c>
      <c r="DH74" s="380">
        <f t="shared" si="577"/>
        <v>0.16</v>
      </c>
      <c r="DI74" s="410">
        <f t="shared" si="209"/>
        <v>0</v>
      </c>
      <c r="DJ74" s="407">
        <f t="shared" si="578"/>
        <v>3.0400000000000005</v>
      </c>
      <c r="DK74" s="424">
        <f t="shared" si="177"/>
        <v>0</v>
      </c>
      <c r="DL74" s="405"/>
      <c r="DM74" s="380">
        <f t="shared" si="579"/>
        <v>49</v>
      </c>
      <c r="DN74" s="408">
        <f t="shared" si="259"/>
        <v>0</v>
      </c>
      <c r="DO74" s="409">
        <f t="shared" si="178"/>
        <v>0</v>
      </c>
      <c r="DP74" s="182">
        <f t="shared" si="580"/>
        <v>712</v>
      </c>
      <c r="DQ74" s="181">
        <f t="shared" si="628"/>
        <v>0</v>
      </c>
      <c r="DR74" s="206">
        <f t="shared" si="275"/>
        <v>712</v>
      </c>
      <c r="DS74" s="182">
        <f t="shared" si="581"/>
        <v>79</v>
      </c>
      <c r="DT74" s="181">
        <f t="shared" si="629"/>
        <v>0</v>
      </c>
      <c r="DU74" s="206">
        <f t="shared" ref="DU74:DU137" si="654">DS74-DT74</f>
        <v>79</v>
      </c>
      <c r="DW74" s="403">
        <f>DW73+1</f>
        <v>2</v>
      </c>
      <c r="DX74" s="404">
        <f t="shared" si="631"/>
        <v>9</v>
      </c>
      <c r="DY74" s="229"/>
      <c r="DZ74" s="380">
        <f t="shared" si="435"/>
        <v>0</v>
      </c>
      <c r="EA74" s="267">
        <f t="shared" si="487"/>
        <v>0</v>
      </c>
      <c r="EB74" s="405"/>
      <c r="EC74" s="406"/>
      <c r="ED74" s="406"/>
      <c r="EE74" s="380">
        <f t="shared" si="211"/>
        <v>0</v>
      </c>
      <c r="EF74" s="380">
        <f t="shared" si="180"/>
        <v>0</v>
      </c>
      <c r="EG74" s="380">
        <f t="shared" si="582"/>
        <v>0.16</v>
      </c>
      <c r="EH74" s="410">
        <f t="shared" si="212"/>
        <v>0</v>
      </c>
      <c r="EI74" s="407">
        <f t="shared" si="583"/>
        <v>3.0400000000000005</v>
      </c>
      <c r="EJ74" s="424">
        <f t="shared" si="182"/>
        <v>0</v>
      </c>
      <c r="EK74" s="405"/>
      <c r="EL74" s="380">
        <f t="shared" si="584"/>
        <v>49</v>
      </c>
      <c r="EM74" s="408">
        <f t="shared" si="260"/>
        <v>0</v>
      </c>
      <c r="EN74" s="409">
        <f t="shared" si="183"/>
        <v>0</v>
      </c>
      <c r="EO74" s="182">
        <f t="shared" si="585"/>
        <v>712</v>
      </c>
      <c r="EP74" s="181">
        <f t="shared" si="632"/>
        <v>0</v>
      </c>
      <c r="EQ74" s="206">
        <f t="shared" si="277"/>
        <v>712</v>
      </c>
      <c r="ER74" s="182">
        <f t="shared" si="586"/>
        <v>79</v>
      </c>
      <c r="ES74" s="181">
        <f t="shared" si="633"/>
        <v>0</v>
      </c>
      <c r="ET74" s="206">
        <f t="shared" ref="ET74:ET137" si="655">ER74-ES74</f>
        <v>79</v>
      </c>
      <c r="EV74" s="403">
        <f>EV73+1</f>
        <v>2</v>
      </c>
      <c r="EW74" s="404">
        <f t="shared" si="635"/>
        <v>9</v>
      </c>
      <c r="EX74" s="229"/>
      <c r="EY74" s="380">
        <f t="shared" si="436"/>
        <v>0</v>
      </c>
      <c r="EZ74" s="267">
        <f t="shared" si="488"/>
        <v>0</v>
      </c>
      <c r="FA74" s="405"/>
      <c r="FB74" s="406"/>
      <c r="FC74" s="406"/>
      <c r="FD74" s="380">
        <f t="shared" si="214"/>
        <v>0</v>
      </c>
      <c r="FE74" s="380">
        <f t="shared" si="185"/>
        <v>0</v>
      </c>
      <c r="FF74" s="380">
        <f t="shared" si="587"/>
        <v>0.16</v>
      </c>
      <c r="FG74" s="410">
        <f t="shared" si="215"/>
        <v>0</v>
      </c>
      <c r="FH74" s="407">
        <f t="shared" si="588"/>
        <v>3.0400000000000005</v>
      </c>
      <c r="FI74" s="424">
        <f t="shared" si="187"/>
        <v>0</v>
      </c>
      <c r="FJ74" s="405"/>
      <c r="FK74" s="380">
        <f t="shared" si="589"/>
        <v>49</v>
      </c>
      <c r="FL74" s="408">
        <f t="shared" si="261"/>
        <v>0</v>
      </c>
      <c r="FM74" s="409">
        <f t="shared" si="188"/>
        <v>0</v>
      </c>
      <c r="FN74" s="182">
        <f t="shared" si="590"/>
        <v>712</v>
      </c>
      <c r="FO74" s="181">
        <f t="shared" si="636"/>
        <v>0</v>
      </c>
      <c r="FP74" s="206">
        <f t="shared" si="279"/>
        <v>712</v>
      </c>
      <c r="FQ74" s="182">
        <f t="shared" si="591"/>
        <v>79</v>
      </c>
      <c r="FR74" s="181">
        <f t="shared" si="637"/>
        <v>0</v>
      </c>
      <c r="FS74" s="206">
        <f t="shared" ref="FS74:FS137" si="656">FQ74-FR74</f>
        <v>79</v>
      </c>
      <c r="FU74" s="403">
        <f>FU73+1</f>
        <v>2</v>
      </c>
      <c r="FV74" s="404">
        <f t="shared" si="639"/>
        <v>9</v>
      </c>
      <c r="FW74" s="229"/>
      <c r="FX74" s="380">
        <f t="shared" si="437"/>
        <v>0</v>
      </c>
      <c r="FY74" s="267">
        <f t="shared" si="489"/>
        <v>0</v>
      </c>
      <c r="FZ74" s="405"/>
      <c r="GA74" s="406"/>
      <c r="GB74" s="406"/>
      <c r="GC74" s="380">
        <f t="shared" si="217"/>
        <v>0</v>
      </c>
      <c r="GD74" s="380">
        <f t="shared" si="190"/>
        <v>0</v>
      </c>
      <c r="GE74" s="380">
        <f t="shared" si="592"/>
        <v>0.16</v>
      </c>
      <c r="GF74" s="410">
        <f t="shared" si="218"/>
        <v>0</v>
      </c>
      <c r="GG74" s="407">
        <f t="shared" si="593"/>
        <v>3.0400000000000005</v>
      </c>
      <c r="GH74" s="424">
        <f t="shared" si="192"/>
        <v>0</v>
      </c>
      <c r="GI74" s="405"/>
      <c r="GJ74" s="380">
        <f t="shared" si="594"/>
        <v>49</v>
      </c>
      <c r="GK74" s="408">
        <f t="shared" si="262"/>
        <v>0</v>
      </c>
      <c r="GL74" s="409">
        <f t="shared" si="193"/>
        <v>0</v>
      </c>
      <c r="GM74" s="182">
        <f t="shared" si="595"/>
        <v>712</v>
      </c>
      <c r="GN74" s="181">
        <f t="shared" si="640"/>
        <v>0</v>
      </c>
      <c r="GO74" s="206">
        <f t="shared" si="281"/>
        <v>712</v>
      </c>
      <c r="GP74" s="182">
        <f t="shared" si="596"/>
        <v>79</v>
      </c>
      <c r="GQ74" s="181">
        <f t="shared" si="641"/>
        <v>0</v>
      </c>
      <c r="GR74" s="206">
        <f t="shared" ref="GR74:GR137" si="657">GP74-GQ74</f>
        <v>79</v>
      </c>
      <c r="GT74" s="403">
        <f>GT73+1</f>
        <v>2</v>
      </c>
      <c r="GU74" s="404">
        <f t="shared" si="643"/>
        <v>9</v>
      </c>
      <c r="GV74" s="229"/>
      <c r="GW74" s="380">
        <f t="shared" si="438"/>
        <v>0</v>
      </c>
      <c r="GX74" s="267">
        <f t="shared" si="490"/>
        <v>0</v>
      </c>
      <c r="GY74" s="405"/>
      <c r="GZ74" s="406"/>
      <c r="HA74" s="406"/>
      <c r="HB74" s="380">
        <f t="shared" si="220"/>
        <v>0</v>
      </c>
      <c r="HC74" s="380">
        <f t="shared" si="195"/>
        <v>0</v>
      </c>
      <c r="HD74" s="380">
        <f t="shared" si="597"/>
        <v>0.16</v>
      </c>
      <c r="HE74" s="410">
        <f t="shared" si="221"/>
        <v>0</v>
      </c>
      <c r="HF74" s="407">
        <f t="shared" si="598"/>
        <v>3.0400000000000005</v>
      </c>
      <c r="HG74" s="424">
        <f t="shared" si="197"/>
        <v>0</v>
      </c>
      <c r="HH74" s="405"/>
      <c r="HI74" s="380">
        <f t="shared" si="599"/>
        <v>49</v>
      </c>
      <c r="HJ74" s="408">
        <f t="shared" si="263"/>
        <v>0</v>
      </c>
      <c r="HK74" s="409">
        <f t="shared" si="198"/>
        <v>0</v>
      </c>
      <c r="HL74" s="182">
        <f t="shared" si="600"/>
        <v>712</v>
      </c>
      <c r="HM74" s="181">
        <f t="shared" si="644"/>
        <v>0</v>
      </c>
      <c r="HN74" s="206">
        <f t="shared" si="283"/>
        <v>712</v>
      </c>
      <c r="HO74" s="182">
        <f t="shared" si="601"/>
        <v>79</v>
      </c>
      <c r="HP74" s="181">
        <f t="shared" si="645"/>
        <v>0</v>
      </c>
      <c r="HQ74" s="206">
        <f t="shared" ref="HQ74:HQ137" si="658">HO74-HP74</f>
        <v>79</v>
      </c>
    </row>
    <row r="75" spans="1:225" ht="17.25" thickBot="1" x14ac:dyDescent="0.3">
      <c r="B75" s="120">
        <f t="shared" si="602"/>
        <v>3</v>
      </c>
      <c r="C75" s="574">
        <f t="shared" si="603"/>
        <v>9</v>
      </c>
      <c r="D75" s="136"/>
      <c r="E75" s="436">
        <f t="shared" si="223"/>
        <v>96082</v>
      </c>
      <c r="F75" s="451">
        <f t="shared" si="555"/>
        <v>96078</v>
      </c>
      <c r="G75" s="137"/>
      <c r="H75" s="138">
        <v>4</v>
      </c>
      <c r="I75" s="138"/>
      <c r="J75" s="32">
        <f t="shared" si="200"/>
        <v>4</v>
      </c>
      <c r="K75" s="32">
        <f t="shared" si="604"/>
        <v>5187</v>
      </c>
      <c r="L75" s="34">
        <f t="shared" si="556"/>
        <v>0.16</v>
      </c>
      <c r="M75" s="96">
        <f t="shared" si="605"/>
        <v>4.1631106762973292E-3</v>
      </c>
      <c r="N75" s="40">
        <f t="shared" si="557"/>
        <v>3.0400000000000005</v>
      </c>
      <c r="O75" s="132">
        <f t="shared" si="606"/>
        <v>3.8458401607438106</v>
      </c>
      <c r="P75" s="139">
        <v>3822</v>
      </c>
      <c r="Q75" s="32">
        <f t="shared" si="558"/>
        <v>49</v>
      </c>
      <c r="R75" s="592">
        <f t="shared" si="559"/>
        <v>39.778522512020984</v>
      </c>
      <c r="S75" s="471">
        <f t="shared" si="650"/>
        <v>1764.4560859730022</v>
      </c>
      <c r="T75" s="56">
        <f t="shared" si="560"/>
        <v>712</v>
      </c>
      <c r="U75" s="109">
        <f t="shared" si="607"/>
        <v>614</v>
      </c>
      <c r="V75" s="63">
        <f t="shared" si="608"/>
        <v>98</v>
      </c>
      <c r="W75" s="15">
        <f t="shared" si="561"/>
        <v>79</v>
      </c>
      <c r="X75" s="109">
        <f t="shared" si="609"/>
        <v>66</v>
      </c>
      <c r="Y75" s="63">
        <f t="shared" si="610"/>
        <v>13</v>
      </c>
      <c r="Z75" s="487"/>
      <c r="AA75" s="120">
        <f t="shared" si="611"/>
        <v>3</v>
      </c>
      <c r="AB75" s="8">
        <f t="shared" si="612"/>
        <v>9</v>
      </c>
      <c r="AC75" s="136"/>
      <c r="AD75" s="54">
        <f t="shared" si="483"/>
        <v>86726</v>
      </c>
      <c r="AE75" s="55">
        <f t="shared" si="484"/>
        <v>86715</v>
      </c>
      <c r="AF75" s="137"/>
      <c r="AG75" s="138">
        <v>11</v>
      </c>
      <c r="AH75" s="138"/>
      <c r="AI75" s="34">
        <f t="shared" si="203"/>
        <v>11</v>
      </c>
      <c r="AJ75" s="34">
        <f t="shared" si="321"/>
        <v>6184</v>
      </c>
      <c r="AK75" s="17">
        <f t="shared" si="562"/>
        <v>0.16</v>
      </c>
      <c r="AL75" s="96">
        <f t="shared" si="613"/>
        <v>1.2683624287987454E-2</v>
      </c>
      <c r="AM75" s="33">
        <f t="shared" si="563"/>
        <v>3.0400000000000005</v>
      </c>
      <c r="AN75" s="157">
        <f t="shared" ref="AN75:AN138" si="659">IFERROR((AJ75*100)/$AC$19,0)</f>
        <v>4.0371859821381939</v>
      </c>
      <c r="AO75" s="137">
        <v>3276</v>
      </c>
      <c r="AP75" s="13">
        <f t="shared" si="564"/>
        <v>49</v>
      </c>
      <c r="AQ75" s="479">
        <f t="shared" si="614"/>
        <v>37.774139243133547</v>
      </c>
      <c r="AR75" s="471">
        <f t="shared" si="323"/>
        <v>1754.7500610315392</v>
      </c>
      <c r="AS75" s="56">
        <f t="shared" si="565"/>
        <v>712</v>
      </c>
      <c r="AT75" s="103">
        <f t="shared" si="615"/>
        <v>679</v>
      </c>
      <c r="AU75" s="63">
        <f t="shared" si="271"/>
        <v>33</v>
      </c>
      <c r="AV75" s="12">
        <f t="shared" si="566"/>
        <v>79</v>
      </c>
      <c r="AW75" s="103">
        <f t="shared" si="616"/>
        <v>90</v>
      </c>
      <c r="AX75" s="63">
        <f t="shared" ref="AX75:AX138" si="660">AV75-AW75</f>
        <v>-11</v>
      </c>
      <c r="AZ75" s="197">
        <f t="shared" si="617"/>
        <v>3</v>
      </c>
      <c r="BA75" s="8">
        <f t="shared" si="618"/>
        <v>9</v>
      </c>
      <c r="BB75" s="136"/>
      <c r="BC75" s="54">
        <f t="shared" si="518"/>
        <v>92891</v>
      </c>
      <c r="BD75" s="55">
        <f t="shared" si="485"/>
        <v>92885</v>
      </c>
      <c r="BE75" s="137">
        <v>1</v>
      </c>
      <c r="BF75" s="138">
        <v>5</v>
      </c>
      <c r="BG75" s="138"/>
      <c r="BH75" s="34">
        <f t="shared" si="204"/>
        <v>6</v>
      </c>
      <c r="BI75" s="34">
        <f t="shared" si="294"/>
        <v>987</v>
      </c>
      <c r="BJ75" s="34">
        <f t="shared" si="567"/>
        <v>0.16</v>
      </c>
      <c r="BK75" s="96">
        <f t="shared" si="646"/>
        <v>6.4591833439192172E-3</v>
      </c>
      <c r="BL75" s="40">
        <f t="shared" si="568"/>
        <v>3.0400000000000005</v>
      </c>
      <c r="BM75" s="132">
        <f t="shared" si="326"/>
        <v>1.3823529411764706</v>
      </c>
      <c r="BN75" s="137">
        <v>4095</v>
      </c>
      <c r="BO75" s="32">
        <f t="shared" si="569"/>
        <v>49</v>
      </c>
      <c r="BP75" s="443">
        <f t="shared" si="647"/>
        <v>44.083926322248651</v>
      </c>
      <c r="BQ75" s="750">
        <f t="shared" si="651"/>
        <v>1757.3654574957704</v>
      </c>
      <c r="BR75" s="56">
        <f t="shared" si="570"/>
        <v>712</v>
      </c>
      <c r="BS75" s="109">
        <f t="shared" si="619"/>
        <v>680</v>
      </c>
      <c r="BT75" s="63">
        <f t="shared" si="272"/>
        <v>32</v>
      </c>
      <c r="BU75" s="15">
        <f t="shared" si="571"/>
        <v>79</v>
      </c>
      <c r="BV75" s="109">
        <f t="shared" si="620"/>
        <v>76</v>
      </c>
      <c r="BW75" s="63">
        <f t="shared" ref="BW75:BW138" si="661">BU75-BV75</f>
        <v>3</v>
      </c>
      <c r="BY75" s="120">
        <f t="shared" si="621"/>
        <v>3</v>
      </c>
      <c r="BZ75" s="8">
        <f t="shared" si="622"/>
        <v>9</v>
      </c>
      <c r="CA75" s="136"/>
      <c r="CB75" s="32">
        <f t="shared" ref="CB75:CB138" si="662">IFERROR(CC74+CA75,0)</f>
        <v>0</v>
      </c>
      <c r="CC75" s="53">
        <f t="shared" si="205"/>
        <v>0</v>
      </c>
      <c r="CD75" s="421"/>
      <c r="CE75" s="426"/>
      <c r="CF75" s="426"/>
      <c r="CG75" s="34">
        <f t="shared" si="206"/>
        <v>0</v>
      </c>
      <c r="CH75" s="34">
        <f t="shared" ref="CH75:CH138" si="663">CH74+CG75</f>
        <v>0</v>
      </c>
      <c r="CI75" s="17">
        <f t="shared" si="572"/>
        <v>0.16</v>
      </c>
      <c r="CJ75" s="166">
        <f t="shared" si="648"/>
        <v>0</v>
      </c>
      <c r="CK75" s="33">
        <f t="shared" si="573"/>
        <v>3.0400000000000005</v>
      </c>
      <c r="CL75" s="156">
        <f t="shared" si="652"/>
        <v>0</v>
      </c>
      <c r="CM75" s="137"/>
      <c r="CN75" s="32">
        <f t="shared" si="574"/>
        <v>49</v>
      </c>
      <c r="CO75" s="54">
        <f t="shared" si="653"/>
        <v>0</v>
      </c>
      <c r="CP75" s="70">
        <f t="shared" si="649"/>
        <v>0</v>
      </c>
      <c r="CQ75" s="50">
        <f t="shared" si="575"/>
        <v>712</v>
      </c>
      <c r="CR75" s="103">
        <f t="shared" si="623"/>
        <v>0</v>
      </c>
      <c r="CS75" s="63">
        <f t="shared" si="273"/>
        <v>712</v>
      </c>
      <c r="CT75" s="12">
        <f t="shared" si="576"/>
        <v>79</v>
      </c>
      <c r="CU75" s="103">
        <f t="shared" si="624"/>
        <v>0</v>
      </c>
      <c r="CV75" s="63">
        <f t="shared" si="625"/>
        <v>79</v>
      </c>
      <c r="CX75" s="120">
        <f t="shared" si="626"/>
        <v>3</v>
      </c>
      <c r="CY75" s="8">
        <f t="shared" si="627"/>
        <v>9</v>
      </c>
      <c r="CZ75" s="136"/>
      <c r="DA75" s="32">
        <f t="shared" si="434"/>
        <v>0</v>
      </c>
      <c r="DB75" s="53">
        <f t="shared" si="486"/>
        <v>0</v>
      </c>
      <c r="DC75" s="421"/>
      <c r="DD75" s="426"/>
      <c r="DE75" s="426"/>
      <c r="DF75" s="34">
        <f t="shared" si="208"/>
        <v>0</v>
      </c>
      <c r="DG75" s="34">
        <f t="shared" ref="DG75:DG103" si="664">DG74+DF75</f>
        <v>0</v>
      </c>
      <c r="DH75" s="17">
        <f t="shared" si="577"/>
        <v>0.16</v>
      </c>
      <c r="DI75" s="166">
        <f t="shared" si="209"/>
        <v>0</v>
      </c>
      <c r="DJ75" s="33">
        <f t="shared" si="578"/>
        <v>3.0400000000000005</v>
      </c>
      <c r="DK75" s="156">
        <f t="shared" ref="DK75:DK85" si="665">IFERROR((DG75*100)/DA75,0)</f>
        <v>0</v>
      </c>
      <c r="DL75" s="137"/>
      <c r="DM75" s="32">
        <f t="shared" si="579"/>
        <v>49</v>
      </c>
      <c r="DN75" s="54">
        <f t="shared" si="259"/>
        <v>0</v>
      </c>
      <c r="DO75" s="70">
        <f t="shared" ref="DO75:DO138" si="666">DO74+DN75</f>
        <v>0</v>
      </c>
      <c r="DP75" s="50">
        <f t="shared" si="580"/>
        <v>712</v>
      </c>
      <c r="DQ75" s="103">
        <f t="shared" si="628"/>
        <v>0</v>
      </c>
      <c r="DR75" s="63">
        <f t="shared" si="275"/>
        <v>712</v>
      </c>
      <c r="DS75" s="12">
        <f t="shared" si="581"/>
        <v>79</v>
      </c>
      <c r="DT75" s="103">
        <f t="shared" si="629"/>
        <v>0</v>
      </c>
      <c r="DU75" s="63">
        <f t="shared" si="654"/>
        <v>79</v>
      </c>
      <c r="DW75" s="120">
        <f t="shared" si="630"/>
        <v>3</v>
      </c>
      <c r="DX75" s="8">
        <f t="shared" si="631"/>
        <v>9</v>
      </c>
      <c r="DY75" s="136"/>
      <c r="DZ75" s="32">
        <f t="shared" si="435"/>
        <v>0</v>
      </c>
      <c r="EA75" s="53">
        <f t="shared" si="487"/>
        <v>0</v>
      </c>
      <c r="EB75" s="421"/>
      <c r="EC75" s="426"/>
      <c r="ED75" s="426"/>
      <c r="EE75" s="34">
        <f t="shared" si="211"/>
        <v>0</v>
      </c>
      <c r="EF75" s="34">
        <f t="shared" ref="EF75:EF103" si="667">EF74+EE75</f>
        <v>0</v>
      </c>
      <c r="EG75" s="17">
        <f t="shared" si="582"/>
        <v>0.16</v>
      </c>
      <c r="EH75" s="166">
        <f t="shared" si="212"/>
        <v>0</v>
      </c>
      <c r="EI75" s="33">
        <f t="shared" si="583"/>
        <v>3.0400000000000005</v>
      </c>
      <c r="EJ75" s="156">
        <f t="shared" ref="EJ75:EJ85" si="668">IFERROR((EF75*100)/DZ75,0)</f>
        <v>0</v>
      </c>
      <c r="EK75" s="137"/>
      <c r="EL75" s="32">
        <f t="shared" si="584"/>
        <v>49</v>
      </c>
      <c r="EM75" s="54">
        <f t="shared" si="260"/>
        <v>0</v>
      </c>
      <c r="EN75" s="70">
        <f t="shared" ref="EN75:EN138" si="669">EN74+EM75</f>
        <v>0</v>
      </c>
      <c r="EO75" s="50">
        <f t="shared" si="585"/>
        <v>712</v>
      </c>
      <c r="EP75" s="103">
        <f t="shared" si="632"/>
        <v>0</v>
      </c>
      <c r="EQ75" s="63">
        <f t="shared" si="277"/>
        <v>712</v>
      </c>
      <c r="ER75" s="12">
        <f t="shared" si="586"/>
        <v>79</v>
      </c>
      <c r="ES75" s="103">
        <f t="shared" si="633"/>
        <v>0</v>
      </c>
      <c r="ET75" s="63">
        <f t="shared" si="655"/>
        <v>79</v>
      </c>
      <c r="EV75" s="120">
        <f t="shared" si="634"/>
        <v>3</v>
      </c>
      <c r="EW75" s="8">
        <f t="shared" si="635"/>
        <v>9</v>
      </c>
      <c r="EX75" s="136"/>
      <c r="EY75" s="32">
        <f t="shared" si="436"/>
        <v>0</v>
      </c>
      <c r="EZ75" s="53">
        <f t="shared" si="488"/>
        <v>0</v>
      </c>
      <c r="FA75" s="421"/>
      <c r="FB75" s="426"/>
      <c r="FC75" s="426"/>
      <c r="FD75" s="34">
        <f t="shared" si="214"/>
        <v>0</v>
      </c>
      <c r="FE75" s="34">
        <f t="shared" ref="FE75:FE103" si="670">FE74+FD75</f>
        <v>0</v>
      </c>
      <c r="FF75" s="17">
        <f t="shared" si="587"/>
        <v>0.16</v>
      </c>
      <c r="FG75" s="166">
        <f t="shared" si="215"/>
        <v>0</v>
      </c>
      <c r="FH75" s="33">
        <f t="shared" si="588"/>
        <v>3.0400000000000005</v>
      </c>
      <c r="FI75" s="156">
        <f t="shared" ref="FI75:FI85" si="671">IFERROR((FE75*100)/EY75,0)</f>
        <v>0</v>
      </c>
      <c r="FJ75" s="137"/>
      <c r="FK75" s="32">
        <f t="shared" si="589"/>
        <v>49</v>
      </c>
      <c r="FL75" s="54">
        <f t="shared" si="261"/>
        <v>0</v>
      </c>
      <c r="FM75" s="70">
        <f t="shared" ref="FM75:FM138" si="672">FM74+FL75</f>
        <v>0</v>
      </c>
      <c r="FN75" s="50">
        <f t="shared" si="590"/>
        <v>712</v>
      </c>
      <c r="FO75" s="103">
        <f t="shared" si="636"/>
        <v>0</v>
      </c>
      <c r="FP75" s="63">
        <f t="shared" si="279"/>
        <v>712</v>
      </c>
      <c r="FQ75" s="12">
        <f t="shared" si="591"/>
        <v>79</v>
      </c>
      <c r="FR75" s="103">
        <f t="shared" si="637"/>
        <v>0</v>
      </c>
      <c r="FS75" s="63">
        <f t="shared" si="656"/>
        <v>79</v>
      </c>
      <c r="FU75" s="120">
        <f t="shared" si="638"/>
        <v>3</v>
      </c>
      <c r="FV75" s="8">
        <f t="shared" si="639"/>
        <v>9</v>
      </c>
      <c r="FW75" s="136"/>
      <c r="FX75" s="32">
        <f t="shared" si="437"/>
        <v>0</v>
      </c>
      <c r="FY75" s="53">
        <f t="shared" si="489"/>
        <v>0</v>
      </c>
      <c r="FZ75" s="421"/>
      <c r="GA75" s="426"/>
      <c r="GB75" s="426"/>
      <c r="GC75" s="34">
        <f t="shared" si="217"/>
        <v>0</v>
      </c>
      <c r="GD75" s="34">
        <f t="shared" ref="GD75:GD103" si="673">GD74+GC75</f>
        <v>0</v>
      </c>
      <c r="GE75" s="17">
        <f t="shared" si="592"/>
        <v>0.16</v>
      </c>
      <c r="GF75" s="166">
        <f t="shared" si="218"/>
        <v>0</v>
      </c>
      <c r="GG75" s="33">
        <f t="shared" si="593"/>
        <v>3.0400000000000005</v>
      </c>
      <c r="GH75" s="156">
        <f t="shared" ref="GH75:GH85" si="674">IFERROR((GD75*100)/FX75,0)</f>
        <v>0</v>
      </c>
      <c r="GI75" s="137"/>
      <c r="GJ75" s="32">
        <f t="shared" si="594"/>
        <v>49</v>
      </c>
      <c r="GK75" s="54">
        <f t="shared" si="262"/>
        <v>0</v>
      </c>
      <c r="GL75" s="70">
        <f t="shared" ref="GL75:GL138" si="675">GL74+GK75</f>
        <v>0</v>
      </c>
      <c r="GM75" s="50">
        <f t="shared" si="595"/>
        <v>712</v>
      </c>
      <c r="GN75" s="103">
        <f t="shared" si="640"/>
        <v>0</v>
      </c>
      <c r="GO75" s="63">
        <f t="shared" si="281"/>
        <v>712</v>
      </c>
      <c r="GP75" s="12">
        <f t="shared" si="596"/>
        <v>79</v>
      </c>
      <c r="GQ75" s="103">
        <f t="shared" si="641"/>
        <v>0</v>
      </c>
      <c r="GR75" s="63">
        <f t="shared" si="657"/>
        <v>79</v>
      </c>
      <c r="GT75" s="120">
        <f t="shared" si="642"/>
        <v>3</v>
      </c>
      <c r="GU75" s="8">
        <f t="shared" si="643"/>
        <v>9</v>
      </c>
      <c r="GV75" s="136"/>
      <c r="GW75" s="32">
        <f t="shared" si="438"/>
        <v>0</v>
      </c>
      <c r="GX75" s="53">
        <f t="shared" si="490"/>
        <v>0</v>
      </c>
      <c r="GY75" s="421"/>
      <c r="GZ75" s="426"/>
      <c r="HA75" s="426"/>
      <c r="HB75" s="34">
        <f t="shared" si="220"/>
        <v>0</v>
      </c>
      <c r="HC75" s="34">
        <f t="shared" ref="HC75:HC103" si="676">HC74+HB75</f>
        <v>0</v>
      </c>
      <c r="HD75" s="17">
        <f t="shared" si="597"/>
        <v>0.16</v>
      </c>
      <c r="HE75" s="166">
        <f t="shared" si="221"/>
        <v>0</v>
      </c>
      <c r="HF75" s="33">
        <f t="shared" si="598"/>
        <v>3.0400000000000005</v>
      </c>
      <c r="HG75" s="156">
        <f t="shared" ref="HG75:HG85" si="677">IFERROR((HC75*100)/GW75,0)</f>
        <v>0</v>
      </c>
      <c r="HH75" s="137"/>
      <c r="HI75" s="32">
        <f t="shared" si="599"/>
        <v>49</v>
      </c>
      <c r="HJ75" s="54">
        <f t="shared" si="263"/>
        <v>0</v>
      </c>
      <c r="HK75" s="70">
        <f t="shared" ref="HK75:HK138" si="678">HK74+HJ75</f>
        <v>0</v>
      </c>
      <c r="HL75" s="50">
        <f t="shared" si="600"/>
        <v>712</v>
      </c>
      <c r="HM75" s="103">
        <f t="shared" si="644"/>
        <v>0</v>
      </c>
      <c r="HN75" s="63">
        <f t="shared" si="283"/>
        <v>712</v>
      </c>
      <c r="HO75" s="12">
        <f t="shared" si="601"/>
        <v>79</v>
      </c>
      <c r="HP75" s="103">
        <f t="shared" si="645"/>
        <v>0</v>
      </c>
      <c r="HQ75" s="63">
        <f t="shared" si="658"/>
        <v>79</v>
      </c>
    </row>
    <row r="76" spans="1:225" ht="17.25" thickBot="1" x14ac:dyDescent="0.3">
      <c r="B76" s="118">
        <v>4</v>
      </c>
      <c r="C76" s="575">
        <v>10</v>
      </c>
      <c r="D76" s="129"/>
      <c r="E76" s="400">
        <f t="shared" si="223"/>
        <v>96078</v>
      </c>
      <c r="F76" s="561">
        <f t="shared" si="555"/>
        <v>96053</v>
      </c>
      <c r="G76" s="130"/>
      <c r="H76" s="131">
        <v>25</v>
      </c>
      <c r="I76" s="131"/>
      <c r="J76" s="11">
        <f t="shared" si="200"/>
        <v>25</v>
      </c>
      <c r="K76" s="11">
        <f t="shared" si="604"/>
        <v>5212</v>
      </c>
      <c r="L76" s="16">
        <f t="shared" si="556"/>
        <v>0.16</v>
      </c>
      <c r="M76" s="153">
        <f t="shared" si="605"/>
        <v>2.60205249901122E-2</v>
      </c>
      <c r="N76" s="154">
        <f t="shared" si="557"/>
        <v>3.2000000000000006</v>
      </c>
      <c r="O76" s="132">
        <f t="shared" si="606"/>
        <v>3.8643761167913517</v>
      </c>
      <c r="P76" s="158">
        <v>4368</v>
      </c>
      <c r="Q76" s="11">
        <f t="shared" si="558"/>
        <v>52</v>
      </c>
      <c r="R76" s="481">
        <f t="shared" si="559"/>
        <v>45.46306126272404</v>
      </c>
      <c r="S76" s="469">
        <f t="shared" si="650"/>
        <v>1809.9191472357263</v>
      </c>
      <c r="T76" s="58">
        <f t="shared" si="560"/>
        <v>802</v>
      </c>
      <c r="U76" s="131">
        <v>749</v>
      </c>
      <c r="V76" s="41">
        <f t="shared" si="608"/>
        <v>53</v>
      </c>
      <c r="W76" s="18">
        <f t="shared" si="561"/>
        <v>80</v>
      </c>
      <c r="X76" s="131">
        <v>78</v>
      </c>
      <c r="Y76" s="41">
        <f t="shared" si="610"/>
        <v>2</v>
      </c>
      <c r="Z76" s="487"/>
      <c r="AA76" s="118">
        <v>4</v>
      </c>
      <c r="AB76" s="9">
        <v>10</v>
      </c>
      <c r="AC76" s="129"/>
      <c r="AD76" s="43">
        <f t="shared" si="483"/>
        <v>86715</v>
      </c>
      <c r="AE76" s="44">
        <f t="shared" si="484"/>
        <v>86702</v>
      </c>
      <c r="AF76" s="130"/>
      <c r="AG76" s="131">
        <v>13</v>
      </c>
      <c r="AH76" s="131"/>
      <c r="AI76" s="11">
        <f t="shared" si="203"/>
        <v>13</v>
      </c>
      <c r="AJ76" s="11">
        <f t="shared" si="321"/>
        <v>6197</v>
      </c>
      <c r="AK76" s="16">
        <f t="shared" si="562"/>
        <v>0.16</v>
      </c>
      <c r="AL76" s="153">
        <f t="shared" si="613"/>
        <v>1.4991639278094909E-2</v>
      </c>
      <c r="AM76" s="154">
        <f t="shared" si="563"/>
        <v>3.2000000000000006</v>
      </c>
      <c r="AN76" s="157">
        <f t="shared" si="659"/>
        <v>4.0456729513761944</v>
      </c>
      <c r="AO76" s="130">
        <v>3276</v>
      </c>
      <c r="AP76" s="11">
        <f t="shared" si="564"/>
        <v>52</v>
      </c>
      <c r="AQ76" s="481">
        <f t="shared" si="614"/>
        <v>37.778930980799167</v>
      </c>
      <c r="AR76" s="469">
        <f t="shared" si="323"/>
        <v>1792.5289920123384</v>
      </c>
      <c r="AS76" s="61">
        <f t="shared" si="565"/>
        <v>802</v>
      </c>
      <c r="AT76" s="131">
        <v>705</v>
      </c>
      <c r="AU76" s="41">
        <f t="shared" si="271"/>
        <v>97</v>
      </c>
      <c r="AV76" s="18">
        <f t="shared" si="566"/>
        <v>80</v>
      </c>
      <c r="AW76" s="131">
        <v>71</v>
      </c>
      <c r="AX76" s="41">
        <f t="shared" si="660"/>
        <v>9</v>
      </c>
      <c r="AZ76" s="198">
        <v>4</v>
      </c>
      <c r="BA76" s="38">
        <v>10</v>
      </c>
      <c r="BB76" s="143"/>
      <c r="BC76" s="60">
        <f t="shared" si="518"/>
        <v>92885</v>
      </c>
      <c r="BD76" s="72">
        <f t="shared" si="485"/>
        <v>92880</v>
      </c>
      <c r="BE76" s="144"/>
      <c r="BF76" s="141">
        <v>5</v>
      </c>
      <c r="BG76" s="141"/>
      <c r="BH76" s="17">
        <f t="shared" si="204"/>
        <v>5</v>
      </c>
      <c r="BI76" s="17">
        <f t="shared" si="294"/>
        <v>992</v>
      </c>
      <c r="BJ76" s="31">
        <f t="shared" si="567"/>
        <v>0.16</v>
      </c>
      <c r="BK76" s="235">
        <f t="shared" si="646"/>
        <v>5.3830004844700437E-3</v>
      </c>
      <c r="BL76" s="37">
        <f t="shared" si="568"/>
        <v>3.2000000000000006</v>
      </c>
      <c r="BM76" s="132">
        <f t="shared" si="326"/>
        <v>1.3893557422969187</v>
      </c>
      <c r="BN76" s="144">
        <v>2730</v>
      </c>
      <c r="BO76" s="17">
        <f t="shared" si="569"/>
        <v>52</v>
      </c>
      <c r="BP76" s="479">
        <f t="shared" si="647"/>
        <v>29.391182645206438</v>
      </c>
      <c r="BQ76" s="751">
        <f t="shared" si="651"/>
        <v>1786.756640140977</v>
      </c>
      <c r="BR76" s="61">
        <f t="shared" si="570"/>
        <v>802</v>
      </c>
      <c r="BS76" s="141">
        <v>825</v>
      </c>
      <c r="BT76" s="71">
        <f t="shared" si="272"/>
        <v>-23</v>
      </c>
      <c r="BU76" s="12">
        <f t="shared" si="571"/>
        <v>80</v>
      </c>
      <c r="BV76" s="141">
        <v>96</v>
      </c>
      <c r="BW76" s="71">
        <f t="shared" si="661"/>
        <v>-16</v>
      </c>
      <c r="BY76" s="118">
        <v>4</v>
      </c>
      <c r="BZ76" s="9">
        <v>10</v>
      </c>
      <c r="CA76" s="129"/>
      <c r="CB76" s="11">
        <f t="shared" si="662"/>
        <v>0</v>
      </c>
      <c r="CC76" s="41">
        <f t="shared" si="205"/>
        <v>0</v>
      </c>
      <c r="CD76" s="398"/>
      <c r="CE76" s="399"/>
      <c r="CF76" s="399"/>
      <c r="CG76" s="11">
        <f t="shared" si="206"/>
        <v>0</v>
      </c>
      <c r="CH76" s="11">
        <f t="shared" si="663"/>
        <v>0</v>
      </c>
      <c r="CI76" s="16">
        <f t="shared" si="572"/>
        <v>0.16</v>
      </c>
      <c r="CJ76" s="231">
        <f t="shared" si="648"/>
        <v>0</v>
      </c>
      <c r="CK76" s="154">
        <f t="shared" si="573"/>
        <v>3.2000000000000006</v>
      </c>
      <c r="CL76" s="155">
        <f t="shared" si="652"/>
        <v>0</v>
      </c>
      <c r="CM76" s="130"/>
      <c r="CN76" s="17">
        <f t="shared" si="574"/>
        <v>52</v>
      </c>
      <c r="CO76" s="60">
        <f t="shared" si="653"/>
        <v>0</v>
      </c>
      <c r="CP76" s="377">
        <f t="shared" si="649"/>
        <v>0</v>
      </c>
      <c r="CQ76" s="58">
        <f t="shared" si="575"/>
        <v>802</v>
      </c>
      <c r="CR76" s="131"/>
      <c r="CS76" s="41">
        <f t="shared" si="273"/>
        <v>802</v>
      </c>
      <c r="CT76" s="18">
        <f t="shared" si="576"/>
        <v>80</v>
      </c>
      <c r="CU76" s="131"/>
      <c r="CV76" s="41">
        <f t="shared" si="625"/>
        <v>80</v>
      </c>
      <c r="CX76" s="118">
        <v>4</v>
      </c>
      <c r="CY76" s="9">
        <v>10</v>
      </c>
      <c r="CZ76" s="129"/>
      <c r="DA76" s="11">
        <f t="shared" si="434"/>
        <v>0</v>
      </c>
      <c r="DB76" s="41">
        <f t="shared" si="486"/>
        <v>0</v>
      </c>
      <c r="DC76" s="398"/>
      <c r="DD76" s="399"/>
      <c r="DE76" s="399"/>
      <c r="DF76" s="11">
        <f t="shared" si="208"/>
        <v>0</v>
      </c>
      <c r="DG76" s="11">
        <f t="shared" si="664"/>
        <v>0</v>
      </c>
      <c r="DH76" s="16">
        <f t="shared" si="577"/>
        <v>0.16</v>
      </c>
      <c r="DI76" s="231">
        <f t="shared" si="209"/>
        <v>0</v>
      </c>
      <c r="DJ76" s="154">
        <f t="shared" si="578"/>
        <v>3.2000000000000006</v>
      </c>
      <c r="DK76" s="155">
        <f t="shared" si="665"/>
        <v>0</v>
      </c>
      <c r="DL76" s="130"/>
      <c r="DM76" s="17">
        <f t="shared" si="579"/>
        <v>52</v>
      </c>
      <c r="DN76" s="60">
        <f t="shared" si="259"/>
        <v>0</v>
      </c>
      <c r="DO76" s="377">
        <f t="shared" si="666"/>
        <v>0</v>
      </c>
      <c r="DP76" s="58">
        <f t="shared" si="580"/>
        <v>802</v>
      </c>
      <c r="DQ76" s="131"/>
      <c r="DR76" s="41">
        <f t="shared" si="275"/>
        <v>802</v>
      </c>
      <c r="DS76" s="18">
        <f t="shared" si="581"/>
        <v>80</v>
      </c>
      <c r="DT76" s="131"/>
      <c r="DU76" s="41">
        <f t="shared" si="654"/>
        <v>80</v>
      </c>
      <c r="DW76" s="118">
        <v>4</v>
      </c>
      <c r="DX76" s="9">
        <v>10</v>
      </c>
      <c r="DY76" s="129"/>
      <c r="DZ76" s="11">
        <f t="shared" si="435"/>
        <v>0</v>
      </c>
      <c r="EA76" s="41">
        <f t="shared" si="487"/>
        <v>0</v>
      </c>
      <c r="EB76" s="398"/>
      <c r="EC76" s="399"/>
      <c r="ED76" s="399"/>
      <c r="EE76" s="11">
        <f t="shared" si="211"/>
        <v>0</v>
      </c>
      <c r="EF76" s="11">
        <f t="shared" si="667"/>
        <v>0</v>
      </c>
      <c r="EG76" s="16">
        <f t="shared" si="582"/>
        <v>0.16</v>
      </c>
      <c r="EH76" s="231">
        <f t="shared" si="212"/>
        <v>0</v>
      </c>
      <c r="EI76" s="154">
        <f t="shared" si="583"/>
        <v>3.2000000000000006</v>
      </c>
      <c r="EJ76" s="155">
        <f t="shared" si="668"/>
        <v>0</v>
      </c>
      <c r="EK76" s="130"/>
      <c r="EL76" s="17">
        <f t="shared" si="584"/>
        <v>52</v>
      </c>
      <c r="EM76" s="60">
        <f t="shared" si="260"/>
        <v>0</v>
      </c>
      <c r="EN76" s="377">
        <f t="shared" si="669"/>
        <v>0</v>
      </c>
      <c r="EO76" s="58">
        <f t="shared" si="585"/>
        <v>802</v>
      </c>
      <c r="EP76" s="131"/>
      <c r="EQ76" s="41">
        <f t="shared" si="277"/>
        <v>802</v>
      </c>
      <c r="ER76" s="18">
        <f t="shared" si="586"/>
        <v>80</v>
      </c>
      <c r="ES76" s="131"/>
      <c r="ET76" s="41">
        <f t="shared" si="655"/>
        <v>80</v>
      </c>
      <c r="EV76" s="118">
        <v>4</v>
      </c>
      <c r="EW76" s="9">
        <v>10</v>
      </c>
      <c r="EX76" s="129"/>
      <c r="EY76" s="11">
        <f t="shared" si="436"/>
        <v>0</v>
      </c>
      <c r="EZ76" s="41">
        <f t="shared" si="488"/>
        <v>0</v>
      </c>
      <c r="FA76" s="398"/>
      <c r="FB76" s="399"/>
      <c r="FC76" s="399"/>
      <c r="FD76" s="11">
        <f t="shared" si="214"/>
        <v>0</v>
      </c>
      <c r="FE76" s="11">
        <f t="shared" si="670"/>
        <v>0</v>
      </c>
      <c r="FF76" s="16">
        <f t="shared" si="587"/>
        <v>0.16</v>
      </c>
      <c r="FG76" s="231">
        <f t="shared" si="215"/>
        <v>0</v>
      </c>
      <c r="FH76" s="154">
        <f t="shared" si="588"/>
        <v>3.2000000000000006</v>
      </c>
      <c r="FI76" s="155">
        <f t="shared" si="671"/>
        <v>0</v>
      </c>
      <c r="FJ76" s="130"/>
      <c r="FK76" s="17">
        <f t="shared" si="589"/>
        <v>52</v>
      </c>
      <c r="FL76" s="60">
        <f t="shared" si="261"/>
        <v>0</v>
      </c>
      <c r="FM76" s="377">
        <f t="shared" si="672"/>
        <v>0</v>
      </c>
      <c r="FN76" s="58">
        <f t="shared" si="590"/>
        <v>802</v>
      </c>
      <c r="FO76" s="131"/>
      <c r="FP76" s="41">
        <f t="shared" si="279"/>
        <v>802</v>
      </c>
      <c r="FQ76" s="18">
        <f t="shared" si="591"/>
        <v>80</v>
      </c>
      <c r="FR76" s="131"/>
      <c r="FS76" s="41">
        <f t="shared" si="656"/>
        <v>80</v>
      </c>
      <c r="FU76" s="118">
        <v>4</v>
      </c>
      <c r="FV76" s="9">
        <v>10</v>
      </c>
      <c r="FW76" s="129"/>
      <c r="FX76" s="11">
        <f t="shared" si="437"/>
        <v>0</v>
      </c>
      <c r="FY76" s="41">
        <f t="shared" si="489"/>
        <v>0</v>
      </c>
      <c r="FZ76" s="398"/>
      <c r="GA76" s="399"/>
      <c r="GB76" s="399"/>
      <c r="GC76" s="11">
        <f t="shared" si="217"/>
        <v>0</v>
      </c>
      <c r="GD76" s="11">
        <f t="shared" si="673"/>
        <v>0</v>
      </c>
      <c r="GE76" s="16">
        <f t="shared" si="592"/>
        <v>0.16</v>
      </c>
      <c r="GF76" s="231">
        <f t="shared" si="218"/>
        <v>0</v>
      </c>
      <c r="GG76" s="154">
        <f t="shared" si="593"/>
        <v>3.2000000000000006</v>
      </c>
      <c r="GH76" s="155">
        <f t="shared" si="674"/>
        <v>0</v>
      </c>
      <c r="GI76" s="130"/>
      <c r="GJ76" s="17">
        <f t="shared" si="594"/>
        <v>52</v>
      </c>
      <c r="GK76" s="60">
        <f t="shared" si="262"/>
        <v>0</v>
      </c>
      <c r="GL76" s="377">
        <f t="shared" si="675"/>
        <v>0</v>
      </c>
      <c r="GM76" s="58">
        <f t="shared" si="595"/>
        <v>802</v>
      </c>
      <c r="GN76" s="131"/>
      <c r="GO76" s="41">
        <f t="shared" si="281"/>
        <v>802</v>
      </c>
      <c r="GP76" s="18">
        <f t="shared" si="596"/>
        <v>80</v>
      </c>
      <c r="GQ76" s="131"/>
      <c r="GR76" s="41">
        <f t="shared" si="657"/>
        <v>80</v>
      </c>
      <c r="GT76" s="118">
        <v>4</v>
      </c>
      <c r="GU76" s="9">
        <v>10</v>
      </c>
      <c r="GV76" s="129"/>
      <c r="GW76" s="11">
        <f t="shared" si="438"/>
        <v>0</v>
      </c>
      <c r="GX76" s="41">
        <f t="shared" si="490"/>
        <v>0</v>
      </c>
      <c r="GY76" s="398"/>
      <c r="GZ76" s="399"/>
      <c r="HA76" s="399"/>
      <c r="HB76" s="11">
        <f t="shared" si="220"/>
        <v>0</v>
      </c>
      <c r="HC76" s="11">
        <f t="shared" si="676"/>
        <v>0</v>
      </c>
      <c r="HD76" s="16">
        <f t="shared" si="597"/>
        <v>0.16</v>
      </c>
      <c r="HE76" s="231">
        <f t="shared" si="221"/>
        <v>0</v>
      </c>
      <c r="HF76" s="154">
        <f t="shared" si="598"/>
        <v>3.2000000000000006</v>
      </c>
      <c r="HG76" s="155">
        <f t="shared" si="677"/>
        <v>0</v>
      </c>
      <c r="HH76" s="130"/>
      <c r="HI76" s="17">
        <f t="shared" si="599"/>
        <v>52</v>
      </c>
      <c r="HJ76" s="60">
        <f t="shared" si="263"/>
        <v>0</v>
      </c>
      <c r="HK76" s="377">
        <f t="shared" si="678"/>
        <v>0</v>
      </c>
      <c r="HL76" s="58">
        <f t="shared" si="600"/>
        <v>802</v>
      </c>
      <c r="HM76" s="131"/>
      <c r="HN76" s="41">
        <f t="shared" si="283"/>
        <v>802</v>
      </c>
      <c r="HO76" s="18">
        <f t="shared" si="601"/>
        <v>80</v>
      </c>
      <c r="HP76" s="131"/>
      <c r="HQ76" s="41">
        <f t="shared" si="658"/>
        <v>80</v>
      </c>
    </row>
    <row r="77" spans="1:225" ht="17.25" thickBot="1" x14ac:dyDescent="0.3">
      <c r="B77" s="120">
        <f>B76+1</f>
        <v>5</v>
      </c>
      <c r="C77" s="570">
        <f>C76</f>
        <v>10</v>
      </c>
      <c r="D77" s="133"/>
      <c r="E77" s="408">
        <f t="shared" si="223"/>
        <v>96053</v>
      </c>
      <c r="F77" s="562">
        <f t="shared" si="555"/>
        <v>96030</v>
      </c>
      <c r="G77" s="134"/>
      <c r="H77" s="135">
        <v>23</v>
      </c>
      <c r="I77" s="135"/>
      <c r="J77" s="14">
        <f t="shared" ref="J77:J131" si="679">SUM(G77:I77)</f>
        <v>23</v>
      </c>
      <c r="K77" s="14">
        <f t="shared" si="604"/>
        <v>5235</v>
      </c>
      <c r="L77" s="14">
        <f t="shared" si="556"/>
        <v>0.16</v>
      </c>
      <c r="M77" s="47">
        <f t="shared" si="605"/>
        <v>2.3945113635180579E-2</v>
      </c>
      <c r="N77" s="35">
        <f t="shared" si="557"/>
        <v>3.2000000000000006</v>
      </c>
      <c r="O77" s="132">
        <f t="shared" si="606"/>
        <v>3.8814291963550898</v>
      </c>
      <c r="P77" s="142">
        <v>3822</v>
      </c>
      <c r="Q77" s="14">
        <f t="shared" si="558"/>
        <v>52</v>
      </c>
      <c r="R77" s="482">
        <f t="shared" si="559"/>
        <v>39.790532310287027</v>
      </c>
      <c r="S77" s="470">
        <f t="shared" si="650"/>
        <v>1849.7096795460134</v>
      </c>
      <c r="T77" s="51">
        <f t="shared" si="560"/>
        <v>802</v>
      </c>
      <c r="U77" s="103">
        <f>U76</f>
        <v>749</v>
      </c>
      <c r="V77" s="46">
        <f t="shared" si="608"/>
        <v>53</v>
      </c>
      <c r="W77" s="51">
        <f t="shared" si="561"/>
        <v>80</v>
      </c>
      <c r="X77" s="103">
        <f>X76</f>
        <v>78</v>
      </c>
      <c r="Y77" s="46">
        <f t="shared" si="610"/>
        <v>2</v>
      </c>
      <c r="Z77" s="487"/>
      <c r="AA77" s="120">
        <f>AA76+1</f>
        <v>5</v>
      </c>
      <c r="AB77" s="7">
        <f>AB76</f>
        <v>10</v>
      </c>
      <c r="AC77" s="133"/>
      <c r="AD77" s="48">
        <f t="shared" si="483"/>
        <v>86702</v>
      </c>
      <c r="AE77" s="49">
        <f t="shared" si="484"/>
        <v>86691</v>
      </c>
      <c r="AF77" s="134"/>
      <c r="AG77" s="135">
        <v>11</v>
      </c>
      <c r="AH77" s="135"/>
      <c r="AI77" s="14">
        <f t="shared" ref="AI77:AI104" si="680">SUM(AF77:AH77)</f>
        <v>11</v>
      </c>
      <c r="AJ77" s="14">
        <f t="shared" si="321"/>
        <v>6208</v>
      </c>
      <c r="AK77" s="14">
        <f t="shared" si="562"/>
        <v>0.16</v>
      </c>
      <c r="AL77" s="47">
        <f t="shared" si="613"/>
        <v>1.2687135244861709E-2</v>
      </c>
      <c r="AM77" s="35">
        <f t="shared" si="563"/>
        <v>3.2000000000000006</v>
      </c>
      <c r="AN77" s="157">
        <f t="shared" si="659"/>
        <v>4.0528542330391186</v>
      </c>
      <c r="AO77" s="134">
        <v>3276</v>
      </c>
      <c r="AP77" s="14">
        <f t="shared" si="564"/>
        <v>52</v>
      </c>
      <c r="AQ77" s="482">
        <f t="shared" si="614"/>
        <v>37.784595511060878</v>
      </c>
      <c r="AR77" s="470">
        <f t="shared" si="323"/>
        <v>1830.3135875233993</v>
      </c>
      <c r="AS77" s="51">
        <f t="shared" si="565"/>
        <v>802</v>
      </c>
      <c r="AT77" s="103">
        <f>AT76</f>
        <v>705</v>
      </c>
      <c r="AU77" s="46">
        <f t="shared" si="271"/>
        <v>97</v>
      </c>
      <c r="AV77" s="51">
        <f t="shared" si="566"/>
        <v>80</v>
      </c>
      <c r="AW77" s="103">
        <f>AW76</f>
        <v>71</v>
      </c>
      <c r="AX77" s="46">
        <f t="shared" si="660"/>
        <v>9</v>
      </c>
      <c r="AZ77" s="120">
        <f>AZ76+1</f>
        <v>5</v>
      </c>
      <c r="BA77" s="7">
        <f>BA76</f>
        <v>10</v>
      </c>
      <c r="BB77" s="133"/>
      <c r="BC77" s="48">
        <f t="shared" si="518"/>
        <v>92880</v>
      </c>
      <c r="BD77" s="49">
        <f t="shared" si="485"/>
        <v>92875</v>
      </c>
      <c r="BE77" s="134"/>
      <c r="BF77" s="135">
        <v>5</v>
      </c>
      <c r="BG77" s="135"/>
      <c r="BH77" s="14">
        <f t="shared" ref="BH77:BH104" si="681">SUM(BE77:BG77)</f>
        <v>5</v>
      </c>
      <c r="BI77" s="14">
        <f t="shared" si="294"/>
        <v>997</v>
      </c>
      <c r="BJ77" s="14">
        <f t="shared" si="567"/>
        <v>0.16</v>
      </c>
      <c r="BK77" s="47">
        <f t="shared" si="646"/>
        <v>5.3832902670111977E-3</v>
      </c>
      <c r="BL77" s="35">
        <f t="shared" si="568"/>
        <v>3.2000000000000006</v>
      </c>
      <c r="BM77" s="132">
        <f t="shared" si="326"/>
        <v>1.3963585434173669</v>
      </c>
      <c r="BN77" s="134">
        <v>4095</v>
      </c>
      <c r="BO77" s="14">
        <f t="shared" si="569"/>
        <v>52</v>
      </c>
      <c r="BP77" s="442">
        <f t="shared" si="647"/>
        <v>44.089147286821706</v>
      </c>
      <c r="BQ77" s="747">
        <f t="shared" si="651"/>
        <v>1830.8457874277988</v>
      </c>
      <c r="BR77" s="51">
        <f t="shared" si="570"/>
        <v>802</v>
      </c>
      <c r="BS77" s="103">
        <f>BS76</f>
        <v>825</v>
      </c>
      <c r="BT77" s="46">
        <f t="shared" si="272"/>
        <v>-23</v>
      </c>
      <c r="BU77" s="51">
        <f t="shared" si="571"/>
        <v>80</v>
      </c>
      <c r="BV77" s="103">
        <f>BV76</f>
        <v>96</v>
      </c>
      <c r="BW77" s="46">
        <f t="shared" si="661"/>
        <v>-16</v>
      </c>
      <c r="BY77" s="120">
        <f>BY76+1</f>
        <v>5</v>
      </c>
      <c r="BZ77" s="7">
        <f>BZ76</f>
        <v>10</v>
      </c>
      <c r="CA77" s="133"/>
      <c r="CB77" s="14">
        <f t="shared" si="662"/>
        <v>0</v>
      </c>
      <c r="CC77" s="46">
        <f t="shared" ref="CC77:CC138" si="682">IFERROR(CB77-CG77,0)</f>
        <v>0</v>
      </c>
      <c r="CD77" s="405"/>
      <c r="CE77" s="406"/>
      <c r="CF77" s="406"/>
      <c r="CG77" s="14">
        <f t="shared" ref="CG77:CG138" si="683">SUM(CD77:CF77)</f>
        <v>0</v>
      </c>
      <c r="CH77" s="14">
        <f t="shared" si="663"/>
        <v>0</v>
      </c>
      <c r="CI77" s="14">
        <f t="shared" si="572"/>
        <v>0.16</v>
      </c>
      <c r="CJ77" s="47">
        <f t="shared" si="648"/>
        <v>0</v>
      </c>
      <c r="CK77" s="35">
        <f t="shared" si="573"/>
        <v>3.2000000000000006</v>
      </c>
      <c r="CL77" s="157">
        <f t="shared" si="652"/>
        <v>0</v>
      </c>
      <c r="CM77" s="134"/>
      <c r="CN77" s="14">
        <f t="shared" si="574"/>
        <v>52</v>
      </c>
      <c r="CO77" s="48">
        <f t="shared" si="653"/>
        <v>0</v>
      </c>
      <c r="CP77" s="68">
        <f t="shared" si="649"/>
        <v>0</v>
      </c>
      <c r="CQ77" s="51">
        <f t="shared" si="575"/>
        <v>802</v>
      </c>
      <c r="CR77" s="103">
        <f>CR76</f>
        <v>0</v>
      </c>
      <c r="CS77" s="46">
        <f t="shared" si="273"/>
        <v>802</v>
      </c>
      <c r="CT77" s="50">
        <f t="shared" si="576"/>
        <v>80</v>
      </c>
      <c r="CU77" s="103">
        <f>CU76</f>
        <v>0</v>
      </c>
      <c r="CV77" s="46">
        <f t="shared" si="625"/>
        <v>80</v>
      </c>
      <c r="CX77" s="120">
        <f>CX76+1</f>
        <v>5</v>
      </c>
      <c r="CY77" s="7">
        <f>CY76</f>
        <v>10</v>
      </c>
      <c r="CZ77" s="133"/>
      <c r="DA77" s="14">
        <f t="shared" si="434"/>
        <v>0</v>
      </c>
      <c r="DB77" s="46">
        <f t="shared" si="486"/>
        <v>0</v>
      </c>
      <c r="DC77" s="405"/>
      <c r="DD77" s="406"/>
      <c r="DE77" s="406"/>
      <c r="DF77" s="14">
        <f t="shared" ref="DF77:DF138" si="684">SUM(DC77:DE77)</f>
        <v>0</v>
      </c>
      <c r="DG77" s="14">
        <f t="shared" si="664"/>
        <v>0</v>
      </c>
      <c r="DH77" s="14">
        <f t="shared" si="577"/>
        <v>0.16</v>
      </c>
      <c r="DI77" s="47">
        <f t="shared" ref="DI77:DI85" si="685">IFERROR((DF77*1000)/DA77,0)</f>
        <v>0</v>
      </c>
      <c r="DJ77" s="35">
        <f t="shared" si="578"/>
        <v>3.2000000000000006</v>
      </c>
      <c r="DK77" s="157">
        <f t="shared" si="665"/>
        <v>0</v>
      </c>
      <c r="DL77" s="134"/>
      <c r="DM77" s="14">
        <f t="shared" si="579"/>
        <v>52</v>
      </c>
      <c r="DN77" s="48">
        <f t="shared" si="259"/>
        <v>0</v>
      </c>
      <c r="DO77" s="68">
        <f t="shared" si="666"/>
        <v>0</v>
      </c>
      <c r="DP77" s="51">
        <f t="shared" si="580"/>
        <v>802</v>
      </c>
      <c r="DQ77" s="103">
        <f>DQ76</f>
        <v>0</v>
      </c>
      <c r="DR77" s="46">
        <f t="shared" si="275"/>
        <v>802</v>
      </c>
      <c r="DS77" s="50">
        <f t="shared" si="581"/>
        <v>80</v>
      </c>
      <c r="DT77" s="103">
        <f>DT76</f>
        <v>0</v>
      </c>
      <c r="DU77" s="46">
        <f t="shared" si="654"/>
        <v>80</v>
      </c>
      <c r="DW77" s="120">
        <f>DW76+1</f>
        <v>5</v>
      </c>
      <c r="DX77" s="7">
        <f>DX76</f>
        <v>10</v>
      </c>
      <c r="DY77" s="133"/>
      <c r="DZ77" s="14">
        <f t="shared" si="435"/>
        <v>0</v>
      </c>
      <c r="EA77" s="46">
        <f t="shared" si="487"/>
        <v>0</v>
      </c>
      <c r="EB77" s="405"/>
      <c r="EC77" s="406"/>
      <c r="ED77" s="406"/>
      <c r="EE77" s="14">
        <f t="shared" ref="EE77:EE138" si="686">SUM(EB77:ED77)</f>
        <v>0</v>
      </c>
      <c r="EF77" s="14">
        <f t="shared" si="667"/>
        <v>0</v>
      </c>
      <c r="EG77" s="14">
        <f t="shared" si="582"/>
        <v>0.16</v>
      </c>
      <c r="EH77" s="47">
        <f t="shared" ref="EH77:EH85" si="687">IFERROR((EE77*1000)/DZ77,0)</f>
        <v>0</v>
      </c>
      <c r="EI77" s="35">
        <f t="shared" si="583"/>
        <v>3.2000000000000006</v>
      </c>
      <c r="EJ77" s="157">
        <f t="shared" si="668"/>
        <v>0</v>
      </c>
      <c r="EK77" s="134"/>
      <c r="EL77" s="14">
        <f t="shared" si="584"/>
        <v>52</v>
      </c>
      <c r="EM77" s="48">
        <f t="shared" si="260"/>
        <v>0</v>
      </c>
      <c r="EN77" s="68">
        <f t="shared" si="669"/>
        <v>0</v>
      </c>
      <c r="EO77" s="51">
        <f t="shared" si="585"/>
        <v>802</v>
      </c>
      <c r="EP77" s="103">
        <f>EP76</f>
        <v>0</v>
      </c>
      <c r="EQ77" s="46">
        <f t="shared" si="277"/>
        <v>802</v>
      </c>
      <c r="ER77" s="50">
        <f t="shared" si="586"/>
        <v>80</v>
      </c>
      <c r="ES77" s="103">
        <f>ES76</f>
        <v>0</v>
      </c>
      <c r="ET77" s="46">
        <f t="shared" si="655"/>
        <v>80</v>
      </c>
      <c r="EV77" s="120">
        <f>EV76+1</f>
        <v>5</v>
      </c>
      <c r="EW77" s="7">
        <f>EW76</f>
        <v>10</v>
      </c>
      <c r="EX77" s="133"/>
      <c r="EY77" s="14">
        <f t="shared" si="436"/>
        <v>0</v>
      </c>
      <c r="EZ77" s="46">
        <f t="shared" si="488"/>
        <v>0</v>
      </c>
      <c r="FA77" s="405"/>
      <c r="FB77" s="406"/>
      <c r="FC77" s="406"/>
      <c r="FD77" s="14">
        <f t="shared" ref="FD77:FD138" si="688">SUM(FA77:FC77)</f>
        <v>0</v>
      </c>
      <c r="FE77" s="14">
        <f t="shared" si="670"/>
        <v>0</v>
      </c>
      <c r="FF77" s="14">
        <f t="shared" si="587"/>
        <v>0.16</v>
      </c>
      <c r="FG77" s="47">
        <f t="shared" ref="FG77:FG85" si="689">IFERROR((FD77*1000)/EY77,0)</f>
        <v>0</v>
      </c>
      <c r="FH77" s="35">
        <f t="shared" si="588"/>
        <v>3.2000000000000006</v>
      </c>
      <c r="FI77" s="157">
        <f t="shared" si="671"/>
        <v>0</v>
      </c>
      <c r="FJ77" s="134"/>
      <c r="FK77" s="14">
        <f t="shared" si="589"/>
        <v>52</v>
      </c>
      <c r="FL77" s="48">
        <f t="shared" si="261"/>
        <v>0</v>
      </c>
      <c r="FM77" s="68">
        <f t="shared" si="672"/>
        <v>0</v>
      </c>
      <c r="FN77" s="51">
        <f t="shared" si="590"/>
        <v>802</v>
      </c>
      <c r="FO77" s="103">
        <f>FO76</f>
        <v>0</v>
      </c>
      <c r="FP77" s="46">
        <f t="shared" si="279"/>
        <v>802</v>
      </c>
      <c r="FQ77" s="50">
        <f t="shared" si="591"/>
        <v>80</v>
      </c>
      <c r="FR77" s="103">
        <f>FR76</f>
        <v>0</v>
      </c>
      <c r="FS77" s="46">
        <f t="shared" si="656"/>
        <v>80</v>
      </c>
      <c r="FU77" s="120">
        <f>FU76+1</f>
        <v>5</v>
      </c>
      <c r="FV77" s="7">
        <f>FV76</f>
        <v>10</v>
      </c>
      <c r="FW77" s="133"/>
      <c r="FX77" s="14">
        <f t="shared" si="437"/>
        <v>0</v>
      </c>
      <c r="FY77" s="46">
        <f t="shared" si="489"/>
        <v>0</v>
      </c>
      <c r="FZ77" s="405"/>
      <c r="GA77" s="406"/>
      <c r="GB77" s="406"/>
      <c r="GC77" s="14">
        <f t="shared" ref="GC77:GC138" si="690">SUM(FZ77:GB77)</f>
        <v>0</v>
      </c>
      <c r="GD77" s="14">
        <f t="shared" si="673"/>
        <v>0</v>
      </c>
      <c r="GE77" s="14">
        <f t="shared" si="592"/>
        <v>0.16</v>
      </c>
      <c r="GF77" s="47">
        <f t="shared" ref="GF77:GF85" si="691">IFERROR((GC77*1000)/FX77,0)</f>
        <v>0</v>
      </c>
      <c r="GG77" s="35">
        <f t="shared" si="593"/>
        <v>3.2000000000000006</v>
      </c>
      <c r="GH77" s="157">
        <f t="shared" si="674"/>
        <v>0</v>
      </c>
      <c r="GI77" s="134"/>
      <c r="GJ77" s="14">
        <f t="shared" si="594"/>
        <v>52</v>
      </c>
      <c r="GK77" s="48">
        <f t="shared" si="262"/>
        <v>0</v>
      </c>
      <c r="GL77" s="68">
        <f t="shared" si="675"/>
        <v>0</v>
      </c>
      <c r="GM77" s="51">
        <f t="shared" si="595"/>
        <v>802</v>
      </c>
      <c r="GN77" s="103">
        <f>GN76</f>
        <v>0</v>
      </c>
      <c r="GO77" s="46">
        <f t="shared" si="281"/>
        <v>802</v>
      </c>
      <c r="GP77" s="50">
        <f t="shared" si="596"/>
        <v>80</v>
      </c>
      <c r="GQ77" s="103">
        <f>GQ76</f>
        <v>0</v>
      </c>
      <c r="GR77" s="46">
        <f t="shared" si="657"/>
        <v>80</v>
      </c>
      <c r="GT77" s="120">
        <f>GT76+1</f>
        <v>5</v>
      </c>
      <c r="GU77" s="7">
        <f>GU76</f>
        <v>10</v>
      </c>
      <c r="GV77" s="133"/>
      <c r="GW77" s="14">
        <f t="shared" si="438"/>
        <v>0</v>
      </c>
      <c r="GX77" s="46">
        <f t="shared" si="490"/>
        <v>0</v>
      </c>
      <c r="GY77" s="405"/>
      <c r="GZ77" s="406"/>
      <c r="HA77" s="406"/>
      <c r="HB77" s="14">
        <f t="shared" ref="HB77:HB138" si="692">SUM(GY77:HA77)</f>
        <v>0</v>
      </c>
      <c r="HC77" s="14">
        <f t="shared" si="676"/>
        <v>0</v>
      </c>
      <c r="HD77" s="14">
        <f t="shared" si="597"/>
        <v>0.16</v>
      </c>
      <c r="HE77" s="47">
        <f t="shared" ref="HE77:HE85" si="693">IFERROR((HB77*1000)/GW77,0)</f>
        <v>0</v>
      </c>
      <c r="HF77" s="35">
        <f t="shared" si="598"/>
        <v>3.2000000000000006</v>
      </c>
      <c r="HG77" s="157">
        <f t="shared" si="677"/>
        <v>0</v>
      </c>
      <c r="HH77" s="134"/>
      <c r="HI77" s="14">
        <f t="shared" si="599"/>
        <v>52</v>
      </c>
      <c r="HJ77" s="48">
        <f t="shared" si="263"/>
        <v>0</v>
      </c>
      <c r="HK77" s="68">
        <f t="shared" si="678"/>
        <v>0</v>
      </c>
      <c r="HL77" s="51">
        <f t="shared" si="600"/>
        <v>802</v>
      </c>
      <c r="HM77" s="103">
        <f>HM76</f>
        <v>0</v>
      </c>
      <c r="HN77" s="46">
        <f t="shared" si="283"/>
        <v>802</v>
      </c>
      <c r="HO77" s="50">
        <f t="shared" si="601"/>
        <v>80</v>
      </c>
      <c r="HP77" s="103">
        <f>HP76</f>
        <v>0</v>
      </c>
      <c r="HQ77" s="46">
        <f t="shared" si="658"/>
        <v>80</v>
      </c>
    </row>
    <row r="78" spans="1:225" ht="17.25" thickBot="1" x14ac:dyDescent="0.3">
      <c r="B78" s="120">
        <f t="shared" ref="B78:B82" si="694">B77+1</f>
        <v>6</v>
      </c>
      <c r="C78" s="570">
        <f t="shared" ref="C78:C82" si="695">C77</f>
        <v>10</v>
      </c>
      <c r="D78" s="133"/>
      <c r="E78" s="408">
        <f t="shared" ref="E78:E138" si="696">IFERROR(F77+D78,0)</f>
        <v>96030</v>
      </c>
      <c r="F78" s="562">
        <f t="shared" si="555"/>
        <v>95954</v>
      </c>
      <c r="G78" s="134"/>
      <c r="H78" s="135">
        <v>76</v>
      </c>
      <c r="I78" s="135"/>
      <c r="J78" s="14">
        <f t="shared" si="679"/>
        <v>76</v>
      </c>
      <c r="K78" s="14">
        <f t="shared" si="604"/>
        <v>5311</v>
      </c>
      <c r="L78" s="14">
        <f t="shared" si="556"/>
        <v>0.16</v>
      </c>
      <c r="M78" s="231">
        <f t="shared" si="605"/>
        <v>7.9141934812037906E-2</v>
      </c>
      <c r="N78" s="35">
        <f t="shared" si="557"/>
        <v>3.2000000000000006</v>
      </c>
      <c r="O78" s="132">
        <f t="shared" si="606"/>
        <v>3.9377785027396142</v>
      </c>
      <c r="P78" s="142">
        <v>4095</v>
      </c>
      <c r="Q78" s="14">
        <f t="shared" si="558"/>
        <v>52</v>
      </c>
      <c r="R78" s="482">
        <f t="shared" si="559"/>
        <v>42.642924086223054</v>
      </c>
      <c r="S78" s="470">
        <f t="shared" si="650"/>
        <v>1892.3526036322364</v>
      </c>
      <c r="T78" s="51">
        <f t="shared" si="560"/>
        <v>802</v>
      </c>
      <c r="U78" s="103">
        <f t="shared" ref="U78:U82" si="697">U77</f>
        <v>749</v>
      </c>
      <c r="V78" s="46">
        <f t="shared" si="608"/>
        <v>53</v>
      </c>
      <c r="W78" s="51">
        <f t="shared" si="561"/>
        <v>80</v>
      </c>
      <c r="X78" s="103">
        <f t="shared" ref="X78:X82" si="698">X77</f>
        <v>78</v>
      </c>
      <c r="Y78" s="46">
        <f t="shared" si="610"/>
        <v>2</v>
      </c>
      <c r="Z78" s="487"/>
      <c r="AA78" s="120">
        <f t="shared" ref="AA78:AA82" si="699">AA77+1</f>
        <v>6</v>
      </c>
      <c r="AB78" s="7">
        <f t="shared" ref="AB78:AB82" si="700">AB77</f>
        <v>10</v>
      </c>
      <c r="AC78" s="133"/>
      <c r="AD78" s="48">
        <f t="shared" si="483"/>
        <v>86691</v>
      </c>
      <c r="AE78" s="447">
        <f t="shared" si="484"/>
        <v>86676</v>
      </c>
      <c r="AF78" s="134"/>
      <c r="AG78" s="135">
        <v>15</v>
      </c>
      <c r="AH78" s="135"/>
      <c r="AI78" s="14">
        <f t="shared" si="680"/>
        <v>15</v>
      </c>
      <c r="AJ78" s="14">
        <f t="shared" si="321"/>
        <v>6223</v>
      </c>
      <c r="AK78" s="14">
        <f t="shared" si="562"/>
        <v>0.16</v>
      </c>
      <c r="AL78" s="231">
        <f t="shared" si="613"/>
        <v>1.7302834204242654E-2</v>
      </c>
      <c r="AM78" s="35">
        <f t="shared" si="563"/>
        <v>3.2000000000000006</v>
      </c>
      <c r="AN78" s="157">
        <f t="shared" si="659"/>
        <v>4.0626468898521964</v>
      </c>
      <c r="AO78" s="134">
        <v>3276</v>
      </c>
      <c r="AP78" s="14">
        <f t="shared" si="564"/>
        <v>52</v>
      </c>
      <c r="AQ78" s="482">
        <f t="shared" si="614"/>
        <v>37.789389902065956</v>
      </c>
      <c r="AR78" s="470">
        <f t="shared" si="323"/>
        <v>1868.1029774254653</v>
      </c>
      <c r="AS78" s="51">
        <f t="shared" si="565"/>
        <v>802</v>
      </c>
      <c r="AT78" s="103">
        <f t="shared" ref="AT78:AT82" si="701">AT77</f>
        <v>705</v>
      </c>
      <c r="AU78" s="46">
        <f t="shared" si="271"/>
        <v>97</v>
      </c>
      <c r="AV78" s="51">
        <f t="shared" si="566"/>
        <v>80</v>
      </c>
      <c r="AW78" s="103">
        <f t="shared" ref="AW78:AW82" si="702">AW77</f>
        <v>71</v>
      </c>
      <c r="AX78" s="46">
        <f t="shared" si="660"/>
        <v>9</v>
      </c>
      <c r="AZ78" s="120">
        <f t="shared" ref="AZ78:AZ82" si="703">AZ77+1</f>
        <v>6</v>
      </c>
      <c r="BA78" s="7">
        <f t="shared" ref="BA78:BA82" si="704">BA77</f>
        <v>10</v>
      </c>
      <c r="BB78" s="133"/>
      <c r="BC78" s="48">
        <f t="shared" si="518"/>
        <v>92875</v>
      </c>
      <c r="BD78" s="447">
        <f t="shared" si="485"/>
        <v>92870</v>
      </c>
      <c r="BE78" s="134"/>
      <c r="BF78" s="135">
        <v>5</v>
      </c>
      <c r="BG78" s="135"/>
      <c r="BH78" s="14">
        <f t="shared" si="681"/>
        <v>5</v>
      </c>
      <c r="BI78" s="14">
        <f t="shared" si="294"/>
        <v>1002</v>
      </c>
      <c r="BJ78" s="14">
        <f t="shared" si="567"/>
        <v>0.16</v>
      </c>
      <c r="BK78" s="47">
        <f t="shared" si="646"/>
        <v>5.3835800807537013E-3</v>
      </c>
      <c r="BL78" s="35">
        <f t="shared" si="568"/>
        <v>3.2000000000000006</v>
      </c>
      <c r="BM78" s="132">
        <f t="shared" si="326"/>
        <v>1.403361344537815</v>
      </c>
      <c r="BN78" s="134">
        <v>4095</v>
      </c>
      <c r="BO78" s="14">
        <f t="shared" si="569"/>
        <v>52</v>
      </c>
      <c r="BP78" s="442">
        <f t="shared" si="647"/>
        <v>44.091520861372814</v>
      </c>
      <c r="BQ78" s="747">
        <f t="shared" si="651"/>
        <v>1874.9373082891716</v>
      </c>
      <c r="BR78" s="51">
        <f t="shared" si="570"/>
        <v>802</v>
      </c>
      <c r="BS78" s="103">
        <f t="shared" ref="BS78:BS82" si="705">BS77</f>
        <v>825</v>
      </c>
      <c r="BT78" s="46">
        <f t="shared" si="272"/>
        <v>-23</v>
      </c>
      <c r="BU78" s="51">
        <f t="shared" si="571"/>
        <v>80</v>
      </c>
      <c r="BV78" s="103">
        <f t="shared" ref="BV78:BV82" si="706">BV77</f>
        <v>96</v>
      </c>
      <c r="BW78" s="46">
        <f t="shared" si="661"/>
        <v>-16</v>
      </c>
      <c r="BY78" s="120">
        <f t="shared" ref="BY78:BY81" si="707">BY77+1</f>
        <v>6</v>
      </c>
      <c r="BZ78" s="7">
        <f t="shared" ref="BZ78:BZ82" si="708">BZ77</f>
        <v>10</v>
      </c>
      <c r="CA78" s="133"/>
      <c r="CB78" s="14">
        <f t="shared" si="662"/>
        <v>0</v>
      </c>
      <c r="CC78" s="62">
        <f t="shared" si="682"/>
        <v>0</v>
      </c>
      <c r="CD78" s="405"/>
      <c r="CE78" s="406"/>
      <c r="CF78" s="406"/>
      <c r="CG78" s="14">
        <f t="shared" si="683"/>
        <v>0</v>
      </c>
      <c r="CH78" s="14">
        <f t="shared" si="663"/>
        <v>0</v>
      </c>
      <c r="CI78" s="14">
        <f t="shared" si="572"/>
        <v>0.16</v>
      </c>
      <c r="CJ78" s="47">
        <f t="shared" si="648"/>
        <v>0</v>
      </c>
      <c r="CK78" s="35">
        <f t="shared" si="573"/>
        <v>3.2000000000000006</v>
      </c>
      <c r="CL78" s="157">
        <f t="shared" si="652"/>
        <v>0</v>
      </c>
      <c r="CM78" s="134"/>
      <c r="CN78" s="14">
        <f t="shared" si="574"/>
        <v>52</v>
      </c>
      <c r="CO78" s="48">
        <f t="shared" si="653"/>
        <v>0</v>
      </c>
      <c r="CP78" s="68">
        <f t="shared" si="649"/>
        <v>0</v>
      </c>
      <c r="CQ78" s="51">
        <f t="shared" si="575"/>
        <v>802</v>
      </c>
      <c r="CR78" s="103">
        <f t="shared" ref="CR78:CR82" si="709">CR77</f>
        <v>0</v>
      </c>
      <c r="CS78" s="46">
        <f t="shared" si="273"/>
        <v>802</v>
      </c>
      <c r="CT78" s="51">
        <f t="shared" si="576"/>
        <v>80</v>
      </c>
      <c r="CU78" s="103">
        <f t="shared" ref="CU78:CU82" si="710">CU77</f>
        <v>0</v>
      </c>
      <c r="CV78" s="46">
        <f t="shared" si="625"/>
        <v>80</v>
      </c>
      <c r="CX78" s="120">
        <f t="shared" ref="CX78:CX81" si="711">CX77+1</f>
        <v>6</v>
      </c>
      <c r="CY78" s="7">
        <f t="shared" ref="CY78:CY82" si="712">CY77</f>
        <v>10</v>
      </c>
      <c r="CZ78" s="133"/>
      <c r="DA78" s="14">
        <f t="shared" si="434"/>
        <v>0</v>
      </c>
      <c r="DB78" s="62">
        <f t="shared" si="486"/>
        <v>0</v>
      </c>
      <c r="DC78" s="405"/>
      <c r="DD78" s="406"/>
      <c r="DE78" s="406"/>
      <c r="DF78" s="14">
        <f t="shared" si="684"/>
        <v>0</v>
      </c>
      <c r="DG78" s="14">
        <f t="shared" si="664"/>
        <v>0</v>
      </c>
      <c r="DH78" s="14">
        <f t="shared" si="577"/>
        <v>0.16</v>
      </c>
      <c r="DI78" s="47">
        <f t="shared" si="685"/>
        <v>0</v>
      </c>
      <c r="DJ78" s="35">
        <f t="shared" si="578"/>
        <v>3.2000000000000006</v>
      </c>
      <c r="DK78" s="157">
        <f t="shared" si="665"/>
        <v>0</v>
      </c>
      <c r="DL78" s="134"/>
      <c r="DM78" s="14">
        <f t="shared" si="579"/>
        <v>52</v>
      </c>
      <c r="DN78" s="48">
        <f t="shared" si="259"/>
        <v>0</v>
      </c>
      <c r="DO78" s="68">
        <f t="shared" si="666"/>
        <v>0</v>
      </c>
      <c r="DP78" s="51">
        <f t="shared" si="580"/>
        <v>802</v>
      </c>
      <c r="DQ78" s="103">
        <f t="shared" ref="DQ78:DQ82" si="713">DQ77</f>
        <v>0</v>
      </c>
      <c r="DR78" s="46">
        <f t="shared" si="275"/>
        <v>802</v>
      </c>
      <c r="DS78" s="51">
        <f t="shared" si="581"/>
        <v>80</v>
      </c>
      <c r="DT78" s="103">
        <f t="shared" ref="DT78:DT82" si="714">DT77</f>
        <v>0</v>
      </c>
      <c r="DU78" s="46">
        <f t="shared" si="654"/>
        <v>80</v>
      </c>
      <c r="DW78" s="120">
        <f t="shared" ref="DW78:DW81" si="715">DW77+1</f>
        <v>6</v>
      </c>
      <c r="DX78" s="7">
        <f t="shared" ref="DX78:DX82" si="716">DX77</f>
        <v>10</v>
      </c>
      <c r="DY78" s="133"/>
      <c r="DZ78" s="14">
        <f t="shared" si="435"/>
        <v>0</v>
      </c>
      <c r="EA78" s="62">
        <f t="shared" si="487"/>
        <v>0</v>
      </c>
      <c r="EB78" s="405"/>
      <c r="EC78" s="406"/>
      <c r="ED78" s="406"/>
      <c r="EE78" s="14">
        <f t="shared" si="686"/>
        <v>0</v>
      </c>
      <c r="EF78" s="14">
        <f t="shared" si="667"/>
        <v>0</v>
      </c>
      <c r="EG78" s="14">
        <f t="shared" si="582"/>
        <v>0.16</v>
      </c>
      <c r="EH78" s="47">
        <f t="shared" si="687"/>
        <v>0</v>
      </c>
      <c r="EI78" s="35">
        <f t="shared" si="583"/>
        <v>3.2000000000000006</v>
      </c>
      <c r="EJ78" s="157">
        <f t="shared" si="668"/>
        <v>0</v>
      </c>
      <c r="EK78" s="134"/>
      <c r="EL78" s="14">
        <f t="shared" si="584"/>
        <v>52</v>
      </c>
      <c r="EM78" s="48">
        <f t="shared" si="260"/>
        <v>0</v>
      </c>
      <c r="EN78" s="68">
        <f t="shared" si="669"/>
        <v>0</v>
      </c>
      <c r="EO78" s="51">
        <f t="shared" si="585"/>
        <v>802</v>
      </c>
      <c r="EP78" s="103">
        <f t="shared" ref="EP78:EP82" si="717">EP77</f>
        <v>0</v>
      </c>
      <c r="EQ78" s="46">
        <f t="shared" si="277"/>
        <v>802</v>
      </c>
      <c r="ER78" s="51">
        <f t="shared" si="586"/>
        <v>80</v>
      </c>
      <c r="ES78" s="103">
        <f t="shared" ref="ES78:ES82" si="718">ES77</f>
        <v>0</v>
      </c>
      <c r="ET78" s="46">
        <f t="shared" si="655"/>
        <v>80</v>
      </c>
      <c r="EV78" s="120">
        <f t="shared" ref="EV78:EV81" si="719">EV77+1</f>
        <v>6</v>
      </c>
      <c r="EW78" s="7">
        <f t="shared" ref="EW78:EW82" si="720">EW77</f>
        <v>10</v>
      </c>
      <c r="EX78" s="133"/>
      <c r="EY78" s="14">
        <f t="shared" si="436"/>
        <v>0</v>
      </c>
      <c r="EZ78" s="62">
        <f t="shared" si="488"/>
        <v>0</v>
      </c>
      <c r="FA78" s="405"/>
      <c r="FB78" s="406"/>
      <c r="FC78" s="406"/>
      <c r="FD78" s="14">
        <f t="shared" si="688"/>
        <v>0</v>
      </c>
      <c r="FE78" s="14">
        <f t="shared" si="670"/>
        <v>0</v>
      </c>
      <c r="FF78" s="14">
        <f t="shared" si="587"/>
        <v>0.16</v>
      </c>
      <c r="FG78" s="47">
        <f t="shared" si="689"/>
        <v>0</v>
      </c>
      <c r="FH78" s="35">
        <f t="shared" si="588"/>
        <v>3.2000000000000006</v>
      </c>
      <c r="FI78" s="157">
        <f t="shared" si="671"/>
        <v>0</v>
      </c>
      <c r="FJ78" s="134"/>
      <c r="FK78" s="14">
        <f t="shared" si="589"/>
        <v>52</v>
      </c>
      <c r="FL78" s="48">
        <f t="shared" si="261"/>
        <v>0</v>
      </c>
      <c r="FM78" s="68">
        <f t="shared" si="672"/>
        <v>0</v>
      </c>
      <c r="FN78" s="51">
        <f t="shared" si="590"/>
        <v>802</v>
      </c>
      <c r="FO78" s="103">
        <f t="shared" ref="FO78:FO82" si="721">FO77</f>
        <v>0</v>
      </c>
      <c r="FP78" s="46">
        <f t="shared" si="279"/>
        <v>802</v>
      </c>
      <c r="FQ78" s="51">
        <f t="shared" si="591"/>
        <v>80</v>
      </c>
      <c r="FR78" s="103">
        <f t="shared" ref="FR78:FR82" si="722">FR77</f>
        <v>0</v>
      </c>
      <c r="FS78" s="46">
        <f t="shared" si="656"/>
        <v>80</v>
      </c>
      <c r="FU78" s="120">
        <f t="shared" ref="FU78:FU81" si="723">FU77+1</f>
        <v>6</v>
      </c>
      <c r="FV78" s="7">
        <f t="shared" ref="FV78:FV82" si="724">FV77</f>
        <v>10</v>
      </c>
      <c r="FW78" s="133"/>
      <c r="FX78" s="14">
        <f t="shared" si="437"/>
        <v>0</v>
      </c>
      <c r="FY78" s="62">
        <f t="shared" si="489"/>
        <v>0</v>
      </c>
      <c r="FZ78" s="405"/>
      <c r="GA78" s="406"/>
      <c r="GB78" s="406"/>
      <c r="GC78" s="14">
        <f t="shared" si="690"/>
        <v>0</v>
      </c>
      <c r="GD78" s="14">
        <f t="shared" si="673"/>
        <v>0</v>
      </c>
      <c r="GE78" s="14">
        <f t="shared" si="592"/>
        <v>0.16</v>
      </c>
      <c r="GF78" s="47">
        <f t="shared" si="691"/>
        <v>0</v>
      </c>
      <c r="GG78" s="35">
        <f t="shared" si="593"/>
        <v>3.2000000000000006</v>
      </c>
      <c r="GH78" s="157">
        <f t="shared" si="674"/>
        <v>0</v>
      </c>
      <c r="GI78" s="134"/>
      <c r="GJ78" s="14">
        <f t="shared" si="594"/>
        <v>52</v>
      </c>
      <c r="GK78" s="48">
        <f t="shared" si="262"/>
        <v>0</v>
      </c>
      <c r="GL78" s="68">
        <f t="shared" si="675"/>
        <v>0</v>
      </c>
      <c r="GM78" s="51">
        <f t="shared" si="595"/>
        <v>802</v>
      </c>
      <c r="GN78" s="103">
        <f t="shared" ref="GN78:GN82" si="725">GN77</f>
        <v>0</v>
      </c>
      <c r="GO78" s="46">
        <f t="shared" si="281"/>
        <v>802</v>
      </c>
      <c r="GP78" s="51">
        <f t="shared" si="596"/>
        <v>80</v>
      </c>
      <c r="GQ78" s="103">
        <f t="shared" ref="GQ78:GQ82" si="726">GQ77</f>
        <v>0</v>
      </c>
      <c r="GR78" s="46">
        <f t="shared" si="657"/>
        <v>80</v>
      </c>
      <c r="GT78" s="120">
        <f t="shared" ref="GT78:GT81" si="727">GT77+1</f>
        <v>6</v>
      </c>
      <c r="GU78" s="7">
        <f t="shared" ref="GU78:GU82" si="728">GU77</f>
        <v>10</v>
      </c>
      <c r="GV78" s="133"/>
      <c r="GW78" s="14">
        <f t="shared" si="438"/>
        <v>0</v>
      </c>
      <c r="GX78" s="62">
        <f t="shared" si="490"/>
        <v>0</v>
      </c>
      <c r="GY78" s="405"/>
      <c r="GZ78" s="406"/>
      <c r="HA78" s="406"/>
      <c r="HB78" s="14">
        <f t="shared" si="692"/>
        <v>0</v>
      </c>
      <c r="HC78" s="14">
        <f t="shared" si="676"/>
        <v>0</v>
      </c>
      <c r="HD78" s="14">
        <f t="shared" si="597"/>
        <v>0.16</v>
      </c>
      <c r="HE78" s="47">
        <f t="shared" si="693"/>
        <v>0</v>
      </c>
      <c r="HF78" s="35">
        <f t="shared" si="598"/>
        <v>3.2000000000000006</v>
      </c>
      <c r="HG78" s="157">
        <f t="shared" si="677"/>
        <v>0</v>
      </c>
      <c r="HH78" s="134"/>
      <c r="HI78" s="14">
        <f t="shared" si="599"/>
        <v>52</v>
      </c>
      <c r="HJ78" s="48">
        <f t="shared" si="263"/>
        <v>0</v>
      </c>
      <c r="HK78" s="68">
        <f t="shared" si="678"/>
        <v>0</v>
      </c>
      <c r="HL78" s="51">
        <f t="shared" si="600"/>
        <v>802</v>
      </c>
      <c r="HM78" s="103">
        <f t="shared" ref="HM78:HM82" si="729">HM77</f>
        <v>0</v>
      </c>
      <c r="HN78" s="46">
        <f t="shared" si="283"/>
        <v>802</v>
      </c>
      <c r="HO78" s="51">
        <f t="shared" si="601"/>
        <v>80</v>
      </c>
      <c r="HP78" s="103">
        <f t="shared" ref="HP78:HP82" si="730">HP77</f>
        <v>0</v>
      </c>
      <c r="HQ78" s="46">
        <f t="shared" si="658"/>
        <v>80</v>
      </c>
    </row>
    <row r="79" spans="1:225" ht="17.25" thickBot="1" x14ac:dyDescent="0.3">
      <c r="B79" s="120">
        <f t="shared" si="694"/>
        <v>7</v>
      </c>
      <c r="C79" s="570">
        <f t="shared" si="695"/>
        <v>10</v>
      </c>
      <c r="D79" s="133"/>
      <c r="E79" s="408">
        <f t="shared" si="696"/>
        <v>95954</v>
      </c>
      <c r="F79" s="562">
        <f t="shared" si="555"/>
        <v>95928</v>
      </c>
      <c r="G79" s="134"/>
      <c r="H79" s="141">
        <v>26</v>
      </c>
      <c r="I79" s="141"/>
      <c r="J79" s="17">
        <f t="shared" si="679"/>
        <v>26</v>
      </c>
      <c r="K79" s="17">
        <f t="shared" si="604"/>
        <v>5337</v>
      </c>
      <c r="L79" s="14">
        <f t="shared" si="556"/>
        <v>0.16</v>
      </c>
      <c r="M79" s="47">
        <f t="shared" si="605"/>
        <v>2.7096316985222087E-2</v>
      </c>
      <c r="N79" s="35">
        <f t="shared" si="557"/>
        <v>3.2000000000000006</v>
      </c>
      <c r="O79" s="132">
        <f t="shared" si="606"/>
        <v>3.9570558970290568</v>
      </c>
      <c r="P79" s="142">
        <v>4641</v>
      </c>
      <c r="Q79" s="14">
        <f t="shared" si="558"/>
        <v>52</v>
      </c>
      <c r="R79" s="482">
        <f t="shared" si="559"/>
        <v>48.366925818621425</v>
      </c>
      <c r="S79" s="470">
        <f t="shared" si="650"/>
        <v>1940.7195294508579</v>
      </c>
      <c r="T79" s="51">
        <f t="shared" si="560"/>
        <v>802</v>
      </c>
      <c r="U79" s="103">
        <f t="shared" si="697"/>
        <v>749</v>
      </c>
      <c r="V79" s="46">
        <f t="shared" si="608"/>
        <v>53</v>
      </c>
      <c r="W79" s="51">
        <f t="shared" si="561"/>
        <v>80</v>
      </c>
      <c r="X79" s="103">
        <f t="shared" si="698"/>
        <v>78</v>
      </c>
      <c r="Y79" s="62">
        <f t="shared" si="610"/>
        <v>2</v>
      </c>
      <c r="Z79" s="487"/>
      <c r="AA79" s="120">
        <f t="shared" si="699"/>
        <v>7</v>
      </c>
      <c r="AB79" s="7">
        <f t="shared" si="700"/>
        <v>10</v>
      </c>
      <c r="AC79" s="133"/>
      <c r="AD79" s="48">
        <f t="shared" si="483"/>
        <v>86676</v>
      </c>
      <c r="AE79" s="196">
        <f t="shared" si="484"/>
        <v>86667</v>
      </c>
      <c r="AF79" s="134"/>
      <c r="AG79" s="135">
        <v>9</v>
      </c>
      <c r="AH79" s="135"/>
      <c r="AI79" s="14">
        <f t="shared" si="680"/>
        <v>9</v>
      </c>
      <c r="AJ79" s="14">
        <f t="shared" si="321"/>
        <v>6232</v>
      </c>
      <c r="AK79" s="14">
        <f t="shared" si="562"/>
        <v>0.16</v>
      </c>
      <c r="AL79" s="47">
        <f t="shared" si="613"/>
        <v>1.038349716184411E-2</v>
      </c>
      <c r="AM79" s="35">
        <f t="shared" si="563"/>
        <v>3.2000000000000006</v>
      </c>
      <c r="AN79" s="157">
        <f t="shared" si="659"/>
        <v>4.0685224839400425</v>
      </c>
      <c r="AO79" s="134">
        <v>4095</v>
      </c>
      <c r="AP79" s="14">
        <f t="shared" si="564"/>
        <v>52</v>
      </c>
      <c r="AQ79" s="482">
        <f t="shared" si="614"/>
        <v>47.244912086390691</v>
      </c>
      <c r="AR79" s="470">
        <f t="shared" si="323"/>
        <v>1915.347889511856</v>
      </c>
      <c r="AS79" s="51">
        <f t="shared" si="565"/>
        <v>802</v>
      </c>
      <c r="AT79" s="103">
        <f t="shared" si="701"/>
        <v>705</v>
      </c>
      <c r="AU79" s="46">
        <f t="shared" si="271"/>
        <v>97</v>
      </c>
      <c r="AV79" s="51">
        <f t="shared" si="566"/>
        <v>80</v>
      </c>
      <c r="AW79" s="103">
        <f t="shared" si="702"/>
        <v>71</v>
      </c>
      <c r="AX79" s="62">
        <f t="shared" si="660"/>
        <v>9</v>
      </c>
      <c r="AZ79" s="120">
        <f t="shared" si="703"/>
        <v>7</v>
      </c>
      <c r="BA79" s="7">
        <f t="shared" si="704"/>
        <v>10</v>
      </c>
      <c r="BB79" s="133"/>
      <c r="BC79" s="48">
        <f t="shared" si="518"/>
        <v>92870</v>
      </c>
      <c r="BD79" s="196">
        <f t="shared" si="485"/>
        <v>92865</v>
      </c>
      <c r="BE79" s="134"/>
      <c r="BF79" s="135">
        <v>5</v>
      </c>
      <c r="BG79" s="135"/>
      <c r="BH79" s="14">
        <f t="shared" si="681"/>
        <v>5</v>
      </c>
      <c r="BI79" s="14">
        <f t="shared" si="294"/>
        <v>1007</v>
      </c>
      <c r="BJ79" s="14">
        <f t="shared" si="567"/>
        <v>0.16</v>
      </c>
      <c r="BK79" s="47">
        <f t="shared" si="646"/>
        <v>5.3838699257025948E-3</v>
      </c>
      <c r="BL79" s="35">
        <f t="shared" si="568"/>
        <v>3.2000000000000006</v>
      </c>
      <c r="BM79" s="132">
        <f t="shared" si="326"/>
        <v>1.4103641456582634</v>
      </c>
      <c r="BN79" s="134">
        <v>4914</v>
      </c>
      <c r="BO79" s="14">
        <f t="shared" si="569"/>
        <v>52</v>
      </c>
      <c r="BP79" s="442">
        <f t="shared" si="647"/>
        <v>52.912673629805106</v>
      </c>
      <c r="BQ79" s="747">
        <f t="shared" si="651"/>
        <v>1927.8499819189767</v>
      </c>
      <c r="BR79" s="51">
        <f t="shared" si="570"/>
        <v>802</v>
      </c>
      <c r="BS79" s="103">
        <f t="shared" si="705"/>
        <v>825</v>
      </c>
      <c r="BT79" s="46">
        <f t="shared" si="272"/>
        <v>-23</v>
      </c>
      <c r="BU79" s="51">
        <f t="shared" si="571"/>
        <v>80</v>
      </c>
      <c r="BV79" s="103">
        <f t="shared" si="706"/>
        <v>96</v>
      </c>
      <c r="BW79" s="62">
        <f t="shared" si="661"/>
        <v>-16</v>
      </c>
      <c r="BY79" s="120">
        <f t="shared" si="707"/>
        <v>7</v>
      </c>
      <c r="BZ79" s="7">
        <f t="shared" si="708"/>
        <v>10</v>
      </c>
      <c r="CA79" s="133"/>
      <c r="CB79" s="14">
        <f t="shared" si="662"/>
        <v>0</v>
      </c>
      <c r="CC79" s="59">
        <f t="shared" si="682"/>
        <v>0</v>
      </c>
      <c r="CD79" s="405"/>
      <c r="CE79" s="406"/>
      <c r="CF79" s="406"/>
      <c r="CG79" s="14">
        <f t="shared" si="683"/>
        <v>0</v>
      </c>
      <c r="CH79" s="14">
        <f t="shared" si="663"/>
        <v>0</v>
      </c>
      <c r="CI79" s="14">
        <f t="shared" si="572"/>
        <v>0.16</v>
      </c>
      <c r="CJ79" s="47">
        <f t="shared" si="648"/>
        <v>0</v>
      </c>
      <c r="CK79" s="35">
        <f t="shared" si="573"/>
        <v>3.2000000000000006</v>
      </c>
      <c r="CL79" s="157">
        <f t="shared" si="652"/>
        <v>0</v>
      </c>
      <c r="CM79" s="134"/>
      <c r="CN79" s="14">
        <f t="shared" si="574"/>
        <v>52</v>
      </c>
      <c r="CO79" s="48">
        <f t="shared" si="653"/>
        <v>0</v>
      </c>
      <c r="CP79" s="68">
        <f t="shared" si="649"/>
        <v>0</v>
      </c>
      <c r="CQ79" s="51">
        <f t="shared" si="575"/>
        <v>802</v>
      </c>
      <c r="CR79" s="103">
        <f t="shared" si="709"/>
        <v>0</v>
      </c>
      <c r="CS79" s="46">
        <f t="shared" si="273"/>
        <v>802</v>
      </c>
      <c r="CT79" s="12">
        <f t="shared" si="576"/>
        <v>80</v>
      </c>
      <c r="CU79" s="103">
        <f t="shared" si="710"/>
        <v>0</v>
      </c>
      <c r="CV79" s="62">
        <f t="shared" si="625"/>
        <v>80</v>
      </c>
      <c r="CX79" s="120">
        <f t="shared" si="711"/>
        <v>7</v>
      </c>
      <c r="CY79" s="7">
        <f t="shared" si="712"/>
        <v>10</v>
      </c>
      <c r="CZ79" s="133"/>
      <c r="DA79" s="14">
        <f t="shared" si="434"/>
        <v>0</v>
      </c>
      <c r="DB79" s="59">
        <f t="shared" si="486"/>
        <v>0</v>
      </c>
      <c r="DC79" s="405"/>
      <c r="DD79" s="406"/>
      <c r="DE79" s="406"/>
      <c r="DF79" s="14">
        <f t="shared" si="684"/>
        <v>0</v>
      </c>
      <c r="DG79" s="14">
        <f t="shared" si="664"/>
        <v>0</v>
      </c>
      <c r="DH79" s="14">
        <f t="shared" si="577"/>
        <v>0.16</v>
      </c>
      <c r="DI79" s="47">
        <f t="shared" si="685"/>
        <v>0</v>
      </c>
      <c r="DJ79" s="35">
        <f t="shared" si="578"/>
        <v>3.2000000000000006</v>
      </c>
      <c r="DK79" s="157">
        <f t="shared" si="665"/>
        <v>0</v>
      </c>
      <c r="DL79" s="134"/>
      <c r="DM79" s="14">
        <f t="shared" si="579"/>
        <v>52</v>
      </c>
      <c r="DN79" s="48">
        <f t="shared" si="259"/>
        <v>0</v>
      </c>
      <c r="DO79" s="68">
        <f t="shared" si="666"/>
        <v>0</v>
      </c>
      <c r="DP79" s="51">
        <f t="shared" si="580"/>
        <v>802</v>
      </c>
      <c r="DQ79" s="103">
        <f t="shared" si="713"/>
        <v>0</v>
      </c>
      <c r="DR79" s="46">
        <f t="shared" si="275"/>
        <v>802</v>
      </c>
      <c r="DS79" s="12">
        <f t="shared" si="581"/>
        <v>80</v>
      </c>
      <c r="DT79" s="103">
        <f t="shared" si="714"/>
        <v>0</v>
      </c>
      <c r="DU79" s="62">
        <f t="shared" si="654"/>
        <v>80</v>
      </c>
      <c r="DW79" s="120">
        <f t="shared" si="715"/>
        <v>7</v>
      </c>
      <c r="DX79" s="7">
        <f t="shared" si="716"/>
        <v>10</v>
      </c>
      <c r="DY79" s="133"/>
      <c r="DZ79" s="14">
        <f t="shared" si="435"/>
        <v>0</v>
      </c>
      <c r="EA79" s="59">
        <f t="shared" si="487"/>
        <v>0</v>
      </c>
      <c r="EB79" s="405"/>
      <c r="EC79" s="406"/>
      <c r="ED79" s="406"/>
      <c r="EE79" s="14">
        <f t="shared" si="686"/>
        <v>0</v>
      </c>
      <c r="EF79" s="14">
        <f t="shared" si="667"/>
        <v>0</v>
      </c>
      <c r="EG79" s="14">
        <f t="shared" si="582"/>
        <v>0.16</v>
      </c>
      <c r="EH79" s="47">
        <f t="shared" si="687"/>
        <v>0</v>
      </c>
      <c r="EI79" s="35">
        <f t="shared" si="583"/>
        <v>3.2000000000000006</v>
      </c>
      <c r="EJ79" s="157">
        <f t="shared" si="668"/>
        <v>0</v>
      </c>
      <c r="EK79" s="134"/>
      <c r="EL79" s="14">
        <f t="shared" si="584"/>
        <v>52</v>
      </c>
      <c r="EM79" s="48">
        <f t="shared" si="260"/>
        <v>0</v>
      </c>
      <c r="EN79" s="68">
        <f t="shared" si="669"/>
        <v>0</v>
      </c>
      <c r="EO79" s="51">
        <f t="shared" si="585"/>
        <v>802</v>
      </c>
      <c r="EP79" s="103">
        <f t="shared" si="717"/>
        <v>0</v>
      </c>
      <c r="EQ79" s="46">
        <f t="shared" si="277"/>
        <v>802</v>
      </c>
      <c r="ER79" s="12">
        <f t="shared" si="586"/>
        <v>80</v>
      </c>
      <c r="ES79" s="103">
        <f t="shared" si="718"/>
        <v>0</v>
      </c>
      <c r="ET79" s="62">
        <f t="shared" si="655"/>
        <v>80</v>
      </c>
      <c r="EV79" s="120">
        <f t="shared" si="719"/>
        <v>7</v>
      </c>
      <c r="EW79" s="7">
        <f t="shared" si="720"/>
        <v>10</v>
      </c>
      <c r="EX79" s="133"/>
      <c r="EY79" s="14">
        <f t="shared" si="436"/>
        <v>0</v>
      </c>
      <c r="EZ79" s="59">
        <f t="shared" si="488"/>
        <v>0</v>
      </c>
      <c r="FA79" s="405"/>
      <c r="FB79" s="406"/>
      <c r="FC79" s="406"/>
      <c r="FD79" s="14">
        <f t="shared" si="688"/>
        <v>0</v>
      </c>
      <c r="FE79" s="14">
        <f t="shared" si="670"/>
        <v>0</v>
      </c>
      <c r="FF79" s="14">
        <f t="shared" si="587"/>
        <v>0.16</v>
      </c>
      <c r="FG79" s="47">
        <f t="shared" si="689"/>
        <v>0</v>
      </c>
      <c r="FH79" s="35">
        <f t="shared" si="588"/>
        <v>3.2000000000000006</v>
      </c>
      <c r="FI79" s="157">
        <f t="shared" si="671"/>
        <v>0</v>
      </c>
      <c r="FJ79" s="134"/>
      <c r="FK79" s="14">
        <f t="shared" si="589"/>
        <v>52</v>
      </c>
      <c r="FL79" s="48">
        <f t="shared" si="261"/>
        <v>0</v>
      </c>
      <c r="FM79" s="68">
        <f t="shared" si="672"/>
        <v>0</v>
      </c>
      <c r="FN79" s="51">
        <f t="shared" si="590"/>
        <v>802</v>
      </c>
      <c r="FO79" s="103">
        <f t="shared" si="721"/>
        <v>0</v>
      </c>
      <c r="FP79" s="46">
        <f t="shared" si="279"/>
        <v>802</v>
      </c>
      <c r="FQ79" s="12">
        <f t="shared" si="591"/>
        <v>80</v>
      </c>
      <c r="FR79" s="103">
        <f t="shared" si="722"/>
        <v>0</v>
      </c>
      <c r="FS79" s="62">
        <f t="shared" si="656"/>
        <v>80</v>
      </c>
      <c r="FU79" s="120">
        <f t="shared" si="723"/>
        <v>7</v>
      </c>
      <c r="FV79" s="7">
        <f t="shared" si="724"/>
        <v>10</v>
      </c>
      <c r="FW79" s="133"/>
      <c r="FX79" s="14">
        <f t="shared" si="437"/>
        <v>0</v>
      </c>
      <c r="FY79" s="59">
        <f t="shared" si="489"/>
        <v>0</v>
      </c>
      <c r="FZ79" s="405"/>
      <c r="GA79" s="406"/>
      <c r="GB79" s="406"/>
      <c r="GC79" s="14">
        <f t="shared" si="690"/>
        <v>0</v>
      </c>
      <c r="GD79" s="14">
        <f t="shared" si="673"/>
        <v>0</v>
      </c>
      <c r="GE79" s="14">
        <f t="shared" si="592"/>
        <v>0.16</v>
      </c>
      <c r="GF79" s="47">
        <f t="shared" si="691"/>
        <v>0</v>
      </c>
      <c r="GG79" s="35">
        <f t="shared" si="593"/>
        <v>3.2000000000000006</v>
      </c>
      <c r="GH79" s="157">
        <f t="shared" si="674"/>
        <v>0</v>
      </c>
      <c r="GI79" s="134"/>
      <c r="GJ79" s="14">
        <f t="shared" si="594"/>
        <v>52</v>
      </c>
      <c r="GK79" s="48">
        <f t="shared" si="262"/>
        <v>0</v>
      </c>
      <c r="GL79" s="68">
        <f t="shared" si="675"/>
        <v>0</v>
      </c>
      <c r="GM79" s="51">
        <f t="shared" si="595"/>
        <v>802</v>
      </c>
      <c r="GN79" s="103">
        <f t="shared" si="725"/>
        <v>0</v>
      </c>
      <c r="GO79" s="46">
        <f t="shared" si="281"/>
        <v>802</v>
      </c>
      <c r="GP79" s="12">
        <f t="shared" si="596"/>
        <v>80</v>
      </c>
      <c r="GQ79" s="103">
        <f t="shared" si="726"/>
        <v>0</v>
      </c>
      <c r="GR79" s="62">
        <f t="shared" si="657"/>
        <v>80</v>
      </c>
      <c r="GT79" s="120">
        <f t="shared" si="727"/>
        <v>7</v>
      </c>
      <c r="GU79" s="7">
        <f t="shared" si="728"/>
        <v>10</v>
      </c>
      <c r="GV79" s="133"/>
      <c r="GW79" s="14">
        <f t="shared" si="438"/>
        <v>0</v>
      </c>
      <c r="GX79" s="59">
        <f t="shared" si="490"/>
        <v>0</v>
      </c>
      <c r="GY79" s="405"/>
      <c r="GZ79" s="406"/>
      <c r="HA79" s="406"/>
      <c r="HB79" s="14">
        <f t="shared" si="692"/>
        <v>0</v>
      </c>
      <c r="HC79" s="14">
        <f t="shared" si="676"/>
        <v>0</v>
      </c>
      <c r="HD79" s="14">
        <f t="shared" si="597"/>
        <v>0.16</v>
      </c>
      <c r="HE79" s="47">
        <f t="shared" si="693"/>
        <v>0</v>
      </c>
      <c r="HF79" s="35">
        <f t="shared" si="598"/>
        <v>3.2000000000000006</v>
      </c>
      <c r="HG79" s="157">
        <f t="shared" si="677"/>
        <v>0</v>
      </c>
      <c r="HH79" s="134"/>
      <c r="HI79" s="14">
        <f t="shared" si="599"/>
        <v>52</v>
      </c>
      <c r="HJ79" s="48">
        <f t="shared" si="263"/>
        <v>0</v>
      </c>
      <c r="HK79" s="68">
        <f t="shared" si="678"/>
        <v>0</v>
      </c>
      <c r="HL79" s="51">
        <f t="shared" si="600"/>
        <v>802</v>
      </c>
      <c r="HM79" s="103">
        <f t="shared" si="729"/>
        <v>0</v>
      </c>
      <c r="HN79" s="46">
        <f t="shared" si="283"/>
        <v>802</v>
      </c>
      <c r="HO79" s="12">
        <f t="shared" si="601"/>
        <v>80</v>
      </c>
      <c r="HP79" s="103">
        <f t="shared" si="730"/>
        <v>0</v>
      </c>
      <c r="HQ79" s="62">
        <f t="shared" si="658"/>
        <v>80</v>
      </c>
    </row>
    <row r="80" spans="1:225" ht="17.25" thickBot="1" x14ac:dyDescent="0.3">
      <c r="B80" s="120">
        <f t="shared" si="694"/>
        <v>8</v>
      </c>
      <c r="C80" s="570">
        <f t="shared" si="695"/>
        <v>10</v>
      </c>
      <c r="D80" s="133"/>
      <c r="E80" s="408">
        <f t="shared" si="696"/>
        <v>95928</v>
      </c>
      <c r="F80" s="562">
        <f t="shared" si="555"/>
        <v>95908</v>
      </c>
      <c r="G80" s="134"/>
      <c r="H80" s="135">
        <v>20</v>
      </c>
      <c r="I80" s="135"/>
      <c r="J80" s="14">
        <f t="shared" si="679"/>
        <v>20</v>
      </c>
      <c r="K80" s="14">
        <f t="shared" si="604"/>
        <v>5357</v>
      </c>
      <c r="L80" s="14">
        <f t="shared" si="556"/>
        <v>0.16</v>
      </c>
      <c r="M80" s="47">
        <f t="shared" si="605"/>
        <v>2.0848970060878994E-2</v>
      </c>
      <c r="N80" s="35">
        <f t="shared" si="557"/>
        <v>3.2000000000000006</v>
      </c>
      <c r="O80" s="132">
        <f t="shared" si="606"/>
        <v>3.9718846618670898</v>
      </c>
      <c r="P80" s="142">
        <v>4095</v>
      </c>
      <c r="Q80" s="14">
        <f t="shared" si="558"/>
        <v>52</v>
      </c>
      <c r="R80" s="442">
        <f t="shared" si="559"/>
        <v>42.688266199649739</v>
      </c>
      <c r="S80" s="470">
        <f t="shared" si="650"/>
        <v>1983.4077956505075</v>
      </c>
      <c r="T80" s="51">
        <f t="shared" si="560"/>
        <v>802</v>
      </c>
      <c r="U80" s="103">
        <f t="shared" si="697"/>
        <v>749</v>
      </c>
      <c r="V80" s="46">
        <f t="shared" si="608"/>
        <v>53</v>
      </c>
      <c r="W80" s="12">
        <f t="shared" si="561"/>
        <v>80</v>
      </c>
      <c r="X80" s="103">
        <f t="shared" si="698"/>
        <v>78</v>
      </c>
      <c r="Y80" s="46">
        <f t="shared" si="610"/>
        <v>2</v>
      </c>
      <c r="Z80" s="487"/>
      <c r="AA80" s="120">
        <f t="shared" si="699"/>
        <v>8</v>
      </c>
      <c r="AB80" s="7">
        <f t="shared" si="700"/>
        <v>10</v>
      </c>
      <c r="AC80" s="133"/>
      <c r="AD80" s="48">
        <f t="shared" si="483"/>
        <v>86667</v>
      </c>
      <c r="AE80" s="49">
        <f t="shared" si="484"/>
        <v>86654</v>
      </c>
      <c r="AF80" s="134"/>
      <c r="AG80" s="135">
        <v>13</v>
      </c>
      <c r="AH80" s="135"/>
      <c r="AI80" s="14">
        <f t="shared" si="680"/>
        <v>13</v>
      </c>
      <c r="AJ80" s="14">
        <f t="shared" si="321"/>
        <v>6245</v>
      </c>
      <c r="AK80" s="14">
        <f t="shared" si="562"/>
        <v>0.16</v>
      </c>
      <c r="AL80" s="47">
        <f t="shared" si="613"/>
        <v>1.49999423079142E-2</v>
      </c>
      <c r="AM80" s="35">
        <f t="shared" si="563"/>
        <v>3.2000000000000006</v>
      </c>
      <c r="AN80" s="157">
        <f t="shared" si="659"/>
        <v>4.0770094531780439</v>
      </c>
      <c r="AO80" s="134">
        <v>4095</v>
      </c>
      <c r="AP80" s="14">
        <f t="shared" si="564"/>
        <v>52</v>
      </c>
      <c r="AQ80" s="442">
        <f t="shared" si="614"/>
        <v>47.249818269929733</v>
      </c>
      <c r="AR80" s="470">
        <f t="shared" si="323"/>
        <v>1962.5977077817856</v>
      </c>
      <c r="AS80" s="51">
        <f t="shared" si="565"/>
        <v>802</v>
      </c>
      <c r="AT80" s="103">
        <f t="shared" si="701"/>
        <v>705</v>
      </c>
      <c r="AU80" s="46">
        <f t="shared" si="271"/>
        <v>97</v>
      </c>
      <c r="AV80" s="12">
        <f t="shared" si="566"/>
        <v>80</v>
      </c>
      <c r="AW80" s="103">
        <f t="shared" si="702"/>
        <v>71</v>
      </c>
      <c r="AX80" s="46">
        <f t="shared" si="660"/>
        <v>9</v>
      </c>
      <c r="AZ80" s="120">
        <f t="shared" si="703"/>
        <v>8</v>
      </c>
      <c r="BA80" s="7">
        <f t="shared" si="704"/>
        <v>10</v>
      </c>
      <c r="BB80" s="133"/>
      <c r="BC80" s="48">
        <f t="shared" si="518"/>
        <v>92865</v>
      </c>
      <c r="BD80" s="49">
        <f t="shared" si="485"/>
        <v>92855</v>
      </c>
      <c r="BE80" s="134"/>
      <c r="BF80" s="135">
        <v>10</v>
      </c>
      <c r="BG80" s="135"/>
      <c r="BH80" s="14">
        <f t="shared" si="681"/>
        <v>10</v>
      </c>
      <c r="BI80" s="14">
        <f t="shared" si="294"/>
        <v>1017</v>
      </c>
      <c r="BJ80" s="14">
        <f t="shared" si="567"/>
        <v>0.16</v>
      </c>
      <c r="BK80" s="47">
        <f t="shared" si="646"/>
        <v>1.0768319603725839E-2</v>
      </c>
      <c r="BL80" s="35">
        <f t="shared" si="568"/>
        <v>3.2000000000000006</v>
      </c>
      <c r="BM80" s="132">
        <f t="shared" si="326"/>
        <v>1.4243697478991597</v>
      </c>
      <c r="BN80" s="134">
        <v>5187</v>
      </c>
      <c r="BO80" s="14">
        <f t="shared" si="569"/>
        <v>52</v>
      </c>
      <c r="BP80" s="442">
        <f t="shared" si="647"/>
        <v>55.855273784525927</v>
      </c>
      <c r="BQ80" s="747">
        <f t="shared" si="651"/>
        <v>1983.7052557035026</v>
      </c>
      <c r="BR80" s="51">
        <f t="shared" si="570"/>
        <v>802</v>
      </c>
      <c r="BS80" s="103">
        <f t="shared" si="705"/>
        <v>825</v>
      </c>
      <c r="BT80" s="46">
        <f t="shared" si="272"/>
        <v>-23</v>
      </c>
      <c r="BU80" s="12">
        <f t="shared" si="571"/>
        <v>80</v>
      </c>
      <c r="BV80" s="103">
        <f t="shared" si="706"/>
        <v>96</v>
      </c>
      <c r="BW80" s="46">
        <f t="shared" si="661"/>
        <v>-16</v>
      </c>
      <c r="BY80" s="120">
        <f t="shared" si="707"/>
        <v>8</v>
      </c>
      <c r="BZ80" s="7">
        <f t="shared" si="708"/>
        <v>10</v>
      </c>
      <c r="CA80" s="133"/>
      <c r="CB80" s="14">
        <f t="shared" si="662"/>
        <v>0</v>
      </c>
      <c r="CC80" s="46">
        <f t="shared" si="682"/>
        <v>0</v>
      </c>
      <c r="CD80" s="405"/>
      <c r="CE80" s="406"/>
      <c r="CF80" s="406"/>
      <c r="CG80" s="14">
        <f t="shared" si="683"/>
        <v>0</v>
      </c>
      <c r="CH80" s="14">
        <f t="shared" si="663"/>
        <v>0</v>
      </c>
      <c r="CI80" s="14">
        <f t="shared" si="572"/>
        <v>0.16</v>
      </c>
      <c r="CJ80" s="47">
        <f t="shared" si="648"/>
        <v>0</v>
      </c>
      <c r="CK80" s="35">
        <f t="shared" si="573"/>
        <v>3.2000000000000006</v>
      </c>
      <c r="CL80" s="157">
        <f t="shared" si="652"/>
        <v>0</v>
      </c>
      <c r="CM80" s="134"/>
      <c r="CN80" s="14">
        <f t="shared" si="574"/>
        <v>52</v>
      </c>
      <c r="CO80" s="48">
        <f t="shared" si="653"/>
        <v>0</v>
      </c>
      <c r="CP80" s="68">
        <f t="shared" si="649"/>
        <v>0</v>
      </c>
      <c r="CQ80" s="51">
        <f t="shared" si="575"/>
        <v>802</v>
      </c>
      <c r="CR80" s="103">
        <f t="shared" si="709"/>
        <v>0</v>
      </c>
      <c r="CS80" s="46">
        <f t="shared" si="273"/>
        <v>802</v>
      </c>
      <c r="CT80" s="50">
        <f t="shared" si="576"/>
        <v>80</v>
      </c>
      <c r="CU80" s="103">
        <f t="shared" si="710"/>
        <v>0</v>
      </c>
      <c r="CV80" s="46">
        <f t="shared" si="625"/>
        <v>80</v>
      </c>
      <c r="CX80" s="120">
        <f t="shared" si="711"/>
        <v>8</v>
      </c>
      <c r="CY80" s="7">
        <f t="shared" si="712"/>
        <v>10</v>
      </c>
      <c r="CZ80" s="133"/>
      <c r="DA80" s="14">
        <f t="shared" si="434"/>
        <v>0</v>
      </c>
      <c r="DB80" s="46">
        <f t="shared" si="486"/>
        <v>0</v>
      </c>
      <c r="DC80" s="405"/>
      <c r="DD80" s="406"/>
      <c r="DE80" s="406"/>
      <c r="DF80" s="14">
        <f t="shared" si="684"/>
        <v>0</v>
      </c>
      <c r="DG80" s="14">
        <f t="shared" si="664"/>
        <v>0</v>
      </c>
      <c r="DH80" s="14">
        <f t="shared" si="577"/>
        <v>0.16</v>
      </c>
      <c r="DI80" s="47">
        <f t="shared" si="685"/>
        <v>0</v>
      </c>
      <c r="DJ80" s="35">
        <f t="shared" si="578"/>
        <v>3.2000000000000006</v>
      </c>
      <c r="DK80" s="157">
        <f t="shared" si="665"/>
        <v>0</v>
      </c>
      <c r="DL80" s="134"/>
      <c r="DM80" s="14">
        <f t="shared" si="579"/>
        <v>52</v>
      </c>
      <c r="DN80" s="48">
        <f t="shared" si="259"/>
        <v>0</v>
      </c>
      <c r="DO80" s="68">
        <f t="shared" si="666"/>
        <v>0</v>
      </c>
      <c r="DP80" s="51">
        <f t="shared" si="580"/>
        <v>802</v>
      </c>
      <c r="DQ80" s="103">
        <f t="shared" si="713"/>
        <v>0</v>
      </c>
      <c r="DR80" s="46">
        <f t="shared" si="275"/>
        <v>802</v>
      </c>
      <c r="DS80" s="50">
        <f t="shared" si="581"/>
        <v>80</v>
      </c>
      <c r="DT80" s="103">
        <f t="shared" si="714"/>
        <v>0</v>
      </c>
      <c r="DU80" s="46">
        <f t="shared" si="654"/>
        <v>80</v>
      </c>
      <c r="DW80" s="120">
        <f t="shared" si="715"/>
        <v>8</v>
      </c>
      <c r="DX80" s="7">
        <f t="shared" si="716"/>
        <v>10</v>
      </c>
      <c r="DY80" s="133"/>
      <c r="DZ80" s="14">
        <f t="shared" si="435"/>
        <v>0</v>
      </c>
      <c r="EA80" s="46">
        <f t="shared" si="487"/>
        <v>0</v>
      </c>
      <c r="EB80" s="405"/>
      <c r="EC80" s="406"/>
      <c r="ED80" s="406"/>
      <c r="EE80" s="14">
        <f t="shared" si="686"/>
        <v>0</v>
      </c>
      <c r="EF80" s="14">
        <f t="shared" si="667"/>
        <v>0</v>
      </c>
      <c r="EG80" s="14">
        <f t="shared" si="582"/>
        <v>0.16</v>
      </c>
      <c r="EH80" s="47">
        <f t="shared" si="687"/>
        <v>0</v>
      </c>
      <c r="EI80" s="35">
        <f t="shared" si="583"/>
        <v>3.2000000000000006</v>
      </c>
      <c r="EJ80" s="157">
        <f t="shared" si="668"/>
        <v>0</v>
      </c>
      <c r="EK80" s="134"/>
      <c r="EL80" s="14">
        <f t="shared" si="584"/>
        <v>52</v>
      </c>
      <c r="EM80" s="48">
        <f t="shared" si="260"/>
        <v>0</v>
      </c>
      <c r="EN80" s="68">
        <f t="shared" si="669"/>
        <v>0</v>
      </c>
      <c r="EO80" s="51">
        <f t="shared" si="585"/>
        <v>802</v>
      </c>
      <c r="EP80" s="103">
        <f t="shared" si="717"/>
        <v>0</v>
      </c>
      <c r="EQ80" s="46">
        <f t="shared" si="277"/>
        <v>802</v>
      </c>
      <c r="ER80" s="50">
        <f t="shared" si="586"/>
        <v>80</v>
      </c>
      <c r="ES80" s="103">
        <f t="shared" si="718"/>
        <v>0</v>
      </c>
      <c r="ET80" s="46">
        <f t="shared" si="655"/>
        <v>80</v>
      </c>
      <c r="EV80" s="120">
        <f t="shared" si="719"/>
        <v>8</v>
      </c>
      <c r="EW80" s="7">
        <f t="shared" si="720"/>
        <v>10</v>
      </c>
      <c r="EX80" s="133"/>
      <c r="EY80" s="14">
        <f t="shared" si="436"/>
        <v>0</v>
      </c>
      <c r="EZ80" s="46">
        <f t="shared" si="488"/>
        <v>0</v>
      </c>
      <c r="FA80" s="405"/>
      <c r="FB80" s="406"/>
      <c r="FC80" s="406"/>
      <c r="FD80" s="14">
        <f t="shared" si="688"/>
        <v>0</v>
      </c>
      <c r="FE80" s="14">
        <f t="shared" si="670"/>
        <v>0</v>
      </c>
      <c r="FF80" s="14">
        <f t="shared" si="587"/>
        <v>0.16</v>
      </c>
      <c r="FG80" s="47">
        <f t="shared" si="689"/>
        <v>0</v>
      </c>
      <c r="FH80" s="35">
        <f t="shared" si="588"/>
        <v>3.2000000000000006</v>
      </c>
      <c r="FI80" s="157">
        <f t="shared" si="671"/>
        <v>0</v>
      </c>
      <c r="FJ80" s="134"/>
      <c r="FK80" s="14">
        <f t="shared" si="589"/>
        <v>52</v>
      </c>
      <c r="FL80" s="48">
        <f t="shared" si="261"/>
        <v>0</v>
      </c>
      <c r="FM80" s="68">
        <f t="shared" si="672"/>
        <v>0</v>
      </c>
      <c r="FN80" s="51">
        <f t="shared" si="590"/>
        <v>802</v>
      </c>
      <c r="FO80" s="103">
        <f t="shared" si="721"/>
        <v>0</v>
      </c>
      <c r="FP80" s="46">
        <f t="shared" si="279"/>
        <v>802</v>
      </c>
      <c r="FQ80" s="50">
        <f t="shared" si="591"/>
        <v>80</v>
      </c>
      <c r="FR80" s="103">
        <f t="shared" si="722"/>
        <v>0</v>
      </c>
      <c r="FS80" s="46">
        <f t="shared" si="656"/>
        <v>80</v>
      </c>
      <c r="FU80" s="120">
        <f t="shared" si="723"/>
        <v>8</v>
      </c>
      <c r="FV80" s="7">
        <f t="shared" si="724"/>
        <v>10</v>
      </c>
      <c r="FW80" s="133"/>
      <c r="FX80" s="14">
        <f t="shared" si="437"/>
        <v>0</v>
      </c>
      <c r="FY80" s="46">
        <f t="shared" si="489"/>
        <v>0</v>
      </c>
      <c r="FZ80" s="405"/>
      <c r="GA80" s="406"/>
      <c r="GB80" s="406"/>
      <c r="GC80" s="14">
        <f t="shared" si="690"/>
        <v>0</v>
      </c>
      <c r="GD80" s="14">
        <f t="shared" si="673"/>
        <v>0</v>
      </c>
      <c r="GE80" s="14">
        <f t="shared" si="592"/>
        <v>0.16</v>
      </c>
      <c r="GF80" s="47">
        <f t="shared" si="691"/>
        <v>0</v>
      </c>
      <c r="GG80" s="35">
        <f t="shared" si="593"/>
        <v>3.2000000000000006</v>
      </c>
      <c r="GH80" s="157">
        <f t="shared" si="674"/>
        <v>0</v>
      </c>
      <c r="GI80" s="134"/>
      <c r="GJ80" s="14">
        <f t="shared" si="594"/>
        <v>52</v>
      </c>
      <c r="GK80" s="48">
        <f t="shared" si="262"/>
        <v>0</v>
      </c>
      <c r="GL80" s="68">
        <f t="shared" si="675"/>
        <v>0</v>
      </c>
      <c r="GM80" s="51">
        <f t="shared" si="595"/>
        <v>802</v>
      </c>
      <c r="GN80" s="103">
        <f t="shared" si="725"/>
        <v>0</v>
      </c>
      <c r="GO80" s="46">
        <f t="shared" si="281"/>
        <v>802</v>
      </c>
      <c r="GP80" s="50">
        <f t="shared" si="596"/>
        <v>80</v>
      </c>
      <c r="GQ80" s="103">
        <f t="shared" si="726"/>
        <v>0</v>
      </c>
      <c r="GR80" s="46">
        <f t="shared" si="657"/>
        <v>80</v>
      </c>
      <c r="GT80" s="120">
        <f t="shared" si="727"/>
        <v>8</v>
      </c>
      <c r="GU80" s="7">
        <f t="shared" si="728"/>
        <v>10</v>
      </c>
      <c r="GV80" s="133"/>
      <c r="GW80" s="14">
        <f t="shared" si="438"/>
        <v>0</v>
      </c>
      <c r="GX80" s="46">
        <f t="shared" si="490"/>
        <v>0</v>
      </c>
      <c r="GY80" s="405"/>
      <c r="GZ80" s="406"/>
      <c r="HA80" s="406"/>
      <c r="HB80" s="14">
        <f t="shared" si="692"/>
        <v>0</v>
      </c>
      <c r="HC80" s="14">
        <f t="shared" si="676"/>
        <v>0</v>
      </c>
      <c r="HD80" s="14">
        <f t="shared" si="597"/>
        <v>0.16</v>
      </c>
      <c r="HE80" s="47">
        <f t="shared" si="693"/>
        <v>0</v>
      </c>
      <c r="HF80" s="35">
        <f t="shared" si="598"/>
        <v>3.2000000000000006</v>
      </c>
      <c r="HG80" s="157">
        <f t="shared" si="677"/>
        <v>0</v>
      </c>
      <c r="HH80" s="134"/>
      <c r="HI80" s="14">
        <f t="shared" si="599"/>
        <v>52</v>
      </c>
      <c r="HJ80" s="48">
        <f t="shared" si="263"/>
        <v>0</v>
      </c>
      <c r="HK80" s="68">
        <f t="shared" si="678"/>
        <v>0</v>
      </c>
      <c r="HL80" s="51">
        <f t="shared" si="600"/>
        <v>802</v>
      </c>
      <c r="HM80" s="103">
        <f t="shared" si="729"/>
        <v>0</v>
      </c>
      <c r="HN80" s="46">
        <f t="shared" si="283"/>
        <v>802</v>
      </c>
      <c r="HO80" s="50">
        <f t="shared" si="601"/>
        <v>80</v>
      </c>
      <c r="HP80" s="103">
        <f t="shared" si="730"/>
        <v>0</v>
      </c>
      <c r="HQ80" s="46">
        <f t="shared" si="658"/>
        <v>80</v>
      </c>
    </row>
    <row r="81" spans="1:225" ht="17.25" thickBot="1" x14ac:dyDescent="0.3">
      <c r="B81" s="120">
        <f t="shared" si="694"/>
        <v>9</v>
      </c>
      <c r="C81" s="570">
        <f t="shared" si="695"/>
        <v>10</v>
      </c>
      <c r="D81" s="133"/>
      <c r="E81" s="408">
        <f t="shared" si="696"/>
        <v>95908</v>
      </c>
      <c r="F81" s="562">
        <f t="shared" si="555"/>
        <v>95890</v>
      </c>
      <c r="G81" s="134"/>
      <c r="H81" s="135">
        <v>18</v>
      </c>
      <c r="I81" s="135"/>
      <c r="J81" s="14">
        <f t="shared" si="679"/>
        <v>18</v>
      </c>
      <c r="K81" s="14">
        <f t="shared" si="604"/>
        <v>5375</v>
      </c>
      <c r="L81" s="14">
        <f t="shared" si="556"/>
        <v>0.16</v>
      </c>
      <c r="M81" s="47">
        <f t="shared" si="605"/>
        <v>1.8767985986570462E-2</v>
      </c>
      <c r="N81" s="35">
        <f t="shared" si="557"/>
        <v>3.2000000000000006</v>
      </c>
      <c r="O81" s="132">
        <f t="shared" si="606"/>
        <v>3.9852305502213192</v>
      </c>
      <c r="P81" s="142">
        <v>4095</v>
      </c>
      <c r="Q81" s="14">
        <f t="shared" si="558"/>
        <v>52</v>
      </c>
      <c r="R81" s="442">
        <f t="shared" si="559"/>
        <v>42.697168119447809</v>
      </c>
      <c r="S81" s="470">
        <f t="shared" si="650"/>
        <v>2026.1049637699552</v>
      </c>
      <c r="T81" s="51">
        <f t="shared" si="560"/>
        <v>802</v>
      </c>
      <c r="U81" s="103">
        <f t="shared" si="697"/>
        <v>749</v>
      </c>
      <c r="V81" s="46">
        <f t="shared" si="608"/>
        <v>53</v>
      </c>
      <c r="W81" s="50">
        <f t="shared" si="561"/>
        <v>80</v>
      </c>
      <c r="X81" s="103">
        <f t="shared" si="698"/>
        <v>78</v>
      </c>
      <c r="Y81" s="46">
        <f t="shared" si="610"/>
        <v>2</v>
      </c>
      <c r="Z81" s="487"/>
      <c r="AA81" s="120">
        <f t="shared" si="699"/>
        <v>9</v>
      </c>
      <c r="AB81" s="7">
        <f t="shared" si="700"/>
        <v>10</v>
      </c>
      <c r="AC81" s="133"/>
      <c r="AD81" s="48">
        <f t="shared" si="483"/>
        <v>86654</v>
      </c>
      <c r="AE81" s="447">
        <f t="shared" si="484"/>
        <v>86644</v>
      </c>
      <c r="AF81" s="134"/>
      <c r="AG81" s="135">
        <v>10</v>
      </c>
      <c r="AH81" s="135"/>
      <c r="AI81" s="14">
        <f t="shared" si="680"/>
        <v>10</v>
      </c>
      <c r="AJ81" s="14">
        <f t="shared" si="321"/>
        <v>6255</v>
      </c>
      <c r="AK81" s="14">
        <f t="shared" si="562"/>
        <v>0.16</v>
      </c>
      <c r="AL81" s="47">
        <f t="shared" si="613"/>
        <v>1.1540148175502573E-2</v>
      </c>
      <c r="AM81" s="35">
        <f t="shared" si="563"/>
        <v>3.2000000000000006</v>
      </c>
      <c r="AN81" s="157">
        <f t="shared" si="659"/>
        <v>4.083537891053429</v>
      </c>
      <c r="AO81" s="134">
        <v>3003</v>
      </c>
      <c r="AP81" s="14">
        <f t="shared" si="564"/>
        <v>52</v>
      </c>
      <c r="AQ81" s="442">
        <f t="shared" si="614"/>
        <v>34.655064971034228</v>
      </c>
      <c r="AR81" s="470">
        <f t="shared" si="323"/>
        <v>1997.25277275282</v>
      </c>
      <c r="AS81" s="51">
        <f t="shared" si="565"/>
        <v>802</v>
      </c>
      <c r="AT81" s="103">
        <f t="shared" si="701"/>
        <v>705</v>
      </c>
      <c r="AU81" s="46">
        <f t="shared" si="271"/>
        <v>97</v>
      </c>
      <c r="AV81" s="50">
        <f t="shared" si="566"/>
        <v>80</v>
      </c>
      <c r="AW81" s="103">
        <f t="shared" si="702"/>
        <v>71</v>
      </c>
      <c r="AX81" s="46">
        <f t="shared" si="660"/>
        <v>9</v>
      </c>
      <c r="AZ81" s="120">
        <f t="shared" si="703"/>
        <v>9</v>
      </c>
      <c r="BA81" s="7">
        <f t="shared" si="704"/>
        <v>10</v>
      </c>
      <c r="BB81" s="133"/>
      <c r="BC81" s="48">
        <f t="shared" si="518"/>
        <v>92855</v>
      </c>
      <c r="BD81" s="447">
        <f t="shared" si="485"/>
        <v>92847</v>
      </c>
      <c r="BE81" s="134"/>
      <c r="BF81" s="135">
        <v>8</v>
      </c>
      <c r="BG81" s="135"/>
      <c r="BH81" s="14">
        <f t="shared" si="681"/>
        <v>8</v>
      </c>
      <c r="BI81" s="14">
        <f t="shared" si="294"/>
        <v>1025</v>
      </c>
      <c r="BJ81" s="14">
        <f t="shared" si="567"/>
        <v>0.16</v>
      </c>
      <c r="BK81" s="47">
        <f t="shared" si="646"/>
        <v>8.615583436540843E-3</v>
      </c>
      <c r="BL81" s="35">
        <f t="shared" si="568"/>
        <v>3.2000000000000006</v>
      </c>
      <c r="BM81" s="132">
        <f t="shared" si="326"/>
        <v>1.4355742296918768</v>
      </c>
      <c r="BN81" s="134">
        <v>5460</v>
      </c>
      <c r="BO81" s="14">
        <f t="shared" si="569"/>
        <v>52</v>
      </c>
      <c r="BP81" s="442">
        <f t="shared" si="647"/>
        <v>58.801356954391252</v>
      </c>
      <c r="BQ81" s="747">
        <f t="shared" si="651"/>
        <v>2042.5066126578938</v>
      </c>
      <c r="BR81" s="51">
        <f t="shared" si="570"/>
        <v>802</v>
      </c>
      <c r="BS81" s="103">
        <f t="shared" si="705"/>
        <v>825</v>
      </c>
      <c r="BT81" s="46">
        <f t="shared" si="272"/>
        <v>-23</v>
      </c>
      <c r="BU81" s="50">
        <f t="shared" si="571"/>
        <v>80</v>
      </c>
      <c r="BV81" s="103">
        <f t="shared" si="706"/>
        <v>96</v>
      </c>
      <c r="BW81" s="46">
        <f t="shared" si="661"/>
        <v>-16</v>
      </c>
      <c r="BY81" s="120">
        <f t="shared" si="707"/>
        <v>9</v>
      </c>
      <c r="BZ81" s="7">
        <f t="shared" si="708"/>
        <v>10</v>
      </c>
      <c r="CA81" s="133"/>
      <c r="CB81" s="14">
        <f t="shared" si="662"/>
        <v>0</v>
      </c>
      <c r="CC81" s="62">
        <f t="shared" si="682"/>
        <v>0</v>
      </c>
      <c r="CD81" s="405"/>
      <c r="CE81" s="406"/>
      <c r="CF81" s="406"/>
      <c r="CG81" s="14">
        <f t="shared" si="683"/>
        <v>0</v>
      </c>
      <c r="CH81" s="14">
        <f t="shared" si="663"/>
        <v>0</v>
      </c>
      <c r="CI81" s="14">
        <f t="shared" si="572"/>
        <v>0.16</v>
      </c>
      <c r="CJ81" s="47">
        <f t="shared" si="648"/>
        <v>0</v>
      </c>
      <c r="CK81" s="35">
        <f t="shared" si="573"/>
        <v>3.2000000000000006</v>
      </c>
      <c r="CL81" s="157">
        <f t="shared" si="652"/>
        <v>0</v>
      </c>
      <c r="CM81" s="134"/>
      <c r="CN81" s="14">
        <f t="shared" si="574"/>
        <v>52</v>
      </c>
      <c r="CO81" s="48">
        <f t="shared" si="653"/>
        <v>0</v>
      </c>
      <c r="CP81" s="68">
        <f t="shared" si="649"/>
        <v>0</v>
      </c>
      <c r="CQ81" s="51">
        <f t="shared" si="575"/>
        <v>802</v>
      </c>
      <c r="CR81" s="103">
        <f t="shared" si="709"/>
        <v>0</v>
      </c>
      <c r="CS81" s="46">
        <f t="shared" si="273"/>
        <v>802</v>
      </c>
      <c r="CT81" s="50">
        <f t="shared" si="576"/>
        <v>80</v>
      </c>
      <c r="CU81" s="103">
        <f t="shared" si="710"/>
        <v>0</v>
      </c>
      <c r="CV81" s="46">
        <f t="shared" si="625"/>
        <v>80</v>
      </c>
      <c r="CX81" s="120">
        <f t="shared" si="711"/>
        <v>9</v>
      </c>
      <c r="CY81" s="7">
        <f t="shared" si="712"/>
        <v>10</v>
      </c>
      <c r="CZ81" s="133"/>
      <c r="DA81" s="14">
        <f t="shared" si="434"/>
        <v>0</v>
      </c>
      <c r="DB81" s="62">
        <f t="shared" si="486"/>
        <v>0</v>
      </c>
      <c r="DC81" s="405"/>
      <c r="DD81" s="406"/>
      <c r="DE81" s="406"/>
      <c r="DF81" s="14">
        <f t="shared" si="684"/>
        <v>0</v>
      </c>
      <c r="DG81" s="14">
        <f t="shared" si="664"/>
        <v>0</v>
      </c>
      <c r="DH81" s="14">
        <f t="shared" si="577"/>
        <v>0.16</v>
      </c>
      <c r="DI81" s="47">
        <f t="shared" si="685"/>
        <v>0</v>
      </c>
      <c r="DJ81" s="35">
        <f t="shared" si="578"/>
        <v>3.2000000000000006</v>
      </c>
      <c r="DK81" s="157">
        <f t="shared" si="665"/>
        <v>0</v>
      </c>
      <c r="DL81" s="134"/>
      <c r="DM81" s="14">
        <f t="shared" si="579"/>
        <v>52</v>
      </c>
      <c r="DN81" s="48">
        <f t="shared" ref="DN81:DN85" si="731">IFERROR(DL81/DA81,0)</f>
        <v>0</v>
      </c>
      <c r="DO81" s="68">
        <f t="shared" si="666"/>
        <v>0</v>
      </c>
      <c r="DP81" s="51">
        <f t="shared" si="580"/>
        <v>802</v>
      </c>
      <c r="DQ81" s="103">
        <f t="shared" si="713"/>
        <v>0</v>
      </c>
      <c r="DR81" s="46">
        <f t="shared" si="275"/>
        <v>802</v>
      </c>
      <c r="DS81" s="50">
        <f t="shared" si="581"/>
        <v>80</v>
      </c>
      <c r="DT81" s="103">
        <f t="shared" si="714"/>
        <v>0</v>
      </c>
      <c r="DU81" s="46">
        <f t="shared" si="654"/>
        <v>80</v>
      </c>
      <c r="DW81" s="120">
        <f t="shared" si="715"/>
        <v>9</v>
      </c>
      <c r="DX81" s="7">
        <f t="shared" si="716"/>
        <v>10</v>
      </c>
      <c r="DY81" s="133"/>
      <c r="DZ81" s="14">
        <f t="shared" si="435"/>
        <v>0</v>
      </c>
      <c r="EA81" s="62">
        <f t="shared" si="487"/>
        <v>0</v>
      </c>
      <c r="EB81" s="405"/>
      <c r="EC81" s="406"/>
      <c r="ED81" s="406"/>
      <c r="EE81" s="14">
        <f t="shared" si="686"/>
        <v>0</v>
      </c>
      <c r="EF81" s="14">
        <f t="shared" si="667"/>
        <v>0</v>
      </c>
      <c r="EG81" s="14">
        <f t="shared" si="582"/>
        <v>0.16</v>
      </c>
      <c r="EH81" s="47">
        <f t="shared" si="687"/>
        <v>0</v>
      </c>
      <c r="EI81" s="35">
        <f t="shared" si="583"/>
        <v>3.2000000000000006</v>
      </c>
      <c r="EJ81" s="157">
        <f t="shared" si="668"/>
        <v>0</v>
      </c>
      <c r="EK81" s="134"/>
      <c r="EL81" s="14">
        <f t="shared" si="584"/>
        <v>52</v>
      </c>
      <c r="EM81" s="48">
        <f t="shared" ref="EM81:EM85" si="732">IFERROR(EK81/DZ81,0)</f>
        <v>0</v>
      </c>
      <c r="EN81" s="68">
        <f t="shared" si="669"/>
        <v>0</v>
      </c>
      <c r="EO81" s="51">
        <f t="shared" si="585"/>
        <v>802</v>
      </c>
      <c r="EP81" s="103">
        <f t="shared" si="717"/>
        <v>0</v>
      </c>
      <c r="EQ81" s="46">
        <f t="shared" si="277"/>
        <v>802</v>
      </c>
      <c r="ER81" s="50">
        <f t="shared" si="586"/>
        <v>80</v>
      </c>
      <c r="ES81" s="103">
        <f t="shared" si="718"/>
        <v>0</v>
      </c>
      <c r="ET81" s="46">
        <f t="shared" si="655"/>
        <v>80</v>
      </c>
      <c r="EV81" s="120">
        <f t="shared" si="719"/>
        <v>9</v>
      </c>
      <c r="EW81" s="7">
        <f t="shared" si="720"/>
        <v>10</v>
      </c>
      <c r="EX81" s="133"/>
      <c r="EY81" s="14">
        <f t="shared" si="436"/>
        <v>0</v>
      </c>
      <c r="EZ81" s="62">
        <f t="shared" si="488"/>
        <v>0</v>
      </c>
      <c r="FA81" s="405"/>
      <c r="FB81" s="406"/>
      <c r="FC81" s="406"/>
      <c r="FD81" s="14">
        <f t="shared" si="688"/>
        <v>0</v>
      </c>
      <c r="FE81" s="14">
        <f t="shared" si="670"/>
        <v>0</v>
      </c>
      <c r="FF81" s="14">
        <f t="shared" si="587"/>
        <v>0.16</v>
      </c>
      <c r="FG81" s="47">
        <f t="shared" si="689"/>
        <v>0</v>
      </c>
      <c r="FH81" s="35">
        <f t="shared" si="588"/>
        <v>3.2000000000000006</v>
      </c>
      <c r="FI81" s="157">
        <f t="shared" si="671"/>
        <v>0</v>
      </c>
      <c r="FJ81" s="134"/>
      <c r="FK81" s="14">
        <f t="shared" si="589"/>
        <v>52</v>
      </c>
      <c r="FL81" s="48">
        <f t="shared" ref="FL81:FL85" si="733">IFERROR(FJ81/EY81,0)</f>
        <v>0</v>
      </c>
      <c r="FM81" s="68">
        <f t="shared" si="672"/>
        <v>0</v>
      </c>
      <c r="FN81" s="51">
        <f t="shared" si="590"/>
        <v>802</v>
      </c>
      <c r="FO81" s="103">
        <f t="shared" si="721"/>
        <v>0</v>
      </c>
      <c r="FP81" s="46">
        <f t="shared" si="279"/>
        <v>802</v>
      </c>
      <c r="FQ81" s="50">
        <f t="shared" si="591"/>
        <v>80</v>
      </c>
      <c r="FR81" s="103">
        <f t="shared" si="722"/>
        <v>0</v>
      </c>
      <c r="FS81" s="46">
        <f t="shared" si="656"/>
        <v>80</v>
      </c>
      <c r="FU81" s="120">
        <f t="shared" si="723"/>
        <v>9</v>
      </c>
      <c r="FV81" s="7">
        <f t="shared" si="724"/>
        <v>10</v>
      </c>
      <c r="FW81" s="133"/>
      <c r="FX81" s="14">
        <f t="shared" si="437"/>
        <v>0</v>
      </c>
      <c r="FY81" s="62">
        <f t="shared" si="489"/>
        <v>0</v>
      </c>
      <c r="FZ81" s="405"/>
      <c r="GA81" s="406"/>
      <c r="GB81" s="406"/>
      <c r="GC81" s="14">
        <f t="shared" si="690"/>
        <v>0</v>
      </c>
      <c r="GD81" s="14">
        <f t="shared" si="673"/>
        <v>0</v>
      </c>
      <c r="GE81" s="14">
        <f t="shared" si="592"/>
        <v>0.16</v>
      </c>
      <c r="GF81" s="47">
        <f t="shared" si="691"/>
        <v>0</v>
      </c>
      <c r="GG81" s="35">
        <f t="shared" si="593"/>
        <v>3.2000000000000006</v>
      </c>
      <c r="GH81" s="157">
        <f t="shared" si="674"/>
        <v>0</v>
      </c>
      <c r="GI81" s="134"/>
      <c r="GJ81" s="14">
        <f t="shared" si="594"/>
        <v>52</v>
      </c>
      <c r="GK81" s="48">
        <f t="shared" ref="GK81:GK85" si="734">IFERROR(GI81/FX81,0)</f>
        <v>0</v>
      </c>
      <c r="GL81" s="68">
        <f t="shared" si="675"/>
        <v>0</v>
      </c>
      <c r="GM81" s="51">
        <f t="shared" si="595"/>
        <v>802</v>
      </c>
      <c r="GN81" s="103">
        <f t="shared" si="725"/>
        <v>0</v>
      </c>
      <c r="GO81" s="46">
        <f t="shared" si="281"/>
        <v>802</v>
      </c>
      <c r="GP81" s="50">
        <f t="shared" si="596"/>
        <v>80</v>
      </c>
      <c r="GQ81" s="103">
        <f t="shared" si="726"/>
        <v>0</v>
      </c>
      <c r="GR81" s="46">
        <f t="shared" si="657"/>
        <v>80</v>
      </c>
      <c r="GT81" s="120">
        <f t="shared" si="727"/>
        <v>9</v>
      </c>
      <c r="GU81" s="7">
        <f t="shared" si="728"/>
        <v>10</v>
      </c>
      <c r="GV81" s="133"/>
      <c r="GW81" s="14">
        <f t="shared" si="438"/>
        <v>0</v>
      </c>
      <c r="GX81" s="62">
        <f t="shared" si="490"/>
        <v>0</v>
      </c>
      <c r="GY81" s="405"/>
      <c r="GZ81" s="406"/>
      <c r="HA81" s="406"/>
      <c r="HB81" s="14">
        <f t="shared" si="692"/>
        <v>0</v>
      </c>
      <c r="HC81" s="14">
        <f t="shared" si="676"/>
        <v>0</v>
      </c>
      <c r="HD81" s="14">
        <f t="shared" si="597"/>
        <v>0.16</v>
      </c>
      <c r="HE81" s="47">
        <f t="shared" si="693"/>
        <v>0</v>
      </c>
      <c r="HF81" s="35">
        <f t="shared" si="598"/>
        <v>3.2000000000000006</v>
      </c>
      <c r="HG81" s="157">
        <f t="shared" si="677"/>
        <v>0</v>
      </c>
      <c r="HH81" s="134"/>
      <c r="HI81" s="14">
        <f t="shared" si="599"/>
        <v>52</v>
      </c>
      <c r="HJ81" s="48">
        <f t="shared" ref="HJ81:HJ85" si="735">IFERROR(HH81/GW81,0)</f>
        <v>0</v>
      </c>
      <c r="HK81" s="68">
        <f t="shared" si="678"/>
        <v>0</v>
      </c>
      <c r="HL81" s="51">
        <f t="shared" si="600"/>
        <v>802</v>
      </c>
      <c r="HM81" s="103">
        <f t="shared" si="729"/>
        <v>0</v>
      </c>
      <c r="HN81" s="46">
        <f t="shared" si="283"/>
        <v>802</v>
      </c>
      <c r="HO81" s="50">
        <f t="shared" si="601"/>
        <v>80</v>
      </c>
      <c r="HP81" s="103">
        <f t="shared" si="730"/>
        <v>0</v>
      </c>
      <c r="HQ81" s="46">
        <f t="shared" si="658"/>
        <v>80</v>
      </c>
    </row>
    <row r="82" spans="1:225" ht="17.25" thickBot="1" x14ac:dyDescent="0.3">
      <c r="B82" s="120">
        <f t="shared" si="694"/>
        <v>10</v>
      </c>
      <c r="C82" s="574">
        <f t="shared" si="695"/>
        <v>10</v>
      </c>
      <c r="D82" s="136"/>
      <c r="E82" s="436">
        <f t="shared" si="696"/>
        <v>95890</v>
      </c>
      <c r="F82" s="451">
        <f t="shared" si="555"/>
        <v>95862</v>
      </c>
      <c r="G82" s="137"/>
      <c r="H82" s="138">
        <v>28</v>
      </c>
      <c r="I82" s="138"/>
      <c r="J82" s="34">
        <f t="shared" si="679"/>
        <v>28</v>
      </c>
      <c r="K82" s="34">
        <f t="shared" si="604"/>
        <v>5403</v>
      </c>
      <c r="L82" s="34">
        <f t="shared" si="556"/>
        <v>0.16</v>
      </c>
      <c r="M82" s="166">
        <f t="shared" si="605"/>
        <v>2.9200125143393471E-2</v>
      </c>
      <c r="N82" s="40">
        <f t="shared" si="557"/>
        <v>3.2000000000000006</v>
      </c>
      <c r="O82" s="132">
        <f t="shared" si="606"/>
        <v>4.0059908209945654</v>
      </c>
      <c r="P82" s="139">
        <v>4095</v>
      </c>
      <c r="Q82" s="32">
        <f t="shared" si="558"/>
        <v>52</v>
      </c>
      <c r="R82" s="592">
        <f t="shared" si="559"/>
        <v>42.705183022212957</v>
      </c>
      <c r="S82" s="471">
        <f t="shared" si="650"/>
        <v>2068.8101467921683</v>
      </c>
      <c r="T82" s="56">
        <f t="shared" si="560"/>
        <v>802</v>
      </c>
      <c r="U82" s="109">
        <f t="shared" si="697"/>
        <v>749</v>
      </c>
      <c r="V82" s="63">
        <f t="shared" si="608"/>
        <v>53</v>
      </c>
      <c r="W82" s="56">
        <f t="shared" si="561"/>
        <v>80</v>
      </c>
      <c r="X82" s="109">
        <f t="shared" si="698"/>
        <v>78</v>
      </c>
      <c r="Y82" s="63">
        <f t="shared" si="610"/>
        <v>2</v>
      </c>
      <c r="Z82" s="487"/>
      <c r="AA82" s="120">
        <f t="shared" si="699"/>
        <v>10</v>
      </c>
      <c r="AB82" s="8">
        <f t="shared" si="700"/>
        <v>10</v>
      </c>
      <c r="AC82" s="136"/>
      <c r="AD82" s="54">
        <f t="shared" si="483"/>
        <v>86644</v>
      </c>
      <c r="AE82" s="55">
        <f t="shared" si="484"/>
        <v>86640</v>
      </c>
      <c r="AF82" s="137"/>
      <c r="AG82" s="138">
        <v>4</v>
      </c>
      <c r="AH82" s="138"/>
      <c r="AI82" s="34">
        <f t="shared" si="680"/>
        <v>4</v>
      </c>
      <c r="AJ82" s="34">
        <f t="shared" si="321"/>
        <v>6259</v>
      </c>
      <c r="AK82" s="17">
        <f t="shared" si="562"/>
        <v>0.16</v>
      </c>
      <c r="AL82" s="166">
        <f t="shared" si="613"/>
        <v>4.6165920317621529E-3</v>
      </c>
      <c r="AM82" s="33">
        <f t="shared" si="563"/>
        <v>3.2000000000000006</v>
      </c>
      <c r="AN82" s="157">
        <f t="shared" si="659"/>
        <v>4.0861492662035825</v>
      </c>
      <c r="AO82" s="137">
        <v>4368</v>
      </c>
      <c r="AP82" s="13">
        <f t="shared" si="564"/>
        <v>52</v>
      </c>
      <c r="AQ82" s="479">
        <f t="shared" si="614"/>
        <v>50.413184986842708</v>
      </c>
      <c r="AR82" s="471">
        <f t="shared" si="323"/>
        <v>2047.6659577396626</v>
      </c>
      <c r="AS82" s="56">
        <f t="shared" si="565"/>
        <v>802</v>
      </c>
      <c r="AT82" s="103">
        <f t="shared" si="701"/>
        <v>705</v>
      </c>
      <c r="AU82" s="63">
        <f t="shared" si="271"/>
        <v>97</v>
      </c>
      <c r="AV82" s="56">
        <f t="shared" si="566"/>
        <v>80</v>
      </c>
      <c r="AW82" s="103">
        <f t="shared" si="702"/>
        <v>71</v>
      </c>
      <c r="AX82" s="63">
        <f t="shared" si="660"/>
        <v>9</v>
      </c>
      <c r="AZ82" s="119">
        <f t="shared" si="703"/>
        <v>10</v>
      </c>
      <c r="BA82" s="95">
        <f t="shared" si="704"/>
        <v>10</v>
      </c>
      <c r="BB82" s="203"/>
      <c r="BC82" s="67">
        <f t="shared" si="518"/>
        <v>92847</v>
      </c>
      <c r="BD82" s="196">
        <f t="shared" si="485"/>
        <v>92841</v>
      </c>
      <c r="BE82" s="204"/>
      <c r="BF82" s="205">
        <v>6</v>
      </c>
      <c r="BG82" s="205"/>
      <c r="BH82" s="31">
        <f t="shared" si="681"/>
        <v>6</v>
      </c>
      <c r="BI82" s="31">
        <f t="shared" si="294"/>
        <v>1031</v>
      </c>
      <c r="BJ82" s="31">
        <f t="shared" si="567"/>
        <v>0.16</v>
      </c>
      <c r="BK82" s="230">
        <f t="shared" si="646"/>
        <v>6.4622443374583996E-3</v>
      </c>
      <c r="BL82" s="37">
        <f t="shared" si="568"/>
        <v>3.2000000000000006</v>
      </c>
      <c r="BM82" s="132">
        <f t="shared" si="326"/>
        <v>1.4439775910364145</v>
      </c>
      <c r="BN82" s="204">
        <v>4641</v>
      </c>
      <c r="BO82" s="13">
        <f t="shared" si="569"/>
        <v>52</v>
      </c>
      <c r="BP82" s="482">
        <f t="shared" si="647"/>
        <v>49.985459950240717</v>
      </c>
      <c r="BQ82" s="752">
        <f t="shared" si="651"/>
        <v>2092.4920726081345</v>
      </c>
      <c r="BR82" s="50">
        <f t="shared" si="570"/>
        <v>802</v>
      </c>
      <c r="BS82" s="202">
        <f t="shared" si="705"/>
        <v>825</v>
      </c>
      <c r="BT82" s="62">
        <f t="shared" si="272"/>
        <v>-23</v>
      </c>
      <c r="BU82" s="50">
        <f t="shared" si="571"/>
        <v>80</v>
      </c>
      <c r="BV82" s="202">
        <f t="shared" si="706"/>
        <v>96</v>
      </c>
      <c r="BW82" s="62">
        <f t="shared" si="661"/>
        <v>-16</v>
      </c>
      <c r="BY82" s="197">
        <f>BY81+1</f>
        <v>10</v>
      </c>
      <c r="BZ82" s="8">
        <f t="shared" si="708"/>
        <v>10</v>
      </c>
      <c r="CA82" s="136"/>
      <c r="CB82" s="32">
        <f t="shared" si="662"/>
        <v>0</v>
      </c>
      <c r="CC82" s="53">
        <f t="shared" si="682"/>
        <v>0</v>
      </c>
      <c r="CD82" s="421"/>
      <c r="CE82" s="426"/>
      <c r="CF82" s="426"/>
      <c r="CG82" s="34">
        <f t="shared" si="683"/>
        <v>0</v>
      </c>
      <c r="CH82" s="34">
        <f t="shared" si="663"/>
        <v>0</v>
      </c>
      <c r="CI82" s="17">
        <f t="shared" si="572"/>
        <v>0.16</v>
      </c>
      <c r="CJ82" s="166">
        <f t="shared" si="648"/>
        <v>0</v>
      </c>
      <c r="CK82" s="33">
        <f t="shared" si="573"/>
        <v>3.2000000000000006</v>
      </c>
      <c r="CL82" s="156">
        <f t="shared" si="652"/>
        <v>0</v>
      </c>
      <c r="CM82" s="137"/>
      <c r="CN82" s="13">
        <f t="shared" si="574"/>
        <v>52</v>
      </c>
      <c r="CO82" s="54">
        <f t="shared" si="653"/>
        <v>0</v>
      </c>
      <c r="CP82" s="70">
        <f t="shared" si="649"/>
        <v>0</v>
      </c>
      <c r="CQ82" s="50">
        <f t="shared" si="575"/>
        <v>802</v>
      </c>
      <c r="CR82" s="103">
        <f t="shared" si="709"/>
        <v>0</v>
      </c>
      <c r="CS82" s="63">
        <f t="shared" si="273"/>
        <v>802</v>
      </c>
      <c r="CT82" s="56">
        <f t="shared" si="576"/>
        <v>80</v>
      </c>
      <c r="CU82" s="103">
        <f t="shared" si="710"/>
        <v>0</v>
      </c>
      <c r="CV82" s="63">
        <f t="shared" si="625"/>
        <v>80</v>
      </c>
      <c r="CX82" s="197">
        <f>CX81+1</f>
        <v>10</v>
      </c>
      <c r="CY82" s="8">
        <f t="shared" si="712"/>
        <v>10</v>
      </c>
      <c r="CZ82" s="136"/>
      <c r="DA82" s="32">
        <f t="shared" si="434"/>
        <v>0</v>
      </c>
      <c r="DB82" s="53">
        <f t="shared" si="486"/>
        <v>0</v>
      </c>
      <c r="DC82" s="421"/>
      <c r="DD82" s="426"/>
      <c r="DE82" s="426"/>
      <c r="DF82" s="34">
        <f t="shared" si="684"/>
        <v>0</v>
      </c>
      <c r="DG82" s="34">
        <f t="shared" si="664"/>
        <v>0</v>
      </c>
      <c r="DH82" s="17">
        <f t="shared" si="577"/>
        <v>0.16</v>
      </c>
      <c r="DI82" s="166">
        <f t="shared" si="685"/>
        <v>0</v>
      </c>
      <c r="DJ82" s="33">
        <f t="shared" si="578"/>
        <v>3.2000000000000006</v>
      </c>
      <c r="DK82" s="156">
        <f t="shared" si="665"/>
        <v>0</v>
      </c>
      <c r="DL82" s="137"/>
      <c r="DM82" s="13">
        <f t="shared" si="579"/>
        <v>52</v>
      </c>
      <c r="DN82" s="54">
        <f t="shared" si="731"/>
        <v>0</v>
      </c>
      <c r="DO82" s="70">
        <f t="shared" si="666"/>
        <v>0</v>
      </c>
      <c r="DP82" s="50">
        <f t="shared" si="580"/>
        <v>802</v>
      </c>
      <c r="DQ82" s="103">
        <f t="shared" si="713"/>
        <v>0</v>
      </c>
      <c r="DR82" s="63">
        <f t="shared" si="275"/>
        <v>802</v>
      </c>
      <c r="DS82" s="56">
        <f t="shared" si="581"/>
        <v>80</v>
      </c>
      <c r="DT82" s="103">
        <f t="shared" si="714"/>
        <v>0</v>
      </c>
      <c r="DU82" s="63">
        <f t="shared" si="654"/>
        <v>80</v>
      </c>
      <c r="DW82" s="197">
        <f>DW81+1</f>
        <v>10</v>
      </c>
      <c r="DX82" s="8">
        <f t="shared" si="716"/>
        <v>10</v>
      </c>
      <c r="DY82" s="136"/>
      <c r="DZ82" s="32">
        <f t="shared" si="435"/>
        <v>0</v>
      </c>
      <c r="EA82" s="53">
        <f t="shared" si="487"/>
        <v>0</v>
      </c>
      <c r="EB82" s="421"/>
      <c r="EC82" s="426"/>
      <c r="ED82" s="426"/>
      <c r="EE82" s="34">
        <f t="shared" si="686"/>
        <v>0</v>
      </c>
      <c r="EF82" s="34">
        <f t="shared" si="667"/>
        <v>0</v>
      </c>
      <c r="EG82" s="17">
        <f t="shared" si="582"/>
        <v>0.16</v>
      </c>
      <c r="EH82" s="166">
        <f t="shared" si="687"/>
        <v>0</v>
      </c>
      <c r="EI82" s="33">
        <f t="shared" si="583"/>
        <v>3.2000000000000006</v>
      </c>
      <c r="EJ82" s="156">
        <f t="shared" si="668"/>
        <v>0</v>
      </c>
      <c r="EK82" s="137"/>
      <c r="EL82" s="13">
        <f t="shared" si="584"/>
        <v>52</v>
      </c>
      <c r="EM82" s="54">
        <f t="shared" si="732"/>
        <v>0</v>
      </c>
      <c r="EN82" s="70">
        <f t="shared" si="669"/>
        <v>0</v>
      </c>
      <c r="EO82" s="50">
        <f t="shared" si="585"/>
        <v>802</v>
      </c>
      <c r="EP82" s="103">
        <f t="shared" si="717"/>
        <v>0</v>
      </c>
      <c r="EQ82" s="63">
        <f t="shared" si="277"/>
        <v>802</v>
      </c>
      <c r="ER82" s="56">
        <f t="shared" si="586"/>
        <v>80</v>
      </c>
      <c r="ES82" s="103">
        <f t="shared" si="718"/>
        <v>0</v>
      </c>
      <c r="ET82" s="63">
        <f t="shared" si="655"/>
        <v>80</v>
      </c>
      <c r="EV82" s="197">
        <f>EV81+1</f>
        <v>10</v>
      </c>
      <c r="EW82" s="8">
        <f t="shared" si="720"/>
        <v>10</v>
      </c>
      <c r="EX82" s="136"/>
      <c r="EY82" s="32">
        <f t="shared" si="436"/>
        <v>0</v>
      </c>
      <c r="EZ82" s="53">
        <f t="shared" si="488"/>
        <v>0</v>
      </c>
      <c r="FA82" s="421"/>
      <c r="FB82" s="426"/>
      <c r="FC82" s="426"/>
      <c r="FD82" s="34">
        <f t="shared" si="688"/>
        <v>0</v>
      </c>
      <c r="FE82" s="34">
        <f t="shared" si="670"/>
        <v>0</v>
      </c>
      <c r="FF82" s="17">
        <f t="shared" si="587"/>
        <v>0.16</v>
      </c>
      <c r="FG82" s="166">
        <f t="shared" si="689"/>
        <v>0</v>
      </c>
      <c r="FH82" s="33">
        <f t="shared" si="588"/>
        <v>3.2000000000000006</v>
      </c>
      <c r="FI82" s="156">
        <f t="shared" si="671"/>
        <v>0</v>
      </c>
      <c r="FJ82" s="137"/>
      <c r="FK82" s="13">
        <f t="shared" si="589"/>
        <v>52</v>
      </c>
      <c r="FL82" s="54">
        <f t="shared" si="733"/>
        <v>0</v>
      </c>
      <c r="FM82" s="70">
        <f t="shared" si="672"/>
        <v>0</v>
      </c>
      <c r="FN82" s="50">
        <f t="shared" si="590"/>
        <v>802</v>
      </c>
      <c r="FO82" s="103">
        <f t="shared" si="721"/>
        <v>0</v>
      </c>
      <c r="FP82" s="63">
        <f t="shared" si="279"/>
        <v>802</v>
      </c>
      <c r="FQ82" s="56">
        <f t="shared" si="591"/>
        <v>80</v>
      </c>
      <c r="FR82" s="103">
        <f t="shared" si="722"/>
        <v>0</v>
      </c>
      <c r="FS82" s="63">
        <f t="shared" si="656"/>
        <v>80</v>
      </c>
      <c r="FU82" s="197">
        <f>FU81+1</f>
        <v>10</v>
      </c>
      <c r="FV82" s="8">
        <f t="shared" si="724"/>
        <v>10</v>
      </c>
      <c r="FW82" s="136"/>
      <c r="FX82" s="32">
        <f t="shared" si="437"/>
        <v>0</v>
      </c>
      <c r="FY82" s="53">
        <f t="shared" si="489"/>
        <v>0</v>
      </c>
      <c r="FZ82" s="421"/>
      <c r="GA82" s="426"/>
      <c r="GB82" s="426"/>
      <c r="GC82" s="34">
        <f t="shared" si="690"/>
        <v>0</v>
      </c>
      <c r="GD82" s="34">
        <f t="shared" si="673"/>
        <v>0</v>
      </c>
      <c r="GE82" s="17">
        <f t="shared" si="592"/>
        <v>0.16</v>
      </c>
      <c r="GF82" s="166">
        <f t="shared" si="691"/>
        <v>0</v>
      </c>
      <c r="GG82" s="33">
        <f t="shared" si="593"/>
        <v>3.2000000000000006</v>
      </c>
      <c r="GH82" s="156">
        <f t="shared" si="674"/>
        <v>0</v>
      </c>
      <c r="GI82" s="137"/>
      <c r="GJ82" s="13">
        <f t="shared" si="594"/>
        <v>52</v>
      </c>
      <c r="GK82" s="54">
        <f t="shared" si="734"/>
        <v>0</v>
      </c>
      <c r="GL82" s="70">
        <f t="shared" si="675"/>
        <v>0</v>
      </c>
      <c r="GM82" s="50">
        <f t="shared" si="595"/>
        <v>802</v>
      </c>
      <c r="GN82" s="103">
        <f t="shared" si="725"/>
        <v>0</v>
      </c>
      <c r="GO82" s="63">
        <f t="shared" si="281"/>
        <v>802</v>
      </c>
      <c r="GP82" s="56">
        <f t="shared" si="596"/>
        <v>80</v>
      </c>
      <c r="GQ82" s="103">
        <f t="shared" si="726"/>
        <v>0</v>
      </c>
      <c r="GR82" s="63">
        <f t="shared" si="657"/>
        <v>80</v>
      </c>
      <c r="GT82" s="197">
        <f>GT81+1</f>
        <v>10</v>
      </c>
      <c r="GU82" s="8">
        <f t="shared" si="728"/>
        <v>10</v>
      </c>
      <c r="GV82" s="136"/>
      <c r="GW82" s="32">
        <f t="shared" si="438"/>
        <v>0</v>
      </c>
      <c r="GX82" s="53">
        <f t="shared" si="490"/>
        <v>0</v>
      </c>
      <c r="GY82" s="421"/>
      <c r="GZ82" s="426"/>
      <c r="HA82" s="426"/>
      <c r="HB82" s="34">
        <f t="shared" si="692"/>
        <v>0</v>
      </c>
      <c r="HC82" s="34">
        <f t="shared" si="676"/>
        <v>0</v>
      </c>
      <c r="HD82" s="17">
        <f t="shared" si="597"/>
        <v>0.16</v>
      </c>
      <c r="HE82" s="166">
        <f t="shared" si="693"/>
        <v>0</v>
      </c>
      <c r="HF82" s="33">
        <f t="shared" si="598"/>
        <v>3.2000000000000006</v>
      </c>
      <c r="HG82" s="156">
        <f t="shared" si="677"/>
        <v>0</v>
      </c>
      <c r="HH82" s="137"/>
      <c r="HI82" s="13">
        <f t="shared" si="599"/>
        <v>52</v>
      </c>
      <c r="HJ82" s="54">
        <f t="shared" si="735"/>
        <v>0</v>
      </c>
      <c r="HK82" s="70">
        <f t="shared" si="678"/>
        <v>0</v>
      </c>
      <c r="HL82" s="50">
        <f t="shared" si="600"/>
        <v>802</v>
      </c>
      <c r="HM82" s="103">
        <f t="shared" si="729"/>
        <v>0</v>
      </c>
      <c r="HN82" s="63">
        <f t="shared" si="283"/>
        <v>802</v>
      </c>
      <c r="HO82" s="56">
        <f t="shared" si="601"/>
        <v>80</v>
      </c>
      <c r="HP82" s="103">
        <f t="shared" si="730"/>
        <v>0</v>
      </c>
      <c r="HQ82" s="63">
        <f t="shared" si="658"/>
        <v>80</v>
      </c>
    </row>
    <row r="83" spans="1:225" ht="17.25" thickBot="1" x14ac:dyDescent="0.3">
      <c r="B83" s="118">
        <v>11</v>
      </c>
      <c r="C83" s="575">
        <v>11</v>
      </c>
      <c r="D83" s="129"/>
      <c r="E83" s="400">
        <f t="shared" si="696"/>
        <v>95862</v>
      </c>
      <c r="F83" s="561">
        <f t="shared" si="555"/>
        <v>95855</v>
      </c>
      <c r="G83" s="130"/>
      <c r="H83" s="131">
        <v>7</v>
      </c>
      <c r="I83" s="131"/>
      <c r="J83" s="11">
        <f t="shared" si="679"/>
        <v>7</v>
      </c>
      <c r="K83" s="11">
        <f t="shared" si="604"/>
        <v>5410</v>
      </c>
      <c r="L83" s="16">
        <f t="shared" si="556"/>
        <v>0.16</v>
      </c>
      <c r="M83" s="42">
        <f t="shared" si="605"/>
        <v>7.3021635267363503E-3</v>
      </c>
      <c r="N83" s="154">
        <f t="shared" si="557"/>
        <v>3.3600000000000008</v>
      </c>
      <c r="O83" s="132">
        <f t="shared" si="606"/>
        <v>4.0111808886878766</v>
      </c>
      <c r="P83" s="158">
        <v>4368</v>
      </c>
      <c r="Q83" s="11">
        <f t="shared" si="558"/>
        <v>55</v>
      </c>
      <c r="R83" s="441">
        <f t="shared" si="559"/>
        <v>45.565500406834822</v>
      </c>
      <c r="S83" s="469">
        <f t="shared" si="650"/>
        <v>2114.3756471990032</v>
      </c>
      <c r="T83" s="58">
        <f t="shared" si="560"/>
        <v>880</v>
      </c>
      <c r="U83" s="131">
        <v>869</v>
      </c>
      <c r="V83" s="41">
        <f t="shared" si="608"/>
        <v>11</v>
      </c>
      <c r="W83" s="18">
        <f t="shared" si="561"/>
        <v>80</v>
      </c>
      <c r="X83" s="131">
        <v>63</v>
      </c>
      <c r="Y83" s="41">
        <f t="shared" si="610"/>
        <v>17</v>
      </c>
      <c r="Z83" s="487"/>
      <c r="AA83" s="118">
        <v>11</v>
      </c>
      <c r="AB83" s="9">
        <v>11</v>
      </c>
      <c r="AC83" s="129"/>
      <c r="AD83" s="43">
        <f t="shared" si="483"/>
        <v>86640</v>
      </c>
      <c r="AE83" s="449">
        <f t="shared" si="484"/>
        <v>86632</v>
      </c>
      <c r="AF83" s="130"/>
      <c r="AG83" s="131">
        <v>8</v>
      </c>
      <c r="AH83" s="131"/>
      <c r="AI83" s="11">
        <f t="shared" si="680"/>
        <v>8</v>
      </c>
      <c r="AJ83" s="11">
        <f t="shared" si="321"/>
        <v>6267</v>
      </c>
      <c r="AK83" s="16">
        <f t="shared" si="562"/>
        <v>0.16</v>
      </c>
      <c r="AL83" s="42">
        <f t="shared" si="613"/>
        <v>9.2336103416435829E-3</v>
      </c>
      <c r="AM83" s="154">
        <f t="shared" si="563"/>
        <v>3.3600000000000008</v>
      </c>
      <c r="AN83" s="157">
        <f t="shared" si="659"/>
        <v>4.0913720165038914</v>
      </c>
      <c r="AO83" s="130">
        <v>4095</v>
      </c>
      <c r="AP83" s="11">
        <f t="shared" si="564"/>
        <v>55</v>
      </c>
      <c r="AQ83" s="441">
        <f t="shared" si="614"/>
        <v>47.264542936288088</v>
      </c>
      <c r="AR83" s="469">
        <f t="shared" si="323"/>
        <v>2094.930500675951</v>
      </c>
      <c r="AS83" s="61">
        <f t="shared" si="565"/>
        <v>880</v>
      </c>
      <c r="AT83" s="131">
        <v>865</v>
      </c>
      <c r="AU83" s="41">
        <f t="shared" si="271"/>
        <v>15</v>
      </c>
      <c r="AV83" s="18">
        <f t="shared" si="566"/>
        <v>80</v>
      </c>
      <c r="AW83" s="131">
        <v>80</v>
      </c>
      <c r="AX83" s="41">
        <f t="shared" si="660"/>
        <v>0</v>
      </c>
      <c r="AZ83" s="118">
        <v>11</v>
      </c>
      <c r="BA83" s="9">
        <v>11</v>
      </c>
      <c r="BB83" s="129"/>
      <c r="BC83" s="43">
        <f t="shared" si="518"/>
        <v>92841</v>
      </c>
      <c r="BD83" s="449">
        <f t="shared" si="485"/>
        <v>92837</v>
      </c>
      <c r="BE83" s="130"/>
      <c r="BF83" s="131">
        <v>4</v>
      </c>
      <c r="BG83" s="131"/>
      <c r="BH83" s="11">
        <f t="shared" si="681"/>
        <v>4</v>
      </c>
      <c r="BI83" s="11">
        <f t="shared" si="294"/>
        <v>1035</v>
      </c>
      <c r="BJ83" s="16">
        <f t="shared" si="567"/>
        <v>0.16</v>
      </c>
      <c r="BK83" s="42">
        <f t="shared" si="646"/>
        <v>4.3084413136437565E-3</v>
      </c>
      <c r="BL83" s="154">
        <f t="shared" si="568"/>
        <v>3.3600000000000008</v>
      </c>
      <c r="BM83" s="132">
        <f t="shared" si="326"/>
        <v>1.4495798319327731</v>
      </c>
      <c r="BN83" s="130">
        <v>4368</v>
      </c>
      <c r="BO83" s="11">
        <f t="shared" si="569"/>
        <v>55</v>
      </c>
      <c r="BP83" s="441">
        <f t="shared" si="647"/>
        <v>47.048179144989824</v>
      </c>
      <c r="BQ83" s="746">
        <f t="shared" si="651"/>
        <v>2139.5402517531243</v>
      </c>
      <c r="BR83" s="58">
        <f t="shared" si="570"/>
        <v>880</v>
      </c>
      <c r="BS83" s="131">
        <v>906</v>
      </c>
      <c r="BT83" s="41">
        <f t="shared" si="272"/>
        <v>-26</v>
      </c>
      <c r="BU83" s="18">
        <f t="shared" si="571"/>
        <v>80</v>
      </c>
      <c r="BV83" s="131">
        <v>95</v>
      </c>
      <c r="BW83" s="41">
        <f t="shared" si="661"/>
        <v>-15</v>
      </c>
      <c r="BY83" s="118">
        <v>11</v>
      </c>
      <c r="BZ83" s="9">
        <v>11</v>
      </c>
      <c r="CA83" s="129"/>
      <c r="CB83" s="11">
        <f t="shared" si="662"/>
        <v>0</v>
      </c>
      <c r="CC83" s="57">
        <f t="shared" si="682"/>
        <v>0</v>
      </c>
      <c r="CD83" s="398"/>
      <c r="CE83" s="399"/>
      <c r="CF83" s="399"/>
      <c r="CG83" s="11">
        <f t="shared" si="683"/>
        <v>0</v>
      </c>
      <c r="CH83" s="11">
        <f t="shared" si="663"/>
        <v>0</v>
      </c>
      <c r="CI83" s="16">
        <f t="shared" si="572"/>
        <v>0.16</v>
      </c>
      <c r="CJ83" s="231">
        <f t="shared" si="648"/>
        <v>0</v>
      </c>
      <c r="CK83" s="154">
        <f t="shared" si="573"/>
        <v>3.3600000000000008</v>
      </c>
      <c r="CL83" s="155">
        <f t="shared" si="652"/>
        <v>0</v>
      </c>
      <c r="CM83" s="130"/>
      <c r="CN83" s="11">
        <f t="shared" si="574"/>
        <v>55</v>
      </c>
      <c r="CO83" s="60">
        <f t="shared" si="653"/>
        <v>0</v>
      </c>
      <c r="CP83" s="377">
        <f t="shared" si="649"/>
        <v>0</v>
      </c>
      <c r="CQ83" s="58">
        <f t="shared" si="575"/>
        <v>880</v>
      </c>
      <c r="CR83" s="131"/>
      <c r="CS83" s="41">
        <f t="shared" si="273"/>
        <v>880</v>
      </c>
      <c r="CT83" s="58">
        <f t="shared" si="576"/>
        <v>80</v>
      </c>
      <c r="CU83" s="131"/>
      <c r="CV83" s="41">
        <f t="shared" si="625"/>
        <v>80</v>
      </c>
      <c r="CX83" s="118">
        <v>11</v>
      </c>
      <c r="CY83" s="9">
        <v>11</v>
      </c>
      <c r="CZ83" s="129"/>
      <c r="DA83" s="11">
        <f t="shared" si="434"/>
        <v>0</v>
      </c>
      <c r="DB83" s="57">
        <f t="shared" si="486"/>
        <v>0</v>
      </c>
      <c r="DC83" s="398"/>
      <c r="DD83" s="399"/>
      <c r="DE83" s="399"/>
      <c r="DF83" s="11">
        <f t="shared" si="684"/>
        <v>0</v>
      </c>
      <c r="DG83" s="11">
        <f t="shared" si="664"/>
        <v>0</v>
      </c>
      <c r="DH83" s="16">
        <f t="shared" si="577"/>
        <v>0.16</v>
      </c>
      <c r="DI83" s="231">
        <f t="shared" si="685"/>
        <v>0</v>
      </c>
      <c r="DJ83" s="154">
        <f t="shared" si="578"/>
        <v>3.3600000000000008</v>
      </c>
      <c r="DK83" s="155">
        <f t="shared" si="665"/>
        <v>0</v>
      </c>
      <c r="DL83" s="130"/>
      <c r="DM83" s="11">
        <f t="shared" si="579"/>
        <v>55</v>
      </c>
      <c r="DN83" s="60">
        <f t="shared" si="731"/>
        <v>0</v>
      </c>
      <c r="DO83" s="377">
        <f t="shared" si="666"/>
        <v>0</v>
      </c>
      <c r="DP83" s="58">
        <f t="shared" si="580"/>
        <v>880</v>
      </c>
      <c r="DQ83" s="131"/>
      <c r="DR83" s="41">
        <f t="shared" si="275"/>
        <v>880</v>
      </c>
      <c r="DS83" s="58">
        <f t="shared" si="581"/>
        <v>80</v>
      </c>
      <c r="DT83" s="131"/>
      <c r="DU83" s="41">
        <f t="shared" si="654"/>
        <v>80</v>
      </c>
      <c r="DW83" s="118">
        <v>11</v>
      </c>
      <c r="DX83" s="9">
        <v>11</v>
      </c>
      <c r="DY83" s="129"/>
      <c r="DZ83" s="11">
        <f t="shared" si="435"/>
        <v>0</v>
      </c>
      <c r="EA83" s="57">
        <f t="shared" si="487"/>
        <v>0</v>
      </c>
      <c r="EB83" s="398"/>
      <c r="EC83" s="399"/>
      <c r="ED83" s="399"/>
      <c r="EE83" s="11">
        <f t="shared" si="686"/>
        <v>0</v>
      </c>
      <c r="EF83" s="11">
        <f t="shared" si="667"/>
        <v>0</v>
      </c>
      <c r="EG83" s="16">
        <f t="shared" si="582"/>
        <v>0.16</v>
      </c>
      <c r="EH83" s="231">
        <f t="shared" si="687"/>
        <v>0</v>
      </c>
      <c r="EI83" s="154">
        <f t="shared" si="583"/>
        <v>3.3600000000000008</v>
      </c>
      <c r="EJ83" s="155">
        <f t="shared" si="668"/>
        <v>0</v>
      </c>
      <c r="EK83" s="130"/>
      <c r="EL83" s="11">
        <f t="shared" si="584"/>
        <v>55</v>
      </c>
      <c r="EM83" s="60">
        <f t="shared" si="732"/>
        <v>0</v>
      </c>
      <c r="EN83" s="377">
        <f t="shared" si="669"/>
        <v>0</v>
      </c>
      <c r="EO83" s="58">
        <f t="shared" si="585"/>
        <v>880</v>
      </c>
      <c r="EP83" s="131"/>
      <c r="EQ83" s="41">
        <f t="shared" si="277"/>
        <v>880</v>
      </c>
      <c r="ER83" s="58">
        <f t="shared" si="586"/>
        <v>80</v>
      </c>
      <c r="ES83" s="131"/>
      <c r="ET83" s="41">
        <f t="shared" si="655"/>
        <v>80</v>
      </c>
      <c r="EV83" s="118">
        <v>11</v>
      </c>
      <c r="EW83" s="9">
        <v>11</v>
      </c>
      <c r="EX83" s="129"/>
      <c r="EY83" s="11">
        <f t="shared" si="436"/>
        <v>0</v>
      </c>
      <c r="EZ83" s="57">
        <f t="shared" si="488"/>
        <v>0</v>
      </c>
      <c r="FA83" s="398"/>
      <c r="FB83" s="399"/>
      <c r="FC83" s="399"/>
      <c r="FD83" s="11">
        <f t="shared" si="688"/>
        <v>0</v>
      </c>
      <c r="FE83" s="11">
        <f t="shared" si="670"/>
        <v>0</v>
      </c>
      <c r="FF83" s="16">
        <f t="shared" si="587"/>
        <v>0.16</v>
      </c>
      <c r="FG83" s="231">
        <f t="shared" si="689"/>
        <v>0</v>
      </c>
      <c r="FH83" s="154">
        <f t="shared" si="588"/>
        <v>3.3600000000000008</v>
      </c>
      <c r="FI83" s="155">
        <f t="shared" si="671"/>
        <v>0</v>
      </c>
      <c r="FJ83" s="130"/>
      <c r="FK83" s="11">
        <f t="shared" si="589"/>
        <v>55</v>
      </c>
      <c r="FL83" s="60">
        <f t="shared" si="733"/>
        <v>0</v>
      </c>
      <c r="FM83" s="377">
        <f t="shared" si="672"/>
        <v>0</v>
      </c>
      <c r="FN83" s="58">
        <f t="shared" si="590"/>
        <v>880</v>
      </c>
      <c r="FO83" s="131"/>
      <c r="FP83" s="41">
        <f t="shared" si="279"/>
        <v>880</v>
      </c>
      <c r="FQ83" s="58">
        <f t="shared" si="591"/>
        <v>80</v>
      </c>
      <c r="FR83" s="131"/>
      <c r="FS83" s="41">
        <f t="shared" si="656"/>
        <v>80</v>
      </c>
      <c r="FU83" s="118">
        <v>11</v>
      </c>
      <c r="FV83" s="9">
        <v>11</v>
      </c>
      <c r="FW83" s="129"/>
      <c r="FX83" s="11">
        <f t="shared" si="437"/>
        <v>0</v>
      </c>
      <c r="FY83" s="57">
        <f t="shared" si="489"/>
        <v>0</v>
      </c>
      <c r="FZ83" s="398"/>
      <c r="GA83" s="399"/>
      <c r="GB83" s="399"/>
      <c r="GC83" s="11">
        <f t="shared" si="690"/>
        <v>0</v>
      </c>
      <c r="GD83" s="11">
        <f t="shared" si="673"/>
        <v>0</v>
      </c>
      <c r="GE83" s="16">
        <f t="shared" si="592"/>
        <v>0.16</v>
      </c>
      <c r="GF83" s="231">
        <f t="shared" si="691"/>
        <v>0</v>
      </c>
      <c r="GG83" s="154">
        <f t="shared" si="593"/>
        <v>3.3600000000000008</v>
      </c>
      <c r="GH83" s="155">
        <f t="shared" si="674"/>
        <v>0</v>
      </c>
      <c r="GI83" s="130"/>
      <c r="GJ83" s="11">
        <f t="shared" si="594"/>
        <v>55</v>
      </c>
      <c r="GK83" s="60">
        <f t="shared" si="734"/>
        <v>0</v>
      </c>
      <c r="GL83" s="377">
        <f t="shared" si="675"/>
        <v>0</v>
      </c>
      <c r="GM83" s="58">
        <f t="shared" si="595"/>
        <v>880</v>
      </c>
      <c r="GN83" s="131"/>
      <c r="GO83" s="41">
        <f t="shared" si="281"/>
        <v>880</v>
      </c>
      <c r="GP83" s="58">
        <f t="shared" si="596"/>
        <v>80</v>
      </c>
      <c r="GQ83" s="131"/>
      <c r="GR83" s="41">
        <f t="shared" si="657"/>
        <v>80</v>
      </c>
      <c r="GT83" s="118">
        <v>11</v>
      </c>
      <c r="GU83" s="9">
        <v>11</v>
      </c>
      <c r="GV83" s="129"/>
      <c r="GW83" s="11">
        <f t="shared" si="438"/>
        <v>0</v>
      </c>
      <c r="GX83" s="57">
        <f t="shared" si="490"/>
        <v>0</v>
      </c>
      <c r="GY83" s="398"/>
      <c r="GZ83" s="399"/>
      <c r="HA83" s="399"/>
      <c r="HB83" s="11">
        <f t="shared" si="692"/>
        <v>0</v>
      </c>
      <c r="HC83" s="11">
        <f t="shared" si="676"/>
        <v>0</v>
      </c>
      <c r="HD83" s="16">
        <f t="shared" si="597"/>
        <v>0.16</v>
      </c>
      <c r="HE83" s="231">
        <f t="shared" si="693"/>
        <v>0</v>
      </c>
      <c r="HF83" s="154">
        <f t="shared" si="598"/>
        <v>3.3600000000000008</v>
      </c>
      <c r="HG83" s="155">
        <f t="shared" si="677"/>
        <v>0</v>
      </c>
      <c r="HH83" s="130"/>
      <c r="HI83" s="11">
        <f t="shared" si="599"/>
        <v>55</v>
      </c>
      <c r="HJ83" s="60">
        <f t="shared" si="735"/>
        <v>0</v>
      </c>
      <c r="HK83" s="377">
        <f t="shared" si="678"/>
        <v>0</v>
      </c>
      <c r="HL83" s="58">
        <f t="shared" si="600"/>
        <v>880</v>
      </c>
      <c r="HM83" s="131"/>
      <c r="HN83" s="41">
        <f t="shared" si="283"/>
        <v>880</v>
      </c>
      <c r="HO83" s="58">
        <f t="shared" si="601"/>
        <v>80</v>
      </c>
      <c r="HP83" s="131"/>
      <c r="HQ83" s="41">
        <f t="shared" si="658"/>
        <v>80</v>
      </c>
    </row>
    <row r="84" spans="1:225" ht="17.25" thickBot="1" x14ac:dyDescent="0.3">
      <c r="B84" s="120">
        <f>B83+1</f>
        <v>12</v>
      </c>
      <c r="C84" s="570">
        <f>C83</f>
        <v>11</v>
      </c>
      <c r="D84" s="133"/>
      <c r="E84" s="408">
        <f t="shared" si="696"/>
        <v>95855</v>
      </c>
      <c r="F84" s="562">
        <f t="shared" si="555"/>
        <v>95849</v>
      </c>
      <c r="G84" s="134"/>
      <c r="H84" s="135">
        <v>6</v>
      </c>
      <c r="I84" s="135"/>
      <c r="J84" s="14">
        <f t="shared" si="679"/>
        <v>6</v>
      </c>
      <c r="K84" s="14">
        <f t="shared" si="604"/>
        <v>5416</v>
      </c>
      <c r="L84" s="14">
        <f t="shared" si="556"/>
        <v>0.16</v>
      </c>
      <c r="M84" s="47">
        <f t="shared" si="605"/>
        <v>6.2594543842261745E-3</v>
      </c>
      <c r="N84" s="35">
        <f t="shared" si="557"/>
        <v>3.3600000000000008</v>
      </c>
      <c r="O84" s="132">
        <f t="shared" si="606"/>
        <v>4.0156295181392867</v>
      </c>
      <c r="P84" s="142">
        <v>5187</v>
      </c>
      <c r="Q84" s="14">
        <f t="shared" si="558"/>
        <v>55</v>
      </c>
      <c r="R84" s="480">
        <f t="shared" si="559"/>
        <v>54.112983151635284</v>
      </c>
      <c r="S84" s="470">
        <f t="shared" si="650"/>
        <v>2168.4886303506387</v>
      </c>
      <c r="T84" s="51">
        <f t="shared" si="560"/>
        <v>880</v>
      </c>
      <c r="U84" s="103">
        <f>U83</f>
        <v>869</v>
      </c>
      <c r="V84" s="46">
        <f t="shared" si="608"/>
        <v>11</v>
      </c>
      <c r="W84" s="51">
        <f t="shared" si="561"/>
        <v>80</v>
      </c>
      <c r="X84" s="103">
        <f>X83</f>
        <v>63</v>
      </c>
      <c r="Y84" s="46">
        <f t="shared" si="610"/>
        <v>17</v>
      </c>
      <c r="Z84" s="487"/>
      <c r="AA84" s="120">
        <f>AA83+1</f>
        <v>12</v>
      </c>
      <c r="AB84" s="7">
        <f>AB83</f>
        <v>11</v>
      </c>
      <c r="AC84" s="133"/>
      <c r="AD84" s="48">
        <f t="shared" si="483"/>
        <v>86632</v>
      </c>
      <c r="AE84" s="49">
        <f t="shared" si="484"/>
        <v>86626</v>
      </c>
      <c r="AF84" s="134"/>
      <c r="AG84" s="135">
        <v>6</v>
      </c>
      <c r="AH84" s="135"/>
      <c r="AI84" s="14">
        <f t="shared" si="680"/>
        <v>6</v>
      </c>
      <c r="AJ84" s="14">
        <f t="shared" si="321"/>
        <v>6273</v>
      </c>
      <c r="AK84" s="14">
        <f t="shared" si="562"/>
        <v>0.16</v>
      </c>
      <c r="AL84" s="47">
        <f t="shared" si="613"/>
        <v>6.9258472619817156E-3</v>
      </c>
      <c r="AM84" s="35">
        <f t="shared" si="563"/>
        <v>3.3600000000000008</v>
      </c>
      <c r="AN84" s="157">
        <f t="shared" si="659"/>
        <v>4.0952890792291221</v>
      </c>
      <c r="AO84" s="134">
        <v>3549</v>
      </c>
      <c r="AP84" s="14">
        <f t="shared" si="564"/>
        <v>55</v>
      </c>
      <c r="AQ84" s="480">
        <f t="shared" si="614"/>
        <v>40.966386554621849</v>
      </c>
      <c r="AR84" s="470">
        <f t="shared" si="323"/>
        <v>2135.8968872305727</v>
      </c>
      <c r="AS84" s="51">
        <f t="shared" si="565"/>
        <v>880</v>
      </c>
      <c r="AT84" s="103">
        <f>AT83</f>
        <v>865</v>
      </c>
      <c r="AU84" s="46">
        <f t="shared" ref="AU84:AU138" si="736">AS84-AT84</f>
        <v>15</v>
      </c>
      <c r="AV84" s="51">
        <f t="shared" si="566"/>
        <v>80</v>
      </c>
      <c r="AW84" s="103">
        <f>AW83</f>
        <v>80</v>
      </c>
      <c r="AX84" s="46">
        <f t="shared" si="660"/>
        <v>0</v>
      </c>
      <c r="AZ84" s="120">
        <f>AZ83+1</f>
        <v>12</v>
      </c>
      <c r="BA84" s="7">
        <f>BA83</f>
        <v>11</v>
      </c>
      <c r="BB84" s="133"/>
      <c r="BC84" s="48">
        <f t="shared" si="518"/>
        <v>92837</v>
      </c>
      <c r="BD84" s="49">
        <f t="shared" si="485"/>
        <v>92831</v>
      </c>
      <c r="BE84" s="134"/>
      <c r="BF84" s="135">
        <v>6</v>
      </c>
      <c r="BG84" s="135"/>
      <c r="BH84" s="14">
        <f t="shared" si="681"/>
        <v>6</v>
      </c>
      <c r="BI84" s="14">
        <f t="shared" si="294"/>
        <v>1041</v>
      </c>
      <c r="BJ84" s="14">
        <f t="shared" si="567"/>
        <v>0.16</v>
      </c>
      <c r="BK84" s="47">
        <f t="shared" si="646"/>
        <v>6.4629404224608722E-3</v>
      </c>
      <c r="BL84" s="35">
        <f t="shared" si="568"/>
        <v>3.3600000000000008</v>
      </c>
      <c r="BM84" s="132">
        <f t="shared" si="326"/>
        <v>1.4579831932773109</v>
      </c>
      <c r="BN84" s="134">
        <v>4368</v>
      </c>
      <c r="BO84" s="14">
        <f t="shared" si="569"/>
        <v>55</v>
      </c>
      <c r="BP84" s="442">
        <f t="shared" si="647"/>
        <v>47.050206275515151</v>
      </c>
      <c r="BQ84" s="747">
        <f t="shared" si="651"/>
        <v>2186.5904580286392</v>
      </c>
      <c r="BR84" s="51">
        <f t="shared" si="570"/>
        <v>880</v>
      </c>
      <c r="BS84" s="103">
        <f>BS83</f>
        <v>906</v>
      </c>
      <c r="BT84" s="46">
        <f t="shared" ref="BT84:BT138" si="737">BR84-BS84</f>
        <v>-26</v>
      </c>
      <c r="BU84" s="51">
        <f t="shared" si="571"/>
        <v>80</v>
      </c>
      <c r="BV84" s="103">
        <f>BV83</f>
        <v>95</v>
      </c>
      <c r="BW84" s="46">
        <f t="shared" si="661"/>
        <v>-15</v>
      </c>
      <c r="BY84" s="120">
        <f>BY83+1</f>
        <v>12</v>
      </c>
      <c r="BZ84" s="7">
        <f>BZ83</f>
        <v>11</v>
      </c>
      <c r="CA84" s="133"/>
      <c r="CB84" s="14">
        <f t="shared" si="662"/>
        <v>0</v>
      </c>
      <c r="CC84" s="46">
        <f t="shared" si="682"/>
        <v>0</v>
      </c>
      <c r="CD84" s="405"/>
      <c r="CE84" s="406"/>
      <c r="CF84" s="406"/>
      <c r="CG84" s="14">
        <f t="shared" si="683"/>
        <v>0</v>
      </c>
      <c r="CH84" s="14">
        <f t="shared" si="663"/>
        <v>0</v>
      </c>
      <c r="CI84" s="14">
        <f t="shared" si="572"/>
        <v>0.16</v>
      </c>
      <c r="CJ84" s="47">
        <f t="shared" si="648"/>
        <v>0</v>
      </c>
      <c r="CK84" s="35">
        <f t="shared" si="573"/>
        <v>3.3600000000000008</v>
      </c>
      <c r="CL84" s="157">
        <f t="shared" si="652"/>
        <v>0</v>
      </c>
      <c r="CM84" s="134"/>
      <c r="CN84" s="14">
        <f t="shared" si="574"/>
        <v>55</v>
      </c>
      <c r="CO84" s="48">
        <f t="shared" si="653"/>
        <v>0</v>
      </c>
      <c r="CP84" s="68">
        <f t="shared" si="649"/>
        <v>0</v>
      </c>
      <c r="CQ84" s="51">
        <f t="shared" si="575"/>
        <v>880</v>
      </c>
      <c r="CR84" s="103">
        <f>CR83</f>
        <v>0</v>
      </c>
      <c r="CS84" s="46">
        <f t="shared" ref="CS84:CS138" si="738">CQ84-CR84</f>
        <v>880</v>
      </c>
      <c r="CT84" s="12">
        <f t="shared" si="576"/>
        <v>80</v>
      </c>
      <c r="CU84" s="103">
        <f>CU83</f>
        <v>0</v>
      </c>
      <c r="CV84" s="46">
        <f t="shared" si="625"/>
        <v>80</v>
      </c>
      <c r="CX84" s="120">
        <f>CX83+1</f>
        <v>12</v>
      </c>
      <c r="CY84" s="7">
        <f>CY83</f>
        <v>11</v>
      </c>
      <c r="CZ84" s="133"/>
      <c r="DA84" s="14">
        <f t="shared" si="434"/>
        <v>0</v>
      </c>
      <c r="DB84" s="46">
        <f t="shared" si="486"/>
        <v>0</v>
      </c>
      <c r="DC84" s="405"/>
      <c r="DD84" s="406"/>
      <c r="DE84" s="406"/>
      <c r="DF84" s="14">
        <f t="shared" si="684"/>
        <v>0</v>
      </c>
      <c r="DG84" s="14">
        <f t="shared" si="664"/>
        <v>0</v>
      </c>
      <c r="DH84" s="14">
        <f t="shared" si="577"/>
        <v>0.16</v>
      </c>
      <c r="DI84" s="47">
        <f t="shared" si="685"/>
        <v>0</v>
      </c>
      <c r="DJ84" s="35">
        <f t="shared" si="578"/>
        <v>3.3600000000000008</v>
      </c>
      <c r="DK84" s="157">
        <f t="shared" si="665"/>
        <v>0</v>
      </c>
      <c r="DL84" s="134"/>
      <c r="DM84" s="14">
        <f t="shared" si="579"/>
        <v>55</v>
      </c>
      <c r="DN84" s="48">
        <f t="shared" si="731"/>
        <v>0</v>
      </c>
      <c r="DO84" s="68">
        <f t="shared" si="666"/>
        <v>0</v>
      </c>
      <c r="DP84" s="51">
        <f t="shared" si="580"/>
        <v>880</v>
      </c>
      <c r="DQ84" s="103">
        <f>DQ83</f>
        <v>0</v>
      </c>
      <c r="DR84" s="46">
        <f t="shared" ref="DR84:DR138" si="739">DP84-DQ84</f>
        <v>880</v>
      </c>
      <c r="DS84" s="12">
        <f t="shared" si="581"/>
        <v>80</v>
      </c>
      <c r="DT84" s="103">
        <f>DT83</f>
        <v>0</v>
      </c>
      <c r="DU84" s="46">
        <f t="shared" si="654"/>
        <v>80</v>
      </c>
      <c r="DW84" s="120">
        <f>DW83+1</f>
        <v>12</v>
      </c>
      <c r="DX84" s="7">
        <f>DX83</f>
        <v>11</v>
      </c>
      <c r="DY84" s="133"/>
      <c r="DZ84" s="14">
        <f t="shared" si="435"/>
        <v>0</v>
      </c>
      <c r="EA84" s="46">
        <f t="shared" si="487"/>
        <v>0</v>
      </c>
      <c r="EB84" s="405"/>
      <c r="EC84" s="406"/>
      <c r="ED84" s="406"/>
      <c r="EE84" s="14">
        <f t="shared" si="686"/>
        <v>0</v>
      </c>
      <c r="EF84" s="14">
        <f t="shared" si="667"/>
        <v>0</v>
      </c>
      <c r="EG84" s="14">
        <f t="shared" si="582"/>
        <v>0.16</v>
      </c>
      <c r="EH84" s="47">
        <f t="shared" si="687"/>
        <v>0</v>
      </c>
      <c r="EI84" s="35">
        <f t="shared" si="583"/>
        <v>3.3600000000000008</v>
      </c>
      <c r="EJ84" s="157">
        <f t="shared" si="668"/>
        <v>0</v>
      </c>
      <c r="EK84" s="134"/>
      <c r="EL84" s="14">
        <f t="shared" si="584"/>
        <v>55</v>
      </c>
      <c r="EM84" s="48">
        <f t="shared" si="732"/>
        <v>0</v>
      </c>
      <c r="EN84" s="68">
        <f t="shared" si="669"/>
        <v>0</v>
      </c>
      <c r="EO84" s="51">
        <f t="shared" si="585"/>
        <v>880</v>
      </c>
      <c r="EP84" s="103">
        <f>EP83</f>
        <v>0</v>
      </c>
      <c r="EQ84" s="46">
        <f t="shared" ref="EQ84:EQ138" si="740">EO84-EP84</f>
        <v>880</v>
      </c>
      <c r="ER84" s="12">
        <f t="shared" si="586"/>
        <v>80</v>
      </c>
      <c r="ES84" s="103">
        <f>ES83</f>
        <v>0</v>
      </c>
      <c r="ET84" s="46">
        <f t="shared" si="655"/>
        <v>80</v>
      </c>
      <c r="EV84" s="120">
        <f>EV83+1</f>
        <v>12</v>
      </c>
      <c r="EW84" s="7">
        <f>EW83</f>
        <v>11</v>
      </c>
      <c r="EX84" s="133"/>
      <c r="EY84" s="14">
        <f t="shared" si="436"/>
        <v>0</v>
      </c>
      <c r="EZ84" s="46">
        <f t="shared" si="488"/>
        <v>0</v>
      </c>
      <c r="FA84" s="405"/>
      <c r="FB84" s="406"/>
      <c r="FC84" s="406"/>
      <c r="FD84" s="14">
        <f t="shared" si="688"/>
        <v>0</v>
      </c>
      <c r="FE84" s="14">
        <f t="shared" si="670"/>
        <v>0</v>
      </c>
      <c r="FF84" s="14">
        <f t="shared" si="587"/>
        <v>0.16</v>
      </c>
      <c r="FG84" s="47">
        <f t="shared" si="689"/>
        <v>0</v>
      </c>
      <c r="FH84" s="35">
        <f t="shared" si="588"/>
        <v>3.3600000000000008</v>
      </c>
      <c r="FI84" s="157">
        <f t="shared" si="671"/>
        <v>0</v>
      </c>
      <c r="FJ84" s="134"/>
      <c r="FK84" s="14">
        <f t="shared" si="589"/>
        <v>55</v>
      </c>
      <c r="FL84" s="48">
        <f t="shared" si="733"/>
        <v>0</v>
      </c>
      <c r="FM84" s="68">
        <f t="shared" si="672"/>
        <v>0</v>
      </c>
      <c r="FN84" s="51">
        <f t="shared" si="590"/>
        <v>880</v>
      </c>
      <c r="FO84" s="103">
        <f>FO83</f>
        <v>0</v>
      </c>
      <c r="FP84" s="46">
        <f t="shared" ref="FP84:FP138" si="741">FN84-FO84</f>
        <v>880</v>
      </c>
      <c r="FQ84" s="12">
        <f t="shared" si="591"/>
        <v>80</v>
      </c>
      <c r="FR84" s="103">
        <f>FR83</f>
        <v>0</v>
      </c>
      <c r="FS84" s="46">
        <f t="shared" si="656"/>
        <v>80</v>
      </c>
      <c r="FU84" s="120">
        <f>FU83+1</f>
        <v>12</v>
      </c>
      <c r="FV84" s="7">
        <f>FV83</f>
        <v>11</v>
      </c>
      <c r="FW84" s="133"/>
      <c r="FX84" s="14">
        <f t="shared" si="437"/>
        <v>0</v>
      </c>
      <c r="FY84" s="46">
        <f t="shared" si="489"/>
        <v>0</v>
      </c>
      <c r="FZ84" s="405"/>
      <c r="GA84" s="406"/>
      <c r="GB84" s="406"/>
      <c r="GC84" s="14">
        <f t="shared" si="690"/>
        <v>0</v>
      </c>
      <c r="GD84" s="14">
        <f t="shared" si="673"/>
        <v>0</v>
      </c>
      <c r="GE84" s="14">
        <f t="shared" si="592"/>
        <v>0.16</v>
      </c>
      <c r="GF84" s="47">
        <f t="shared" si="691"/>
        <v>0</v>
      </c>
      <c r="GG84" s="35">
        <f t="shared" si="593"/>
        <v>3.3600000000000008</v>
      </c>
      <c r="GH84" s="157">
        <f t="shared" si="674"/>
        <v>0</v>
      </c>
      <c r="GI84" s="134"/>
      <c r="GJ84" s="14">
        <f t="shared" si="594"/>
        <v>55</v>
      </c>
      <c r="GK84" s="48">
        <f t="shared" si="734"/>
        <v>0</v>
      </c>
      <c r="GL84" s="68">
        <f t="shared" si="675"/>
        <v>0</v>
      </c>
      <c r="GM84" s="51">
        <f t="shared" si="595"/>
        <v>880</v>
      </c>
      <c r="GN84" s="103">
        <f>GN83</f>
        <v>0</v>
      </c>
      <c r="GO84" s="46">
        <f t="shared" ref="GO84:GO138" si="742">GM84-GN84</f>
        <v>880</v>
      </c>
      <c r="GP84" s="12">
        <f t="shared" si="596"/>
        <v>80</v>
      </c>
      <c r="GQ84" s="103">
        <f>GQ83</f>
        <v>0</v>
      </c>
      <c r="GR84" s="46">
        <f t="shared" si="657"/>
        <v>80</v>
      </c>
      <c r="GT84" s="120">
        <f>GT83+1</f>
        <v>12</v>
      </c>
      <c r="GU84" s="7">
        <f>GU83</f>
        <v>11</v>
      </c>
      <c r="GV84" s="133"/>
      <c r="GW84" s="14">
        <f t="shared" si="438"/>
        <v>0</v>
      </c>
      <c r="GX84" s="46">
        <f t="shared" si="490"/>
        <v>0</v>
      </c>
      <c r="GY84" s="405"/>
      <c r="GZ84" s="406"/>
      <c r="HA84" s="406"/>
      <c r="HB84" s="14">
        <f t="shared" si="692"/>
        <v>0</v>
      </c>
      <c r="HC84" s="14">
        <f t="shared" si="676"/>
        <v>0</v>
      </c>
      <c r="HD84" s="14">
        <f t="shared" si="597"/>
        <v>0.16</v>
      </c>
      <c r="HE84" s="47">
        <f t="shared" si="693"/>
        <v>0</v>
      </c>
      <c r="HF84" s="35">
        <f t="shared" si="598"/>
        <v>3.3600000000000008</v>
      </c>
      <c r="HG84" s="157">
        <f t="shared" si="677"/>
        <v>0</v>
      </c>
      <c r="HH84" s="134"/>
      <c r="HI84" s="14">
        <f t="shared" si="599"/>
        <v>55</v>
      </c>
      <c r="HJ84" s="48">
        <f t="shared" si="735"/>
        <v>0</v>
      </c>
      <c r="HK84" s="68">
        <f t="shared" si="678"/>
        <v>0</v>
      </c>
      <c r="HL84" s="51">
        <f t="shared" si="600"/>
        <v>880</v>
      </c>
      <c r="HM84" s="103">
        <f>HM83</f>
        <v>0</v>
      </c>
      <c r="HN84" s="46">
        <f t="shared" ref="HN84:HN138" si="743">HL84-HM84</f>
        <v>880</v>
      </c>
      <c r="HO84" s="12">
        <f t="shared" si="601"/>
        <v>80</v>
      </c>
      <c r="HP84" s="103">
        <f>HP83</f>
        <v>0</v>
      </c>
      <c r="HQ84" s="46">
        <f t="shared" si="658"/>
        <v>80</v>
      </c>
    </row>
    <row r="85" spans="1:225" ht="17.25" thickBot="1" x14ac:dyDescent="0.3">
      <c r="B85" s="120">
        <f t="shared" ref="B85:B89" si="744">B84+1</f>
        <v>13</v>
      </c>
      <c r="C85" s="570">
        <f t="shared" ref="C85:C89" si="745">C84</f>
        <v>11</v>
      </c>
      <c r="D85" s="133"/>
      <c r="E85" s="408">
        <f t="shared" si="696"/>
        <v>95849</v>
      </c>
      <c r="F85" s="562">
        <f t="shared" si="555"/>
        <v>95842</v>
      </c>
      <c r="G85" s="134"/>
      <c r="H85" s="135">
        <v>7</v>
      </c>
      <c r="I85" s="135"/>
      <c r="J85" s="14">
        <f t="shared" si="679"/>
        <v>7</v>
      </c>
      <c r="K85" s="14">
        <f t="shared" si="604"/>
        <v>5423</v>
      </c>
      <c r="L85" s="14">
        <f t="shared" si="556"/>
        <v>0.16</v>
      </c>
      <c r="M85" s="47">
        <f t="shared" si="605"/>
        <v>7.3031539191853855E-3</v>
      </c>
      <c r="N85" s="35">
        <f t="shared" si="557"/>
        <v>3.3600000000000008</v>
      </c>
      <c r="O85" s="132">
        <f t="shared" si="606"/>
        <v>4.0208195858325979</v>
      </c>
      <c r="P85" s="142">
        <v>5733</v>
      </c>
      <c r="Q85" s="14">
        <f t="shared" si="558"/>
        <v>55</v>
      </c>
      <c r="R85" s="482">
        <f t="shared" si="559"/>
        <v>59.812830598128308</v>
      </c>
      <c r="S85" s="470">
        <f t="shared" si="650"/>
        <v>2228.3014609487668</v>
      </c>
      <c r="T85" s="51">
        <f t="shared" si="560"/>
        <v>880</v>
      </c>
      <c r="U85" s="103">
        <f t="shared" ref="U85:U89" si="746">U84</f>
        <v>869</v>
      </c>
      <c r="V85" s="46">
        <f t="shared" si="608"/>
        <v>11</v>
      </c>
      <c r="W85" s="12">
        <f t="shared" si="561"/>
        <v>80</v>
      </c>
      <c r="X85" s="103">
        <f t="shared" ref="X85:X89" si="747">X84</f>
        <v>63</v>
      </c>
      <c r="Y85" s="46">
        <f t="shared" si="610"/>
        <v>17</v>
      </c>
      <c r="Z85" s="487"/>
      <c r="AA85" s="120">
        <f t="shared" ref="AA85:AA89" si="748">AA84+1</f>
        <v>13</v>
      </c>
      <c r="AB85" s="7">
        <f t="shared" ref="AB85:AB89" si="749">AB84</f>
        <v>11</v>
      </c>
      <c r="AC85" s="133"/>
      <c r="AD85" s="48">
        <f t="shared" si="483"/>
        <v>86626</v>
      </c>
      <c r="AE85" s="447">
        <f t="shared" si="484"/>
        <v>86621</v>
      </c>
      <c r="AF85" s="134"/>
      <c r="AG85" s="135">
        <v>5</v>
      </c>
      <c r="AH85" s="135"/>
      <c r="AI85" s="14">
        <f t="shared" si="680"/>
        <v>5</v>
      </c>
      <c r="AJ85" s="14">
        <f t="shared" si="321"/>
        <v>6278</v>
      </c>
      <c r="AK85" s="14">
        <f t="shared" si="562"/>
        <v>0.16</v>
      </c>
      <c r="AL85" s="47">
        <f t="shared" si="613"/>
        <v>5.7719391406737004E-3</v>
      </c>
      <c r="AM85" s="35">
        <f t="shared" si="563"/>
        <v>3.3600000000000008</v>
      </c>
      <c r="AN85" s="157">
        <f t="shared" si="659"/>
        <v>4.0985532981668147</v>
      </c>
      <c r="AO85" s="134">
        <v>5187</v>
      </c>
      <c r="AP85" s="14">
        <f t="shared" si="564"/>
        <v>55</v>
      </c>
      <c r="AQ85" s="482">
        <f t="shared" si="614"/>
        <v>59.878096645348975</v>
      </c>
      <c r="AR85" s="470">
        <f t="shared" si="323"/>
        <v>2195.7749838759219</v>
      </c>
      <c r="AS85" s="51">
        <f t="shared" si="565"/>
        <v>880</v>
      </c>
      <c r="AT85" s="103">
        <f t="shared" ref="AT85:AT89" si="750">AT84</f>
        <v>865</v>
      </c>
      <c r="AU85" s="46">
        <f t="shared" si="736"/>
        <v>15</v>
      </c>
      <c r="AV85" s="12">
        <f t="shared" si="566"/>
        <v>80</v>
      </c>
      <c r="AW85" s="103">
        <f t="shared" ref="AW85:AW89" si="751">AW84</f>
        <v>80</v>
      </c>
      <c r="AX85" s="46">
        <f t="shared" si="660"/>
        <v>0</v>
      </c>
      <c r="AZ85" s="120">
        <f t="shared" ref="AZ85:AZ89" si="752">AZ84+1</f>
        <v>13</v>
      </c>
      <c r="BA85" s="7">
        <f t="shared" ref="BA85:BA89" si="753">BA84</f>
        <v>11</v>
      </c>
      <c r="BB85" s="133"/>
      <c r="BC85" s="48">
        <f t="shared" si="518"/>
        <v>92831</v>
      </c>
      <c r="BD85" s="447">
        <f t="shared" si="485"/>
        <v>92826</v>
      </c>
      <c r="BE85" s="134"/>
      <c r="BF85" s="135">
        <v>5</v>
      </c>
      <c r="BG85" s="135"/>
      <c r="BH85" s="14">
        <f t="shared" si="681"/>
        <v>5</v>
      </c>
      <c r="BI85" s="14">
        <f t="shared" si="294"/>
        <v>1046</v>
      </c>
      <c r="BJ85" s="14">
        <f t="shared" si="567"/>
        <v>0.16</v>
      </c>
      <c r="BK85" s="47">
        <f t="shared" si="646"/>
        <v>5.3861317878725855E-3</v>
      </c>
      <c r="BL85" s="35">
        <f t="shared" si="568"/>
        <v>3.3600000000000008</v>
      </c>
      <c r="BM85" s="132">
        <f t="shared" si="326"/>
        <v>1.464985994397759</v>
      </c>
      <c r="BN85" s="134">
        <v>7644</v>
      </c>
      <c r="BO85" s="14">
        <f t="shared" si="569"/>
        <v>55</v>
      </c>
      <c r="BP85" s="442">
        <f t="shared" si="647"/>
        <v>82.343182772996087</v>
      </c>
      <c r="BQ85" s="747">
        <f t="shared" si="651"/>
        <v>2268.9336408016352</v>
      </c>
      <c r="BR85" s="51">
        <f t="shared" si="570"/>
        <v>880</v>
      </c>
      <c r="BS85" s="103">
        <f t="shared" ref="BS85:BS89" si="754">BS84</f>
        <v>906</v>
      </c>
      <c r="BT85" s="46">
        <f t="shared" si="737"/>
        <v>-26</v>
      </c>
      <c r="BU85" s="12">
        <f t="shared" si="571"/>
        <v>80</v>
      </c>
      <c r="BV85" s="103">
        <f t="shared" ref="BV85:BV89" si="755">BV84</f>
        <v>95</v>
      </c>
      <c r="BW85" s="46">
        <f t="shared" si="661"/>
        <v>-15</v>
      </c>
      <c r="BY85" s="120">
        <f t="shared" ref="BY85:BY88" si="756">BY84+1</f>
        <v>13</v>
      </c>
      <c r="BZ85" s="7">
        <f t="shared" ref="BZ85:BZ89" si="757">BZ84</f>
        <v>11</v>
      </c>
      <c r="CA85" s="133"/>
      <c r="CB85" s="14">
        <f t="shared" si="662"/>
        <v>0</v>
      </c>
      <c r="CC85" s="62">
        <f t="shared" si="682"/>
        <v>0</v>
      </c>
      <c r="CD85" s="405"/>
      <c r="CE85" s="406"/>
      <c r="CF85" s="406"/>
      <c r="CG85" s="14">
        <f t="shared" si="683"/>
        <v>0</v>
      </c>
      <c r="CH85" s="14">
        <f t="shared" si="663"/>
        <v>0</v>
      </c>
      <c r="CI85" s="14">
        <f t="shared" si="572"/>
        <v>0.16</v>
      </c>
      <c r="CJ85" s="47">
        <f t="shared" si="648"/>
        <v>0</v>
      </c>
      <c r="CK85" s="35">
        <f t="shared" si="573"/>
        <v>3.3600000000000008</v>
      </c>
      <c r="CL85" s="157">
        <f t="shared" si="652"/>
        <v>0</v>
      </c>
      <c r="CM85" s="134"/>
      <c r="CN85" s="14">
        <f t="shared" si="574"/>
        <v>55</v>
      </c>
      <c r="CO85" s="48">
        <f t="shared" si="653"/>
        <v>0</v>
      </c>
      <c r="CP85" s="68">
        <f t="shared" si="649"/>
        <v>0</v>
      </c>
      <c r="CQ85" s="51">
        <f t="shared" si="575"/>
        <v>880</v>
      </c>
      <c r="CR85" s="103">
        <f t="shared" ref="CR85:CR89" si="758">CR84</f>
        <v>0</v>
      </c>
      <c r="CS85" s="46">
        <f t="shared" si="738"/>
        <v>880</v>
      </c>
      <c r="CT85" s="50">
        <f t="shared" si="576"/>
        <v>80</v>
      </c>
      <c r="CU85" s="103">
        <f t="shared" ref="CU85:CU89" si="759">CU84</f>
        <v>0</v>
      </c>
      <c r="CV85" s="46">
        <f t="shared" si="625"/>
        <v>80</v>
      </c>
      <c r="CX85" s="120">
        <f t="shared" ref="CX85:CX88" si="760">CX84+1</f>
        <v>13</v>
      </c>
      <c r="CY85" s="7">
        <f t="shared" ref="CY85:CY89" si="761">CY84</f>
        <v>11</v>
      </c>
      <c r="CZ85" s="133"/>
      <c r="DA85" s="14">
        <f t="shared" si="434"/>
        <v>0</v>
      </c>
      <c r="DB85" s="62">
        <f t="shared" si="486"/>
        <v>0</v>
      </c>
      <c r="DC85" s="405"/>
      <c r="DD85" s="406"/>
      <c r="DE85" s="406"/>
      <c r="DF85" s="14">
        <f t="shared" si="684"/>
        <v>0</v>
      </c>
      <c r="DG85" s="14">
        <f t="shared" si="664"/>
        <v>0</v>
      </c>
      <c r="DH85" s="14">
        <f t="shared" si="577"/>
        <v>0.16</v>
      </c>
      <c r="DI85" s="47">
        <f t="shared" si="685"/>
        <v>0</v>
      </c>
      <c r="DJ85" s="35">
        <f t="shared" si="578"/>
        <v>3.3600000000000008</v>
      </c>
      <c r="DK85" s="157">
        <f t="shared" si="665"/>
        <v>0</v>
      </c>
      <c r="DL85" s="134"/>
      <c r="DM85" s="14">
        <f t="shared" si="579"/>
        <v>55</v>
      </c>
      <c r="DN85" s="48">
        <f t="shared" si="731"/>
        <v>0</v>
      </c>
      <c r="DO85" s="68">
        <f t="shared" si="666"/>
        <v>0</v>
      </c>
      <c r="DP85" s="51">
        <f t="shared" si="580"/>
        <v>880</v>
      </c>
      <c r="DQ85" s="103">
        <f t="shared" ref="DQ85:DQ89" si="762">DQ84</f>
        <v>0</v>
      </c>
      <c r="DR85" s="46">
        <f t="shared" si="739"/>
        <v>880</v>
      </c>
      <c r="DS85" s="50">
        <f t="shared" si="581"/>
        <v>80</v>
      </c>
      <c r="DT85" s="103">
        <f t="shared" ref="DT85:DT89" si="763">DT84</f>
        <v>0</v>
      </c>
      <c r="DU85" s="46">
        <f t="shared" si="654"/>
        <v>80</v>
      </c>
      <c r="DW85" s="120">
        <f t="shared" ref="DW85:DW88" si="764">DW84+1</f>
        <v>13</v>
      </c>
      <c r="DX85" s="7">
        <f t="shared" ref="DX85:DX89" si="765">DX84</f>
        <v>11</v>
      </c>
      <c r="DY85" s="133"/>
      <c r="DZ85" s="14">
        <f t="shared" si="435"/>
        <v>0</v>
      </c>
      <c r="EA85" s="62">
        <f t="shared" si="487"/>
        <v>0</v>
      </c>
      <c r="EB85" s="405"/>
      <c r="EC85" s="406"/>
      <c r="ED85" s="406"/>
      <c r="EE85" s="14">
        <f t="shared" si="686"/>
        <v>0</v>
      </c>
      <c r="EF85" s="14">
        <f t="shared" si="667"/>
        <v>0</v>
      </c>
      <c r="EG85" s="14">
        <f t="shared" si="582"/>
        <v>0.16</v>
      </c>
      <c r="EH85" s="47">
        <f t="shared" si="687"/>
        <v>0</v>
      </c>
      <c r="EI85" s="35">
        <f t="shared" si="583"/>
        <v>3.3600000000000008</v>
      </c>
      <c r="EJ85" s="157">
        <f t="shared" si="668"/>
        <v>0</v>
      </c>
      <c r="EK85" s="134"/>
      <c r="EL85" s="14">
        <f t="shared" si="584"/>
        <v>55</v>
      </c>
      <c r="EM85" s="48">
        <f t="shared" si="732"/>
        <v>0</v>
      </c>
      <c r="EN85" s="68">
        <f t="shared" si="669"/>
        <v>0</v>
      </c>
      <c r="EO85" s="51">
        <f t="shared" si="585"/>
        <v>880</v>
      </c>
      <c r="EP85" s="103">
        <f t="shared" ref="EP85:EP89" si="766">EP84</f>
        <v>0</v>
      </c>
      <c r="EQ85" s="46">
        <f t="shared" si="740"/>
        <v>880</v>
      </c>
      <c r="ER85" s="50">
        <f t="shared" si="586"/>
        <v>80</v>
      </c>
      <c r="ES85" s="103">
        <f t="shared" ref="ES85:ES89" si="767">ES84</f>
        <v>0</v>
      </c>
      <c r="ET85" s="46">
        <f t="shared" si="655"/>
        <v>80</v>
      </c>
      <c r="EV85" s="120">
        <f t="shared" ref="EV85:EV88" si="768">EV84+1</f>
        <v>13</v>
      </c>
      <c r="EW85" s="7">
        <f t="shared" ref="EW85:EW89" si="769">EW84</f>
        <v>11</v>
      </c>
      <c r="EX85" s="133"/>
      <c r="EY85" s="14">
        <f t="shared" si="436"/>
        <v>0</v>
      </c>
      <c r="EZ85" s="62">
        <f t="shared" si="488"/>
        <v>0</v>
      </c>
      <c r="FA85" s="405"/>
      <c r="FB85" s="406"/>
      <c r="FC85" s="406"/>
      <c r="FD85" s="14">
        <f t="shared" si="688"/>
        <v>0</v>
      </c>
      <c r="FE85" s="14">
        <f t="shared" si="670"/>
        <v>0</v>
      </c>
      <c r="FF85" s="14">
        <f t="shared" si="587"/>
        <v>0.16</v>
      </c>
      <c r="FG85" s="47">
        <f t="shared" si="689"/>
        <v>0</v>
      </c>
      <c r="FH85" s="35">
        <f t="shared" si="588"/>
        <v>3.3600000000000008</v>
      </c>
      <c r="FI85" s="157">
        <f t="shared" si="671"/>
        <v>0</v>
      </c>
      <c r="FJ85" s="134"/>
      <c r="FK85" s="14">
        <f t="shared" si="589"/>
        <v>55</v>
      </c>
      <c r="FL85" s="48">
        <f t="shared" si="733"/>
        <v>0</v>
      </c>
      <c r="FM85" s="68">
        <f t="shared" si="672"/>
        <v>0</v>
      </c>
      <c r="FN85" s="51">
        <f t="shared" si="590"/>
        <v>880</v>
      </c>
      <c r="FO85" s="103">
        <f t="shared" ref="FO85:FO89" si="770">FO84</f>
        <v>0</v>
      </c>
      <c r="FP85" s="46">
        <f t="shared" si="741"/>
        <v>880</v>
      </c>
      <c r="FQ85" s="50">
        <f t="shared" si="591"/>
        <v>80</v>
      </c>
      <c r="FR85" s="103">
        <f t="shared" ref="FR85:FR89" si="771">FR84</f>
        <v>0</v>
      </c>
      <c r="FS85" s="46">
        <f t="shared" si="656"/>
        <v>80</v>
      </c>
      <c r="FU85" s="120">
        <f t="shared" ref="FU85:FU88" si="772">FU84+1</f>
        <v>13</v>
      </c>
      <c r="FV85" s="7">
        <f t="shared" ref="FV85:FV89" si="773">FV84</f>
        <v>11</v>
      </c>
      <c r="FW85" s="133"/>
      <c r="FX85" s="14">
        <f t="shared" si="437"/>
        <v>0</v>
      </c>
      <c r="FY85" s="62">
        <f t="shared" si="489"/>
        <v>0</v>
      </c>
      <c r="FZ85" s="405"/>
      <c r="GA85" s="406"/>
      <c r="GB85" s="406"/>
      <c r="GC85" s="14">
        <f t="shared" si="690"/>
        <v>0</v>
      </c>
      <c r="GD85" s="14">
        <f t="shared" si="673"/>
        <v>0</v>
      </c>
      <c r="GE85" s="14">
        <f t="shared" si="592"/>
        <v>0.16</v>
      </c>
      <c r="GF85" s="47">
        <f t="shared" si="691"/>
        <v>0</v>
      </c>
      <c r="GG85" s="35">
        <f t="shared" si="593"/>
        <v>3.3600000000000008</v>
      </c>
      <c r="GH85" s="157">
        <f t="shared" si="674"/>
        <v>0</v>
      </c>
      <c r="GI85" s="134"/>
      <c r="GJ85" s="14">
        <f t="shared" si="594"/>
        <v>55</v>
      </c>
      <c r="GK85" s="48">
        <f t="shared" si="734"/>
        <v>0</v>
      </c>
      <c r="GL85" s="68">
        <f t="shared" si="675"/>
        <v>0</v>
      </c>
      <c r="GM85" s="51">
        <f t="shared" si="595"/>
        <v>880</v>
      </c>
      <c r="GN85" s="103">
        <f t="shared" ref="GN85:GN89" si="774">GN84</f>
        <v>0</v>
      </c>
      <c r="GO85" s="46">
        <f t="shared" si="742"/>
        <v>880</v>
      </c>
      <c r="GP85" s="50">
        <f t="shared" si="596"/>
        <v>80</v>
      </c>
      <c r="GQ85" s="103">
        <f t="shared" ref="GQ85:GQ89" si="775">GQ84</f>
        <v>0</v>
      </c>
      <c r="GR85" s="46">
        <f t="shared" si="657"/>
        <v>80</v>
      </c>
      <c r="GT85" s="120">
        <f t="shared" ref="GT85:GT88" si="776">GT84+1</f>
        <v>13</v>
      </c>
      <c r="GU85" s="7">
        <f t="shared" ref="GU85:GU89" si="777">GU84</f>
        <v>11</v>
      </c>
      <c r="GV85" s="133"/>
      <c r="GW85" s="14">
        <f t="shared" si="438"/>
        <v>0</v>
      </c>
      <c r="GX85" s="62">
        <f t="shared" si="490"/>
        <v>0</v>
      </c>
      <c r="GY85" s="405"/>
      <c r="GZ85" s="406"/>
      <c r="HA85" s="406"/>
      <c r="HB85" s="14">
        <f t="shared" si="692"/>
        <v>0</v>
      </c>
      <c r="HC85" s="14">
        <f t="shared" si="676"/>
        <v>0</v>
      </c>
      <c r="HD85" s="14">
        <f t="shared" si="597"/>
        <v>0.16</v>
      </c>
      <c r="HE85" s="47">
        <f t="shared" si="693"/>
        <v>0</v>
      </c>
      <c r="HF85" s="35">
        <f t="shared" si="598"/>
        <v>3.3600000000000008</v>
      </c>
      <c r="HG85" s="157">
        <f t="shared" si="677"/>
        <v>0</v>
      </c>
      <c r="HH85" s="134"/>
      <c r="HI85" s="14">
        <f t="shared" si="599"/>
        <v>55</v>
      </c>
      <c r="HJ85" s="48">
        <f t="shared" si="735"/>
        <v>0</v>
      </c>
      <c r="HK85" s="68">
        <f t="shared" si="678"/>
        <v>0</v>
      </c>
      <c r="HL85" s="51">
        <f t="shared" si="600"/>
        <v>880</v>
      </c>
      <c r="HM85" s="103">
        <f t="shared" ref="HM85:HM89" si="778">HM84</f>
        <v>0</v>
      </c>
      <c r="HN85" s="46">
        <f t="shared" si="743"/>
        <v>880</v>
      </c>
      <c r="HO85" s="50">
        <f t="shared" si="601"/>
        <v>80</v>
      </c>
      <c r="HP85" s="103">
        <f t="shared" ref="HP85:HP89" si="779">HP84</f>
        <v>0</v>
      </c>
      <c r="HQ85" s="46">
        <f t="shared" si="658"/>
        <v>80</v>
      </c>
    </row>
    <row r="86" spans="1:225" ht="17.25" thickBot="1" x14ac:dyDescent="0.3">
      <c r="B86" s="120">
        <f t="shared" si="744"/>
        <v>14</v>
      </c>
      <c r="C86" s="570">
        <f t="shared" si="745"/>
        <v>11</v>
      </c>
      <c r="D86" s="799">
        <v>21558</v>
      </c>
      <c r="E86" s="408">
        <f>IFERROR(F85-D86,0)</f>
        <v>74284</v>
      </c>
      <c r="F86" s="562">
        <f t="shared" si="555"/>
        <v>74278</v>
      </c>
      <c r="G86" s="134"/>
      <c r="H86" s="135">
        <v>6</v>
      </c>
      <c r="I86" s="135"/>
      <c r="J86" s="14">
        <f t="shared" si="679"/>
        <v>6</v>
      </c>
      <c r="K86" s="17">
        <f t="shared" si="604"/>
        <v>5429</v>
      </c>
      <c r="L86" s="14">
        <f t="shared" si="556"/>
        <v>0.16</v>
      </c>
      <c r="M86" s="231">
        <f t="shared" si="605"/>
        <v>8.0771094717570404E-3</v>
      </c>
      <c r="N86" s="35">
        <f t="shared" si="557"/>
        <v>3.3600000000000008</v>
      </c>
      <c r="O86" s="132">
        <f t="shared" si="606"/>
        <v>4.025268215284008</v>
      </c>
      <c r="P86" s="142">
        <v>1365</v>
      </c>
      <c r="Q86" s="14">
        <f t="shared" si="558"/>
        <v>55</v>
      </c>
      <c r="R86" s="482">
        <f t="shared" si="559"/>
        <v>18.375424048247268</v>
      </c>
      <c r="S86" s="470">
        <f t="shared" si="650"/>
        <v>2246.676884997014</v>
      </c>
      <c r="T86" s="51">
        <f t="shared" si="560"/>
        <v>880</v>
      </c>
      <c r="U86" s="103">
        <f t="shared" si="746"/>
        <v>869</v>
      </c>
      <c r="V86" s="46">
        <f t="shared" si="608"/>
        <v>11</v>
      </c>
      <c r="W86" s="50">
        <f t="shared" si="561"/>
        <v>80</v>
      </c>
      <c r="X86" s="103">
        <f t="shared" si="747"/>
        <v>63</v>
      </c>
      <c r="Y86" s="46">
        <f t="shared" si="610"/>
        <v>17</v>
      </c>
      <c r="Z86" s="487"/>
      <c r="AA86" s="120">
        <f t="shared" si="748"/>
        <v>14</v>
      </c>
      <c r="AB86" s="7">
        <f t="shared" si="749"/>
        <v>11</v>
      </c>
      <c r="AC86" s="133"/>
      <c r="AD86" s="48">
        <f t="shared" si="483"/>
        <v>86621</v>
      </c>
      <c r="AE86" s="196">
        <f t="shared" si="484"/>
        <v>86617</v>
      </c>
      <c r="AF86" s="134"/>
      <c r="AG86" s="135">
        <v>4</v>
      </c>
      <c r="AH86" s="135"/>
      <c r="AI86" s="14">
        <f t="shared" si="680"/>
        <v>4</v>
      </c>
      <c r="AJ86" s="17">
        <f t="shared" si="321"/>
        <v>6282</v>
      </c>
      <c r="AK86" s="14">
        <f t="shared" si="562"/>
        <v>0.16</v>
      </c>
      <c r="AL86" s="231">
        <f t="shared" si="613"/>
        <v>4.6178178501748999E-3</v>
      </c>
      <c r="AM86" s="35">
        <f t="shared" si="563"/>
        <v>3.3600000000000008</v>
      </c>
      <c r="AN86" s="157">
        <f t="shared" si="659"/>
        <v>4.1011646733169691</v>
      </c>
      <c r="AO86" s="134">
        <v>2730</v>
      </c>
      <c r="AP86" s="14">
        <f t="shared" si="564"/>
        <v>55</v>
      </c>
      <c r="AQ86" s="482">
        <f t="shared" si="614"/>
        <v>31.516606827443692</v>
      </c>
      <c r="AR86" s="470">
        <f t="shared" si="323"/>
        <v>2227.2915907033657</v>
      </c>
      <c r="AS86" s="51">
        <f t="shared" si="565"/>
        <v>880</v>
      </c>
      <c r="AT86" s="103">
        <f t="shared" si="750"/>
        <v>865</v>
      </c>
      <c r="AU86" s="46">
        <f t="shared" si="736"/>
        <v>15</v>
      </c>
      <c r="AV86" s="50">
        <f t="shared" si="566"/>
        <v>80</v>
      </c>
      <c r="AW86" s="103">
        <f t="shared" si="751"/>
        <v>80</v>
      </c>
      <c r="AX86" s="46">
        <f t="shared" si="660"/>
        <v>0</v>
      </c>
      <c r="AZ86" s="120">
        <f t="shared" si="752"/>
        <v>14</v>
      </c>
      <c r="BA86" s="7">
        <f t="shared" si="753"/>
        <v>11</v>
      </c>
      <c r="BB86" s="133"/>
      <c r="BC86" s="48">
        <f t="shared" si="518"/>
        <v>92826</v>
      </c>
      <c r="BD86" s="196">
        <f t="shared" si="485"/>
        <v>92822</v>
      </c>
      <c r="BE86" s="134"/>
      <c r="BF86" s="135">
        <v>4</v>
      </c>
      <c r="BG86" s="135"/>
      <c r="BH86" s="14">
        <f t="shared" si="681"/>
        <v>4</v>
      </c>
      <c r="BI86" s="17">
        <f t="shared" ref="BI86:BI104" si="780">BI85+BH86</f>
        <v>1050</v>
      </c>
      <c r="BJ86" s="14">
        <f t="shared" si="567"/>
        <v>0.16</v>
      </c>
      <c r="BK86" s="47">
        <f t="shared" si="646"/>
        <v>4.3091375261241462E-3</v>
      </c>
      <c r="BL86" s="35">
        <f t="shared" si="568"/>
        <v>3.3600000000000008</v>
      </c>
      <c r="BM86" s="132">
        <f t="shared" si="326"/>
        <v>1.4705882352941178</v>
      </c>
      <c r="BN86" s="134">
        <v>3549</v>
      </c>
      <c r="BO86" s="14">
        <f t="shared" si="569"/>
        <v>55</v>
      </c>
      <c r="BP86" s="442">
        <f>IFERROR((BN86/BC86)*1000,0)</f>
        <v>38.232822700536488</v>
      </c>
      <c r="BQ86" s="747">
        <f t="shared" si="651"/>
        <v>2307.1664635021716</v>
      </c>
      <c r="BR86" s="51">
        <f t="shared" si="570"/>
        <v>880</v>
      </c>
      <c r="BS86" s="103">
        <f t="shared" si="754"/>
        <v>906</v>
      </c>
      <c r="BT86" s="46">
        <f t="shared" si="737"/>
        <v>-26</v>
      </c>
      <c r="BU86" s="50">
        <f t="shared" si="571"/>
        <v>80</v>
      </c>
      <c r="BV86" s="103">
        <f t="shared" si="755"/>
        <v>95</v>
      </c>
      <c r="BW86" s="46">
        <f t="shared" si="661"/>
        <v>-15</v>
      </c>
      <c r="BY86" s="120">
        <f t="shared" si="756"/>
        <v>14</v>
      </c>
      <c r="BZ86" s="7">
        <f t="shared" si="757"/>
        <v>11</v>
      </c>
      <c r="CA86" s="798">
        <v>14656</v>
      </c>
      <c r="CB86" s="14">
        <f t="shared" si="662"/>
        <v>14656</v>
      </c>
      <c r="CC86" s="59">
        <f t="shared" si="682"/>
        <v>14654</v>
      </c>
      <c r="CD86" s="405"/>
      <c r="CE86" s="406">
        <v>2</v>
      </c>
      <c r="CF86" s="406"/>
      <c r="CG86" s="14">
        <f t="shared" si="683"/>
        <v>2</v>
      </c>
      <c r="CH86" s="17">
        <f t="shared" si="663"/>
        <v>2</v>
      </c>
      <c r="CI86" s="14">
        <f>VLOOKUP($C86,LOHMANN,4,FALSE)</f>
        <v>0.16</v>
      </c>
      <c r="CJ86" s="47">
        <f>IFERROR((CG86*100)/CB86,0)</f>
        <v>1.3646288209606987E-2</v>
      </c>
      <c r="CK86" s="35">
        <f t="shared" si="573"/>
        <v>3.3600000000000008</v>
      </c>
      <c r="CL86" s="157">
        <f>IFERROR((CH86*100)/$CB$86,0)</f>
        <v>1.3646288209606987E-2</v>
      </c>
      <c r="CM86" s="134"/>
      <c r="CN86" s="14">
        <f t="shared" si="574"/>
        <v>55</v>
      </c>
      <c r="CO86" s="442">
        <f>IFERROR((CM86/CB86)*1000,0)</f>
        <v>0</v>
      </c>
      <c r="CP86" s="68">
        <f t="shared" si="649"/>
        <v>0</v>
      </c>
      <c r="CQ86" s="51">
        <f t="shared" si="575"/>
        <v>880</v>
      </c>
      <c r="CR86" s="103">
        <f t="shared" si="758"/>
        <v>0</v>
      </c>
      <c r="CS86" s="46">
        <f t="shared" si="738"/>
        <v>880</v>
      </c>
      <c r="CT86" s="50">
        <f t="shared" si="576"/>
        <v>80</v>
      </c>
      <c r="CU86" s="103">
        <f t="shared" si="759"/>
        <v>0</v>
      </c>
      <c r="CV86" s="46">
        <f t="shared" si="625"/>
        <v>80</v>
      </c>
      <c r="CX86" s="120">
        <f t="shared" si="760"/>
        <v>14</v>
      </c>
      <c r="CY86" s="7">
        <f t="shared" si="761"/>
        <v>11</v>
      </c>
      <c r="CZ86" s="798">
        <v>6902</v>
      </c>
      <c r="DA86" s="14">
        <f t="shared" si="434"/>
        <v>6902</v>
      </c>
      <c r="DB86" s="59">
        <f t="shared" si="486"/>
        <v>6898</v>
      </c>
      <c r="DC86" s="405">
        <v>1</v>
      </c>
      <c r="DD86" s="406">
        <v>3</v>
      </c>
      <c r="DE86" s="406"/>
      <c r="DF86" s="14">
        <f t="shared" si="684"/>
        <v>4</v>
      </c>
      <c r="DG86" s="17">
        <f t="shared" si="664"/>
        <v>4</v>
      </c>
      <c r="DH86" s="14">
        <f>VLOOKUP($C86,LOHMANN,4,FALSE)</f>
        <v>0.16</v>
      </c>
      <c r="DI86" s="47">
        <f>IFERROR((DF86*100)/DA86,0)</f>
        <v>5.7954216169226309E-2</v>
      </c>
      <c r="DJ86" s="35">
        <f t="shared" si="578"/>
        <v>3.3600000000000008</v>
      </c>
      <c r="DK86" s="157">
        <f>IFERROR((DG86*100)/$DA$87,0)</f>
        <v>2.7168376010323982E-2</v>
      </c>
      <c r="DL86" s="134"/>
      <c r="DM86" s="14">
        <f t="shared" si="579"/>
        <v>55</v>
      </c>
      <c r="DN86" s="442">
        <f>IFERROR((DL86/DA86)*1000,0)</f>
        <v>0</v>
      </c>
      <c r="DO86" s="68">
        <f t="shared" si="666"/>
        <v>0</v>
      </c>
      <c r="DP86" s="51">
        <f t="shared" si="580"/>
        <v>880</v>
      </c>
      <c r="DQ86" s="103">
        <f t="shared" si="762"/>
        <v>0</v>
      </c>
      <c r="DR86" s="46">
        <f t="shared" si="739"/>
        <v>880</v>
      </c>
      <c r="DS86" s="50">
        <f t="shared" si="581"/>
        <v>80</v>
      </c>
      <c r="DT86" s="103">
        <f t="shared" si="763"/>
        <v>0</v>
      </c>
      <c r="DU86" s="46">
        <f t="shared" si="654"/>
        <v>80</v>
      </c>
      <c r="DW86" s="120">
        <f t="shared" si="764"/>
        <v>14</v>
      </c>
      <c r="DX86" s="7">
        <f t="shared" si="765"/>
        <v>11</v>
      </c>
      <c r="DY86" s="794"/>
      <c r="DZ86" s="14">
        <f t="shared" si="435"/>
        <v>0</v>
      </c>
      <c r="EA86" s="59">
        <f t="shared" si="487"/>
        <v>0</v>
      </c>
      <c r="EB86" s="405"/>
      <c r="EC86" s="406"/>
      <c r="ED86" s="406"/>
      <c r="EE86" s="14">
        <f t="shared" si="686"/>
        <v>0</v>
      </c>
      <c r="EF86" s="17">
        <f t="shared" si="667"/>
        <v>0</v>
      </c>
      <c r="EG86" s="14">
        <f>VLOOKUP($C86,LOHMANN,4,FALSE)</f>
        <v>0.16</v>
      </c>
      <c r="EH86" s="47">
        <f>IFERROR((EE86*100)/DZ86,0)</f>
        <v>0</v>
      </c>
      <c r="EI86" s="35">
        <f t="shared" si="583"/>
        <v>3.3600000000000008</v>
      </c>
      <c r="EJ86" s="157">
        <f>IFERROR((EF86*100)/$CB$86,0)</f>
        <v>0</v>
      </c>
      <c r="EK86" s="134"/>
      <c r="EL86" s="14">
        <f t="shared" si="584"/>
        <v>55</v>
      </c>
      <c r="EM86" s="442">
        <f>IFERROR((EK86/DZ86)*1000,0)</f>
        <v>0</v>
      </c>
      <c r="EN86" s="68">
        <f t="shared" si="669"/>
        <v>0</v>
      </c>
      <c r="EO86" s="51">
        <f t="shared" si="585"/>
        <v>880</v>
      </c>
      <c r="EP86" s="103">
        <f t="shared" si="766"/>
        <v>0</v>
      </c>
      <c r="EQ86" s="46">
        <f t="shared" si="740"/>
        <v>880</v>
      </c>
      <c r="ER86" s="50">
        <f t="shared" si="586"/>
        <v>80</v>
      </c>
      <c r="ES86" s="103">
        <f t="shared" si="767"/>
        <v>0</v>
      </c>
      <c r="ET86" s="46">
        <f t="shared" si="655"/>
        <v>80</v>
      </c>
      <c r="EV86" s="120">
        <f t="shared" si="768"/>
        <v>14</v>
      </c>
      <c r="EW86" s="7">
        <f t="shared" si="769"/>
        <v>11</v>
      </c>
      <c r="EX86" s="794"/>
      <c r="EY86" s="14">
        <f t="shared" si="436"/>
        <v>0</v>
      </c>
      <c r="EZ86" s="59">
        <f t="shared" si="488"/>
        <v>0</v>
      </c>
      <c r="FA86" s="405"/>
      <c r="FB86" s="406"/>
      <c r="FC86" s="406"/>
      <c r="FD86" s="14">
        <f t="shared" si="688"/>
        <v>0</v>
      </c>
      <c r="FE86" s="17">
        <f t="shared" si="670"/>
        <v>0</v>
      </c>
      <c r="FF86" s="14">
        <f>VLOOKUP($C86,LOHMANN,4,FALSE)</f>
        <v>0.16</v>
      </c>
      <c r="FG86" s="47">
        <f>IFERROR((FD86*100)/EY86,0)</f>
        <v>0</v>
      </c>
      <c r="FH86" s="35">
        <f t="shared" si="588"/>
        <v>3.3600000000000008</v>
      </c>
      <c r="FI86" s="157">
        <f>IFERROR((FE86*100)/$CB$86,0)</f>
        <v>0</v>
      </c>
      <c r="FJ86" s="134"/>
      <c r="FK86" s="14">
        <f t="shared" si="589"/>
        <v>55</v>
      </c>
      <c r="FL86" s="442">
        <f>IFERROR((FJ86/EY86)*1000,0)</f>
        <v>0</v>
      </c>
      <c r="FM86" s="68">
        <f t="shared" si="672"/>
        <v>0</v>
      </c>
      <c r="FN86" s="51">
        <f t="shared" si="590"/>
        <v>880</v>
      </c>
      <c r="FO86" s="103">
        <f t="shared" si="770"/>
        <v>0</v>
      </c>
      <c r="FP86" s="46">
        <f t="shared" si="741"/>
        <v>880</v>
      </c>
      <c r="FQ86" s="50">
        <f t="shared" si="591"/>
        <v>80</v>
      </c>
      <c r="FR86" s="103">
        <f t="shared" si="771"/>
        <v>0</v>
      </c>
      <c r="FS86" s="46">
        <f t="shared" si="656"/>
        <v>80</v>
      </c>
      <c r="FU86" s="120">
        <f t="shared" si="772"/>
        <v>14</v>
      </c>
      <c r="FV86" s="7">
        <f t="shared" si="773"/>
        <v>11</v>
      </c>
      <c r="FW86" s="794"/>
      <c r="FX86" s="14">
        <f t="shared" si="437"/>
        <v>0</v>
      </c>
      <c r="FY86" s="59">
        <f t="shared" si="489"/>
        <v>0</v>
      </c>
      <c r="FZ86" s="405"/>
      <c r="GA86" s="406"/>
      <c r="GB86" s="406"/>
      <c r="GC86" s="14">
        <f t="shared" si="690"/>
        <v>0</v>
      </c>
      <c r="GD86" s="17">
        <f t="shared" si="673"/>
        <v>0</v>
      </c>
      <c r="GE86" s="14">
        <f>VLOOKUP($C86,LOHMANN,4,FALSE)</f>
        <v>0.16</v>
      </c>
      <c r="GF86" s="47">
        <f>IFERROR((GC86*100)/FX86,0)</f>
        <v>0</v>
      </c>
      <c r="GG86" s="35">
        <f t="shared" si="593"/>
        <v>3.3600000000000008</v>
      </c>
      <c r="GH86" s="157">
        <f>IFERROR((GD86*100)/$CB$86,0)</f>
        <v>0</v>
      </c>
      <c r="GI86" s="134"/>
      <c r="GJ86" s="14">
        <f t="shared" si="594"/>
        <v>55</v>
      </c>
      <c r="GK86" s="442">
        <f>IFERROR((GI86/FX86)*1000,0)</f>
        <v>0</v>
      </c>
      <c r="GL86" s="68">
        <f t="shared" si="675"/>
        <v>0</v>
      </c>
      <c r="GM86" s="51">
        <f t="shared" si="595"/>
        <v>880</v>
      </c>
      <c r="GN86" s="103">
        <f t="shared" si="774"/>
        <v>0</v>
      </c>
      <c r="GO86" s="46">
        <f t="shared" si="742"/>
        <v>880</v>
      </c>
      <c r="GP86" s="50">
        <f t="shared" si="596"/>
        <v>80</v>
      </c>
      <c r="GQ86" s="103">
        <f t="shared" si="775"/>
        <v>0</v>
      </c>
      <c r="GR86" s="46">
        <f t="shared" si="657"/>
        <v>80</v>
      </c>
      <c r="GT86" s="120">
        <f t="shared" si="776"/>
        <v>14</v>
      </c>
      <c r="GU86" s="7">
        <f t="shared" si="777"/>
        <v>11</v>
      </c>
      <c r="GV86" s="794"/>
      <c r="GW86" s="14">
        <f t="shared" si="438"/>
        <v>0</v>
      </c>
      <c r="GX86" s="59">
        <f t="shared" si="490"/>
        <v>0</v>
      </c>
      <c r="GY86" s="405"/>
      <c r="GZ86" s="406"/>
      <c r="HA86" s="406"/>
      <c r="HB86" s="14">
        <f t="shared" si="692"/>
        <v>0</v>
      </c>
      <c r="HC86" s="17">
        <f t="shared" si="676"/>
        <v>0</v>
      </c>
      <c r="HD86" s="14">
        <f>VLOOKUP($C86,LOHMANN,4,FALSE)</f>
        <v>0.16</v>
      </c>
      <c r="HE86" s="47">
        <f>IFERROR((HB86*100)/GW86,0)</f>
        <v>0</v>
      </c>
      <c r="HF86" s="35">
        <f t="shared" si="598"/>
        <v>3.3600000000000008</v>
      </c>
      <c r="HG86" s="157">
        <f>IFERROR((HC86*100)/$CB$86,0)</f>
        <v>0</v>
      </c>
      <c r="HH86" s="134"/>
      <c r="HI86" s="14">
        <f t="shared" si="599"/>
        <v>55</v>
      </c>
      <c r="HJ86" s="442">
        <f>IFERROR((HH86/GW86)*1000,0)</f>
        <v>0</v>
      </c>
      <c r="HK86" s="68">
        <f t="shared" si="678"/>
        <v>0</v>
      </c>
      <c r="HL86" s="51">
        <f t="shared" si="600"/>
        <v>880</v>
      </c>
      <c r="HM86" s="103">
        <f t="shared" si="778"/>
        <v>0</v>
      </c>
      <c r="HN86" s="46">
        <f t="shared" si="743"/>
        <v>880</v>
      </c>
      <c r="HO86" s="50">
        <f t="shared" si="601"/>
        <v>80</v>
      </c>
      <c r="HP86" s="103">
        <f t="shared" si="779"/>
        <v>0</v>
      </c>
      <c r="HQ86" s="46">
        <f t="shared" si="658"/>
        <v>80</v>
      </c>
    </row>
    <row r="87" spans="1:225" ht="17.25" thickBot="1" x14ac:dyDescent="0.3">
      <c r="B87" s="120">
        <f t="shared" si="744"/>
        <v>15</v>
      </c>
      <c r="C87" s="570">
        <f t="shared" si="745"/>
        <v>11</v>
      </c>
      <c r="D87" s="799">
        <v>5622</v>
      </c>
      <c r="E87" s="563">
        <f>IFERROR(F86-D87,0)</f>
        <v>68656</v>
      </c>
      <c r="F87" s="560">
        <f t="shared" si="555"/>
        <v>68648</v>
      </c>
      <c r="G87" s="144"/>
      <c r="H87" s="135">
        <v>8</v>
      </c>
      <c r="I87" s="135"/>
      <c r="J87" s="14">
        <f t="shared" si="679"/>
        <v>8</v>
      </c>
      <c r="K87" s="14">
        <f t="shared" si="604"/>
        <v>5437</v>
      </c>
      <c r="L87" s="14">
        <f t="shared" si="556"/>
        <v>0.16</v>
      </c>
      <c r="M87" s="47">
        <f t="shared" si="605"/>
        <v>1.1652295502213935E-2</v>
      </c>
      <c r="N87" s="35">
        <f t="shared" si="557"/>
        <v>3.3600000000000008</v>
      </c>
      <c r="O87" s="132">
        <f t="shared" si="606"/>
        <v>4.0311997212192212</v>
      </c>
      <c r="P87" s="142">
        <v>3003</v>
      </c>
      <c r="Q87" s="14">
        <f t="shared" si="558"/>
        <v>55</v>
      </c>
      <c r="R87" s="442">
        <f t="shared" si="559"/>
        <v>43.739804241435564</v>
      </c>
      <c r="S87" s="470">
        <f t="shared" si="650"/>
        <v>2290.4166892384496</v>
      </c>
      <c r="T87" s="51">
        <f t="shared" si="560"/>
        <v>880</v>
      </c>
      <c r="U87" s="103">
        <f t="shared" si="746"/>
        <v>869</v>
      </c>
      <c r="V87" s="46">
        <f t="shared" si="608"/>
        <v>11</v>
      </c>
      <c r="W87" s="50">
        <f t="shared" si="561"/>
        <v>80</v>
      </c>
      <c r="X87" s="103">
        <f t="shared" si="747"/>
        <v>63</v>
      </c>
      <c r="Y87" s="46">
        <f t="shared" si="610"/>
        <v>17</v>
      </c>
      <c r="Z87" s="487"/>
      <c r="AA87" s="120">
        <f t="shared" si="748"/>
        <v>15</v>
      </c>
      <c r="AB87" s="7">
        <f t="shared" si="749"/>
        <v>11</v>
      </c>
      <c r="AC87" s="799">
        <v>14662</v>
      </c>
      <c r="AD87" s="48">
        <f>IFERROR(AE86-AC87,0)</f>
        <v>71955</v>
      </c>
      <c r="AE87" s="49">
        <f t="shared" si="484"/>
        <v>71945</v>
      </c>
      <c r="AF87" s="134"/>
      <c r="AG87" s="135">
        <v>10</v>
      </c>
      <c r="AH87" s="135"/>
      <c r="AI87" s="14">
        <f t="shared" si="680"/>
        <v>10</v>
      </c>
      <c r="AJ87" s="14">
        <f t="shared" ref="AJ87:AJ104" si="781">AJ86+AI87</f>
        <v>6292</v>
      </c>
      <c r="AK87" s="14">
        <f t="shared" si="562"/>
        <v>0.16</v>
      </c>
      <c r="AL87" s="47">
        <f t="shared" si="613"/>
        <v>1.389757487318463E-2</v>
      </c>
      <c r="AM87" s="35">
        <f t="shared" si="563"/>
        <v>3.3600000000000008</v>
      </c>
      <c r="AN87" s="157">
        <f t="shared" si="659"/>
        <v>4.1076931111923543</v>
      </c>
      <c r="AO87" s="134">
        <v>2730</v>
      </c>
      <c r="AP87" s="14">
        <f t="shared" si="564"/>
        <v>55</v>
      </c>
      <c r="AQ87" s="442">
        <f t="shared" si="614"/>
        <v>37.940379403794033</v>
      </c>
      <c r="AR87" s="470">
        <f t="shared" si="323"/>
        <v>2265.2319701071597</v>
      </c>
      <c r="AS87" s="51">
        <f t="shared" si="565"/>
        <v>880</v>
      </c>
      <c r="AT87" s="103">
        <f t="shared" si="750"/>
        <v>865</v>
      </c>
      <c r="AU87" s="46">
        <f t="shared" si="736"/>
        <v>15</v>
      </c>
      <c r="AV87" s="50">
        <f t="shared" si="566"/>
        <v>80</v>
      </c>
      <c r="AW87" s="103">
        <f t="shared" si="751"/>
        <v>80</v>
      </c>
      <c r="AX87" s="46">
        <f t="shared" si="660"/>
        <v>0</v>
      </c>
      <c r="AZ87" s="120">
        <f t="shared" si="752"/>
        <v>15</v>
      </c>
      <c r="BA87" s="7">
        <f t="shared" si="753"/>
        <v>11</v>
      </c>
      <c r="BB87" s="133"/>
      <c r="BC87" s="48">
        <f t="shared" si="518"/>
        <v>92822</v>
      </c>
      <c r="BD87" s="49">
        <f t="shared" si="485"/>
        <v>92817</v>
      </c>
      <c r="BE87" s="134"/>
      <c r="BF87" s="135">
        <v>5</v>
      </c>
      <c r="BG87" s="135"/>
      <c r="BH87" s="14">
        <f t="shared" si="681"/>
        <v>5</v>
      </c>
      <c r="BI87" s="14">
        <f t="shared" si="780"/>
        <v>1055</v>
      </c>
      <c r="BJ87" s="14">
        <f t="shared" si="567"/>
        <v>0.16</v>
      </c>
      <c r="BK87" s="47">
        <f t="shared" si="646"/>
        <v>5.3866540259852195E-3</v>
      </c>
      <c r="BL87" s="35">
        <f t="shared" si="568"/>
        <v>3.3600000000000008</v>
      </c>
      <c r="BM87" s="132">
        <f t="shared" si="326"/>
        <v>1.4775910364145659</v>
      </c>
      <c r="BN87" s="134">
        <v>3822</v>
      </c>
      <c r="BO87" s="14">
        <f t="shared" si="569"/>
        <v>55</v>
      </c>
      <c r="BP87" s="442">
        <f t="shared" si="647"/>
        <v>41.175583374631017</v>
      </c>
      <c r="BQ87" s="747">
        <f t="shared" si="651"/>
        <v>2348.3420468768027</v>
      </c>
      <c r="BR87" s="51">
        <f t="shared" si="570"/>
        <v>880</v>
      </c>
      <c r="BS87" s="103">
        <f t="shared" si="754"/>
        <v>906</v>
      </c>
      <c r="BT87" s="46">
        <f t="shared" si="737"/>
        <v>-26</v>
      </c>
      <c r="BU87" s="50">
        <f t="shared" si="571"/>
        <v>80</v>
      </c>
      <c r="BV87" s="103">
        <f t="shared" si="755"/>
        <v>95</v>
      </c>
      <c r="BW87" s="46">
        <f t="shared" si="661"/>
        <v>-15</v>
      </c>
      <c r="BY87" s="120">
        <f t="shared" si="756"/>
        <v>15</v>
      </c>
      <c r="BZ87" s="7">
        <f t="shared" si="757"/>
        <v>11</v>
      </c>
      <c r="CA87" s="133"/>
      <c r="CB87" s="14">
        <f t="shared" si="662"/>
        <v>14654</v>
      </c>
      <c r="CC87" s="46">
        <f t="shared" si="682"/>
        <v>14647</v>
      </c>
      <c r="CD87" s="405"/>
      <c r="CE87" s="406">
        <v>7</v>
      </c>
      <c r="CF87" s="406"/>
      <c r="CG87" s="14">
        <f t="shared" si="683"/>
        <v>7</v>
      </c>
      <c r="CH87" s="14">
        <f t="shared" si="663"/>
        <v>9</v>
      </c>
      <c r="CI87" s="14">
        <f t="shared" si="572"/>
        <v>0.16</v>
      </c>
      <c r="CJ87" s="47">
        <f t="shared" ref="CJ87:CJ138" si="782">IFERROR((CG87*100)/CB87,0)</f>
        <v>4.7768527364542103E-2</v>
      </c>
      <c r="CK87" s="35">
        <f t="shared" si="573"/>
        <v>3.3600000000000008</v>
      </c>
      <c r="CL87" s="157">
        <f t="shared" ref="CL87:CL138" si="783">IFERROR((CH87*100)/$CB$86,0)</f>
        <v>6.1408296943231439E-2</v>
      </c>
      <c r="CM87" s="142"/>
      <c r="CN87" s="14">
        <f t="shared" si="574"/>
        <v>55</v>
      </c>
      <c r="CO87" s="442">
        <f t="shared" ref="CO87:CO138" si="784">IFERROR((CM87/CB87)*1000,0)</f>
        <v>0</v>
      </c>
      <c r="CP87" s="68">
        <f t="shared" si="649"/>
        <v>0</v>
      </c>
      <c r="CQ87" s="51">
        <f t="shared" si="575"/>
        <v>880</v>
      </c>
      <c r="CR87" s="103">
        <f t="shared" si="758"/>
        <v>0</v>
      </c>
      <c r="CS87" s="46">
        <f t="shared" si="738"/>
        <v>880</v>
      </c>
      <c r="CT87" s="51">
        <f t="shared" si="576"/>
        <v>80</v>
      </c>
      <c r="CU87" s="103">
        <f t="shared" si="759"/>
        <v>0</v>
      </c>
      <c r="CV87" s="46">
        <f t="shared" si="625"/>
        <v>80</v>
      </c>
      <c r="CX87" s="120">
        <f t="shared" si="760"/>
        <v>15</v>
      </c>
      <c r="CY87" s="7">
        <f t="shared" si="761"/>
        <v>11</v>
      </c>
      <c r="CZ87" s="799">
        <v>7825</v>
      </c>
      <c r="DA87" s="14">
        <f t="shared" si="434"/>
        <v>14723</v>
      </c>
      <c r="DB87" s="46">
        <f t="shared" si="486"/>
        <v>14709</v>
      </c>
      <c r="DC87" s="405"/>
      <c r="DD87" s="406">
        <v>14</v>
      </c>
      <c r="DE87" s="406"/>
      <c r="DF87" s="14">
        <f t="shared" si="684"/>
        <v>14</v>
      </c>
      <c r="DG87" s="14">
        <f t="shared" si="664"/>
        <v>18</v>
      </c>
      <c r="DH87" s="14">
        <f t="shared" si="577"/>
        <v>0.16</v>
      </c>
      <c r="DI87" s="47">
        <f t="shared" ref="DI87:DI138" si="785">IFERROR((DF87*100)/DA87,0)</f>
        <v>9.5089316036133936E-2</v>
      </c>
      <c r="DJ87" s="35">
        <f t="shared" si="578"/>
        <v>3.3600000000000008</v>
      </c>
      <c r="DK87" s="157">
        <f t="shared" ref="DK87:DK138" si="786">IFERROR((DG87*100)/$DA$87,0)</f>
        <v>0.12225769204645792</v>
      </c>
      <c r="DL87" s="142"/>
      <c r="DM87" s="14">
        <f t="shared" si="579"/>
        <v>55</v>
      </c>
      <c r="DN87" s="442">
        <f t="shared" ref="DN87:DN138" si="787">IFERROR((DL87/DA87)*1000,0)</f>
        <v>0</v>
      </c>
      <c r="DO87" s="68">
        <f t="shared" si="666"/>
        <v>0</v>
      </c>
      <c r="DP87" s="51">
        <f t="shared" si="580"/>
        <v>880</v>
      </c>
      <c r="DQ87" s="103">
        <f t="shared" si="762"/>
        <v>0</v>
      </c>
      <c r="DR87" s="46">
        <f t="shared" si="739"/>
        <v>880</v>
      </c>
      <c r="DS87" s="51">
        <f t="shared" si="581"/>
        <v>80</v>
      </c>
      <c r="DT87" s="103">
        <f t="shared" si="763"/>
        <v>0</v>
      </c>
      <c r="DU87" s="46">
        <f t="shared" si="654"/>
        <v>80</v>
      </c>
      <c r="DW87" s="120">
        <f t="shared" si="764"/>
        <v>15</v>
      </c>
      <c r="DX87" s="7">
        <f t="shared" si="765"/>
        <v>11</v>
      </c>
      <c r="DY87" s="799">
        <v>12459</v>
      </c>
      <c r="DZ87" s="14">
        <f t="shared" si="435"/>
        <v>12459</v>
      </c>
      <c r="EA87" s="46">
        <f t="shared" si="487"/>
        <v>12452</v>
      </c>
      <c r="EB87" s="405"/>
      <c r="EC87" s="406">
        <v>7</v>
      </c>
      <c r="ED87" s="406"/>
      <c r="EE87" s="14">
        <f t="shared" si="686"/>
        <v>7</v>
      </c>
      <c r="EF87" s="14">
        <f t="shared" si="667"/>
        <v>7</v>
      </c>
      <c r="EG87" s="14">
        <f t="shared" si="582"/>
        <v>0.16</v>
      </c>
      <c r="EH87" s="47">
        <f t="shared" ref="EH87:EH138" si="788">IFERROR((EE87*100)/DZ87,0)</f>
        <v>5.6184284453005856E-2</v>
      </c>
      <c r="EI87" s="35">
        <f t="shared" si="583"/>
        <v>3.3600000000000008</v>
      </c>
      <c r="EJ87" s="157">
        <f>IFERROR((EF87*100)/$DZ$88,0)</f>
        <v>4.8143053645116916E-2</v>
      </c>
      <c r="EK87" s="142"/>
      <c r="EL87" s="14">
        <f t="shared" si="584"/>
        <v>55</v>
      </c>
      <c r="EM87" s="442">
        <f t="shared" ref="EM87:EM138" si="789">IFERROR((EK87/DZ87)*1000,0)</f>
        <v>0</v>
      </c>
      <c r="EN87" s="68">
        <f t="shared" si="669"/>
        <v>0</v>
      </c>
      <c r="EO87" s="51">
        <f t="shared" si="585"/>
        <v>880</v>
      </c>
      <c r="EP87" s="103">
        <f t="shared" si="766"/>
        <v>0</v>
      </c>
      <c r="EQ87" s="46">
        <f t="shared" si="740"/>
        <v>880</v>
      </c>
      <c r="ER87" s="51">
        <f t="shared" si="586"/>
        <v>80</v>
      </c>
      <c r="ES87" s="103">
        <f t="shared" si="767"/>
        <v>0</v>
      </c>
      <c r="ET87" s="46">
        <f t="shared" si="655"/>
        <v>80</v>
      </c>
      <c r="EV87" s="120">
        <f t="shared" si="768"/>
        <v>15</v>
      </c>
      <c r="EW87" s="7">
        <f t="shared" si="769"/>
        <v>11</v>
      </c>
      <c r="EX87" s="133"/>
      <c r="EY87" s="14">
        <f t="shared" si="436"/>
        <v>0</v>
      </c>
      <c r="EZ87" s="46">
        <f t="shared" si="488"/>
        <v>0</v>
      </c>
      <c r="FA87" s="405"/>
      <c r="FB87" s="406"/>
      <c r="FC87" s="406"/>
      <c r="FD87" s="14">
        <f t="shared" si="688"/>
        <v>0</v>
      </c>
      <c r="FE87" s="14">
        <f t="shared" si="670"/>
        <v>0</v>
      </c>
      <c r="FF87" s="14">
        <f t="shared" si="587"/>
        <v>0.16</v>
      </c>
      <c r="FG87" s="47">
        <f t="shared" ref="FG87:FG138" si="790">IFERROR((FD87*100)/EY87,0)</f>
        <v>0</v>
      </c>
      <c r="FH87" s="35">
        <f t="shared" si="588"/>
        <v>3.3600000000000008</v>
      </c>
      <c r="FI87" s="157">
        <f t="shared" ref="FI87" si="791">IFERROR((FE87*100)/$CB$86,0)</f>
        <v>0</v>
      </c>
      <c r="FJ87" s="142"/>
      <c r="FK87" s="14">
        <f t="shared" si="589"/>
        <v>55</v>
      </c>
      <c r="FL87" s="442">
        <f t="shared" ref="FL87:FL138" si="792">IFERROR((FJ87/EY87)*1000,0)</f>
        <v>0</v>
      </c>
      <c r="FM87" s="68">
        <f t="shared" si="672"/>
        <v>0</v>
      </c>
      <c r="FN87" s="51">
        <f t="shared" si="590"/>
        <v>880</v>
      </c>
      <c r="FO87" s="103">
        <f t="shared" si="770"/>
        <v>0</v>
      </c>
      <c r="FP87" s="46">
        <f t="shared" si="741"/>
        <v>880</v>
      </c>
      <c r="FQ87" s="51">
        <f t="shared" si="591"/>
        <v>80</v>
      </c>
      <c r="FR87" s="103">
        <f t="shared" si="771"/>
        <v>0</v>
      </c>
      <c r="FS87" s="46">
        <f t="shared" si="656"/>
        <v>80</v>
      </c>
      <c r="FU87" s="120">
        <f t="shared" si="772"/>
        <v>15</v>
      </c>
      <c r="FV87" s="7">
        <f t="shared" si="773"/>
        <v>11</v>
      </c>
      <c r="FW87" s="133"/>
      <c r="FX87" s="14">
        <f t="shared" si="437"/>
        <v>0</v>
      </c>
      <c r="FY87" s="46">
        <f t="shared" si="489"/>
        <v>0</v>
      </c>
      <c r="FZ87" s="405"/>
      <c r="GA87" s="406"/>
      <c r="GB87" s="406"/>
      <c r="GC87" s="14">
        <f t="shared" si="690"/>
        <v>0</v>
      </c>
      <c r="GD87" s="14">
        <f t="shared" si="673"/>
        <v>0</v>
      </c>
      <c r="GE87" s="14">
        <f t="shared" si="592"/>
        <v>0.16</v>
      </c>
      <c r="GF87" s="47">
        <f t="shared" ref="GF87:GF138" si="793">IFERROR((GC87*100)/FX87,0)</f>
        <v>0</v>
      </c>
      <c r="GG87" s="35">
        <f t="shared" si="593"/>
        <v>3.3600000000000008</v>
      </c>
      <c r="GH87" s="157">
        <f t="shared" ref="GH87:GH89" si="794">IFERROR((GD87*100)/$CB$86,0)</f>
        <v>0</v>
      </c>
      <c r="GI87" s="142"/>
      <c r="GJ87" s="14">
        <f t="shared" si="594"/>
        <v>55</v>
      </c>
      <c r="GK87" s="442">
        <f t="shared" ref="GK87:GK138" si="795">IFERROR((GI87/FX87)*1000,0)</f>
        <v>0</v>
      </c>
      <c r="GL87" s="68">
        <f t="shared" si="675"/>
        <v>0</v>
      </c>
      <c r="GM87" s="51">
        <f t="shared" si="595"/>
        <v>880</v>
      </c>
      <c r="GN87" s="103">
        <f t="shared" si="774"/>
        <v>0</v>
      </c>
      <c r="GO87" s="46">
        <f t="shared" si="742"/>
        <v>880</v>
      </c>
      <c r="GP87" s="51">
        <f t="shared" si="596"/>
        <v>80</v>
      </c>
      <c r="GQ87" s="103">
        <f t="shared" si="775"/>
        <v>0</v>
      </c>
      <c r="GR87" s="46">
        <f t="shared" si="657"/>
        <v>80</v>
      </c>
      <c r="GT87" s="120">
        <f t="shared" si="776"/>
        <v>15</v>
      </c>
      <c r="GU87" s="7">
        <f t="shared" si="777"/>
        <v>11</v>
      </c>
      <c r="GV87" s="133"/>
      <c r="GW87" s="14">
        <f t="shared" si="438"/>
        <v>0</v>
      </c>
      <c r="GX87" s="46">
        <f t="shared" si="490"/>
        <v>0</v>
      </c>
      <c r="GY87" s="405"/>
      <c r="GZ87" s="406"/>
      <c r="HA87" s="406"/>
      <c r="HB87" s="14">
        <f t="shared" si="692"/>
        <v>0</v>
      </c>
      <c r="HC87" s="14">
        <f t="shared" si="676"/>
        <v>0</v>
      </c>
      <c r="HD87" s="14">
        <f t="shared" si="597"/>
        <v>0.16</v>
      </c>
      <c r="HE87" s="47">
        <f t="shared" ref="HE87:HE138" si="796">IFERROR((HB87*100)/GW87,0)</f>
        <v>0</v>
      </c>
      <c r="HF87" s="35">
        <f t="shared" si="598"/>
        <v>3.3600000000000008</v>
      </c>
      <c r="HG87" s="157">
        <f t="shared" ref="HG87:HG89" si="797">IFERROR((HC87*100)/$CB$86,0)</f>
        <v>0</v>
      </c>
      <c r="HH87" s="142"/>
      <c r="HI87" s="14">
        <f t="shared" si="599"/>
        <v>55</v>
      </c>
      <c r="HJ87" s="442">
        <f t="shared" ref="HJ87:HJ138" si="798">IFERROR((HH87/GW87)*1000,0)</f>
        <v>0</v>
      </c>
      <c r="HK87" s="68">
        <f t="shared" si="678"/>
        <v>0</v>
      </c>
      <c r="HL87" s="51">
        <f t="shared" si="600"/>
        <v>880</v>
      </c>
      <c r="HM87" s="103">
        <f t="shared" si="778"/>
        <v>0</v>
      </c>
      <c r="HN87" s="46">
        <f t="shared" si="743"/>
        <v>880</v>
      </c>
      <c r="HO87" s="51">
        <f t="shared" si="601"/>
        <v>80</v>
      </c>
      <c r="HP87" s="103">
        <f t="shared" si="779"/>
        <v>0</v>
      </c>
      <c r="HQ87" s="46">
        <f t="shared" si="658"/>
        <v>80</v>
      </c>
    </row>
    <row r="88" spans="1:225" ht="17.25" thickBot="1" x14ac:dyDescent="0.3">
      <c r="B88" s="120">
        <f t="shared" si="744"/>
        <v>16</v>
      </c>
      <c r="C88" s="570">
        <f t="shared" si="745"/>
        <v>11</v>
      </c>
      <c r="D88" s="133"/>
      <c r="E88" s="408">
        <f t="shared" si="696"/>
        <v>68648</v>
      </c>
      <c r="F88" s="562">
        <f t="shared" si="555"/>
        <v>68640</v>
      </c>
      <c r="G88" s="134"/>
      <c r="H88" s="135">
        <v>8</v>
      </c>
      <c r="I88" s="135"/>
      <c r="J88" s="14">
        <f t="shared" si="679"/>
        <v>8</v>
      </c>
      <c r="K88" s="14">
        <f t="shared" si="604"/>
        <v>5445</v>
      </c>
      <c r="L88" s="14">
        <f t="shared" si="556"/>
        <v>0.16</v>
      </c>
      <c r="M88" s="47">
        <f t="shared" si="605"/>
        <v>1.1653653420347279E-2</v>
      </c>
      <c r="N88" s="35">
        <f t="shared" si="557"/>
        <v>3.3600000000000008</v>
      </c>
      <c r="O88" s="132">
        <f t="shared" si="606"/>
        <v>4.0371312271544344</v>
      </c>
      <c r="P88" s="142">
        <v>3003</v>
      </c>
      <c r="Q88" s="14">
        <f t="shared" si="558"/>
        <v>55</v>
      </c>
      <c r="R88" s="442">
        <f t="shared" si="559"/>
        <v>43.744901526628595</v>
      </c>
      <c r="S88" s="470">
        <f t="shared" si="650"/>
        <v>2334.161590765078</v>
      </c>
      <c r="T88" s="51">
        <f t="shared" si="560"/>
        <v>880</v>
      </c>
      <c r="U88" s="103">
        <f t="shared" si="746"/>
        <v>869</v>
      </c>
      <c r="V88" s="46">
        <f t="shared" si="608"/>
        <v>11</v>
      </c>
      <c r="W88" s="51">
        <f t="shared" si="561"/>
        <v>80</v>
      </c>
      <c r="X88" s="103">
        <f t="shared" si="747"/>
        <v>63</v>
      </c>
      <c r="Y88" s="46">
        <f t="shared" si="610"/>
        <v>17</v>
      </c>
      <c r="Z88" s="487"/>
      <c r="AA88" s="120">
        <f t="shared" si="748"/>
        <v>16</v>
      </c>
      <c r="AB88" s="7">
        <f t="shared" si="749"/>
        <v>11</v>
      </c>
      <c r="AC88" s="799">
        <v>12518</v>
      </c>
      <c r="AD88" s="48">
        <f>IFERROR(AE87-AC88,0)</f>
        <v>59427</v>
      </c>
      <c r="AE88" s="49">
        <f t="shared" si="484"/>
        <v>59420</v>
      </c>
      <c r="AF88" s="134"/>
      <c r="AG88" s="135">
        <v>7</v>
      </c>
      <c r="AH88" s="135"/>
      <c r="AI88" s="14">
        <f t="shared" si="680"/>
        <v>7</v>
      </c>
      <c r="AJ88" s="14">
        <f t="shared" si="781"/>
        <v>6299</v>
      </c>
      <c r="AK88" s="14">
        <f t="shared" si="562"/>
        <v>0.16</v>
      </c>
      <c r="AL88" s="47">
        <f t="shared" si="613"/>
        <v>1.1779157621956349E-2</v>
      </c>
      <c r="AM88" s="35">
        <f t="shared" si="563"/>
        <v>3.3600000000000008</v>
      </c>
      <c r="AN88" s="157">
        <f t="shared" si="659"/>
        <v>4.1122630177051231</v>
      </c>
      <c r="AO88" s="134">
        <v>4641</v>
      </c>
      <c r="AP88" s="14">
        <f t="shared" si="564"/>
        <v>55</v>
      </c>
      <c r="AQ88" s="442">
        <f t="shared" si="614"/>
        <v>78.095815033570602</v>
      </c>
      <c r="AR88" s="470">
        <f t="shared" si="323"/>
        <v>2343.3277851407302</v>
      </c>
      <c r="AS88" s="51">
        <f t="shared" si="565"/>
        <v>880</v>
      </c>
      <c r="AT88" s="103">
        <f t="shared" si="750"/>
        <v>865</v>
      </c>
      <c r="AU88" s="46">
        <f t="shared" si="736"/>
        <v>15</v>
      </c>
      <c r="AV88" s="51">
        <f t="shared" si="566"/>
        <v>80</v>
      </c>
      <c r="AW88" s="103">
        <f t="shared" si="751"/>
        <v>80</v>
      </c>
      <c r="AX88" s="46">
        <f t="shared" si="660"/>
        <v>0</v>
      </c>
      <c r="AZ88" s="120">
        <f t="shared" si="752"/>
        <v>16</v>
      </c>
      <c r="BA88" s="7">
        <f t="shared" si="753"/>
        <v>11</v>
      </c>
      <c r="BB88" s="799">
        <v>1196</v>
      </c>
      <c r="BC88" s="48">
        <f>IFERROR(BD87-BB88,0)</f>
        <v>91621</v>
      </c>
      <c r="BD88" s="49">
        <f t="shared" si="485"/>
        <v>91614</v>
      </c>
      <c r="BE88" s="134"/>
      <c r="BF88" s="135">
        <v>7</v>
      </c>
      <c r="BG88" s="135"/>
      <c r="BH88" s="14">
        <f t="shared" si="681"/>
        <v>7</v>
      </c>
      <c r="BI88" s="14">
        <f t="shared" si="780"/>
        <v>1062</v>
      </c>
      <c r="BJ88" s="14">
        <f t="shared" si="567"/>
        <v>0.16</v>
      </c>
      <c r="BK88" s="47">
        <f t="shared" si="646"/>
        <v>7.640169830060794E-3</v>
      </c>
      <c r="BL88" s="35">
        <f t="shared" si="568"/>
        <v>3.3600000000000008</v>
      </c>
      <c r="BM88" s="132">
        <f t="shared" si="326"/>
        <v>1.4873949579831933</v>
      </c>
      <c r="BN88" s="134">
        <v>4095</v>
      </c>
      <c r="BO88" s="14">
        <f t="shared" si="569"/>
        <v>55</v>
      </c>
      <c r="BP88" s="442">
        <f t="shared" si="647"/>
        <v>44.694993505855642</v>
      </c>
      <c r="BQ88" s="747">
        <f t="shared" si="651"/>
        <v>2393.0370403826582</v>
      </c>
      <c r="BR88" s="51">
        <f t="shared" si="570"/>
        <v>880</v>
      </c>
      <c r="BS88" s="103">
        <f t="shared" si="754"/>
        <v>906</v>
      </c>
      <c r="BT88" s="46">
        <f t="shared" si="737"/>
        <v>-26</v>
      </c>
      <c r="BU88" s="51">
        <f t="shared" si="571"/>
        <v>80</v>
      </c>
      <c r="BV88" s="103">
        <f t="shared" si="755"/>
        <v>95</v>
      </c>
      <c r="BW88" s="46">
        <f t="shared" si="661"/>
        <v>-15</v>
      </c>
      <c r="BY88" s="120">
        <f t="shared" si="756"/>
        <v>16</v>
      </c>
      <c r="BZ88" s="7">
        <f t="shared" si="757"/>
        <v>11</v>
      </c>
      <c r="CA88" s="133"/>
      <c r="CB88" s="14">
        <f t="shared" si="662"/>
        <v>14647</v>
      </c>
      <c r="CC88" s="46">
        <f t="shared" si="682"/>
        <v>14647</v>
      </c>
      <c r="CD88" s="405"/>
      <c r="CE88" s="406">
        <v>0</v>
      </c>
      <c r="CF88" s="406"/>
      <c r="CG88" s="14">
        <f t="shared" si="683"/>
        <v>0</v>
      </c>
      <c r="CH88" s="14">
        <f t="shared" si="663"/>
        <v>9</v>
      </c>
      <c r="CI88" s="14">
        <f t="shared" si="572"/>
        <v>0.16</v>
      </c>
      <c r="CJ88" s="47">
        <f t="shared" si="782"/>
        <v>0</v>
      </c>
      <c r="CK88" s="35">
        <f t="shared" si="573"/>
        <v>3.3600000000000008</v>
      </c>
      <c r="CL88" s="157">
        <f t="shared" si="783"/>
        <v>6.1408296943231439E-2</v>
      </c>
      <c r="CM88" s="134"/>
      <c r="CN88" s="14">
        <f t="shared" si="574"/>
        <v>55</v>
      </c>
      <c r="CO88" s="442">
        <f t="shared" si="784"/>
        <v>0</v>
      </c>
      <c r="CP88" s="68">
        <f t="shared" si="649"/>
        <v>0</v>
      </c>
      <c r="CQ88" s="51">
        <f t="shared" si="575"/>
        <v>880</v>
      </c>
      <c r="CR88" s="103">
        <f t="shared" si="758"/>
        <v>0</v>
      </c>
      <c r="CS88" s="46">
        <f t="shared" si="738"/>
        <v>880</v>
      </c>
      <c r="CT88" s="12">
        <f t="shared" si="576"/>
        <v>80</v>
      </c>
      <c r="CU88" s="103">
        <f t="shared" si="759"/>
        <v>0</v>
      </c>
      <c r="CV88" s="46">
        <f t="shared" si="625"/>
        <v>80</v>
      </c>
      <c r="CX88" s="120">
        <f t="shared" si="760"/>
        <v>16</v>
      </c>
      <c r="CY88" s="7">
        <f t="shared" si="761"/>
        <v>11</v>
      </c>
      <c r="CZ88" s="133"/>
      <c r="DA88" s="14">
        <f t="shared" si="434"/>
        <v>14709</v>
      </c>
      <c r="DB88" s="46">
        <f t="shared" si="486"/>
        <v>14709</v>
      </c>
      <c r="DC88" s="405"/>
      <c r="DD88" s="406">
        <v>0</v>
      </c>
      <c r="DE88" s="406"/>
      <c r="DF88" s="14">
        <f t="shared" si="684"/>
        <v>0</v>
      </c>
      <c r="DG88" s="14">
        <f t="shared" si="664"/>
        <v>18</v>
      </c>
      <c r="DH88" s="14">
        <f t="shared" si="577"/>
        <v>0.16</v>
      </c>
      <c r="DI88" s="47">
        <f t="shared" si="785"/>
        <v>0</v>
      </c>
      <c r="DJ88" s="35">
        <f t="shared" si="578"/>
        <v>3.3600000000000008</v>
      </c>
      <c r="DK88" s="157">
        <f t="shared" si="786"/>
        <v>0.12225769204645792</v>
      </c>
      <c r="DL88" s="134"/>
      <c r="DM88" s="14">
        <f t="shared" si="579"/>
        <v>55</v>
      </c>
      <c r="DN88" s="442">
        <f t="shared" si="787"/>
        <v>0</v>
      </c>
      <c r="DO88" s="68">
        <f t="shared" si="666"/>
        <v>0</v>
      </c>
      <c r="DP88" s="51">
        <f t="shared" si="580"/>
        <v>880</v>
      </c>
      <c r="DQ88" s="103">
        <f t="shared" si="762"/>
        <v>0</v>
      </c>
      <c r="DR88" s="46">
        <f t="shared" si="739"/>
        <v>880</v>
      </c>
      <c r="DS88" s="12">
        <f t="shared" si="581"/>
        <v>80</v>
      </c>
      <c r="DT88" s="103">
        <f t="shared" si="763"/>
        <v>0</v>
      </c>
      <c r="DU88" s="46">
        <f t="shared" si="654"/>
        <v>80</v>
      </c>
      <c r="DW88" s="120">
        <f t="shared" si="764"/>
        <v>16</v>
      </c>
      <c r="DX88" s="7">
        <f t="shared" si="765"/>
        <v>11</v>
      </c>
      <c r="DY88" s="799">
        <v>2088</v>
      </c>
      <c r="DZ88" s="14">
        <f t="shared" si="435"/>
        <v>14540</v>
      </c>
      <c r="EA88" s="46">
        <f t="shared" si="487"/>
        <v>14537</v>
      </c>
      <c r="EB88" s="405"/>
      <c r="EC88" s="406">
        <v>3</v>
      </c>
      <c r="ED88" s="406"/>
      <c r="EE88" s="14">
        <f t="shared" si="686"/>
        <v>3</v>
      </c>
      <c r="EF88" s="14">
        <f t="shared" si="667"/>
        <v>10</v>
      </c>
      <c r="EG88" s="14">
        <f t="shared" si="582"/>
        <v>0.16</v>
      </c>
      <c r="EH88" s="47">
        <f t="shared" si="788"/>
        <v>2.0632737276478678E-2</v>
      </c>
      <c r="EI88" s="35">
        <f t="shared" si="583"/>
        <v>3.3600000000000008</v>
      </c>
      <c r="EJ88" s="157">
        <f>IFERROR((EF88*100)/$DZ$88,0)</f>
        <v>6.8775790921595595E-2</v>
      </c>
      <c r="EK88" s="134"/>
      <c r="EL88" s="14">
        <f t="shared" si="584"/>
        <v>55</v>
      </c>
      <c r="EM88" s="442">
        <f t="shared" si="789"/>
        <v>0</v>
      </c>
      <c r="EN88" s="68">
        <f t="shared" si="669"/>
        <v>0</v>
      </c>
      <c r="EO88" s="51">
        <f t="shared" si="585"/>
        <v>880</v>
      </c>
      <c r="EP88" s="103">
        <f t="shared" si="766"/>
        <v>0</v>
      </c>
      <c r="EQ88" s="46">
        <f t="shared" si="740"/>
        <v>880</v>
      </c>
      <c r="ER88" s="12">
        <f t="shared" si="586"/>
        <v>80</v>
      </c>
      <c r="ES88" s="103">
        <f t="shared" si="767"/>
        <v>0</v>
      </c>
      <c r="ET88" s="46">
        <f t="shared" si="655"/>
        <v>80</v>
      </c>
      <c r="EV88" s="120">
        <f t="shared" si="768"/>
        <v>16</v>
      </c>
      <c r="EW88" s="7">
        <f t="shared" si="769"/>
        <v>11</v>
      </c>
      <c r="EX88" s="799">
        <v>11526</v>
      </c>
      <c r="EY88" s="14">
        <f t="shared" si="436"/>
        <v>11526</v>
      </c>
      <c r="EZ88" s="46">
        <f t="shared" si="488"/>
        <v>11526</v>
      </c>
      <c r="FA88" s="405"/>
      <c r="FB88" s="406">
        <v>0</v>
      </c>
      <c r="FC88" s="406"/>
      <c r="FD88" s="14">
        <f t="shared" si="688"/>
        <v>0</v>
      </c>
      <c r="FE88" s="14">
        <f t="shared" si="670"/>
        <v>0</v>
      </c>
      <c r="FF88" s="14">
        <f t="shared" si="587"/>
        <v>0.16</v>
      </c>
      <c r="FG88" s="47">
        <f t="shared" si="790"/>
        <v>0</v>
      </c>
      <c r="FH88" s="35">
        <f t="shared" si="588"/>
        <v>3.3600000000000008</v>
      </c>
      <c r="FI88" s="157">
        <f>IFERROR((FE88*100)/$EY$88,0)</f>
        <v>0</v>
      </c>
      <c r="FJ88" s="134"/>
      <c r="FK88" s="14">
        <f t="shared" si="589"/>
        <v>55</v>
      </c>
      <c r="FL88" s="442">
        <f t="shared" si="792"/>
        <v>0</v>
      </c>
      <c r="FM88" s="68">
        <f t="shared" si="672"/>
        <v>0</v>
      </c>
      <c r="FN88" s="51">
        <f t="shared" si="590"/>
        <v>880</v>
      </c>
      <c r="FO88" s="103">
        <f t="shared" si="770"/>
        <v>0</v>
      </c>
      <c r="FP88" s="46">
        <f t="shared" si="741"/>
        <v>880</v>
      </c>
      <c r="FQ88" s="12">
        <f t="shared" si="591"/>
        <v>80</v>
      </c>
      <c r="FR88" s="103">
        <f t="shared" si="771"/>
        <v>0</v>
      </c>
      <c r="FS88" s="46">
        <f t="shared" si="656"/>
        <v>80</v>
      </c>
      <c r="FU88" s="120">
        <f t="shared" si="772"/>
        <v>16</v>
      </c>
      <c r="FV88" s="7">
        <f t="shared" si="773"/>
        <v>11</v>
      </c>
      <c r="FW88" s="133"/>
      <c r="FX88" s="14">
        <f t="shared" si="437"/>
        <v>0</v>
      </c>
      <c r="FY88" s="46">
        <f t="shared" si="489"/>
        <v>0</v>
      </c>
      <c r="FZ88" s="405"/>
      <c r="GA88" s="406"/>
      <c r="GB88" s="406"/>
      <c r="GC88" s="14">
        <f t="shared" si="690"/>
        <v>0</v>
      </c>
      <c r="GD88" s="14">
        <f t="shared" si="673"/>
        <v>0</v>
      </c>
      <c r="GE88" s="14">
        <f t="shared" si="592"/>
        <v>0.16</v>
      </c>
      <c r="GF88" s="47">
        <f t="shared" si="793"/>
        <v>0</v>
      </c>
      <c r="GG88" s="35">
        <f t="shared" si="593"/>
        <v>3.3600000000000008</v>
      </c>
      <c r="GH88" s="157">
        <f t="shared" si="794"/>
        <v>0</v>
      </c>
      <c r="GI88" s="134"/>
      <c r="GJ88" s="14">
        <f t="shared" si="594"/>
        <v>55</v>
      </c>
      <c r="GK88" s="442">
        <f t="shared" si="795"/>
        <v>0</v>
      </c>
      <c r="GL88" s="68">
        <f t="shared" si="675"/>
        <v>0</v>
      </c>
      <c r="GM88" s="51">
        <f t="shared" si="595"/>
        <v>880</v>
      </c>
      <c r="GN88" s="103">
        <f t="shared" si="774"/>
        <v>0</v>
      </c>
      <c r="GO88" s="46">
        <f t="shared" si="742"/>
        <v>880</v>
      </c>
      <c r="GP88" s="12">
        <f t="shared" si="596"/>
        <v>80</v>
      </c>
      <c r="GQ88" s="103">
        <f t="shared" si="775"/>
        <v>0</v>
      </c>
      <c r="GR88" s="46">
        <f t="shared" si="657"/>
        <v>80</v>
      </c>
      <c r="GT88" s="120">
        <f t="shared" si="776"/>
        <v>16</v>
      </c>
      <c r="GU88" s="7">
        <f t="shared" si="777"/>
        <v>11</v>
      </c>
      <c r="GV88" s="133"/>
      <c r="GW88" s="14">
        <f t="shared" si="438"/>
        <v>0</v>
      </c>
      <c r="GX88" s="46">
        <f t="shared" si="490"/>
        <v>0</v>
      </c>
      <c r="GY88" s="405"/>
      <c r="GZ88" s="406"/>
      <c r="HA88" s="406"/>
      <c r="HB88" s="14">
        <f t="shared" si="692"/>
        <v>0</v>
      </c>
      <c r="HC88" s="14">
        <f t="shared" si="676"/>
        <v>0</v>
      </c>
      <c r="HD88" s="14">
        <f t="shared" si="597"/>
        <v>0.16</v>
      </c>
      <c r="HE88" s="47">
        <f t="shared" si="796"/>
        <v>0</v>
      </c>
      <c r="HF88" s="35">
        <f t="shared" si="598"/>
        <v>3.3600000000000008</v>
      </c>
      <c r="HG88" s="157">
        <f t="shared" si="797"/>
        <v>0</v>
      </c>
      <c r="HH88" s="134"/>
      <c r="HI88" s="14">
        <f t="shared" si="599"/>
        <v>55</v>
      </c>
      <c r="HJ88" s="442">
        <f t="shared" si="798"/>
        <v>0</v>
      </c>
      <c r="HK88" s="68">
        <f t="shared" si="678"/>
        <v>0</v>
      </c>
      <c r="HL88" s="51">
        <f t="shared" si="600"/>
        <v>880</v>
      </c>
      <c r="HM88" s="103">
        <f t="shared" si="778"/>
        <v>0</v>
      </c>
      <c r="HN88" s="46">
        <f t="shared" si="743"/>
        <v>880</v>
      </c>
      <c r="HO88" s="12">
        <f t="shared" si="601"/>
        <v>80</v>
      </c>
      <c r="HP88" s="103">
        <f t="shared" si="779"/>
        <v>0</v>
      </c>
      <c r="HQ88" s="46">
        <f t="shared" si="658"/>
        <v>80</v>
      </c>
    </row>
    <row r="89" spans="1:225" ht="17.25" thickBot="1" x14ac:dyDescent="0.3">
      <c r="B89" s="120">
        <f t="shared" si="744"/>
        <v>17</v>
      </c>
      <c r="C89" s="574">
        <f t="shared" si="745"/>
        <v>11</v>
      </c>
      <c r="D89" s="136"/>
      <c r="E89" s="436">
        <f t="shared" si="696"/>
        <v>68640</v>
      </c>
      <c r="F89" s="451">
        <f t="shared" si="555"/>
        <v>68634</v>
      </c>
      <c r="G89" s="137"/>
      <c r="H89" s="138">
        <v>6</v>
      </c>
      <c r="I89" s="138"/>
      <c r="J89" s="34">
        <f t="shared" si="679"/>
        <v>6</v>
      </c>
      <c r="K89" s="34">
        <f t="shared" si="604"/>
        <v>5451</v>
      </c>
      <c r="L89" s="34">
        <f t="shared" si="556"/>
        <v>0.16</v>
      </c>
      <c r="M89" s="166">
        <f t="shared" si="605"/>
        <v>8.7412587412587419E-3</v>
      </c>
      <c r="N89" s="40">
        <f t="shared" si="557"/>
        <v>3.3600000000000008</v>
      </c>
      <c r="O89" s="132">
        <f t="shared" si="606"/>
        <v>4.0415798566058436</v>
      </c>
      <c r="P89" s="139">
        <v>3549</v>
      </c>
      <c r="Q89" s="32">
        <f t="shared" si="558"/>
        <v>55</v>
      </c>
      <c r="R89" s="592">
        <f t="shared" si="559"/>
        <v>51.704545454545453</v>
      </c>
      <c r="S89" s="471">
        <f t="shared" si="650"/>
        <v>2385.8661362196235</v>
      </c>
      <c r="T89" s="56">
        <f t="shared" si="560"/>
        <v>880</v>
      </c>
      <c r="U89" s="109">
        <f t="shared" si="746"/>
        <v>869</v>
      </c>
      <c r="V89" s="63">
        <f t="shared" si="608"/>
        <v>11</v>
      </c>
      <c r="W89" s="15">
        <f t="shared" si="561"/>
        <v>80</v>
      </c>
      <c r="X89" s="109">
        <f t="shared" si="747"/>
        <v>63</v>
      </c>
      <c r="Y89" s="63">
        <f t="shared" si="610"/>
        <v>17</v>
      </c>
      <c r="Z89" s="487"/>
      <c r="AA89" s="120">
        <f t="shared" si="748"/>
        <v>17</v>
      </c>
      <c r="AB89" s="8">
        <f t="shared" si="749"/>
        <v>11</v>
      </c>
      <c r="AC89" s="434"/>
      <c r="AD89" s="54">
        <f>IFERROR(AE88-AC89,0)</f>
        <v>59420</v>
      </c>
      <c r="AE89" s="448">
        <f t="shared" si="484"/>
        <v>59413</v>
      </c>
      <c r="AF89" s="137"/>
      <c r="AG89" s="138">
        <v>7</v>
      </c>
      <c r="AH89" s="138"/>
      <c r="AI89" s="34">
        <f t="shared" si="680"/>
        <v>7</v>
      </c>
      <c r="AJ89" s="34">
        <f t="shared" si="781"/>
        <v>6306</v>
      </c>
      <c r="AK89" s="17">
        <f t="shared" si="562"/>
        <v>0.16</v>
      </c>
      <c r="AL89" s="231">
        <f t="shared" si="613"/>
        <v>1.1780545270952542E-2</v>
      </c>
      <c r="AM89" s="33">
        <f t="shared" si="563"/>
        <v>3.3600000000000008</v>
      </c>
      <c r="AN89" s="157">
        <f t="shared" si="659"/>
        <v>4.1168329242178929</v>
      </c>
      <c r="AO89" s="137">
        <v>3276</v>
      </c>
      <c r="AP89" s="13">
        <f t="shared" si="564"/>
        <v>55</v>
      </c>
      <c r="AQ89" s="479">
        <f t="shared" si="614"/>
        <v>55.132951868057894</v>
      </c>
      <c r="AR89" s="471">
        <f t="shared" si="323"/>
        <v>2398.4607370087879</v>
      </c>
      <c r="AS89" s="50">
        <f t="shared" si="565"/>
        <v>880</v>
      </c>
      <c r="AT89" s="103">
        <f t="shared" si="750"/>
        <v>865</v>
      </c>
      <c r="AU89" s="63">
        <f t="shared" si="736"/>
        <v>15</v>
      </c>
      <c r="AV89" s="12">
        <f t="shared" si="566"/>
        <v>80</v>
      </c>
      <c r="AW89" s="103">
        <f t="shared" si="751"/>
        <v>80</v>
      </c>
      <c r="AX89" s="63">
        <f t="shared" si="660"/>
        <v>0</v>
      </c>
      <c r="AZ89" s="197">
        <f t="shared" si="752"/>
        <v>17</v>
      </c>
      <c r="BA89" s="8">
        <f t="shared" si="753"/>
        <v>11</v>
      </c>
      <c r="BB89" s="801">
        <v>13135</v>
      </c>
      <c r="BC89" s="54">
        <f>IFERROR(BD88-BB89,0)</f>
        <v>78479</v>
      </c>
      <c r="BD89" s="448">
        <f t="shared" si="485"/>
        <v>78473</v>
      </c>
      <c r="BE89" s="137"/>
      <c r="BF89" s="138">
        <v>6</v>
      </c>
      <c r="BG89" s="138"/>
      <c r="BH89" s="34">
        <f t="shared" si="681"/>
        <v>6</v>
      </c>
      <c r="BI89" s="34">
        <f t="shared" si="780"/>
        <v>1068</v>
      </c>
      <c r="BJ89" s="34">
        <f t="shared" si="567"/>
        <v>0.16</v>
      </c>
      <c r="BK89" s="96">
        <f t="shared" si="646"/>
        <v>7.6453573567451163E-3</v>
      </c>
      <c r="BL89" s="40">
        <f t="shared" si="568"/>
        <v>3.3600000000000008</v>
      </c>
      <c r="BM89" s="132">
        <f t="shared" si="326"/>
        <v>1.4957983193277311</v>
      </c>
      <c r="BN89" s="137">
        <v>6006</v>
      </c>
      <c r="BO89" s="32">
        <f t="shared" si="569"/>
        <v>55</v>
      </c>
      <c r="BP89" s="443">
        <f t="shared" si="647"/>
        <v>76.530027141018607</v>
      </c>
      <c r="BQ89" s="750">
        <f t="shared" si="651"/>
        <v>2469.567067523677</v>
      </c>
      <c r="BR89" s="56">
        <f t="shared" si="570"/>
        <v>880</v>
      </c>
      <c r="BS89" s="109">
        <f t="shared" si="754"/>
        <v>906</v>
      </c>
      <c r="BT89" s="63">
        <f t="shared" si="737"/>
        <v>-26</v>
      </c>
      <c r="BU89" s="15">
        <f t="shared" si="571"/>
        <v>80</v>
      </c>
      <c r="BV89" s="109">
        <f t="shared" si="755"/>
        <v>95</v>
      </c>
      <c r="BW89" s="63">
        <f t="shared" si="661"/>
        <v>-15</v>
      </c>
      <c r="BY89" s="197">
        <f>BY88+1</f>
        <v>17</v>
      </c>
      <c r="BZ89" s="8">
        <f t="shared" si="757"/>
        <v>11</v>
      </c>
      <c r="CA89" s="136"/>
      <c r="CB89" s="32">
        <f t="shared" si="662"/>
        <v>14647</v>
      </c>
      <c r="CC89" s="63">
        <f t="shared" si="682"/>
        <v>14647</v>
      </c>
      <c r="CD89" s="421"/>
      <c r="CE89" s="426">
        <v>0</v>
      </c>
      <c r="CF89" s="426"/>
      <c r="CG89" s="34">
        <f t="shared" si="683"/>
        <v>0</v>
      </c>
      <c r="CH89" s="34">
        <f t="shared" si="663"/>
        <v>9</v>
      </c>
      <c r="CI89" s="17">
        <f t="shared" si="572"/>
        <v>0.16</v>
      </c>
      <c r="CJ89" s="47">
        <f t="shared" si="782"/>
        <v>0</v>
      </c>
      <c r="CK89" s="33">
        <f t="shared" si="573"/>
        <v>3.3600000000000008</v>
      </c>
      <c r="CL89" s="157">
        <f t="shared" si="783"/>
        <v>6.1408296943231439E-2</v>
      </c>
      <c r="CM89" s="137"/>
      <c r="CN89" s="13">
        <f t="shared" si="574"/>
        <v>55</v>
      </c>
      <c r="CO89" s="442">
        <f t="shared" si="784"/>
        <v>0</v>
      </c>
      <c r="CP89" s="70">
        <f t="shared" si="649"/>
        <v>0</v>
      </c>
      <c r="CQ89" s="50">
        <f t="shared" si="575"/>
        <v>880</v>
      </c>
      <c r="CR89" s="103">
        <f t="shared" si="758"/>
        <v>0</v>
      </c>
      <c r="CS89" s="63">
        <f t="shared" si="738"/>
        <v>880</v>
      </c>
      <c r="CT89" s="56">
        <f t="shared" si="576"/>
        <v>80</v>
      </c>
      <c r="CU89" s="103">
        <f t="shared" si="759"/>
        <v>0</v>
      </c>
      <c r="CV89" s="63">
        <f t="shared" si="625"/>
        <v>80</v>
      </c>
      <c r="CX89" s="197">
        <f>CX88+1</f>
        <v>17</v>
      </c>
      <c r="CY89" s="8">
        <f t="shared" si="761"/>
        <v>11</v>
      </c>
      <c r="CZ89" s="136"/>
      <c r="DA89" s="32">
        <f t="shared" si="434"/>
        <v>14709</v>
      </c>
      <c r="DB89" s="63">
        <f t="shared" si="486"/>
        <v>14709</v>
      </c>
      <c r="DC89" s="421"/>
      <c r="DD89" s="426">
        <v>0</v>
      </c>
      <c r="DE89" s="426"/>
      <c r="DF89" s="34">
        <f t="shared" si="684"/>
        <v>0</v>
      </c>
      <c r="DG89" s="34">
        <f t="shared" si="664"/>
        <v>18</v>
      </c>
      <c r="DH89" s="17">
        <f t="shared" si="577"/>
        <v>0.16</v>
      </c>
      <c r="DI89" s="47">
        <f t="shared" si="785"/>
        <v>0</v>
      </c>
      <c r="DJ89" s="33">
        <f t="shared" si="578"/>
        <v>3.3600000000000008</v>
      </c>
      <c r="DK89" s="157">
        <f t="shared" si="786"/>
        <v>0.12225769204645792</v>
      </c>
      <c r="DL89" s="137"/>
      <c r="DM89" s="13">
        <f t="shared" si="579"/>
        <v>55</v>
      </c>
      <c r="DN89" s="442">
        <f t="shared" si="787"/>
        <v>0</v>
      </c>
      <c r="DO89" s="70">
        <f t="shared" si="666"/>
        <v>0</v>
      </c>
      <c r="DP89" s="50">
        <f t="shared" si="580"/>
        <v>880</v>
      </c>
      <c r="DQ89" s="103">
        <f t="shared" si="762"/>
        <v>0</v>
      </c>
      <c r="DR89" s="63">
        <f t="shared" si="739"/>
        <v>880</v>
      </c>
      <c r="DS89" s="56">
        <f t="shared" si="581"/>
        <v>80</v>
      </c>
      <c r="DT89" s="103">
        <f t="shared" si="763"/>
        <v>0</v>
      </c>
      <c r="DU89" s="63">
        <f t="shared" si="654"/>
        <v>80</v>
      </c>
      <c r="DW89" s="197">
        <f>DW88+1</f>
        <v>17</v>
      </c>
      <c r="DX89" s="8">
        <f t="shared" si="765"/>
        <v>11</v>
      </c>
      <c r="DY89" s="796"/>
      <c r="DZ89" s="32">
        <f t="shared" si="435"/>
        <v>14537</v>
      </c>
      <c r="EA89" s="63">
        <f t="shared" si="487"/>
        <v>14537</v>
      </c>
      <c r="EB89" s="421"/>
      <c r="EC89" s="426">
        <v>0</v>
      </c>
      <c r="ED89" s="426"/>
      <c r="EE89" s="34">
        <f t="shared" si="686"/>
        <v>0</v>
      </c>
      <c r="EF89" s="34">
        <f t="shared" si="667"/>
        <v>10</v>
      </c>
      <c r="EG89" s="17">
        <f t="shared" si="582"/>
        <v>0.16</v>
      </c>
      <c r="EH89" s="47">
        <f t="shared" si="788"/>
        <v>0</v>
      </c>
      <c r="EI89" s="33">
        <f t="shared" si="583"/>
        <v>3.3600000000000008</v>
      </c>
      <c r="EJ89" s="157">
        <f>IFERROR((EF89*100)/$DZ$88,0)</f>
        <v>6.8775790921595595E-2</v>
      </c>
      <c r="EK89" s="137"/>
      <c r="EL89" s="13">
        <f t="shared" si="584"/>
        <v>55</v>
      </c>
      <c r="EM89" s="442">
        <f t="shared" si="789"/>
        <v>0</v>
      </c>
      <c r="EN89" s="70">
        <f t="shared" si="669"/>
        <v>0</v>
      </c>
      <c r="EO89" s="50">
        <f t="shared" si="585"/>
        <v>880</v>
      </c>
      <c r="EP89" s="103">
        <f t="shared" si="766"/>
        <v>0</v>
      </c>
      <c r="EQ89" s="63">
        <f t="shared" si="740"/>
        <v>880</v>
      </c>
      <c r="ER89" s="56">
        <f t="shared" si="586"/>
        <v>80</v>
      </c>
      <c r="ES89" s="103">
        <f t="shared" si="767"/>
        <v>0</v>
      </c>
      <c r="ET89" s="63">
        <f t="shared" si="655"/>
        <v>80</v>
      </c>
      <c r="EV89" s="197">
        <f>EV88+1</f>
        <v>17</v>
      </c>
      <c r="EW89" s="8">
        <f t="shared" si="769"/>
        <v>11</v>
      </c>
      <c r="EX89" s="801">
        <v>2712</v>
      </c>
      <c r="EY89" s="32">
        <f t="shared" si="436"/>
        <v>14238</v>
      </c>
      <c r="EZ89" s="63">
        <f t="shared" si="488"/>
        <v>14235</v>
      </c>
      <c r="FA89" s="421"/>
      <c r="FB89" s="426">
        <v>3</v>
      </c>
      <c r="FC89" s="426"/>
      <c r="FD89" s="34">
        <f t="shared" si="688"/>
        <v>3</v>
      </c>
      <c r="FE89" s="34">
        <f t="shared" si="670"/>
        <v>3</v>
      </c>
      <c r="FF89" s="17">
        <f t="shared" si="587"/>
        <v>0.16</v>
      </c>
      <c r="FG89" s="47">
        <f t="shared" si="790"/>
        <v>2.1070375052675939E-2</v>
      </c>
      <c r="FH89" s="33">
        <f t="shared" si="588"/>
        <v>3.3600000000000008</v>
      </c>
      <c r="FI89" s="157">
        <f>IFERROR((FE89*100)/$EY$89,0)</f>
        <v>2.1070375052675939E-2</v>
      </c>
      <c r="FJ89" s="137"/>
      <c r="FK89" s="13">
        <f t="shared" si="589"/>
        <v>55</v>
      </c>
      <c r="FL89" s="442">
        <f t="shared" si="792"/>
        <v>0</v>
      </c>
      <c r="FM89" s="70">
        <f t="shared" si="672"/>
        <v>0</v>
      </c>
      <c r="FN89" s="50">
        <f t="shared" si="590"/>
        <v>880</v>
      </c>
      <c r="FO89" s="103">
        <f t="shared" si="770"/>
        <v>0</v>
      </c>
      <c r="FP89" s="63">
        <f t="shared" si="741"/>
        <v>880</v>
      </c>
      <c r="FQ89" s="56">
        <f t="shared" si="591"/>
        <v>80</v>
      </c>
      <c r="FR89" s="103">
        <f t="shared" si="771"/>
        <v>0</v>
      </c>
      <c r="FS89" s="63">
        <f t="shared" si="656"/>
        <v>80</v>
      </c>
      <c r="FU89" s="197">
        <f>FU88+1</f>
        <v>17</v>
      </c>
      <c r="FV89" s="8">
        <f t="shared" si="773"/>
        <v>11</v>
      </c>
      <c r="FW89" s="801">
        <v>10423</v>
      </c>
      <c r="FX89" s="32">
        <f t="shared" si="437"/>
        <v>10423</v>
      </c>
      <c r="FY89" s="63">
        <f t="shared" si="489"/>
        <v>10421</v>
      </c>
      <c r="FZ89" s="421"/>
      <c r="GA89" s="426">
        <v>2</v>
      </c>
      <c r="GB89" s="426"/>
      <c r="GC89" s="34">
        <f t="shared" si="690"/>
        <v>2</v>
      </c>
      <c r="GD89" s="34">
        <f t="shared" si="673"/>
        <v>2</v>
      </c>
      <c r="GE89" s="17">
        <f t="shared" si="592"/>
        <v>0.16</v>
      </c>
      <c r="GF89" s="47">
        <f t="shared" si="793"/>
        <v>1.9188333493236114E-2</v>
      </c>
      <c r="GG89" s="33">
        <f t="shared" si="593"/>
        <v>3.3600000000000008</v>
      </c>
      <c r="GH89" s="157">
        <f t="shared" si="794"/>
        <v>1.3646288209606987E-2</v>
      </c>
      <c r="GI89" s="137"/>
      <c r="GJ89" s="13">
        <f t="shared" si="594"/>
        <v>55</v>
      </c>
      <c r="GK89" s="442">
        <f t="shared" si="795"/>
        <v>0</v>
      </c>
      <c r="GL89" s="70">
        <f t="shared" si="675"/>
        <v>0</v>
      </c>
      <c r="GM89" s="50">
        <f t="shared" si="595"/>
        <v>880</v>
      </c>
      <c r="GN89" s="103">
        <f t="shared" si="774"/>
        <v>0</v>
      </c>
      <c r="GO89" s="63">
        <f t="shared" si="742"/>
        <v>880</v>
      </c>
      <c r="GP89" s="56">
        <f t="shared" si="596"/>
        <v>80</v>
      </c>
      <c r="GQ89" s="103">
        <f t="shared" si="775"/>
        <v>0</v>
      </c>
      <c r="GR89" s="63">
        <f t="shared" si="657"/>
        <v>80</v>
      </c>
      <c r="GT89" s="197">
        <f>GT88+1</f>
        <v>17</v>
      </c>
      <c r="GU89" s="8">
        <f t="shared" si="777"/>
        <v>11</v>
      </c>
      <c r="GV89" s="136"/>
      <c r="GW89" s="32">
        <f t="shared" si="438"/>
        <v>0</v>
      </c>
      <c r="GX89" s="63">
        <f t="shared" si="490"/>
        <v>0</v>
      </c>
      <c r="GY89" s="421"/>
      <c r="GZ89" s="426"/>
      <c r="HA89" s="426"/>
      <c r="HB89" s="34">
        <f t="shared" si="692"/>
        <v>0</v>
      </c>
      <c r="HC89" s="34">
        <f t="shared" si="676"/>
        <v>0</v>
      </c>
      <c r="HD89" s="17">
        <f t="shared" si="597"/>
        <v>0.16</v>
      </c>
      <c r="HE89" s="47">
        <f t="shared" si="796"/>
        <v>0</v>
      </c>
      <c r="HF89" s="33">
        <f t="shared" si="598"/>
        <v>3.3600000000000008</v>
      </c>
      <c r="HG89" s="157">
        <f t="shared" si="797"/>
        <v>0</v>
      </c>
      <c r="HH89" s="137"/>
      <c r="HI89" s="13">
        <f t="shared" si="599"/>
        <v>55</v>
      </c>
      <c r="HJ89" s="442">
        <f t="shared" si="798"/>
        <v>0</v>
      </c>
      <c r="HK89" s="70">
        <f t="shared" si="678"/>
        <v>0</v>
      </c>
      <c r="HL89" s="50">
        <f t="shared" si="600"/>
        <v>880</v>
      </c>
      <c r="HM89" s="103">
        <f t="shared" si="778"/>
        <v>0</v>
      </c>
      <c r="HN89" s="63">
        <f t="shared" si="743"/>
        <v>880</v>
      </c>
      <c r="HO89" s="56">
        <f t="shared" si="601"/>
        <v>80</v>
      </c>
      <c r="HP89" s="103">
        <f t="shared" si="779"/>
        <v>0</v>
      </c>
      <c r="HQ89" s="63">
        <f t="shared" si="658"/>
        <v>80</v>
      </c>
    </row>
    <row r="90" spans="1:225" ht="17.25" thickBot="1" x14ac:dyDescent="0.3">
      <c r="B90" s="118">
        <v>18</v>
      </c>
      <c r="C90" s="575">
        <v>12</v>
      </c>
      <c r="D90" s="129"/>
      <c r="E90" s="400">
        <f t="shared" si="696"/>
        <v>68634</v>
      </c>
      <c r="F90" s="561">
        <f t="shared" si="555"/>
        <v>68630</v>
      </c>
      <c r="G90" s="130"/>
      <c r="H90" s="131">
        <v>4</v>
      </c>
      <c r="I90" s="131"/>
      <c r="J90" s="11">
        <f t="shared" si="679"/>
        <v>4</v>
      </c>
      <c r="K90" s="11">
        <f t="shared" si="604"/>
        <v>5455</v>
      </c>
      <c r="L90" s="16">
        <f t="shared" si="556"/>
        <v>0.16</v>
      </c>
      <c r="M90" s="153">
        <f t="shared" si="605"/>
        <v>5.8280152694000055E-3</v>
      </c>
      <c r="N90" s="154">
        <f t="shared" si="557"/>
        <v>3.5200000000000009</v>
      </c>
      <c r="O90" s="132">
        <f t="shared" si="606"/>
        <v>4.0445456095734507</v>
      </c>
      <c r="P90" s="158">
        <v>2184</v>
      </c>
      <c r="Q90" s="11">
        <f t="shared" si="558"/>
        <v>58</v>
      </c>
      <c r="R90" s="441">
        <f t="shared" si="559"/>
        <v>31.820963370924034</v>
      </c>
      <c r="S90" s="469">
        <f t="shared" si="650"/>
        <v>2417.6870995905474</v>
      </c>
      <c r="T90" s="58">
        <f t="shared" si="560"/>
        <v>950</v>
      </c>
      <c r="U90" s="131">
        <v>909</v>
      </c>
      <c r="V90" s="41">
        <f t="shared" si="608"/>
        <v>41</v>
      </c>
      <c r="W90" s="18">
        <f t="shared" si="561"/>
        <v>82</v>
      </c>
      <c r="X90" s="131">
        <v>71</v>
      </c>
      <c r="Y90" s="41">
        <f t="shared" si="610"/>
        <v>11</v>
      </c>
      <c r="Z90" s="487"/>
      <c r="AA90" s="118">
        <v>18</v>
      </c>
      <c r="AB90" s="9">
        <v>12</v>
      </c>
      <c r="AC90" s="129"/>
      <c r="AD90" s="43">
        <f t="shared" si="483"/>
        <v>59413</v>
      </c>
      <c r="AE90" s="449">
        <f t="shared" si="484"/>
        <v>59410</v>
      </c>
      <c r="AF90" s="130"/>
      <c r="AG90" s="131">
        <v>3</v>
      </c>
      <c r="AH90" s="131"/>
      <c r="AI90" s="11">
        <f t="shared" si="680"/>
        <v>3</v>
      </c>
      <c r="AJ90" s="11">
        <f t="shared" si="781"/>
        <v>6309</v>
      </c>
      <c r="AK90" s="16">
        <f t="shared" si="562"/>
        <v>0.16</v>
      </c>
      <c r="AL90" s="153">
        <f t="shared" si="613"/>
        <v>5.049399962971067E-3</v>
      </c>
      <c r="AM90" s="154">
        <f t="shared" si="563"/>
        <v>3.5200000000000009</v>
      </c>
      <c r="AN90" s="157">
        <f t="shared" si="659"/>
        <v>4.1187914555805083</v>
      </c>
      <c r="AO90" s="130">
        <v>4641</v>
      </c>
      <c r="AP90" s="11">
        <f t="shared" si="564"/>
        <v>58</v>
      </c>
      <c r="AQ90" s="441">
        <f t="shared" si="614"/>
        <v>78.114217427162401</v>
      </c>
      <c r="AR90" s="469">
        <f t="shared" si="323"/>
        <v>2476.5749544359501</v>
      </c>
      <c r="AS90" s="58">
        <f t="shared" si="565"/>
        <v>950</v>
      </c>
      <c r="AT90" s="131">
        <v>842</v>
      </c>
      <c r="AU90" s="41">
        <f t="shared" si="736"/>
        <v>108</v>
      </c>
      <c r="AV90" s="18">
        <f t="shared" si="566"/>
        <v>82</v>
      </c>
      <c r="AW90" s="131">
        <v>78</v>
      </c>
      <c r="AX90" s="41">
        <f t="shared" si="660"/>
        <v>4</v>
      </c>
      <c r="AZ90" s="118">
        <v>18</v>
      </c>
      <c r="BA90" s="9">
        <v>12</v>
      </c>
      <c r="BB90" s="800">
        <v>12950</v>
      </c>
      <c r="BC90" s="43">
        <f>IFERROR(BD89-BB90,0)</f>
        <v>65523</v>
      </c>
      <c r="BD90" s="449">
        <f t="shared" si="485"/>
        <v>65513</v>
      </c>
      <c r="BE90" s="130"/>
      <c r="BF90" s="131">
        <v>10</v>
      </c>
      <c r="BG90" s="131"/>
      <c r="BH90" s="11">
        <f>SUM(BE90:BG90)</f>
        <v>10</v>
      </c>
      <c r="BI90" s="11">
        <f>BI89+BH90</f>
        <v>1078</v>
      </c>
      <c r="BJ90" s="16">
        <f>VLOOKUP($C90,LOHMANN,4,FALSE)</f>
        <v>0.16</v>
      </c>
      <c r="BK90" s="42">
        <f>IFERROR((BH90*100)/BC90,0)</f>
        <v>1.5261816461395235E-2</v>
      </c>
      <c r="BL90" s="154">
        <f t="shared" si="568"/>
        <v>3.5200000000000009</v>
      </c>
      <c r="BM90" s="132">
        <f>IFERROR((BI90*100)/$BB$33,0)</f>
        <v>1.5098039215686274</v>
      </c>
      <c r="BN90" s="130">
        <v>1911</v>
      </c>
      <c r="BO90" s="11">
        <f t="shared" si="569"/>
        <v>58</v>
      </c>
      <c r="BP90" s="441">
        <f>IFERROR((BN90/BC90)*1000,0)</f>
        <v>29.165331257726294</v>
      </c>
      <c r="BQ90" s="746">
        <f>BQ89+BP90</f>
        <v>2498.7323987814034</v>
      </c>
      <c r="BR90" s="58">
        <f t="shared" si="570"/>
        <v>950</v>
      </c>
      <c r="BS90" s="131">
        <v>863</v>
      </c>
      <c r="BT90" s="41">
        <f t="shared" si="737"/>
        <v>87</v>
      </c>
      <c r="BU90" s="18">
        <f t="shared" si="571"/>
        <v>82</v>
      </c>
      <c r="BV90" s="131">
        <v>74</v>
      </c>
      <c r="BW90" s="41">
        <f t="shared" si="661"/>
        <v>8</v>
      </c>
      <c r="BY90" s="118">
        <v>18</v>
      </c>
      <c r="BZ90" s="9">
        <v>12</v>
      </c>
      <c r="CA90" s="129"/>
      <c r="CB90" s="11">
        <f t="shared" si="662"/>
        <v>14647</v>
      </c>
      <c r="CC90" s="57">
        <f t="shared" si="682"/>
        <v>14647</v>
      </c>
      <c r="CD90" s="398"/>
      <c r="CE90" s="399">
        <v>0</v>
      </c>
      <c r="CF90" s="399"/>
      <c r="CG90" s="11">
        <f t="shared" si="683"/>
        <v>0</v>
      </c>
      <c r="CH90" s="11">
        <f t="shared" si="663"/>
        <v>9</v>
      </c>
      <c r="CI90" s="16">
        <f t="shared" si="572"/>
        <v>0.16</v>
      </c>
      <c r="CJ90" s="47">
        <f t="shared" si="782"/>
        <v>0</v>
      </c>
      <c r="CK90" s="154">
        <f t="shared" si="573"/>
        <v>3.5200000000000009</v>
      </c>
      <c r="CL90" s="157">
        <f t="shared" si="783"/>
        <v>6.1408296943231439E-2</v>
      </c>
      <c r="CM90" s="130"/>
      <c r="CN90" s="11">
        <f t="shared" si="574"/>
        <v>58</v>
      </c>
      <c r="CO90" s="442">
        <f t="shared" si="784"/>
        <v>0</v>
      </c>
      <c r="CP90" s="377">
        <f t="shared" si="649"/>
        <v>0</v>
      </c>
      <c r="CQ90" s="58">
        <f t="shared" si="575"/>
        <v>950</v>
      </c>
      <c r="CR90" s="131">
        <v>877</v>
      </c>
      <c r="CS90" s="41">
        <f t="shared" si="738"/>
        <v>73</v>
      </c>
      <c r="CT90" s="18">
        <f t="shared" si="576"/>
        <v>82</v>
      </c>
      <c r="CU90" s="131">
        <v>73</v>
      </c>
      <c r="CV90" s="41">
        <f t="shared" si="625"/>
        <v>9</v>
      </c>
      <c r="CX90" s="118">
        <v>18</v>
      </c>
      <c r="CY90" s="9">
        <v>12</v>
      </c>
      <c r="CZ90" s="129"/>
      <c r="DA90" s="11">
        <f t="shared" si="434"/>
        <v>14709</v>
      </c>
      <c r="DB90" s="57">
        <f t="shared" si="486"/>
        <v>14708</v>
      </c>
      <c r="DC90" s="398"/>
      <c r="DD90" s="399">
        <v>1</v>
      </c>
      <c r="DE90" s="399"/>
      <c r="DF90" s="11">
        <f t="shared" si="684"/>
        <v>1</v>
      </c>
      <c r="DG90" s="11">
        <f t="shared" si="664"/>
        <v>19</v>
      </c>
      <c r="DH90" s="16">
        <f t="shared" si="577"/>
        <v>0.16</v>
      </c>
      <c r="DI90" s="47">
        <f t="shared" si="785"/>
        <v>6.7985587055544227E-3</v>
      </c>
      <c r="DJ90" s="154">
        <f t="shared" si="578"/>
        <v>3.5200000000000009</v>
      </c>
      <c r="DK90" s="157">
        <f t="shared" si="786"/>
        <v>0.12904978604903891</v>
      </c>
      <c r="DL90" s="130"/>
      <c r="DM90" s="11">
        <f t="shared" si="579"/>
        <v>58</v>
      </c>
      <c r="DN90" s="442">
        <f t="shared" si="787"/>
        <v>0</v>
      </c>
      <c r="DO90" s="377">
        <f t="shared" si="666"/>
        <v>0</v>
      </c>
      <c r="DP90" s="58">
        <f t="shared" si="580"/>
        <v>950</v>
      </c>
      <c r="DQ90" s="131">
        <v>851</v>
      </c>
      <c r="DR90" s="41">
        <f t="shared" si="739"/>
        <v>99</v>
      </c>
      <c r="DS90" s="18">
        <f t="shared" si="581"/>
        <v>82</v>
      </c>
      <c r="DT90" s="131">
        <v>65</v>
      </c>
      <c r="DU90" s="41">
        <f t="shared" si="654"/>
        <v>17</v>
      </c>
      <c r="DW90" s="118">
        <v>18</v>
      </c>
      <c r="DX90" s="9">
        <v>12</v>
      </c>
      <c r="DY90" s="129"/>
      <c r="DZ90" s="11">
        <f t="shared" si="435"/>
        <v>14537</v>
      </c>
      <c r="EA90" s="57">
        <f t="shared" si="487"/>
        <v>14534</v>
      </c>
      <c r="EB90" s="398"/>
      <c r="EC90" s="399">
        <v>3</v>
      </c>
      <c r="ED90" s="399"/>
      <c r="EE90" s="11">
        <f t="shared" si="686"/>
        <v>3</v>
      </c>
      <c r="EF90" s="11">
        <f t="shared" si="667"/>
        <v>13</v>
      </c>
      <c r="EG90" s="16">
        <f t="shared" si="582"/>
        <v>0.16</v>
      </c>
      <c r="EH90" s="47">
        <f t="shared" si="788"/>
        <v>2.0636995253491091E-2</v>
      </c>
      <c r="EI90" s="154">
        <f t="shared" si="583"/>
        <v>3.5200000000000009</v>
      </c>
      <c r="EJ90" s="157">
        <f>IFERROR((EF90*100)/$DZ$88,0)</f>
        <v>8.940852819807428E-2</v>
      </c>
      <c r="EK90" s="130"/>
      <c r="EL90" s="11">
        <f t="shared" si="584"/>
        <v>58</v>
      </c>
      <c r="EM90" s="442">
        <f t="shared" si="789"/>
        <v>0</v>
      </c>
      <c r="EN90" s="377">
        <f t="shared" si="669"/>
        <v>0</v>
      </c>
      <c r="EO90" s="58">
        <f t="shared" si="585"/>
        <v>950</v>
      </c>
      <c r="EP90" s="131">
        <v>851</v>
      </c>
      <c r="EQ90" s="41">
        <f t="shared" si="740"/>
        <v>99</v>
      </c>
      <c r="ER90" s="18">
        <f t="shared" si="586"/>
        <v>82</v>
      </c>
      <c r="ES90" s="131">
        <v>65</v>
      </c>
      <c r="ET90" s="41">
        <f t="shared" si="655"/>
        <v>17</v>
      </c>
      <c r="EV90" s="118">
        <v>18</v>
      </c>
      <c r="EW90" s="9">
        <v>12</v>
      </c>
      <c r="EX90" s="797"/>
      <c r="EY90" s="11">
        <f t="shared" si="436"/>
        <v>14235</v>
      </c>
      <c r="EZ90" s="57">
        <f t="shared" si="488"/>
        <v>14234</v>
      </c>
      <c r="FA90" s="398"/>
      <c r="FB90" s="399">
        <v>1</v>
      </c>
      <c r="FC90" s="399"/>
      <c r="FD90" s="11">
        <f t="shared" si="688"/>
        <v>1</v>
      </c>
      <c r="FE90" s="11">
        <f t="shared" si="670"/>
        <v>4</v>
      </c>
      <c r="FF90" s="16">
        <f t="shared" si="587"/>
        <v>0.16</v>
      </c>
      <c r="FG90" s="47">
        <f t="shared" si="790"/>
        <v>7.0249385317878469E-3</v>
      </c>
      <c r="FH90" s="154">
        <f t="shared" si="588"/>
        <v>3.5200000000000009</v>
      </c>
      <c r="FI90" s="157">
        <f>IFERROR((FE90*100)/$EY$90,0)</f>
        <v>2.8099754127151388E-2</v>
      </c>
      <c r="FJ90" s="130"/>
      <c r="FK90" s="11">
        <f t="shared" si="589"/>
        <v>58</v>
      </c>
      <c r="FL90" s="442">
        <f t="shared" si="792"/>
        <v>0</v>
      </c>
      <c r="FM90" s="377">
        <f t="shared" si="672"/>
        <v>0</v>
      </c>
      <c r="FN90" s="58">
        <f t="shared" si="590"/>
        <v>950</v>
      </c>
      <c r="FO90" s="131">
        <v>851</v>
      </c>
      <c r="FP90" s="41">
        <f t="shared" si="741"/>
        <v>99</v>
      </c>
      <c r="FQ90" s="18">
        <f t="shared" si="591"/>
        <v>82</v>
      </c>
      <c r="FR90" s="131">
        <v>65</v>
      </c>
      <c r="FS90" s="41">
        <f t="shared" si="656"/>
        <v>17</v>
      </c>
      <c r="FU90" s="118">
        <v>18</v>
      </c>
      <c r="FV90" s="9">
        <v>12</v>
      </c>
      <c r="FW90" s="800">
        <v>3768</v>
      </c>
      <c r="FX90" s="11">
        <f t="shared" si="437"/>
        <v>14189</v>
      </c>
      <c r="FY90" s="57">
        <f t="shared" si="489"/>
        <v>14188</v>
      </c>
      <c r="FZ90" s="398"/>
      <c r="GA90" s="399">
        <v>1</v>
      </c>
      <c r="GB90" s="399"/>
      <c r="GC90" s="11">
        <f t="shared" si="690"/>
        <v>1</v>
      </c>
      <c r="GD90" s="11">
        <f t="shared" si="673"/>
        <v>3</v>
      </c>
      <c r="GE90" s="16">
        <f t="shared" si="592"/>
        <v>0.16</v>
      </c>
      <c r="GF90" s="47">
        <f t="shared" si="793"/>
        <v>7.0477130171259427E-3</v>
      </c>
      <c r="GG90" s="154">
        <f t="shared" si="593"/>
        <v>3.5200000000000009</v>
      </c>
      <c r="GH90" s="157">
        <f>IFERROR((GD90*100)/$FX$90,0)</f>
        <v>2.1143139051377827E-2</v>
      </c>
      <c r="GI90" s="130"/>
      <c r="GJ90" s="11">
        <f t="shared" si="594"/>
        <v>58</v>
      </c>
      <c r="GK90" s="442">
        <f t="shared" si="795"/>
        <v>0</v>
      </c>
      <c r="GL90" s="377">
        <f t="shared" si="675"/>
        <v>0</v>
      </c>
      <c r="GM90" s="58">
        <f t="shared" si="595"/>
        <v>950</v>
      </c>
      <c r="GN90" s="131">
        <v>851</v>
      </c>
      <c r="GO90" s="41">
        <f t="shared" si="742"/>
        <v>99</v>
      </c>
      <c r="GP90" s="18">
        <f t="shared" si="596"/>
        <v>82</v>
      </c>
      <c r="GQ90" s="131">
        <v>65</v>
      </c>
      <c r="GR90" s="41">
        <f t="shared" si="657"/>
        <v>17</v>
      </c>
      <c r="GT90" s="118">
        <v>18</v>
      </c>
      <c r="GU90" s="9">
        <v>12</v>
      </c>
      <c r="GV90" s="800">
        <v>9182</v>
      </c>
      <c r="GW90" s="11">
        <f t="shared" si="438"/>
        <v>9182</v>
      </c>
      <c r="GX90" s="57">
        <f t="shared" si="490"/>
        <v>9181</v>
      </c>
      <c r="GY90" s="398"/>
      <c r="GZ90" s="399">
        <v>1</v>
      </c>
      <c r="HA90" s="399"/>
      <c r="HB90" s="11">
        <f t="shared" si="692"/>
        <v>1</v>
      </c>
      <c r="HC90" s="11">
        <f t="shared" si="676"/>
        <v>1</v>
      </c>
      <c r="HD90" s="16">
        <f t="shared" si="597"/>
        <v>0.16</v>
      </c>
      <c r="HE90" s="47">
        <f t="shared" si="796"/>
        <v>1.0890873448050533E-2</v>
      </c>
      <c r="HF90" s="154">
        <f t="shared" si="598"/>
        <v>3.5200000000000009</v>
      </c>
      <c r="HG90" s="157">
        <f>IFERROR((HC90*100)/$GW$90,0)</f>
        <v>1.0890873448050533E-2</v>
      </c>
      <c r="HH90" s="130"/>
      <c r="HI90" s="11">
        <f t="shared" si="599"/>
        <v>58</v>
      </c>
      <c r="HJ90" s="442">
        <f t="shared" si="798"/>
        <v>0</v>
      </c>
      <c r="HK90" s="377">
        <f t="shared" si="678"/>
        <v>0</v>
      </c>
      <c r="HL90" s="58">
        <f t="shared" si="600"/>
        <v>950</v>
      </c>
      <c r="HM90" s="131">
        <v>851</v>
      </c>
      <c r="HN90" s="41">
        <f t="shared" si="743"/>
        <v>99</v>
      </c>
      <c r="HO90" s="18">
        <f t="shared" si="601"/>
        <v>82</v>
      </c>
      <c r="HP90" s="131">
        <v>65</v>
      </c>
      <c r="HQ90" s="41">
        <f t="shared" si="658"/>
        <v>17</v>
      </c>
    </row>
    <row r="91" spans="1:225" ht="17.25" thickBot="1" x14ac:dyDescent="0.3">
      <c r="A91" s="517"/>
      <c r="B91" s="403">
        <v>19</v>
      </c>
      <c r="C91" s="571">
        <f>C90</f>
        <v>12</v>
      </c>
      <c r="D91" s="229"/>
      <c r="E91" s="408">
        <f t="shared" si="696"/>
        <v>68630</v>
      </c>
      <c r="F91" s="562">
        <f t="shared" si="555"/>
        <v>68625</v>
      </c>
      <c r="G91" s="405"/>
      <c r="H91" s="406">
        <v>5</v>
      </c>
      <c r="I91" s="406"/>
      <c r="J91" s="380">
        <f t="shared" si="679"/>
        <v>5</v>
      </c>
      <c r="K91" s="380">
        <f t="shared" si="604"/>
        <v>5460</v>
      </c>
      <c r="L91" s="380">
        <f t="shared" si="556"/>
        <v>0.16</v>
      </c>
      <c r="M91" s="527">
        <f t="shared" si="605"/>
        <v>7.2854436835203262E-3</v>
      </c>
      <c r="N91" s="407">
        <f t="shared" si="557"/>
        <v>3.5200000000000009</v>
      </c>
      <c r="O91" s="132">
        <f t="shared" si="606"/>
        <v>4.0482528007829588</v>
      </c>
      <c r="P91" s="411">
        <v>3549</v>
      </c>
      <c r="Q91" s="380">
        <f t="shared" si="558"/>
        <v>58</v>
      </c>
      <c r="R91" s="536">
        <f t="shared" si="559"/>
        <v>51.712079265627281</v>
      </c>
      <c r="S91" s="474">
        <f t="shared" si="650"/>
        <v>2469.3991788561748</v>
      </c>
      <c r="T91" s="182">
        <f t="shared" si="560"/>
        <v>950</v>
      </c>
      <c r="U91" s="181">
        <f>U90</f>
        <v>909</v>
      </c>
      <c r="V91" s="206">
        <f t="shared" si="608"/>
        <v>41</v>
      </c>
      <c r="W91" s="182">
        <f t="shared" si="561"/>
        <v>82</v>
      </c>
      <c r="X91" s="181">
        <f>X90</f>
        <v>71</v>
      </c>
      <c r="Y91" s="206">
        <f t="shared" si="610"/>
        <v>11</v>
      </c>
      <c r="Z91" s="487"/>
      <c r="AA91" s="403">
        <f>AA90+1</f>
        <v>19</v>
      </c>
      <c r="AB91" s="404">
        <f>AB90</f>
        <v>12</v>
      </c>
      <c r="AC91" s="229"/>
      <c r="AD91" s="408">
        <f t="shared" si="483"/>
        <v>59410</v>
      </c>
      <c r="AE91" s="450">
        <f t="shared" si="484"/>
        <v>59404</v>
      </c>
      <c r="AF91" s="405"/>
      <c r="AG91" s="406">
        <v>6</v>
      </c>
      <c r="AH91" s="406"/>
      <c r="AI91" s="380">
        <f t="shared" si="680"/>
        <v>6</v>
      </c>
      <c r="AJ91" s="380">
        <f t="shared" si="781"/>
        <v>6315</v>
      </c>
      <c r="AK91" s="380">
        <f t="shared" si="562"/>
        <v>0.16</v>
      </c>
      <c r="AL91" s="527">
        <f t="shared" si="613"/>
        <v>1.00993098804915E-2</v>
      </c>
      <c r="AM91" s="407">
        <f t="shared" si="563"/>
        <v>3.5200000000000009</v>
      </c>
      <c r="AN91" s="157">
        <f t="shared" si="659"/>
        <v>4.1227085183057399</v>
      </c>
      <c r="AO91" s="405">
        <v>3822</v>
      </c>
      <c r="AP91" s="380">
        <f t="shared" si="564"/>
        <v>58</v>
      </c>
      <c r="AQ91" s="536">
        <f t="shared" si="614"/>
        <v>64.332603938730855</v>
      </c>
      <c r="AR91" s="474">
        <f t="shared" ref="AR91:AR138" si="799">AR90+AQ91</f>
        <v>2540.9075583746808</v>
      </c>
      <c r="AS91" s="182">
        <f t="shared" si="565"/>
        <v>950</v>
      </c>
      <c r="AT91" s="181">
        <f>AT90</f>
        <v>842</v>
      </c>
      <c r="AU91" s="206">
        <f t="shared" si="736"/>
        <v>108</v>
      </c>
      <c r="AV91" s="182">
        <f t="shared" si="566"/>
        <v>82</v>
      </c>
      <c r="AW91" s="181">
        <f>AW90</f>
        <v>78</v>
      </c>
      <c r="AX91" s="206">
        <f t="shared" si="660"/>
        <v>4</v>
      </c>
      <c r="AZ91" s="403">
        <f>AZ90+1</f>
        <v>19</v>
      </c>
      <c r="BA91" s="404">
        <f>BA90</f>
        <v>12</v>
      </c>
      <c r="BB91" s="229"/>
      <c r="BC91" s="408">
        <f t="shared" si="518"/>
        <v>65513</v>
      </c>
      <c r="BD91" s="450">
        <f t="shared" si="485"/>
        <v>65503</v>
      </c>
      <c r="BE91" s="405"/>
      <c r="BF91" s="406">
        <v>10</v>
      </c>
      <c r="BG91" s="406"/>
      <c r="BH91" s="380">
        <f t="shared" si="681"/>
        <v>10</v>
      </c>
      <c r="BI91" s="380">
        <f t="shared" si="780"/>
        <v>1088</v>
      </c>
      <c r="BJ91" s="380">
        <f t="shared" si="567"/>
        <v>0.16</v>
      </c>
      <c r="BK91" s="410">
        <f t="shared" si="646"/>
        <v>1.5264146047349381E-2</v>
      </c>
      <c r="BL91" s="407">
        <f t="shared" si="568"/>
        <v>3.5200000000000009</v>
      </c>
      <c r="BM91" s="132">
        <f>IFERROR((BI91*100)/$BB$33,0)</f>
        <v>1.5238095238095237</v>
      </c>
      <c r="BN91" s="405">
        <v>4095</v>
      </c>
      <c r="BO91" s="380">
        <f t="shared" si="569"/>
        <v>58</v>
      </c>
      <c r="BP91" s="536">
        <f t="shared" si="647"/>
        <v>62.50667806389572</v>
      </c>
      <c r="BQ91" s="753">
        <f t="shared" si="651"/>
        <v>2561.2390768452992</v>
      </c>
      <c r="BR91" s="182">
        <f t="shared" si="570"/>
        <v>950</v>
      </c>
      <c r="BS91" s="181">
        <f>BS90</f>
        <v>863</v>
      </c>
      <c r="BT91" s="206">
        <f t="shared" si="737"/>
        <v>87</v>
      </c>
      <c r="BU91" s="182">
        <f t="shared" si="571"/>
        <v>82</v>
      </c>
      <c r="BV91" s="181">
        <f>BV90</f>
        <v>74</v>
      </c>
      <c r="BW91" s="206">
        <f t="shared" si="661"/>
        <v>8</v>
      </c>
      <c r="BY91" s="120">
        <v>19</v>
      </c>
      <c r="BZ91" s="7">
        <f>BZ90</f>
        <v>12</v>
      </c>
      <c r="CA91" s="133"/>
      <c r="CB91" s="14">
        <f t="shared" si="662"/>
        <v>14647</v>
      </c>
      <c r="CC91" s="59">
        <f t="shared" si="682"/>
        <v>14646</v>
      </c>
      <c r="CD91" s="405"/>
      <c r="CE91" s="406">
        <v>1</v>
      </c>
      <c r="CF91" s="406"/>
      <c r="CG91" s="14">
        <f t="shared" si="683"/>
        <v>1</v>
      </c>
      <c r="CH91" s="14">
        <f t="shared" si="663"/>
        <v>10</v>
      </c>
      <c r="CI91" s="14">
        <f t="shared" si="572"/>
        <v>0.16</v>
      </c>
      <c r="CJ91" s="47">
        <f t="shared" si="782"/>
        <v>6.827336655970506E-3</v>
      </c>
      <c r="CK91" s="35">
        <f t="shared" si="573"/>
        <v>3.5200000000000009</v>
      </c>
      <c r="CL91" s="157">
        <f t="shared" si="783"/>
        <v>6.8231441048034941E-2</v>
      </c>
      <c r="CM91" s="134"/>
      <c r="CN91" s="14">
        <f t="shared" si="574"/>
        <v>58</v>
      </c>
      <c r="CO91" s="442">
        <f t="shared" si="784"/>
        <v>0</v>
      </c>
      <c r="CP91" s="68">
        <f t="shared" si="649"/>
        <v>0</v>
      </c>
      <c r="CQ91" s="51">
        <f t="shared" si="575"/>
        <v>950</v>
      </c>
      <c r="CR91" s="103">
        <f>CR90</f>
        <v>877</v>
      </c>
      <c r="CS91" s="46">
        <f t="shared" si="738"/>
        <v>73</v>
      </c>
      <c r="CT91" s="51">
        <f t="shared" si="576"/>
        <v>82</v>
      </c>
      <c r="CU91" s="103">
        <f>CU90</f>
        <v>73</v>
      </c>
      <c r="CV91" s="46">
        <f t="shared" si="625"/>
        <v>9</v>
      </c>
      <c r="CX91" s="120">
        <v>19</v>
      </c>
      <c r="CY91" s="7">
        <f>CY90</f>
        <v>12</v>
      </c>
      <c r="CZ91" s="133"/>
      <c r="DA91" s="14">
        <f t="shared" si="434"/>
        <v>14708</v>
      </c>
      <c r="DB91" s="59">
        <f t="shared" si="486"/>
        <v>14706</v>
      </c>
      <c r="DC91" s="405"/>
      <c r="DD91" s="406">
        <v>2</v>
      </c>
      <c r="DE91" s="406"/>
      <c r="DF91" s="14">
        <f t="shared" si="684"/>
        <v>2</v>
      </c>
      <c r="DG91" s="14">
        <f t="shared" si="664"/>
        <v>21</v>
      </c>
      <c r="DH91" s="14">
        <f t="shared" si="577"/>
        <v>0.16</v>
      </c>
      <c r="DI91" s="47">
        <f t="shared" si="785"/>
        <v>1.3598041881968996E-2</v>
      </c>
      <c r="DJ91" s="35">
        <f t="shared" si="578"/>
        <v>3.5200000000000009</v>
      </c>
      <c r="DK91" s="157">
        <f t="shared" si="786"/>
        <v>0.14263397405420092</v>
      </c>
      <c r="DL91" s="134"/>
      <c r="DM91" s="14">
        <f t="shared" si="579"/>
        <v>58</v>
      </c>
      <c r="DN91" s="442">
        <f t="shared" si="787"/>
        <v>0</v>
      </c>
      <c r="DO91" s="68">
        <f t="shared" si="666"/>
        <v>0</v>
      </c>
      <c r="DP91" s="51">
        <f t="shared" si="580"/>
        <v>950</v>
      </c>
      <c r="DQ91" s="103">
        <f>DQ90</f>
        <v>851</v>
      </c>
      <c r="DR91" s="46">
        <f t="shared" si="739"/>
        <v>99</v>
      </c>
      <c r="DS91" s="51">
        <f t="shared" si="581"/>
        <v>82</v>
      </c>
      <c r="DT91" s="103">
        <f>DT90</f>
        <v>65</v>
      </c>
      <c r="DU91" s="46">
        <f t="shared" si="654"/>
        <v>17</v>
      </c>
      <c r="DW91" s="120">
        <v>19</v>
      </c>
      <c r="DX91" s="7">
        <f>DX90</f>
        <v>12</v>
      </c>
      <c r="DY91" s="133"/>
      <c r="DZ91" s="14">
        <f t="shared" si="435"/>
        <v>14534</v>
      </c>
      <c r="EA91" s="59">
        <f t="shared" si="487"/>
        <v>14532</v>
      </c>
      <c r="EB91" s="405"/>
      <c r="EC91" s="406">
        <v>2</v>
      </c>
      <c r="ED91" s="406"/>
      <c r="EE91" s="14">
        <f t="shared" si="686"/>
        <v>2</v>
      </c>
      <c r="EF91" s="14">
        <f t="shared" si="667"/>
        <v>15</v>
      </c>
      <c r="EG91" s="14">
        <f t="shared" si="582"/>
        <v>0.16</v>
      </c>
      <c r="EH91" s="47">
        <f t="shared" si="788"/>
        <v>1.3760836658868859E-2</v>
      </c>
      <c r="EI91" s="35">
        <f t="shared" si="583"/>
        <v>3.5200000000000009</v>
      </c>
      <c r="EJ91" s="157">
        <f t="shared" ref="EJ91:EJ138" si="800">IFERROR((EF91*100)/$DZ$88,0)</f>
        <v>0.1031636863823934</v>
      </c>
      <c r="EK91" s="134"/>
      <c r="EL91" s="14">
        <f t="shared" si="584"/>
        <v>58</v>
      </c>
      <c r="EM91" s="442">
        <f t="shared" si="789"/>
        <v>0</v>
      </c>
      <c r="EN91" s="68">
        <f t="shared" si="669"/>
        <v>0</v>
      </c>
      <c r="EO91" s="51">
        <f t="shared" si="585"/>
        <v>950</v>
      </c>
      <c r="EP91" s="103">
        <f>EP90</f>
        <v>851</v>
      </c>
      <c r="EQ91" s="46">
        <f t="shared" si="740"/>
        <v>99</v>
      </c>
      <c r="ER91" s="51">
        <f t="shared" si="586"/>
        <v>82</v>
      </c>
      <c r="ES91" s="103">
        <f>ES90</f>
        <v>65</v>
      </c>
      <c r="ET91" s="46">
        <f t="shared" si="655"/>
        <v>17</v>
      </c>
      <c r="EV91" s="120">
        <v>19</v>
      </c>
      <c r="EW91" s="7">
        <f>EW90</f>
        <v>12</v>
      </c>
      <c r="EX91" s="133"/>
      <c r="EY91" s="14">
        <f t="shared" si="436"/>
        <v>14234</v>
      </c>
      <c r="EZ91" s="59">
        <f t="shared" si="488"/>
        <v>14233</v>
      </c>
      <c r="FA91" s="405"/>
      <c r="FB91" s="406">
        <v>1</v>
      </c>
      <c r="FC91" s="406"/>
      <c r="FD91" s="14">
        <f t="shared" si="688"/>
        <v>1</v>
      </c>
      <c r="FE91" s="14">
        <f t="shared" si="670"/>
        <v>5</v>
      </c>
      <c r="FF91" s="14">
        <f t="shared" si="587"/>
        <v>0.16</v>
      </c>
      <c r="FG91" s="47">
        <f t="shared" si="790"/>
        <v>7.0254320640719403E-3</v>
      </c>
      <c r="FH91" s="35">
        <f t="shared" si="588"/>
        <v>3.5200000000000009</v>
      </c>
      <c r="FI91" s="157">
        <f t="shared" ref="FI91:FI138" si="801">IFERROR((FE91*100)/$EY$90,0)</f>
        <v>3.5124692658939236E-2</v>
      </c>
      <c r="FJ91" s="134"/>
      <c r="FK91" s="14">
        <f t="shared" si="589"/>
        <v>58</v>
      </c>
      <c r="FL91" s="442">
        <f t="shared" si="792"/>
        <v>0</v>
      </c>
      <c r="FM91" s="68">
        <f t="shared" si="672"/>
        <v>0</v>
      </c>
      <c r="FN91" s="51">
        <f t="shared" si="590"/>
        <v>950</v>
      </c>
      <c r="FO91" s="103">
        <f>FO90</f>
        <v>851</v>
      </c>
      <c r="FP91" s="46">
        <f t="shared" si="741"/>
        <v>99</v>
      </c>
      <c r="FQ91" s="51">
        <f t="shared" si="591"/>
        <v>82</v>
      </c>
      <c r="FR91" s="103">
        <f>FR90</f>
        <v>65</v>
      </c>
      <c r="FS91" s="46">
        <f t="shared" si="656"/>
        <v>17</v>
      </c>
      <c r="FU91" s="120">
        <v>19</v>
      </c>
      <c r="FV91" s="7">
        <f>FV90</f>
        <v>12</v>
      </c>
      <c r="FW91" s="795"/>
      <c r="FX91" s="14">
        <f t="shared" si="437"/>
        <v>14188</v>
      </c>
      <c r="FY91" s="59">
        <f t="shared" si="489"/>
        <v>14186</v>
      </c>
      <c r="FZ91" s="405"/>
      <c r="GA91" s="406">
        <v>2</v>
      </c>
      <c r="GB91" s="406"/>
      <c r="GC91" s="14">
        <f t="shared" si="690"/>
        <v>2</v>
      </c>
      <c r="GD91" s="14">
        <f t="shared" si="673"/>
        <v>5</v>
      </c>
      <c r="GE91" s="14">
        <f t="shared" si="592"/>
        <v>0.16</v>
      </c>
      <c r="GF91" s="47">
        <f t="shared" si="793"/>
        <v>1.4096419509444602E-2</v>
      </c>
      <c r="GG91" s="35">
        <f t="shared" si="593"/>
        <v>3.5200000000000009</v>
      </c>
      <c r="GH91" s="157">
        <f t="shared" ref="GH91:GH138" si="802">IFERROR((GD91*100)/$FX$90,0)</f>
        <v>3.5238565085629711E-2</v>
      </c>
      <c r="GI91" s="134"/>
      <c r="GJ91" s="14">
        <f t="shared" si="594"/>
        <v>58</v>
      </c>
      <c r="GK91" s="442">
        <f t="shared" si="795"/>
        <v>0</v>
      </c>
      <c r="GL91" s="68">
        <f t="shared" si="675"/>
        <v>0</v>
      </c>
      <c r="GM91" s="51">
        <f t="shared" si="595"/>
        <v>950</v>
      </c>
      <c r="GN91" s="103">
        <f>GN90</f>
        <v>851</v>
      </c>
      <c r="GO91" s="46">
        <f t="shared" si="742"/>
        <v>99</v>
      </c>
      <c r="GP91" s="51">
        <f t="shared" si="596"/>
        <v>82</v>
      </c>
      <c r="GQ91" s="103">
        <f>GQ90</f>
        <v>65</v>
      </c>
      <c r="GR91" s="46">
        <f t="shared" si="657"/>
        <v>17</v>
      </c>
      <c r="GT91" s="120">
        <v>19</v>
      </c>
      <c r="GU91" s="7">
        <f>GU90</f>
        <v>12</v>
      </c>
      <c r="GV91" s="133"/>
      <c r="GW91" s="14">
        <f t="shared" si="438"/>
        <v>9181</v>
      </c>
      <c r="GX91" s="59">
        <f t="shared" si="490"/>
        <v>9180</v>
      </c>
      <c r="GY91" s="405"/>
      <c r="GZ91" s="406">
        <v>1</v>
      </c>
      <c r="HA91" s="406"/>
      <c r="HB91" s="14">
        <f t="shared" si="692"/>
        <v>1</v>
      </c>
      <c r="HC91" s="14">
        <f t="shared" si="676"/>
        <v>2</v>
      </c>
      <c r="HD91" s="14">
        <f t="shared" si="597"/>
        <v>0.16</v>
      </c>
      <c r="HE91" s="47">
        <f t="shared" si="796"/>
        <v>1.0892059688487093E-2</v>
      </c>
      <c r="HF91" s="35">
        <f t="shared" si="598"/>
        <v>3.5200000000000009</v>
      </c>
      <c r="HG91" s="157">
        <f t="shared" ref="HG91:HG138" si="803">IFERROR((HC91*100)/$GW$90,0)</f>
        <v>2.1781746896101066E-2</v>
      </c>
      <c r="HH91" s="134"/>
      <c r="HI91" s="14">
        <f t="shared" si="599"/>
        <v>58</v>
      </c>
      <c r="HJ91" s="442">
        <f t="shared" si="798"/>
        <v>0</v>
      </c>
      <c r="HK91" s="68">
        <f t="shared" si="678"/>
        <v>0</v>
      </c>
      <c r="HL91" s="51">
        <f t="shared" si="600"/>
        <v>950</v>
      </c>
      <c r="HM91" s="103">
        <f>HM90</f>
        <v>851</v>
      </c>
      <c r="HN91" s="46">
        <f t="shared" si="743"/>
        <v>99</v>
      </c>
      <c r="HO91" s="51">
        <f t="shared" si="601"/>
        <v>82</v>
      </c>
      <c r="HP91" s="103">
        <f>HP90</f>
        <v>65</v>
      </c>
      <c r="HQ91" s="46">
        <f t="shared" si="658"/>
        <v>17</v>
      </c>
    </row>
    <row r="92" spans="1:225" ht="17.25" thickBot="1" x14ac:dyDescent="0.3">
      <c r="B92" s="120">
        <v>20</v>
      </c>
      <c r="C92" s="570">
        <f t="shared" ref="C92:C96" si="804">C91</f>
        <v>12</v>
      </c>
      <c r="D92" s="133"/>
      <c r="E92" s="408">
        <f t="shared" si="696"/>
        <v>68625</v>
      </c>
      <c r="F92" s="562">
        <f t="shared" si="555"/>
        <v>68621</v>
      </c>
      <c r="G92" s="405"/>
      <c r="H92" s="135">
        <v>4</v>
      </c>
      <c r="I92" s="135"/>
      <c r="J92" s="14">
        <f t="shared" si="679"/>
        <v>4</v>
      </c>
      <c r="K92" s="14">
        <f t="shared" si="604"/>
        <v>5464</v>
      </c>
      <c r="L92" s="14">
        <f t="shared" si="556"/>
        <v>0.16</v>
      </c>
      <c r="M92" s="230">
        <f t="shared" si="605"/>
        <v>5.8287795992714025E-3</v>
      </c>
      <c r="N92" s="35">
        <f t="shared" si="557"/>
        <v>3.5200000000000009</v>
      </c>
      <c r="O92" s="132">
        <f t="shared" si="606"/>
        <v>4.0512185537505649</v>
      </c>
      <c r="P92" s="142">
        <v>5187</v>
      </c>
      <c r="Q92" s="14">
        <f t="shared" si="558"/>
        <v>58</v>
      </c>
      <c r="R92" s="480">
        <f t="shared" si="559"/>
        <v>75.584699453551906</v>
      </c>
      <c r="S92" s="470">
        <f t="shared" si="650"/>
        <v>2544.9838783097266</v>
      </c>
      <c r="T92" s="51">
        <f t="shared" si="560"/>
        <v>950</v>
      </c>
      <c r="U92" s="103">
        <f t="shared" ref="U92:U96" si="805">U91</f>
        <v>909</v>
      </c>
      <c r="V92" s="46">
        <f t="shared" si="608"/>
        <v>41</v>
      </c>
      <c r="W92" s="51">
        <f t="shared" si="561"/>
        <v>82</v>
      </c>
      <c r="X92" s="103">
        <f t="shared" ref="X92:X96" si="806">X91</f>
        <v>71</v>
      </c>
      <c r="Y92" s="46">
        <f t="shared" si="610"/>
        <v>11</v>
      </c>
      <c r="Z92" s="487"/>
      <c r="AA92" s="120">
        <f>AA91+1</f>
        <v>20</v>
      </c>
      <c r="AB92" s="7">
        <f t="shared" ref="AB92:AB96" si="807">AB91</f>
        <v>12</v>
      </c>
      <c r="AC92" s="133"/>
      <c r="AD92" s="48">
        <f t="shared" si="483"/>
        <v>59404</v>
      </c>
      <c r="AE92" s="196">
        <f t="shared" si="484"/>
        <v>59399</v>
      </c>
      <c r="AF92" s="405"/>
      <c r="AG92" s="135">
        <v>5</v>
      </c>
      <c r="AH92" s="135"/>
      <c r="AI92" s="14">
        <f t="shared" si="680"/>
        <v>5</v>
      </c>
      <c r="AJ92" s="14">
        <f t="shared" si="781"/>
        <v>6320</v>
      </c>
      <c r="AK92" s="14">
        <f t="shared" si="562"/>
        <v>0.16</v>
      </c>
      <c r="AL92" s="230">
        <f t="shared" si="613"/>
        <v>8.4169416200929239E-3</v>
      </c>
      <c r="AM92" s="35">
        <f t="shared" si="563"/>
        <v>3.5200000000000009</v>
      </c>
      <c r="AN92" s="157">
        <f t="shared" si="659"/>
        <v>4.1259727372434325</v>
      </c>
      <c r="AO92" s="134">
        <v>4368</v>
      </c>
      <c r="AP92" s="14">
        <f t="shared" si="564"/>
        <v>58</v>
      </c>
      <c r="AQ92" s="480">
        <f t="shared" si="614"/>
        <v>73.530401993131775</v>
      </c>
      <c r="AR92" s="470">
        <f t="shared" si="799"/>
        <v>2614.4379603678126</v>
      </c>
      <c r="AS92" s="51">
        <f t="shared" si="565"/>
        <v>950</v>
      </c>
      <c r="AT92" s="103">
        <f t="shared" ref="AT92:AT96" si="808">AT91</f>
        <v>842</v>
      </c>
      <c r="AU92" s="46">
        <f t="shared" si="736"/>
        <v>108</v>
      </c>
      <c r="AV92" s="51">
        <f t="shared" si="566"/>
        <v>82</v>
      </c>
      <c r="AW92" s="103">
        <f t="shared" ref="AW92:AW96" si="809">AW91</f>
        <v>78</v>
      </c>
      <c r="AX92" s="46">
        <f t="shared" si="660"/>
        <v>4</v>
      </c>
      <c r="AZ92" s="120">
        <f>AZ91+1</f>
        <v>20</v>
      </c>
      <c r="BA92" s="7">
        <f t="shared" ref="BA92:BA96" si="810">BA91</f>
        <v>12</v>
      </c>
      <c r="BB92" s="133"/>
      <c r="BC92" s="48">
        <f t="shared" si="518"/>
        <v>65503</v>
      </c>
      <c r="BD92" s="196">
        <f t="shared" si="485"/>
        <v>65495</v>
      </c>
      <c r="BE92" s="405"/>
      <c r="BF92" s="135">
        <v>8</v>
      </c>
      <c r="BG92" s="135"/>
      <c r="BH92" s="14">
        <f t="shared" si="681"/>
        <v>8</v>
      </c>
      <c r="BI92" s="14">
        <f t="shared" si="780"/>
        <v>1096</v>
      </c>
      <c r="BJ92" s="14">
        <f t="shared" si="567"/>
        <v>0.16</v>
      </c>
      <c r="BK92" s="47">
        <f t="shared" si="646"/>
        <v>1.2213181075675924E-2</v>
      </c>
      <c r="BL92" s="35">
        <f t="shared" si="568"/>
        <v>3.5200000000000009</v>
      </c>
      <c r="BM92" s="132">
        <f>IFERROR((BI92*100)/$BB$33,0)</f>
        <v>1.535014005602241</v>
      </c>
      <c r="BN92" s="134">
        <v>3003</v>
      </c>
      <c r="BO92" s="14">
        <f t="shared" si="569"/>
        <v>58</v>
      </c>
      <c r="BP92" s="442">
        <f t="shared" si="647"/>
        <v>45.845228462818497</v>
      </c>
      <c r="BQ92" s="747">
        <f t="shared" si="651"/>
        <v>2607.0843053081176</v>
      </c>
      <c r="BR92" s="51">
        <f t="shared" si="570"/>
        <v>950</v>
      </c>
      <c r="BS92" s="103">
        <f t="shared" ref="BS92:BS96" si="811">BS91</f>
        <v>863</v>
      </c>
      <c r="BT92" s="46">
        <f t="shared" si="737"/>
        <v>87</v>
      </c>
      <c r="BU92" s="51">
        <f t="shared" si="571"/>
        <v>82</v>
      </c>
      <c r="BV92" s="103">
        <f t="shared" ref="BV92:BV96" si="812">BV91</f>
        <v>74</v>
      </c>
      <c r="BW92" s="46">
        <f t="shared" si="661"/>
        <v>8</v>
      </c>
      <c r="BY92" s="120">
        <f t="shared" ref="BY92:BY95" si="813">BY91+1</f>
        <v>20</v>
      </c>
      <c r="BZ92" s="7">
        <f t="shared" ref="BZ92:BZ96" si="814">BZ91</f>
        <v>12</v>
      </c>
      <c r="CA92" s="133"/>
      <c r="CB92" s="14">
        <f t="shared" si="662"/>
        <v>14646</v>
      </c>
      <c r="CC92" s="59">
        <f t="shared" si="682"/>
        <v>14644</v>
      </c>
      <c r="CD92" s="405"/>
      <c r="CE92" s="406">
        <v>2</v>
      </c>
      <c r="CF92" s="406"/>
      <c r="CG92" s="14">
        <f t="shared" si="683"/>
        <v>2</v>
      </c>
      <c r="CH92" s="14">
        <f t="shared" si="663"/>
        <v>12</v>
      </c>
      <c r="CI92" s="14">
        <f t="shared" si="572"/>
        <v>0.16</v>
      </c>
      <c r="CJ92" s="47">
        <f t="shared" si="782"/>
        <v>1.3655605626109518E-2</v>
      </c>
      <c r="CK92" s="35">
        <f t="shared" si="573"/>
        <v>3.5200000000000009</v>
      </c>
      <c r="CL92" s="157">
        <f t="shared" si="783"/>
        <v>8.1877729257641918E-2</v>
      </c>
      <c r="CM92" s="134"/>
      <c r="CN92" s="14">
        <f t="shared" si="574"/>
        <v>58</v>
      </c>
      <c r="CO92" s="442">
        <f t="shared" si="784"/>
        <v>0</v>
      </c>
      <c r="CP92" s="68">
        <f t="shared" si="649"/>
        <v>0</v>
      </c>
      <c r="CQ92" s="51">
        <f t="shared" si="575"/>
        <v>950</v>
      </c>
      <c r="CR92" s="103">
        <f t="shared" ref="CR92:CR96" si="815">CR91</f>
        <v>877</v>
      </c>
      <c r="CS92" s="46">
        <f t="shared" si="738"/>
        <v>73</v>
      </c>
      <c r="CT92" s="51">
        <f t="shared" si="576"/>
        <v>82</v>
      </c>
      <c r="CU92" s="103">
        <f t="shared" ref="CU92:CU96" si="816">CU91</f>
        <v>73</v>
      </c>
      <c r="CV92" s="46">
        <f t="shared" si="625"/>
        <v>9</v>
      </c>
      <c r="CX92" s="120">
        <f t="shared" ref="CX92:CX95" si="817">CX91+1</f>
        <v>20</v>
      </c>
      <c r="CY92" s="7">
        <f t="shared" ref="CY92:CY96" si="818">CY91</f>
        <v>12</v>
      </c>
      <c r="CZ92" s="133"/>
      <c r="DA92" s="14">
        <f t="shared" si="434"/>
        <v>14706</v>
      </c>
      <c r="DB92" s="59">
        <f t="shared" si="486"/>
        <v>14704</v>
      </c>
      <c r="DC92" s="405"/>
      <c r="DD92" s="406">
        <v>2</v>
      </c>
      <c r="DE92" s="406"/>
      <c r="DF92" s="14">
        <f t="shared" si="684"/>
        <v>2</v>
      </c>
      <c r="DG92" s="14">
        <f t="shared" si="664"/>
        <v>23</v>
      </c>
      <c r="DH92" s="14">
        <f t="shared" si="577"/>
        <v>0.16</v>
      </c>
      <c r="DI92" s="47">
        <f t="shared" si="785"/>
        <v>1.3599891200870393E-2</v>
      </c>
      <c r="DJ92" s="35">
        <f t="shared" si="578"/>
        <v>3.5200000000000009</v>
      </c>
      <c r="DK92" s="157">
        <f t="shared" si="786"/>
        <v>0.1562181620593629</v>
      </c>
      <c r="DL92" s="134"/>
      <c r="DM92" s="14">
        <f t="shared" si="579"/>
        <v>58</v>
      </c>
      <c r="DN92" s="442">
        <f t="shared" si="787"/>
        <v>0</v>
      </c>
      <c r="DO92" s="68">
        <f t="shared" si="666"/>
        <v>0</v>
      </c>
      <c r="DP92" s="51">
        <f t="shared" si="580"/>
        <v>950</v>
      </c>
      <c r="DQ92" s="103">
        <f t="shared" ref="DQ92:DQ96" si="819">DQ91</f>
        <v>851</v>
      </c>
      <c r="DR92" s="46">
        <f t="shared" si="739"/>
        <v>99</v>
      </c>
      <c r="DS92" s="51">
        <f t="shared" si="581"/>
        <v>82</v>
      </c>
      <c r="DT92" s="103">
        <f t="shared" ref="DT92:DT96" si="820">DT91</f>
        <v>65</v>
      </c>
      <c r="DU92" s="46">
        <f t="shared" si="654"/>
        <v>17</v>
      </c>
      <c r="DW92" s="120">
        <f t="shared" ref="DW92:DW95" si="821">DW91+1</f>
        <v>20</v>
      </c>
      <c r="DX92" s="7">
        <f t="shared" ref="DX92:DX96" si="822">DX91</f>
        <v>12</v>
      </c>
      <c r="DY92" s="133"/>
      <c r="DZ92" s="14">
        <f t="shared" si="435"/>
        <v>14532</v>
      </c>
      <c r="EA92" s="59">
        <f t="shared" si="487"/>
        <v>14529</v>
      </c>
      <c r="EB92" s="405"/>
      <c r="EC92" s="406">
        <v>3</v>
      </c>
      <c r="ED92" s="406"/>
      <c r="EE92" s="14">
        <f t="shared" si="686"/>
        <v>3</v>
      </c>
      <c r="EF92" s="14">
        <f t="shared" si="667"/>
        <v>18</v>
      </c>
      <c r="EG92" s="14">
        <f t="shared" si="582"/>
        <v>0.16</v>
      </c>
      <c r="EH92" s="47">
        <f t="shared" si="788"/>
        <v>2.0644095788604461E-2</v>
      </c>
      <c r="EI92" s="35">
        <f t="shared" si="583"/>
        <v>3.5200000000000009</v>
      </c>
      <c r="EJ92" s="157">
        <f t="shared" si="800"/>
        <v>0.12379642365887207</v>
      </c>
      <c r="EK92" s="134"/>
      <c r="EL92" s="14">
        <f t="shared" si="584"/>
        <v>58</v>
      </c>
      <c r="EM92" s="442">
        <f t="shared" si="789"/>
        <v>0</v>
      </c>
      <c r="EN92" s="68">
        <f t="shared" si="669"/>
        <v>0</v>
      </c>
      <c r="EO92" s="51">
        <f t="shared" si="585"/>
        <v>950</v>
      </c>
      <c r="EP92" s="103">
        <f t="shared" ref="EP92:EP96" si="823">EP91</f>
        <v>851</v>
      </c>
      <c r="EQ92" s="46">
        <f t="shared" si="740"/>
        <v>99</v>
      </c>
      <c r="ER92" s="51">
        <f t="shared" si="586"/>
        <v>82</v>
      </c>
      <c r="ES92" s="103">
        <f t="shared" ref="ES92:ES96" si="824">ES91</f>
        <v>65</v>
      </c>
      <c r="ET92" s="46">
        <f t="shared" si="655"/>
        <v>17</v>
      </c>
      <c r="EV92" s="120">
        <f t="shared" ref="EV92:EV95" si="825">EV91+1</f>
        <v>20</v>
      </c>
      <c r="EW92" s="7">
        <f t="shared" ref="EW92:EW96" si="826">EW91</f>
        <v>12</v>
      </c>
      <c r="EX92" s="133"/>
      <c r="EY92" s="14">
        <f t="shared" si="436"/>
        <v>14233</v>
      </c>
      <c r="EZ92" s="59">
        <f t="shared" si="488"/>
        <v>14231</v>
      </c>
      <c r="FA92" s="405"/>
      <c r="FB92" s="406">
        <v>2</v>
      </c>
      <c r="FC92" s="406"/>
      <c r="FD92" s="14">
        <f t="shared" si="688"/>
        <v>2</v>
      </c>
      <c r="FE92" s="14">
        <f t="shared" si="670"/>
        <v>7</v>
      </c>
      <c r="FF92" s="14">
        <f t="shared" si="587"/>
        <v>0.16</v>
      </c>
      <c r="FG92" s="47">
        <f t="shared" si="790"/>
        <v>1.4051851331412913E-2</v>
      </c>
      <c r="FH92" s="35">
        <f t="shared" si="588"/>
        <v>3.5200000000000009</v>
      </c>
      <c r="FI92" s="157">
        <f t="shared" si="801"/>
        <v>4.9174569722514931E-2</v>
      </c>
      <c r="FJ92" s="134"/>
      <c r="FK92" s="14">
        <f t="shared" si="589"/>
        <v>58</v>
      </c>
      <c r="FL92" s="442">
        <f t="shared" si="792"/>
        <v>0</v>
      </c>
      <c r="FM92" s="68">
        <f t="shared" si="672"/>
        <v>0</v>
      </c>
      <c r="FN92" s="51">
        <f t="shared" si="590"/>
        <v>950</v>
      </c>
      <c r="FO92" s="103">
        <f t="shared" ref="FO92:FO96" si="827">FO91</f>
        <v>851</v>
      </c>
      <c r="FP92" s="46">
        <f t="shared" si="741"/>
        <v>99</v>
      </c>
      <c r="FQ92" s="51">
        <f t="shared" si="591"/>
        <v>82</v>
      </c>
      <c r="FR92" s="103">
        <f t="shared" ref="FR92:FR96" si="828">FR91</f>
        <v>65</v>
      </c>
      <c r="FS92" s="46">
        <f t="shared" si="656"/>
        <v>17</v>
      </c>
      <c r="FU92" s="120">
        <f t="shared" ref="FU92:FU95" si="829">FU91+1</f>
        <v>20</v>
      </c>
      <c r="FV92" s="7">
        <f t="shared" ref="FV92:FV96" si="830">FV91</f>
        <v>12</v>
      </c>
      <c r="FW92" s="133"/>
      <c r="FX92" s="14">
        <f t="shared" si="437"/>
        <v>14186</v>
      </c>
      <c r="FY92" s="59">
        <f t="shared" si="489"/>
        <v>14185</v>
      </c>
      <c r="FZ92" s="405"/>
      <c r="GA92" s="406">
        <v>1</v>
      </c>
      <c r="GB92" s="406"/>
      <c r="GC92" s="14">
        <f t="shared" si="690"/>
        <v>1</v>
      </c>
      <c r="GD92" s="14">
        <f t="shared" si="673"/>
        <v>6</v>
      </c>
      <c r="GE92" s="14">
        <f t="shared" si="592"/>
        <v>0.16</v>
      </c>
      <c r="GF92" s="47">
        <f t="shared" si="793"/>
        <v>7.0492034400112787E-3</v>
      </c>
      <c r="GG92" s="35">
        <f t="shared" si="593"/>
        <v>3.5200000000000009</v>
      </c>
      <c r="GH92" s="157">
        <f t="shared" si="802"/>
        <v>4.2286278102755655E-2</v>
      </c>
      <c r="GI92" s="134"/>
      <c r="GJ92" s="14">
        <f t="shared" si="594"/>
        <v>58</v>
      </c>
      <c r="GK92" s="442">
        <f t="shared" si="795"/>
        <v>0</v>
      </c>
      <c r="GL92" s="68">
        <f t="shared" si="675"/>
        <v>0</v>
      </c>
      <c r="GM92" s="51">
        <f t="shared" si="595"/>
        <v>950</v>
      </c>
      <c r="GN92" s="103">
        <f t="shared" ref="GN92:GN96" si="831">GN91</f>
        <v>851</v>
      </c>
      <c r="GO92" s="46">
        <f t="shared" si="742"/>
        <v>99</v>
      </c>
      <c r="GP92" s="51">
        <f t="shared" si="596"/>
        <v>82</v>
      </c>
      <c r="GQ92" s="103">
        <f t="shared" ref="GQ92:GQ96" si="832">GQ91</f>
        <v>65</v>
      </c>
      <c r="GR92" s="46">
        <f t="shared" si="657"/>
        <v>17</v>
      </c>
      <c r="GT92" s="120">
        <f t="shared" ref="GT92:GT95" si="833">GT91+1</f>
        <v>20</v>
      </c>
      <c r="GU92" s="7">
        <f t="shared" ref="GU92:GU96" si="834">GU91</f>
        <v>12</v>
      </c>
      <c r="GV92" s="133"/>
      <c r="GW92" s="14">
        <f t="shared" si="438"/>
        <v>9180</v>
      </c>
      <c r="GX92" s="59">
        <f t="shared" si="490"/>
        <v>9179</v>
      </c>
      <c r="GY92" s="405"/>
      <c r="GZ92" s="406">
        <v>1</v>
      </c>
      <c r="HA92" s="406"/>
      <c r="HB92" s="14">
        <f t="shared" si="692"/>
        <v>1</v>
      </c>
      <c r="HC92" s="14">
        <f t="shared" si="676"/>
        <v>3</v>
      </c>
      <c r="HD92" s="14">
        <f t="shared" si="597"/>
        <v>0.16</v>
      </c>
      <c r="HE92" s="47">
        <f t="shared" si="796"/>
        <v>1.0893246187363835E-2</v>
      </c>
      <c r="HF92" s="35">
        <f t="shared" si="598"/>
        <v>3.5200000000000009</v>
      </c>
      <c r="HG92" s="157">
        <f t="shared" si="803"/>
        <v>3.2672620344151602E-2</v>
      </c>
      <c r="HH92" s="134"/>
      <c r="HI92" s="14">
        <f t="shared" si="599"/>
        <v>58</v>
      </c>
      <c r="HJ92" s="442">
        <f t="shared" si="798"/>
        <v>0</v>
      </c>
      <c r="HK92" s="68">
        <f t="shared" si="678"/>
        <v>0</v>
      </c>
      <c r="HL92" s="51">
        <f t="shared" si="600"/>
        <v>950</v>
      </c>
      <c r="HM92" s="103">
        <f t="shared" ref="HM92:HM96" si="835">HM91</f>
        <v>851</v>
      </c>
      <c r="HN92" s="46">
        <f t="shared" si="743"/>
        <v>99</v>
      </c>
      <c r="HO92" s="51">
        <f t="shared" si="601"/>
        <v>82</v>
      </c>
      <c r="HP92" s="103">
        <f t="shared" ref="HP92:HP96" si="836">HP91</f>
        <v>65</v>
      </c>
      <c r="HQ92" s="46">
        <f t="shared" si="658"/>
        <v>17</v>
      </c>
    </row>
    <row r="93" spans="1:225" ht="17.25" thickBot="1" x14ac:dyDescent="0.3">
      <c r="B93" s="120">
        <f t="shared" ref="B93:B96" si="837">B92+1</f>
        <v>21</v>
      </c>
      <c r="C93" s="570">
        <f t="shared" si="804"/>
        <v>12</v>
      </c>
      <c r="D93" s="133"/>
      <c r="E93" s="408">
        <f t="shared" si="696"/>
        <v>68621</v>
      </c>
      <c r="F93" s="562">
        <f t="shared" si="555"/>
        <v>68617</v>
      </c>
      <c r="G93" s="405"/>
      <c r="H93" s="135">
        <v>4</v>
      </c>
      <c r="I93" s="135"/>
      <c r="J93" s="14">
        <f t="shared" si="679"/>
        <v>4</v>
      </c>
      <c r="K93" s="14">
        <f t="shared" si="604"/>
        <v>5468</v>
      </c>
      <c r="L93" s="14">
        <f t="shared" si="556"/>
        <v>0.16</v>
      </c>
      <c r="M93" s="47">
        <f t="shared" si="605"/>
        <v>5.8291193657918133E-3</v>
      </c>
      <c r="N93" s="35">
        <f t="shared" si="557"/>
        <v>3.5200000000000009</v>
      </c>
      <c r="O93" s="132">
        <f t="shared" si="606"/>
        <v>4.054184306718172</v>
      </c>
      <c r="P93" s="142">
        <v>2730</v>
      </c>
      <c r="Q93" s="14">
        <f t="shared" si="558"/>
        <v>58</v>
      </c>
      <c r="R93" s="482">
        <f t="shared" si="559"/>
        <v>39.783739671529119</v>
      </c>
      <c r="S93" s="470">
        <f t="shared" si="650"/>
        <v>2584.7676179812556</v>
      </c>
      <c r="T93" s="51">
        <f t="shared" si="560"/>
        <v>950</v>
      </c>
      <c r="U93" s="103">
        <f t="shared" si="805"/>
        <v>909</v>
      </c>
      <c r="V93" s="46">
        <f t="shared" si="608"/>
        <v>41</v>
      </c>
      <c r="W93" s="51">
        <f t="shared" si="561"/>
        <v>82</v>
      </c>
      <c r="X93" s="103">
        <f t="shared" si="806"/>
        <v>71</v>
      </c>
      <c r="Y93" s="46">
        <f t="shared" si="610"/>
        <v>11</v>
      </c>
      <c r="Z93" s="487"/>
      <c r="AA93" s="120">
        <f t="shared" ref="AA93:AA96" si="838">AA92+1</f>
        <v>21</v>
      </c>
      <c r="AB93" s="7">
        <f t="shared" si="807"/>
        <v>12</v>
      </c>
      <c r="AC93" s="133"/>
      <c r="AD93" s="48">
        <f t="shared" si="483"/>
        <v>59399</v>
      </c>
      <c r="AE93" s="196">
        <f t="shared" si="484"/>
        <v>59393</v>
      </c>
      <c r="AF93" s="405"/>
      <c r="AG93" s="135">
        <v>6</v>
      </c>
      <c r="AH93" s="135"/>
      <c r="AI93" s="14">
        <f t="shared" si="680"/>
        <v>6</v>
      </c>
      <c r="AJ93" s="14">
        <f t="shared" si="781"/>
        <v>6326</v>
      </c>
      <c r="AK93" s="14">
        <f t="shared" si="562"/>
        <v>0.16</v>
      </c>
      <c r="AL93" s="47">
        <f t="shared" si="613"/>
        <v>1.0101180154548056E-2</v>
      </c>
      <c r="AM93" s="35">
        <f t="shared" si="563"/>
        <v>3.5200000000000009</v>
      </c>
      <c r="AN93" s="157">
        <f t="shared" si="659"/>
        <v>4.1298897999686632</v>
      </c>
      <c r="AO93" s="142">
        <v>2730</v>
      </c>
      <c r="AP93" s="14">
        <f t="shared" si="564"/>
        <v>58</v>
      </c>
      <c r="AQ93" s="482">
        <f t="shared" si="614"/>
        <v>45.960369703193656</v>
      </c>
      <c r="AR93" s="470">
        <f t="shared" si="799"/>
        <v>2660.3983300710061</v>
      </c>
      <c r="AS93" s="51">
        <f t="shared" si="565"/>
        <v>950</v>
      </c>
      <c r="AT93" s="103">
        <f t="shared" si="808"/>
        <v>842</v>
      </c>
      <c r="AU93" s="46">
        <f t="shared" si="736"/>
        <v>108</v>
      </c>
      <c r="AV93" s="51">
        <f t="shared" si="566"/>
        <v>82</v>
      </c>
      <c r="AW93" s="103">
        <f t="shared" si="809"/>
        <v>78</v>
      </c>
      <c r="AX93" s="46">
        <f t="shared" si="660"/>
        <v>4</v>
      </c>
      <c r="AZ93" s="120">
        <f t="shared" ref="AZ93:AZ96" si="839">AZ92+1</f>
        <v>21</v>
      </c>
      <c r="BA93" s="7">
        <f t="shared" si="810"/>
        <v>12</v>
      </c>
      <c r="BB93" s="133"/>
      <c r="BC93" s="48">
        <f t="shared" si="518"/>
        <v>65495</v>
      </c>
      <c r="BD93" s="196">
        <f t="shared" si="485"/>
        <v>65485</v>
      </c>
      <c r="BE93" s="405"/>
      <c r="BF93" s="135">
        <v>10</v>
      </c>
      <c r="BG93" s="135"/>
      <c r="BH93" s="14">
        <f t="shared" si="681"/>
        <v>10</v>
      </c>
      <c r="BI93" s="14">
        <f t="shared" si="780"/>
        <v>1106</v>
      </c>
      <c r="BJ93" s="14">
        <f t="shared" si="567"/>
        <v>0.16</v>
      </c>
      <c r="BK93" s="47">
        <f t="shared" si="646"/>
        <v>1.5268341094740057E-2</v>
      </c>
      <c r="BL93" s="35">
        <f t="shared" si="568"/>
        <v>3.5200000000000009</v>
      </c>
      <c r="BM93" s="132">
        <f>IFERROR((BI93*100)/$BB$33,0)</f>
        <v>1.5490196078431373</v>
      </c>
      <c r="BN93" s="142">
        <v>2730</v>
      </c>
      <c r="BO93" s="14">
        <f t="shared" si="569"/>
        <v>58</v>
      </c>
      <c r="BP93" s="442">
        <f t="shared" si="647"/>
        <v>41.682571188640352</v>
      </c>
      <c r="BQ93" s="747">
        <f t="shared" si="651"/>
        <v>2648.766876496758</v>
      </c>
      <c r="BR93" s="51">
        <f t="shared" si="570"/>
        <v>950</v>
      </c>
      <c r="BS93" s="103">
        <f t="shared" si="811"/>
        <v>863</v>
      </c>
      <c r="BT93" s="46">
        <f t="shared" si="737"/>
        <v>87</v>
      </c>
      <c r="BU93" s="51">
        <f t="shared" si="571"/>
        <v>82</v>
      </c>
      <c r="BV93" s="103">
        <f t="shared" si="812"/>
        <v>74</v>
      </c>
      <c r="BW93" s="46">
        <f t="shared" si="661"/>
        <v>8</v>
      </c>
      <c r="BY93" s="120">
        <f t="shared" si="813"/>
        <v>21</v>
      </c>
      <c r="BZ93" s="7">
        <f t="shared" si="814"/>
        <v>12</v>
      </c>
      <c r="CA93" s="133"/>
      <c r="CB93" s="14">
        <f t="shared" si="662"/>
        <v>14644</v>
      </c>
      <c r="CC93" s="59">
        <f t="shared" si="682"/>
        <v>14644</v>
      </c>
      <c r="CD93" s="405"/>
      <c r="CE93" s="406">
        <v>0</v>
      </c>
      <c r="CF93" s="406"/>
      <c r="CG93" s="14">
        <f t="shared" si="683"/>
        <v>0</v>
      </c>
      <c r="CH93" s="14">
        <f t="shared" si="663"/>
        <v>12</v>
      </c>
      <c r="CI93" s="14">
        <f t="shared" si="572"/>
        <v>0.16</v>
      </c>
      <c r="CJ93" s="47">
        <f t="shared" si="782"/>
        <v>0</v>
      </c>
      <c r="CK93" s="35">
        <f t="shared" si="573"/>
        <v>3.5200000000000009</v>
      </c>
      <c r="CL93" s="157">
        <f t="shared" si="783"/>
        <v>8.1877729257641918E-2</v>
      </c>
      <c r="CM93" s="142">
        <v>1295</v>
      </c>
      <c r="CN93" s="14">
        <f t="shared" si="574"/>
        <v>58</v>
      </c>
      <c r="CO93" s="442">
        <f t="shared" si="784"/>
        <v>88.432122370936909</v>
      </c>
      <c r="CP93" s="68">
        <f t="shared" si="649"/>
        <v>88.432122370936909</v>
      </c>
      <c r="CQ93" s="51">
        <f t="shared" si="575"/>
        <v>950</v>
      </c>
      <c r="CR93" s="103">
        <f t="shared" si="815"/>
        <v>877</v>
      </c>
      <c r="CS93" s="46">
        <f t="shared" si="738"/>
        <v>73</v>
      </c>
      <c r="CT93" s="50">
        <f t="shared" si="576"/>
        <v>82</v>
      </c>
      <c r="CU93" s="103">
        <f t="shared" si="816"/>
        <v>73</v>
      </c>
      <c r="CV93" s="46">
        <f t="shared" si="625"/>
        <v>9</v>
      </c>
      <c r="CX93" s="120">
        <f t="shared" si="817"/>
        <v>21</v>
      </c>
      <c r="CY93" s="7">
        <f t="shared" si="818"/>
        <v>12</v>
      </c>
      <c r="CZ93" s="133"/>
      <c r="DA93" s="14">
        <f t="shared" si="434"/>
        <v>14704</v>
      </c>
      <c r="DB93" s="59">
        <f t="shared" si="486"/>
        <v>14703</v>
      </c>
      <c r="DC93" s="405"/>
      <c r="DD93" s="406">
        <v>1</v>
      </c>
      <c r="DE93" s="406"/>
      <c r="DF93" s="14">
        <f t="shared" si="684"/>
        <v>1</v>
      </c>
      <c r="DG93" s="14">
        <f t="shared" si="664"/>
        <v>24</v>
      </c>
      <c r="DH93" s="14">
        <f t="shared" si="577"/>
        <v>0.16</v>
      </c>
      <c r="DI93" s="47">
        <f t="shared" si="785"/>
        <v>6.8008705114254624E-3</v>
      </c>
      <c r="DJ93" s="35">
        <f t="shared" si="578"/>
        <v>3.5200000000000009</v>
      </c>
      <c r="DK93" s="157">
        <f t="shared" si="786"/>
        <v>0.16301025606194389</v>
      </c>
      <c r="DL93" s="142">
        <v>1850</v>
      </c>
      <c r="DM93" s="14">
        <f t="shared" si="579"/>
        <v>58</v>
      </c>
      <c r="DN93" s="442">
        <f t="shared" si="787"/>
        <v>125.81610446137107</v>
      </c>
      <c r="DO93" s="68">
        <f t="shared" si="666"/>
        <v>125.81610446137107</v>
      </c>
      <c r="DP93" s="51">
        <f t="shared" si="580"/>
        <v>950</v>
      </c>
      <c r="DQ93" s="103">
        <f t="shared" si="819"/>
        <v>851</v>
      </c>
      <c r="DR93" s="46">
        <f t="shared" si="739"/>
        <v>99</v>
      </c>
      <c r="DS93" s="50">
        <f t="shared" si="581"/>
        <v>82</v>
      </c>
      <c r="DT93" s="103">
        <f t="shared" si="820"/>
        <v>65</v>
      </c>
      <c r="DU93" s="46">
        <f t="shared" si="654"/>
        <v>17</v>
      </c>
      <c r="DW93" s="120">
        <f t="shared" si="821"/>
        <v>21</v>
      </c>
      <c r="DX93" s="7">
        <f t="shared" si="822"/>
        <v>12</v>
      </c>
      <c r="DY93" s="133"/>
      <c r="DZ93" s="14">
        <f t="shared" si="435"/>
        <v>14529</v>
      </c>
      <c r="EA93" s="59">
        <f t="shared" si="487"/>
        <v>14526</v>
      </c>
      <c r="EB93" s="405"/>
      <c r="EC93" s="406">
        <v>3</v>
      </c>
      <c r="ED93" s="406"/>
      <c r="EE93" s="14">
        <f t="shared" si="686"/>
        <v>3</v>
      </c>
      <c r="EF93" s="14">
        <f t="shared" si="667"/>
        <v>21</v>
      </c>
      <c r="EG93" s="14">
        <f t="shared" si="582"/>
        <v>0.16</v>
      </c>
      <c r="EH93" s="47">
        <f t="shared" si="788"/>
        <v>2.0648358455502787E-2</v>
      </c>
      <c r="EI93" s="35">
        <f t="shared" si="583"/>
        <v>3.5200000000000009</v>
      </c>
      <c r="EJ93" s="157">
        <f t="shared" si="800"/>
        <v>0.14442916093535077</v>
      </c>
      <c r="EK93" s="142">
        <v>1850</v>
      </c>
      <c r="EL93" s="14">
        <f t="shared" si="584"/>
        <v>58</v>
      </c>
      <c r="EM93" s="442">
        <f t="shared" si="789"/>
        <v>127.33154380893386</v>
      </c>
      <c r="EN93" s="68">
        <f t="shared" si="669"/>
        <v>127.33154380893386</v>
      </c>
      <c r="EO93" s="51">
        <f t="shared" si="585"/>
        <v>950</v>
      </c>
      <c r="EP93" s="103">
        <f t="shared" si="823"/>
        <v>851</v>
      </c>
      <c r="EQ93" s="46">
        <f t="shared" si="740"/>
        <v>99</v>
      </c>
      <c r="ER93" s="50">
        <f t="shared" si="586"/>
        <v>82</v>
      </c>
      <c r="ES93" s="103">
        <f t="shared" si="824"/>
        <v>65</v>
      </c>
      <c r="ET93" s="46">
        <f t="shared" si="655"/>
        <v>17</v>
      </c>
      <c r="EV93" s="120">
        <f t="shared" si="825"/>
        <v>21</v>
      </c>
      <c r="EW93" s="7">
        <f t="shared" si="826"/>
        <v>12</v>
      </c>
      <c r="EX93" s="133"/>
      <c r="EY93" s="14">
        <f t="shared" si="436"/>
        <v>14231</v>
      </c>
      <c r="EZ93" s="59">
        <f t="shared" si="488"/>
        <v>14230</v>
      </c>
      <c r="FA93" s="405"/>
      <c r="FB93" s="406">
        <v>1</v>
      </c>
      <c r="FC93" s="406"/>
      <c r="FD93" s="14">
        <f t="shared" si="688"/>
        <v>1</v>
      </c>
      <c r="FE93" s="14">
        <f t="shared" si="670"/>
        <v>8</v>
      </c>
      <c r="FF93" s="14">
        <f t="shared" si="587"/>
        <v>0.16</v>
      </c>
      <c r="FG93" s="47">
        <f t="shared" si="790"/>
        <v>7.0269130770852367E-3</v>
      </c>
      <c r="FH93" s="35">
        <f t="shared" si="588"/>
        <v>3.5200000000000009</v>
      </c>
      <c r="FI93" s="157">
        <f t="shared" si="801"/>
        <v>5.6199508254302775E-2</v>
      </c>
      <c r="FJ93" s="142">
        <v>1850</v>
      </c>
      <c r="FK93" s="14">
        <f t="shared" si="589"/>
        <v>58</v>
      </c>
      <c r="FL93" s="442">
        <f t="shared" si="792"/>
        <v>129.99789192607687</v>
      </c>
      <c r="FM93" s="68">
        <f t="shared" si="672"/>
        <v>129.99789192607687</v>
      </c>
      <c r="FN93" s="51">
        <f t="shared" si="590"/>
        <v>950</v>
      </c>
      <c r="FO93" s="103">
        <f t="shared" si="827"/>
        <v>851</v>
      </c>
      <c r="FP93" s="46">
        <f t="shared" si="741"/>
        <v>99</v>
      </c>
      <c r="FQ93" s="50">
        <f t="shared" si="591"/>
        <v>82</v>
      </c>
      <c r="FR93" s="103">
        <f t="shared" si="828"/>
        <v>65</v>
      </c>
      <c r="FS93" s="46">
        <f t="shared" si="656"/>
        <v>17</v>
      </c>
      <c r="FU93" s="120">
        <f t="shared" si="829"/>
        <v>21</v>
      </c>
      <c r="FV93" s="7">
        <f t="shared" si="830"/>
        <v>12</v>
      </c>
      <c r="FW93" s="133"/>
      <c r="FX93" s="14">
        <f t="shared" si="437"/>
        <v>14185</v>
      </c>
      <c r="FY93" s="59">
        <f t="shared" si="489"/>
        <v>14183</v>
      </c>
      <c r="FZ93" s="405"/>
      <c r="GA93" s="406">
        <v>2</v>
      </c>
      <c r="GB93" s="406"/>
      <c r="GC93" s="14">
        <f t="shared" si="690"/>
        <v>2</v>
      </c>
      <c r="GD93" s="14">
        <f t="shared" si="673"/>
        <v>8</v>
      </c>
      <c r="GE93" s="14">
        <f t="shared" si="592"/>
        <v>0.16</v>
      </c>
      <c r="GF93" s="47">
        <f t="shared" si="793"/>
        <v>1.4099400775467043E-2</v>
      </c>
      <c r="GG93" s="35">
        <f t="shared" si="593"/>
        <v>3.5200000000000009</v>
      </c>
      <c r="GH93" s="157">
        <f t="shared" si="802"/>
        <v>5.6381704137007542E-2</v>
      </c>
      <c r="GI93" s="142">
        <v>1480</v>
      </c>
      <c r="GJ93" s="14">
        <f t="shared" si="594"/>
        <v>58</v>
      </c>
      <c r="GK93" s="442">
        <f t="shared" si="795"/>
        <v>104.33556573845613</v>
      </c>
      <c r="GL93" s="68">
        <f t="shared" si="675"/>
        <v>104.33556573845613</v>
      </c>
      <c r="GM93" s="51">
        <f t="shared" si="595"/>
        <v>950</v>
      </c>
      <c r="GN93" s="103">
        <f t="shared" si="831"/>
        <v>851</v>
      </c>
      <c r="GO93" s="46">
        <f t="shared" si="742"/>
        <v>99</v>
      </c>
      <c r="GP93" s="50">
        <f t="shared" si="596"/>
        <v>82</v>
      </c>
      <c r="GQ93" s="103">
        <f t="shared" si="832"/>
        <v>65</v>
      </c>
      <c r="GR93" s="46">
        <f t="shared" si="657"/>
        <v>17</v>
      </c>
      <c r="GT93" s="120">
        <f t="shared" si="833"/>
        <v>21</v>
      </c>
      <c r="GU93" s="7">
        <f t="shared" si="834"/>
        <v>12</v>
      </c>
      <c r="GV93" s="133"/>
      <c r="GW93" s="14">
        <f t="shared" si="438"/>
        <v>9179</v>
      </c>
      <c r="GX93" s="59">
        <f t="shared" si="490"/>
        <v>9177</v>
      </c>
      <c r="GY93" s="405"/>
      <c r="GZ93" s="406">
        <v>2</v>
      </c>
      <c r="HA93" s="406"/>
      <c r="HB93" s="14">
        <f t="shared" si="692"/>
        <v>2</v>
      </c>
      <c r="HC93" s="14">
        <f t="shared" si="676"/>
        <v>5</v>
      </c>
      <c r="HD93" s="14">
        <f t="shared" si="597"/>
        <v>0.16</v>
      </c>
      <c r="HE93" s="47">
        <f t="shared" si="796"/>
        <v>2.178886588953045E-2</v>
      </c>
      <c r="HF93" s="35">
        <f t="shared" si="598"/>
        <v>3.5200000000000009</v>
      </c>
      <c r="HG93" s="157">
        <f t="shared" si="803"/>
        <v>5.4454367240252669E-2</v>
      </c>
      <c r="HH93" s="142">
        <v>740</v>
      </c>
      <c r="HI93" s="14">
        <f t="shared" si="599"/>
        <v>58</v>
      </c>
      <c r="HJ93" s="442">
        <f>IFERROR((HH93/GW93)*1000,0)</f>
        <v>80.618803791262664</v>
      </c>
      <c r="HK93" s="68">
        <f>HK92+HJ93</f>
        <v>80.618803791262664</v>
      </c>
      <c r="HL93" s="51">
        <f t="shared" si="600"/>
        <v>950</v>
      </c>
      <c r="HM93" s="103">
        <f t="shared" si="835"/>
        <v>851</v>
      </c>
      <c r="HN93" s="46">
        <f t="shared" si="743"/>
        <v>99</v>
      </c>
      <c r="HO93" s="50">
        <f t="shared" si="601"/>
        <v>82</v>
      </c>
      <c r="HP93" s="103">
        <f t="shared" si="836"/>
        <v>65</v>
      </c>
      <c r="HQ93" s="46">
        <f t="shared" si="658"/>
        <v>17</v>
      </c>
    </row>
    <row r="94" spans="1:225" ht="17.25" thickBot="1" x14ac:dyDescent="0.3">
      <c r="B94" s="120">
        <f t="shared" si="837"/>
        <v>22</v>
      </c>
      <c r="C94" s="570">
        <f t="shared" si="804"/>
        <v>12</v>
      </c>
      <c r="D94" s="133"/>
      <c r="E94" s="408">
        <f t="shared" si="696"/>
        <v>68617</v>
      </c>
      <c r="F94" s="562">
        <f t="shared" si="555"/>
        <v>68612</v>
      </c>
      <c r="G94" s="405"/>
      <c r="H94" s="135">
        <v>5</v>
      </c>
      <c r="I94" s="135"/>
      <c r="J94" s="14">
        <f t="shared" si="679"/>
        <v>5</v>
      </c>
      <c r="K94" s="14">
        <f t="shared" si="604"/>
        <v>5473</v>
      </c>
      <c r="L94" s="14">
        <f t="shared" si="556"/>
        <v>0.16</v>
      </c>
      <c r="M94" s="231">
        <f t="shared" si="605"/>
        <v>7.2868239649066559E-3</v>
      </c>
      <c r="N94" s="35">
        <f t="shared" si="557"/>
        <v>3.5200000000000009</v>
      </c>
      <c r="O94" s="132">
        <f t="shared" si="606"/>
        <v>4.0578914979276801</v>
      </c>
      <c r="P94" s="142">
        <v>2730</v>
      </c>
      <c r="Q94" s="14">
        <f t="shared" si="558"/>
        <v>58</v>
      </c>
      <c r="R94" s="442">
        <f t="shared" si="559"/>
        <v>39.78605884839034</v>
      </c>
      <c r="S94" s="470">
        <f t="shared" si="650"/>
        <v>2624.5536768296461</v>
      </c>
      <c r="T94" s="51">
        <f t="shared" si="560"/>
        <v>950</v>
      </c>
      <c r="U94" s="103">
        <f t="shared" si="805"/>
        <v>909</v>
      </c>
      <c r="V94" s="46">
        <f t="shared" si="608"/>
        <v>41</v>
      </c>
      <c r="W94" s="51">
        <f t="shared" si="561"/>
        <v>82</v>
      </c>
      <c r="X94" s="103">
        <f t="shared" si="806"/>
        <v>71</v>
      </c>
      <c r="Y94" s="46">
        <f t="shared" si="610"/>
        <v>11</v>
      </c>
      <c r="Z94" s="487"/>
      <c r="AA94" s="120">
        <f t="shared" si="838"/>
        <v>22</v>
      </c>
      <c r="AB94" s="7">
        <f t="shared" si="807"/>
        <v>12</v>
      </c>
      <c r="AC94" s="133"/>
      <c r="AD94" s="48">
        <f t="shared" si="483"/>
        <v>59393</v>
      </c>
      <c r="AE94" s="196">
        <f t="shared" si="484"/>
        <v>59389</v>
      </c>
      <c r="AF94" s="405"/>
      <c r="AG94" s="135">
        <v>4</v>
      </c>
      <c r="AH94" s="135"/>
      <c r="AI94" s="14">
        <f t="shared" si="680"/>
        <v>4</v>
      </c>
      <c r="AJ94" s="14">
        <f t="shared" si="781"/>
        <v>6330</v>
      </c>
      <c r="AK94" s="14">
        <f t="shared" si="562"/>
        <v>0.16</v>
      </c>
      <c r="AL94" s="231">
        <f t="shared" si="613"/>
        <v>6.7348003973532232E-3</v>
      </c>
      <c r="AM94" s="35">
        <f t="shared" si="563"/>
        <v>3.5200000000000009</v>
      </c>
      <c r="AN94" s="157">
        <f t="shared" si="659"/>
        <v>4.1325011751188176</v>
      </c>
      <c r="AO94" s="134">
        <v>1365</v>
      </c>
      <c r="AP94" s="14">
        <f t="shared" si="564"/>
        <v>58</v>
      </c>
      <c r="AQ94" s="442">
        <f t="shared" si="614"/>
        <v>22.982506355967878</v>
      </c>
      <c r="AR94" s="470">
        <f t="shared" si="799"/>
        <v>2683.3808364269739</v>
      </c>
      <c r="AS94" s="51">
        <f t="shared" si="565"/>
        <v>950</v>
      </c>
      <c r="AT94" s="103">
        <f t="shared" si="808"/>
        <v>842</v>
      </c>
      <c r="AU94" s="46">
        <f t="shared" si="736"/>
        <v>108</v>
      </c>
      <c r="AV94" s="51">
        <f t="shared" si="566"/>
        <v>82</v>
      </c>
      <c r="AW94" s="103">
        <f t="shared" si="809"/>
        <v>78</v>
      </c>
      <c r="AX94" s="46">
        <f t="shared" si="660"/>
        <v>4</v>
      </c>
      <c r="AZ94" s="120">
        <f t="shared" si="839"/>
        <v>22</v>
      </c>
      <c r="BA94" s="7">
        <f t="shared" si="810"/>
        <v>12</v>
      </c>
      <c r="BB94" s="133"/>
      <c r="BC94" s="48">
        <f t="shared" si="518"/>
        <v>65485</v>
      </c>
      <c r="BD94" s="196">
        <f t="shared" si="485"/>
        <v>65476</v>
      </c>
      <c r="BE94" s="405"/>
      <c r="BF94" s="135">
        <v>9</v>
      </c>
      <c r="BG94" s="135"/>
      <c r="BH94" s="14">
        <f t="shared" si="681"/>
        <v>9</v>
      </c>
      <c r="BI94" s="14">
        <f t="shared" si="780"/>
        <v>1115</v>
      </c>
      <c r="BJ94" s="14">
        <f t="shared" si="567"/>
        <v>0.16</v>
      </c>
      <c r="BK94" s="47">
        <f t="shared" si="646"/>
        <v>1.3743605405818126E-2</v>
      </c>
      <c r="BL94" s="35">
        <f t="shared" si="568"/>
        <v>3.5200000000000009</v>
      </c>
      <c r="BM94" s="132">
        <f t="shared" ref="BM94:BM138" si="840">IFERROR((BI94*100)/$BB$33,0)</f>
        <v>1.561624649859944</v>
      </c>
      <c r="BN94" s="134">
        <v>2730</v>
      </c>
      <c r="BO94" s="14">
        <f t="shared" si="569"/>
        <v>58</v>
      </c>
      <c r="BP94" s="442">
        <f t="shared" si="647"/>
        <v>41.68893639764832</v>
      </c>
      <c r="BQ94" s="747">
        <f t="shared" si="651"/>
        <v>2690.4558128944063</v>
      </c>
      <c r="BR94" s="51">
        <f t="shared" si="570"/>
        <v>950</v>
      </c>
      <c r="BS94" s="103">
        <f t="shared" si="811"/>
        <v>863</v>
      </c>
      <c r="BT94" s="46">
        <f t="shared" si="737"/>
        <v>87</v>
      </c>
      <c r="BU94" s="51">
        <f t="shared" si="571"/>
        <v>82</v>
      </c>
      <c r="BV94" s="103">
        <f t="shared" si="812"/>
        <v>74</v>
      </c>
      <c r="BW94" s="46">
        <f t="shared" si="661"/>
        <v>8</v>
      </c>
      <c r="BY94" s="120">
        <f t="shared" si="813"/>
        <v>22</v>
      </c>
      <c r="BZ94" s="7">
        <f t="shared" si="814"/>
        <v>12</v>
      </c>
      <c r="CA94" s="133"/>
      <c r="CB94" s="14">
        <f t="shared" si="662"/>
        <v>14644</v>
      </c>
      <c r="CC94" s="59">
        <f t="shared" si="682"/>
        <v>14639</v>
      </c>
      <c r="CD94" s="405"/>
      <c r="CE94" s="406">
        <v>5</v>
      </c>
      <c r="CF94" s="406"/>
      <c r="CG94" s="14">
        <f t="shared" si="683"/>
        <v>5</v>
      </c>
      <c r="CH94" s="14">
        <f t="shared" si="663"/>
        <v>17</v>
      </c>
      <c r="CI94" s="14">
        <f t="shared" si="572"/>
        <v>0.16</v>
      </c>
      <c r="CJ94" s="47">
        <f t="shared" si="782"/>
        <v>3.414367659109533E-2</v>
      </c>
      <c r="CK94" s="35">
        <f t="shared" si="573"/>
        <v>3.5200000000000009</v>
      </c>
      <c r="CL94" s="157">
        <f t="shared" si="783"/>
        <v>0.11599344978165939</v>
      </c>
      <c r="CM94" s="134">
        <v>1480</v>
      </c>
      <c r="CN94" s="14">
        <f t="shared" si="574"/>
        <v>58</v>
      </c>
      <c r="CO94" s="442">
        <f t="shared" si="784"/>
        <v>101.06528270964218</v>
      </c>
      <c r="CP94" s="68">
        <f t="shared" si="649"/>
        <v>189.49740508057909</v>
      </c>
      <c r="CQ94" s="51">
        <f t="shared" si="575"/>
        <v>950</v>
      </c>
      <c r="CR94" s="103">
        <f t="shared" si="815"/>
        <v>877</v>
      </c>
      <c r="CS94" s="46">
        <f t="shared" si="738"/>
        <v>73</v>
      </c>
      <c r="CT94" s="51">
        <f t="shared" si="576"/>
        <v>82</v>
      </c>
      <c r="CU94" s="103">
        <f t="shared" si="816"/>
        <v>73</v>
      </c>
      <c r="CV94" s="46">
        <f t="shared" si="625"/>
        <v>9</v>
      </c>
      <c r="CX94" s="120">
        <f t="shared" si="817"/>
        <v>22</v>
      </c>
      <c r="CY94" s="7">
        <f t="shared" si="818"/>
        <v>12</v>
      </c>
      <c r="CZ94" s="133"/>
      <c r="DA94" s="14">
        <f t="shared" si="434"/>
        <v>14703</v>
      </c>
      <c r="DB94" s="59">
        <f t="shared" si="486"/>
        <v>14701</v>
      </c>
      <c r="DC94" s="405"/>
      <c r="DD94" s="406">
        <v>2</v>
      </c>
      <c r="DE94" s="406"/>
      <c r="DF94" s="14">
        <f t="shared" si="684"/>
        <v>2</v>
      </c>
      <c r="DG94" s="14">
        <f t="shared" si="664"/>
        <v>26</v>
      </c>
      <c r="DH94" s="14">
        <f t="shared" si="577"/>
        <v>0.16</v>
      </c>
      <c r="DI94" s="47">
        <f t="shared" si="785"/>
        <v>1.3602666122560022E-2</v>
      </c>
      <c r="DJ94" s="35">
        <f t="shared" si="578"/>
        <v>3.5200000000000009</v>
      </c>
      <c r="DK94" s="157">
        <f t="shared" si="786"/>
        <v>0.17659444406710589</v>
      </c>
      <c r="DL94" s="134">
        <v>1295</v>
      </c>
      <c r="DM94" s="14">
        <f t="shared" si="579"/>
        <v>58</v>
      </c>
      <c r="DN94" s="442">
        <f t="shared" si="787"/>
        <v>88.077263143576147</v>
      </c>
      <c r="DO94" s="68">
        <f t="shared" si="666"/>
        <v>213.89336760494723</v>
      </c>
      <c r="DP94" s="51">
        <f t="shared" si="580"/>
        <v>950</v>
      </c>
      <c r="DQ94" s="103">
        <f t="shared" si="819"/>
        <v>851</v>
      </c>
      <c r="DR94" s="46">
        <f t="shared" si="739"/>
        <v>99</v>
      </c>
      <c r="DS94" s="51">
        <f t="shared" si="581"/>
        <v>82</v>
      </c>
      <c r="DT94" s="103">
        <f t="shared" si="820"/>
        <v>65</v>
      </c>
      <c r="DU94" s="46">
        <f t="shared" si="654"/>
        <v>17</v>
      </c>
      <c r="DW94" s="120">
        <f t="shared" si="821"/>
        <v>22</v>
      </c>
      <c r="DX94" s="7">
        <f t="shared" si="822"/>
        <v>12</v>
      </c>
      <c r="DY94" s="133"/>
      <c r="DZ94" s="14">
        <f t="shared" si="435"/>
        <v>14526</v>
      </c>
      <c r="EA94" s="59">
        <f t="shared" si="487"/>
        <v>14525</v>
      </c>
      <c r="EB94" s="405"/>
      <c r="EC94" s="406">
        <v>1</v>
      </c>
      <c r="ED94" s="406"/>
      <c r="EE94" s="14">
        <f t="shared" si="686"/>
        <v>1</v>
      </c>
      <c r="EF94" s="14">
        <f t="shared" si="667"/>
        <v>22</v>
      </c>
      <c r="EG94" s="14">
        <f t="shared" si="582"/>
        <v>0.16</v>
      </c>
      <c r="EH94" s="47">
        <f t="shared" si="788"/>
        <v>6.8842076277020516E-3</v>
      </c>
      <c r="EI94" s="35">
        <f t="shared" si="583"/>
        <v>3.5200000000000009</v>
      </c>
      <c r="EJ94" s="157">
        <f t="shared" si="800"/>
        <v>0.15130674002751032</v>
      </c>
      <c r="EK94" s="134">
        <v>1850</v>
      </c>
      <c r="EL94" s="14">
        <f t="shared" si="584"/>
        <v>58</v>
      </c>
      <c r="EM94" s="442">
        <f t="shared" si="789"/>
        <v>127.35784111248796</v>
      </c>
      <c r="EN94" s="68">
        <f t="shared" si="669"/>
        <v>254.68938492142183</v>
      </c>
      <c r="EO94" s="51">
        <f t="shared" si="585"/>
        <v>950</v>
      </c>
      <c r="EP94" s="103">
        <f t="shared" si="823"/>
        <v>851</v>
      </c>
      <c r="EQ94" s="46">
        <f t="shared" si="740"/>
        <v>99</v>
      </c>
      <c r="ER94" s="51">
        <f t="shared" si="586"/>
        <v>82</v>
      </c>
      <c r="ES94" s="103">
        <f t="shared" si="824"/>
        <v>65</v>
      </c>
      <c r="ET94" s="46">
        <f t="shared" si="655"/>
        <v>17</v>
      </c>
      <c r="EV94" s="120">
        <f t="shared" si="825"/>
        <v>22</v>
      </c>
      <c r="EW94" s="7">
        <f t="shared" si="826"/>
        <v>12</v>
      </c>
      <c r="EX94" s="133"/>
      <c r="EY94" s="14">
        <f t="shared" si="436"/>
        <v>14230</v>
      </c>
      <c r="EZ94" s="59">
        <f t="shared" si="488"/>
        <v>14227</v>
      </c>
      <c r="FA94" s="405"/>
      <c r="FB94" s="406">
        <v>3</v>
      </c>
      <c r="FC94" s="406"/>
      <c r="FD94" s="14">
        <f t="shared" si="688"/>
        <v>3</v>
      </c>
      <c r="FE94" s="14">
        <f t="shared" si="670"/>
        <v>11</v>
      </c>
      <c r="FF94" s="14">
        <f t="shared" si="587"/>
        <v>0.16</v>
      </c>
      <c r="FG94" s="47">
        <f t="shared" si="790"/>
        <v>2.1082220660576249E-2</v>
      </c>
      <c r="FH94" s="35">
        <f t="shared" si="588"/>
        <v>3.5200000000000009</v>
      </c>
      <c r="FI94" s="157">
        <f t="shared" si="801"/>
        <v>7.7274323849666315E-2</v>
      </c>
      <c r="FJ94" s="134">
        <v>1110</v>
      </c>
      <c r="FK94" s="14">
        <f t="shared" si="589"/>
        <v>58</v>
      </c>
      <c r="FL94" s="442">
        <f t="shared" si="792"/>
        <v>78.004216444132126</v>
      </c>
      <c r="FM94" s="68">
        <f t="shared" si="672"/>
        <v>208.00210837020899</v>
      </c>
      <c r="FN94" s="51">
        <f t="shared" si="590"/>
        <v>950</v>
      </c>
      <c r="FO94" s="103">
        <f t="shared" si="827"/>
        <v>851</v>
      </c>
      <c r="FP94" s="46">
        <f t="shared" si="741"/>
        <v>99</v>
      </c>
      <c r="FQ94" s="51">
        <f t="shared" si="591"/>
        <v>82</v>
      </c>
      <c r="FR94" s="103">
        <f t="shared" si="828"/>
        <v>65</v>
      </c>
      <c r="FS94" s="46">
        <f t="shared" si="656"/>
        <v>17</v>
      </c>
      <c r="FU94" s="120">
        <f t="shared" si="829"/>
        <v>22</v>
      </c>
      <c r="FV94" s="7">
        <f t="shared" si="830"/>
        <v>12</v>
      </c>
      <c r="FW94" s="133"/>
      <c r="FX94" s="14">
        <f t="shared" si="437"/>
        <v>14183</v>
      </c>
      <c r="FY94" s="59">
        <f t="shared" si="489"/>
        <v>14182</v>
      </c>
      <c r="FZ94" s="405"/>
      <c r="GA94" s="406">
        <v>1</v>
      </c>
      <c r="GB94" s="406"/>
      <c r="GC94" s="14">
        <f t="shared" si="690"/>
        <v>1</v>
      </c>
      <c r="GD94" s="14">
        <f t="shared" si="673"/>
        <v>9</v>
      </c>
      <c r="GE94" s="14">
        <f t="shared" si="592"/>
        <v>0.16</v>
      </c>
      <c r="GF94" s="47">
        <f t="shared" si="793"/>
        <v>7.0506944934076009E-3</v>
      </c>
      <c r="GG94" s="35">
        <f t="shared" si="593"/>
        <v>3.5200000000000009</v>
      </c>
      <c r="GH94" s="157">
        <f t="shared" si="802"/>
        <v>6.3429417154133486E-2</v>
      </c>
      <c r="GI94" s="134">
        <v>1110</v>
      </c>
      <c r="GJ94" s="14">
        <f t="shared" si="594"/>
        <v>58</v>
      </c>
      <c r="GK94" s="442">
        <f t="shared" si="795"/>
        <v>78.262708876824362</v>
      </c>
      <c r="GL94" s="68">
        <f t="shared" si="675"/>
        <v>182.5982746152805</v>
      </c>
      <c r="GM94" s="51">
        <f t="shared" si="595"/>
        <v>950</v>
      </c>
      <c r="GN94" s="103">
        <f t="shared" si="831"/>
        <v>851</v>
      </c>
      <c r="GO94" s="46">
        <f t="shared" si="742"/>
        <v>99</v>
      </c>
      <c r="GP94" s="51">
        <f t="shared" si="596"/>
        <v>82</v>
      </c>
      <c r="GQ94" s="103">
        <f t="shared" si="832"/>
        <v>65</v>
      </c>
      <c r="GR94" s="46">
        <f t="shared" si="657"/>
        <v>17</v>
      </c>
      <c r="GT94" s="120">
        <f t="shared" si="833"/>
        <v>22</v>
      </c>
      <c r="GU94" s="7">
        <f t="shared" si="834"/>
        <v>12</v>
      </c>
      <c r="GV94" s="133"/>
      <c r="GW94" s="14">
        <f t="shared" si="438"/>
        <v>9177</v>
      </c>
      <c r="GX94" s="59">
        <f t="shared" si="490"/>
        <v>9176</v>
      </c>
      <c r="GY94" s="405"/>
      <c r="GZ94" s="406">
        <v>1</v>
      </c>
      <c r="HA94" s="406"/>
      <c r="HB94" s="14">
        <f t="shared" si="692"/>
        <v>1</v>
      </c>
      <c r="HC94" s="14">
        <f t="shared" si="676"/>
        <v>6</v>
      </c>
      <c r="HD94" s="14">
        <f t="shared" si="597"/>
        <v>0.16</v>
      </c>
      <c r="HE94" s="47">
        <f t="shared" si="796"/>
        <v>1.0896807235480005E-2</v>
      </c>
      <c r="HF94" s="35">
        <f t="shared" si="598"/>
        <v>3.5200000000000009</v>
      </c>
      <c r="HG94" s="157">
        <f t="shared" si="803"/>
        <v>6.5345240688303205E-2</v>
      </c>
      <c r="HH94" s="134">
        <v>1110</v>
      </c>
      <c r="HI94" s="14">
        <f t="shared" si="599"/>
        <v>58</v>
      </c>
      <c r="HJ94" s="442">
        <f>IFERROR((HH94/GW94)*1000,0)</f>
        <v>120.95456031382805</v>
      </c>
      <c r="HK94" s="68">
        <f t="shared" si="678"/>
        <v>201.57336410509072</v>
      </c>
      <c r="HL94" s="51">
        <f t="shared" si="600"/>
        <v>950</v>
      </c>
      <c r="HM94" s="103">
        <f t="shared" si="835"/>
        <v>851</v>
      </c>
      <c r="HN94" s="46">
        <f t="shared" si="743"/>
        <v>99</v>
      </c>
      <c r="HO94" s="51">
        <f t="shared" si="601"/>
        <v>82</v>
      </c>
      <c r="HP94" s="103">
        <f t="shared" si="836"/>
        <v>65</v>
      </c>
      <c r="HQ94" s="46">
        <f t="shared" si="658"/>
        <v>17</v>
      </c>
    </row>
    <row r="95" spans="1:225" ht="17.25" thickBot="1" x14ac:dyDescent="0.3">
      <c r="B95" s="120">
        <f t="shared" si="837"/>
        <v>23</v>
      </c>
      <c r="C95" s="570">
        <f t="shared" si="804"/>
        <v>12</v>
      </c>
      <c r="D95" s="133"/>
      <c r="E95" s="408">
        <f t="shared" si="696"/>
        <v>68612</v>
      </c>
      <c r="F95" s="562">
        <f t="shared" si="555"/>
        <v>68608</v>
      </c>
      <c r="G95" s="405"/>
      <c r="H95" s="135">
        <v>4</v>
      </c>
      <c r="I95" s="135"/>
      <c r="J95" s="14">
        <f t="shared" si="679"/>
        <v>4</v>
      </c>
      <c r="K95" s="14">
        <f t="shared" si="604"/>
        <v>5477</v>
      </c>
      <c r="L95" s="14">
        <f t="shared" si="556"/>
        <v>0.16</v>
      </c>
      <c r="M95" s="230">
        <f t="shared" si="605"/>
        <v>5.8298839853086924E-3</v>
      </c>
      <c r="N95" s="35">
        <f t="shared" si="557"/>
        <v>3.5200000000000009</v>
      </c>
      <c r="O95" s="132">
        <f t="shared" si="606"/>
        <v>4.0608572508952863</v>
      </c>
      <c r="P95" s="142">
        <v>2730</v>
      </c>
      <c r="Q95" s="14">
        <f t="shared" si="558"/>
        <v>58</v>
      </c>
      <c r="R95" s="442">
        <f t="shared" si="559"/>
        <v>39.78895819973183</v>
      </c>
      <c r="S95" s="470">
        <f t="shared" si="650"/>
        <v>2664.342635029378</v>
      </c>
      <c r="T95" s="51">
        <f t="shared" si="560"/>
        <v>950</v>
      </c>
      <c r="U95" s="103">
        <f t="shared" si="805"/>
        <v>909</v>
      </c>
      <c r="V95" s="46">
        <f t="shared" si="608"/>
        <v>41</v>
      </c>
      <c r="W95" s="12">
        <f t="shared" si="561"/>
        <v>82</v>
      </c>
      <c r="X95" s="103">
        <f t="shared" si="806"/>
        <v>71</v>
      </c>
      <c r="Y95" s="62">
        <f t="shared" si="610"/>
        <v>11</v>
      </c>
      <c r="Z95" s="487"/>
      <c r="AA95" s="120">
        <f t="shared" si="838"/>
        <v>23</v>
      </c>
      <c r="AB95" s="7">
        <f t="shared" si="807"/>
        <v>12</v>
      </c>
      <c r="AC95" s="133"/>
      <c r="AD95" s="48">
        <f t="shared" si="483"/>
        <v>59389</v>
      </c>
      <c r="AE95" s="196">
        <f t="shared" si="484"/>
        <v>59383</v>
      </c>
      <c r="AF95" s="405"/>
      <c r="AG95" s="135">
        <v>6</v>
      </c>
      <c r="AH95" s="135"/>
      <c r="AI95" s="14">
        <f t="shared" si="680"/>
        <v>6</v>
      </c>
      <c r="AJ95" s="14">
        <f t="shared" si="781"/>
        <v>6336</v>
      </c>
      <c r="AK95" s="14">
        <f t="shared" si="562"/>
        <v>0.16</v>
      </c>
      <c r="AL95" s="230">
        <f t="shared" si="613"/>
        <v>1.0102881004899898E-2</v>
      </c>
      <c r="AM95" s="35">
        <f t="shared" si="563"/>
        <v>3.5200000000000009</v>
      </c>
      <c r="AN95" s="157">
        <f t="shared" si="659"/>
        <v>4.1364182378440484</v>
      </c>
      <c r="AO95" s="134">
        <v>3003</v>
      </c>
      <c r="AP95" s="14">
        <f t="shared" si="564"/>
        <v>58</v>
      </c>
      <c r="AQ95" s="442">
        <f t="shared" si="614"/>
        <v>50.564919429523982</v>
      </c>
      <c r="AR95" s="470">
        <f t="shared" si="799"/>
        <v>2733.9457558564977</v>
      </c>
      <c r="AS95" s="51">
        <f t="shared" si="565"/>
        <v>950</v>
      </c>
      <c r="AT95" s="103">
        <f t="shared" si="808"/>
        <v>842</v>
      </c>
      <c r="AU95" s="46">
        <f t="shared" si="736"/>
        <v>108</v>
      </c>
      <c r="AV95" s="12">
        <f t="shared" si="566"/>
        <v>82</v>
      </c>
      <c r="AW95" s="103">
        <f t="shared" si="809"/>
        <v>78</v>
      </c>
      <c r="AX95" s="62">
        <f t="shared" si="660"/>
        <v>4</v>
      </c>
      <c r="AZ95" s="120">
        <f t="shared" si="839"/>
        <v>23</v>
      </c>
      <c r="BA95" s="7">
        <f t="shared" si="810"/>
        <v>12</v>
      </c>
      <c r="BB95" s="133"/>
      <c r="BC95" s="48">
        <f t="shared" si="518"/>
        <v>65476</v>
      </c>
      <c r="BD95" s="196">
        <f t="shared" si="485"/>
        <v>65467</v>
      </c>
      <c r="BE95" s="405"/>
      <c r="BF95" s="135">
        <v>9</v>
      </c>
      <c r="BG95" s="135"/>
      <c r="BH95" s="14">
        <f t="shared" si="681"/>
        <v>9</v>
      </c>
      <c r="BI95" s="14">
        <f t="shared" si="780"/>
        <v>1124</v>
      </c>
      <c r="BJ95" s="14">
        <f t="shared" si="567"/>
        <v>0.16</v>
      </c>
      <c r="BK95" s="47">
        <f t="shared" si="646"/>
        <v>1.3745494532347731E-2</v>
      </c>
      <c r="BL95" s="35">
        <f t="shared" si="568"/>
        <v>3.5200000000000009</v>
      </c>
      <c r="BM95" s="132">
        <f t="shared" si="840"/>
        <v>1.5742296918767507</v>
      </c>
      <c r="BN95" s="134">
        <v>3822</v>
      </c>
      <c r="BO95" s="14">
        <f t="shared" si="569"/>
        <v>58</v>
      </c>
      <c r="BP95" s="442">
        <f t="shared" si="647"/>
        <v>58.372533447370024</v>
      </c>
      <c r="BQ95" s="747">
        <f t="shared" si="651"/>
        <v>2748.8283463417765</v>
      </c>
      <c r="BR95" s="51">
        <f t="shared" si="570"/>
        <v>950</v>
      </c>
      <c r="BS95" s="103">
        <f t="shared" si="811"/>
        <v>863</v>
      </c>
      <c r="BT95" s="46">
        <f t="shared" si="737"/>
        <v>87</v>
      </c>
      <c r="BU95" s="12">
        <f t="shared" si="571"/>
        <v>82</v>
      </c>
      <c r="BV95" s="103">
        <f t="shared" si="812"/>
        <v>74</v>
      </c>
      <c r="BW95" s="62">
        <f t="shared" si="661"/>
        <v>8</v>
      </c>
      <c r="BY95" s="120">
        <f t="shared" si="813"/>
        <v>23</v>
      </c>
      <c r="BZ95" s="7">
        <f t="shared" si="814"/>
        <v>12</v>
      </c>
      <c r="CA95" s="133"/>
      <c r="CB95" s="14">
        <f t="shared" si="662"/>
        <v>14639</v>
      </c>
      <c r="CC95" s="59">
        <f t="shared" si="682"/>
        <v>14633</v>
      </c>
      <c r="CD95" s="405"/>
      <c r="CE95" s="406">
        <v>6</v>
      </c>
      <c r="CF95" s="406"/>
      <c r="CG95" s="14">
        <f t="shared" si="683"/>
        <v>6</v>
      </c>
      <c r="CH95" s="14">
        <f t="shared" si="663"/>
        <v>23</v>
      </c>
      <c r="CI95" s="14">
        <f t="shared" si="572"/>
        <v>0.16</v>
      </c>
      <c r="CJ95" s="47">
        <f t="shared" si="782"/>
        <v>4.0986406175285199E-2</v>
      </c>
      <c r="CK95" s="35">
        <f t="shared" si="573"/>
        <v>3.5200000000000009</v>
      </c>
      <c r="CL95" s="157">
        <f t="shared" si="783"/>
        <v>0.15693231441048036</v>
      </c>
      <c r="CM95" s="134">
        <v>1665</v>
      </c>
      <c r="CN95" s="14">
        <f t="shared" si="574"/>
        <v>58</v>
      </c>
      <c r="CO95" s="442">
        <f t="shared" si="784"/>
        <v>113.73727713641642</v>
      </c>
      <c r="CP95" s="68">
        <f t="shared" si="649"/>
        <v>303.23468221699551</v>
      </c>
      <c r="CQ95" s="51">
        <f t="shared" si="575"/>
        <v>950</v>
      </c>
      <c r="CR95" s="103">
        <f t="shared" si="815"/>
        <v>877</v>
      </c>
      <c r="CS95" s="46">
        <f t="shared" si="738"/>
        <v>73</v>
      </c>
      <c r="CT95" s="51">
        <f t="shared" si="576"/>
        <v>82</v>
      </c>
      <c r="CU95" s="103">
        <f t="shared" si="816"/>
        <v>73</v>
      </c>
      <c r="CV95" s="62">
        <f t="shared" si="625"/>
        <v>9</v>
      </c>
      <c r="CX95" s="120">
        <f t="shared" si="817"/>
        <v>23</v>
      </c>
      <c r="CY95" s="7">
        <f t="shared" si="818"/>
        <v>12</v>
      </c>
      <c r="CZ95" s="133"/>
      <c r="DA95" s="14">
        <f t="shared" si="434"/>
        <v>14701</v>
      </c>
      <c r="DB95" s="59">
        <f t="shared" si="486"/>
        <v>14700</v>
      </c>
      <c r="DC95" s="405"/>
      <c r="DD95" s="406">
        <v>1</v>
      </c>
      <c r="DE95" s="406"/>
      <c r="DF95" s="14">
        <f t="shared" si="684"/>
        <v>1</v>
      </c>
      <c r="DG95" s="14">
        <f t="shared" si="664"/>
        <v>27</v>
      </c>
      <c r="DH95" s="14">
        <f t="shared" si="577"/>
        <v>0.16</v>
      </c>
      <c r="DI95" s="47">
        <f t="shared" si="785"/>
        <v>6.8022583497721247E-3</v>
      </c>
      <c r="DJ95" s="35">
        <f t="shared" si="578"/>
        <v>3.5200000000000009</v>
      </c>
      <c r="DK95" s="157">
        <f t="shared" si="786"/>
        <v>0.18338653806968688</v>
      </c>
      <c r="DL95" s="134">
        <v>1850</v>
      </c>
      <c r="DM95" s="14">
        <f t="shared" si="579"/>
        <v>58</v>
      </c>
      <c r="DN95" s="442">
        <f t="shared" si="787"/>
        <v>125.84177947078429</v>
      </c>
      <c r="DO95" s="68">
        <f t="shared" si="666"/>
        <v>339.7351470757315</v>
      </c>
      <c r="DP95" s="51">
        <f t="shared" si="580"/>
        <v>950</v>
      </c>
      <c r="DQ95" s="103">
        <f t="shared" si="819"/>
        <v>851</v>
      </c>
      <c r="DR95" s="46">
        <f t="shared" si="739"/>
        <v>99</v>
      </c>
      <c r="DS95" s="51">
        <f t="shared" si="581"/>
        <v>82</v>
      </c>
      <c r="DT95" s="103">
        <f t="shared" si="820"/>
        <v>65</v>
      </c>
      <c r="DU95" s="62">
        <f t="shared" si="654"/>
        <v>17</v>
      </c>
      <c r="DW95" s="120">
        <f t="shared" si="821"/>
        <v>23</v>
      </c>
      <c r="DX95" s="7">
        <f t="shared" si="822"/>
        <v>12</v>
      </c>
      <c r="DY95" s="133"/>
      <c r="DZ95" s="14">
        <f t="shared" si="435"/>
        <v>14525</v>
      </c>
      <c r="EA95" s="59">
        <f t="shared" si="487"/>
        <v>14521</v>
      </c>
      <c r="EB95" s="405"/>
      <c r="EC95" s="406">
        <v>4</v>
      </c>
      <c r="ED95" s="406"/>
      <c r="EE95" s="14">
        <f t="shared" si="686"/>
        <v>4</v>
      </c>
      <c r="EF95" s="14">
        <f t="shared" si="667"/>
        <v>26</v>
      </c>
      <c r="EG95" s="14">
        <f t="shared" si="582"/>
        <v>0.16</v>
      </c>
      <c r="EH95" s="47">
        <f t="shared" si="788"/>
        <v>2.7538726333907058E-2</v>
      </c>
      <c r="EI95" s="35">
        <f t="shared" si="583"/>
        <v>3.5200000000000009</v>
      </c>
      <c r="EJ95" s="157">
        <f t="shared" si="800"/>
        <v>0.17881705639614856</v>
      </c>
      <c r="EK95" s="134">
        <v>1850</v>
      </c>
      <c r="EL95" s="14">
        <f t="shared" si="584"/>
        <v>58</v>
      </c>
      <c r="EM95" s="442">
        <f t="shared" si="789"/>
        <v>127.36660929432014</v>
      </c>
      <c r="EN95" s="68">
        <f t="shared" si="669"/>
        <v>382.05599421574198</v>
      </c>
      <c r="EO95" s="51">
        <f t="shared" si="585"/>
        <v>950</v>
      </c>
      <c r="EP95" s="103">
        <f t="shared" si="823"/>
        <v>851</v>
      </c>
      <c r="EQ95" s="46">
        <f t="shared" si="740"/>
        <v>99</v>
      </c>
      <c r="ER95" s="51">
        <f t="shared" si="586"/>
        <v>82</v>
      </c>
      <c r="ES95" s="103">
        <f t="shared" si="824"/>
        <v>65</v>
      </c>
      <c r="ET95" s="62">
        <f t="shared" si="655"/>
        <v>17</v>
      </c>
      <c r="EV95" s="120">
        <f t="shared" si="825"/>
        <v>23</v>
      </c>
      <c r="EW95" s="7">
        <f t="shared" si="826"/>
        <v>12</v>
      </c>
      <c r="EX95" s="133"/>
      <c r="EY95" s="14">
        <f t="shared" si="436"/>
        <v>14227</v>
      </c>
      <c r="EZ95" s="59">
        <f t="shared" si="488"/>
        <v>14225</v>
      </c>
      <c r="FA95" s="405"/>
      <c r="FB95" s="406">
        <v>2</v>
      </c>
      <c r="FC95" s="406"/>
      <c r="FD95" s="14">
        <f t="shared" si="688"/>
        <v>2</v>
      </c>
      <c r="FE95" s="14">
        <f t="shared" si="670"/>
        <v>13</v>
      </c>
      <c r="FF95" s="14">
        <f t="shared" si="587"/>
        <v>0.16</v>
      </c>
      <c r="FG95" s="47">
        <f t="shared" si="790"/>
        <v>1.4057777465382722E-2</v>
      </c>
      <c r="FH95" s="35">
        <f t="shared" si="588"/>
        <v>3.5200000000000009</v>
      </c>
      <c r="FI95" s="157">
        <f t="shared" si="801"/>
        <v>9.1324200913242004E-2</v>
      </c>
      <c r="FJ95" s="134">
        <v>1110</v>
      </c>
      <c r="FK95" s="14">
        <f t="shared" si="589"/>
        <v>58</v>
      </c>
      <c r="FL95" s="442">
        <f t="shared" si="792"/>
        <v>78.020664932874112</v>
      </c>
      <c r="FM95" s="68">
        <f t="shared" si="672"/>
        <v>286.02277330308311</v>
      </c>
      <c r="FN95" s="51">
        <f t="shared" si="590"/>
        <v>950</v>
      </c>
      <c r="FO95" s="103">
        <f t="shared" si="827"/>
        <v>851</v>
      </c>
      <c r="FP95" s="46">
        <f t="shared" si="741"/>
        <v>99</v>
      </c>
      <c r="FQ95" s="51">
        <f t="shared" si="591"/>
        <v>82</v>
      </c>
      <c r="FR95" s="103">
        <f t="shared" si="828"/>
        <v>65</v>
      </c>
      <c r="FS95" s="62">
        <f t="shared" si="656"/>
        <v>17</v>
      </c>
      <c r="FU95" s="120">
        <f t="shared" si="829"/>
        <v>23</v>
      </c>
      <c r="FV95" s="7">
        <f t="shared" si="830"/>
        <v>12</v>
      </c>
      <c r="FW95" s="133"/>
      <c r="FX95" s="14">
        <f t="shared" si="437"/>
        <v>14182</v>
      </c>
      <c r="FY95" s="59">
        <f t="shared" si="489"/>
        <v>14179</v>
      </c>
      <c r="FZ95" s="405"/>
      <c r="GA95" s="406">
        <v>3</v>
      </c>
      <c r="GB95" s="406"/>
      <c r="GC95" s="14">
        <f t="shared" si="690"/>
        <v>3</v>
      </c>
      <c r="GD95" s="14">
        <f t="shared" si="673"/>
        <v>12</v>
      </c>
      <c r="GE95" s="14">
        <f t="shared" si="592"/>
        <v>0.16</v>
      </c>
      <c r="GF95" s="47">
        <f t="shared" si="793"/>
        <v>2.1153574954167254E-2</v>
      </c>
      <c r="GG95" s="35">
        <f t="shared" si="593"/>
        <v>3.5200000000000009</v>
      </c>
      <c r="GH95" s="157">
        <f t="shared" si="802"/>
        <v>8.4572556205511309E-2</v>
      </c>
      <c r="GI95" s="134">
        <v>1295</v>
      </c>
      <c r="GJ95" s="14">
        <f t="shared" si="594"/>
        <v>58</v>
      </c>
      <c r="GK95" s="442">
        <f t="shared" si="795"/>
        <v>91.312931885488638</v>
      </c>
      <c r="GL95" s="68">
        <f t="shared" si="675"/>
        <v>273.91120650076914</v>
      </c>
      <c r="GM95" s="51">
        <f t="shared" si="595"/>
        <v>950</v>
      </c>
      <c r="GN95" s="103">
        <f t="shared" si="831"/>
        <v>851</v>
      </c>
      <c r="GO95" s="46">
        <f t="shared" si="742"/>
        <v>99</v>
      </c>
      <c r="GP95" s="51">
        <f t="shared" si="596"/>
        <v>82</v>
      </c>
      <c r="GQ95" s="103">
        <f t="shared" si="832"/>
        <v>65</v>
      </c>
      <c r="GR95" s="62">
        <f t="shared" si="657"/>
        <v>17</v>
      </c>
      <c r="GT95" s="120">
        <f t="shared" si="833"/>
        <v>23</v>
      </c>
      <c r="GU95" s="7">
        <f t="shared" si="834"/>
        <v>12</v>
      </c>
      <c r="GV95" s="133"/>
      <c r="GW95" s="14">
        <f t="shared" si="438"/>
        <v>9176</v>
      </c>
      <c r="GX95" s="59">
        <f t="shared" si="490"/>
        <v>9171</v>
      </c>
      <c r="GY95" s="405"/>
      <c r="GZ95" s="406">
        <v>5</v>
      </c>
      <c r="HA95" s="406"/>
      <c r="HB95" s="14">
        <f t="shared" si="692"/>
        <v>5</v>
      </c>
      <c r="HC95" s="14">
        <f t="shared" si="676"/>
        <v>11</v>
      </c>
      <c r="HD95" s="14">
        <f t="shared" si="597"/>
        <v>0.16</v>
      </c>
      <c r="HE95" s="47">
        <f t="shared" si="796"/>
        <v>5.4489973844812557E-2</v>
      </c>
      <c r="HF95" s="35">
        <f t="shared" si="598"/>
        <v>3.5200000000000009</v>
      </c>
      <c r="HG95" s="157">
        <f t="shared" si="803"/>
        <v>0.11979960792855587</v>
      </c>
      <c r="HH95" s="134">
        <v>925</v>
      </c>
      <c r="HI95" s="14">
        <f t="shared" si="599"/>
        <v>58</v>
      </c>
      <c r="HJ95" s="442">
        <f t="shared" si="798"/>
        <v>100.80645161290322</v>
      </c>
      <c r="HK95" s="68">
        <f t="shared" si="678"/>
        <v>302.37981571799395</v>
      </c>
      <c r="HL95" s="51">
        <f t="shared" si="600"/>
        <v>950</v>
      </c>
      <c r="HM95" s="103">
        <f t="shared" si="835"/>
        <v>851</v>
      </c>
      <c r="HN95" s="46">
        <f t="shared" si="743"/>
        <v>99</v>
      </c>
      <c r="HO95" s="51">
        <f t="shared" si="601"/>
        <v>82</v>
      </c>
      <c r="HP95" s="103">
        <f t="shared" si="836"/>
        <v>65</v>
      </c>
      <c r="HQ95" s="62">
        <f t="shared" si="658"/>
        <v>17</v>
      </c>
    </row>
    <row r="96" spans="1:225" ht="17.25" thickBot="1" x14ac:dyDescent="0.3">
      <c r="B96" s="120">
        <f t="shared" si="837"/>
        <v>24</v>
      </c>
      <c r="C96" s="574">
        <f t="shared" si="804"/>
        <v>12</v>
      </c>
      <c r="D96" s="136"/>
      <c r="E96" s="436">
        <f t="shared" si="696"/>
        <v>68608</v>
      </c>
      <c r="F96" s="451">
        <f t="shared" si="555"/>
        <v>68602</v>
      </c>
      <c r="G96" s="421"/>
      <c r="H96" s="138">
        <v>6</v>
      </c>
      <c r="I96" s="138"/>
      <c r="J96" s="34">
        <f t="shared" si="679"/>
        <v>6</v>
      </c>
      <c r="K96" s="34">
        <f t="shared" si="604"/>
        <v>5483</v>
      </c>
      <c r="L96" s="34">
        <f t="shared" si="556"/>
        <v>0.16</v>
      </c>
      <c r="M96" s="96">
        <f t="shared" si="605"/>
        <v>8.7453358208955216E-3</v>
      </c>
      <c r="N96" s="40">
        <f t="shared" si="557"/>
        <v>3.5200000000000009</v>
      </c>
      <c r="O96" s="132">
        <f t="shared" si="606"/>
        <v>4.0653058803466964</v>
      </c>
      <c r="P96" s="139">
        <v>4914</v>
      </c>
      <c r="Q96" s="32">
        <f t="shared" si="558"/>
        <v>58</v>
      </c>
      <c r="R96" s="592">
        <f t="shared" si="559"/>
        <v>71.624300373134332</v>
      </c>
      <c r="S96" s="471">
        <f t="shared" si="650"/>
        <v>2735.9669354025123</v>
      </c>
      <c r="T96" s="56">
        <f t="shared" si="560"/>
        <v>950</v>
      </c>
      <c r="U96" s="109">
        <f t="shared" si="805"/>
        <v>909</v>
      </c>
      <c r="V96" s="63">
        <f t="shared" si="608"/>
        <v>41</v>
      </c>
      <c r="W96" s="56">
        <f t="shared" si="561"/>
        <v>82</v>
      </c>
      <c r="X96" s="109">
        <f t="shared" si="806"/>
        <v>71</v>
      </c>
      <c r="Y96" s="53">
        <f t="shared" si="610"/>
        <v>11</v>
      </c>
      <c r="Z96" s="487"/>
      <c r="AA96" s="120">
        <f t="shared" si="838"/>
        <v>24</v>
      </c>
      <c r="AB96" s="8">
        <f t="shared" si="807"/>
        <v>12</v>
      </c>
      <c r="AC96" s="136"/>
      <c r="AD96" s="54">
        <f t="shared" si="483"/>
        <v>59383</v>
      </c>
      <c r="AE96" s="55">
        <f t="shared" si="484"/>
        <v>59379</v>
      </c>
      <c r="AF96" s="421"/>
      <c r="AG96" s="138">
        <v>4</v>
      </c>
      <c r="AH96" s="138"/>
      <c r="AI96" s="34">
        <f t="shared" si="680"/>
        <v>4</v>
      </c>
      <c r="AJ96" s="34">
        <f t="shared" si="781"/>
        <v>6340</v>
      </c>
      <c r="AK96" s="17">
        <f t="shared" si="562"/>
        <v>0.16</v>
      </c>
      <c r="AL96" s="96">
        <f t="shared" si="613"/>
        <v>6.7359345267164004E-3</v>
      </c>
      <c r="AM96" s="33">
        <f t="shared" si="563"/>
        <v>3.5200000000000009</v>
      </c>
      <c r="AN96" s="157">
        <f t="shared" si="659"/>
        <v>4.1390296129942028</v>
      </c>
      <c r="AO96" s="137">
        <v>4368</v>
      </c>
      <c r="AP96" s="32">
        <f t="shared" si="564"/>
        <v>58</v>
      </c>
      <c r="AQ96" s="479">
        <f t="shared" si="614"/>
        <v>73.556405031743083</v>
      </c>
      <c r="AR96" s="471">
        <f t="shared" si="799"/>
        <v>2807.5021608882407</v>
      </c>
      <c r="AS96" s="50">
        <f t="shared" si="565"/>
        <v>950</v>
      </c>
      <c r="AT96" s="103">
        <f t="shared" si="808"/>
        <v>842</v>
      </c>
      <c r="AU96" s="63">
        <f t="shared" si="736"/>
        <v>108</v>
      </c>
      <c r="AV96" s="56">
        <f t="shared" si="566"/>
        <v>82</v>
      </c>
      <c r="AW96" s="103">
        <f t="shared" si="809"/>
        <v>78</v>
      </c>
      <c r="AX96" s="53">
        <f t="shared" si="660"/>
        <v>4</v>
      </c>
      <c r="AZ96" s="197">
        <f t="shared" si="839"/>
        <v>24</v>
      </c>
      <c r="BA96" s="8">
        <f t="shared" si="810"/>
        <v>12</v>
      </c>
      <c r="BB96" s="136"/>
      <c r="BC96" s="54">
        <f t="shared" si="518"/>
        <v>65467</v>
      </c>
      <c r="BD96" s="55">
        <f t="shared" si="485"/>
        <v>65463</v>
      </c>
      <c r="BE96" s="421"/>
      <c r="BF96" s="138">
        <v>4</v>
      </c>
      <c r="BG96" s="138"/>
      <c r="BH96" s="34">
        <f t="shared" si="681"/>
        <v>4</v>
      </c>
      <c r="BI96" s="34">
        <f t="shared" si="780"/>
        <v>1128</v>
      </c>
      <c r="BJ96" s="34">
        <f t="shared" si="567"/>
        <v>0.16</v>
      </c>
      <c r="BK96" s="96">
        <f t="shared" si="646"/>
        <v>6.109948523683688E-3</v>
      </c>
      <c r="BL96" s="40">
        <f t="shared" si="568"/>
        <v>3.5200000000000009</v>
      </c>
      <c r="BM96" s="132">
        <f t="shared" si="840"/>
        <v>1.5798319327731092</v>
      </c>
      <c r="BN96" s="137">
        <v>2730</v>
      </c>
      <c r="BO96" s="32">
        <f t="shared" si="569"/>
        <v>58</v>
      </c>
      <c r="BP96" s="443">
        <f t="shared" si="647"/>
        <v>41.700398674141177</v>
      </c>
      <c r="BQ96" s="750">
        <f t="shared" si="651"/>
        <v>2790.5287450159176</v>
      </c>
      <c r="BR96" s="56">
        <f t="shared" si="570"/>
        <v>950</v>
      </c>
      <c r="BS96" s="109">
        <f t="shared" si="811"/>
        <v>863</v>
      </c>
      <c r="BT96" s="63">
        <f t="shared" si="737"/>
        <v>87</v>
      </c>
      <c r="BU96" s="56">
        <f t="shared" si="571"/>
        <v>82</v>
      </c>
      <c r="BV96" s="109">
        <f t="shared" si="812"/>
        <v>74</v>
      </c>
      <c r="BW96" s="53">
        <f t="shared" si="661"/>
        <v>8</v>
      </c>
      <c r="BY96" s="197">
        <f>BY95+1</f>
        <v>24</v>
      </c>
      <c r="BZ96" s="8">
        <f t="shared" si="814"/>
        <v>12</v>
      </c>
      <c r="CA96" s="136"/>
      <c r="CB96" s="32">
        <f t="shared" si="662"/>
        <v>14633</v>
      </c>
      <c r="CC96" s="53">
        <f t="shared" si="682"/>
        <v>14628</v>
      </c>
      <c r="CD96" s="421"/>
      <c r="CE96" s="426">
        <v>5</v>
      </c>
      <c r="CF96" s="426"/>
      <c r="CG96" s="34">
        <f t="shared" si="683"/>
        <v>5</v>
      </c>
      <c r="CH96" s="34">
        <f t="shared" si="663"/>
        <v>28</v>
      </c>
      <c r="CI96" s="32">
        <f t="shared" si="572"/>
        <v>0.16</v>
      </c>
      <c r="CJ96" s="47">
        <f t="shared" si="782"/>
        <v>3.4169343265222439E-2</v>
      </c>
      <c r="CK96" s="36">
        <f t="shared" si="573"/>
        <v>3.5200000000000009</v>
      </c>
      <c r="CL96" s="157">
        <f t="shared" si="783"/>
        <v>0.19104803493449782</v>
      </c>
      <c r="CM96" s="137">
        <v>1295</v>
      </c>
      <c r="CN96" s="13">
        <f t="shared" si="574"/>
        <v>58</v>
      </c>
      <c r="CO96" s="442">
        <f t="shared" si="784"/>
        <v>88.498599056926125</v>
      </c>
      <c r="CP96" s="70">
        <f t="shared" si="649"/>
        <v>391.73328127392165</v>
      </c>
      <c r="CQ96" s="50">
        <f t="shared" si="575"/>
        <v>950</v>
      </c>
      <c r="CR96" s="103">
        <f t="shared" si="815"/>
        <v>877</v>
      </c>
      <c r="CS96" s="63">
        <f t="shared" si="738"/>
        <v>73</v>
      </c>
      <c r="CT96" s="12">
        <f t="shared" si="576"/>
        <v>82</v>
      </c>
      <c r="CU96" s="103">
        <f t="shared" si="816"/>
        <v>73</v>
      </c>
      <c r="CV96" s="53">
        <f t="shared" si="625"/>
        <v>9</v>
      </c>
      <c r="CX96" s="197">
        <f>CX95+1</f>
        <v>24</v>
      </c>
      <c r="CY96" s="8">
        <f t="shared" si="818"/>
        <v>12</v>
      </c>
      <c r="CZ96" s="136"/>
      <c r="DA96" s="32">
        <f t="shared" si="434"/>
        <v>14700</v>
      </c>
      <c r="DB96" s="53">
        <f t="shared" si="486"/>
        <v>14698</v>
      </c>
      <c r="DC96" s="421"/>
      <c r="DD96" s="426">
        <v>2</v>
      </c>
      <c r="DE96" s="426"/>
      <c r="DF96" s="34">
        <f t="shared" si="684"/>
        <v>2</v>
      </c>
      <c r="DG96" s="34">
        <f t="shared" si="664"/>
        <v>29</v>
      </c>
      <c r="DH96" s="32">
        <f t="shared" si="577"/>
        <v>0.16</v>
      </c>
      <c r="DI96" s="47">
        <f t="shared" si="785"/>
        <v>1.3605442176870748E-2</v>
      </c>
      <c r="DJ96" s="36">
        <f t="shared" si="578"/>
        <v>3.5200000000000009</v>
      </c>
      <c r="DK96" s="157">
        <f t="shared" si="786"/>
        <v>0.19697072607484889</v>
      </c>
      <c r="DL96" s="137">
        <v>1850</v>
      </c>
      <c r="DM96" s="13">
        <f t="shared" si="579"/>
        <v>58</v>
      </c>
      <c r="DN96" s="442">
        <f t="shared" si="787"/>
        <v>125.85034013605443</v>
      </c>
      <c r="DO96" s="70">
        <f t="shared" si="666"/>
        <v>465.5854872117859</v>
      </c>
      <c r="DP96" s="50">
        <f t="shared" si="580"/>
        <v>950</v>
      </c>
      <c r="DQ96" s="103">
        <f t="shared" si="819"/>
        <v>851</v>
      </c>
      <c r="DR96" s="63">
        <f t="shared" si="739"/>
        <v>99</v>
      </c>
      <c r="DS96" s="12">
        <f t="shared" si="581"/>
        <v>82</v>
      </c>
      <c r="DT96" s="103">
        <f t="shared" si="820"/>
        <v>65</v>
      </c>
      <c r="DU96" s="53">
        <f t="shared" si="654"/>
        <v>17</v>
      </c>
      <c r="DW96" s="197">
        <f>DW95+1</f>
        <v>24</v>
      </c>
      <c r="DX96" s="8">
        <f t="shared" si="822"/>
        <v>12</v>
      </c>
      <c r="DY96" s="136"/>
      <c r="DZ96" s="32">
        <f t="shared" si="435"/>
        <v>14521</v>
      </c>
      <c r="EA96" s="53">
        <f t="shared" si="487"/>
        <v>14518</v>
      </c>
      <c r="EB96" s="421"/>
      <c r="EC96" s="426">
        <v>3</v>
      </c>
      <c r="ED96" s="426"/>
      <c r="EE96" s="34">
        <f t="shared" si="686"/>
        <v>3</v>
      </c>
      <c r="EF96" s="34">
        <f t="shared" si="667"/>
        <v>29</v>
      </c>
      <c r="EG96" s="32">
        <f t="shared" si="582"/>
        <v>0.16</v>
      </c>
      <c r="EH96" s="47">
        <f t="shared" si="788"/>
        <v>2.0659734178086909E-2</v>
      </c>
      <c r="EI96" s="36">
        <f t="shared" si="583"/>
        <v>3.5200000000000009</v>
      </c>
      <c r="EJ96" s="157">
        <f t="shared" si="800"/>
        <v>0.19944979367262725</v>
      </c>
      <c r="EK96" s="137">
        <v>1480</v>
      </c>
      <c r="EL96" s="13">
        <f t="shared" si="584"/>
        <v>58</v>
      </c>
      <c r="EM96" s="442">
        <f t="shared" si="789"/>
        <v>101.92135527856207</v>
      </c>
      <c r="EN96" s="70">
        <f t="shared" si="669"/>
        <v>483.97734949430406</v>
      </c>
      <c r="EO96" s="50">
        <f t="shared" si="585"/>
        <v>950</v>
      </c>
      <c r="EP96" s="103">
        <f t="shared" si="823"/>
        <v>851</v>
      </c>
      <c r="EQ96" s="63">
        <f t="shared" si="740"/>
        <v>99</v>
      </c>
      <c r="ER96" s="12">
        <f t="shared" si="586"/>
        <v>82</v>
      </c>
      <c r="ES96" s="103">
        <f t="shared" si="824"/>
        <v>65</v>
      </c>
      <c r="ET96" s="53">
        <f t="shared" si="655"/>
        <v>17</v>
      </c>
      <c r="EV96" s="197">
        <f>EV95+1</f>
        <v>24</v>
      </c>
      <c r="EW96" s="8">
        <f t="shared" si="826"/>
        <v>12</v>
      </c>
      <c r="EX96" s="136"/>
      <c r="EY96" s="32">
        <f t="shared" si="436"/>
        <v>14225</v>
      </c>
      <c r="EZ96" s="53">
        <f t="shared" si="488"/>
        <v>14224</v>
      </c>
      <c r="FA96" s="421"/>
      <c r="FB96" s="426">
        <v>1</v>
      </c>
      <c r="FC96" s="426"/>
      <c r="FD96" s="34">
        <f t="shared" si="688"/>
        <v>1</v>
      </c>
      <c r="FE96" s="34">
        <f t="shared" si="670"/>
        <v>14</v>
      </c>
      <c r="FF96" s="32">
        <f t="shared" si="587"/>
        <v>0.16</v>
      </c>
      <c r="FG96" s="47">
        <f t="shared" si="790"/>
        <v>7.0298769771528994E-3</v>
      </c>
      <c r="FH96" s="36">
        <f t="shared" si="588"/>
        <v>3.5200000000000009</v>
      </c>
      <c r="FI96" s="157">
        <f t="shared" si="801"/>
        <v>9.8349139445029862E-2</v>
      </c>
      <c r="FJ96" s="137">
        <v>1850</v>
      </c>
      <c r="FK96" s="13">
        <f t="shared" si="589"/>
        <v>58</v>
      </c>
      <c r="FL96" s="442">
        <f t="shared" si="792"/>
        <v>130.05272407732866</v>
      </c>
      <c r="FM96" s="70">
        <f t="shared" si="672"/>
        <v>416.07549738041178</v>
      </c>
      <c r="FN96" s="50">
        <f t="shared" si="590"/>
        <v>950</v>
      </c>
      <c r="FO96" s="103">
        <f t="shared" si="827"/>
        <v>851</v>
      </c>
      <c r="FP96" s="63">
        <f t="shared" si="741"/>
        <v>99</v>
      </c>
      <c r="FQ96" s="12">
        <f t="shared" si="591"/>
        <v>82</v>
      </c>
      <c r="FR96" s="103">
        <f t="shared" si="828"/>
        <v>65</v>
      </c>
      <c r="FS96" s="53">
        <f t="shared" si="656"/>
        <v>17</v>
      </c>
      <c r="FU96" s="197">
        <f>FU95+1</f>
        <v>24</v>
      </c>
      <c r="FV96" s="8">
        <f t="shared" si="830"/>
        <v>12</v>
      </c>
      <c r="FW96" s="136"/>
      <c r="FX96" s="32">
        <f t="shared" si="437"/>
        <v>14179</v>
      </c>
      <c r="FY96" s="53">
        <f t="shared" si="489"/>
        <v>14177</v>
      </c>
      <c r="FZ96" s="421"/>
      <c r="GA96" s="426">
        <v>2</v>
      </c>
      <c r="GB96" s="426"/>
      <c r="GC96" s="34">
        <f t="shared" si="690"/>
        <v>2</v>
      </c>
      <c r="GD96" s="34">
        <f t="shared" si="673"/>
        <v>14</v>
      </c>
      <c r="GE96" s="32">
        <f t="shared" si="592"/>
        <v>0.16</v>
      </c>
      <c r="GF96" s="47">
        <f t="shared" si="793"/>
        <v>1.4105367092178574E-2</v>
      </c>
      <c r="GG96" s="36">
        <f t="shared" si="593"/>
        <v>3.5200000000000009</v>
      </c>
      <c r="GH96" s="157">
        <f t="shared" si="802"/>
        <v>9.8667982239763197E-2</v>
      </c>
      <c r="GI96" s="137">
        <v>925</v>
      </c>
      <c r="GJ96" s="13">
        <f t="shared" si="594"/>
        <v>58</v>
      </c>
      <c r="GK96" s="442">
        <f t="shared" si="795"/>
        <v>65.237322801325902</v>
      </c>
      <c r="GL96" s="70">
        <f t="shared" si="675"/>
        <v>339.14852930209503</v>
      </c>
      <c r="GM96" s="50">
        <f t="shared" si="595"/>
        <v>950</v>
      </c>
      <c r="GN96" s="103">
        <f t="shared" si="831"/>
        <v>851</v>
      </c>
      <c r="GO96" s="63">
        <f t="shared" si="742"/>
        <v>99</v>
      </c>
      <c r="GP96" s="12">
        <f t="shared" si="596"/>
        <v>82</v>
      </c>
      <c r="GQ96" s="103">
        <f t="shared" si="832"/>
        <v>65</v>
      </c>
      <c r="GR96" s="53">
        <f t="shared" si="657"/>
        <v>17</v>
      </c>
      <c r="GT96" s="197">
        <f>GT95+1</f>
        <v>24</v>
      </c>
      <c r="GU96" s="8">
        <f t="shared" si="834"/>
        <v>12</v>
      </c>
      <c r="GV96" s="136"/>
      <c r="GW96" s="32">
        <f t="shared" si="438"/>
        <v>9171</v>
      </c>
      <c r="GX96" s="53">
        <f t="shared" si="490"/>
        <v>9170</v>
      </c>
      <c r="GY96" s="421"/>
      <c r="GZ96" s="426">
        <v>1</v>
      </c>
      <c r="HA96" s="426"/>
      <c r="HB96" s="34">
        <f t="shared" si="692"/>
        <v>1</v>
      </c>
      <c r="HC96" s="34">
        <f t="shared" si="676"/>
        <v>12</v>
      </c>
      <c r="HD96" s="32">
        <f t="shared" si="597"/>
        <v>0.16</v>
      </c>
      <c r="HE96" s="47">
        <f t="shared" si="796"/>
        <v>1.0903936321011885E-2</v>
      </c>
      <c r="HF96" s="36">
        <f t="shared" si="598"/>
        <v>3.5200000000000009</v>
      </c>
      <c r="HG96" s="157">
        <f t="shared" si="803"/>
        <v>0.13069048137660641</v>
      </c>
      <c r="HH96" s="137">
        <v>925</v>
      </c>
      <c r="HI96" s="13">
        <f t="shared" si="599"/>
        <v>58</v>
      </c>
      <c r="HJ96" s="442">
        <f t="shared" si="798"/>
        <v>100.86141096935994</v>
      </c>
      <c r="HK96" s="70">
        <f t="shared" si="678"/>
        <v>403.2412266873539</v>
      </c>
      <c r="HL96" s="50">
        <f t="shared" si="600"/>
        <v>950</v>
      </c>
      <c r="HM96" s="103">
        <f t="shared" si="835"/>
        <v>851</v>
      </c>
      <c r="HN96" s="63">
        <f t="shared" si="743"/>
        <v>99</v>
      </c>
      <c r="HO96" s="12">
        <f t="shared" si="601"/>
        <v>82</v>
      </c>
      <c r="HP96" s="103">
        <f t="shared" si="836"/>
        <v>65</v>
      </c>
      <c r="HQ96" s="53">
        <f t="shared" si="658"/>
        <v>17</v>
      </c>
    </row>
    <row r="97" spans="1:225" ht="17.25" thickBot="1" x14ac:dyDescent="0.3">
      <c r="B97" s="118">
        <v>25</v>
      </c>
      <c r="C97" s="575">
        <v>13</v>
      </c>
      <c r="D97" s="129"/>
      <c r="E97" s="400">
        <f t="shared" si="696"/>
        <v>68602</v>
      </c>
      <c r="F97" s="561">
        <f t="shared" si="555"/>
        <v>68598</v>
      </c>
      <c r="G97" s="398"/>
      <c r="H97" s="131">
        <v>4</v>
      </c>
      <c r="I97" s="131"/>
      <c r="J97" s="11">
        <f t="shared" si="679"/>
        <v>4</v>
      </c>
      <c r="K97" s="11">
        <f t="shared" si="604"/>
        <v>5487</v>
      </c>
      <c r="L97" s="16">
        <f t="shared" si="556"/>
        <v>0.16</v>
      </c>
      <c r="M97" s="42">
        <f t="shared" si="605"/>
        <v>5.8307337978484594E-3</v>
      </c>
      <c r="N97" s="154">
        <f t="shared" si="557"/>
        <v>3.680000000000001</v>
      </c>
      <c r="O97" s="132">
        <f t="shared" si="606"/>
        <v>4.0682716333143034</v>
      </c>
      <c r="P97" s="158">
        <v>2730</v>
      </c>
      <c r="Q97" s="11">
        <f t="shared" si="558"/>
        <v>61</v>
      </c>
      <c r="R97" s="481">
        <f t="shared" si="559"/>
        <v>39.794758170315731</v>
      </c>
      <c r="S97" s="469">
        <f t="shared" si="650"/>
        <v>2775.7616935728279</v>
      </c>
      <c r="T97" s="58">
        <f t="shared" si="560"/>
        <v>1010</v>
      </c>
      <c r="U97" s="131">
        <v>973</v>
      </c>
      <c r="V97" s="41">
        <f t="shared" si="608"/>
        <v>37</v>
      </c>
      <c r="W97" s="18">
        <f t="shared" si="561"/>
        <v>82</v>
      </c>
      <c r="X97" s="131">
        <v>74</v>
      </c>
      <c r="Y97" s="41">
        <f t="shared" si="610"/>
        <v>8</v>
      </c>
      <c r="Z97" s="487"/>
      <c r="AA97" s="118">
        <v>25</v>
      </c>
      <c r="AB97" s="9">
        <v>13</v>
      </c>
      <c r="AC97" s="129"/>
      <c r="AD97" s="43">
        <f t="shared" si="483"/>
        <v>59379</v>
      </c>
      <c r="AE97" s="449">
        <f t="shared" si="484"/>
        <v>59374</v>
      </c>
      <c r="AF97" s="398"/>
      <c r="AG97" s="131">
        <v>5</v>
      </c>
      <c r="AH97" s="131"/>
      <c r="AI97" s="11">
        <f t="shared" si="680"/>
        <v>5</v>
      </c>
      <c r="AJ97" s="11">
        <f t="shared" si="781"/>
        <v>6345</v>
      </c>
      <c r="AK97" s="16">
        <f t="shared" si="562"/>
        <v>0.16</v>
      </c>
      <c r="AL97" s="42">
        <f t="shared" si="613"/>
        <v>8.4204853567759648E-3</v>
      </c>
      <c r="AM97" s="154">
        <f t="shared" si="563"/>
        <v>3.680000000000001</v>
      </c>
      <c r="AN97" s="157">
        <f t="shared" si="659"/>
        <v>4.1422938319318954</v>
      </c>
      <c r="AO97" s="130">
        <v>3276</v>
      </c>
      <c r="AP97" s="17">
        <f t="shared" si="564"/>
        <v>61</v>
      </c>
      <c r="AQ97" s="481">
        <f t="shared" si="614"/>
        <v>55.171020057596117</v>
      </c>
      <c r="AR97" s="469">
        <f t="shared" si="799"/>
        <v>2862.673180945837</v>
      </c>
      <c r="AS97" s="58">
        <f t="shared" si="565"/>
        <v>1010</v>
      </c>
      <c r="AT97" s="131">
        <v>938</v>
      </c>
      <c r="AU97" s="41">
        <f t="shared" si="736"/>
        <v>72</v>
      </c>
      <c r="AV97" s="18">
        <f t="shared" si="566"/>
        <v>82</v>
      </c>
      <c r="AW97" s="131">
        <v>84</v>
      </c>
      <c r="AX97" s="41">
        <f t="shared" si="660"/>
        <v>-2</v>
      </c>
      <c r="AZ97" s="118">
        <v>25</v>
      </c>
      <c r="BA97" s="9">
        <v>13</v>
      </c>
      <c r="BB97" s="129"/>
      <c r="BC97" s="43">
        <f t="shared" si="518"/>
        <v>65463</v>
      </c>
      <c r="BD97" s="449">
        <f t="shared" si="485"/>
        <v>65456</v>
      </c>
      <c r="BE97" s="398"/>
      <c r="BF97" s="131">
        <v>7</v>
      </c>
      <c r="BG97" s="131"/>
      <c r="BH97" s="11">
        <f t="shared" si="681"/>
        <v>7</v>
      </c>
      <c r="BI97" s="11">
        <f t="shared" si="780"/>
        <v>1135</v>
      </c>
      <c r="BJ97" s="16">
        <f t="shared" si="567"/>
        <v>0.16</v>
      </c>
      <c r="BK97" s="42">
        <f t="shared" si="646"/>
        <v>1.0693063257107067E-2</v>
      </c>
      <c r="BL97" s="154">
        <f t="shared" si="568"/>
        <v>3.680000000000001</v>
      </c>
      <c r="BM97" s="132">
        <f t="shared" si="840"/>
        <v>1.5896358543417366</v>
      </c>
      <c r="BN97" s="130">
        <v>2730</v>
      </c>
      <c r="BO97" s="11">
        <f t="shared" si="569"/>
        <v>61</v>
      </c>
      <c r="BP97" s="441">
        <f t="shared" si="647"/>
        <v>41.702946702717561</v>
      </c>
      <c r="BQ97" s="746">
        <f t="shared" si="651"/>
        <v>2832.2316917186354</v>
      </c>
      <c r="BR97" s="58">
        <f t="shared" si="570"/>
        <v>1010</v>
      </c>
      <c r="BS97" s="131">
        <v>960</v>
      </c>
      <c r="BT97" s="41">
        <f t="shared" si="737"/>
        <v>50</v>
      </c>
      <c r="BU97" s="18">
        <f t="shared" si="571"/>
        <v>82</v>
      </c>
      <c r="BV97" s="131">
        <v>85</v>
      </c>
      <c r="BW97" s="41">
        <f t="shared" si="661"/>
        <v>-3</v>
      </c>
      <c r="BY97" s="118">
        <v>25</v>
      </c>
      <c r="BZ97" s="9">
        <v>13</v>
      </c>
      <c r="CA97" s="129"/>
      <c r="CB97" s="11">
        <f t="shared" si="662"/>
        <v>14628</v>
      </c>
      <c r="CC97" s="57">
        <f t="shared" si="682"/>
        <v>14625</v>
      </c>
      <c r="CD97" s="398"/>
      <c r="CE97" s="399">
        <v>3</v>
      </c>
      <c r="CF97" s="399"/>
      <c r="CG97" s="11">
        <f t="shared" si="683"/>
        <v>3</v>
      </c>
      <c r="CH97" s="11">
        <f t="shared" si="663"/>
        <v>31</v>
      </c>
      <c r="CI97" s="17">
        <f t="shared" si="572"/>
        <v>0.16</v>
      </c>
      <c r="CJ97" s="47">
        <f t="shared" si="782"/>
        <v>2.0508613617719443E-2</v>
      </c>
      <c r="CK97" s="33">
        <f t="shared" si="573"/>
        <v>3.680000000000001</v>
      </c>
      <c r="CL97" s="157">
        <f t="shared" si="783"/>
        <v>0.2115174672489083</v>
      </c>
      <c r="CM97" s="130">
        <v>1295</v>
      </c>
      <c r="CN97" s="11">
        <f t="shared" si="574"/>
        <v>61</v>
      </c>
      <c r="CO97" s="442">
        <f t="shared" si="784"/>
        <v>88.528848783155595</v>
      </c>
      <c r="CP97" s="377">
        <f t="shared" si="649"/>
        <v>480.26213005707723</v>
      </c>
      <c r="CQ97" s="58">
        <f t="shared" si="575"/>
        <v>1010</v>
      </c>
      <c r="CR97" s="131">
        <v>949</v>
      </c>
      <c r="CS97" s="41">
        <f t="shared" si="738"/>
        <v>61</v>
      </c>
      <c r="CT97" s="18">
        <f t="shared" si="576"/>
        <v>82</v>
      </c>
      <c r="CU97" s="131">
        <v>77</v>
      </c>
      <c r="CV97" s="41">
        <f t="shared" si="625"/>
        <v>5</v>
      </c>
      <c r="CX97" s="118">
        <v>25</v>
      </c>
      <c r="CY97" s="9">
        <v>13</v>
      </c>
      <c r="CZ97" s="129"/>
      <c r="DA97" s="11">
        <f t="shared" si="434"/>
        <v>14698</v>
      </c>
      <c r="DB97" s="57">
        <f t="shared" si="486"/>
        <v>14696</v>
      </c>
      <c r="DC97" s="398"/>
      <c r="DD97" s="399">
        <v>2</v>
      </c>
      <c r="DE97" s="399"/>
      <c r="DF97" s="11">
        <f t="shared" si="684"/>
        <v>2</v>
      </c>
      <c r="DG97" s="11">
        <f t="shared" si="664"/>
        <v>31</v>
      </c>
      <c r="DH97" s="17">
        <f t="shared" si="577"/>
        <v>0.16</v>
      </c>
      <c r="DI97" s="47">
        <f t="shared" si="785"/>
        <v>1.3607293509320996E-2</v>
      </c>
      <c r="DJ97" s="33">
        <f t="shared" si="578"/>
        <v>3.680000000000001</v>
      </c>
      <c r="DK97" s="157">
        <f t="shared" si="786"/>
        <v>0.21055491408001087</v>
      </c>
      <c r="DL97" s="130">
        <v>925</v>
      </c>
      <c r="DM97" s="11">
        <f t="shared" si="579"/>
        <v>61</v>
      </c>
      <c r="DN97" s="442">
        <f t="shared" si="787"/>
        <v>62.933732480609599</v>
      </c>
      <c r="DO97" s="377">
        <f t="shared" si="666"/>
        <v>528.5192196923955</v>
      </c>
      <c r="DP97" s="58">
        <f t="shared" si="580"/>
        <v>1010</v>
      </c>
      <c r="DQ97" s="131">
        <v>946</v>
      </c>
      <c r="DR97" s="41">
        <f t="shared" si="739"/>
        <v>64</v>
      </c>
      <c r="DS97" s="18">
        <f t="shared" si="581"/>
        <v>82</v>
      </c>
      <c r="DT97" s="131">
        <v>75</v>
      </c>
      <c r="DU97" s="41">
        <f t="shared" si="654"/>
        <v>7</v>
      </c>
      <c r="DW97" s="118">
        <v>25</v>
      </c>
      <c r="DX97" s="9">
        <v>13</v>
      </c>
      <c r="DY97" s="129"/>
      <c r="DZ97" s="11">
        <f t="shared" si="435"/>
        <v>14518</v>
      </c>
      <c r="EA97" s="57">
        <f t="shared" si="487"/>
        <v>14510</v>
      </c>
      <c r="EB97" s="398"/>
      <c r="EC97" s="399">
        <v>8</v>
      </c>
      <c r="ED97" s="399"/>
      <c r="EE97" s="11">
        <f t="shared" si="686"/>
        <v>8</v>
      </c>
      <c r="EF97" s="11">
        <f t="shared" si="667"/>
        <v>37</v>
      </c>
      <c r="EG97" s="17">
        <f t="shared" si="582"/>
        <v>0.16</v>
      </c>
      <c r="EH97" s="47">
        <f t="shared" si="788"/>
        <v>5.510400881664141E-2</v>
      </c>
      <c r="EI97" s="33">
        <f t="shared" si="583"/>
        <v>3.680000000000001</v>
      </c>
      <c r="EJ97" s="157">
        <f t="shared" si="800"/>
        <v>0.25447042640990369</v>
      </c>
      <c r="EK97" s="130">
        <v>925</v>
      </c>
      <c r="EL97" s="11">
        <f t="shared" si="584"/>
        <v>61</v>
      </c>
      <c r="EM97" s="442">
        <f t="shared" si="789"/>
        <v>63.714010194241624</v>
      </c>
      <c r="EN97" s="377">
        <f t="shared" si="669"/>
        <v>547.69135968854573</v>
      </c>
      <c r="EO97" s="58">
        <f t="shared" si="585"/>
        <v>1010</v>
      </c>
      <c r="EP97" s="131">
        <v>946</v>
      </c>
      <c r="EQ97" s="41">
        <f t="shared" si="740"/>
        <v>64</v>
      </c>
      <c r="ER97" s="18">
        <f t="shared" si="586"/>
        <v>82</v>
      </c>
      <c r="ES97" s="131">
        <v>75</v>
      </c>
      <c r="ET97" s="41">
        <f t="shared" si="655"/>
        <v>7</v>
      </c>
      <c r="EV97" s="118">
        <v>25</v>
      </c>
      <c r="EW97" s="9">
        <v>13</v>
      </c>
      <c r="EX97" s="129"/>
      <c r="EY97" s="11">
        <f t="shared" si="436"/>
        <v>14224</v>
      </c>
      <c r="EZ97" s="57">
        <f t="shared" si="488"/>
        <v>14214</v>
      </c>
      <c r="FA97" s="398"/>
      <c r="FB97" s="399">
        <v>10</v>
      </c>
      <c r="FC97" s="399"/>
      <c r="FD97" s="11">
        <f t="shared" si="688"/>
        <v>10</v>
      </c>
      <c r="FE97" s="11">
        <f t="shared" si="670"/>
        <v>24</v>
      </c>
      <c r="FF97" s="17">
        <f t="shared" si="587"/>
        <v>0.16</v>
      </c>
      <c r="FG97" s="47">
        <f t="shared" si="790"/>
        <v>7.0303712035995503E-2</v>
      </c>
      <c r="FH97" s="33">
        <f t="shared" si="588"/>
        <v>3.680000000000001</v>
      </c>
      <c r="FI97" s="157">
        <f t="shared" si="801"/>
        <v>0.16859852476290832</v>
      </c>
      <c r="FJ97" s="130">
        <v>1110</v>
      </c>
      <c r="FK97" s="11">
        <f t="shared" si="589"/>
        <v>61</v>
      </c>
      <c r="FL97" s="442">
        <f t="shared" si="792"/>
        <v>78.037120359955011</v>
      </c>
      <c r="FM97" s="377">
        <f t="shared" si="672"/>
        <v>494.11261774036677</v>
      </c>
      <c r="FN97" s="58">
        <f t="shared" si="590"/>
        <v>1010</v>
      </c>
      <c r="FO97" s="131">
        <v>946</v>
      </c>
      <c r="FP97" s="41">
        <f t="shared" si="741"/>
        <v>64</v>
      </c>
      <c r="FQ97" s="18">
        <f t="shared" si="591"/>
        <v>82</v>
      </c>
      <c r="FR97" s="131">
        <v>75</v>
      </c>
      <c r="FS97" s="41">
        <f t="shared" si="656"/>
        <v>7</v>
      </c>
      <c r="FU97" s="118">
        <v>25</v>
      </c>
      <c r="FV97" s="9">
        <v>13</v>
      </c>
      <c r="FW97" s="129"/>
      <c r="FX97" s="11">
        <f t="shared" si="437"/>
        <v>14177</v>
      </c>
      <c r="FY97" s="57">
        <f t="shared" si="489"/>
        <v>14175</v>
      </c>
      <c r="FZ97" s="398"/>
      <c r="GA97" s="399">
        <v>2</v>
      </c>
      <c r="GB97" s="399"/>
      <c r="GC97" s="11">
        <f t="shared" si="690"/>
        <v>2</v>
      </c>
      <c r="GD97" s="11">
        <f t="shared" si="673"/>
        <v>16</v>
      </c>
      <c r="GE97" s="17">
        <f t="shared" si="592"/>
        <v>0.16</v>
      </c>
      <c r="GF97" s="47">
        <f t="shared" si="793"/>
        <v>1.4107356986668547E-2</v>
      </c>
      <c r="GG97" s="33">
        <f t="shared" si="593"/>
        <v>3.680000000000001</v>
      </c>
      <c r="GH97" s="157">
        <f t="shared" si="802"/>
        <v>0.11276340827401508</v>
      </c>
      <c r="GI97" s="130">
        <v>925</v>
      </c>
      <c r="GJ97" s="11">
        <f t="shared" si="594"/>
        <v>61</v>
      </c>
      <c r="GK97" s="442">
        <f t="shared" si="795"/>
        <v>65.246526063342046</v>
      </c>
      <c r="GL97" s="377">
        <f t="shared" si="675"/>
        <v>404.39505536543709</v>
      </c>
      <c r="GM97" s="58">
        <f t="shared" si="595"/>
        <v>1010</v>
      </c>
      <c r="GN97" s="131">
        <v>946</v>
      </c>
      <c r="GO97" s="41">
        <f t="shared" si="742"/>
        <v>64</v>
      </c>
      <c r="GP97" s="18">
        <f t="shared" si="596"/>
        <v>82</v>
      </c>
      <c r="GQ97" s="131">
        <v>75</v>
      </c>
      <c r="GR97" s="41">
        <f t="shared" si="657"/>
        <v>7</v>
      </c>
      <c r="GT97" s="118">
        <v>25</v>
      </c>
      <c r="GU97" s="9">
        <v>13</v>
      </c>
      <c r="GV97" s="129"/>
      <c r="GW97" s="11">
        <f t="shared" si="438"/>
        <v>9170</v>
      </c>
      <c r="GX97" s="57">
        <f t="shared" si="490"/>
        <v>9168</v>
      </c>
      <c r="GY97" s="398"/>
      <c r="GZ97" s="399">
        <v>2</v>
      </c>
      <c r="HA97" s="399"/>
      <c r="HB97" s="11">
        <f t="shared" si="692"/>
        <v>2</v>
      </c>
      <c r="HC97" s="11">
        <f t="shared" si="676"/>
        <v>14</v>
      </c>
      <c r="HD97" s="17">
        <f t="shared" si="597"/>
        <v>0.16</v>
      </c>
      <c r="HE97" s="47">
        <f t="shared" si="796"/>
        <v>2.1810250817884406E-2</v>
      </c>
      <c r="HF97" s="33">
        <f t="shared" si="598"/>
        <v>3.680000000000001</v>
      </c>
      <c r="HG97" s="157">
        <f t="shared" si="803"/>
        <v>0.15247222827270748</v>
      </c>
      <c r="HH97" s="130">
        <v>1110</v>
      </c>
      <c r="HI97" s="11">
        <f t="shared" si="599"/>
        <v>61</v>
      </c>
      <c r="HJ97" s="442">
        <f t="shared" si="798"/>
        <v>121.04689203925845</v>
      </c>
      <c r="HK97" s="377">
        <f t="shared" si="678"/>
        <v>524.28811872661231</v>
      </c>
      <c r="HL97" s="58">
        <f t="shared" si="600"/>
        <v>1010</v>
      </c>
      <c r="HM97" s="131">
        <v>946</v>
      </c>
      <c r="HN97" s="41">
        <f t="shared" si="743"/>
        <v>64</v>
      </c>
      <c r="HO97" s="18">
        <f t="shared" si="601"/>
        <v>82</v>
      </c>
      <c r="HP97" s="131">
        <v>75</v>
      </c>
      <c r="HQ97" s="41">
        <f t="shared" si="658"/>
        <v>7</v>
      </c>
    </row>
    <row r="98" spans="1:225" ht="17.25" thickBot="1" x14ac:dyDescent="0.3">
      <c r="B98" s="120">
        <f>B97+1</f>
        <v>26</v>
      </c>
      <c r="C98" s="570">
        <f>C97</f>
        <v>13</v>
      </c>
      <c r="D98" s="133"/>
      <c r="E98" s="408">
        <f t="shared" si="696"/>
        <v>68598</v>
      </c>
      <c r="F98" s="562">
        <f t="shared" si="555"/>
        <v>68594</v>
      </c>
      <c r="G98" s="405"/>
      <c r="H98" s="135">
        <v>4</v>
      </c>
      <c r="I98" s="135"/>
      <c r="J98" s="14">
        <f t="shared" si="679"/>
        <v>4</v>
      </c>
      <c r="K98" s="14">
        <f t="shared" si="604"/>
        <v>5491</v>
      </c>
      <c r="L98" s="14">
        <f t="shared" si="556"/>
        <v>0.16</v>
      </c>
      <c r="M98" s="47">
        <f t="shared" si="605"/>
        <v>5.8310737922388405E-3</v>
      </c>
      <c r="N98" s="35">
        <f t="shared" si="557"/>
        <v>3.680000000000001</v>
      </c>
      <c r="O98" s="132">
        <f t="shared" si="606"/>
        <v>4.0712373862819096</v>
      </c>
      <c r="P98" s="142">
        <v>2730</v>
      </c>
      <c r="Q98" s="14">
        <f t="shared" si="558"/>
        <v>61</v>
      </c>
      <c r="R98" s="482">
        <f t="shared" si="559"/>
        <v>39.797078632030086</v>
      </c>
      <c r="S98" s="470">
        <f t="shared" si="650"/>
        <v>2815.5587722048581</v>
      </c>
      <c r="T98" s="51">
        <f t="shared" si="560"/>
        <v>1010</v>
      </c>
      <c r="U98" s="103">
        <f>U97</f>
        <v>973</v>
      </c>
      <c r="V98" s="46">
        <f t="shared" si="608"/>
        <v>37</v>
      </c>
      <c r="W98" s="50">
        <f t="shared" si="561"/>
        <v>82</v>
      </c>
      <c r="X98" s="103">
        <f>X97</f>
        <v>74</v>
      </c>
      <c r="Y98" s="46">
        <f t="shared" si="610"/>
        <v>8</v>
      </c>
      <c r="Z98" s="487"/>
      <c r="AA98" s="120">
        <f>AA97+1</f>
        <v>26</v>
      </c>
      <c r="AB98" s="7">
        <f>AB97</f>
        <v>13</v>
      </c>
      <c r="AC98" s="133"/>
      <c r="AD98" s="48">
        <f t="shared" si="483"/>
        <v>59374</v>
      </c>
      <c r="AE98" s="196">
        <f t="shared" si="484"/>
        <v>59366</v>
      </c>
      <c r="AF98" s="405"/>
      <c r="AG98" s="135">
        <v>8</v>
      </c>
      <c r="AH98" s="135"/>
      <c r="AI98" s="14">
        <f t="shared" si="680"/>
        <v>8</v>
      </c>
      <c r="AJ98" s="14">
        <f t="shared" si="781"/>
        <v>6353</v>
      </c>
      <c r="AK98" s="14">
        <f t="shared" si="562"/>
        <v>0.16</v>
      </c>
      <c r="AL98" s="47">
        <f t="shared" si="613"/>
        <v>1.3473911139556035E-2</v>
      </c>
      <c r="AM98" s="35">
        <f t="shared" si="563"/>
        <v>3.680000000000001</v>
      </c>
      <c r="AN98" s="157">
        <f t="shared" si="659"/>
        <v>4.1475165822322033</v>
      </c>
      <c r="AO98" s="134">
        <v>3003</v>
      </c>
      <c r="AP98" s="14">
        <f t="shared" si="564"/>
        <v>61</v>
      </c>
      <c r="AQ98" s="482">
        <f t="shared" si="614"/>
        <v>50.57769394010846</v>
      </c>
      <c r="AR98" s="470">
        <f t="shared" si="799"/>
        <v>2913.2508748859454</v>
      </c>
      <c r="AS98" s="51">
        <f t="shared" si="565"/>
        <v>1010</v>
      </c>
      <c r="AT98" s="103">
        <f>AT97</f>
        <v>938</v>
      </c>
      <c r="AU98" s="46">
        <f t="shared" si="736"/>
        <v>72</v>
      </c>
      <c r="AV98" s="50">
        <f t="shared" si="566"/>
        <v>82</v>
      </c>
      <c r="AW98" s="103">
        <f>AW97</f>
        <v>84</v>
      </c>
      <c r="AX98" s="46">
        <f t="shared" si="660"/>
        <v>-2</v>
      </c>
      <c r="AZ98" s="120">
        <f>AZ97+1</f>
        <v>26</v>
      </c>
      <c r="BA98" s="7">
        <f>BA97</f>
        <v>13</v>
      </c>
      <c r="BB98" s="133"/>
      <c r="BC98" s="48">
        <f t="shared" si="518"/>
        <v>65456</v>
      </c>
      <c r="BD98" s="196">
        <f t="shared" si="485"/>
        <v>65450</v>
      </c>
      <c r="BE98" s="405"/>
      <c r="BF98" s="135">
        <v>6</v>
      </c>
      <c r="BG98" s="135"/>
      <c r="BH98" s="14">
        <f t="shared" si="681"/>
        <v>6</v>
      </c>
      <c r="BI98" s="14">
        <f t="shared" si="780"/>
        <v>1141</v>
      </c>
      <c r="BJ98" s="14">
        <f t="shared" si="567"/>
        <v>0.16</v>
      </c>
      <c r="BK98" s="47">
        <f t="shared" si="646"/>
        <v>9.1664629674896112E-3</v>
      </c>
      <c r="BL98" s="35">
        <f t="shared" si="568"/>
        <v>3.680000000000001</v>
      </c>
      <c r="BM98" s="132">
        <f t="shared" si="840"/>
        <v>1.5980392156862746</v>
      </c>
      <c r="BN98" s="134">
        <v>2730</v>
      </c>
      <c r="BO98" s="14">
        <f t="shared" si="569"/>
        <v>61</v>
      </c>
      <c r="BP98" s="442">
        <f t="shared" si="647"/>
        <v>41.707406502077731</v>
      </c>
      <c r="BQ98" s="747">
        <f t="shared" si="651"/>
        <v>2873.9390982207133</v>
      </c>
      <c r="BR98" s="51">
        <f t="shared" si="570"/>
        <v>1010</v>
      </c>
      <c r="BS98" s="103">
        <f>BS97</f>
        <v>960</v>
      </c>
      <c r="BT98" s="46">
        <f t="shared" si="737"/>
        <v>50</v>
      </c>
      <c r="BU98" s="50">
        <f t="shared" si="571"/>
        <v>82</v>
      </c>
      <c r="BV98" s="103">
        <f>BV97</f>
        <v>85</v>
      </c>
      <c r="BW98" s="46">
        <f t="shared" si="661"/>
        <v>-3</v>
      </c>
      <c r="BY98" s="120">
        <f>BY97+1</f>
        <v>26</v>
      </c>
      <c r="BZ98" s="7">
        <f>BZ97</f>
        <v>13</v>
      </c>
      <c r="CA98" s="133"/>
      <c r="CB98" s="14">
        <f t="shared" si="662"/>
        <v>14625</v>
      </c>
      <c r="CC98" s="59">
        <f t="shared" si="682"/>
        <v>14622</v>
      </c>
      <c r="CD98" s="405"/>
      <c r="CE98" s="406">
        <v>3</v>
      </c>
      <c r="CF98" s="406"/>
      <c r="CG98" s="14">
        <f t="shared" si="683"/>
        <v>3</v>
      </c>
      <c r="CH98" s="14">
        <f t="shared" si="663"/>
        <v>34</v>
      </c>
      <c r="CI98" s="14">
        <f t="shared" si="572"/>
        <v>0.16</v>
      </c>
      <c r="CJ98" s="47">
        <f t="shared" si="782"/>
        <v>2.0512820512820513E-2</v>
      </c>
      <c r="CK98" s="35">
        <f t="shared" si="573"/>
        <v>3.680000000000001</v>
      </c>
      <c r="CL98" s="157">
        <f t="shared" si="783"/>
        <v>0.23198689956331878</v>
      </c>
      <c r="CM98" s="134">
        <v>740</v>
      </c>
      <c r="CN98" s="14">
        <f t="shared" si="574"/>
        <v>61</v>
      </c>
      <c r="CO98" s="442">
        <f t="shared" si="784"/>
        <v>50.598290598290603</v>
      </c>
      <c r="CP98" s="68">
        <f t="shared" si="649"/>
        <v>530.86042065536788</v>
      </c>
      <c r="CQ98" s="51">
        <f t="shared" si="575"/>
        <v>1010</v>
      </c>
      <c r="CR98" s="103">
        <f>CR97</f>
        <v>949</v>
      </c>
      <c r="CS98" s="46">
        <f t="shared" si="738"/>
        <v>61</v>
      </c>
      <c r="CT98" s="51">
        <f t="shared" si="576"/>
        <v>82</v>
      </c>
      <c r="CU98" s="103">
        <f>CU97</f>
        <v>77</v>
      </c>
      <c r="CV98" s="46">
        <f t="shared" si="625"/>
        <v>5</v>
      </c>
      <c r="CX98" s="120">
        <f>CX97+1</f>
        <v>26</v>
      </c>
      <c r="CY98" s="7">
        <f>CY97</f>
        <v>13</v>
      </c>
      <c r="CZ98" s="133"/>
      <c r="DA98" s="14">
        <f t="shared" si="434"/>
        <v>14696</v>
      </c>
      <c r="DB98" s="59">
        <f t="shared" si="486"/>
        <v>14694</v>
      </c>
      <c r="DC98" s="405"/>
      <c r="DD98" s="406">
        <v>2</v>
      </c>
      <c r="DE98" s="406"/>
      <c r="DF98" s="14">
        <f t="shared" si="684"/>
        <v>2</v>
      </c>
      <c r="DG98" s="14">
        <f t="shared" si="664"/>
        <v>33</v>
      </c>
      <c r="DH98" s="14">
        <f t="shared" si="577"/>
        <v>0.16</v>
      </c>
      <c r="DI98" s="47">
        <f t="shared" si="785"/>
        <v>1.3609145345672292E-2</v>
      </c>
      <c r="DJ98" s="35">
        <f t="shared" si="578"/>
        <v>3.680000000000001</v>
      </c>
      <c r="DK98" s="157">
        <f t="shared" si="786"/>
        <v>0.22413910208517285</v>
      </c>
      <c r="DL98" s="134">
        <v>925</v>
      </c>
      <c r="DM98" s="14">
        <f t="shared" si="579"/>
        <v>61</v>
      </c>
      <c r="DN98" s="442">
        <f t="shared" si="787"/>
        <v>62.942297223734343</v>
      </c>
      <c r="DO98" s="68">
        <f t="shared" si="666"/>
        <v>591.46151691612988</v>
      </c>
      <c r="DP98" s="51">
        <f t="shared" si="580"/>
        <v>1010</v>
      </c>
      <c r="DQ98" s="103">
        <f>DQ97</f>
        <v>946</v>
      </c>
      <c r="DR98" s="46">
        <f t="shared" si="739"/>
        <v>64</v>
      </c>
      <c r="DS98" s="51">
        <f t="shared" si="581"/>
        <v>82</v>
      </c>
      <c r="DT98" s="103">
        <f>DT97</f>
        <v>75</v>
      </c>
      <c r="DU98" s="46">
        <f t="shared" si="654"/>
        <v>7</v>
      </c>
      <c r="DW98" s="120">
        <f>DW97+1</f>
        <v>26</v>
      </c>
      <c r="DX98" s="7">
        <f>DX97</f>
        <v>13</v>
      </c>
      <c r="DY98" s="133"/>
      <c r="DZ98" s="14">
        <f t="shared" si="435"/>
        <v>14510</v>
      </c>
      <c r="EA98" s="59">
        <f t="shared" si="487"/>
        <v>14509</v>
      </c>
      <c r="EB98" s="405"/>
      <c r="EC98" s="406">
        <v>1</v>
      </c>
      <c r="ED98" s="406"/>
      <c r="EE98" s="14">
        <f t="shared" si="686"/>
        <v>1</v>
      </c>
      <c r="EF98" s="14">
        <f t="shared" si="667"/>
        <v>38</v>
      </c>
      <c r="EG98" s="14">
        <f t="shared" si="582"/>
        <v>0.16</v>
      </c>
      <c r="EH98" s="47">
        <f t="shared" si="788"/>
        <v>6.8917987594762234E-3</v>
      </c>
      <c r="EI98" s="35">
        <f t="shared" si="583"/>
        <v>3.680000000000001</v>
      </c>
      <c r="EJ98" s="157">
        <f t="shared" si="800"/>
        <v>0.26134800550206327</v>
      </c>
      <c r="EK98" s="134">
        <v>1295</v>
      </c>
      <c r="EL98" s="14">
        <f t="shared" si="584"/>
        <v>61</v>
      </c>
      <c r="EM98" s="442">
        <f t="shared" si="789"/>
        <v>89.248793935217094</v>
      </c>
      <c r="EN98" s="68">
        <f t="shared" si="669"/>
        <v>636.94015362376285</v>
      </c>
      <c r="EO98" s="51">
        <f t="shared" si="585"/>
        <v>1010</v>
      </c>
      <c r="EP98" s="103">
        <f>EP97</f>
        <v>946</v>
      </c>
      <c r="EQ98" s="46">
        <f t="shared" si="740"/>
        <v>64</v>
      </c>
      <c r="ER98" s="51">
        <f t="shared" si="586"/>
        <v>82</v>
      </c>
      <c r="ES98" s="103">
        <f>ES97</f>
        <v>75</v>
      </c>
      <c r="ET98" s="46">
        <f t="shared" si="655"/>
        <v>7</v>
      </c>
      <c r="EV98" s="120">
        <f>EV97+1</f>
        <v>26</v>
      </c>
      <c r="EW98" s="7">
        <f>EW97</f>
        <v>13</v>
      </c>
      <c r="EX98" s="133"/>
      <c r="EY98" s="14">
        <f t="shared" si="436"/>
        <v>14214</v>
      </c>
      <c r="EZ98" s="59">
        <f t="shared" si="488"/>
        <v>14206</v>
      </c>
      <c r="FA98" s="405"/>
      <c r="FB98" s="406">
        <v>8</v>
      </c>
      <c r="FC98" s="406"/>
      <c r="FD98" s="14">
        <f t="shared" si="688"/>
        <v>8</v>
      </c>
      <c r="FE98" s="14">
        <f t="shared" si="670"/>
        <v>32</v>
      </c>
      <c r="FF98" s="14">
        <f t="shared" si="587"/>
        <v>0.16</v>
      </c>
      <c r="FG98" s="47">
        <f t="shared" si="790"/>
        <v>5.6282538342479246E-2</v>
      </c>
      <c r="FH98" s="35">
        <f t="shared" si="588"/>
        <v>3.680000000000001</v>
      </c>
      <c r="FI98" s="157">
        <f t="shared" si="801"/>
        <v>0.2247980330172111</v>
      </c>
      <c r="FJ98" s="134">
        <v>1850</v>
      </c>
      <c r="FK98" s="14">
        <f t="shared" si="589"/>
        <v>61</v>
      </c>
      <c r="FL98" s="442">
        <f t="shared" si="792"/>
        <v>130.15336991698325</v>
      </c>
      <c r="FM98" s="68">
        <f t="shared" si="672"/>
        <v>624.26598765735002</v>
      </c>
      <c r="FN98" s="51">
        <f t="shared" si="590"/>
        <v>1010</v>
      </c>
      <c r="FO98" s="103">
        <f>FO97</f>
        <v>946</v>
      </c>
      <c r="FP98" s="46">
        <f t="shared" si="741"/>
        <v>64</v>
      </c>
      <c r="FQ98" s="51">
        <f t="shared" si="591"/>
        <v>82</v>
      </c>
      <c r="FR98" s="103">
        <f>FR97</f>
        <v>75</v>
      </c>
      <c r="FS98" s="46">
        <f t="shared" si="656"/>
        <v>7</v>
      </c>
      <c r="FU98" s="120">
        <f>FU97+1</f>
        <v>26</v>
      </c>
      <c r="FV98" s="7">
        <f>FV97</f>
        <v>13</v>
      </c>
      <c r="FW98" s="133"/>
      <c r="FX98" s="14">
        <f t="shared" si="437"/>
        <v>14175</v>
      </c>
      <c r="FY98" s="59">
        <f t="shared" si="489"/>
        <v>14174</v>
      </c>
      <c r="FZ98" s="405"/>
      <c r="GA98" s="406">
        <v>1</v>
      </c>
      <c r="GB98" s="406"/>
      <c r="GC98" s="14">
        <f t="shared" si="690"/>
        <v>1</v>
      </c>
      <c r="GD98" s="14">
        <f t="shared" si="673"/>
        <v>17</v>
      </c>
      <c r="GE98" s="14">
        <f t="shared" si="592"/>
        <v>0.16</v>
      </c>
      <c r="GF98" s="47">
        <f t="shared" si="793"/>
        <v>7.0546737213403876E-3</v>
      </c>
      <c r="GG98" s="35">
        <f t="shared" si="593"/>
        <v>3.680000000000001</v>
      </c>
      <c r="GH98" s="157">
        <f t="shared" si="802"/>
        <v>0.11981112129114102</v>
      </c>
      <c r="GI98" s="134">
        <v>1480</v>
      </c>
      <c r="GJ98" s="14">
        <f t="shared" si="594"/>
        <v>61</v>
      </c>
      <c r="GK98" s="442">
        <f t="shared" si="795"/>
        <v>104.40917107583775</v>
      </c>
      <c r="GL98" s="68">
        <f t="shared" si="675"/>
        <v>508.80422644127486</v>
      </c>
      <c r="GM98" s="51">
        <f t="shared" si="595"/>
        <v>1010</v>
      </c>
      <c r="GN98" s="103">
        <f>GN97</f>
        <v>946</v>
      </c>
      <c r="GO98" s="46">
        <f t="shared" si="742"/>
        <v>64</v>
      </c>
      <c r="GP98" s="51">
        <f t="shared" si="596"/>
        <v>82</v>
      </c>
      <c r="GQ98" s="103">
        <f>GQ97</f>
        <v>75</v>
      </c>
      <c r="GR98" s="46">
        <f t="shared" si="657"/>
        <v>7</v>
      </c>
      <c r="GT98" s="120">
        <f>GT97+1</f>
        <v>26</v>
      </c>
      <c r="GU98" s="7">
        <f>GU97</f>
        <v>13</v>
      </c>
      <c r="GV98" s="133"/>
      <c r="GW98" s="14">
        <f t="shared" si="438"/>
        <v>9168</v>
      </c>
      <c r="GX98" s="59">
        <f t="shared" si="490"/>
        <v>9167</v>
      </c>
      <c r="GY98" s="405"/>
      <c r="GZ98" s="406">
        <v>1</v>
      </c>
      <c r="HA98" s="406"/>
      <c r="HB98" s="14">
        <f t="shared" si="692"/>
        <v>1</v>
      </c>
      <c r="HC98" s="14">
        <f t="shared" si="676"/>
        <v>15</v>
      </c>
      <c r="HD98" s="14">
        <f t="shared" si="597"/>
        <v>0.16</v>
      </c>
      <c r="HE98" s="47">
        <f t="shared" si="796"/>
        <v>1.0907504363001745E-2</v>
      </c>
      <c r="HF98" s="35">
        <f t="shared" si="598"/>
        <v>3.680000000000001</v>
      </c>
      <c r="HG98" s="157">
        <f t="shared" si="803"/>
        <v>0.16336310172075799</v>
      </c>
      <c r="HH98" s="134">
        <v>925</v>
      </c>
      <c r="HI98" s="14">
        <f t="shared" si="599"/>
        <v>61</v>
      </c>
      <c r="HJ98" s="442">
        <f t="shared" si="798"/>
        <v>100.89441535776614</v>
      </c>
      <c r="HK98" s="68">
        <f t="shared" si="678"/>
        <v>625.1825340843784</v>
      </c>
      <c r="HL98" s="51">
        <f t="shared" si="600"/>
        <v>1010</v>
      </c>
      <c r="HM98" s="103">
        <f>HM97</f>
        <v>946</v>
      </c>
      <c r="HN98" s="46">
        <f t="shared" si="743"/>
        <v>64</v>
      </c>
      <c r="HO98" s="51">
        <f t="shared" si="601"/>
        <v>82</v>
      </c>
      <c r="HP98" s="103">
        <f>HP97</f>
        <v>75</v>
      </c>
      <c r="HQ98" s="46">
        <f t="shared" si="658"/>
        <v>7</v>
      </c>
    </row>
    <row r="99" spans="1:225" ht="17.25" thickBot="1" x14ac:dyDescent="0.3">
      <c r="B99" s="120">
        <f t="shared" ref="B99:B103" si="841">B98+1</f>
        <v>27</v>
      </c>
      <c r="C99" s="570">
        <f t="shared" ref="C99:C103" si="842">C98</f>
        <v>13</v>
      </c>
      <c r="D99" s="133"/>
      <c r="E99" s="408">
        <f t="shared" si="696"/>
        <v>68594</v>
      </c>
      <c r="F99" s="562">
        <f t="shared" si="555"/>
        <v>68592</v>
      </c>
      <c r="G99" s="134"/>
      <c r="H99" s="135">
        <v>2</v>
      </c>
      <c r="I99" s="135"/>
      <c r="J99" s="14">
        <f t="shared" si="679"/>
        <v>2</v>
      </c>
      <c r="K99" s="14">
        <f t="shared" si="604"/>
        <v>5493</v>
      </c>
      <c r="L99" s="14">
        <f t="shared" si="556"/>
        <v>0.16</v>
      </c>
      <c r="M99" s="231">
        <f t="shared" si="605"/>
        <v>2.9157069131410911E-3</v>
      </c>
      <c r="N99" s="35">
        <f t="shared" si="557"/>
        <v>3.680000000000001</v>
      </c>
      <c r="O99" s="132">
        <f t="shared" si="606"/>
        <v>4.0727202627657126</v>
      </c>
      <c r="P99" s="142">
        <v>2730</v>
      </c>
      <c r="Q99" s="14">
        <f t="shared" si="558"/>
        <v>61</v>
      </c>
      <c r="R99" s="482">
        <f t="shared" si="559"/>
        <v>39.799399364375887</v>
      </c>
      <c r="S99" s="470">
        <f t="shared" si="650"/>
        <v>2855.3581715692339</v>
      </c>
      <c r="T99" s="51">
        <f t="shared" si="560"/>
        <v>1010</v>
      </c>
      <c r="U99" s="103">
        <f t="shared" ref="U99:U103" si="843">U98</f>
        <v>973</v>
      </c>
      <c r="V99" s="46">
        <f t="shared" si="608"/>
        <v>37</v>
      </c>
      <c r="W99" s="50">
        <f t="shared" si="561"/>
        <v>82</v>
      </c>
      <c r="X99" s="103">
        <f t="shared" ref="X99:X103" si="844">X98</f>
        <v>74</v>
      </c>
      <c r="Y99" s="46">
        <f t="shared" si="610"/>
        <v>8</v>
      </c>
      <c r="Z99" s="487"/>
      <c r="AA99" s="120">
        <f t="shared" ref="AA99:AA103" si="845">AA98+1</f>
        <v>27</v>
      </c>
      <c r="AB99" s="7">
        <f t="shared" ref="AB99:AB103" si="846">AB98</f>
        <v>13</v>
      </c>
      <c r="AC99" s="133"/>
      <c r="AD99" s="48">
        <f t="shared" si="483"/>
        <v>59366</v>
      </c>
      <c r="AE99" s="196">
        <f t="shared" si="484"/>
        <v>59364</v>
      </c>
      <c r="AF99" s="134"/>
      <c r="AG99" s="135">
        <v>2</v>
      </c>
      <c r="AH99" s="135"/>
      <c r="AI99" s="14">
        <f t="shared" si="680"/>
        <v>2</v>
      </c>
      <c r="AJ99" s="14">
        <f t="shared" si="781"/>
        <v>6355</v>
      </c>
      <c r="AK99" s="14">
        <f t="shared" si="562"/>
        <v>0.16</v>
      </c>
      <c r="AL99" s="231">
        <f t="shared" si="613"/>
        <v>3.3689317117542028E-3</v>
      </c>
      <c r="AM99" s="35">
        <f t="shared" si="563"/>
        <v>3.680000000000001</v>
      </c>
      <c r="AN99" s="157">
        <f t="shared" si="659"/>
        <v>4.1488222698072805</v>
      </c>
      <c r="AO99" s="134">
        <v>2730</v>
      </c>
      <c r="AP99" s="14">
        <f t="shared" si="564"/>
        <v>61</v>
      </c>
      <c r="AQ99" s="482">
        <f t="shared" si="614"/>
        <v>45.985917865444868</v>
      </c>
      <c r="AR99" s="470">
        <f t="shared" si="799"/>
        <v>2959.2367927513901</v>
      </c>
      <c r="AS99" s="51">
        <f t="shared" si="565"/>
        <v>1010</v>
      </c>
      <c r="AT99" s="103">
        <f t="shared" ref="AT99:AT103" si="847">AT98</f>
        <v>938</v>
      </c>
      <c r="AU99" s="46">
        <f t="shared" si="736"/>
        <v>72</v>
      </c>
      <c r="AV99" s="50">
        <f t="shared" si="566"/>
        <v>82</v>
      </c>
      <c r="AW99" s="103">
        <f t="shared" ref="AW99:AW103" si="848">AW98</f>
        <v>84</v>
      </c>
      <c r="AX99" s="46">
        <f t="shared" si="660"/>
        <v>-2</v>
      </c>
      <c r="AZ99" s="120">
        <f t="shared" ref="AZ99:AZ103" si="849">AZ98+1</f>
        <v>27</v>
      </c>
      <c r="BA99" s="7">
        <f t="shared" ref="BA99:BA103" si="850">BA98</f>
        <v>13</v>
      </c>
      <c r="BB99" s="133"/>
      <c r="BC99" s="48">
        <f t="shared" si="518"/>
        <v>65450</v>
      </c>
      <c r="BD99" s="196">
        <f t="shared" si="485"/>
        <v>65447</v>
      </c>
      <c r="BE99" s="134"/>
      <c r="BF99" s="135">
        <v>3</v>
      </c>
      <c r="BG99" s="135"/>
      <c r="BH99" s="14">
        <f t="shared" si="681"/>
        <v>3</v>
      </c>
      <c r="BI99" s="14">
        <f t="shared" si="780"/>
        <v>1144</v>
      </c>
      <c r="BJ99" s="14">
        <f t="shared" si="567"/>
        <v>0.16</v>
      </c>
      <c r="BK99" s="47">
        <f t="shared" si="646"/>
        <v>4.5836516424751722E-3</v>
      </c>
      <c r="BL99" s="35">
        <f t="shared" si="568"/>
        <v>3.680000000000001</v>
      </c>
      <c r="BM99" s="132">
        <f t="shared" si="840"/>
        <v>1.6022408963585435</v>
      </c>
      <c r="BN99" s="134">
        <v>3003</v>
      </c>
      <c r="BO99" s="14">
        <f t="shared" si="569"/>
        <v>61</v>
      </c>
      <c r="BP99" s="442">
        <f t="shared" si="647"/>
        <v>45.882352941176471</v>
      </c>
      <c r="BQ99" s="747">
        <f t="shared" si="651"/>
        <v>2919.8214511618899</v>
      </c>
      <c r="BR99" s="51">
        <f t="shared" si="570"/>
        <v>1010</v>
      </c>
      <c r="BS99" s="103">
        <f t="shared" ref="BS99:BS103" si="851">BS98</f>
        <v>960</v>
      </c>
      <c r="BT99" s="46">
        <f t="shared" si="737"/>
        <v>50</v>
      </c>
      <c r="BU99" s="50">
        <f t="shared" si="571"/>
        <v>82</v>
      </c>
      <c r="BV99" s="103">
        <f t="shared" ref="BV99:BV103" si="852">BV98</f>
        <v>85</v>
      </c>
      <c r="BW99" s="46">
        <f t="shared" si="661"/>
        <v>-3</v>
      </c>
      <c r="BY99" s="120">
        <f t="shared" ref="BY99:BY102" si="853">BY98+1</f>
        <v>27</v>
      </c>
      <c r="BZ99" s="7">
        <f t="shared" ref="BZ99:BZ103" si="854">BZ98</f>
        <v>13</v>
      </c>
      <c r="CA99" s="133"/>
      <c r="CB99" s="14">
        <f t="shared" si="662"/>
        <v>14622</v>
      </c>
      <c r="CC99" s="59">
        <f t="shared" si="682"/>
        <v>14617</v>
      </c>
      <c r="CD99" s="405"/>
      <c r="CE99" s="406">
        <v>5</v>
      </c>
      <c r="CF99" s="406"/>
      <c r="CG99" s="14">
        <f t="shared" si="683"/>
        <v>5</v>
      </c>
      <c r="CH99" s="14">
        <f t="shared" si="663"/>
        <v>39</v>
      </c>
      <c r="CI99" s="14">
        <f t="shared" si="572"/>
        <v>0.16</v>
      </c>
      <c r="CJ99" s="47">
        <f t="shared" si="782"/>
        <v>3.4195048556968949E-2</v>
      </c>
      <c r="CK99" s="35">
        <f t="shared" si="573"/>
        <v>3.680000000000001</v>
      </c>
      <c r="CL99" s="157">
        <f t="shared" si="783"/>
        <v>0.26610262008733626</v>
      </c>
      <c r="CM99" s="134">
        <v>1110</v>
      </c>
      <c r="CN99" s="14">
        <f t="shared" si="574"/>
        <v>61</v>
      </c>
      <c r="CO99" s="442">
        <f t="shared" si="784"/>
        <v>75.913007796471078</v>
      </c>
      <c r="CP99" s="68">
        <f t="shared" si="649"/>
        <v>606.77342845183898</v>
      </c>
      <c r="CQ99" s="51">
        <f t="shared" si="575"/>
        <v>1010</v>
      </c>
      <c r="CR99" s="103">
        <f t="shared" ref="CR99:CR103" si="855">CR98</f>
        <v>949</v>
      </c>
      <c r="CS99" s="46">
        <f t="shared" si="738"/>
        <v>61</v>
      </c>
      <c r="CT99" s="50">
        <f t="shared" si="576"/>
        <v>82</v>
      </c>
      <c r="CU99" s="103">
        <f t="shared" ref="CU99:CU103" si="856">CU98</f>
        <v>77</v>
      </c>
      <c r="CV99" s="46">
        <f t="shared" si="625"/>
        <v>5</v>
      </c>
      <c r="CX99" s="120">
        <f t="shared" ref="CX99:CX102" si="857">CX98+1</f>
        <v>27</v>
      </c>
      <c r="CY99" s="7">
        <f t="shared" ref="CY99:CY103" si="858">CY98</f>
        <v>13</v>
      </c>
      <c r="CZ99" s="133"/>
      <c r="DA99" s="14">
        <f t="shared" si="434"/>
        <v>14694</v>
      </c>
      <c r="DB99" s="59">
        <f t="shared" si="486"/>
        <v>14693</v>
      </c>
      <c r="DC99" s="405"/>
      <c r="DD99" s="406">
        <v>1</v>
      </c>
      <c r="DE99" s="406"/>
      <c r="DF99" s="14">
        <f t="shared" si="684"/>
        <v>1</v>
      </c>
      <c r="DG99" s="14">
        <f t="shared" si="664"/>
        <v>34</v>
      </c>
      <c r="DH99" s="14">
        <f t="shared" si="577"/>
        <v>0.16</v>
      </c>
      <c r="DI99" s="47">
        <f t="shared" si="785"/>
        <v>6.8054988430651967E-3</v>
      </c>
      <c r="DJ99" s="35">
        <f t="shared" si="578"/>
        <v>3.680000000000001</v>
      </c>
      <c r="DK99" s="157">
        <f t="shared" si="786"/>
        <v>0.23093119608775386</v>
      </c>
      <c r="DL99" s="134">
        <v>1850</v>
      </c>
      <c r="DM99" s="14">
        <f t="shared" si="579"/>
        <v>61</v>
      </c>
      <c r="DN99" s="442">
        <f t="shared" si="787"/>
        <v>125.90172859670615</v>
      </c>
      <c r="DO99" s="68">
        <f t="shared" si="666"/>
        <v>717.36324551283599</v>
      </c>
      <c r="DP99" s="51">
        <f t="shared" si="580"/>
        <v>1010</v>
      </c>
      <c r="DQ99" s="103">
        <f t="shared" ref="DQ99:DQ103" si="859">DQ98</f>
        <v>946</v>
      </c>
      <c r="DR99" s="46">
        <f t="shared" si="739"/>
        <v>64</v>
      </c>
      <c r="DS99" s="50">
        <f t="shared" si="581"/>
        <v>82</v>
      </c>
      <c r="DT99" s="103">
        <f t="shared" ref="DT99:DT103" si="860">DT98</f>
        <v>75</v>
      </c>
      <c r="DU99" s="46">
        <f t="shared" si="654"/>
        <v>7</v>
      </c>
      <c r="DW99" s="120">
        <f t="shared" ref="DW99:DW102" si="861">DW98+1</f>
        <v>27</v>
      </c>
      <c r="DX99" s="7">
        <f t="shared" ref="DX99:DX103" si="862">DX98</f>
        <v>13</v>
      </c>
      <c r="DY99" s="133"/>
      <c r="DZ99" s="14">
        <f t="shared" si="435"/>
        <v>14509</v>
      </c>
      <c r="EA99" s="59">
        <f t="shared" si="487"/>
        <v>14504</v>
      </c>
      <c r="EB99" s="405"/>
      <c r="EC99" s="406">
        <v>5</v>
      </c>
      <c r="ED99" s="406"/>
      <c r="EE99" s="14">
        <f t="shared" si="686"/>
        <v>5</v>
      </c>
      <c r="EF99" s="14">
        <f t="shared" si="667"/>
        <v>43</v>
      </c>
      <c r="EG99" s="14">
        <f t="shared" si="582"/>
        <v>0.16</v>
      </c>
      <c r="EH99" s="47">
        <f t="shared" si="788"/>
        <v>3.4461368805568958E-2</v>
      </c>
      <c r="EI99" s="35">
        <f t="shared" si="583"/>
        <v>3.680000000000001</v>
      </c>
      <c r="EJ99" s="157">
        <f t="shared" si="800"/>
        <v>0.29573590096286106</v>
      </c>
      <c r="EK99" s="134">
        <v>1850</v>
      </c>
      <c r="EL99" s="14">
        <f t="shared" si="584"/>
        <v>61</v>
      </c>
      <c r="EM99" s="442">
        <f t="shared" si="789"/>
        <v>127.50706458060515</v>
      </c>
      <c r="EN99" s="68">
        <f t="shared" si="669"/>
        <v>764.44721820436803</v>
      </c>
      <c r="EO99" s="51">
        <f t="shared" si="585"/>
        <v>1010</v>
      </c>
      <c r="EP99" s="103">
        <f t="shared" ref="EP99:EP103" si="863">EP98</f>
        <v>946</v>
      </c>
      <c r="EQ99" s="46">
        <f t="shared" si="740"/>
        <v>64</v>
      </c>
      <c r="ER99" s="50">
        <f t="shared" si="586"/>
        <v>82</v>
      </c>
      <c r="ES99" s="103">
        <f t="shared" ref="ES99:ES103" si="864">ES98</f>
        <v>75</v>
      </c>
      <c r="ET99" s="46">
        <f t="shared" si="655"/>
        <v>7</v>
      </c>
      <c r="EV99" s="120">
        <f t="shared" ref="EV99:EV102" si="865">EV98+1</f>
        <v>27</v>
      </c>
      <c r="EW99" s="7">
        <f t="shared" ref="EW99:EW103" si="866">EW98</f>
        <v>13</v>
      </c>
      <c r="EX99" s="133"/>
      <c r="EY99" s="14">
        <f t="shared" si="436"/>
        <v>14206</v>
      </c>
      <c r="EZ99" s="59">
        <f t="shared" si="488"/>
        <v>14202</v>
      </c>
      <c r="FA99" s="405"/>
      <c r="FB99" s="406">
        <v>4</v>
      </c>
      <c r="FC99" s="406"/>
      <c r="FD99" s="14">
        <f t="shared" si="688"/>
        <v>4</v>
      </c>
      <c r="FE99" s="14">
        <f t="shared" si="670"/>
        <v>36</v>
      </c>
      <c r="FF99" s="14">
        <f t="shared" si="587"/>
        <v>0.16</v>
      </c>
      <c r="FG99" s="47">
        <f t="shared" si="790"/>
        <v>2.8157116711248768E-2</v>
      </c>
      <c r="FH99" s="35">
        <f t="shared" si="588"/>
        <v>3.680000000000001</v>
      </c>
      <c r="FI99" s="157">
        <f t="shared" si="801"/>
        <v>0.25289778714436251</v>
      </c>
      <c r="FJ99" s="134">
        <v>1850</v>
      </c>
      <c r="FK99" s="14">
        <f t="shared" si="589"/>
        <v>61</v>
      </c>
      <c r="FL99" s="442">
        <f t="shared" si="792"/>
        <v>130.22666478952556</v>
      </c>
      <c r="FM99" s="68">
        <f t="shared" si="672"/>
        <v>754.49265244687558</v>
      </c>
      <c r="FN99" s="51">
        <f t="shared" si="590"/>
        <v>1010</v>
      </c>
      <c r="FO99" s="103">
        <f t="shared" ref="FO99:FO103" si="867">FO98</f>
        <v>946</v>
      </c>
      <c r="FP99" s="46">
        <f t="shared" si="741"/>
        <v>64</v>
      </c>
      <c r="FQ99" s="50">
        <f t="shared" si="591"/>
        <v>82</v>
      </c>
      <c r="FR99" s="103">
        <f t="shared" ref="FR99:FR103" si="868">FR98</f>
        <v>75</v>
      </c>
      <c r="FS99" s="46">
        <f t="shared" si="656"/>
        <v>7</v>
      </c>
      <c r="FU99" s="120">
        <f t="shared" ref="FU99:FU102" si="869">FU98+1</f>
        <v>27</v>
      </c>
      <c r="FV99" s="7">
        <f t="shared" ref="FV99:FV103" si="870">FV98</f>
        <v>13</v>
      </c>
      <c r="FW99" s="133"/>
      <c r="FX99" s="14">
        <f t="shared" si="437"/>
        <v>14174</v>
      </c>
      <c r="FY99" s="59">
        <f t="shared" si="489"/>
        <v>14171</v>
      </c>
      <c r="FZ99" s="405"/>
      <c r="GA99" s="406">
        <v>3</v>
      </c>
      <c r="GB99" s="406"/>
      <c r="GC99" s="14">
        <f t="shared" si="690"/>
        <v>3</v>
      </c>
      <c r="GD99" s="14">
        <f t="shared" si="673"/>
        <v>20</v>
      </c>
      <c r="GE99" s="14">
        <f t="shared" si="592"/>
        <v>0.16</v>
      </c>
      <c r="GF99" s="47">
        <f t="shared" si="793"/>
        <v>2.1165514321998025E-2</v>
      </c>
      <c r="GG99" s="35">
        <f t="shared" si="593"/>
        <v>3.680000000000001</v>
      </c>
      <c r="GH99" s="157">
        <f t="shared" si="802"/>
        <v>0.14095426034251884</v>
      </c>
      <c r="GI99" s="134">
        <v>2960</v>
      </c>
      <c r="GJ99" s="14">
        <f t="shared" si="594"/>
        <v>61</v>
      </c>
      <c r="GK99" s="442">
        <f t="shared" si="795"/>
        <v>208.83307464371384</v>
      </c>
      <c r="GL99" s="68">
        <f t="shared" si="675"/>
        <v>717.63730108498874</v>
      </c>
      <c r="GM99" s="51">
        <f t="shared" si="595"/>
        <v>1010</v>
      </c>
      <c r="GN99" s="103">
        <f t="shared" ref="GN99:GN103" si="871">GN98</f>
        <v>946</v>
      </c>
      <c r="GO99" s="46">
        <f t="shared" si="742"/>
        <v>64</v>
      </c>
      <c r="GP99" s="50">
        <f t="shared" si="596"/>
        <v>82</v>
      </c>
      <c r="GQ99" s="103">
        <f t="shared" ref="GQ99:GQ103" si="872">GQ98</f>
        <v>75</v>
      </c>
      <c r="GR99" s="46">
        <f t="shared" si="657"/>
        <v>7</v>
      </c>
      <c r="GT99" s="120">
        <f t="shared" ref="GT99:GT102" si="873">GT98+1</f>
        <v>27</v>
      </c>
      <c r="GU99" s="7">
        <f t="shared" ref="GU99:GU103" si="874">GU98</f>
        <v>13</v>
      </c>
      <c r="GV99" s="133"/>
      <c r="GW99" s="14">
        <f t="shared" si="438"/>
        <v>9167</v>
      </c>
      <c r="GX99" s="59">
        <f t="shared" si="490"/>
        <v>9166</v>
      </c>
      <c r="GY99" s="405"/>
      <c r="GZ99" s="406">
        <v>1</v>
      </c>
      <c r="HA99" s="406"/>
      <c r="HB99" s="14">
        <f t="shared" si="692"/>
        <v>1</v>
      </c>
      <c r="HC99" s="14">
        <f t="shared" si="676"/>
        <v>16</v>
      </c>
      <c r="HD99" s="14">
        <f t="shared" si="597"/>
        <v>0.16</v>
      </c>
      <c r="HE99" s="47">
        <f t="shared" si="796"/>
        <v>1.0908694229300752E-2</v>
      </c>
      <c r="HF99" s="35">
        <f t="shared" si="598"/>
        <v>3.680000000000001</v>
      </c>
      <c r="HG99" s="157">
        <f t="shared" si="803"/>
        <v>0.17425397516880853</v>
      </c>
      <c r="HH99" s="134">
        <v>740</v>
      </c>
      <c r="HI99" s="14">
        <f t="shared" si="599"/>
        <v>61</v>
      </c>
      <c r="HJ99" s="442">
        <f t="shared" si="798"/>
        <v>80.724337296825567</v>
      </c>
      <c r="HK99" s="68">
        <f t="shared" si="678"/>
        <v>705.90687138120393</v>
      </c>
      <c r="HL99" s="51">
        <f t="shared" si="600"/>
        <v>1010</v>
      </c>
      <c r="HM99" s="103">
        <f t="shared" ref="HM99:HM103" si="875">HM98</f>
        <v>946</v>
      </c>
      <c r="HN99" s="46">
        <f t="shared" si="743"/>
        <v>64</v>
      </c>
      <c r="HO99" s="50">
        <f t="shared" si="601"/>
        <v>82</v>
      </c>
      <c r="HP99" s="103">
        <f t="shared" ref="HP99:HP103" si="876">HP98</f>
        <v>75</v>
      </c>
      <c r="HQ99" s="46">
        <f t="shared" si="658"/>
        <v>7</v>
      </c>
    </row>
    <row r="100" spans="1:225" ht="17.25" thickBot="1" x14ac:dyDescent="0.3">
      <c r="B100" s="120">
        <f t="shared" si="841"/>
        <v>28</v>
      </c>
      <c r="C100" s="570">
        <f t="shared" si="842"/>
        <v>13</v>
      </c>
      <c r="D100" s="133"/>
      <c r="E100" s="408">
        <f t="shared" si="696"/>
        <v>68592</v>
      </c>
      <c r="F100" s="562">
        <f t="shared" si="555"/>
        <v>68590</v>
      </c>
      <c r="G100" s="134"/>
      <c r="H100" s="135">
        <v>2</v>
      </c>
      <c r="I100" s="135"/>
      <c r="J100" s="14">
        <f t="shared" si="679"/>
        <v>2</v>
      </c>
      <c r="K100" s="14">
        <f t="shared" si="604"/>
        <v>5495</v>
      </c>
      <c r="L100" s="14">
        <f t="shared" si="556"/>
        <v>0.16</v>
      </c>
      <c r="M100" s="230">
        <f t="shared" si="605"/>
        <v>2.9157919290879403E-3</v>
      </c>
      <c r="N100" s="35">
        <f t="shared" si="557"/>
        <v>3.680000000000001</v>
      </c>
      <c r="O100" s="132">
        <f t="shared" si="606"/>
        <v>4.0742031392495166</v>
      </c>
      <c r="P100" s="142">
        <v>1365</v>
      </c>
      <c r="Q100" s="14">
        <f t="shared" si="558"/>
        <v>61</v>
      </c>
      <c r="R100" s="482">
        <f t="shared" si="559"/>
        <v>19.900279916025195</v>
      </c>
      <c r="S100" s="470">
        <f t="shared" si="650"/>
        <v>2875.2584514852592</v>
      </c>
      <c r="T100" s="51">
        <f t="shared" si="560"/>
        <v>1010</v>
      </c>
      <c r="U100" s="103">
        <f t="shared" si="843"/>
        <v>973</v>
      </c>
      <c r="V100" s="46">
        <f t="shared" si="608"/>
        <v>37</v>
      </c>
      <c r="W100" s="50">
        <f t="shared" si="561"/>
        <v>82</v>
      </c>
      <c r="X100" s="103">
        <f t="shared" si="844"/>
        <v>74</v>
      </c>
      <c r="Y100" s="46">
        <f t="shared" si="610"/>
        <v>8</v>
      </c>
      <c r="Z100" s="487"/>
      <c r="AA100" s="120">
        <f t="shared" si="845"/>
        <v>28</v>
      </c>
      <c r="AB100" s="7">
        <f t="shared" si="846"/>
        <v>13</v>
      </c>
      <c r="AC100" s="133"/>
      <c r="AD100" s="48">
        <f t="shared" si="483"/>
        <v>59364</v>
      </c>
      <c r="AE100" s="196">
        <f t="shared" si="484"/>
        <v>59357</v>
      </c>
      <c r="AF100" s="134"/>
      <c r="AG100" s="135">
        <v>7</v>
      </c>
      <c r="AH100" s="135"/>
      <c r="AI100" s="14">
        <f t="shared" si="680"/>
        <v>7</v>
      </c>
      <c r="AJ100" s="14">
        <f t="shared" si="781"/>
        <v>6362</v>
      </c>
      <c r="AK100" s="14">
        <f t="shared" si="562"/>
        <v>0.16</v>
      </c>
      <c r="AL100" s="230">
        <f t="shared" si="613"/>
        <v>1.1791658244053635E-2</v>
      </c>
      <c r="AM100" s="35">
        <f t="shared" si="563"/>
        <v>3.680000000000001</v>
      </c>
      <c r="AN100" s="157">
        <f t="shared" si="659"/>
        <v>4.1533921763200503</v>
      </c>
      <c r="AO100" s="134">
        <v>3549</v>
      </c>
      <c r="AP100" s="14">
        <f t="shared" si="564"/>
        <v>61</v>
      </c>
      <c r="AQ100" s="482">
        <f t="shared" si="614"/>
        <v>59.783707297351931</v>
      </c>
      <c r="AR100" s="470">
        <f t="shared" si="799"/>
        <v>3019.0205000487422</v>
      </c>
      <c r="AS100" s="51">
        <f t="shared" si="565"/>
        <v>1010</v>
      </c>
      <c r="AT100" s="103">
        <f t="shared" si="847"/>
        <v>938</v>
      </c>
      <c r="AU100" s="46">
        <f t="shared" si="736"/>
        <v>72</v>
      </c>
      <c r="AV100" s="50">
        <f t="shared" si="566"/>
        <v>82</v>
      </c>
      <c r="AW100" s="103">
        <f t="shared" si="848"/>
        <v>84</v>
      </c>
      <c r="AX100" s="46">
        <f t="shared" si="660"/>
        <v>-2</v>
      </c>
      <c r="AZ100" s="120">
        <f t="shared" si="849"/>
        <v>28</v>
      </c>
      <c r="BA100" s="7">
        <f t="shared" si="850"/>
        <v>13</v>
      </c>
      <c r="BB100" s="133"/>
      <c r="BC100" s="48">
        <f t="shared" si="518"/>
        <v>65447</v>
      </c>
      <c r="BD100" s="196">
        <f t="shared" si="485"/>
        <v>65444</v>
      </c>
      <c r="BE100" s="134"/>
      <c r="BF100" s="135">
        <v>3</v>
      </c>
      <c r="BG100" s="135"/>
      <c r="BH100" s="14">
        <f t="shared" si="681"/>
        <v>3</v>
      </c>
      <c r="BI100" s="14">
        <f t="shared" si="780"/>
        <v>1147</v>
      </c>
      <c r="BJ100" s="14">
        <f t="shared" si="567"/>
        <v>0.16</v>
      </c>
      <c r="BK100" s="47">
        <f t="shared" si="646"/>
        <v>4.5838617507295981E-3</v>
      </c>
      <c r="BL100" s="35">
        <f t="shared" si="568"/>
        <v>3.680000000000001</v>
      </c>
      <c r="BM100" s="132">
        <f t="shared" si="840"/>
        <v>1.6064425770308124</v>
      </c>
      <c r="BN100" s="134">
        <v>4095</v>
      </c>
      <c r="BO100" s="14">
        <f t="shared" si="569"/>
        <v>61</v>
      </c>
      <c r="BP100" s="442">
        <f t="shared" si="647"/>
        <v>62.569712897459013</v>
      </c>
      <c r="BQ100" s="747">
        <f t="shared" si="651"/>
        <v>2982.3911640593487</v>
      </c>
      <c r="BR100" s="51">
        <f t="shared" si="570"/>
        <v>1010</v>
      </c>
      <c r="BS100" s="103">
        <f t="shared" si="851"/>
        <v>960</v>
      </c>
      <c r="BT100" s="46">
        <f t="shared" si="737"/>
        <v>50</v>
      </c>
      <c r="BU100" s="50">
        <f t="shared" si="571"/>
        <v>82</v>
      </c>
      <c r="BV100" s="103">
        <f t="shared" si="852"/>
        <v>85</v>
      </c>
      <c r="BW100" s="46">
        <f t="shared" si="661"/>
        <v>-3</v>
      </c>
      <c r="BY100" s="120">
        <f t="shared" si="853"/>
        <v>28</v>
      </c>
      <c r="BZ100" s="7">
        <f t="shared" si="854"/>
        <v>13</v>
      </c>
      <c r="CA100" s="133"/>
      <c r="CB100" s="14">
        <f t="shared" si="662"/>
        <v>14617</v>
      </c>
      <c r="CC100" s="59">
        <f t="shared" si="682"/>
        <v>14614</v>
      </c>
      <c r="CD100" s="405"/>
      <c r="CE100" s="406">
        <v>3</v>
      </c>
      <c r="CF100" s="406"/>
      <c r="CG100" s="14">
        <f t="shared" si="683"/>
        <v>3</v>
      </c>
      <c r="CH100" s="14">
        <f t="shared" si="663"/>
        <v>42</v>
      </c>
      <c r="CI100" s="14">
        <f t="shared" si="572"/>
        <v>0.16</v>
      </c>
      <c r="CJ100" s="47">
        <f t="shared" si="782"/>
        <v>2.0524047342135868E-2</v>
      </c>
      <c r="CK100" s="35">
        <f t="shared" si="573"/>
        <v>3.680000000000001</v>
      </c>
      <c r="CL100" s="157">
        <f t="shared" si="783"/>
        <v>0.28657205240174671</v>
      </c>
      <c r="CM100" s="134">
        <v>925</v>
      </c>
      <c r="CN100" s="14">
        <f t="shared" si="574"/>
        <v>61</v>
      </c>
      <c r="CO100" s="442">
        <f t="shared" si="784"/>
        <v>63.282479304918922</v>
      </c>
      <c r="CP100" s="68">
        <f t="shared" si="649"/>
        <v>670.05590775675796</v>
      </c>
      <c r="CQ100" s="51">
        <f t="shared" si="575"/>
        <v>1010</v>
      </c>
      <c r="CR100" s="103">
        <f t="shared" si="855"/>
        <v>949</v>
      </c>
      <c r="CS100" s="46">
        <f t="shared" si="738"/>
        <v>61</v>
      </c>
      <c r="CT100" s="51">
        <f t="shared" si="576"/>
        <v>82</v>
      </c>
      <c r="CU100" s="103">
        <f t="shared" si="856"/>
        <v>77</v>
      </c>
      <c r="CV100" s="46">
        <f t="shared" si="625"/>
        <v>5</v>
      </c>
      <c r="CX100" s="120">
        <f t="shared" si="857"/>
        <v>28</v>
      </c>
      <c r="CY100" s="7">
        <f t="shared" si="858"/>
        <v>13</v>
      </c>
      <c r="CZ100" s="133"/>
      <c r="DA100" s="14">
        <f t="shared" si="434"/>
        <v>14693</v>
      </c>
      <c r="DB100" s="59">
        <f t="shared" si="486"/>
        <v>14692</v>
      </c>
      <c r="DC100" s="405"/>
      <c r="DD100" s="406">
        <v>1</v>
      </c>
      <c r="DE100" s="406"/>
      <c r="DF100" s="14">
        <f t="shared" si="684"/>
        <v>1</v>
      </c>
      <c r="DG100" s="14">
        <f t="shared" si="664"/>
        <v>35</v>
      </c>
      <c r="DH100" s="14">
        <f t="shared" si="577"/>
        <v>0.16</v>
      </c>
      <c r="DI100" s="47">
        <f t="shared" si="785"/>
        <v>6.8059620227319132E-3</v>
      </c>
      <c r="DJ100" s="35">
        <f t="shared" si="578"/>
        <v>3.680000000000001</v>
      </c>
      <c r="DK100" s="157">
        <f t="shared" si="786"/>
        <v>0.23772329009033485</v>
      </c>
      <c r="DL100" s="134">
        <v>925</v>
      </c>
      <c r="DM100" s="14">
        <f t="shared" si="579"/>
        <v>61</v>
      </c>
      <c r="DN100" s="442">
        <f t="shared" si="787"/>
        <v>62.955148710270194</v>
      </c>
      <c r="DO100" s="68">
        <f t="shared" si="666"/>
        <v>780.31839422310622</v>
      </c>
      <c r="DP100" s="51">
        <f t="shared" si="580"/>
        <v>1010</v>
      </c>
      <c r="DQ100" s="103">
        <f t="shared" si="859"/>
        <v>946</v>
      </c>
      <c r="DR100" s="46">
        <f t="shared" si="739"/>
        <v>64</v>
      </c>
      <c r="DS100" s="51">
        <f t="shared" si="581"/>
        <v>82</v>
      </c>
      <c r="DT100" s="103">
        <f t="shared" si="860"/>
        <v>75</v>
      </c>
      <c r="DU100" s="46">
        <f t="shared" si="654"/>
        <v>7</v>
      </c>
      <c r="DW100" s="120">
        <f t="shared" si="861"/>
        <v>28</v>
      </c>
      <c r="DX100" s="7">
        <f t="shared" si="862"/>
        <v>13</v>
      </c>
      <c r="DY100" s="133"/>
      <c r="DZ100" s="14">
        <f t="shared" si="435"/>
        <v>14504</v>
      </c>
      <c r="EA100" s="59">
        <f t="shared" si="487"/>
        <v>14501</v>
      </c>
      <c r="EB100" s="405"/>
      <c r="EC100" s="406">
        <v>3</v>
      </c>
      <c r="ED100" s="406"/>
      <c r="EE100" s="14">
        <f t="shared" si="686"/>
        <v>3</v>
      </c>
      <c r="EF100" s="14">
        <f t="shared" si="667"/>
        <v>46</v>
      </c>
      <c r="EG100" s="14">
        <f t="shared" si="582"/>
        <v>0.16</v>
      </c>
      <c r="EH100" s="47">
        <f t="shared" si="788"/>
        <v>2.0683949255377827E-2</v>
      </c>
      <c r="EI100" s="35">
        <f t="shared" si="583"/>
        <v>3.680000000000001</v>
      </c>
      <c r="EJ100" s="157">
        <f t="shared" si="800"/>
        <v>0.31636863823933975</v>
      </c>
      <c r="EK100" s="134">
        <v>925</v>
      </c>
      <c r="EL100" s="14">
        <f t="shared" si="584"/>
        <v>61</v>
      </c>
      <c r="EM100" s="442">
        <f t="shared" si="789"/>
        <v>63.775510204081634</v>
      </c>
      <c r="EN100" s="68">
        <f t="shared" si="669"/>
        <v>828.22272840844971</v>
      </c>
      <c r="EO100" s="51">
        <f t="shared" si="585"/>
        <v>1010</v>
      </c>
      <c r="EP100" s="103">
        <f t="shared" si="863"/>
        <v>946</v>
      </c>
      <c r="EQ100" s="46">
        <f t="shared" si="740"/>
        <v>64</v>
      </c>
      <c r="ER100" s="51">
        <f t="shared" si="586"/>
        <v>82</v>
      </c>
      <c r="ES100" s="103">
        <f t="shared" si="864"/>
        <v>75</v>
      </c>
      <c r="ET100" s="46">
        <f t="shared" si="655"/>
        <v>7</v>
      </c>
      <c r="EV100" s="120">
        <f t="shared" si="865"/>
        <v>28</v>
      </c>
      <c r="EW100" s="7">
        <f t="shared" si="866"/>
        <v>13</v>
      </c>
      <c r="EX100" s="133"/>
      <c r="EY100" s="14">
        <f t="shared" si="436"/>
        <v>14202</v>
      </c>
      <c r="EZ100" s="59">
        <f t="shared" si="488"/>
        <v>14199</v>
      </c>
      <c r="FA100" s="405"/>
      <c r="FB100" s="406">
        <v>3</v>
      </c>
      <c r="FC100" s="406"/>
      <c r="FD100" s="14">
        <f t="shared" si="688"/>
        <v>3</v>
      </c>
      <c r="FE100" s="14">
        <f t="shared" si="670"/>
        <v>39</v>
      </c>
      <c r="FF100" s="14">
        <f t="shared" si="587"/>
        <v>0.16</v>
      </c>
      <c r="FG100" s="47">
        <f t="shared" si="790"/>
        <v>2.1123785382340516E-2</v>
      </c>
      <c r="FH100" s="35">
        <f t="shared" si="588"/>
        <v>3.680000000000001</v>
      </c>
      <c r="FI100" s="157">
        <f t="shared" si="801"/>
        <v>0.27397260273972601</v>
      </c>
      <c r="FJ100" s="134">
        <v>1480</v>
      </c>
      <c r="FK100" s="14">
        <f t="shared" si="589"/>
        <v>61</v>
      </c>
      <c r="FL100" s="442">
        <f t="shared" si="792"/>
        <v>104.21067455287987</v>
      </c>
      <c r="FM100" s="68">
        <f t="shared" si="672"/>
        <v>858.7033269997554</v>
      </c>
      <c r="FN100" s="51">
        <f t="shared" si="590"/>
        <v>1010</v>
      </c>
      <c r="FO100" s="103">
        <f t="shared" si="867"/>
        <v>946</v>
      </c>
      <c r="FP100" s="46">
        <f t="shared" si="741"/>
        <v>64</v>
      </c>
      <c r="FQ100" s="51">
        <f t="shared" si="591"/>
        <v>82</v>
      </c>
      <c r="FR100" s="103">
        <f t="shared" si="868"/>
        <v>75</v>
      </c>
      <c r="FS100" s="46">
        <f t="shared" si="656"/>
        <v>7</v>
      </c>
      <c r="FU100" s="120">
        <f t="shared" si="869"/>
        <v>28</v>
      </c>
      <c r="FV100" s="7">
        <f t="shared" si="870"/>
        <v>13</v>
      </c>
      <c r="FW100" s="133"/>
      <c r="FX100" s="14">
        <f t="shared" si="437"/>
        <v>14171</v>
      </c>
      <c r="FY100" s="59">
        <f t="shared" si="489"/>
        <v>14169</v>
      </c>
      <c r="FZ100" s="405"/>
      <c r="GA100" s="406">
        <v>2</v>
      </c>
      <c r="GB100" s="406"/>
      <c r="GC100" s="14">
        <f t="shared" si="690"/>
        <v>2</v>
      </c>
      <c r="GD100" s="14">
        <f t="shared" si="673"/>
        <v>22</v>
      </c>
      <c r="GE100" s="14">
        <f t="shared" si="592"/>
        <v>0.16</v>
      </c>
      <c r="GF100" s="47">
        <f t="shared" si="793"/>
        <v>1.411333004022299E-2</v>
      </c>
      <c r="GG100" s="35">
        <f t="shared" si="593"/>
        <v>3.680000000000001</v>
      </c>
      <c r="GH100" s="157">
        <f t="shared" si="802"/>
        <v>0.15504968637677075</v>
      </c>
      <c r="GI100" s="134">
        <v>925</v>
      </c>
      <c r="GJ100" s="14">
        <f t="shared" si="594"/>
        <v>61</v>
      </c>
      <c r="GK100" s="442">
        <f t="shared" si="795"/>
        <v>65.274151436031332</v>
      </c>
      <c r="GL100" s="68">
        <f t="shared" si="675"/>
        <v>782.91145252102001</v>
      </c>
      <c r="GM100" s="51">
        <f t="shared" si="595"/>
        <v>1010</v>
      </c>
      <c r="GN100" s="103">
        <f t="shared" si="871"/>
        <v>946</v>
      </c>
      <c r="GO100" s="46">
        <f t="shared" si="742"/>
        <v>64</v>
      </c>
      <c r="GP100" s="51">
        <f t="shared" si="596"/>
        <v>82</v>
      </c>
      <c r="GQ100" s="103">
        <f t="shared" si="872"/>
        <v>75</v>
      </c>
      <c r="GR100" s="46">
        <f t="shared" si="657"/>
        <v>7</v>
      </c>
      <c r="GT100" s="120">
        <f t="shared" si="873"/>
        <v>28</v>
      </c>
      <c r="GU100" s="7">
        <f t="shared" si="874"/>
        <v>13</v>
      </c>
      <c r="GV100" s="133"/>
      <c r="GW100" s="14">
        <f t="shared" si="438"/>
        <v>9166</v>
      </c>
      <c r="GX100" s="59">
        <f t="shared" si="490"/>
        <v>9164</v>
      </c>
      <c r="GY100" s="405"/>
      <c r="GZ100" s="406">
        <v>2</v>
      </c>
      <c r="HA100" s="406"/>
      <c r="HB100" s="14">
        <f t="shared" si="692"/>
        <v>2</v>
      </c>
      <c r="HC100" s="14">
        <f t="shared" si="676"/>
        <v>18</v>
      </c>
      <c r="HD100" s="14">
        <f t="shared" si="597"/>
        <v>0.16</v>
      </c>
      <c r="HE100" s="47">
        <f t="shared" si="796"/>
        <v>2.181976871045167E-2</v>
      </c>
      <c r="HF100" s="35">
        <f t="shared" si="598"/>
        <v>3.680000000000001</v>
      </c>
      <c r="HG100" s="157">
        <f t="shared" si="803"/>
        <v>0.1960357220649096</v>
      </c>
      <c r="HH100" s="134">
        <v>185</v>
      </c>
      <c r="HI100" s="14">
        <f t="shared" si="599"/>
        <v>61</v>
      </c>
      <c r="HJ100" s="442">
        <f t="shared" si="798"/>
        <v>20.183286057167791</v>
      </c>
      <c r="HK100" s="68">
        <f t="shared" si="678"/>
        <v>726.09015743837176</v>
      </c>
      <c r="HL100" s="51">
        <f t="shared" si="600"/>
        <v>1010</v>
      </c>
      <c r="HM100" s="103">
        <f t="shared" si="875"/>
        <v>946</v>
      </c>
      <c r="HN100" s="46">
        <f t="shared" si="743"/>
        <v>64</v>
      </c>
      <c r="HO100" s="51">
        <f t="shared" si="601"/>
        <v>82</v>
      </c>
      <c r="HP100" s="103">
        <f t="shared" si="876"/>
        <v>75</v>
      </c>
      <c r="HQ100" s="46">
        <f t="shared" si="658"/>
        <v>7</v>
      </c>
    </row>
    <row r="101" spans="1:225" ht="17.25" thickBot="1" x14ac:dyDescent="0.3">
      <c r="B101" s="120">
        <f t="shared" si="841"/>
        <v>29</v>
      </c>
      <c r="C101" s="570">
        <f t="shared" si="842"/>
        <v>13</v>
      </c>
      <c r="D101" s="133"/>
      <c r="E101" s="408">
        <f t="shared" si="696"/>
        <v>68590</v>
      </c>
      <c r="F101" s="562">
        <f t="shared" si="555"/>
        <v>68586</v>
      </c>
      <c r="G101" s="134"/>
      <c r="H101" s="135">
        <v>4</v>
      </c>
      <c r="I101" s="135"/>
      <c r="J101" s="14">
        <f t="shared" si="679"/>
        <v>4</v>
      </c>
      <c r="K101" s="14">
        <f t="shared" si="604"/>
        <v>5499</v>
      </c>
      <c r="L101" s="14">
        <f t="shared" si="556"/>
        <v>0.16</v>
      </c>
      <c r="M101" s="47">
        <f t="shared" si="605"/>
        <v>5.8317538999854207E-3</v>
      </c>
      <c r="N101" s="35">
        <f t="shared" si="557"/>
        <v>3.680000000000001</v>
      </c>
      <c r="O101" s="132">
        <f t="shared" si="606"/>
        <v>4.0771688922171228</v>
      </c>
      <c r="P101" s="142">
        <v>4095</v>
      </c>
      <c r="Q101" s="14">
        <f t="shared" si="558"/>
        <v>61</v>
      </c>
      <c r="R101" s="442">
        <f t="shared" si="559"/>
        <v>59.702580551100745</v>
      </c>
      <c r="S101" s="470">
        <f t="shared" si="650"/>
        <v>2934.9610320363599</v>
      </c>
      <c r="T101" s="51">
        <f t="shared" si="560"/>
        <v>1010</v>
      </c>
      <c r="U101" s="103">
        <f t="shared" si="843"/>
        <v>973</v>
      </c>
      <c r="V101" s="46">
        <f t="shared" si="608"/>
        <v>37</v>
      </c>
      <c r="W101" s="51">
        <f t="shared" si="561"/>
        <v>82</v>
      </c>
      <c r="X101" s="103">
        <f t="shared" si="844"/>
        <v>74</v>
      </c>
      <c r="Y101" s="46">
        <f t="shared" si="610"/>
        <v>8</v>
      </c>
      <c r="Z101" s="487"/>
      <c r="AA101" s="120">
        <f t="shared" si="845"/>
        <v>29</v>
      </c>
      <c r="AB101" s="7">
        <f t="shared" si="846"/>
        <v>13</v>
      </c>
      <c r="AC101" s="133"/>
      <c r="AD101" s="48">
        <f t="shared" si="483"/>
        <v>59357</v>
      </c>
      <c r="AE101" s="196">
        <f t="shared" si="484"/>
        <v>59352</v>
      </c>
      <c r="AF101" s="134"/>
      <c r="AG101" s="135">
        <v>5</v>
      </c>
      <c r="AH101" s="135"/>
      <c r="AI101" s="14">
        <f t="shared" si="680"/>
        <v>5</v>
      </c>
      <c r="AJ101" s="14">
        <f t="shared" si="781"/>
        <v>6367</v>
      </c>
      <c r="AK101" s="14">
        <f t="shared" si="562"/>
        <v>0.16</v>
      </c>
      <c r="AL101" s="47">
        <f t="shared" si="613"/>
        <v>8.4236063143352941E-3</v>
      </c>
      <c r="AM101" s="35">
        <f t="shared" si="563"/>
        <v>3.680000000000001</v>
      </c>
      <c r="AN101" s="157">
        <f t="shared" si="659"/>
        <v>4.1566563952577429</v>
      </c>
      <c r="AO101" s="134">
        <v>4368</v>
      </c>
      <c r="AP101" s="14">
        <f t="shared" si="564"/>
        <v>61</v>
      </c>
      <c r="AQ101" s="442">
        <f t="shared" si="614"/>
        <v>73.58862476203312</v>
      </c>
      <c r="AR101" s="470">
        <f t="shared" si="799"/>
        <v>3092.6091248107755</v>
      </c>
      <c r="AS101" s="51">
        <f t="shared" si="565"/>
        <v>1010</v>
      </c>
      <c r="AT101" s="103">
        <f t="shared" si="847"/>
        <v>938</v>
      </c>
      <c r="AU101" s="46">
        <f t="shared" si="736"/>
        <v>72</v>
      </c>
      <c r="AV101" s="51">
        <f t="shared" si="566"/>
        <v>82</v>
      </c>
      <c r="AW101" s="103">
        <f t="shared" si="848"/>
        <v>84</v>
      </c>
      <c r="AX101" s="46">
        <f t="shared" si="660"/>
        <v>-2</v>
      </c>
      <c r="AZ101" s="120">
        <f t="shared" si="849"/>
        <v>29</v>
      </c>
      <c r="BA101" s="7">
        <f t="shared" si="850"/>
        <v>13</v>
      </c>
      <c r="BB101" s="133"/>
      <c r="BC101" s="48">
        <f t="shared" si="518"/>
        <v>65444</v>
      </c>
      <c r="BD101" s="196">
        <f t="shared" si="485"/>
        <v>65440</v>
      </c>
      <c r="BE101" s="134"/>
      <c r="BF101" s="135">
        <v>4</v>
      </c>
      <c r="BG101" s="135"/>
      <c r="BH101" s="14">
        <f t="shared" si="681"/>
        <v>4</v>
      </c>
      <c r="BI101" s="14">
        <f t="shared" si="780"/>
        <v>1151</v>
      </c>
      <c r="BJ101" s="14">
        <f t="shared" si="567"/>
        <v>0.16</v>
      </c>
      <c r="BK101" s="47">
        <f t="shared" si="646"/>
        <v>6.1120958376627349E-3</v>
      </c>
      <c r="BL101" s="35">
        <f t="shared" si="568"/>
        <v>3.680000000000001</v>
      </c>
      <c r="BM101" s="132">
        <f t="shared" si="840"/>
        <v>1.6120448179271709</v>
      </c>
      <c r="BN101" s="134">
        <v>2730</v>
      </c>
      <c r="BO101" s="14">
        <f t="shared" si="569"/>
        <v>61</v>
      </c>
      <c r="BP101" s="442">
        <f t="shared" si="647"/>
        <v>41.715054092048163</v>
      </c>
      <c r="BQ101" s="747">
        <f t="shared" si="651"/>
        <v>3024.1062181513971</v>
      </c>
      <c r="BR101" s="51">
        <f t="shared" si="570"/>
        <v>1010</v>
      </c>
      <c r="BS101" s="103">
        <f t="shared" si="851"/>
        <v>960</v>
      </c>
      <c r="BT101" s="46">
        <f t="shared" si="737"/>
        <v>50</v>
      </c>
      <c r="BU101" s="51">
        <f t="shared" si="571"/>
        <v>82</v>
      </c>
      <c r="BV101" s="103">
        <f t="shared" si="852"/>
        <v>85</v>
      </c>
      <c r="BW101" s="46">
        <f t="shared" si="661"/>
        <v>-3</v>
      </c>
      <c r="BY101" s="120">
        <f t="shared" si="853"/>
        <v>29</v>
      </c>
      <c r="BZ101" s="7">
        <f t="shared" si="854"/>
        <v>13</v>
      </c>
      <c r="CA101" s="133"/>
      <c r="CB101" s="14">
        <f t="shared" si="662"/>
        <v>14614</v>
      </c>
      <c r="CC101" s="59">
        <f t="shared" si="682"/>
        <v>14610</v>
      </c>
      <c r="CD101" s="405"/>
      <c r="CE101" s="406">
        <v>4</v>
      </c>
      <c r="CF101" s="406"/>
      <c r="CG101" s="14">
        <f t="shared" si="683"/>
        <v>4</v>
      </c>
      <c r="CH101" s="14">
        <f t="shared" si="663"/>
        <v>46</v>
      </c>
      <c r="CI101" s="14">
        <f t="shared" si="572"/>
        <v>0.16</v>
      </c>
      <c r="CJ101" s="47">
        <f t="shared" si="782"/>
        <v>2.737101409607226E-2</v>
      </c>
      <c r="CK101" s="35">
        <f t="shared" si="573"/>
        <v>3.680000000000001</v>
      </c>
      <c r="CL101" s="157">
        <f t="shared" si="783"/>
        <v>0.31386462882096072</v>
      </c>
      <c r="CM101" s="134">
        <v>925</v>
      </c>
      <c r="CN101" s="14">
        <f t="shared" si="574"/>
        <v>61</v>
      </c>
      <c r="CO101" s="442">
        <f t="shared" si="784"/>
        <v>63.295470097167097</v>
      </c>
      <c r="CP101" s="68">
        <f t="shared" si="649"/>
        <v>733.3513778539251</v>
      </c>
      <c r="CQ101" s="51">
        <f t="shared" si="575"/>
        <v>1010</v>
      </c>
      <c r="CR101" s="103">
        <f t="shared" si="855"/>
        <v>949</v>
      </c>
      <c r="CS101" s="46">
        <f t="shared" si="738"/>
        <v>61</v>
      </c>
      <c r="CT101" s="51">
        <f t="shared" si="576"/>
        <v>82</v>
      </c>
      <c r="CU101" s="103">
        <f t="shared" si="856"/>
        <v>77</v>
      </c>
      <c r="CV101" s="46">
        <f t="shared" si="625"/>
        <v>5</v>
      </c>
      <c r="CX101" s="120">
        <f t="shared" si="857"/>
        <v>29</v>
      </c>
      <c r="CY101" s="7">
        <f t="shared" si="858"/>
        <v>13</v>
      </c>
      <c r="CZ101" s="133"/>
      <c r="DA101" s="14">
        <f t="shared" si="434"/>
        <v>14692</v>
      </c>
      <c r="DB101" s="59">
        <f t="shared" si="486"/>
        <v>14690</v>
      </c>
      <c r="DC101" s="405"/>
      <c r="DD101" s="406">
        <v>2</v>
      </c>
      <c r="DE101" s="406"/>
      <c r="DF101" s="14">
        <f t="shared" si="684"/>
        <v>2</v>
      </c>
      <c r="DG101" s="14">
        <f t="shared" si="664"/>
        <v>37</v>
      </c>
      <c r="DH101" s="14">
        <f t="shared" si="577"/>
        <v>0.16</v>
      </c>
      <c r="DI101" s="47">
        <f t="shared" si="785"/>
        <v>1.3612850530901171E-2</v>
      </c>
      <c r="DJ101" s="35">
        <f t="shared" si="578"/>
        <v>3.680000000000001</v>
      </c>
      <c r="DK101" s="157">
        <f t="shared" si="786"/>
        <v>0.25130747809549686</v>
      </c>
      <c r="DL101" s="134">
        <v>1665</v>
      </c>
      <c r="DM101" s="14">
        <f t="shared" si="579"/>
        <v>61</v>
      </c>
      <c r="DN101" s="442">
        <f t="shared" si="787"/>
        <v>113.32698066975225</v>
      </c>
      <c r="DO101" s="68">
        <f t="shared" si="666"/>
        <v>893.64537489285851</v>
      </c>
      <c r="DP101" s="51">
        <f t="shared" si="580"/>
        <v>1010</v>
      </c>
      <c r="DQ101" s="103">
        <f t="shared" si="859"/>
        <v>946</v>
      </c>
      <c r="DR101" s="46">
        <f t="shared" si="739"/>
        <v>64</v>
      </c>
      <c r="DS101" s="51">
        <f t="shared" si="581"/>
        <v>82</v>
      </c>
      <c r="DT101" s="103">
        <f t="shared" si="860"/>
        <v>75</v>
      </c>
      <c r="DU101" s="46">
        <f t="shared" si="654"/>
        <v>7</v>
      </c>
      <c r="DW101" s="120">
        <f t="shared" si="861"/>
        <v>29</v>
      </c>
      <c r="DX101" s="7">
        <f t="shared" si="862"/>
        <v>13</v>
      </c>
      <c r="DY101" s="133"/>
      <c r="DZ101" s="14">
        <f t="shared" si="435"/>
        <v>14501</v>
      </c>
      <c r="EA101" s="59">
        <f t="shared" si="487"/>
        <v>14498</v>
      </c>
      <c r="EB101" s="405"/>
      <c r="EC101" s="406">
        <v>3</v>
      </c>
      <c r="ED101" s="406"/>
      <c r="EE101" s="14">
        <f t="shared" si="686"/>
        <v>3</v>
      </c>
      <c r="EF101" s="14">
        <f t="shared" si="667"/>
        <v>49</v>
      </c>
      <c r="EG101" s="14">
        <f t="shared" si="582"/>
        <v>0.16</v>
      </c>
      <c r="EH101" s="47">
        <f t="shared" si="788"/>
        <v>2.0688228398041516E-2</v>
      </c>
      <c r="EI101" s="35">
        <f t="shared" si="583"/>
        <v>3.680000000000001</v>
      </c>
      <c r="EJ101" s="157">
        <f t="shared" si="800"/>
        <v>0.33700137551581844</v>
      </c>
      <c r="EK101" s="134">
        <v>1850</v>
      </c>
      <c r="EL101" s="14">
        <f t="shared" si="584"/>
        <v>61</v>
      </c>
      <c r="EM101" s="442">
        <f t="shared" si="789"/>
        <v>127.57740845458935</v>
      </c>
      <c r="EN101" s="68">
        <f t="shared" si="669"/>
        <v>955.80013686303903</v>
      </c>
      <c r="EO101" s="51">
        <f t="shared" si="585"/>
        <v>1010</v>
      </c>
      <c r="EP101" s="103">
        <f t="shared" si="863"/>
        <v>946</v>
      </c>
      <c r="EQ101" s="46">
        <f t="shared" si="740"/>
        <v>64</v>
      </c>
      <c r="ER101" s="51">
        <f t="shared" si="586"/>
        <v>82</v>
      </c>
      <c r="ES101" s="103">
        <f t="shared" si="864"/>
        <v>75</v>
      </c>
      <c r="ET101" s="46">
        <f t="shared" si="655"/>
        <v>7</v>
      </c>
      <c r="EV101" s="120">
        <f t="shared" si="865"/>
        <v>29</v>
      </c>
      <c r="EW101" s="7">
        <f t="shared" si="866"/>
        <v>13</v>
      </c>
      <c r="EX101" s="133"/>
      <c r="EY101" s="14">
        <f t="shared" si="436"/>
        <v>14199</v>
      </c>
      <c r="EZ101" s="59">
        <f t="shared" si="488"/>
        <v>14195</v>
      </c>
      <c r="FA101" s="405"/>
      <c r="FB101" s="406">
        <v>4</v>
      </c>
      <c r="FC101" s="406"/>
      <c r="FD101" s="14">
        <f t="shared" si="688"/>
        <v>4</v>
      </c>
      <c r="FE101" s="14">
        <f t="shared" si="670"/>
        <v>43</v>
      </c>
      <c r="FF101" s="14">
        <f t="shared" si="587"/>
        <v>0.16</v>
      </c>
      <c r="FG101" s="47">
        <f t="shared" si="790"/>
        <v>2.817099795760265E-2</v>
      </c>
      <c r="FH101" s="35">
        <f t="shared" si="588"/>
        <v>3.680000000000001</v>
      </c>
      <c r="FI101" s="157">
        <f t="shared" si="801"/>
        <v>0.30207235686687739</v>
      </c>
      <c r="FJ101" s="134">
        <v>925</v>
      </c>
      <c r="FK101" s="14">
        <f t="shared" si="589"/>
        <v>61</v>
      </c>
      <c r="FL101" s="442">
        <f t="shared" si="792"/>
        <v>65.145432776956127</v>
      </c>
      <c r="FM101" s="68">
        <f t="shared" si="672"/>
        <v>923.84875977671152</v>
      </c>
      <c r="FN101" s="51">
        <f t="shared" si="590"/>
        <v>1010</v>
      </c>
      <c r="FO101" s="103">
        <f t="shared" si="867"/>
        <v>946</v>
      </c>
      <c r="FP101" s="46">
        <f t="shared" si="741"/>
        <v>64</v>
      </c>
      <c r="FQ101" s="51">
        <f t="shared" si="591"/>
        <v>82</v>
      </c>
      <c r="FR101" s="103">
        <f t="shared" si="868"/>
        <v>75</v>
      </c>
      <c r="FS101" s="46">
        <f t="shared" si="656"/>
        <v>7</v>
      </c>
      <c r="FU101" s="120">
        <f t="shared" si="869"/>
        <v>29</v>
      </c>
      <c r="FV101" s="7">
        <f t="shared" si="870"/>
        <v>13</v>
      </c>
      <c r="FW101" s="133"/>
      <c r="FX101" s="14">
        <f t="shared" si="437"/>
        <v>14169</v>
      </c>
      <c r="FY101" s="59">
        <f t="shared" si="489"/>
        <v>14167</v>
      </c>
      <c r="FZ101" s="405"/>
      <c r="GA101" s="406">
        <v>2</v>
      </c>
      <c r="GB101" s="406"/>
      <c r="GC101" s="14">
        <f t="shared" si="690"/>
        <v>2</v>
      </c>
      <c r="GD101" s="14">
        <f t="shared" si="673"/>
        <v>24</v>
      </c>
      <c r="GE101" s="14">
        <f t="shared" si="592"/>
        <v>0.16</v>
      </c>
      <c r="GF101" s="47">
        <f t="shared" si="793"/>
        <v>1.411532218222881E-2</v>
      </c>
      <c r="GG101" s="35">
        <f t="shared" si="593"/>
        <v>3.680000000000001</v>
      </c>
      <c r="GH101" s="157">
        <f t="shared" si="802"/>
        <v>0.16914511241102262</v>
      </c>
      <c r="GI101" s="134">
        <v>1110</v>
      </c>
      <c r="GJ101" s="14">
        <f t="shared" si="594"/>
        <v>61</v>
      </c>
      <c r="GK101" s="442">
        <f t="shared" si="795"/>
        <v>78.340038111369893</v>
      </c>
      <c r="GL101" s="68">
        <f t="shared" si="675"/>
        <v>861.25149063238996</v>
      </c>
      <c r="GM101" s="51">
        <f t="shared" si="595"/>
        <v>1010</v>
      </c>
      <c r="GN101" s="103">
        <f t="shared" si="871"/>
        <v>946</v>
      </c>
      <c r="GO101" s="46">
        <f t="shared" si="742"/>
        <v>64</v>
      </c>
      <c r="GP101" s="51">
        <f t="shared" si="596"/>
        <v>82</v>
      </c>
      <c r="GQ101" s="103">
        <f t="shared" si="872"/>
        <v>75</v>
      </c>
      <c r="GR101" s="46">
        <f t="shared" si="657"/>
        <v>7</v>
      </c>
      <c r="GT101" s="120">
        <f t="shared" si="873"/>
        <v>29</v>
      </c>
      <c r="GU101" s="7">
        <f t="shared" si="874"/>
        <v>13</v>
      </c>
      <c r="GV101" s="133"/>
      <c r="GW101" s="14">
        <f t="shared" si="438"/>
        <v>9164</v>
      </c>
      <c r="GX101" s="59">
        <f t="shared" si="490"/>
        <v>9164</v>
      </c>
      <c r="GY101" s="405"/>
      <c r="GZ101" s="406">
        <v>0</v>
      </c>
      <c r="HA101" s="406"/>
      <c r="HB101" s="14">
        <f t="shared" si="692"/>
        <v>0</v>
      </c>
      <c r="HC101" s="14">
        <f t="shared" si="676"/>
        <v>18</v>
      </c>
      <c r="HD101" s="14">
        <f t="shared" si="597"/>
        <v>0.16</v>
      </c>
      <c r="HE101" s="47">
        <f t="shared" si="796"/>
        <v>0</v>
      </c>
      <c r="HF101" s="35">
        <f t="shared" si="598"/>
        <v>3.680000000000001</v>
      </c>
      <c r="HG101" s="157">
        <f t="shared" si="803"/>
        <v>0.1960357220649096</v>
      </c>
      <c r="HH101" s="134">
        <v>925</v>
      </c>
      <c r="HI101" s="14">
        <f t="shared" si="599"/>
        <v>61</v>
      </c>
      <c r="HJ101" s="442">
        <f t="shared" si="798"/>
        <v>100.93845482322131</v>
      </c>
      <c r="HK101" s="68">
        <f t="shared" si="678"/>
        <v>827.02861226159303</v>
      </c>
      <c r="HL101" s="51">
        <f t="shared" si="600"/>
        <v>1010</v>
      </c>
      <c r="HM101" s="103">
        <f t="shared" si="875"/>
        <v>946</v>
      </c>
      <c r="HN101" s="46">
        <f t="shared" si="743"/>
        <v>64</v>
      </c>
      <c r="HO101" s="51">
        <f t="shared" si="601"/>
        <v>82</v>
      </c>
      <c r="HP101" s="103">
        <f t="shared" si="876"/>
        <v>75</v>
      </c>
      <c r="HQ101" s="46">
        <f t="shared" si="658"/>
        <v>7</v>
      </c>
    </row>
    <row r="102" spans="1:225" ht="17.25" thickBot="1" x14ac:dyDescent="0.3">
      <c r="B102" s="120">
        <f t="shared" si="841"/>
        <v>30</v>
      </c>
      <c r="C102" s="570">
        <f t="shared" si="842"/>
        <v>13</v>
      </c>
      <c r="D102" s="133"/>
      <c r="E102" s="408">
        <f t="shared" si="696"/>
        <v>68586</v>
      </c>
      <c r="F102" s="562">
        <f t="shared" si="555"/>
        <v>68582</v>
      </c>
      <c r="G102" s="134"/>
      <c r="H102" s="135">
        <v>4</v>
      </c>
      <c r="I102" s="135"/>
      <c r="J102" s="14">
        <f t="shared" si="679"/>
        <v>4</v>
      </c>
      <c r="K102" s="14">
        <f t="shared" si="604"/>
        <v>5503</v>
      </c>
      <c r="L102" s="14">
        <f t="shared" si="556"/>
        <v>0.16</v>
      </c>
      <c r="M102" s="231">
        <f t="shared" si="605"/>
        <v>5.832094013355495E-3</v>
      </c>
      <c r="N102" s="35">
        <f t="shared" si="557"/>
        <v>3.680000000000001</v>
      </c>
      <c r="O102" s="132">
        <f t="shared" si="606"/>
        <v>4.0801346451847289</v>
      </c>
      <c r="P102" s="142">
        <v>3003</v>
      </c>
      <c r="Q102" s="14">
        <f t="shared" si="558"/>
        <v>61</v>
      </c>
      <c r="R102" s="442">
        <f t="shared" ref="R102:R138" si="877">IFERROR((P102/E102)*1000,0)</f>
        <v>43.78444580526638</v>
      </c>
      <c r="S102" s="470">
        <f t="shared" si="650"/>
        <v>2978.7454778416263</v>
      </c>
      <c r="T102" s="51">
        <f t="shared" si="560"/>
        <v>1010</v>
      </c>
      <c r="U102" s="103">
        <f t="shared" si="843"/>
        <v>973</v>
      </c>
      <c r="V102" s="46">
        <f t="shared" si="608"/>
        <v>37</v>
      </c>
      <c r="W102" s="12">
        <f t="shared" ref="W102:W138" si="878">VLOOKUP(C102,LOHMANN,3,FALSE)</f>
        <v>82</v>
      </c>
      <c r="X102" s="103">
        <f t="shared" si="844"/>
        <v>74</v>
      </c>
      <c r="Y102" s="46">
        <f t="shared" si="610"/>
        <v>8</v>
      </c>
      <c r="Z102" s="487"/>
      <c r="AA102" s="120">
        <f t="shared" si="845"/>
        <v>30</v>
      </c>
      <c r="AB102" s="7">
        <f t="shared" si="846"/>
        <v>13</v>
      </c>
      <c r="AC102" s="133"/>
      <c r="AD102" s="48">
        <f t="shared" si="483"/>
        <v>59352</v>
      </c>
      <c r="AE102" s="49">
        <f t="shared" si="484"/>
        <v>59344</v>
      </c>
      <c r="AF102" s="134"/>
      <c r="AG102" s="135">
        <v>8</v>
      </c>
      <c r="AH102" s="135"/>
      <c r="AI102" s="14">
        <f t="shared" si="680"/>
        <v>8</v>
      </c>
      <c r="AJ102" s="14">
        <f t="shared" si="781"/>
        <v>6375</v>
      </c>
      <c r="AK102" s="14">
        <f t="shared" si="562"/>
        <v>0.16</v>
      </c>
      <c r="AL102" s="231">
        <f t="shared" si="613"/>
        <v>1.3478905512872355E-2</v>
      </c>
      <c r="AM102" s="35">
        <f t="shared" si="563"/>
        <v>3.680000000000001</v>
      </c>
      <c r="AN102" s="157">
        <f t="shared" si="659"/>
        <v>4.1618791455580508</v>
      </c>
      <c r="AO102" s="134">
        <v>3003</v>
      </c>
      <c r="AP102" s="14">
        <f t="shared" si="564"/>
        <v>61</v>
      </c>
      <c r="AQ102" s="442">
        <f t="shared" si="614"/>
        <v>50.596441568944599</v>
      </c>
      <c r="AR102" s="470">
        <f t="shared" si="799"/>
        <v>3143.20556637972</v>
      </c>
      <c r="AS102" s="51">
        <f t="shared" si="565"/>
        <v>1010</v>
      </c>
      <c r="AT102" s="103">
        <f t="shared" si="847"/>
        <v>938</v>
      </c>
      <c r="AU102" s="46">
        <f t="shared" si="736"/>
        <v>72</v>
      </c>
      <c r="AV102" s="12">
        <f t="shared" si="566"/>
        <v>82</v>
      </c>
      <c r="AW102" s="103">
        <f t="shared" si="848"/>
        <v>84</v>
      </c>
      <c r="AX102" s="46">
        <f t="shared" si="660"/>
        <v>-2</v>
      </c>
      <c r="AZ102" s="120">
        <f t="shared" si="849"/>
        <v>30</v>
      </c>
      <c r="BA102" s="7">
        <f t="shared" si="850"/>
        <v>13</v>
      </c>
      <c r="BB102" s="133"/>
      <c r="BC102" s="48">
        <f t="shared" si="518"/>
        <v>65440</v>
      </c>
      <c r="BD102" s="49">
        <f t="shared" si="485"/>
        <v>65435</v>
      </c>
      <c r="BE102" s="134"/>
      <c r="BF102" s="135">
        <v>5</v>
      </c>
      <c r="BG102" s="135"/>
      <c r="BH102" s="14">
        <f t="shared" si="681"/>
        <v>5</v>
      </c>
      <c r="BI102" s="14">
        <f t="shared" si="780"/>
        <v>1156</v>
      </c>
      <c r="BJ102" s="14">
        <f t="shared" si="567"/>
        <v>0.16</v>
      </c>
      <c r="BK102" s="47">
        <f t="shared" si="646"/>
        <v>7.6405867970660143E-3</v>
      </c>
      <c r="BL102" s="35">
        <f t="shared" si="568"/>
        <v>3.680000000000001</v>
      </c>
      <c r="BM102" s="132">
        <f t="shared" si="840"/>
        <v>1.6190476190476191</v>
      </c>
      <c r="BN102" s="134">
        <v>1911</v>
      </c>
      <c r="BO102" s="14">
        <f t="shared" si="569"/>
        <v>61</v>
      </c>
      <c r="BP102" s="442">
        <f t="shared" si="647"/>
        <v>29.202322738386311</v>
      </c>
      <c r="BQ102" s="747">
        <f t="shared" si="651"/>
        <v>3053.3085408897832</v>
      </c>
      <c r="BR102" s="51">
        <f t="shared" si="570"/>
        <v>1010</v>
      </c>
      <c r="BS102" s="103">
        <f t="shared" si="851"/>
        <v>960</v>
      </c>
      <c r="BT102" s="46">
        <f t="shared" si="737"/>
        <v>50</v>
      </c>
      <c r="BU102" s="12">
        <f t="shared" si="571"/>
        <v>82</v>
      </c>
      <c r="BV102" s="103">
        <f t="shared" si="852"/>
        <v>85</v>
      </c>
      <c r="BW102" s="46">
        <f t="shared" si="661"/>
        <v>-3</v>
      </c>
      <c r="BY102" s="120">
        <f t="shared" si="853"/>
        <v>30</v>
      </c>
      <c r="BZ102" s="7">
        <f t="shared" si="854"/>
        <v>13</v>
      </c>
      <c r="CA102" s="133"/>
      <c r="CB102" s="14">
        <f t="shared" si="662"/>
        <v>14610</v>
      </c>
      <c r="CC102" s="46">
        <f t="shared" si="682"/>
        <v>14609</v>
      </c>
      <c r="CD102" s="405"/>
      <c r="CE102" s="406">
        <v>1</v>
      </c>
      <c r="CF102" s="406"/>
      <c r="CG102" s="14">
        <f t="shared" si="683"/>
        <v>1</v>
      </c>
      <c r="CH102" s="14">
        <f t="shared" si="663"/>
        <v>47</v>
      </c>
      <c r="CI102" s="14">
        <f t="shared" si="572"/>
        <v>0.16</v>
      </c>
      <c r="CJ102" s="47">
        <f t="shared" si="782"/>
        <v>6.8446269678302529E-3</v>
      </c>
      <c r="CK102" s="35">
        <f t="shared" si="573"/>
        <v>3.680000000000001</v>
      </c>
      <c r="CL102" s="157">
        <f t="shared" si="783"/>
        <v>0.32068777292576417</v>
      </c>
      <c r="CM102" s="134">
        <v>1850</v>
      </c>
      <c r="CN102" s="14">
        <f t="shared" si="574"/>
        <v>61</v>
      </c>
      <c r="CO102" s="442">
        <f t="shared" si="784"/>
        <v>126.62559890485969</v>
      </c>
      <c r="CP102" s="68">
        <f t="shared" si="649"/>
        <v>859.97697675878476</v>
      </c>
      <c r="CQ102" s="51">
        <f t="shared" si="575"/>
        <v>1010</v>
      </c>
      <c r="CR102" s="103">
        <f t="shared" si="855"/>
        <v>949</v>
      </c>
      <c r="CS102" s="46">
        <f t="shared" si="738"/>
        <v>61</v>
      </c>
      <c r="CT102" s="51">
        <f t="shared" si="576"/>
        <v>82</v>
      </c>
      <c r="CU102" s="103">
        <f t="shared" si="856"/>
        <v>77</v>
      </c>
      <c r="CV102" s="46">
        <f t="shared" si="625"/>
        <v>5</v>
      </c>
      <c r="CX102" s="120">
        <f t="shared" si="857"/>
        <v>30</v>
      </c>
      <c r="CY102" s="7">
        <f t="shared" si="858"/>
        <v>13</v>
      </c>
      <c r="CZ102" s="133"/>
      <c r="DA102" s="14">
        <f t="shared" si="434"/>
        <v>14690</v>
      </c>
      <c r="DB102" s="46">
        <f t="shared" si="486"/>
        <v>14690</v>
      </c>
      <c r="DC102" s="405"/>
      <c r="DD102" s="406">
        <v>0</v>
      </c>
      <c r="DE102" s="406"/>
      <c r="DF102" s="14">
        <f t="shared" si="684"/>
        <v>0</v>
      </c>
      <c r="DG102" s="14">
        <f t="shared" si="664"/>
        <v>37</v>
      </c>
      <c r="DH102" s="14">
        <f t="shared" si="577"/>
        <v>0.16</v>
      </c>
      <c r="DI102" s="47">
        <f t="shared" si="785"/>
        <v>0</v>
      </c>
      <c r="DJ102" s="35">
        <f t="shared" si="578"/>
        <v>3.680000000000001</v>
      </c>
      <c r="DK102" s="157">
        <f t="shared" si="786"/>
        <v>0.25130747809549686</v>
      </c>
      <c r="DL102" s="134">
        <v>925</v>
      </c>
      <c r="DM102" s="14">
        <f t="shared" si="579"/>
        <v>61</v>
      </c>
      <c r="DN102" s="442">
        <f t="shared" si="787"/>
        <v>62.968005445881545</v>
      </c>
      <c r="DO102" s="68">
        <f t="shared" si="666"/>
        <v>956.61338033874006</v>
      </c>
      <c r="DP102" s="51">
        <f t="shared" si="580"/>
        <v>1010</v>
      </c>
      <c r="DQ102" s="103">
        <f t="shared" si="859"/>
        <v>946</v>
      </c>
      <c r="DR102" s="46">
        <f t="shared" si="739"/>
        <v>64</v>
      </c>
      <c r="DS102" s="51">
        <f t="shared" si="581"/>
        <v>82</v>
      </c>
      <c r="DT102" s="103">
        <f t="shared" si="860"/>
        <v>75</v>
      </c>
      <c r="DU102" s="46">
        <f t="shared" si="654"/>
        <v>7</v>
      </c>
      <c r="DW102" s="120">
        <f t="shared" si="861"/>
        <v>30</v>
      </c>
      <c r="DX102" s="7">
        <f t="shared" si="862"/>
        <v>13</v>
      </c>
      <c r="DY102" s="133"/>
      <c r="DZ102" s="14">
        <f t="shared" si="435"/>
        <v>14498</v>
      </c>
      <c r="EA102" s="46">
        <f t="shared" si="487"/>
        <v>14496</v>
      </c>
      <c r="EB102" s="405"/>
      <c r="EC102" s="406">
        <v>2</v>
      </c>
      <c r="ED102" s="406"/>
      <c r="EE102" s="14">
        <f t="shared" si="686"/>
        <v>2</v>
      </c>
      <c r="EF102" s="14">
        <f t="shared" si="667"/>
        <v>51</v>
      </c>
      <c r="EG102" s="14">
        <f t="shared" si="582"/>
        <v>0.16</v>
      </c>
      <c r="EH102" s="47">
        <f t="shared" si="788"/>
        <v>1.3795006207752793E-2</v>
      </c>
      <c r="EI102" s="35">
        <f t="shared" si="583"/>
        <v>3.680000000000001</v>
      </c>
      <c r="EJ102" s="157">
        <f t="shared" si="800"/>
        <v>0.35075653370013754</v>
      </c>
      <c r="EK102" s="134">
        <v>1850</v>
      </c>
      <c r="EL102" s="14">
        <f t="shared" si="584"/>
        <v>61</v>
      </c>
      <c r="EM102" s="442">
        <f t="shared" si="789"/>
        <v>127.60380742171334</v>
      </c>
      <c r="EN102" s="68">
        <f t="shared" si="669"/>
        <v>1083.4039442847525</v>
      </c>
      <c r="EO102" s="51">
        <f t="shared" si="585"/>
        <v>1010</v>
      </c>
      <c r="EP102" s="103">
        <f t="shared" si="863"/>
        <v>946</v>
      </c>
      <c r="EQ102" s="46">
        <f t="shared" si="740"/>
        <v>64</v>
      </c>
      <c r="ER102" s="51">
        <f t="shared" si="586"/>
        <v>82</v>
      </c>
      <c r="ES102" s="103">
        <f t="shared" si="864"/>
        <v>75</v>
      </c>
      <c r="ET102" s="46">
        <f t="shared" si="655"/>
        <v>7</v>
      </c>
      <c r="EV102" s="120">
        <f t="shared" si="865"/>
        <v>30</v>
      </c>
      <c r="EW102" s="7">
        <f t="shared" si="866"/>
        <v>13</v>
      </c>
      <c r="EX102" s="133"/>
      <c r="EY102" s="14">
        <f t="shared" si="436"/>
        <v>14195</v>
      </c>
      <c r="EZ102" s="46">
        <f t="shared" si="488"/>
        <v>14192</v>
      </c>
      <c r="FA102" s="405"/>
      <c r="FB102" s="406">
        <v>3</v>
      </c>
      <c r="FC102" s="406"/>
      <c r="FD102" s="14">
        <f t="shared" si="688"/>
        <v>3</v>
      </c>
      <c r="FE102" s="14">
        <f t="shared" si="670"/>
        <v>46</v>
      </c>
      <c r="FF102" s="14">
        <f t="shared" si="587"/>
        <v>0.16</v>
      </c>
      <c r="FG102" s="47">
        <f t="shared" si="790"/>
        <v>2.1134202183867558E-2</v>
      </c>
      <c r="FH102" s="35">
        <f t="shared" si="588"/>
        <v>3.680000000000001</v>
      </c>
      <c r="FI102" s="157">
        <f t="shared" si="801"/>
        <v>0.32314717246224095</v>
      </c>
      <c r="FJ102" s="134">
        <v>1850</v>
      </c>
      <c r="FK102" s="14">
        <f t="shared" si="589"/>
        <v>61</v>
      </c>
      <c r="FL102" s="442">
        <f t="shared" si="792"/>
        <v>130.32758013384995</v>
      </c>
      <c r="FM102" s="68">
        <f t="shared" si="672"/>
        <v>1054.1763399105614</v>
      </c>
      <c r="FN102" s="51">
        <f t="shared" si="590"/>
        <v>1010</v>
      </c>
      <c r="FO102" s="103">
        <f t="shared" si="867"/>
        <v>946</v>
      </c>
      <c r="FP102" s="46">
        <f t="shared" si="741"/>
        <v>64</v>
      </c>
      <c r="FQ102" s="51">
        <f t="shared" si="591"/>
        <v>82</v>
      </c>
      <c r="FR102" s="103">
        <f t="shared" si="868"/>
        <v>75</v>
      </c>
      <c r="FS102" s="46">
        <f t="shared" si="656"/>
        <v>7</v>
      </c>
      <c r="FU102" s="120">
        <f t="shared" si="869"/>
        <v>30</v>
      </c>
      <c r="FV102" s="7">
        <f t="shared" si="870"/>
        <v>13</v>
      </c>
      <c r="FW102" s="133"/>
      <c r="FX102" s="14">
        <f t="shared" si="437"/>
        <v>14167</v>
      </c>
      <c r="FY102" s="46">
        <f t="shared" si="489"/>
        <v>14166</v>
      </c>
      <c r="FZ102" s="405"/>
      <c r="GA102" s="406">
        <v>1</v>
      </c>
      <c r="GB102" s="406"/>
      <c r="GC102" s="14">
        <f t="shared" si="690"/>
        <v>1</v>
      </c>
      <c r="GD102" s="14">
        <f t="shared" si="673"/>
        <v>25</v>
      </c>
      <c r="GE102" s="14">
        <f t="shared" si="592"/>
        <v>0.16</v>
      </c>
      <c r="GF102" s="47">
        <f t="shared" si="793"/>
        <v>7.0586574433542737E-3</v>
      </c>
      <c r="GG102" s="35">
        <f t="shared" si="593"/>
        <v>3.680000000000001</v>
      </c>
      <c r="GH102" s="157">
        <f t="shared" si="802"/>
        <v>0.17619282542814857</v>
      </c>
      <c r="GI102" s="134">
        <v>1850</v>
      </c>
      <c r="GJ102" s="14">
        <f t="shared" si="594"/>
        <v>61</v>
      </c>
      <c r="GK102" s="442">
        <f t="shared" si="795"/>
        <v>130.58516270205405</v>
      </c>
      <c r="GL102" s="68">
        <f t="shared" si="675"/>
        <v>991.83665333444401</v>
      </c>
      <c r="GM102" s="51">
        <f t="shared" si="595"/>
        <v>1010</v>
      </c>
      <c r="GN102" s="103">
        <f t="shared" si="871"/>
        <v>946</v>
      </c>
      <c r="GO102" s="46">
        <f t="shared" si="742"/>
        <v>64</v>
      </c>
      <c r="GP102" s="51">
        <f t="shared" si="596"/>
        <v>82</v>
      </c>
      <c r="GQ102" s="103">
        <f t="shared" si="872"/>
        <v>75</v>
      </c>
      <c r="GR102" s="46">
        <f t="shared" si="657"/>
        <v>7</v>
      </c>
      <c r="GT102" s="120">
        <f t="shared" si="873"/>
        <v>30</v>
      </c>
      <c r="GU102" s="7">
        <f t="shared" si="874"/>
        <v>13</v>
      </c>
      <c r="GV102" s="133"/>
      <c r="GW102" s="14">
        <f t="shared" si="438"/>
        <v>9164</v>
      </c>
      <c r="GX102" s="46">
        <f t="shared" si="490"/>
        <v>9161</v>
      </c>
      <c r="GY102" s="405"/>
      <c r="GZ102" s="406">
        <v>3</v>
      </c>
      <c r="HA102" s="406"/>
      <c r="HB102" s="14">
        <f t="shared" si="692"/>
        <v>3</v>
      </c>
      <c r="HC102" s="14">
        <f t="shared" si="676"/>
        <v>21</v>
      </c>
      <c r="HD102" s="14">
        <f t="shared" si="597"/>
        <v>0.16</v>
      </c>
      <c r="HE102" s="47">
        <f t="shared" si="796"/>
        <v>3.2736796158882586E-2</v>
      </c>
      <c r="HF102" s="35">
        <f t="shared" si="598"/>
        <v>3.680000000000001</v>
      </c>
      <c r="HG102" s="157">
        <f t="shared" si="803"/>
        <v>0.22870834240906121</v>
      </c>
      <c r="HH102" s="134">
        <v>1110</v>
      </c>
      <c r="HI102" s="14">
        <f t="shared" si="599"/>
        <v>61</v>
      </c>
      <c r="HJ102" s="442">
        <f t="shared" si="798"/>
        <v>121.12614578786555</v>
      </c>
      <c r="HK102" s="68">
        <f t="shared" si="678"/>
        <v>948.15475804945856</v>
      </c>
      <c r="HL102" s="51">
        <f t="shared" si="600"/>
        <v>1010</v>
      </c>
      <c r="HM102" s="103">
        <f t="shared" si="875"/>
        <v>946</v>
      </c>
      <c r="HN102" s="46">
        <f t="shared" si="743"/>
        <v>64</v>
      </c>
      <c r="HO102" s="51">
        <f t="shared" si="601"/>
        <v>82</v>
      </c>
      <c r="HP102" s="103">
        <f t="shared" si="876"/>
        <v>75</v>
      </c>
      <c r="HQ102" s="46">
        <f t="shared" si="658"/>
        <v>7</v>
      </c>
    </row>
    <row r="103" spans="1:225" ht="17.25" thickBot="1" x14ac:dyDescent="0.3">
      <c r="B103" s="120">
        <f t="shared" si="841"/>
        <v>31</v>
      </c>
      <c r="C103" s="574">
        <f t="shared" si="842"/>
        <v>13</v>
      </c>
      <c r="D103" s="136"/>
      <c r="E103" s="436">
        <f t="shared" si="696"/>
        <v>68582</v>
      </c>
      <c r="F103" s="451">
        <f t="shared" si="555"/>
        <v>68577</v>
      </c>
      <c r="G103" s="137"/>
      <c r="H103" s="138">
        <v>5</v>
      </c>
      <c r="I103" s="138"/>
      <c r="J103" s="34">
        <f t="shared" si="679"/>
        <v>5</v>
      </c>
      <c r="K103" s="34">
        <f t="shared" si="604"/>
        <v>5508</v>
      </c>
      <c r="L103" s="34">
        <f t="shared" si="556"/>
        <v>0.16</v>
      </c>
      <c r="M103" s="96">
        <f t="shared" si="605"/>
        <v>7.2905427079991833E-3</v>
      </c>
      <c r="N103" s="40">
        <f t="shared" si="557"/>
        <v>3.680000000000001</v>
      </c>
      <c r="O103" s="132">
        <f t="shared" si="606"/>
        <v>4.0838418363942379</v>
      </c>
      <c r="P103" s="139">
        <v>3276</v>
      </c>
      <c r="Q103" s="32">
        <f t="shared" si="558"/>
        <v>61</v>
      </c>
      <c r="R103" s="592">
        <f t="shared" si="877"/>
        <v>47.767635822810647</v>
      </c>
      <c r="S103" s="471">
        <f t="shared" si="650"/>
        <v>3026.5131136644368</v>
      </c>
      <c r="T103" s="56">
        <f t="shared" si="560"/>
        <v>1010</v>
      </c>
      <c r="U103" s="109">
        <f t="shared" si="843"/>
        <v>973</v>
      </c>
      <c r="V103" s="63">
        <f t="shared" si="608"/>
        <v>37</v>
      </c>
      <c r="W103" s="56">
        <f t="shared" si="878"/>
        <v>82</v>
      </c>
      <c r="X103" s="109">
        <f t="shared" si="844"/>
        <v>74</v>
      </c>
      <c r="Y103" s="63">
        <f t="shared" si="610"/>
        <v>8</v>
      </c>
      <c r="Z103" s="487"/>
      <c r="AA103" s="120">
        <f t="shared" si="845"/>
        <v>31</v>
      </c>
      <c r="AB103" s="8">
        <f t="shared" si="846"/>
        <v>13</v>
      </c>
      <c r="AC103" s="136"/>
      <c r="AD103" s="54">
        <f>IFERROR(AE102-AC103,0)</f>
        <v>59344</v>
      </c>
      <c r="AE103" s="448">
        <f t="shared" si="484"/>
        <v>59335</v>
      </c>
      <c r="AF103" s="137"/>
      <c r="AG103" s="138">
        <v>9</v>
      </c>
      <c r="AH103" s="138"/>
      <c r="AI103" s="34">
        <f t="shared" si="680"/>
        <v>9</v>
      </c>
      <c r="AJ103" s="34">
        <f t="shared" si="781"/>
        <v>6384</v>
      </c>
      <c r="AK103" s="17">
        <f t="shared" si="562"/>
        <v>0.16</v>
      </c>
      <c r="AL103" s="96">
        <f t="shared" si="613"/>
        <v>1.5165812887570775E-2</v>
      </c>
      <c r="AM103" s="33">
        <f t="shared" si="563"/>
        <v>3.680000000000001</v>
      </c>
      <c r="AN103" s="157">
        <f t="shared" si="659"/>
        <v>4.1677547396458978</v>
      </c>
      <c r="AO103" s="137">
        <v>3003</v>
      </c>
      <c r="AP103" s="13">
        <f t="shared" si="564"/>
        <v>61</v>
      </c>
      <c r="AQ103" s="479">
        <f t="shared" si="614"/>
        <v>50.603262334861149</v>
      </c>
      <c r="AR103" s="471">
        <f t="shared" si="799"/>
        <v>3193.8088287145811</v>
      </c>
      <c r="AS103" s="50">
        <f t="shared" si="565"/>
        <v>1010</v>
      </c>
      <c r="AT103" s="103">
        <f t="shared" si="847"/>
        <v>938</v>
      </c>
      <c r="AU103" s="63">
        <f t="shared" si="736"/>
        <v>72</v>
      </c>
      <c r="AV103" s="56">
        <f t="shared" si="566"/>
        <v>82</v>
      </c>
      <c r="AW103" s="103">
        <f t="shared" si="848"/>
        <v>84</v>
      </c>
      <c r="AX103" s="63">
        <f t="shared" si="660"/>
        <v>-2</v>
      </c>
      <c r="AZ103" s="197">
        <f t="shared" si="849"/>
        <v>31</v>
      </c>
      <c r="BA103" s="8">
        <f t="shared" si="850"/>
        <v>13</v>
      </c>
      <c r="BB103" s="136"/>
      <c r="BC103" s="54">
        <f t="shared" si="518"/>
        <v>65435</v>
      </c>
      <c r="BD103" s="448">
        <f t="shared" si="485"/>
        <v>65428</v>
      </c>
      <c r="BE103" s="137"/>
      <c r="BF103" s="138">
        <v>7</v>
      </c>
      <c r="BG103" s="138"/>
      <c r="BH103" s="34">
        <f t="shared" si="681"/>
        <v>7</v>
      </c>
      <c r="BI103" s="34">
        <f t="shared" si="780"/>
        <v>1163</v>
      </c>
      <c r="BJ103" s="34">
        <f t="shared" si="567"/>
        <v>0.16</v>
      </c>
      <c r="BK103" s="96">
        <f t="shared" si="646"/>
        <v>1.0697638878276152E-2</v>
      </c>
      <c r="BL103" s="40">
        <f t="shared" si="568"/>
        <v>3.680000000000001</v>
      </c>
      <c r="BM103" s="132">
        <f t="shared" si="840"/>
        <v>1.6288515406162465</v>
      </c>
      <c r="BN103" s="137">
        <v>2730</v>
      </c>
      <c r="BO103" s="32">
        <f t="shared" si="569"/>
        <v>61</v>
      </c>
      <c r="BP103" s="443">
        <f t="shared" si="647"/>
        <v>41.720791625276988</v>
      </c>
      <c r="BQ103" s="750">
        <f t="shared" si="651"/>
        <v>3095.0293325150601</v>
      </c>
      <c r="BR103" s="56">
        <f t="shared" si="570"/>
        <v>1010</v>
      </c>
      <c r="BS103" s="109">
        <f t="shared" si="851"/>
        <v>960</v>
      </c>
      <c r="BT103" s="63">
        <f t="shared" si="737"/>
        <v>50</v>
      </c>
      <c r="BU103" s="56">
        <f t="shared" si="571"/>
        <v>82</v>
      </c>
      <c r="BV103" s="109">
        <f t="shared" si="852"/>
        <v>85</v>
      </c>
      <c r="BW103" s="63">
        <f t="shared" si="661"/>
        <v>-3</v>
      </c>
      <c r="BY103" s="197">
        <f>BY102+1</f>
        <v>31</v>
      </c>
      <c r="BZ103" s="8">
        <f t="shared" si="854"/>
        <v>13</v>
      </c>
      <c r="CA103" s="136"/>
      <c r="CB103" s="32">
        <f t="shared" si="662"/>
        <v>14609</v>
      </c>
      <c r="CC103" s="63">
        <f t="shared" si="682"/>
        <v>14607</v>
      </c>
      <c r="CD103" s="421"/>
      <c r="CE103" s="426">
        <v>2</v>
      </c>
      <c r="CF103" s="426"/>
      <c r="CG103" s="34">
        <f t="shared" si="683"/>
        <v>2</v>
      </c>
      <c r="CH103" s="34">
        <f t="shared" si="663"/>
        <v>49</v>
      </c>
      <c r="CI103" s="17">
        <f t="shared" si="572"/>
        <v>0.16</v>
      </c>
      <c r="CJ103" s="47">
        <f t="shared" si="782"/>
        <v>1.3690190978164145E-2</v>
      </c>
      <c r="CK103" s="33">
        <f t="shared" si="573"/>
        <v>3.680000000000001</v>
      </c>
      <c r="CL103" s="157">
        <f t="shared" si="783"/>
        <v>0.33433406113537117</v>
      </c>
      <c r="CM103" s="137">
        <v>1665</v>
      </c>
      <c r="CN103" s="13">
        <f t="shared" si="574"/>
        <v>61</v>
      </c>
      <c r="CO103" s="442">
        <f t="shared" si="784"/>
        <v>113.97083989321651</v>
      </c>
      <c r="CP103" s="70">
        <f t="shared" si="649"/>
        <v>973.94781665200128</v>
      </c>
      <c r="CQ103" s="50">
        <f t="shared" si="575"/>
        <v>1010</v>
      </c>
      <c r="CR103" s="103">
        <f t="shared" si="855"/>
        <v>949</v>
      </c>
      <c r="CS103" s="63">
        <f t="shared" si="738"/>
        <v>61</v>
      </c>
      <c r="CT103" s="12">
        <f t="shared" si="576"/>
        <v>82</v>
      </c>
      <c r="CU103" s="103">
        <f t="shared" si="856"/>
        <v>77</v>
      </c>
      <c r="CV103" s="63">
        <f t="shared" si="625"/>
        <v>5</v>
      </c>
      <c r="CX103" s="197">
        <f>CX102+1</f>
        <v>31</v>
      </c>
      <c r="CY103" s="8">
        <f t="shared" si="858"/>
        <v>13</v>
      </c>
      <c r="CZ103" s="136"/>
      <c r="DA103" s="32">
        <f t="shared" si="434"/>
        <v>14690</v>
      </c>
      <c r="DB103" s="63">
        <f t="shared" si="486"/>
        <v>14689</v>
      </c>
      <c r="DC103" s="421"/>
      <c r="DD103" s="426">
        <v>1</v>
      </c>
      <c r="DE103" s="426"/>
      <c r="DF103" s="34">
        <f t="shared" si="684"/>
        <v>1</v>
      </c>
      <c r="DG103" s="34">
        <f t="shared" si="664"/>
        <v>38</v>
      </c>
      <c r="DH103" s="17">
        <f t="shared" si="577"/>
        <v>0.16</v>
      </c>
      <c r="DI103" s="47">
        <f t="shared" si="785"/>
        <v>6.8073519400953025E-3</v>
      </c>
      <c r="DJ103" s="33">
        <f t="shared" si="578"/>
        <v>3.680000000000001</v>
      </c>
      <c r="DK103" s="157">
        <f t="shared" si="786"/>
        <v>0.25809957209807782</v>
      </c>
      <c r="DL103" s="137">
        <v>925</v>
      </c>
      <c r="DM103" s="13">
        <f t="shared" si="579"/>
        <v>61</v>
      </c>
      <c r="DN103" s="442">
        <f t="shared" si="787"/>
        <v>62.968005445881545</v>
      </c>
      <c r="DO103" s="70">
        <f t="shared" si="666"/>
        <v>1019.5813857846216</v>
      </c>
      <c r="DP103" s="50">
        <f t="shared" si="580"/>
        <v>1010</v>
      </c>
      <c r="DQ103" s="103">
        <f t="shared" si="859"/>
        <v>946</v>
      </c>
      <c r="DR103" s="63">
        <f t="shared" si="739"/>
        <v>64</v>
      </c>
      <c r="DS103" s="12">
        <f t="shared" si="581"/>
        <v>82</v>
      </c>
      <c r="DT103" s="103">
        <f t="shared" si="860"/>
        <v>75</v>
      </c>
      <c r="DU103" s="63">
        <f t="shared" si="654"/>
        <v>7</v>
      </c>
      <c r="DW103" s="197">
        <f>DW102+1</f>
        <v>31</v>
      </c>
      <c r="DX103" s="8">
        <f t="shared" si="862"/>
        <v>13</v>
      </c>
      <c r="DY103" s="136"/>
      <c r="DZ103" s="32">
        <f t="shared" si="435"/>
        <v>14496</v>
      </c>
      <c r="EA103" s="63">
        <f t="shared" si="487"/>
        <v>14492</v>
      </c>
      <c r="EB103" s="421"/>
      <c r="EC103" s="426">
        <v>4</v>
      </c>
      <c r="ED103" s="426"/>
      <c r="EE103" s="34">
        <f t="shared" si="686"/>
        <v>4</v>
      </c>
      <c r="EF103" s="34">
        <f t="shared" si="667"/>
        <v>55</v>
      </c>
      <c r="EG103" s="17">
        <f t="shared" si="582"/>
        <v>0.16</v>
      </c>
      <c r="EH103" s="47">
        <f t="shared" si="788"/>
        <v>2.759381898454746E-2</v>
      </c>
      <c r="EI103" s="33">
        <f t="shared" si="583"/>
        <v>3.680000000000001</v>
      </c>
      <c r="EJ103" s="157">
        <f t="shared" si="800"/>
        <v>0.37826685006877581</v>
      </c>
      <c r="EK103" s="137">
        <v>1850</v>
      </c>
      <c r="EL103" s="13">
        <f t="shared" si="584"/>
        <v>61</v>
      </c>
      <c r="EM103" s="442">
        <f t="shared" si="789"/>
        <v>127.62141280353201</v>
      </c>
      <c r="EN103" s="70">
        <f t="shared" si="669"/>
        <v>1211.0253570882844</v>
      </c>
      <c r="EO103" s="50">
        <f t="shared" si="585"/>
        <v>1010</v>
      </c>
      <c r="EP103" s="103">
        <f t="shared" si="863"/>
        <v>946</v>
      </c>
      <c r="EQ103" s="63">
        <f t="shared" si="740"/>
        <v>64</v>
      </c>
      <c r="ER103" s="12">
        <f t="shared" si="586"/>
        <v>82</v>
      </c>
      <c r="ES103" s="103">
        <f t="shared" si="864"/>
        <v>75</v>
      </c>
      <c r="ET103" s="63">
        <f t="shared" si="655"/>
        <v>7</v>
      </c>
      <c r="EV103" s="197">
        <f>EV102+1</f>
        <v>31</v>
      </c>
      <c r="EW103" s="8">
        <f t="shared" si="866"/>
        <v>13</v>
      </c>
      <c r="EX103" s="136"/>
      <c r="EY103" s="32">
        <f t="shared" si="436"/>
        <v>14192</v>
      </c>
      <c r="EZ103" s="63">
        <f t="shared" si="488"/>
        <v>14191</v>
      </c>
      <c r="FA103" s="421"/>
      <c r="FB103" s="426">
        <v>1</v>
      </c>
      <c r="FC103" s="426"/>
      <c r="FD103" s="34">
        <f t="shared" si="688"/>
        <v>1</v>
      </c>
      <c r="FE103" s="34">
        <f t="shared" si="670"/>
        <v>47</v>
      </c>
      <c r="FF103" s="17">
        <f t="shared" si="587"/>
        <v>0.16</v>
      </c>
      <c r="FG103" s="47">
        <f t="shared" si="790"/>
        <v>7.0462232243517471E-3</v>
      </c>
      <c r="FH103" s="33">
        <f t="shared" si="588"/>
        <v>3.680000000000001</v>
      </c>
      <c r="FI103" s="157">
        <f t="shared" si="801"/>
        <v>0.33017211099402882</v>
      </c>
      <c r="FJ103" s="137">
        <v>1850</v>
      </c>
      <c r="FK103" s="13">
        <f t="shared" si="589"/>
        <v>61</v>
      </c>
      <c r="FL103" s="442">
        <f t="shared" si="792"/>
        <v>130.35512965050734</v>
      </c>
      <c r="FM103" s="70">
        <f t="shared" si="672"/>
        <v>1184.5314695610687</v>
      </c>
      <c r="FN103" s="50">
        <f t="shared" si="590"/>
        <v>1010</v>
      </c>
      <c r="FO103" s="103">
        <f t="shared" si="867"/>
        <v>946</v>
      </c>
      <c r="FP103" s="63">
        <f t="shared" si="741"/>
        <v>64</v>
      </c>
      <c r="FQ103" s="12">
        <f t="shared" si="591"/>
        <v>82</v>
      </c>
      <c r="FR103" s="103">
        <f t="shared" si="868"/>
        <v>75</v>
      </c>
      <c r="FS103" s="63">
        <f t="shared" si="656"/>
        <v>7</v>
      </c>
      <c r="FU103" s="197">
        <f>FU102+1</f>
        <v>31</v>
      </c>
      <c r="FV103" s="8">
        <f t="shared" si="870"/>
        <v>13</v>
      </c>
      <c r="FW103" s="136"/>
      <c r="FX103" s="32">
        <f t="shared" si="437"/>
        <v>14166</v>
      </c>
      <c r="FY103" s="63">
        <f t="shared" si="489"/>
        <v>14162</v>
      </c>
      <c r="FZ103" s="421"/>
      <c r="GA103" s="426">
        <v>4</v>
      </c>
      <c r="GB103" s="426"/>
      <c r="GC103" s="34">
        <f t="shared" si="690"/>
        <v>4</v>
      </c>
      <c r="GD103" s="34">
        <f t="shared" si="673"/>
        <v>29</v>
      </c>
      <c r="GE103" s="17">
        <f t="shared" si="592"/>
        <v>0.16</v>
      </c>
      <c r="GF103" s="47">
        <f t="shared" si="793"/>
        <v>2.823662289990117E-2</v>
      </c>
      <c r="GG103" s="33">
        <f t="shared" si="593"/>
        <v>3.680000000000001</v>
      </c>
      <c r="GH103" s="157">
        <f t="shared" si="802"/>
        <v>0.20438367749665234</v>
      </c>
      <c r="GI103" s="137">
        <v>1110</v>
      </c>
      <c r="GJ103" s="13">
        <f t="shared" si="594"/>
        <v>61</v>
      </c>
      <c r="GK103" s="442">
        <f t="shared" si="795"/>
        <v>78.356628547225753</v>
      </c>
      <c r="GL103" s="70">
        <f t="shared" si="675"/>
        <v>1070.1932818816697</v>
      </c>
      <c r="GM103" s="50">
        <f t="shared" si="595"/>
        <v>1010</v>
      </c>
      <c r="GN103" s="103">
        <f t="shared" si="871"/>
        <v>946</v>
      </c>
      <c r="GO103" s="63">
        <f t="shared" si="742"/>
        <v>64</v>
      </c>
      <c r="GP103" s="12">
        <f t="shared" si="596"/>
        <v>82</v>
      </c>
      <c r="GQ103" s="103">
        <f t="shared" si="872"/>
        <v>75</v>
      </c>
      <c r="GR103" s="63">
        <f t="shared" si="657"/>
        <v>7</v>
      </c>
      <c r="GT103" s="197">
        <f>GT102+1</f>
        <v>31</v>
      </c>
      <c r="GU103" s="8">
        <f t="shared" si="874"/>
        <v>13</v>
      </c>
      <c r="GV103" s="136"/>
      <c r="GW103" s="32">
        <f t="shared" si="438"/>
        <v>9161</v>
      </c>
      <c r="GX103" s="63">
        <f t="shared" si="490"/>
        <v>9160</v>
      </c>
      <c r="GY103" s="421"/>
      <c r="GZ103" s="426">
        <v>1</v>
      </c>
      <c r="HA103" s="426"/>
      <c r="HB103" s="34">
        <f t="shared" si="692"/>
        <v>1</v>
      </c>
      <c r="HC103" s="34">
        <f t="shared" si="676"/>
        <v>22</v>
      </c>
      <c r="HD103" s="17">
        <f t="shared" si="597"/>
        <v>0.16</v>
      </c>
      <c r="HE103" s="47">
        <f t="shared" si="796"/>
        <v>1.0915838882218098E-2</v>
      </c>
      <c r="HF103" s="33">
        <f t="shared" si="598"/>
        <v>3.680000000000001</v>
      </c>
      <c r="HG103" s="157">
        <f t="shared" si="803"/>
        <v>0.23959921585711175</v>
      </c>
      <c r="HH103" s="137">
        <v>925</v>
      </c>
      <c r="HI103" s="13">
        <f t="shared" si="599"/>
        <v>61</v>
      </c>
      <c r="HJ103" s="442">
        <f t="shared" si="798"/>
        <v>100.97150966051741</v>
      </c>
      <c r="HK103" s="70">
        <f t="shared" si="678"/>
        <v>1049.126267709976</v>
      </c>
      <c r="HL103" s="50">
        <f t="shared" si="600"/>
        <v>1010</v>
      </c>
      <c r="HM103" s="103">
        <f t="shared" si="875"/>
        <v>946</v>
      </c>
      <c r="HN103" s="63">
        <f t="shared" si="743"/>
        <v>64</v>
      </c>
      <c r="HO103" s="12">
        <f t="shared" si="601"/>
        <v>82</v>
      </c>
      <c r="HP103" s="103">
        <f t="shared" si="876"/>
        <v>75</v>
      </c>
      <c r="HQ103" s="63">
        <f t="shared" si="658"/>
        <v>7</v>
      </c>
    </row>
    <row r="104" spans="1:225" ht="17.25" thickBot="1" x14ac:dyDescent="0.3">
      <c r="A104" s="713" t="s">
        <v>82</v>
      </c>
      <c r="B104" s="697">
        <v>1</v>
      </c>
      <c r="C104" s="714">
        <v>14</v>
      </c>
      <c r="D104" s="699"/>
      <c r="E104" s="700">
        <f t="shared" si="696"/>
        <v>68577</v>
      </c>
      <c r="F104" s="715">
        <f t="shared" si="555"/>
        <v>68574</v>
      </c>
      <c r="G104" s="702"/>
      <c r="H104" s="703">
        <v>3</v>
      </c>
      <c r="I104" s="703"/>
      <c r="J104" s="704">
        <f t="shared" si="679"/>
        <v>3</v>
      </c>
      <c r="K104" s="704">
        <f t="shared" si="604"/>
        <v>5511</v>
      </c>
      <c r="L104" s="705">
        <f t="shared" si="556"/>
        <v>0.16</v>
      </c>
      <c r="M104" s="706">
        <f t="shared" si="605"/>
        <v>4.3746445601294892E-3</v>
      </c>
      <c r="N104" s="707">
        <f t="shared" si="557"/>
        <v>3.8400000000000012</v>
      </c>
      <c r="O104" s="132">
        <f t="shared" si="606"/>
        <v>4.0860661511199421</v>
      </c>
      <c r="P104" s="716">
        <v>4368</v>
      </c>
      <c r="Q104" s="704">
        <f t="shared" si="558"/>
        <v>64</v>
      </c>
      <c r="R104" s="708">
        <f t="shared" si="877"/>
        <v>63.694824795485367</v>
      </c>
      <c r="S104" s="709">
        <f t="shared" si="650"/>
        <v>3090.2079384599219</v>
      </c>
      <c r="T104" s="710">
        <f t="shared" si="560"/>
        <v>1065</v>
      </c>
      <c r="U104" s="703">
        <v>1009</v>
      </c>
      <c r="V104" s="711">
        <f t="shared" si="608"/>
        <v>56</v>
      </c>
      <c r="W104" s="712">
        <f t="shared" si="878"/>
        <v>84</v>
      </c>
      <c r="X104" s="703">
        <v>73</v>
      </c>
      <c r="Y104" s="711">
        <f t="shared" si="610"/>
        <v>11</v>
      </c>
      <c r="Z104" s="713" t="s">
        <v>82</v>
      </c>
      <c r="AA104" s="697">
        <v>1</v>
      </c>
      <c r="AB104" s="698">
        <v>14</v>
      </c>
      <c r="AC104" s="699"/>
      <c r="AD104" s="700">
        <f>IFERROR(AE103-AC104,0)</f>
        <v>59335</v>
      </c>
      <c r="AE104" s="701">
        <f t="shared" si="484"/>
        <v>59326</v>
      </c>
      <c r="AF104" s="702"/>
      <c r="AG104" s="703">
        <v>9</v>
      </c>
      <c r="AH104" s="703"/>
      <c r="AI104" s="704">
        <f t="shared" si="680"/>
        <v>9</v>
      </c>
      <c r="AJ104" s="704">
        <f t="shared" si="781"/>
        <v>6393</v>
      </c>
      <c r="AK104" s="705">
        <f t="shared" si="562"/>
        <v>0.16</v>
      </c>
      <c r="AL104" s="706">
        <f t="shared" si="613"/>
        <v>1.5168113255245639E-2</v>
      </c>
      <c r="AM104" s="707">
        <f t="shared" si="563"/>
        <v>3.8400000000000012</v>
      </c>
      <c r="AN104" s="157">
        <f t="shared" si="659"/>
        <v>4.1736303337337439</v>
      </c>
      <c r="AO104" s="702">
        <v>3003</v>
      </c>
      <c r="AP104" s="704">
        <f t="shared" si="564"/>
        <v>64</v>
      </c>
      <c r="AQ104" s="708">
        <f t="shared" si="614"/>
        <v>50.610937895002948</v>
      </c>
      <c r="AR104" s="709">
        <f t="shared" si="799"/>
        <v>3244.4197666095838</v>
      </c>
      <c r="AS104" s="710">
        <f t="shared" si="565"/>
        <v>1065</v>
      </c>
      <c r="AT104" s="703">
        <v>1013</v>
      </c>
      <c r="AU104" s="711">
        <f t="shared" si="736"/>
        <v>52</v>
      </c>
      <c r="AV104" s="712">
        <f t="shared" si="566"/>
        <v>84</v>
      </c>
      <c r="AW104" s="703">
        <v>83</v>
      </c>
      <c r="AX104" s="711">
        <f t="shared" si="660"/>
        <v>1</v>
      </c>
      <c r="AY104" s="713" t="s">
        <v>82</v>
      </c>
      <c r="AZ104" s="729">
        <v>1</v>
      </c>
      <c r="BA104" s="730">
        <v>14</v>
      </c>
      <c r="BB104" s="731"/>
      <c r="BC104" s="732">
        <f t="shared" si="518"/>
        <v>65428</v>
      </c>
      <c r="BD104" s="733">
        <f t="shared" si="485"/>
        <v>65421</v>
      </c>
      <c r="BE104" s="734"/>
      <c r="BF104" s="735">
        <v>7</v>
      </c>
      <c r="BG104" s="735"/>
      <c r="BH104" s="691">
        <f t="shared" si="681"/>
        <v>7</v>
      </c>
      <c r="BI104" s="691">
        <f t="shared" si="780"/>
        <v>1170</v>
      </c>
      <c r="BJ104" s="724">
        <f t="shared" si="567"/>
        <v>0.16</v>
      </c>
      <c r="BK104" s="736">
        <f t="shared" si="646"/>
        <v>1.069878339548817E-2</v>
      </c>
      <c r="BL104" s="726">
        <f t="shared" si="568"/>
        <v>3.8400000000000012</v>
      </c>
      <c r="BM104" s="132">
        <f t="shared" si="840"/>
        <v>1.6386554621848739</v>
      </c>
      <c r="BN104" s="734">
        <v>2730</v>
      </c>
      <c r="BO104" s="691">
        <f t="shared" si="569"/>
        <v>64</v>
      </c>
      <c r="BP104" s="737">
        <f t="shared" si="647"/>
        <v>41.725255242403861</v>
      </c>
      <c r="BQ104" s="756">
        <f t="shared" si="651"/>
        <v>3136.7545877574639</v>
      </c>
      <c r="BR104" s="738">
        <f t="shared" si="570"/>
        <v>1065</v>
      </c>
      <c r="BS104" s="735">
        <v>980</v>
      </c>
      <c r="BT104" s="531">
        <f t="shared" si="737"/>
        <v>85</v>
      </c>
      <c r="BU104" s="532">
        <f t="shared" si="571"/>
        <v>84</v>
      </c>
      <c r="BV104" s="735">
        <v>74</v>
      </c>
      <c r="BW104" s="531">
        <f t="shared" si="661"/>
        <v>10</v>
      </c>
      <c r="BX104" s="790"/>
      <c r="BY104" s="697">
        <v>1</v>
      </c>
      <c r="BZ104" s="698">
        <v>14</v>
      </c>
      <c r="CA104" s="699"/>
      <c r="CB104" s="508">
        <f t="shared" si="662"/>
        <v>14607</v>
      </c>
      <c r="CC104" s="792">
        <f t="shared" si="682"/>
        <v>14604</v>
      </c>
      <c r="CD104" s="702"/>
      <c r="CE104" s="703">
        <v>3</v>
      </c>
      <c r="CF104" s="703"/>
      <c r="CG104" s="704">
        <f t="shared" si="683"/>
        <v>3</v>
      </c>
      <c r="CH104" s="704">
        <f>CH103+CG104</f>
        <v>52</v>
      </c>
      <c r="CI104" s="705">
        <f t="shared" si="572"/>
        <v>0.16</v>
      </c>
      <c r="CJ104" s="47">
        <f t="shared" si="782"/>
        <v>2.0538098172109262E-2</v>
      </c>
      <c r="CK104" s="707">
        <f t="shared" si="573"/>
        <v>3.8400000000000012</v>
      </c>
      <c r="CL104" s="157">
        <f t="shared" si="783"/>
        <v>0.35480349344978168</v>
      </c>
      <c r="CM104" s="702">
        <v>1110</v>
      </c>
      <c r="CN104" s="704">
        <f t="shared" si="574"/>
        <v>64</v>
      </c>
      <c r="CO104" s="442">
        <f t="shared" si="784"/>
        <v>75.990963236804262</v>
      </c>
      <c r="CP104" s="793">
        <f t="shared" si="649"/>
        <v>1049.9387798888056</v>
      </c>
      <c r="CQ104" s="710">
        <f t="shared" si="575"/>
        <v>1065</v>
      </c>
      <c r="CR104" s="703">
        <v>1116</v>
      </c>
      <c r="CS104" s="711">
        <f t="shared" si="738"/>
        <v>-51</v>
      </c>
      <c r="CT104" s="712">
        <f t="shared" si="576"/>
        <v>84</v>
      </c>
      <c r="CU104" s="703">
        <v>78</v>
      </c>
      <c r="CV104" s="711">
        <f t="shared" si="625"/>
        <v>6</v>
      </c>
      <c r="CW104" s="790"/>
      <c r="CX104" s="697">
        <v>1</v>
      </c>
      <c r="CY104" s="698">
        <v>14</v>
      </c>
      <c r="CZ104" s="699"/>
      <c r="DA104" s="508">
        <f t="shared" si="434"/>
        <v>14689</v>
      </c>
      <c r="DB104" s="792">
        <f t="shared" si="486"/>
        <v>14687</v>
      </c>
      <c r="DC104" s="702"/>
      <c r="DD104" s="703">
        <v>2</v>
      </c>
      <c r="DE104" s="703"/>
      <c r="DF104" s="704">
        <f t="shared" si="684"/>
        <v>2</v>
      </c>
      <c r="DG104" s="704">
        <f>DG103+DF104</f>
        <v>40</v>
      </c>
      <c r="DH104" s="705">
        <f t="shared" si="577"/>
        <v>0.16</v>
      </c>
      <c r="DI104" s="47">
        <f t="shared" si="785"/>
        <v>1.361563074409422E-2</v>
      </c>
      <c r="DJ104" s="707">
        <f t="shared" si="578"/>
        <v>3.8400000000000012</v>
      </c>
      <c r="DK104" s="157">
        <f t="shared" si="786"/>
        <v>0.2716837601032398</v>
      </c>
      <c r="DL104" s="702">
        <v>1110</v>
      </c>
      <c r="DM104" s="704">
        <f t="shared" si="579"/>
        <v>64</v>
      </c>
      <c r="DN104" s="442">
        <f t="shared" si="787"/>
        <v>75.566750629722932</v>
      </c>
      <c r="DO104" s="793">
        <f t="shared" si="666"/>
        <v>1095.1481364143444</v>
      </c>
      <c r="DP104" s="710">
        <f t="shared" si="580"/>
        <v>1065</v>
      </c>
      <c r="DQ104" s="703">
        <v>1000</v>
      </c>
      <c r="DR104" s="711">
        <f t="shared" si="739"/>
        <v>65</v>
      </c>
      <c r="DS104" s="712">
        <f t="shared" si="581"/>
        <v>84</v>
      </c>
      <c r="DT104" s="703">
        <v>72</v>
      </c>
      <c r="DU104" s="711">
        <f t="shared" si="654"/>
        <v>12</v>
      </c>
      <c r="DV104" s="790"/>
      <c r="DW104" s="697">
        <v>1</v>
      </c>
      <c r="DX104" s="698">
        <v>14</v>
      </c>
      <c r="DY104" s="699"/>
      <c r="DZ104" s="508">
        <f t="shared" si="435"/>
        <v>14492</v>
      </c>
      <c r="EA104" s="792">
        <f t="shared" si="487"/>
        <v>14488</v>
      </c>
      <c r="EB104" s="702"/>
      <c r="EC104" s="703">
        <v>4</v>
      </c>
      <c r="ED104" s="703"/>
      <c r="EE104" s="704">
        <f t="shared" si="686"/>
        <v>4</v>
      </c>
      <c r="EF104" s="704">
        <f>EF103+EE104</f>
        <v>59</v>
      </c>
      <c r="EG104" s="705">
        <f t="shared" si="582"/>
        <v>0.16</v>
      </c>
      <c r="EH104" s="47">
        <f t="shared" si="788"/>
        <v>2.7601435274634281E-2</v>
      </c>
      <c r="EI104" s="707">
        <f t="shared" si="583"/>
        <v>3.8400000000000012</v>
      </c>
      <c r="EJ104" s="157">
        <f t="shared" si="800"/>
        <v>0.40577716643741402</v>
      </c>
      <c r="EK104" s="702">
        <v>1480</v>
      </c>
      <c r="EL104" s="704">
        <f t="shared" si="584"/>
        <v>64</v>
      </c>
      <c r="EM104" s="442">
        <f t="shared" si="789"/>
        <v>102.12531051614684</v>
      </c>
      <c r="EN104" s="793">
        <f t="shared" si="669"/>
        <v>1313.1506676044312</v>
      </c>
      <c r="EO104" s="710">
        <f t="shared" si="585"/>
        <v>1065</v>
      </c>
      <c r="EP104" s="703">
        <v>1000</v>
      </c>
      <c r="EQ104" s="711">
        <f t="shared" si="740"/>
        <v>65</v>
      </c>
      <c r="ER104" s="712">
        <f t="shared" si="586"/>
        <v>84</v>
      </c>
      <c r="ES104" s="703">
        <v>72</v>
      </c>
      <c r="ET104" s="711">
        <f t="shared" si="655"/>
        <v>12</v>
      </c>
      <c r="EU104" s="790"/>
      <c r="EV104" s="697">
        <v>1</v>
      </c>
      <c r="EW104" s="698">
        <v>14</v>
      </c>
      <c r="EX104" s="699"/>
      <c r="EY104" s="508">
        <f t="shared" si="436"/>
        <v>14191</v>
      </c>
      <c r="EZ104" s="792">
        <f t="shared" si="488"/>
        <v>14188</v>
      </c>
      <c r="FA104" s="702"/>
      <c r="FB104" s="703">
        <v>3</v>
      </c>
      <c r="FC104" s="703"/>
      <c r="FD104" s="704">
        <f t="shared" si="688"/>
        <v>3</v>
      </c>
      <c r="FE104" s="704">
        <f>FE103+FD104</f>
        <v>50</v>
      </c>
      <c r="FF104" s="705">
        <f t="shared" si="587"/>
        <v>0.16</v>
      </c>
      <c r="FG104" s="47">
        <f t="shared" si="790"/>
        <v>2.1140159255866393E-2</v>
      </c>
      <c r="FH104" s="707">
        <f t="shared" si="588"/>
        <v>3.8400000000000012</v>
      </c>
      <c r="FI104" s="157">
        <f t="shared" si="801"/>
        <v>0.35124692658939233</v>
      </c>
      <c r="FJ104" s="702">
        <v>925</v>
      </c>
      <c r="FK104" s="704">
        <f t="shared" si="589"/>
        <v>64</v>
      </c>
      <c r="FL104" s="442">
        <f t="shared" si="792"/>
        <v>65.182157705588054</v>
      </c>
      <c r="FM104" s="793">
        <f t="shared" si="672"/>
        <v>1249.7136272666567</v>
      </c>
      <c r="FN104" s="710">
        <f t="shared" si="590"/>
        <v>1065</v>
      </c>
      <c r="FO104" s="703">
        <v>1000</v>
      </c>
      <c r="FP104" s="711">
        <f t="shared" si="741"/>
        <v>65</v>
      </c>
      <c r="FQ104" s="712">
        <f t="shared" si="591"/>
        <v>84</v>
      </c>
      <c r="FR104" s="703">
        <v>72</v>
      </c>
      <c r="FS104" s="711">
        <f t="shared" si="656"/>
        <v>12</v>
      </c>
      <c r="FT104" s="790"/>
      <c r="FU104" s="697">
        <v>1</v>
      </c>
      <c r="FV104" s="698">
        <v>14</v>
      </c>
      <c r="FW104" s="699"/>
      <c r="FX104" s="508">
        <f t="shared" si="437"/>
        <v>14162</v>
      </c>
      <c r="FY104" s="792">
        <f t="shared" si="489"/>
        <v>14159</v>
      </c>
      <c r="FZ104" s="702"/>
      <c r="GA104" s="703">
        <v>3</v>
      </c>
      <c r="GB104" s="703"/>
      <c r="GC104" s="704">
        <f t="shared" si="690"/>
        <v>3</v>
      </c>
      <c r="GD104" s="704">
        <f>GD103+GC104</f>
        <v>32</v>
      </c>
      <c r="GE104" s="705">
        <f t="shared" si="592"/>
        <v>0.16</v>
      </c>
      <c r="GF104" s="47">
        <f t="shared" si="793"/>
        <v>2.1183448665442733E-2</v>
      </c>
      <c r="GG104" s="707">
        <f t="shared" si="593"/>
        <v>3.8400000000000012</v>
      </c>
      <c r="GH104" s="157">
        <f t="shared" si="802"/>
        <v>0.22552681654803017</v>
      </c>
      <c r="GI104" s="702">
        <v>925</v>
      </c>
      <c r="GJ104" s="704">
        <f t="shared" si="594"/>
        <v>64</v>
      </c>
      <c r="GK104" s="442">
        <f t="shared" si="795"/>
        <v>65.315633385115092</v>
      </c>
      <c r="GL104" s="793">
        <f t="shared" si="675"/>
        <v>1135.5089152667847</v>
      </c>
      <c r="GM104" s="710">
        <f t="shared" si="595"/>
        <v>1065</v>
      </c>
      <c r="GN104" s="703">
        <v>1000</v>
      </c>
      <c r="GO104" s="711">
        <f t="shared" si="742"/>
        <v>65</v>
      </c>
      <c r="GP104" s="712">
        <f t="shared" si="596"/>
        <v>84</v>
      </c>
      <c r="GQ104" s="703">
        <v>72</v>
      </c>
      <c r="GR104" s="711">
        <f t="shared" si="657"/>
        <v>12</v>
      </c>
      <c r="GS104" s="790"/>
      <c r="GT104" s="697">
        <v>1</v>
      </c>
      <c r="GU104" s="698">
        <v>14</v>
      </c>
      <c r="GV104" s="699"/>
      <c r="GW104" s="508">
        <f t="shared" si="438"/>
        <v>9160</v>
      </c>
      <c r="GX104" s="792">
        <f t="shared" si="490"/>
        <v>9158</v>
      </c>
      <c r="GY104" s="702"/>
      <c r="GZ104" s="703">
        <v>2</v>
      </c>
      <c r="HA104" s="703"/>
      <c r="HB104" s="704">
        <f t="shared" si="692"/>
        <v>2</v>
      </c>
      <c r="HC104" s="704">
        <f>HC103+HB104</f>
        <v>24</v>
      </c>
      <c r="HD104" s="705">
        <f t="shared" si="597"/>
        <v>0.16</v>
      </c>
      <c r="HE104" s="529">
        <f t="shared" si="796"/>
        <v>2.1834061135371178E-2</v>
      </c>
      <c r="HF104" s="707">
        <f t="shared" si="598"/>
        <v>3.8400000000000012</v>
      </c>
      <c r="HG104" s="523">
        <f t="shared" si="803"/>
        <v>0.26138096275321282</v>
      </c>
      <c r="HH104" s="702">
        <v>925</v>
      </c>
      <c r="HI104" s="704">
        <f t="shared" si="599"/>
        <v>64</v>
      </c>
      <c r="HJ104" s="537">
        <f t="shared" si="798"/>
        <v>100.9825327510917</v>
      </c>
      <c r="HK104" s="793">
        <f t="shared" si="678"/>
        <v>1150.1088004610676</v>
      </c>
      <c r="HL104" s="710">
        <f t="shared" si="600"/>
        <v>1065</v>
      </c>
      <c r="HM104" s="703">
        <v>1000</v>
      </c>
      <c r="HN104" s="711">
        <f t="shared" si="743"/>
        <v>65</v>
      </c>
      <c r="HO104" s="712">
        <f t="shared" si="601"/>
        <v>84</v>
      </c>
      <c r="HP104" s="703">
        <v>72</v>
      </c>
      <c r="HQ104" s="711">
        <f t="shared" si="658"/>
        <v>12</v>
      </c>
    </row>
    <row r="105" spans="1:225" ht="17.25" thickBot="1" x14ac:dyDescent="0.3">
      <c r="A105" s="423"/>
      <c r="B105" s="403">
        <f>B104+1</f>
        <v>2</v>
      </c>
      <c r="C105" s="571">
        <f>C104</f>
        <v>14</v>
      </c>
      <c r="D105" s="229"/>
      <c r="E105" s="408">
        <f t="shared" si="696"/>
        <v>68574</v>
      </c>
      <c r="F105" s="562">
        <f t="shared" si="555"/>
        <v>68566</v>
      </c>
      <c r="G105" s="405"/>
      <c r="H105" s="406">
        <v>8</v>
      </c>
      <c r="I105" s="406"/>
      <c r="J105" s="380">
        <f>SUM(G105:I105)</f>
        <v>8</v>
      </c>
      <c r="K105" s="380">
        <f>K104+J105</f>
        <v>5519</v>
      </c>
      <c r="L105" s="380">
        <f t="shared" si="556"/>
        <v>0.16</v>
      </c>
      <c r="M105" s="231">
        <f t="shared" si="605"/>
        <v>1.1666229183072302E-2</v>
      </c>
      <c r="N105" s="407">
        <f t="shared" si="557"/>
        <v>3.8400000000000012</v>
      </c>
      <c r="O105" s="132">
        <f t="shared" si="606"/>
        <v>4.0919976570551553</v>
      </c>
      <c r="P105" s="411">
        <v>2730</v>
      </c>
      <c r="Q105" s="380">
        <f t="shared" si="558"/>
        <v>64</v>
      </c>
      <c r="R105" s="442">
        <f t="shared" si="877"/>
        <v>39.811007087234231</v>
      </c>
      <c r="S105" s="474">
        <f t="shared" si="650"/>
        <v>3130.0189455471564</v>
      </c>
      <c r="T105" s="182">
        <f t="shared" si="560"/>
        <v>1065</v>
      </c>
      <c r="U105" s="181">
        <f>U104</f>
        <v>1009</v>
      </c>
      <c r="V105" s="206">
        <f t="shared" si="608"/>
        <v>56</v>
      </c>
      <c r="W105" s="385">
        <f t="shared" si="878"/>
        <v>84</v>
      </c>
      <c r="X105" s="181">
        <f>X104</f>
        <v>73</v>
      </c>
      <c r="Y105" s="206">
        <f t="shared" si="610"/>
        <v>11</v>
      </c>
      <c r="Z105" s="487"/>
      <c r="AA105" s="403">
        <f>AA104+1</f>
        <v>2</v>
      </c>
      <c r="AB105" s="404">
        <f>AB104</f>
        <v>14</v>
      </c>
      <c r="AC105" s="229"/>
      <c r="AD105" s="408">
        <f t="shared" ref="AD105:AD138" si="879">IFERROR(AE104+AC105,0)</f>
        <v>59326</v>
      </c>
      <c r="AE105" s="450">
        <f t="shared" si="484"/>
        <v>59318</v>
      </c>
      <c r="AF105" s="405"/>
      <c r="AG105" s="406">
        <v>8</v>
      </c>
      <c r="AH105" s="406"/>
      <c r="AI105" s="380">
        <f>SUM(AF105:AH105)</f>
        <v>8</v>
      </c>
      <c r="AJ105" s="380">
        <f>AJ104+AI105</f>
        <v>6401</v>
      </c>
      <c r="AK105" s="380">
        <f t="shared" si="562"/>
        <v>0.16</v>
      </c>
      <c r="AL105" s="231">
        <f t="shared" si="613"/>
        <v>1.3484812729663218E-2</v>
      </c>
      <c r="AM105" s="407">
        <f t="shared" si="563"/>
        <v>3.8400000000000012</v>
      </c>
      <c r="AN105" s="157">
        <f t="shared" si="659"/>
        <v>4.1788530840340528</v>
      </c>
      <c r="AO105" s="411">
        <v>2730</v>
      </c>
      <c r="AP105" s="380">
        <f t="shared" si="564"/>
        <v>64</v>
      </c>
      <c r="AQ105" s="442">
        <f t="shared" si="614"/>
        <v>46.016923439975727</v>
      </c>
      <c r="AR105" s="474">
        <f t="shared" si="799"/>
        <v>3290.4366900495597</v>
      </c>
      <c r="AS105" s="182">
        <f t="shared" si="565"/>
        <v>1065</v>
      </c>
      <c r="AT105" s="181">
        <f>AT104</f>
        <v>1013</v>
      </c>
      <c r="AU105" s="206">
        <f t="shared" si="736"/>
        <v>52</v>
      </c>
      <c r="AV105" s="385">
        <f t="shared" si="566"/>
        <v>84</v>
      </c>
      <c r="AW105" s="181">
        <f>AW104</f>
        <v>83</v>
      </c>
      <c r="AX105" s="206">
        <f t="shared" si="660"/>
        <v>1</v>
      </c>
      <c r="AY105" s="412"/>
      <c r="AZ105" s="403">
        <f>AZ104+1</f>
        <v>2</v>
      </c>
      <c r="BA105" s="404">
        <f>BA104</f>
        <v>14</v>
      </c>
      <c r="BB105" s="229"/>
      <c r="BC105" s="48">
        <f t="shared" si="518"/>
        <v>65421</v>
      </c>
      <c r="BD105" s="450">
        <f t="shared" si="485"/>
        <v>65411</v>
      </c>
      <c r="BE105" s="405"/>
      <c r="BF105" s="406">
        <v>10</v>
      </c>
      <c r="BG105" s="406"/>
      <c r="BH105" s="380">
        <f>SUM(BE105:BG105)</f>
        <v>10</v>
      </c>
      <c r="BI105" s="380">
        <f>BI104+BH105</f>
        <v>1180</v>
      </c>
      <c r="BJ105" s="380">
        <f t="shared" si="567"/>
        <v>0.16</v>
      </c>
      <c r="BK105" s="47">
        <f t="shared" si="646"/>
        <v>1.5285611653750324E-2</v>
      </c>
      <c r="BL105" s="407">
        <f t="shared" si="568"/>
        <v>3.8400000000000012</v>
      </c>
      <c r="BM105" s="132">
        <f t="shared" si="840"/>
        <v>1.6526610644257702</v>
      </c>
      <c r="BN105" s="411">
        <v>3003</v>
      </c>
      <c r="BO105" s="380">
        <f t="shared" si="569"/>
        <v>64</v>
      </c>
      <c r="BP105" s="442">
        <f t="shared" si="647"/>
        <v>45.902691796212224</v>
      </c>
      <c r="BQ105" s="753">
        <f t="shared" si="651"/>
        <v>3182.6572795536763</v>
      </c>
      <c r="BR105" s="182">
        <f t="shared" si="570"/>
        <v>1065</v>
      </c>
      <c r="BS105" s="181">
        <f>BS104</f>
        <v>980</v>
      </c>
      <c r="BT105" s="206">
        <f t="shared" si="737"/>
        <v>85</v>
      </c>
      <c r="BU105" s="385">
        <f t="shared" si="571"/>
        <v>84</v>
      </c>
      <c r="BV105" s="181">
        <f>BV104</f>
        <v>74</v>
      </c>
      <c r="BW105" s="206">
        <f t="shared" si="661"/>
        <v>10</v>
      </c>
      <c r="BX105" s="425"/>
      <c r="BY105" s="403">
        <f>BY104+1</f>
        <v>2</v>
      </c>
      <c r="BZ105" s="404">
        <f>BZ104</f>
        <v>14</v>
      </c>
      <c r="CA105" s="229"/>
      <c r="CB105" s="380">
        <f t="shared" si="662"/>
        <v>14604</v>
      </c>
      <c r="CC105" s="267">
        <f t="shared" si="682"/>
        <v>14603</v>
      </c>
      <c r="CD105" s="405"/>
      <c r="CE105" s="406">
        <v>1</v>
      </c>
      <c r="CF105" s="406"/>
      <c r="CG105" s="380">
        <f t="shared" si="683"/>
        <v>1</v>
      </c>
      <c r="CH105" s="380">
        <f t="shared" si="663"/>
        <v>53</v>
      </c>
      <c r="CI105" s="380">
        <f t="shared" si="572"/>
        <v>0.16</v>
      </c>
      <c r="CJ105" s="47">
        <f t="shared" si="782"/>
        <v>6.8474390577923858E-3</v>
      </c>
      <c r="CK105" s="407">
        <f t="shared" si="573"/>
        <v>3.8400000000000012</v>
      </c>
      <c r="CL105" s="157">
        <f t="shared" si="783"/>
        <v>0.36162663755458513</v>
      </c>
      <c r="CM105" s="411">
        <v>1295</v>
      </c>
      <c r="CN105" s="380">
        <f t="shared" si="574"/>
        <v>64</v>
      </c>
      <c r="CO105" s="442">
        <f t="shared" si="784"/>
        <v>88.674335798411406</v>
      </c>
      <c r="CP105" s="409">
        <f t="shared" si="649"/>
        <v>1138.613115687217</v>
      </c>
      <c r="CQ105" s="182">
        <f t="shared" si="575"/>
        <v>1065</v>
      </c>
      <c r="CR105" s="181">
        <f>CR104</f>
        <v>1116</v>
      </c>
      <c r="CS105" s="206">
        <f t="shared" si="738"/>
        <v>-51</v>
      </c>
      <c r="CT105" s="385">
        <f t="shared" si="576"/>
        <v>84</v>
      </c>
      <c r="CU105" s="181">
        <f>CU104</f>
        <v>78</v>
      </c>
      <c r="CV105" s="206">
        <f t="shared" si="625"/>
        <v>6</v>
      </c>
      <c r="CX105" s="403">
        <f>CX104+1</f>
        <v>2</v>
      </c>
      <c r="CY105" s="404">
        <f>CY104</f>
        <v>14</v>
      </c>
      <c r="CZ105" s="229"/>
      <c r="DA105" s="380">
        <f t="shared" si="434"/>
        <v>14687</v>
      </c>
      <c r="DB105" s="267">
        <f t="shared" si="486"/>
        <v>14685</v>
      </c>
      <c r="DC105" s="405"/>
      <c r="DD105" s="406">
        <v>2</v>
      </c>
      <c r="DE105" s="406"/>
      <c r="DF105" s="380">
        <f t="shared" si="684"/>
        <v>2</v>
      </c>
      <c r="DG105" s="380">
        <f t="shared" ref="DG105:DG129" si="880">DG104+DF105</f>
        <v>42</v>
      </c>
      <c r="DH105" s="380">
        <f t="shared" si="577"/>
        <v>0.16</v>
      </c>
      <c r="DI105" s="47">
        <f t="shared" si="785"/>
        <v>1.3617484850548103E-2</v>
      </c>
      <c r="DJ105" s="407">
        <f t="shared" si="578"/>
        <v>3.8400000000000012</v>
      </c>
      <c r="DK105" s="157">
        <f t="shared" si="786"/>
        <v>0.28526794810840184</v>
      </c>
      <c r="DL105" s="411">
        <v>925</v>
      </c>
      <c r="DM105" s="380">
        <f t="shared" si="579"/>
        <v>64</v>
      </c>
      <c r="DN105" s="442">
        <f t="shared" si="787"/>
        <v>62.980867433784979</v>
      </c>
      <c r="DO105" s="409">
        <f t="shared" si="666"/>
        <v>1158.1290038481295</v>
      </c>
      <c r="DP105" s="182">
        <f t="shared" si="580"/>
        <v>1065</v>
      </c>
      <c r="DQ105" s="181">
        <f>DQ104</f>
        <v>1000</v>
      </c>
      <c r="DR105" s="206">
        <f t="shared" si="739"/>
        <v>65</v>
      </c>
      <c r="DS105" s="385">
        <f t="shared" si="581"/>
        <v>84</v>
      </c>
      <c r="DT105" s="181">
        <f>DT104</f>
        <v>72</v>
      </c>
      <c r="DU105" s="206">
        <f t="shared" si="654"/>
        <v>12</v>
      </c>
      <c r="DW105" s="403">
        <f>DW104+1</f>
        <v>2</v>
      </c>
      <c r="DX105" s="404">
        <f>DX104</f>
        <v>14</v>
      </c>
      <c r="DY105" s="229"/>
      <c r="DZ105" s="380">
        <f t="shared" si="435"/>
        <v>14488</v>
      </c>
      <c r="EA105" s="267">
        <f t="shared" si="487"/>
        <v>14485</v>
      </c>
      <c r="EB105" s="405"/>
      <c r="EC105" s="406">
        <v>3</v>
      </c>
      <c r="ED105" s="406"/>
      <c r="EE105" s="380">
        <f t="shared" si="686"/>
        <v>3</v>
      </c>
      <c r="EF105" s="380">
        <f t="shared" ref="EF105:EF129" si="881">EF104+EE105</f>
        <v>62</v>
      </c>
      <c r="EG105" s="380">
        <f t="shared" si="582"/>
        <v>0.16</v>
      </c>
      <c r="EH105" s="47">
        <f t="shared" si="788"/>
        <v>2.0706791827719492E-2</v>
      </c>
      <c r="EI105" s="407">
        <f t="shared" si="583"/>
        <v>3.8400000000000012</v>
      </c>
      <c r="EJ105" s="157">
        <f t="shared" si="800"/>
        <v>0.4264099037138927</v>
      </c>
      <c r="EK105" s="411">
        <v>925</v>
      </c>
      <c r="EL105" s="380">
        <f t="shared" si="584"/>
        <v>64</v>
      </c>
      <c r="EM105" s="442">
        <f t="shared" si="789"/>
        <v>63.845941468801762</v>
      </c>
      <c r="EN105" s="409">
        <f t="shared" si="669"/>
        <v>1376.996609073233</v>
      </c>
      <c r="EO105" s="182">
        <f t="shared" si="585"/>
        <v>1065</v>
      </c>
      <c r="EP105" s="181">
        <f>EP104</f>
        <v>1000</v>
      </c>
      <c r="EQ105" s="206">
        <f t="shared" si="740"/>
        <v>65</v>
      </c>
      <c r="ER105" s="385">
        <f t="shared" si="586"/>
        <v>84</v>
      </c>
      <c r="ES105" s="181">
        <f>ES104</f>
        <v>72</v>
      </c>
      <c r="ET105" s="206">
        <f t="shared" si="655"/>
        <v>12</v>
      </c>
      <c r="EV105" s="403">
        <f>EV104+1</f>
        <v>2</v>
      </c>
      <c r="EW105" s="404">
        <f>EW104</f>
        <v>14</v>
      </c>
      <c r="EX105" s="229"/>
      <c r="EY105" s="380">
        <f t="shared" si="436"/>
        <v>14188</v>
      </c>
      <c r="EZ105" s="267">
        <f t="shared" si="488"/>
        <v>14185</v>
      </c>
      <c r="FA105" s="405"/>
      <c r="FB105" s="406">
        <v>3</v>
      </c>
      <c r="FC105" s="406"/>
      <c r="FD105" s="380">
        <f t="shared" si="688"/>
        <v>3</v>
      </c>
      <c r="FE105" s="380">
        <f t="shared" ref="FE105:FE129" si="882">FE104+FD105</f>
        <v>53</v>
      </c>
      <c r="FF105" s="380">
        <f t="shared" si="587"/>
        <v>0.16</v>
      </c>
      <c r="FG105" s="47">
        <f t="shared" si="790"/>
        <v>2.1144629264166902E-2</v>
      </c>
      <c r="FH105" s="407">
        <f t="shared" si="588"/>
        <v>3.8400000000000012</v>
      </c>
      <c r="FI105" s="157">
        <f t="shared" si="801"/>
        <v>0.37232174218475589</v>
      </c>
      <c r="FJ105" s="411">
        <v>1665</v>
      </c>
      <c r="FK105" s="380">
        <f t="shared" si="589"/>
        <v>64</v>
      </c>
      <c r="FL105" s="442">
        <f t="shared" si="792"/>
        <v>117.3526924161263</v>
      </c>
      <c r="FM105" s="409">
        <f t="shared" si="672"/>
        <v>1367.0663196827829</v>
      </c>
      <c r="FN105" s="182">
        <f t="shared" si="590"/>
        <v>1065</v>
      </c>
      <c r="FO105" s="181">
        <f>FO104</f>
        <v>1000</v>
      </c>
      <c r="FP105" s="206">
        <f t="shared" si="741"/>
        <v>65</v>
      </c>
      <c r="FQ105" s="385">
        <f t="shared" si="591"/>
        <v>84</v>
      </c>
      <c r="FR105" s="181">
        <f>FR104</f>
        <v>72</v>
      </c>
      <c r="FS105" s="206">
        <f t="shared" si="656"/>
        <v>12</v>
      </c>
      <c r="FU105" s="403">
        <f>FU104+1</f>
        <v>2</v>
      </c>
      <c r="FV105" s="404">
        <f>FV104</f>
        <v>14</v>
      </c>
      <c r="FW105" s="229"/>
      <c r="FX105" s="380">
        <f t="shared" si="437"/>
        <v>14159</v>
      </c>
      <c r="FY105" s="267">
        <f t="shared" si="489"/>
        <v>14158</v>
      </c>
      <c r="FZ105" s="405"/>
      <c r="GA105" s="406">
        <v>1</v>
      </c>
      <c r="GB105" s="406"/>
      <c r="GC105" s="380">
        <f t="shared" si="690"/>
        <v>1</v>
      </c>
      <c r="GD105" s="380">
        <f t="shared" ref="GD105:GD129" si="883">GD104+GC105</f>
        <v>33</v>
      </c>
      <c r="GE105" s="380">
        <f t="shared" si="592"/>
        <v>0.16</v>
      </c>
      <c r="GF105" s="47">
        <f t="shared" si="793"/>
        <v>7.0626456670668828E-3</v>
      </c>
      <c r="GG105" s="407">
        <f t="shared" si="593"/>
        <v>3.8400000000000012</v>
      </c>
      <c r="GH105" s="157">
        <f t="shared" si="802"/>
        <v>0.23257452956515612</v>
      </c>
      <c r="GI105" s="411">
        <v>2405</v>
      </c>
      <c r="GJ105" s="380">
        <f t="shared" si="594"/>
        <v>64</v>
      </c>
      <c r="GK105" s="442">
        <f t="shared" si="795"/>
        <v>169.85662829295856</v>
      </c>
      <c r="GL105" s="409">
        <f t="shared" si="675"/>
        <v>1305.3655435597432</v>
      </c>
      <c r="GM105" s="182">
        <f t="shared" si="595"/>
        <v>1065</v>
      </c>
      <c r="GN105" s="181">
        <f>GN104</f>
        <v>1000</v>
      </c>
      <c r="GO105" s="206">
        <f t="shared" si="742"/>
        <v>65</v>
      </c>
      <c r="GP105" s="385">
        <f t="shared" si="596"/>
        <v>84</v>
      </c>
      <c r="GQ105" s="181">
        <f>GQ104</f>
        <v>72</v>
      </c>
      <c r="GR105" s="206">
        <f t="shared" si="657"/>
        <v>12</v>
      </c>
      <c r="GT105" s="403">
        <f>GT104+1</f>
        <v>2</v>
      </c>
      <c r="GU105" s="404">
        <f>GU104</f>
        <v>14</v>
      </c>
      <c r="GV105" s="229"/>
      <c r="GW105" s="380">
        <f t="shared" si="438"/>
        <v>9158</v>
      </c>
      <c r="GX105" s="267">
        <f t="shared" si="490"/>
        <v>9158</v>
      </c>
      <c r="GY105" s="405"/>
      <c r="GZ105" s="406">
        <v>0</v>
      </c>
      <c r="HA105" s="406"/>
      <c r="HB105" s="380">
        <f t="shared" si="692"/>
        <v>0</v>
      </c>
      <c r="HC105" s="380">
        <f t="shared" ref="HC105:HC129" si="884">HC104+HB105</f>
        <v>24</v>
      </c>
      <c r="HD105" s="380">
        <f t="shared" si="597"/>
        <v>0.16</v>
      </c>
      <c r="HE105" s="47">
        <f t="shared" si="796"/>
        <v>0</v>
      </c>
      <c r="HF105" s="407">
        <f t="shared" si="598"/>
        <v>3.8400000000000012</v>
      </c>
      <c r="HG105" s="157">
        <f t="shared" si="803"/>
        <v>0.26138096275321282</v>
      </c>
      <c r="HH105" s="411">
        <v>925</v>
      </c>
      <c r="HI105" s="380">
        <f t="shared" si="599"/>
        <v>64</v>
      </c>
      <c r="HJ105" s="442">
        <f t="shared" si="798"/>
        <v>101.00458615418214</v>
      </c>
      <c r="HK105" s="409">
        <f t="shared" si="678"/>
        <v>1251.1133866152497</v>
      </c>
      <c r="HL105" s="182">
        <f t="shared" si="600"/>
        <v>1065</v>
      </c>
      <c r="HM105" s="181">
        <f>HM104</f>
        <v>1000</v>
      </c>
      <c r="HN105" s="206">
        <f t="shared" si="743"/>
        <v>65</v>
      </c>
      <c r="HO105" s="385">
        <f t="shared" si="601"/>
        <v>84</v>
      </c>
      <c r="HP105" s="181">
        <f>HP104</f>
        <v>72</v>
      </c>
      <c r="HQ105" s="206">
        <f t="shared" si="658"/>
        <v>12</v>
      </c>
    </row>
    <row r="106" spans="1:225" ht="17.25" thickBot="1" x14ac:dyDescent="0.3">
      <c r="B106" s="120">
        <f>B105+1</f>
        <v>3</v>
      </c>
      <c r="C106" s="570">
        <f t="shared" ref="C106:C110" si="885">C105</f>
        <v>14</v>
      </c>
      <c r="D106" s="133"/>
      <c r="E106" s="408">
        <f t="shared" si="696"/>
        <v>68566</v>
      </c>
      <c r="F106" s="562">
        <f t="shared" si="555"/>
        <v>68563</v>
      </c>
      <c r="G106" s="134"/>
      <c r="H106" s="135">
        <v>3</v>
      </c>
      <c r="I106" s="135"/>
      <c r="J106" s="14">
        <f t="shared" si="679"/>
        <v>3</v>
      </c>
      <c r="K106" s="14">
        <f>K105+J106</f>
        <v>5522</v>
      </c>
      <c r="L106" s="14">
        <f t="shared" si="556"/>
        <v>0.16</v>
      </c>
      <c r="M106" s="230">
        <f t="shared" si="605"/>
        <v>4.3753463815885425E-3</v>
      </c>
      <c r="N106" s="35">
        <f t="shared" si="557"/>
        <v>3.8400000000000012</v>
      </c>
      <c r="O106" s="132">
        <f t="shared" si="606"/>
        <v>4.0942219717808603</v>
      </c>
      <c r="P106" s="142">
        <v>4095</v>
      </c>
      <c r="Q106" s="14">
        <f t="shared" si="558"/>
        <v>64</v>
      </c>
      <c r="R106" s="480">
        <f t="shared" si="877"/>
        <v>59.723478108683608</v>
      </c>
      <c r="S106" s="470">
        <f t="shared" si="650"/>
        <v>3189.74242365584</v>
      </c>
      <c r="T106" s="51">
        <f t="shared" si="560"/>
        <v>1065</v>
      </c>
      <c r="U106" s="181">
        <f t="shared" ref="U106:U110" si="886">U105</f>
        <v>1009</v>
      </c>
      <c r="V106" s="46">
        <f t="shared" si="608"/>
        <v>56</v>
      </c>
      <c r="W106" s="51">
        <f t="shared" si="878"/>
        <v>84</v>
      </c>
      <c r="X106" s="181">
        <f t="shared" ref="X106:X110" si="887">X105</f>
        <v>73</v>
      </c>
      <c r="Y106" s="46">
        <f t="shared" si="610"/>
        <v>11</v>
      </c>
      <c r="Z106" s="487"/>
      <c r="AA106" s="120">
        <f>AA105+1</f>
        <v>3</v>
      </c>
      <c r="AB106" s="7">
        <f t="shared" ref="AB106:AB110" si="888">AB105</f>
        <v>14</v>
      </c>
      <c r="AC106" s="133"/>
      <c r="AD106" s="48">
        <f t="shared" si="879"/>
        <v>59318</v>
      </c>
      <c r="AE106" s="196">
        <f t="shared" si="484"/>
        <v>59310</v>
      </c>
      <c r="AF106" s="134"/>
      <c r="AG106" s="135">
        <v>8</v>
      </c>
      <c r="AH106" s="135"/>
      <c r="AI106" s="14">
        <f t="shared" ref="AI106:AI138" si="889">SUM(AF106:AH106)</f>
        <v>8</v>
      </c>
      <c r="AJ106" s="14">
        <f>AJ105+AI106</f>
        <v>6409</v>
      </c>
      <c r="AK106" s="14">
        <f t="shared" si="562"/>
        <v>0.16</v>
      </c>
      <c r="AL106" s="230">
        <f t="shared" si="613"/>
        <v>1.3486631376647898E-2</v>
      </c>
      <c r="AM106" s="35">
        <f t="shared" si="563"/>
        <v>3.8400000000000012</v>
      </c>
      <c r="AN106" s="157">
        <f t="shared" si="659"/>
        <v>4.1840758343343607</v>
      </c>
      <c r="AO106" s="134">
        <v>2730</v>
      </c>
      <c r="AP106" s="14">
        <f t="shared" si="564"/>
        <v>64</v>
      </c>
      <c r="AQ106" s="480">
        <f t="shared" si="614"/>
        <v>46.023129572810952</v>
      </c>
      <c r="AR106" s="470">
        <f t="shared" si="799"/>
        <v>3336.4598196223706</v>
      </c>
      <c r="AS106" s="51">
        <f t="shared" si="565"/>
        <v>1065</v>
      </c>
      <c r="AT106" s="181">
        <f t="shared" ref="AT106:AT110" si="890">AT105</f>
        <v>1013</v>
      </c>
      <c r="AU106" s="46">
        <f t="shared" si="736"/>
        <v>52</v>
      </c>
      <c r="AV106" s="51">
        <f t="shared" si="566"/>
        <v>84</v>
      </c>
      <c r="AW106" s="181">
        <f t="shared" ref="AW106:AW110" si="891">AW105</f>
        <v>83</v>
      </c>
      <c r="AX106" s="46">
        <f t="shared" si="660"/>
        <v>1</v>
      </c>
      <c r="AZ106" s="120">
        <f>AZ105+1</f>
        <v>3</v>
      </c>
      <c r="BA106" s="7">
        <f t="shared" ref="BA106:BA110" si="892">BA105</f>
        <v>14</v>
      </c>
      <c r="BB106" s="133"/>
      <c r="BC106" s="48">
        <f t="shared" si="518"/>
        <v>65411</v>
      </c>
      <c r="BD106" s="196">
        <f t="shared" si="485"/>
        <v>65409</v>
      </c>
      <c r="BE106" s="134"/>
      <c r="BF106" s="135">
        <v>2</v>
      </c>
      <c r="BG106" s="135"/>
      <c r="BH106" s="14">
        <f t="shared" ref="BH106:BH138" si="893">SUM(BE106:BG106)</f>
        <v>2</v>
      </c>
      <c r="BI106" s="14">
        <f>BI105+BH106</f>
        <v>1182</v>
      </c>
      <c r="BJ106" s="14">
        <f t="shared" si="567"/>
        <v>0.16</v>
      </c>
      <c r="BK106" s="47">
        <f t="shared" si="646"/>
        <v>3.0575897020378834E-3</v>
      </c>
      <c r="BL106" s="35">
        <f t="shared" si="568"/>
        <v>3.8400000000000012</v>
      </c>
      <c r="BM106" s="132">
        <f t="shared" si="840"/>
        <v>1.6554621848739495</v>
      </c>
      <c r="BN106" s="134">
        <v>2475</v>
      </c>
      <c r="BO106" s="14">
        <f t="shared" si="569"/>
        <v>64</v>
      </c>
      <c r="BP106" s="442">
        <f t="shared" si="647"/>
        <v>37.837672562718815</v>
      </c>
      <c r="BQ106" s="747">
        <f t="shared" si="651"/>
        <v>3220.4949521163953</v>
      </c>
      <c r="BR106" s="51">
        <f t="shared" si="570"/>
        <v>1065</v>
      </c>
      <c r="BS106" s="181">
        <f t="shared" ref="BS106:BS110" si="894">BS105</f>
        <v>980</v>
      </c>
      <c r="BT106" s="46">
        <f t="shared" si="737"/>
        <v>85</v>
      </c>
      <c r="BU106" s="51">
        <f t="shared" si="571"/>
        <v>84</v>
      </c>
      <c r="BV106" s="181">
        <f t="shared" ref="BV106:BV110" si="895">BV105</f>
        <v>74</v>
      </c>
      <c r="BW106" s="46">
        <f t="shared" si="661"/>
        <v>10</v>
      </c>
      <c r="BY106" s="120">
        <f>BY105+1</f>
        <v>3</v>
      </c>
      <c r="BZ106" s="7">
        <f t="shared" ref="BZ106:BZ110" si="896">BZ105</f>
        <v>14</v>
      </c>
      <c r="CA106" s="133"/>
      <c r="CB106" s="14">
        <f t="shared" si="662"/>
        <v>14603</v>
      </c>
      <c r="CC106" s="59">
        <f t="shared" si="682"/>
        <v>14600</v>
      </c>
      <c r="CD106" s="405"/>
      <c r="CE106" s="406">
        <v>3</v>
      </c>
      <c r="CF106" s="406"/>
      <c r="CG106" s="14">
        <f t="shared" si="683"/>
        <v>3</v>
      </c>
      <c r="CH106" s="14">
        <f t="shared" si="663"/>
        <v>56</v>
      </c>
      <c r="CI106" s="14">
        <f t="shared" si="572"/>
        <v>0.16</v>
      </c>
      <c r="CJ106" s="47">
        <f t="shared" si="782"/>
        <v>2.0543723892350887E-2</v>
      </c>
      <c r="CK106" s="35">
        <f t="shared" si="573"/>
        <v>3.8400000000000012</v>
      </c>
      <c r="CL106" s="157">
        <f t="shared" si="783"/>
        <v>0.38209606986899564</v>
      </c>
      <c r="CM106" s="134">
        <v>925</v>
      </c>
      <c r="CN106" s="14">
        <f t="shared" si="574"/>
        <v>64</v>
      </c>
      <c r="CO106" s="442">
        <f t="shared" si="784"/>
        <v>63.343148668081895</v>
      </c>
      <c r="CP106" s="68">
        <f t="shared" si="649"/>
        <v>1201.956264355299</v>
      </c>
      <c r="CQ106" s="51">
        <f t="shared" si="575"/>
        <v>1065</v>
      </c>
      <c r="CR106" s="181">
        <f t="shared" ref="CR106:CR110" si="897">CR105</f>
        <v>1116</v>
      </c>
      <c r="CS106" s="46">
        <f t="shared" si="738"/>
        <v>-51</v>
      </c>
      <c r="CT106" s="51">
        <f t="shared" si="576"/>
        <v>84</v>
      </c>
      <c r="CU106" s="103">
        <f>CU105</f>
        <v>78</v>
      </c>
      <c r="CV106" s="46">
        <f t="shared" si="625"/>
        <v>6</v>
      </c>
      <c r="CX106" s="120">
        <f>CX105+1</f>
        <v>3</v>
      </c>
      <c r="CY106" s="7">
        <f t="shared" ref="CY106:CY110" si="898">CY105</f>
        <v>14</v>
      </c>
      <c r="CZ106" s="133"/>
      <c r="DA106" s="14">
        <f t="shared" si="434"/>
        <v>14685</v>
      </c>
      <c r="DB106" s="59">
        <f t="shared" si="486"/>
        <v>14685</v>
      </c>
      <c r="DC106" s="405"/>
      <c r="DD106" s="406">
        <v>0</v>
      </c>
      <c r="DE106" s="406"/>
      <c r="DF106" s="14">
        <f t="shared" si="684"/>
        <v>0</v>
      </c>
      <c r="DG106" s="14">
        <f t="shared" si="880"/>
        <v>42</v>
      </c>
      <c r="DH106" s="14">
        <f t="shared" si="577"/>
        <v>0.16</v>
      </c>
      <c r="DI106" s="47">
        <f t="shared" si="785"/>
        <v>0</v>
      </c>
      <c r="DJ106" s="35">
        <f t="shared" si="578"/>
        <v>3.8400000000000012</v>
      </c>
      <c r="DK106" s="157">
        <f t="shared" si="786"/>
        <v>0.28526794810840184</v>
      </c>
      <c r="DL106" s="134">
        <v>1110</v>
      </c>
      <c r="DM106" s="14">
        <f t="shared" si="579"/>
        <v>64</v>
      </c>
      <c r="DN106" s="442">
        <f t="shared" si="787"/>
        <v>75.587334014300296</v>
      </c>
      <c r="DO106" s="68">
        <f t="shared" si="666"/>
        <v>1233.7163378624298</v>
      </c>
      <c r="DP106" s="51">
        <f t="shared" si="580"/>
        <v>1065</v>
      </c>
      <c r="DQ106" s="181">
        <f t="shared" ref="DQ106:DQ110" si="899">DQ105</f>
        <v>1000</v>
      </c>
      <c r="DR106" s="46">
        <f t="shared" si="739"/>
        <v>65</v>
      </c>
      <c r="DS106" s="51">
        <f t="shared" si="581"/>
        <v>84</v>
      </c>
      <c r="DT106" s="103">
        <f>DT105</f>
        <v>72</v>
      </c>
      <c r="DU106" s="46">
        <f t="shared" si="654"/>
        <v>12</v>
      </c>
      <c r="DW106" s="120">
        <f>DW105+1</f>
        <v>3</v>
      </c>
      <c r="DX106" s="7">
        <f t="shared" ref="DX106:DX110" si="900">DX105</f>
        <v>14</v>
      </c>
      <c r="DY106" s="133"/>
      <c r="DZ106" s="14">
        <f t="shared" si="435"/>
        <v>14485</v>
      </c>
      <c r="EA106" s="59">
        <f t="shared" si="487"/>
        <v>14483</v>
      </c>
      <c r="EB106" s="405"/>
      <c r="EC106" s="406">
        <v>2</v>
      </c>
      <c r="ED106" s="406"/>
      <c r="EE106" s="14">
        <f t="shared" si="686"/>
        <v>2</v>
      </c>
      <c r="EF106" s="14">
        <f t="shared" si="881"/>
        <v>64</v>
      </c>
      <c r="EG106" s="14">
        <f t="shared" si="582"/>
        <v>0.16</v>
      </c>
      <c r="EH106" s="47">
        <f t="shared" si="788"/>
        <v>1.3807386952019331E-2</v>
      </c>
      <c r="EI106" s="35">
        <f t="shared" si="583"/>
        <v>3.8400000000000012</v>
      </c>
      <c r="EJ106" s="157">
        <f t="shared" si="800"/>
        <v>0.44016506189821181</v>
      </c>
      <c r="EK106" s="134">
        <v>925</v>
      </c>
      <c r="EL106" s="14">
        <f t="shared" si="584"/>
        <v>64</v>
      </c>
      <c r="EM106" s="442">
        <f t="shared" si="789"/>
        <v>63.859164653089401</v>
      </c>
      <c r="EN106" s="68">
        <f t="shared" si="669"/>
        <v>1440.8557737263225</v>
      </c>
      <c r="EO106" s="51">
        <f t="shared" si="585"/>
        <v>1065</v>
      </c>
      <c r="EP106" s="181">
        <f t="shared" ref="EP106:EP110" si="901">EP105</f>
        <v>1000</v>
      </c>
      <c r="EQ106" s="46">
        <f t="shared" si="740"/>
        <v>65</v>
      </c>
      <c r="ER106" s="51">
        <f t="shared" si="586"/>
        <v>84</v>
      </c>
      <c r="ES106" s="103">
        <f>ES105</f>
        <v>72</v>
      </c>
      <c r="ET106" s="46">
        <f t="shared" si="655"/>
        <v>12</v>
      </c>
      <c r="EV106" s="120">
        <f>EV105+1</f>
        <v>3</v>
      </c>
      <c r="EW106" s="7">
        <f t="shared" ref="EW106:EW110" si="902">EW105</f>
        <v>14</v>
      </c>
      <c r="EX106" s="133"/>
      <c r="EY106" s="14">
        <f t="shared" si="436"/>
        <v>14185</v>
      </c>
      <c r="EZ106" s="59">
        <f t="shared" si="488"/>
        <v>14184</v>
      </c>
      <c r="FA106" s="405"/>
      <c r="FB106" s="406">
        <v>1</v>
      </c>
      <c r="FC106" s="406"/>
      <c r="FD106" s="14">
        <f t="shared" si="688"/>
        <v>1</v>
      </c>
      <c r="FE106" s="14">
        <f t="shared" si="882"/>
        <v>54</v>
      </c>
      <c r="FF106" s="14">
        <f t="shared" si="587"/>
        <v>0.16</v>
      </c>
      <c r="FG106" s="47">
        <f t="shared" si="790"/>
        <v>7.0497003877335214E-3</v>
      </c>
      <c r="FH106" s="35">
        <f t="shared" si="588"/>
        <v>3.8400000000000012</v>
      </c>
      <c r="FI106" s="157">
        <f t="shared" si="801"/>
        <v>0.3793466807165437</v>
      </c>
      <c r="FJ106" s="134">
        <v>1850</v>
      </c>
      <c r="FK106" s="14">
        <f t="shared" si="589"/>
        <v>64</v>
      </c>
      <c r="FL106" s="442">
        <f t="shared" si="792"/>
        <v>130.41945717307016</v>
      </c>
      <c r="FM106" s="68">
        <f t="shared" si="672"/>
        <v>1497.4857768558531</v>
      </c>
      <c r="FN106" s="51">
        <f t="shared" si="590"/>
        <v>1065</v>
      </c>
      <c r="FO106" s="181">
        <f t="shared" ref="FO106:FO110" si="903">FO105</f>
        <v>1000</v>
      </c>
      <c r="FP106" s="46">
        <f t="shared" si="741"/>
        <v>65</v>
      </c>
      <c r="FQ106" s="51">
        <f t="shared" si="591"/>
        <v>84</v>
      </c>
      <c r="FR106" s="103">
        <f>FR105</f>
        <v>72</v>
      </c>
      <c r="FS106" s="46">
        <f t="shared" si="656"/>
        <v>12</v>
      </c>
      <c r="FU106" s="120">
        <f>FU105+1</f>
        <v>3</v>
      </c>
      <c r="FV106" s="7">
        <f t="shared" ref="FV106:FV110" si="904">FV105</f>
        <v>14</v>
      </c>
      <c r="FW106" s="133"/>
      <c r="FX106" s="14">
        <f t="shared" si="437"/>
        <v>14158</v>
      </c>
      <c r="FY106" s="59">
        <f t="shared" si="489"/>
        <v>14157</v>
      </c>
      <c r="FZ106" s="405"/>
      <c r="GA106" s="406">
        <v>1</v>
      </c>
      <c r="GB106" s="406"/>
      <c r="GC106" s="14">
        <f t="shared" si="690"/>
        <v>1</v>
      </c>
      <c r="GD106" s="14">
        <f t="shared" si="883"/>
        <v>34</v>
      </c>
      <c r="GE106" s="14">
        <f t="shared" si="592"/>
        <v>0.16</v>
      </c>
      <c r="GF106" s="47">
        <f t="shared" si="793"/>
        <v>7.0631445119367139E-3</v>
      </c>
      <c r="GG106" s="35">
        <f t="shared" si="593"/>
        <v>3.8400000000000012</v>
      </c>
      <c r="GH106" s="157">
        <f t="shared" si="802"/>
        <v>0.23962224258228204</v>
      </c>
      <c r="GI106" s="134">
        <v>1110</v>
      </c>
      <c r="GJ106" s="14">
        <f t="shared" si="594"/>
        <v>64</v>
      </c>
      <c r="GK106" s="442">
        <f t="shared" si="795"/>
        <v>78.400904082497533</v>
      </c>
      <c r="GL106" s="68">
        <f t="shared" si="675"/>
        <v>1383.7664476422408</v>
      </c>
      <c r="GM106" s="51">
        <f t="shared" si="595"/>
        <v>1065</v>
      </c>
      <c r="GN106" s="181">
        <f t="shared" ref="GN106:GN110" si="905">GN105</f>
        <v>1000</v>
      </c>
      <c r="GO106" s="46">
        <f t="shared" si="742"/>
        <v>65</v>
      </c>
      <c r="GP106" s="51">
        <f t="shared" si="596"/>
        <v>84</v>
      </c>
      <c r="GQ106" s="103">
        <f>GQ105</f>
        <v>72</v>
      </c>
      <c r="GR106" s="46">
        <f t="shared" si="657"/>
        <v>12</v>
      </c>
      <c r="GT106" s="120">
        <f>GT105+1</f>
        <v>3</v>
      </c>
      <c r="GU106" s="7">
        <f t="shared" ref="GU106:GU110" si="906">GU105</f>
        <v>14</v>
      </c>
      <c r="GV106" s="133"/>
      <c r="GW106" s="14">
        <f t="shared" si="438"/>
        <v>9158</v>
      </c>
      <c r="GX106" s="59">
        <f t="shared" si="490"/>
        <v>9157</v>
      </c>
      <c r="GY106" s="405"/>
      <c r="GZ106" s="406">
        <v>1</v>
      </c>
      <c r="HA106" s="406"/>
      <c r="HB106" s="14">
        <f t="shared" si="692"/>
        <v>1</v>
      </c>
      <c r="HC106" s="14">
        <f t="shared" si="884"/>
        <v>25</v>
      </c>
      <c r="HD106" s="14">
        <f t="shared" si="597"/>
        <v>0.16</v>
      </c>
      <c r="HE106" s="47">
        <f t="shared" si="796"/>
        <v>1.0919414719371042E-2</v>
      </c>
      <c r="HF106" s="35">
        <f t="shared" si="598"/>
        <v>3.8400000000000012</v>
      </c>
      <c r="HG106" s="157">
        <f t="shared" si="803"/>
        <v>0.27227183620126333</v>
      </c>
      <c r="HH106" s="134">
        <v>370</v>
      </c>
      <c r="HI106" s="14">
        <f t="shared" si="599"/>
        <v>64</v>
      </c>
      <c r="HJ106" s="442">
        <f t="shared" si="798"/>
        <v>40.401834461672856</v>
      </c>
      <c r="HK106" s="68">
        <f t="shared" si="678"/>
        <v>1291.5152210769227</v>
      </c>
      <c r="HL106" s="51">
        <f t="shared" si="600"/>
        <v>1065</v>
      </c>
      <c r="HM106" s="181">
        <f t="shared" ref="HM106:HM110" si="907">HM105</f>
        <v>1000</v>
      </c>
      <c r="HN106" s="46">
        <f t="shared" si="743"/>
        <v>65</v>
      </c>
      <c r="HO106" s="51">
        <f t="shared" si="601"/>
        <v>84</v>
      </c>
      <c r="HP106" s="103">
        <f>HP105</f>
        <v>72</v>
      </c>
      <c r="HQ106" s="46">
        <f t="shared" si="658"/>
        <v>12</v>
      </c>
    </row>
    <row r="107" spans="1:225" ht="17.25" thickBot="1" x14ac:dyDescent="0.3">
      <c r="B107" s="120">
        <f t="shared" ref="B107:B110" si="908">B106+1</f>
        <v>4</v>
      </c>
      <c r="C107" s="570">
        <f t="shared" si="885"/>
        <v>14</v>
      </c>
      <c r="D107" s="229"/>
      <c r="E107" s="408">
        <f t="shared" si="696"/>
        <v>68563</v>
      </c>
      <c r="F107" s="562">
        <f t="shared" si="555"/>
        <v>68560</v>
      </c>
      <c r="G107" s="134"/>
      <c r="H107" s="135">
        <v>3</v>
      </c>
      <c r="I107" s="135"/>
      <c r="J107" s="14">
        <f t="shared" si="679"/>
        <v>3</v>
      </c>
      <c r="K107" s="14">
        <f t="shared" si="604"/>
        <v>5525</v>
      </c>
      <c r="L107" s="14">
        <f t="shared" si="556"/>
        <v>0.16</v>
      </c>
      <c r="M107" s="230">
        <f t="shared" si="605"/>
        <v>4.3755378265245099E-3</v>
      </c>
      <c r="N107" s="35">
        <f t="shared" si="557"/>
        <v>3.8400000000000012</v>
      </c>
      <c r="O107" s="132">
        <f t="shared" si="606"/>
        <v>4.0964462865065654</v>
      </c>
      <c r="P107" s="142">
        <v>3276</v>
      </c>
      <c r="Q107" s="14">
        <f t="shared" si="558"/>
        <v>64</v>
      </c>
      <c r="R107" s="482">
        <f t="shared" si="877"/>
        <v>47.780873065647654</v>
      </c>
      <c r="S107" s="470">
        <f t="shared" si="650"/>
        <v>3237.5232967214874</v>
      </c>
      <c r="T107" s="51">
        <f t="shared" si="560"/>
        <v>1065</v>
      </c>
      <c r="U107" s="181">
        <f t="shared" si="886"/>
        <v>1009</v>
      </c>
      <c r="V107" s="46">
        <f t="shared" si="608"/>
        <v>56</v>
      </c>
      <c r="W107" s="12">
        <f t="shared" si="878"/>
        <v>84</v>
      </c>
      <c r="X107" s="181">
        <f t="shared" si="887"/>
        <v>73</v>
      </c>
      <c r="Y107" s="46">
        <f t="shared" si="610"/>
        <v>11</v>
      </c>
      <c r="Z107" s="487"/>
      <c r="AA107" s="120">
        <f t="shared" ref="AA107:AA110" si="909">AA106+1</f>
        <v>4</v>
      </c>
      <c r="AB107" s="7">
        <f t="shared" si="888"/>
        <v>14</v>
      </c>
      <c r="AC107" s="229"/>
      <c r="AD107" s="48">
        <f t="shared" si="879"/>
        <v>59310</v>
      </c>
      <c r="AE107" s="196">
        <f t="shared" si="484"/>
        <v>59306</v>
      </c>
      <c r="AF107" s="134"/>
      <c r="AG107" s="135">
        <v>4</v>
      </c>
      <c r="AH107" s="135"/>
      <c r="AI107" s="14">
        <f t="shared" si="889"/>
        <v>4</v>
      </c>
      <c r="AJ107" s="14">
        <f t="shared" ref="AJ107:AJ138" si="910">AJ106+AI107</f>
        <v>6413</v>
      </c>
      <c r="AK107" s="14">
        <f t="shared" si="562"/>
        <v>0.16</v>
      </c>
      <c r="AL107" s="230">
        <f t="shared" si="613"/>
        <v>6.7442252571235876E-3</v>
      </c>
      <c r="AM107" s="35">
        <f t="shared" si="563"/>
        <v>3.8400000000000012</v>
      </c>
      <c r="AN107" s="157">
        <f t="shared" si="659"/>
        <v>4.1866872094845142</v>
      </c>
      <c r="AO107" s="134">
        <v>3276</v>
      </c>
      <c r="AP107" s="14">
        <f t="shared" si="564"/>
        <v>64</v>
      </c>
      <c r="AQ107" s="482">
        <f t="shared" si="614"/>
        <v>55.235204855842184</v>
      </c>
      <c r="AR107" s="470">
        <f t="shared" si="799"/>
        <v>3391.6950244782129</v>
      </c>
      <c r="AS107" s="51">
        <f t="shared" si="565"/>
        <v>1065</v>
      </c>
      <c r="AT107" s="181">
        <f t="shared" si="890"/>
        <v>1013</v>
      </c>
      <c r="AU107" s="46">
        <f t="shared" si="736"/>
        <v>52</v>
      </c>
      <c r="AV107" s="12">
        <f t="shared" si="566"/>
        <v>84</v>
      </c>
      <c r="AW107" s="181">
        <f t="shared" si="891"/>
        <v>83</v>
      </c>
      <c r="AX107" s="46">
        <f t="shared" si="660"/>
        <v>1</v>
      </c>
      <c r="AZ107" s="120">
        <f t="shared" ref="AZ107:AZ110" si="911">AZ106+1</f>
        <v>4</v>
      </c>
      <c r="BA107" s="7">
        <f t="shared" si="892"/>
        <v>14</v>
      </c>
      <c r="BB107" s="229"/>
      <c r="BC107" s="48">
        <f t="shared" si="518"/>
        <v>65409</v>
      </c>
      <c r="BD107" s="196">
        <f t="shared" si="485"/>
        <v>65401</v>
      </c>
      <c r="BE107" s="134"/>
      <c r="BF107" s="135">
        <v>8</v>
      </c>
      <c r="BG107" s="135"/>
      <c r="BH107" s="14">
        <f t="shared" si="893"/>
        <v>8</v>
      </c>
      <c r="BI107" s="14">
        <f t="shared" ref="BI107:BI138" si="912">BI106+BH107</f>
        <v>1190</v>
      </c>
      <c r="BJ107" s="14">
        <f t="shared" si="567"/>
        <v>0.16</v>
      </c>
      <c r="BK107" s="47">
        <f t="shared" si="646"/>
        <v>1.2230732773777309E-2</v>
      </c>
      <c r="BL107" s="35">
        <f t="shared" si="568"/>
        <v>3.8400000000000012</v>
      </c>
      <c r="BM107" s="132">
        <f t="shared" si="840"/>
        <v>1.6666666666666667</v>
      </c>
      <c r="BN107" s="134">
        <v>2730</v>
      </c>
      <c r="BO107" s="14">
        <f t="shared" si="569"/>
        <v>64</v>
      </c>
      <c r="BP107" s="442">
        <f t="shared" si="647"/>
        <v>41.737375590515065</v>
      </c>
      <c r="BQ107" s="747">
        <f t="shared" si="651"/>
        <v>3262.2323277069104</v>
      </c>
      <c r="BR107" s="51">
        <f t="shared" si="570"/>
        <v>1065</v>
      </c>
      <c r="BS107" s="181">
        <f t="shared" si="894"/>
        <v>980</v>
      </c>
      <c r="BT107" s="46">
        <f t="shared" si="737"/>
        <v>85</v>
      </c>
      <c r="BU107" s="12">
        <f t="shared" si="571"/>
        <v>84</v>
      </c>
      <c r="BV107" s="181">
        <f t="shared" si="895"/>
        <v>74</v>
      </c>
      <c r="BW107" s="46">
        <f t="shared" si="661"/>
        <v>10</v>
      </c>
      <c r="BY107" s="120">
        <f t="shared" ref="BY107:BY109" si="913">BY106+1</f>
        <v>4</v>
      </c>
      <c r="BZ107" s="7">
        <f t="shared" si="896"/>
        <v>14</v>
      </c>
      <c r="CA107" s="133"/>
      <c r="CB107" s="14">
        <f t="shared" si="662"/>
        <v>14600</v>
      </c>
      <c r="CC107" s="59">
        <f t="shared" si="682"/>
        <v>14597</v>
      </c>
      <c r="CD107" s="405"/>
      <c r="CE107" s="406">
        <v>3</v>
      </c>
      <c r="CF107" s="406"/>
      <c r="CG107" s="14">
        <f t="shared" si="683"/>
        <v>3</v>
      </c>
      <c r="CH107" s="14">
        <f t="shared" si="663"/>
        <v>59</v>
      </c>
      <c r="CI107" s="14">
        <f t="shared" si="572"/>
        <v>0.16</v>
      </c>
      <c r="CJ107" s="47">
        <f t="shared" si="782"/>
        <v>2.0547945205479451E-2</v>
      </c>
      <c r="CK107" s="35">
        <f t="shared" si="573"/>
        <v>3.8400000000000012</v>
      </c>
      <c r="CL107" s="157">
        <f t="shared" si="783"/>
        <v>0.40256550218340609</v>
      </c>
      <c r="CM107" s="134">
        <v>1665</v>
      </c>
      <c r="CN107" s="14">
        <f t="shared" si="574"/>
        <v>64</v>
      </c>
      <c r="CO107" s="442">
        <f t="shared" si="784"/>
        <v>114.04109589041096</v>
      </c>
      <c r="CP107" s="68">
        <f t="shared" si="649"/>
        <v>1315.9973602457101</v>
      </c>
      <c r="CQ107" s="51">
        <f t="shared" si="575"/>
        <v>1065</v>
      </c>
      <c r="CR107" s="181">
        <f t="shared" si="897"/>
        <v>1116</v>
      </c>
      <c r="CS107" s="46">
        <f t="shared" si="738"/>
        <v>-51</v>
      </c>
      <c r="CT107" s="12">
        <f t="shared" si="576"/>
        <v>84</v>
      </c>
      <c r="CU107" s="103">
        <f t="shared" ref="CU107:CU110" si="914">CU106</f>
        <v>78</v>
      </c>
      <c r="CV107" s="46">
        <f t="shared" si="625"/>
        <v>6</v>
      </c>
      <c r="CX107" s="120">
        <f t="shared" ref="CX107:CX109" si="915">CX106+1</f>
        <v>4</v>
      </c>
      <c r="CY107" s="7">
        <f t="shared" si="898"/>
        <v>14</v>
      </c>
      <c r="CZ107" s="133"/>
      <c r="DA107" s="14">
        <f t="shared" si="434"/>
        <v>14685</v>
      </c>
      <c r="DB107" s="59">
        <f t="shared" si="486"/>
        <v>14683</v>
      </c>
      <c r="DC107" s="405"/>
      <c r="DD107" s="406">
        <v>2</v>
      </c>
      <c r="DE107" s="406"/>
      <c r="DF107" s="14">
        <f t="shared" si="684"/>
        <v>2</v>
      </c>
      <c r="DG107" s="14">
        <f t="shared" si="880"/>
        <v>44</v>
      </c>
      <c r="DH107" s="14">
        <f t="shared" si="577"/>
        <v>0.16</v>
      </c>
      <c r="DI107" s="47">
        <f t="shared" si="785"/>
        <v>1.3619339462036091E-2</v>
      </c>
      <c r="DJ107" s="35">
        <f t="shared" si="578"/>
        <v>3.8400000000000012</v>
      </c>
      <c r="DK107" s="157">
        <f t="shared" si="786"/>
        <v>0.29885213611356382</v>
      </c>
      <c r="DL107" s="134">
        <v>925</v>
      </c>
      <c r="DM107" s="14">
        <f t="shared" si="579"/>
        <v>64</v>
      </c>
      <c r="DN107" s="442">
        <f t="shared" si="787"/>
        <v>62.989445011916914</v>
      </c>
      <c r="DO107" s="68">
        <f t="shared" si="666"/>
        <v>1296.7057828743466</v>
      </c>
      <c r="DP107" s="51">
        <f t="shared" si="580"/>
        <v>1065</v>
      </c>
      <c r="DQ107" s="181">
        <f t="shared" si="899"/>
        <v>1000</v>
      </c>
      <c r="DR107" s="46">
        <f t="shared" si="739"/>
        <v>65</v>
      </c>
      <c r="DS107" s="12">
        <f t="shared" si="581"/>
        <v>84</v>
      </c>
      <c r="DT107" s="103">
        <f t="shared" ref="DT107:DT110" si="916">DT106</f>
        <v>72</v>
      </c>
      <c r="DU107" s="46">
        <f t="shared" si="654"/>
        <v>12</v>
      </c>
      <c r="DW107" s="120">
        <f t="shared" ref="DW107:DW109" si="917">DW106+1</f>
        <v>4</v>
      </c>
      <c r="DX107" s="7">
        <f t="shared" si="900"/>
        <v>14</v>
      </c>
      <c r="DY107" s="133"/>
      <c r="DZ107" s="14">
        <f t="shared" si="435"/>
        <v>14483</v>
      </c>
      <c r="EA107" s="59">
        <f t="shared" si="487"/>
        <v>14483</v>
      </c>
      <c r="EB107" s="405"/>
      <c r="EC107" s="406">
        <v>0</v>
      </c>
      <c r="ED107" s="406"/>
      <c r="EE107" s="14">
        <f t="shared" si="686"/>
        <v>0</v>
      </c>
      <c r="EF107" s="14">
        <f t="shared" si="881"/>
        <v>64</v>
      </c>
      <c r="EG107" s="14">
        <f t="shared" si="582"/>
        <v>0.16</v>
      </c>
      <c r="EH107" s="47">
        <f t="shared" si="788"/>
        <v>0</v>
      </c>
      <c r="EI107" s="35">
        <f t="shared" si="583"/>
        <v>3.8400000000000012</v>
      </c>
      <c r="EJ107" s="157">
        <f t="shared" si="800"/>
        <v>0.44016506189821181</v>
      </c>
      <c r="EK107" s="134">
        <v>1665</v>
      </c>
      <c r="EL107" s="14">
        <f t="shared" si="584"/>
        <v>64</v>
      </c>
      <c r="EM107" s="442">
        <f t="shared" si="789"/>
        <v>114.96236967479113</v>
      </c>
      <c r="EN107" s="68">
        <f t="shared" si="669"/>
        <v>1555.8181434011135</v>
      </c>
      <c r="EO107" s="51">
        <f t="shared" si="585"/>
        <v>1065</v>
      </c>
      <c r="EP107" s="181">
        <f t="shared" si="901"/>
        <v>1000</v>
      </c>
      <c r="EQ107" s="46">
        <f t="shared" si="740"/>
        <v>65</v>
      </c>
      <c r="ER107" s="12">
        <f t="shared" si="586"/>
        <v>84</v>
      </c>
      <c r="ES107" s="103">
        <f t="shared" ref="ES107:ES110" si="918">ES106</f>
        <v>72</v>
      </c>
      <c r="ET107" s="46">
        <f t="shared" si="655"/>
        <v>12</v>
      </c>
      <c r="EV107" s="120">
        <f t="shared" ref="EV107:EV109" si="919">EV106+1</f>
        <v>4</v>
      </c>
      <c r="EW107" s="7">
        <f t="shared" si="902"/>
        <v>14</v>
      </c>
      <c r="EX107" s="133"/>
      <c r="EY107" s="14">
        <f t="shared" si="436"/>
        <v>14184</v>
      </c>
      <c r="EZ107" s="59">
        <f t="shared" si="488"/>
        <v>14180</v>
      </c>
      <c r="FA107" s="405"/>
      <c r="FB107" s="406">
        <v>4</v>
      </c>
      <c r="FC107" s="406"/>
      <c r="FD107" s="14">
        <f t="shared" si="688"/>
        <v>4</v>
      </c>
      <c r="FE107" s="14">
        <f t="shared" si="882"/>
        <v>58</v>
      </c>
      <c r="FF107" s="14">
        <f t="shared" si="587"/>
        <v>0.16</v>
      </c>
      <c r="FG107" s="47">
        <f t="shared" si="790"/>
        <v>2.820078962210942E-2</v>
      </c>
      <c r="FH107" s="35">
        <f t="shared" si="588"/>
        <v>3.8400000000000012</v>
      </c>
      <c r="FI107" s="157">
        <f t="shared" si="801"/>
        <v>0.40744643484369514</v>
      </c>
      <c r="FJ107" s="134">
        <v>925</v>
      </c>
      <c r="FK107" s="14">
        <f t="shared" si="589"/>
        <v>64</v>
      </c>
      <c r="FL107" s="442">
        <f t="shared" si="792"/>
        <v>65.214326001128029</v>
      </c>
      <c r="FM107" s="68">
        <f t="shared" si="672"/>
        <v>1562.7001028569812</v>
      </c>
      <c r="FN107" s="51">
        <f t="shared" si="590"/>
        <v>1065</v>
      </c>
      <c r="FO107" s="181">
        <f t="shared" si="903"/>
        <v>1000</v>
      </c>
      <c r="FP107" s="46">
        <f t="shared" si="741"/>
        <v>65</v>
      </c>
      <c r="FQ107" s="12">
        <f t="shared" si="591"/>
        <v>84</v>
      </c>
      <c r="FR107" s="103">
        <f t="shared" ref="FR107:FR110" si="920">FR106</f>
        <v>72</v>
      </c>
      <c r="FS107" s="46">
        <f t="shared" si="656"/>
        <v>12</v>
      </c>
      <c r="FU107" s="120">
        <f t="shared" ref="FU107:FU109" si="921">FU106+1</f>
        <v>4</v>
      </c>
      <c r="FV107" s="7">
        <f t="shared" si="904"/>
        <v>14</v>
      </c>
      <c r="FW107" s="133"/>
      <c r="FX107" s="14">
        <f t="shared" si="437"/>
        <v>14157</v>
      </c>
      <c r="FY107" s="59">
        <f t="shared" si="489"/>
        <v>14157</v>
      </c>
      <c r="FZ107" s="405"/>
      <c r="GA107" s="406">
        <v>0</v>
      </c>
      <c r="GB107" s="406"/>
      <c r="GC107" s="14">
        <f t="shared" si="690"/>
        <v>0</v>
      </c>
      <c r="GD107" s="14">
        <f t="shared" si="883"/>
        <v>34</v>
      </c>
      <c r="GE107" s="14">
        <f t="shared" si="592"/>
        <v>0.16</v>
      </c>
      <c r="GF107" s="47">
        <f t="shared" si="793"/>
        <v>0</v>
      </c>
      <c r="GG107" s="35">
        <f t="shared" si="593"/>
        <v>3.8400000000000012</v>
      </c>
      <c r="GH107" s="157">
        <f t="shared" si="802"/>
        <v>0.23962224258228204</v>
      </c>
      <c r="GI107" s="134">
        <v>925</v>
      </c>
      <c r="GJ107" s="14">
        <f t="shared" si="594"/>
        <v>64</v>
      </c>
      <c r="GK107" s="442">
        <f t="shared" si="795"/>
        <v>65.338701702338057</v>
      </c>
      <c r="GL107" s="68">
        <f t="shared" si="675"/>
        <v>1449.1051493445789</v>
      </c>
      <c r="GM107" s="51">
        <f t="shared" si="595"/>
        <v>1065</v>
      </c>
      <c r="GN107" s="181">
        <f t="shared" si="905"/>
        <v>1000</v>
      </c>
      <c r="GO107" s="46">
        <f t="shared" si="742"/>
        <v>65</v>
      </c>
      <c r="GP107" s="12">
        <f t="shared" si="596"/>
        <v>84</v>
      </c>
      <c r="GQ107" s="103">
        <f t="shared" ref="GQ107:GQ110" si="922">GQ106</f>
        <v>72</v>
      </c>
      <c r="GR107" s="46">
        <f t="shared" si="657"/>
        <v>12</v>
      </c>
      <c r="GT107" s="120">
        <f t="shared" ref="GT107:GT109" si="923">GT106+1</f>
        <v>4</v>
      </c>
      <c r="GU107" s="7">
        <f t="shared" si="906"/>
        <v>14</v>
      </c>
      <c r="GV107" s="133"/>
      <c r="GW107" s="14">
        <f t="shared" si="438"/>
        <v>9157</v>
      </c>
      <c r="GX107" s="59">
        <f t="shared" si="490"/>
        <v>9156</v>
      </c>
      <c r="GY107" s="405"/>
      <c r="GZ107" s="406">
        <v>1</v>
      </c>
      <c r="HA107" s="406"/>
      <c r="HB107" s="14">
        <f t="shared" si="692"/>
        <v>1</v>
      </c>
      <c r="HC107" s="14">
        <f t="shared" si="884"/>
        <v>26</v>
      </c>
      <c r="HD107" s="14">
        <f t="shared" si="597"/>
        <v>0.16</v>
      </c>
      <c r="HE107" s="47">
        <f t="shared" si="796"/>
        <v>1.0920607185759528E-2</v>
      </c>
      <c r="HF107" s="35">
        <f t="shared" si="598"/>
        <v>3.8400000000000012</v>
      </c>
      <c r="HG107" s="157">
        <f t="shared" si="803"/>
        <v>0.28316270964931389</v>
      </c>
      <c r="HH107" s="134">
        <v>1295</v>
      </c>
      <c r="HI107" s="14">
        <f t="shared" si="599"/>
        <v>64</v>
      </c>
      <c r="HJ107" s="442">
        <f t="shared" si="798"/>
        <v>141.42186305558587</v>
      </c>
      <c r="HK107" s="68">
        <f t="shared" si="678"/>
        <v>1432.9370841325085</v>
      </c>
      <c r="HL107" s="51">
        <f t="shared" si="600"/>
        <v>1065</v>
      </c>
      <c r="HM107" s="181">
        <f t="shared" si="907"/>
        <v>1000</v>
      </c>
      <c r="HN107" s="46">
        <f t="shared" si="743"/>
        <v>65</v>
      </c>
      <c r="HO107" s="12">
        <f t="shared" si="601"/>
        <v>84</v>
      </c>
      <c r="HP107" s="103">
        <f t="shared" ref="HP107:HP110" si="924">HP106</f>
        <v>72</v>
      </c>
      <c r="HQ107" s="46">
        <f t="shared" si="658"/>
        <v>12</v>
      </c>
    </row>
    <row r="108" spans="1:225" ht="17.25" thickBot="1" x14ac:dyDescent="0.3">
      <c r="B108" s="120">
        <f t="shared" si="908"/>
        <v>5</v>
      </c>
      <c r="C108" s="570">
        <f t="shared" si="885"/>
        <v>14</v>
      </c>
      <c r="D108" s="133"/>
      <c r="E108" s="408">
        <f t="shared" si="696"/>
        <v>68560</v>
      </c>
      <c r="F108" s="562">
        <f t="shared" si="555"/>
        <v>68557</v>
      </c>
      <c r="G108" s="134"/>
      <c r="H108" s="135">
        <v>3</v>
      </c>
      <c r="I108" s="135"/>
      <c r="J108" s="14">
        <f t="shared" si="679"/>
        <v>3</v>
      </c>
      <c r="K108" s="14">
        <f t="shared" si="604"/>
        <v>5528</v>
      </c>
      <c r="L108" s="14">
        <f t="shared" si="556"/>
        <v>0.16</v>
      </c>
      <c r="M108" s="47">
        <f t="shared" si="605"/>
        <v>4.3757292882147022E-3</v>
      </c>
      <c r="N108" s="35">
        <f t="shared" si="557"/>
        <v>3.8400000000000012</v>
      </c>
      <c r="O108" s="132">
        <f t="shared" si="606"/>
        <v>4.0986706012322704</v>
      </c>
      <c r="P108" s="142">
        <v>4641</v>
      </c>
      <c r="Q108" s="14">
        <f t="shared" si="558"/>
        <v>64</v>
      </c>
      <c r="R108" s="482">
        <f t="shared" si="877"/>
        <v>67.692532088681446</v>
      </c>
      <c r="S108" s="470">
        <f t="shared" si="650"/>
        <v>3305.2158288101691</v>
      </c>
      <c r="T108" s="51">
        <f t="shared" si="560"/>
        <v>1065</v>
      </c>
      <c r="U108" s="181">
        <f t="shared" si="886"/>
        <v>1009</v>
      </c>
      <c r="V108" s="46">
        <f t="shared" si="608"/>
        <v>56</v>
      </c>
      <c r="W108" s="50">
        <f t="shared" si="878"/>
        <v>84</v>
      </c>
      <c r="X108" s="181">
        <f t="shared" si="887"/>
        <v>73</v>
      </c>
      <c r="Y108" s="46">
        <f t="shared" si="610"/>
        <v>11</v>
      </c>
      <c r="Z108" s="487"/>
      <c r="AA108" s="120">
        <f t="shared" si="909"/>
        <v>5</v>
      </c>
      <c r="AB108" s="7">
        <f t="shared" si="888"/>
        <v>14</v>
      </c>
      <c r="AC108" s="133"/>
      <c r="AD108" s="48">
        <f t="shared" si="879"/>
        <v>59306</v>
      </c>
      <c r="AE108" s="49">
        <f t="shared" si="484"/>
        <v>59302</v>
      </c>
      <c r="AF108" s="134"/>
      <c r="AG108" s="135">
        <v>4</v>
      </c>
      <c r="AH108" s="135"/>
      <c r="AI108" s="14">
        <f t="shared" si="889"/>
        <v>4</v>
      </c>
      <c r="AJ108" s="14">
        <f t="shared" si="910"/>
        <v>6417</v>
      </c>
      <c r="AK108" s="14">
        <f t="shared" si="562"/>
        <v>0.16</v>
      </c>
      <c r="AL108" s="47">
        <f t="shared" si="613"/>
        <v>6.7446801335446669E-3</v>
      </c>
      <c r="AM108" s="35">
        <f t="shared" si="563"/>
        <v>3.8400000000000012</v>
      </c>
      <c r="AN108" s="157">
        <f t="shared" si="659"/>
        <v>4.1892985846346686</v>
      </c>
      <c r="AO108" s="134">
        <v>2184</v>
      </c>
      <c r="AP108" s="14">
        <f t="shared" si="564"/>
        <v>64</v>
      </c>
      <c r="AQ108" s="482">
        <f t="shared" si="614"/>
        <v>36.825953529153885</v>
      </c>
      <c r="AR108" s="470">
        <f t="shared" si="799"/>
        <v>3428.5209780073669</v>
      </c>
      <c r="AS108" s="51">
        <f t="shared" si="565"/>
        <v>1065</v>
      </c>
      <c r="AT108" s="181">
        <f t="shared" si="890"/>
        <v>1013</v>
      </c>
      <c r="AU108" s="46">
        <f t="shared" si="736"/>
        <v>52</v>
      </c>
      <c r="AV108" s="50">
        <f t="shared" si="566"/>
        <v>84</v>
      </c>
      <c r="AW108" s="181">
        <f t="shared" si="891"/>
        <v>83</v>
      </c>
      <c r="AX108" s="46">
        <f t="shared" si="660"/>
        <v>1</v>
      </c>
      <c r="AZ108" s="120">
        <f t="shared" si="911"/>
        <v>5</v>
      </c>
      <c r="BA108" s="7">
        <f t="shared" si="892"/>
        <v>14</v>
      </c>
      <c r="BB108" s="133"/>
      <c r="BC108" s="48">
        <f t="shared" si="518"/>
        <v>65401</v>
      </c>
      <c r="BD108" s="49">
        <f t="shared" si="485"/>
        <v>65394</v>
      </c>
      <c r="BE108" s="134"/>
      <c r="BF108" s="135">
        <v>7</v>
      </c>
      <c r="BG108" s="135"/>
      <c r="BH108" s="14">
        <f t="shared" si="893"/>
        <v>7</v>
      </c>
      <c r="BI108" s="14">
        <f t="shared" si="912"/>
        <v>1197</v>
      </c>
      <c r="BJ108" s="14">
        <f t="shared" si="567"/>
        <v>0.16</v>
      </c>
      <c r="BK108" s="47">
        <f t="shared" si="646"/>
        <v>1.0703200256876806E-2</v>
      </c>
      <c r="BL108" s="35">
        <f t="shared" si="568"/>
        <v>3.8400000000000012</v>
      </c>
      <c r="BM108" s="132">
        <f t="shared" si="840"/>
        <v>1.6764705882352942</v>
      </c>
      <c r="BN108" s="134">
        <v>2730</v>
      </c>
      <c r="BO108" s="14">
        <f t="shared" si="569"/>
        <v>64</v>
      </c>
      <c r="BP108" s="442">
        <f t="shared" si="647"/>
        <v>41.742481001819542</v>
      </c>
      <c r="BQ108" s="747">
        <f t="shared" si="651"/>
        <v>3303.9748087087301</v>
      </c>
      <c r="BR108" s="51">
        <f t="shared" si="570"/>
        <v>1065</v>
      </c>
      <c r="BS108" s="181">
        <f t="shared" si="894"/>
        <v>980</v>
      </c>
      <c r="BT108" s="46">
        <f t="shared" si="737"/>
        <v>85</v>
      </c>
      <c r="BU108" s="50">
        <f t="shared" si="571"/>
        <v>84</v>
      </c>
      <c r="BV108" s="181">
        <f t="shared" si="895"/>
        <v>74</v>
      </c>
      <c r="BW108" s="46">
        <f t="shared" si="661"/>
        <v>10</v>
      </c>
      <c r="BY108" s="120">
        <f t="shared" si="913"/>
        <v>5</v>
      </c>
      <c r="BZ108" s="7">
        <f t="shared" si="896"/>
        <v>14</v>
      </c>
      <c r="CA108" s="133"/>
      <c r="CB108" s="14">
        <f t="shared" si="662"/>
        <v>14597</v>
      </c>
      <c r="CC108" s="46">
        <f t="shared" si="682"/>
        <v>14595</v>
      </c>
      <c r="CD108" s="405"/>
      <c r="CE108" s="406">
        <v>2</v>
      </c>
      <c r="CF108" s="406"/>
      <c r="CG108" s="14">
        <f t="shared" si="683"/>
        <v>2</v>
      </c>
      <c r="CH108" s="14">
        <f t="shared" si="663"/>
        <v>61</v>
      </c>
      <c r="CI108" s="14">
        <f t="shared" si="572"/>
        <v>0.16</v>
      </c>
      <c r="CJ108" s="47">
        <f t="shared" si="782"/>
        <v>1.3701445502500513E-2</v>
      </c>
      <c r="CK108" s="35">
        <f t="shared" si="573"/>
        <v>3.8400000000000012</v>
      </c>
      <c r="CL108" s="157">
        <f t="shared" si="783"/>
        <v>0.41621179039301309</v>
      </c>
      <c r="CM108" s="134">
        <v>1480</v>
      </c>
      <c r="CN108" s="14">
        <f t="shared" si="574"/>
        <v>64</v>
      </c>
      <c r="CO108" s="442">
        <f t="shared" si="784"/>
        <v>101.3906967185038</v>
      </c>
      <c r="CP108" s="68">
        <f t="shared" si="649"/>
        <v>1417.3880569642138</v>
      </c>
      <c r="CQ108" s="51">
        <f t="shared" si="575"/>
        <v>1065</v>
      </c>
      <c r="CR108" s="181">
        <f t="shared" si="897"/>
        <v>1116</v>
      </c>
      <c r="CS108" s="46">
        <f t="shared" si="738"/>
        <v>-51</v>
      </c>
      <c r="CT108" s="50">
        <f t="shared" si="576"/>
        <v>84</v>
      </c>
      <c r="CU108" s="103">
        <f t="shared" si="914"/>
        <v>78</v>
      </c>
      <c r="CV108" s="46">
        <f t="shared" si="625"/>
        <v>6</v>
      </c>
      <c r="CX108" s="120">
        <f t="shared" si="915"/>
        <v>5</v>
      </c>
      <c r="CY108" s="7">
        <f t="shared" si="898"/>
        <v>14</v>
      </c>
      <c r="CZ108" s="133"/>
      <c r="DA108" s="14">
        <f t="shared" si="434"/>
        <v>14683</v>
      </c>
      <c r="DB108" s="46">
        <f t="shared" si="486"/>
        <v>14681</v>
      </c>
      <c r="DC108" s="405"/>
      <c r="DD108" s="406">
        <v>2</v>
      </c>
      <c r="DE108" s="406"/>
      <c r="DF108" s="14">
        <f t="shared" si="684"/>
        <v>2</v>
      </c>
      <c r="DG108" s="14">
        <f t="shared" si="880"/>
        <v>46</v>
      </c>
      <c r="DH108" s="14">
        <f t="shared" si="577"/>
        <v>0.16</v>
      </c>
      <c r="DI108" s="47">
        <f t="shared" si="785"/>
        <v>1.3621194578764559E-2</v>
      </c>
      <c r="DJ108" s="35">
        <f t="shared" si="578"/>
        <v>3.8400000000000012</v>
      </c>
      <c r="DK108" s="157">
        <f t="shared" si="786"/>
        <v>0.31243632411872579</v>
      </c>
      <c r="DL108" s="134">
        <v>1850</v>
      </c>
      <c r="DM108" s="14">
        <f t="shared" si="579"/>
        <v>64</v>
      </c>
      <c r="DN108" s="442">
        <f t="shared" si="787"/>
        <v>125.99604985357216</v>
      </c>
      <c r="DO108" s="68">
        <f t="shared" si="666"/>
        <v>1422.7018327279188</v>
      </c>
      <c r="DP108" s="51">
        <f t="shared" si="580"/>
        <v>1065</v>
      </c>
      <c r="DQ108" s="181">
        <f t="shared" si="899"/>
        <v>1000</v>
      </c>
      <c r="DR108" s="46">
        <f t="shared" si="739"/>
        <v>65</v>
      </c>
      <c r="DS108" s="50">
        <f t="shared" si="581"/>
        <v>84</v>
      </c>
      <c r="DT108" s="103">
        <f t="shared" si="916"/>
        <v>72</v>
      </c>
      <c r="DU108" s="46">
        <f t="shared" si="654"/>
        <v>12</v>
      </c>
      <c r="DW108" s="120">
        <f t="shared" si="917"/>
        <v>5</v>
      </c>
      <c r="DX108" s="7">
        <f t="shared" si="900"/>
        <v>14</v>
      </c>
      <c r="DY108" s="133"/>
      <c r="DZ108" s="14">
        <f t="shared" si="435"/>
        <v>14483</v>
      </c>
      <c r="EA108" s="46">
        <f t="shared" si="487"/>
        <v>14480</v>
      </c>
      <c r="EB108" s="405"/>
      <c r="EC108" s="406">
        <v>3</v>
      </c>
      <c r="ED108" s="406"/>
      <c r="EE108" s="14">
        <f t="shared" si="686"/>
        <v>3</v>
      </c>
      <c r="EF108" s="14">
        <f t="shared" si="881"/>
        <v>67</v>
      </c>
      <c r="EG108" s="14">
        <f t="shared" si="582"/>
        <v>0.16</v>
      </c>
      <c r="EH108" s="47">
        <f t="shared" si="788"/>
        <v>2.0713940481944349E-2</v>
      </c>
      <c r="EI108" s="35">
        <f t="shared" si="583"/>
        <v>3.8400000000000012</v>
      </c>
      <c r="EJ108" s="157">
        <f t="shared" si="800"/>
        <v>0.46079779917469049</v>
      </c>
      <c r="EK108" s="134">
        <v>1110</v>
      </c>
      <c r="EL108" s="14">
        <f t="shared" si="584"/>
        <v>64</v>
      </c>
      <c r="EM108" s="442">
        <f t="shared" si="789"/>
        <v>76.641579783194089</v>
      </c>
      <c r="EN108" s="68">
        <f t="shared" si="669"/>
        <v>1632.4597231843077</v>
      </c>
      <c r="EO108" s="51">
        <f t="shared" si="585"/>
        <v>1065</v>
      </c>
      <c r="EP108" s="181">
        <f t="shared" si="901"/>
        <v>1000</v>
      </c>
      <c r="EQ108" s="46">
        <f t="shared" si="740"/>
        <v>65</v>
      </c>
      <c r="ER108" s="50">
        <f t="shared" si="586"/>
        <v>84</v>
      </c>
      <c r="ES108" s="103">
        <f t="shared" si="918"/>
        <v>72</v>
      </c>
      <c r="ET108" s="46">
        <f t="shared" si="655"/>
        <v>12</v>
      </c>
      <c r="EV108" s="120">
        <f t="shared" si="919"/>
        <v>5</v>
      </c>
      <c r="EW108" s="7">
        <f t="shared" si="902"/>
        <v>14</v>
      </c>
      <c r="EX108" s="133"/>
      <c r="EY108" s="14">
        <f t="shared" si="436"/>
        <v>14180</v>
      </c>
      <c r="EZ108" s="46">
        <f t="shared" si="488"/>
        <v>14177</v>
      </c>
      <c r="FA108" s="405"/>
      <c r="FB108" s="406">
        <v>3</v>
      </c>
      <c r="FC108" s="406"/>
      <c r="FD108" s="14">
        <f t="shared" si="688"/>
        <v>3</v>
      </c>
      <c r="FE108" s="14">
        <f t="shared" si="882"/>
        <v>61</v>
      </c>
      <c r="FF108" s="14">
        <f t="shared" si="587"/>
        <v>0.16</v>
      </c>
      <c r="FG108" s="47">
        <f t="shared" si="790"/>
        <v>2.1156558533145273E-2</v>
      </c>
      <c r="FH108" s="35">
        <f t="shared" si="588"/>
        <v>3.8400000000000012</v>
      </c>
      <c r="FI108" s="157">
        <f t="shared" si="801"/>
        <v>0.42852125043905864</v>
      </c>
      <c r="FJ108" s="134">
        <v>2035</v>
      </c>
      <c r="FK108" s="14">
        <f t="shared" si="589"/>
        <v>64</v>
      </c>
      <c r="FL108" s="442">
        <f t="shared" si="792"/>
        <v>143.51198871650212</v>
      </c>
      <c r="FM108" s="68">
        <f t="shared" si="672"/>
        <v>1706.2120915734833</v>
      </c>
      <c r="FN108" s="51">
        <f t="shared" si="590"/>
        <v>1065</v>
      </c>
      <c r="FO108" s="181">
        <f t="shared" si="903"/>
        <v>1000</v>
      </c>
      <c r="FP108" s="46">
        <f t="shared" si="741"/>
        <v>65</v>
      </c>
      <c r="FQ108" s="50">
        <f t="shared" si="591"/>
        <v>84</v>
      </c>
      <c r="FR108" s="103">
        <f t="shared" si="920"/>
        <v>72</v>
      </c>
      <c r="FS108" s="46">
        <f t="shared" si="656"/>
        <v>12</v>
      </c>
      <c r="FU108" s="120">
        <f t="shared" si="921"/>
        <v>5</v>
      </c>
      <c r="FV108" s="7">
        <f t="shared" si="904"/>
        <v>14</v>
      </c>
      <c r="FW108" s="133"/>
      <c r="FX108" s="14">
        <f t="shared" si="437"/>
        <v>14157</v>
      </c>
      <c r="FY108" s="46">
        <f t="shared" si="489"/>
        <v>14156</v>
      </c>
      <c r="FZ108" s="405"/>
      <c r="GA108" s="406">
        <v>1</v>
      </c>
      <c r="GB108" s="406"/>
      <c r="GC108" s="14">
        <f t="shared" si="690"/>
        <v>1</v>
      </c>
      <c r="GD108" s="14">
        <f t="shared" si="883"/>
        <v>35</v>
      </c>
      <c r="GE108" s="14">
        <f t="shared" si="592"/>
        <v>0.16</v>
      </c>
      <c r="GF108" s="47">
        <f t="shared" si="793"/>
        <v>7.0636434272797911E-3</v>
      </c>
      <c r="GG108" s="35">
        <f t="shared" si="593"/>
        <v>3.8400000000000012</v>
      </c>
      <c r="GH108" s="157">
        <f t="shared" si="802"/>
        <v>0.24666995559940799</v>
      </c>
      <c r="GI108" s="134">
        <v>925</v>
      </c>
      <c r="GJ108" s="14">
        <f t="shared" si="594"/>
        <v>64</v>
      </c>
      <c r="GK108" s="442">
        <f t="shared" si="795"/>
        <v>65.338701702338057</v>
      </c>
      <c r="GL108" s="68">
        <f t="shared" si="675"/>
        <v>1514.443851046917</v>
      </c>
      <c r="GM108" s="51">
        <f t="shared" si="595"/>
        <v>1065</v>
      </c>
      <c r="GN108" s="181">
        <f t="shared" si="905"/>
        <v>1000</v>
      </c>
      <c r="GO108" s="46">
        <f t="shared" si="742"/>
        <v>65</v>
      </c>
      <c r="GP108" s="50">
        <f t="shared" si="596"/>
        <v>84</v>
      </c>
      <c r="GQ108" s="103">
        <f t="shared" si="922"/>
        <v>72</v>
      </c>
      <c r="GR108" s="46">
        <f t="shared" si="657"/>
        <v>12</v>
      </c>
      <c r="GT108" s="120">
        <f t="shared" si="923"/>
        <v>5</v>
      </c>
      <c r="GU108" s="7">
        <f t="shared" si="906"/>
        <v>14</v>
      </c>
      <c r="GV108" s="133"/>
      <c r="GW108" s="14">
        <f t="shared" si="438"/>
        <v>9156</v>
      </c>
      <c r="GX108" s="46">
        <f t="shared" si="490"/>
        <v>9156</v>
      </c>
      <c r="GY108" s="405"/>
      <c r="GZ108" s="406">
        <v>0</v>
      </c>
      <c r="HA108" s="406"/>
      <c r="HB108" s="14">
        <f t="shared" si="692"/>
        <v>0</v>
      </c>
      <c r="HC108" s="14">
        <f t="shared" si="884"/>
        <v>26</v>
      </c>
      <c r="HD108" s="14">
        <f t="shared" si="597"/>
        <v>0.16</v>
      </c>
      <c r="HE108" s="47">
        <f t="shared" si="796"/>
        <v>0</v>
      </c>
      <c r="HF108" s="35">
        <f t="shared" si="598"/>
        <v>3.8400000000000012</v>
      </c>
      <c r="HG108" s="157">
        <f t="shared" si="803"/>
        <v>0.28316270964931389</v>
      </c>
      <c r="HH108" s="134">
        <v>555</v>
      </c>
      <c r="HI108" s="14">
        <f t="shared" si="599"/>
        <v>64</v>
      </c>
      <c r="HJ108" s="442">
        <f t="shared" si="798"/>
        <v>60.615989515072087</v>
      </c>
      <c r="HK108" s="68">
        <f t="shared" si="678"/>
        <v>1493.5530736475805</v>
      </c>
      <c r="HL108" s="51">
        <f t="shared" si="600"/>
        <v>1065</v>
      </c>
      <c r="HM108" s="181">
        <f t="shared" si="907"/>
        <v>1000</v>
      </c>
      <c r="HN108" s="46">
        <f t="shared" si="743"/>
        <v>65</v>
      </c>
      <c r="HO108" s="50">
        <f t="shared" si="601"/>
        <v>84</v>
      </c>
      <c r="HP108" s="103">
        <f t="shared" si="924"/>
        <v>72</v>
      </c>
      <c r="HQ108" s="46">
        <f t="shared" si="658"/>
        <v>12</v>
      </c>
    </row>
    <row r="109" spans="1:225" ht="17.25" thickBot="1" x14ac:dyDescent="0.3">
      <c r="B109" s="120">
        <f t="shared" si="908"/>
        <v>6</v>
      </c>
      <c r="C109" s="570">
        <f t="shared" si="885"/>
        <v>14</v>
      </c>
      <c r="D109" s="133"/>
      <c r="E109" s="408">
        <f t="shared" si="696"/>
        <v>68557</v>
      </c>
      <c r="F109" s="562">
        <f t="shared" si="555"/>
        <v>68555</v>
      </c>
      <c r="G109" s="134"/>
      <c r="H109" s="135">
        <v>2</v>
      </c>
      <c r="I109" s="135"/>
      <c r="J109" s="14">
        <f t="shared" si="679"/>
        <v>2</v>
      </c>
      <c r="K109" s="14">
        <f t="shared" si="604"/>
        <v>5530</v>
      </c>
      <c r="L109" s="14">
        <f t="shared" si="556"/>
        <v>0.16</v>
      </c>
      <c r="M109" s="231">
        <f t="shared" si="605"/>
        <v>2.9172805111075456E-3</v>
      </c>
      <c r="N109" s="35">
        <f t="shared" si="557"/>
        <v>3.8400000000000012</v>
      </c>
      <c r="O109" s="132">
        <f t="shared" si="606"/>
        <v>4.1001534777160735</v>
      </c>
      <c r="P109" s="142">
        <v>2457</v>
      </c>
      <c r="Q109" s="14">
        <f t="shared" si="558"/>
        <v>64</v>
      </c>
      <c r="R109" s="442">
        <f t="shared" si="877"/>
        <v>35.838791078956199</v>
      </c>
      <c r="S109" s="470">
        <f t="shared" si="650"/>
        <v>3341.0546198891252</v>
      </c>
      <c r="T109" s="51">
        <f t="shared" si="560"/>
        <v>1065</v>
      </c>
      <c r="U109" s="181">
        <f t="shared" si="886"/>
        <v>1009</v>
      </c>
      <c r="V109" s="46">
        <f t="shared" si="608"/>
        <v>56</v>
      </c>
      <c r="W109" s="50">
        <f t="shared" si="878"/>
        <v>84</v>
      </c>
      <c r="X109" s="181">
        <f t="shared" si="887"/>
        <v>73</v>
      </c>
      <c r="Y109" s="46">
        <f t="shared" si="610"/>
        <v>11</v>
      </c>
      <c r="Z109" s="487"/>
      <c r="AA109" s="120">
        <f t="shared" si="909"/>
        <v>6</v>
      </c>
      <c r="AB109" s="7">
        <f t="shared" si="888"/>
        <v>14</v>
      </c>
      <c r="AC109" s="133"/>
      <c r="AD109" s="48">
        <f t="shared" si="879"/>
        <v>59302</v>
      </c>
      <c r="AE109" s="49">
        <f t="shared" si="484"/>
        <v>59298</v>
      </c>
      <c r="AF109" s="134"/>
      <c r="AG109" s="135">
        <v>4</v>
      </c>
      <c r="AH109" s="135"/>
      <c r="AI109" s="14">
        <f t="shared" si="889"/>
        <v>4</v>
      </c>
      <c r="AJ109" s="14">
        <f t="shared" si="910"/>
        <v>6421</v>
      </c>
      <c r="AK109" s="14">
        <f t="shared" si="562"/>
        <v>0.16</v>
      </c>
      <c r="AL109" s="231">
        <f t="shared" si="613"/>
        <v>6.7451350713298034E-3</v>
      </c>
      <c r="AM109" s="35">
        <f t="shared" si="563"/>
        <v>3.8400000000000012</v>
      </c>
      <c r="AN109" s="157">
        <f t="shared" si="659"/>
        <v>4.1919099597848231</v>
      </c>
      <c r="AO109" s="134">
        <v>3276</v>
      </c>
      <c r="AP109" s="14">
        <f t="shared" si="564"/>
        <v>64</v>
      </c>
      <c r="AQ109" s="442">
        <f t="shared" si="614"/>
        <v>55.242656234191088</v>
      </c>
      <c r="AR109" s="470">
        <f t="shared" si="799"/>
        <v>3483.7636342415581</v>
      </c>
      <c r="AS109" s="51">
        <f t="shared" si="565"/>
        <v>1065</v>
      </c>
      <c r="AT109" s="181">
        <f t="shared" si="890"/>
        <v>1013</v>
      </c>
      <c r="AU109" s="46">
        <f t="shared" si="736"/>
        <v>52</v>
      </c>
      <c r="AV109" s="50">
        <f t="shared" si="566"/>
        <v>84</v>
      </c>
      <c r="AW109" s="181">
        <f t="shared" si="891"/>
        <v>83</v>
      </c>
      <c r="AX109" s="46">
        <f t="shared" si="660"/>
        <v>1</v>
      </c>
      <c r="AZ109" s="120">
        <f t="shared" si="911"/>
        <v>6</v>
      </c>
      <c r="BA109" s="7">
        <f t="shared" si="892"/>
        <v>14</v>
      </c>
      <c r="BB109" s="133"/>
      <c r="BC109" s="48">
        <f t="shared" si="518"/>
        <v>65394</v>
      </c>
      <c r="BD109" s="49">
        <f t="shared" si="485"/>
        <v>65379</v>
      </c>
      <c r="BE109" s="134"/>
      <c r="BF109" s="135">
        <v>15</v>
      </c>
      <c r="BG109" s="135"/>
      <c r="BH109" s="14">
        <f t="shared" si="893"/>
        <v>15</v>
      </c>
      <c r="BI109" s="14">
        <f t="shared" si="912"/>
        <v>1212</v>
      </c>
      <c r="BJ109" s="14">
        <f t="shared" si="567"/>
        <v>0.16</v>
      </c>
      <c r="BK109" s="47">
        <f t="shared" si="646"/>
        <v>2.293788420956051E-2</v>
      </c>
      <c r="BL109" s="35">
        <f t="shared" si="568"/>
        <v>3.8400000000000012</v>
      </c>
      <c r="BM109" s="132">
        <f t="shared" si="840"/>
        <v>1.6974789915966386</v>
      </c>
      <c r="BN109" s="134">
        <v>2730</v>
      </c>
      <c r="BO109" s="14">
        <f t="shared" si="569"/>
        <v>64</v>
      </c>
      <c r="BP109" s="442">
        <f t="shared" si="647"/>
        <v>41.746949261400133</v>
      </c>
      <c r="BQ109" s="747">
        <f t="shared" si="651"/>
        <v>3345.7217579701301</v>
      </c>
      <c r="BR109" s="51">
        <f t="shared" si="570"/>
        <v>1065</v>
      </c>
      <c r="BS109" s="181">
        <f t="shared" si="894"/>
        <v>980</v>
      </c>
      <c r="BT109" s="46">
        <f t="shared" si="737"/>
        <v>85</v>
      </c>
      <c r="BU109" s="50">
        <f t="shared" si="571"/>
        <v>84</v>
      </c>
      <c r="BV109" s="181">
        <f t="shared" si="895"/>
        <v>74</v>
      </c>
      <c r="BW109" s="46">
        <f t="shared" si="661"/>
        <v>10</v>
      </c>
      <c r="BY109" s="120">
        <f t="shared" si="913"/>
        <v>6</v>
      </c>
      <c r="BZ109" s="7">
        <f t="shared" si="896"/>
        <v>14</v>
      </c>
      <c r="CA109" s="133"/>
      <c r="CB109" s="14">
        <f t="shared" si="662"/>
        <v>14595</v>
      </c>
      <c r="CC109" s="46">
        <f t="shared" si="682"/>
        <v>14594</v>
      </c>
      <c r="CD109" s="405"/>
      <c r="CE109" s="406">
        <v>1</v>
      </c>
      <c r="CF109" s="406"/>
      <c r="CG109" s="14">
        <f t="shared" si="683"/>
        <v>1</v>
      </c>
      <c r="CH109" s="14">
        <f t="shared" si="663"/>
        <v>62</v>
      </c>
      <c r="CI109" s="14">
        <f t="shared" si="572"/>
        <v>0.16</v>
      </c>
      <c r="CJ109" s="47">
        <f t="shared" si="782"/>
        <v>6.8516615279205209E-3</v>
      </c>
      <c r="CK109" s="35">
        <f t="shared" si="573"/>
        <v>3.8400000000000012</v>
      </c>
      <c r="CL109" s="157">
        <f t="shared" si="783"/>
        <v>0.42303493449781659</v>
      </c>
      <c r="CM109" s="134">
        <v>1665</v>
      </c>
      <c r="CN109" s="14">
        <f t="shared" si="574"/>
        <v>64</v>
      </c>
      <c r="CO109" s="442">
        <f t="shared" si="784"/>
        <v>114.08016443987667</v>
      </c>
      <c r="CP109" s="68">
        <f t="shared" si="649"/>
        <v>1531.4682214040904</v>
      </c>
      <c r="CQ109" s="51">
        <f t="shared" si="575"/>
        <v>1065</v>
      </c>
      <c r="CR109" s="181">
        <f t="shared" si="897"/>
        <v>1116</v>
      </c>
      <c r="CS109" s="46">
        <f t="shared" si="738"/>
        <v>-51</v>
      </c>
      <c r="CT109" s="51">
        <f t="shared" si="576"/>
        <v>84</v>
      </c>
      <c r="CU109" s="103">
        <f t="shared" si="914"/>
        <v>78</v>
      </c>
      <c r="CV109" s="46">
        <f t="shared" si="625"/>
        <v>6</v>
      </c>
      <c r="CX109" s="120">
        <f t="shared" si="915"/>
        <v>6</v>
      </c>
      <c r="CY109" s="7">
        <f t="shared" si="898"/>
        <v>14</v>
      </c>
      <c r="CZ109" s="133"/>
      <c r="DA109" s="14">
        <f t="shared" ref="DA109:DA138" si="925">IFERROR(DB108+CZ109,0)</f>
        <v>14681</v>
      </c>
      <c r="DB109" s="46">
        <f t="shared" si="486"/>
        <v>14679</v>
      </c>
      <c r="DC109" s="405"/>
      <c r="DD109" s="406">
        <v>2</v>
      </c>
      <c r="DE109" s="406"/>
      <c r="DF109" s="14">
        <f t="shared" si="684"/>
        <v>2</v>
      </c>
      <c r="DG109" s="14">
        <f t="shared" si="880"/>
        <v>48</v>
      </c>
      <c r="DH109" s="14">
        <f t="shared" si="577"/>
        <v>0.16</v>
      </c>
      <c r="DI109" s="47">
        <f t="shared" si="785"/>
        <v>1.362305020093999E-2</v>
      </c>
      <c r="DJ109" s="35">
        <f t="shared" si="578"/>
        <v>3.8400000000000012</v>
      </c>
      <c r="DK109" s="157">
        <f t="shared" si="786"/>
        <v>0.32602051212388777</v>
      </c>
      <c r="DL109" s="134">
        <v>1480</v>
      </c>
      <c r="DM109" s="14">
        <f t="shared" si="579"/>
        <v>64</v>
      </c>
      <c r="DN109" s="442">
        <f t="shared" si="787"/>
        <v>100.81057148695594</v>
      </c>
      <c r="DO109" s="68">
        <f t="shared" si="666"/>
        <v>1523.5124042148748</v>
      </c>
      <c r="DP109" s="51">
        <f t="shared" si="580"/>
        <v>1065</v>
      </c>
      <c r="DQ109" s="181">
        <f t="shared" si="899"/>
        <v>1000</v>
      </c>
      <c r="DR109" s="46">
        <f t="shared" si="739"/>
        <v>65</v>
      </c>
      <c r="DS109" s="51">
        <f t="shared" si="581"/>
        <v>84</v>
      </c>
      <c r="DT109" s="103">
        <f t="shared" si="916"/>
        <v>72</v>
      </c>
      <c r="DU109" s="46">
        <f t="shared" si="654"/>
        <v>12</v>
      </c>
      <c r="DW109" s="120">
        <f t="shared" si="917"/>
        <v>6</v>
      </c>
      <c r="DX109" s="7">
        <f t="shared" si="900"/>
        <v>14</v>
      </c>
      <c r="DY109" s="133"/>
      <c r="DZ109" s="14">
        <f t="shared" ref="DZ109:DZ138" si="926">IFERROR(EA108+DY109,0)</f>
        <v>14480</v>
      </c>
      <c r="EA109" s="46">
        <f t="shared" si="487"/>
        <v>14480</v>
      </c>
      <c r="EB109" s="405"/>
      <c r="EC109" s="406">
        <v>0</v>
      </c>
      <c r="ED109" s="406"/>
      <c r="EE109" s="14">
        <f t="shared" si="686"/>
        <v>0</v>
      </c>
      <c r="EF109" s="14">
        <f t="shared" si="881"/>
        <v>67</v>
      </c>
      <c r="EG109" s="14">
        <f t="shared" si="582"/>
        <v>0.16</v>
      </c>
      <c r="EH109" s="47">
        <f t="shared" si="788"/>
        <v>0</v>
      </c>
      <c r="EI109" s="35">
        <f t="shared" si="583"/>
        <v>3.8400000000000012</v>
      </c>
      <c r="EJ109" s="157">
        <f t="shared" si="800"/>
        <v>0.46079779917469049</v>
      </c>
      <c r="EK109" s="134">
        <v>1480</v>
      </c>
      <c r="EL109" s="14">
        <f t="shared" si="584"/>
        <v>64</v>
      </c>
      <c r="EM109" s="442">
        <f t="shared" si="789"/>
        <v>102.20994475138122</v>
      </c>
      <c r="EN109" s="68">
        <f t="shared" si="669"/>
        <v>1734.6696679356889</v>
      </c>
      <c r="EO109" s="51">
        <f t="shared" si="585"/>
        <v>1065</v>
      </c>
      <c r="EP109" s="181">
        <f t="shared" si="901"/>
        <v>1000</v>
      </c>
      <c r="EQ109" s="46">
        <f t="shared" si="740"/>
        <v>65</v>
      </c>
      <c r="ER109" s="51">
        <f t="shared" si="586"/>
        <v>84</v>
      </c>
      <c r="ES109" s="103">
        <f t="shared" si="918"/>
        <v>72</v>
      </c>
      <c r="ET109" s="46">
        <f t="shared" si="655"/>
        <v>12</v>
      </c>
      <c r="EV109" s="120">
        <f t="shared" si="919"/>
        <v>6</v>
      </c>
      <c r="EW109" s="7">
        <f t="shared" si="902"/>
        <v>14</v>
      </c>
      <c r="EX109" s="133"/>
      <c r="EY109" s="14">
        <f t="shared" ref="EY109:EY138" si="927">IFERROR(EZ108+EX109,0)</f>
        <v>14177</v>
      </c>
      <c r="EZ109" s="46">
        <f t="shared" si="488"/>
        <v>14177</v>
      </c>
      <c r="FA109" s="405"/>
      <c r="FB109" s="406">
        <v>0</v>
      </c>
      <c r="FC109" s="406"/>
      <c r="FD109" s="14">
        <f t="shared" si="688"/>
        <v>0</v>
      </c>
      <c r="FE109" s="14">
        <f t="shared" si="882"/>
        <v>61</v>
      </c>
      <c r="FF109" s="14">
        <f t="shared" si="587"/>
        <v>0.16</v>
      </c>
      <c r="FG109" s="47">
        <f t="shared" si="790"/>
        <v>0</v>
      </c>
      <c r="FH109" s="35">
        <f t="shared" si="588"/>
        <v>3.8400000000000012</v>
      </c>
      <c r="FI109" s="157">
        <f t="shared" si="801"/>
        <v>0.42852125043905864</v>
      </c>
      <c r="FJ109" s="134">
        <v>1665</v>
      </c>
      <c r="FK109" s="14">
        <f t="shared" si="589"/>
        <v>64</v>
      </c>
      <c r="FL109" s="442">
        <f t="shared" si="792"/>
        <v>117.44374691401566</v>
      </c>
      <c r="FM109" s="68">
        <f t="shared" si="672"/>
        <v>1823.6558384874991</v>
      </c>
      <c r="FN109" s="51">
        <f t="shared" si="590"/>
        <v>1065</v>
      </c>
      <c r="FO109" s="181">
        <f t="shared" si="903"/>
        <v>1000</v>
      </c>
      <c r="FP109" s="46">
        <f t="shared" si="741"/>
        <v>65</v>
      </c>
      <c r="FQ109" s="51">
        <f t="shared" si="591"/>
        <v>84</v>
      </c>
      <c r="FR109" s="103">
        <f t="shared" si="920"/>
        <v>72</v>
      </c>
      <c r="FS109" s="46">
        <f t="shared" si="656"/>
        <v>12</v>
      </c>
      <c r="FU109" s="120">
        <f t="shared" si="921"/>
        <v>6</v>
      </c>
      <c r="FV109" s="7">
        <f t="shared" si="904"/>
        <v>14</v>
      </c>
      <c r="FW109" s="133"/>
      <c r="FX109" s="14">
        <f t="shared" ref="FX109:FX138" si="928">IFERROR(FY108+FW109,0)</f>
        <v>14156</v>
      </c>
      <c r="FY109" s="46">
        <f t="shared" si="489"/>
        <v>14155</v>
      </c>
      <c r="FZ109" s="405"/>
      <c r="GA109" s="406">
        <v>1</v>
      </c>
      <c r="GB109" s="406"/>
      <c r="GC109" s="14">
        <f t="shared" si="690"/>
        <v>1</v>
      </c>
      <c r="GD109" s="14">
        <f t="shared" si="883"/>
        <v>36</v>
      </c>
      <c r="GE109" s="14">
        <f t="shared" si="592"/>
        <v>0.16</v>
      </c>
      <c r="GF109" s="47">
        <f t="shared" si="793"/>
        <v>7.0641424131110487E-3</v>
      </c>
      <c r="GG109" s="35">
        <f t="shared" si="593"/>
        <v>3.8400000000000012</v>
      </c>
      <c r="GH109" s="157">
        <f t="shared" si="802"/>
        <v>0.25371766861653394</v>
      </c>
      <c r="GI109" s="134">
        <v>1480</v>
      </c>
      <c r="GJ109" s="14">
        <f t="shared" si="594"/>
        <v>64</v>
      </c>
      <c r="GK109" s="442">
        <f t="shared" si="795"/>
        <v>104.54930771404351</v>
      </c>
      <c r="GL109" s="68">
        <f t="shared" si="675"/>
        <v>1618.9931587609606</v>
      </c>
      <c r="GM109" s="51">
        <f t="shared" si="595"/>
        <v>1065</v>
      </c>
      <c r="GN109" s="181">
        <f t="shared" si="905"/>
        <v>1000</v>
      </c>
      <c r="GO109" s="46">
        <f t="shared" si="742"/>
        <v>65</v>
      </c>
      <c r="GP109" s="51">
        <f t="shared" si="596"/>
        <v>84</v>
      </c>
      <c r="GQ109" s="103">
        <f t="shared" si="922"/>
        <v>72</v>
      </c>
      <c r="GR109" s="46">
        <f t="shared" si="657"/>
        <v>12</v>
      </c>
      <c r="GT109" s="120">
        <f t="shared" si="923"/>
        <v>6</v>
      </c>
      <c r="GU109" s="7">
        <f t="shared" si="906"/>
        <v>14</v>
      </c>
      <c r="GV109" s="133"/>
      <c r="GW109" s="14">
        <f t="shared" ref="GW109:GW138" si="929">IFERROR(GX108+GV109,0)</f>
        <v>9156</v>
      </c>
      <c r="GX109" s="46">
        <f t="shared" si="490"/>
        <v>9155</v>
      </c>
      <c r="GY109" s="405"/>
      <c r="GZ109" s="406">
        <v>1</v>
      </c>
      <c r="HA109" s="406"/>
      <c r="HB109" s="14">
        <f t="shared" si="692"/>
        <v>1</v>
      </c>
      <c r="HC109" s="14">
        <f t="shared" si="884"/>
        <v>27</v>
      </c>
      <c r="HD109" s="14">
        <f t="shared" si="597"/>
        <v>0.16</v>
      </c>
      <c r="HE109" s="47">
        <f t="shared" si="796"/>
        <v>1.0921799912625601E-2</v>
      </c>
      <c r="HF109" s="35">
        <f t="shared" si="598"/>
        <v>3.8400000000000012</v>
      </c>
      <c r="HG109" s="157">
        <f t="shared" si="803"/>
        <v>0.2940535830973644</v>
      </c>
      <c r="HH109" s="134">
        <v>1295</v>
      </c>
      <c r="HI109" s="14">
        <f t="shared" si="599"/>
        <v>64</v>
      </c>
      <c r="HJ109" s="442">
        <f t="shared" si="798"/>
        <v>141.43730886850153</v>
      </c>
      <c r="HK109" s="68">
        <f t="shared" si="678"/>
        <v>1634.990382516082</v>
      </c>
      <c r="HL109" s="51">
        <f t="shared" si="600"/>
        <v>1065</v>
      </c>
      <c r="HM109" s="181">
        <f t="shared" si="907"/>
        <v>1000</v>
      </c>
      <c r="HN109" s="46">
        <f t="shared" si="743"/>
        <v>65</v>
      </c>
      <c r="HO109" s="51">
        <f t="shared" si="601"/>
        <v>84</v>
      </c>
      <c r="HP109" s="103">
        <f t="shared" si="924"/>
        <v>72</v>
      </c>
      <c r="HQ109" s="46">
        <f t="shared" si="658"/>
        <v>12</v>
      </c>
    </row>
    <row r="110" spans="1:225" ht="17.25" thickBot="1" x14ac:dyDescent="0.3">
      <c r="B110" s="120">
        <f t="shared" si="908"/>
        <v>7</v>
      </c>
      <c r="C110" s="574">
        <f t="shared" si="885"/>
        <v>14</v>
      </c>
      <c r="D110" s="136"/>
      <c r="E110" s="436">
        <f t="shared" si="696"/>
        <v>68555</v>
      </c>
      <c r="F110" s="451">
        <f t="shared" si="555"/>
        <v>68548</v>
      </c>
      <c r="G110" s="137"/>
      <c r="H110" s="138">
        <v>7</v>
      </c>
      <c r="I110" s="138"/>
      <c r="J110" s="34">
        <f t="shared" si="679"/>
        <v>7</v>
      </c>
      <c r="K110" s="34">
        <f t="shared" si="604"/>
        <v>5537</v>
      </c>
      <c r="L110" s="34">
        <f t="shared" si="556"/>
        <v>0.16</v>
      </c>
      <c r="M110" s="96">
        <f t="shared" si="605"/>
        <v>1.0210779665961636E-2</v>
      </c>
      <c r="N110" s="40">
        <f t="shared" si="557"/>
        <v>3.8400000000000012</v>
      </c>
      <c r="O110" s="132">
        <f t="shared" si="606"/>
        <v>4.1053435454093847</v>
      </c>
      <c r="P110" s="139">
        <v>4095</v>
      </c>
      <c r="Q110" s="32">
        <f t="shared" si="558"/>
        <v>64</v>
      </c>
      <c r="R110" s="592">
        <f t="shared" si="877"/>
        <v>59.733061045875573</v>
      </c>
      <c r="S110" s="471">
        <f t="shared" si="650"/>
        <v>3400.7876809350009</v>
      </c>
      <c r="T110" s="56">
        <f t="shared" si="560"/>
        <v>1065</v>
      </c>
      <c r="U110" s="591">
        <f t="shared" si="886"/>
        <v>1009</v>
      </c>
      <c r="V110" s="63">
        <f t="shared" si="608"/>
        <v>56</v>
      </c>
      <c r="W110" s="56">
        <f t="shared" si="878"/>
        <v>84</v>
      </c>
      <c r="X110" s="591">
        <f t="shared" si="887"/>
        <v>73</v>
      </c>
      <c r="Y110" s="63">
        <f t="shared" si="610"/>
        <v>11</v>
      </c>
      <c r="Z110" s="487"/>
      <c r="AA110" s="120">
        <f t="shared" si="909"/>
        <v>7</v>
      </c>
      <c r="AB110" s="8">
        <f t="shared" si="888"/>
        <v>14</v>
      </c>
      <c r="AC110" s="136"/>
      <c r="AD110" s="54">
        <f t="shared" si="879"/>
        <v>59298</v>
      </c>
      <c r="AE110" s="448">
        <f t="shared" si="484"/>
        <v>59295</v>
      </c>
      <c r="AF110" s="137"/>
      <c r="AG110" s="138">
        <v>3</v>
      </c>
      <c r="AH110" s="138"/>
      <c r="AI110" s="34">
        <f t="shared" si="889"/>
        <v>3</v>
      </c>
      <c r="AJ110" s="34">
        <f t="shared" si="910"/>
        <v>6424</v>
      </c>
      <c r="AK110" s="17">
        <f t="shared" si="562"/>
        <v>0.16</v>
      </c>
      <c r="AL110" s="96">
        <f t="shared" si="613"/>
        <v>5.0591925528685622E-3</v>
      </c>
      <c r="AM110" s="33">
        <f t="shared" si="563"/>
        <v>3.8400000000000012</v>
      </c>
      <c r="AN110" s="157">
        <f t="shared" si="659"/>
        <v>4.1938684911474384</v>
      </c>
      <c r="AO110" s="137">
        <v>3003</v>
      </c>
      <c r="AP110" s="13">
        <f t="shared" si="564"/>
        <v>64</v>
      </c>
      <c r="AQ110" s="479">
        <f t="shared" si="614"/>
        <v>50.642517454214307</v>
      </c>
      <c r="AR110" s="471">
        <f t="shared" si="799"/>
        <v>3534.4061516957722</v>
      </c>
      <c r="AS110" s="50">
        <f t="shared" si="565"/>
        <v>1065</v>
      </c>
      <c r="AT110" s="181">
        <f t="shared" si="890"/>
        <v>1013</v>
      </c>
      <c r="AU110" s="63">
        <f t="shared" si="736"/>
        <v>52</v>
      </c>
      <c r="AV110" s="56">
        <f t="shared" si="566"/>
        <v>84</v>
      </c>
      <c r="AW110" s="181">
        <f t="shared" si="891"/>
        <v>83</v>
      </c>
      <c r="AX110" s="63">
        <f t="shared" si="660"/>
        <v>1</v>
      </c>
      <c r="AZ110" s="119">
        <f t="shared" si="911"/>
        <v>7</v>
      </c>
      <c r="BA110" s="95">
        <f t="shared" si="892"/>
        <v>14</v>
      </c>
      <c r="BB110" s="203"/>
      <c r="BC110" s="67">
        <f t="shared" si="518"/>
        <v>65379</v>
      </c>
      <c r="BD110" s="447">
        <f t="shared" si="485"/>
        <v>65369</v>
      </c>
      <c r="BE110" s="204"/>
      <c r="BF110" s="205">
        <v>10</v>
      </c>
      <c r="BG110" s="205"/>
      <c r="BH110" s="31">
        <f t="shared" si="893"/>
        <v>10</v>
      </c>
      <c r="BI110" s="31">
        <f t="shared" si="912"/>
        <v>1222</v>
      </c>
      <c r="BJ110" s="31">
        <f t="shared" si="567"/>
        <v>0.16</v>
      </c>
      <c r="BK110" s="230">
        <f t="shared" si="646"/>
        <v>1.5295431254684225E-2</v>
      </c>
      <c r="BL110" s="37">
        <f t="shared" si="568"/>
        <v>3.8400000000000012</v>
      </c>
      <c r="BM110" s="132">
        <f t="shared" si="840"/>
        <v>1.7114845938375349</v>
      </c>
      <c r="BN110" s="204">
        <v>2730</v>
      </c>
      <c r="BO110" s="13">
        <f t="shared" si="569"/>
        <v>64</v>
      </c>
      <c r="BP110" s="482">
        <f t="shared" si="647"/>
        <v>41.756527325287934</v>
      </c>
      <c r="BQ110" s="752">
        <f t="shared" si="651"/>
        <v>3387.4782852954181</v>
      </c>
      <c r="BR110" s="50">
        <f t="shared" si="570"/>
        <v>1065</v>
      </c>
      <c r="BS110" s="604">
        <f t="shared" si="894"/>
        <v>980</v>
      </c>
      <c r="BT110" s="62">
        <f t="shared" si="737"/>
        <v>85</v>
      </c>
      <c r="BU110" s="50">
        <f t="shared" si="571"/>
        <v>84</v>
      </c>
      <c r="BV110" s="604">
        <f t="shared" si="895"/>
        <v>74</v>
      </c>
      <c r="BW110" s="62">
        <f t="shared" si="661"/>
        <v>10</v>
      </c>
      <c r="BY110" s="197">
        <f>BY109+1</f>
        <v>7</v>
      </c>
      <c r="BZ110" s="8">
        <f t="shared" si="896"/>
        <v>14</v>
      </c>
      <c r="CA110" s="136"/>
      <c r="CB110" s="32">
        <f t="shared" si="662"/>
        <v>14594</v>
      </c>
      <c r="CC110" s="63">
        <f t="shared" si="682"/>
        <v>14591</v>
      </c>
      <c r="CD110" s="421"/>
      <c r="CE110" s="426">
        <v>3</v>
      </c>
      <c r="CF110" s="426"/>
      <c r="CG110" s="34">
        <f t="shared" si="683"/>
        <v>3</v>
      </c>
      <c r="CH110" s="34">
        <f t="shared" si="663"/>
        <v>65</v>
      </c>
      <c r="CI110" s="32">
        <f t="shared" si="572"/>
        <v>0.16</v>
      </c>
      <c r="CJ110" s="47">
        <f t="shared" si="782"/>
        <v>2.055639303823489E-2</v>
      </c>
      <c r="CK110" s="36">
        <f t="shared" si="573"/>
        <v>3.8400000000000012</v>
      </c>
      <c r="CL110" s="157">
        <f t="shared" si="783"/>
        <v>0.44350436681222705</v>
      </c>
      <c r="CM110" s="137">
        <v>1295</v>
      </c>
      <c r="CN110" s="13">
        <f t="shared" si="574"/>
        <v>64</v>
      </c>
      <c r="CO110" s="442">
        <f t="shared" si="784"/>
        <v>88.735096615047283</v>
      </c>
      <c r="CP110" s="70">
        <f t="shared" si="649"/>
        <v>1620.2033180191377</v>
      </c>
      <c r="CQ110" s="56">
        <f t="shared" si="575"/>
        <v>1065</v>
      </c>
      <c r="CR110" s="181">
        <f t="shared" si="897"/>
        <v>1116</v>
      </c>
      <c r="CS110" s="63">
        <f t="shared" si="738"/>
        <v>-51</v>
      </c>
      <c r="CT110" s="12">
        <f t="shared" si="576"/>
        <v>84</v>
      </c>
      <c r="CU110" s="103">
        <f t="shared" si="914"/>
        <v>78</v>
      </c>
      <c r="CV110" s="63">
        <f t="shared" si="625"/>
        <v>6</v>
      </c>
      <c r="CX110" s="197">
        <f>CX109+1</f>
        <v>7</v>
      </c>
      <c r="CY110" s="8">
        <f t="shared" si="898"/>
        <v>14</v>
      </c>
      <c r="CZ110" s="136"/>
      <c r="DA110" s="32">
        <f t="shared" si="925"/>
        <v>14679</v>
      </c>
      <c r="DB110" s="63">
        <f t="shared" si="486"/>
        <v>14676</v>
      </c>
      <c r="DC110" s="421"/>
      <c r="DD110" s="426">
        <v>3</v>
      </c>
      <c r="DE110" s="426"/>
      <c r="DF110" s="34">
        <f t="shared" si="684"/>
        <v>3</v>
      </c>
      <c r="DG110" s="34">
        <f t="shared" si="880"/>
        <v>51</v>
      </c>
      <c r="DH110" s="32">
        <f t="shared" si="577"/>
        <v>0.16</v>
      </c>
      <c r="DI110" s="47">
        <f t="shared" si="785"/>
        <v>2.0437359493153485E-2</v>
      </c>
      <c r="DJ110" s="36">
        <f t="shared" si="578"/>
        <v>3.8400000000000012</v>
      </c>
      <c r="DK110" s="157">
        <f t="shared" si="786"/>
        <v>0.34639679413163077</v>
      </c>
      <c r="DL110" s="137">
        <v>1850</v>
      </c>
      <c r="DM110" s="13">
        <f t="shared" si="579"/>
        <v>64</v>
      </c>
      <c r="DN110" s="442">
        <f t="shared" si="787"/>
        <v>126.03038354111315</v>
      </c>
      <c r="DO110" s="70">
        <f t="shared" si="666"/>
        <v>1649.542787755988</v>
      </c>
      <c r="DP110" s="56">
        <f t="shared" si="580"/>
        <v>1065</v>
      </c>
      <c r="DQ110" s="181">
        <f t="shared" si="899"/>
        <v>1000</v>
      </c>
      <c r="DR110" s="63">
        <f t="shared" si="739"/>
        <v>65</v>
      </c>
      <c r="DS110" s="12">
        <f t="shared" si="581"/>
        <v>84</v>
      </c>
      <c r="DT110" s="103">
        <f t="shared" si="916"/>
        <v>72</v>
      </c>
      <c r="DU110" s="63">
        <f t="shared" si="654"/>
        <v>12</v>
      </c>
      <c r="DW110" s="197">
        <f>DW109+1</f>
        <v>7</v>
      </c>
      <c r="DX110" s="8">
        <f t="shared" si="900"/>
        <v>14</v>
      </c>
      <c r="DY110" s="136"/>
      <c r="DZ110" s="32">
        <f t="shared" si="926"/>
        <v>14480</v>
      </c>
      <c r="EA110" s="63">
        <f t="shared" si="487"/>
        <v>14478</v>
      </c>
      <c r="EB110" s="421"/>
      <c r="EC110" s="426">
        <v>2</v>
      </c>
      <c r="ED110" s="426"/>
      <c r="EE110" s="34">
        <f t="shared" si="686"/>
        <v>2</v>
      </c>
      <c r="EF110" s="34">
        <f t="shared" si="881"/>
        <v>69</v>
      </c>
      <c r="EG110" s="32">
        <f t="shared" si="582"/>
        <v>0.16</v>
      </c>
      <c r="EH110" s="47">
        <f t="shared" si="788"/>
        <v>1.3812154696132596E-2</v>
      </c>
      <c r="EI110" s="36">
        <f t="shared" si="583"/>
        <v>3.8400000000000012</v>
      </c>
      <c r="EJ110" s="157">
        <f t="shared" si="800"/>
        <v>0.47455295735900965</v>
      </c>
      <c r="EK110" s="137">
        <v>1110</v>
      </c>
      <c r="EL110" s="13">
        <f t="shared" si="584"/>
        <v>64</v>
      </c>
      <c r="EM110" s="442">
        <f t="shared" si="789"/>
        <v>76.657458563535911</v>
      </c>
      <c r="EN110" s="70">
        <f t="shared" si="669"/>
        <v>1811.327126499225</v>
      </c>
      <c r="EO110" s="56">
        <f t="shared" si="585"/>
        <v>1065</v>
      </c>
      <c r="EP110" s="181">
        <f t="shared" si="901"/>
        <v>1000</v>
      </c>
      <c r="EQ110" s="63">
        <f t="shared" si="740"/>
        <v>65</v>
      </c>
      <c r="ER110" s="12">
        <f t="shared" si="586"/>
        <v>84</v>
      </c>
      <c r="ES110" s="103">
        <f t="shared" si="918"/>
        <v>72</v>
      </c>
      <c r="ET110" s="63">
        <f t="shared" si="655"/>
        <v>12</v>
      </c>
      <c r="EV110" s="197">
        <f>EV109+1</f>
        <v>7</v>
      </c>
      <c r="EW110" s="8">
        <f t="shared" si="902"/>
        <v>14</v>
      </c>
      <c r="EX110" s="136"/>
      <c r="EY110" s="32">
        <f t="shared" si="927"/>
        <v>14177</v>
      </c>
      <c r="EZ110" s="63">
        <f t="shared" si="488"/>
        <v>14177</v>
      </c>
      <c r="FA110" s="421"/>
      <c r="FB110" s="426">
        <v>0</v>
      </c>
      <c r="FC110" s="426"/>
      <c r="FD110" s="34">
        <f t="shared" si="688"/>
        <v>0</v>
      </c>
      <c r="FE110" s="34">
        <f t="shared" si="882"/>
        <v>61</v>
      </c>
      <c r="FF110" s="32">
        <f t="shared" si="587"/>
        <v>0.16</v>
      </c>
      <c r="FG110" s="47">
        <f t="shared" si="790"/>
        <v>0</v>
      </c>
      <c r="FH110" s="36">
        <f t="shared" si="588"/>
        <v>3.8400000000000012</v>
      </c>
      <c r="FI110" s="157">
        <f t="shared" si="801"/>
        <v>0.42852125043905864</v>
      </c>
      <c r="FJ110" s="137">
        <v>1665</v>
      </c>
      <c r="FK110" s="13">
        <f t="shared" si="589"/>
        <v>64</v>
      </c>
      <c r="FL110" s="442">
        <f t="shared" si="792"/>
        <v>117.44374691401566</v>
      </c>
      <c r="FM110" s="70">
        <f t="shared" si="672"/>
        <v>1941.0995854015148</v>
      </c>
      <c r="FN110" s="56">
        <f t="shared" si="590"/>
        <v>1065</v>
      </c>
      <c r="FO110" s="181">
        <f t="shared" si="903"/>
        <v>1000</v>
      </c>
      <c r="FP110" s="63">
        <f t="shared" si="741"/>
        <v>65</v>
      </c>
      <c r="FQ110" s="12">
        <f t="shared" si="591"/>
        <v>84</v>
      </c>
      <c r="FR110" s="103">
        <f t="shared" si="920"/>
        <v>72</v>
      </c>
      <c r="FS110" s="63">
        <f t="shared" si="656"/>
        <v>12</v>
      </c>
      <c r="FU110" s="197">
        <f>FU109+1</f>
        <v>7</v>
      </c>
      <c r="FV110" s="8">
        <f t="shared" si="904"/>
        <v>14</v>
      </c>
      <c r="FW110" s="136"/>
      <c r="FX110" s="32">
        <f t="shared" si="928"/>
        <v>14155</v>
      </c>
      <c r="FY110" s="63">
        <f t="shared" si="489"/>
        <v>14152</v>
      </c>
      <c r="FZ110" s="421"/>
      <c r="GA110" s="426">
        <v>3</v>
      </c>
      <c r="GB110" s="426"/>
      <c r="GC110" s="34">
        <f t="shared" si="690"/>
        <v>3</v>
      </c>
      <c r="GD110" s="34">
        <f t="shared" si="883"/>
        <v>39</v>
      </c>
      <c r="GE110" s="32">
        <f t="shared" si="592"/>
        <v>0.16</v>
      </c>
      <c r="GF110" s="47">
        <f t="shared" si="793"/>
        <v>2.1193924408336277E-2</v>
      </c>
      <c r="GG110" s="36">
        <f t="shared" si="593"/>
        <v>3.8400000000000012</v>
      </c>
      <c r="GH110" s="157">
        <f t="shared" si="802"/>
        <v>0.27486080766791177</v>
      </c>
      <c r="GI110" s="137">
        <v>1480</v>
      </c>
      <c r="GJ110" s="13">
        <f t="shared" si="594"/>
        <v>64</v>
      </c>
      <c r="GK110" s="442">
        <f t="shared" si="795"/>
        <v>104.55669374779231</v>
      </c>
      <c r="GL110" s="70">
        <f t="shared" si="675"/>
        <v>1723.5498525087528</v>
      </c>
      <c r="GM110" s="56">
        <f t="shared" si="595"/>
        <v>1065</v>
      </c>
      <c r="GN110" s="181">
        <f t="shared" si="905"/>
        <v>1000</v>
      </c>
      <c r="GO110" s="63">
        <f t="shared" si="742"/>
        <v>65</v>
      </c>
      <c r="GP110" s="12">
        <f t="shared" si="596"/>
        <v>84</v>
      </c>
      <c r="GQ110" s="103">
        <f t="shared" si="922"/>
        <v>72</v>
      </c>
      <c r="GR110" s="63">
        <f t="shared" si="657"/>
        <v>12</v>
      </c>
      <c r="GT110" s="197">
        <f>GT109+1</f>
        <v>7</v>
      </c>
      <c r="GU110" s="8">
        <f t="shared" si="906"/>
        <v>14</v>
      </c>
      <c r="GV110" s="136"/>
      <c r="GW110" s="32">
        <f t="shared" si="929"/>
        <v>9155</v>
      </c>
      <c r="GX110" s="63">
        <f t="shared" si="490"/>
        <v>9154</v>
      </c>
      <c r="GY110" s="421"/>
      <c r="GZ110" s="426">
        <v>1</v>
      </c>
      <c r="HA110" s="426"/>
      <c r="HB110" s="34">
        <f t="shared" si="692"/>
        <v>1</v>
      </c>
      <c r="HC110" s="34">
        <f t="shared" si="884"/>
        <v>28</v>
      </c>
      <c r="HD110" s="32">
        <f t="shared" si="597"/>
        <v>0.16</v>
      </c>
      <c r="HE110" s="47">
        <f t="shared" si="796"/>
        <v>1.0922992900054615E-2</v>
      </c>
      <c r="HF110" s="36">
        <f t="shared" si="598"/>
        <v>3.8400000000000012</v>
      </c>
      <c r="HG110" s="157">
        <f t="shared" si="803"/>
        <v>0.30494445654541497</v>
      </c>
      <c r="HH110" s="137">
        <v>1295</v>
      </c>
      <c r="HI110" s="13">
        <f t="shared" si="599"/>
        <v>64</v>
      </c>
      <c r="HJ110" s="442">
        <f t="shared" si="798"/>
        <v>141.45275805570725</v>
      </c>
      <c r="HK110" s="70">
        <f t="shared" si="678"/>
        <v>1776.4431405717892</v>
      </c>
      <c r="HL110" s="56">
        <f t="shared" si="600"/>
        <v>1065</v>
      </c>
      <c r="HM110" s="181">
        <f t="shared" si="907"/>
        <v>1000</v>
      </c>
      <c r="HN110" s="63">
        <f t="shared" si="743"/>
        <v>65</v>
      </c>
      <c r="HO110" s="12">
        <f t="shared" si="601"/>
        <v>84</v>
      </c>
      <c r="HP110" s="103">
        <f t="shared" si="924"/>
        <v>72</v>
      </c>
      <c r="HQ110" s="63">
        <f t="shared" si="658"/>
        <v>12</v>
      </c>
    </row>
    <row r="111" spans="1:225" ht="17.25" thickBot="1" x14ac:dyDescent="0.3">
      <c r="B111" s="118">
        <v>8</v>
      </c>
      <c r="C111" s="575">
        <v>15</v>
      </c>
      <c r="D111" s="129"/>
      <c r="E111" s="400">
        <f t="shared" si="696"/>
        <v>68548</v>
      </c>
      <c r="F111" s="561">
        <f t="shared" si="555"/>
        <v>68546</v>
      </c>
      <c r="G111" s="130"/>
      <c r="H111" s="131">
        <v>2</v>
      </c>
      <c r="I111" s="131"/>
      <c r="J111" s="11">
        <f t="shared" si="679"/>
        <v>2</v>
      </c>
      <c r="K111" s="11">
        <f t="shared" si="604"/>
        <v>5539</v>
      </c>
      <c r="L111" s="16">
        <f t="shared" si="556"/>
        <v>0.16</v>
      </c>
      <c r="M111" s="153">
        <f t="shared" si="605"/>
        <v>2.917663535041139E-3</v>
      </c>
      <c r="N111" s="154">
        <f t="shared" si="557"/>
        <v>4.0000000000000009</v>
      </c>
      <c r="O111" s="132">
        <f t="shared" si="606"/>
        <v>4.1068264218931887</v>
      </c>
      <c r="P111" s="158">
        <v>3549</v>
      </c>
      <c r="Q111" s="11">
        <f t="shared" si="558"/>
        <v>67</v>
      </c>
      <c r="R111" s="441">
        <f t="shared" si="877"/>
        <v>51.77393942930501</v>
      </c>
      <c r="S111" s="469">
        <f t="shared" si="650"/>
        <v>3452.5616203643058</v>
      </c>
      <c r="T111" s="58">
        <f t="shared" si="560"/>
        <v>1115</v>
      </c>
      <c r="U111" s="131"/>
      <c r="V111" s="41">
        <f t="shared" si="608"/>
        <v>1115</v>
      </c>
      <c r="W111" s="18">
        <f t="shared" si="878"/>
        <v>86</v>
      </c>
      <c r="X111" s="131"/>
      <c r="Y111" s="41">
        <f t="shared" si="610"/>
        <v>86</v>
      </c>
      <c r="Z111" s="487"/>
      <c r="AA111" s="118">
        <v>8</v>
      </c>
      <c r="AB111" s="9">
        <v>15</v>
      </c>
      <c r="AC111" s="129"/>
      <c r="AD111" s="43">
        <f t="shared" si="879"/>
        <v>59295</v>
      </c>
      <c r="AE111" s="449">
        <f t="shared" si="484"/>
        <v>59294</v>
      </c>
      <c r="AF111" s="130"/>
      <c r="AG111" s="131">
        <v>1</v>
      </c>
      <c r="AH111" s="131"/>
      <c r="AI111" s="11">
        <f t="shared" si="889"/>
        <v>1</v>
      </c>
      <c r="AJ111" s="11">
        <f t="shared" si="910"/>
        <v>6425</v>
      </c>
      <c r="AK111" s="16">
        <f t="shared" si="562"/>
        <v>0.16</v>
      </c>
      <c r="AL111" s="153">
        <f t="shared" si="613"/>
        <v>1.6864828400371026E-3</v>
      </c>
      <c r="AM111" s="154">
        <f t="shared" si="563"/>
        <v>4.0000000000000009</v>
      </c>
      <c r="AN111" s="157">
        <f t="shared" si="659"/>
        <v>4.1945213349349766</v>
      </c>
      <c r="AO111" s="130">
        <v>3276</v>
      </c>
      <c r="AP111" s="11">
        <f t="shared" si="564"/>
        <v>67</v>
      </c>
      <c r="AQ111" s="441">
        <f t="shared" si="614"/>
        <v>55.249177839615484</v>
      </c>
      <c r="AR111" s="469">
        <f t="shared" si="799"/>
        <v>3589.6553295353879</v>
      </c>
      <c r="AS111" s="58">
        <f t="shared" si="565"/>
        <v>1115</v>
      </c>
      <c r="AT111" s="131">
        <v>1066</v>
      </c>
      <c r="AU111" s="41">
        <f t="shared" si="736"/>
        <v>49</v>
      </c>
      <c r="AV111" s="18">
        <f t="shared" si="566"/>
        <v>86</v>
      </c>
      <c r="AW111" s="131">
        <v>81</v>
      </c>
      <c r="AX111" s="41">
        <f t="shared" si="660"/>
        <v>5</v>
      </c>
      <c r="AZ111" s="118">
        <v>8</v>
      </c>
      <c r="BA111" s="9">
        <v>15</v>
      </c>
      <c r="BB111" s="129"/>
      <c r="BC111" s="43">
        <f t="shared" si="518"/>
        <v>65369</v>
      </c>
      <c r="BD111" s="449">
        <f t="shared" si="485"/>
        <v>65349</v>
      </c>
      <c r="BE111" s="130"/>
      <c r="BF111" s="131">
        <v>20</v>
      </c>
      <c r="BG111" s="131"/>
      <c r="BH111" s="11">
        <f t="shared" si="893"/>
        <v>20</v>
      </c>
      <c r="BI111" s="11">
        <f t="shared" si="912"/>
        <v>1242</v>
      </c>
      <c r="BJ111" s="16">
        <f t="shared" si="567"/>
        <v>0.16</v>
      </c>
      <c r="BK111" s="42">
        <f t="shared" si="646"/>
        <v>3.0595542229497161E-2</v>
      </c>
      <c r="BL111" s="154">
        <f t="shared" si="568"/>
        <v>4.0000000000000009</v>
      </c>
      <c r="BM111" s="132">
        <f t="shared" si="840"/>
        <v>1.7394957983193278</v>
      </c>
      <c r="BN111" s="130">
        <v>2730</v>
      </c>
      <c r="BO111" s="11">
        <f t="shared" si="569"/>
        <v>67</v>
      </c>
      <c r="BP111" s="441">
        <f t="shared" si="647"/>
        <v>41.762915143263626</v>
      </c>
      <c r="BQ111" s="746">
        <f t="shared" si="651"/>
        <v>3429.2412004386815</v>
      </c>
      <c r="BR111" s="58">
        <f t="shared" si="570"/>
        <v>1115</v>
      </c>
      <c r="BS111" s="131">
        <v>1047</v>
      </c>
      <c r="BT111" s="41">
        <f t="shared" si="737"/>
        <v>68</v>
      </c>
      <c r="BU111" s="18">
        <f t="shared" si="571"/>
        <v>86</v>
      </c>
      <c r="BV111" s="131">
        <v>77</v>
      </c>
      <c r="BW111" s="41">
        <f t="shared" si="661"/>
        <v>9</v>
      </c>
      <c r="BY111" s="118">
        <v>8</v>
      </c>
      <c r="BZ111" s="9">
        <v>15</v>
      </c>
      <c r="CA111" s="129"/>
      <c r="CB111" s="11">
        <f t="shared" si="662"/>
        <v>14591</v>
      </c>
      <c r="CC111" s="57">
        <f t="shared" si="682"/>
        <v>14589</v>
      </c>
      <c r="CD111" s="398"/>
      <c r="CE111" s="399">
        <v>2</v>
      </c>
      <c r="CF111" s="399"/>
      <c r="CG111" s="11">
        <f t="shared" si="683"/>
        <v>2</v>
      </c>
      <c r="CH111" s="11">
        <f t="shared" si="663"/>
        <v>67</v>
      </c>
      <c r="CI111" s="31">
        <f t="shared" si="572"/>
        <v>0.16</v>
      </c>
      <c r="CJ111" s="47">
        <f t="shared" si="782"/>
        <v>1.3707079706668495E-2</v>
      </c>
      <c r="CK111" s="37">
        <f t="shared" si="573"/>
        <v>4.0000000000000009</v>
      </c>
      <c r="CL111" s="157">
        <f t="shared" si="783"/>
        <v>0.45715065502183405</v>
      </c>
      <c r="CM111" s="130">
        <v>1480</v>
      </c>
      <c r="CN111" s="11">
        <f t="shared" si="574"/>
        <v>67</v>
      </c>
      <c r="CO111" s="442">
        <f t="shared" si="784"/>
        <v>101.43238982934685</v>
      </c>
      <c r="CP111" s="377">
        <f t="shared" si="649"/>
        <v>1721.6357078484846</v>
      </c>
      <c r="CQ111" s="61">
        <f t="shared" si="575"/>
        <v>1115</v>
      </c>
      <c r="CR111" s="131"/>
      <c r="CS111" s="41">
        <f t="shared" si="738"/>
        <v>1115</v>
      </c>
      <c r="CT111" s="58">
        <f t="shared" si="576"/>
        <v>86</v>
      </c>
      <c r="CU111" s="131"/>
      <c r="CV111" s="41">
        <f t="shared" si="625"/>
        <v>86</v>
      </c>
      <c r="CX111" s="118">
        <v>8</v>
      </c>
      <c r="CY111" s="9">
        <v>15</v>
      </c>
      <c r="CZ111" s="129"/>
      <c r="DA111" s="11">
        <f t="shared" si="925"/>
        <v>14676</v>
      </c>
      <c r="DB111" s="57">
        <f t="shared" si="486"/>
        <v>14675</v>
      </c>
      <c r="DC111" s="398"/>
      <c r="DD111" s="399">
        <v>1</v>
      </c>
      <c r="DE111" s="399"/>
      <c r="DF111" s="11">
        <f t="shared" si="684"/>
        <v>1</v>
      </c>
      <c r="DG111" s="11">
        <f t="shared" si="880"/>
        <v>52</v>
      </c>
      <c r="DH111" s="31">
        <f t="shared" si="577"/>
        <v>0.16</v>
      </c>
      <c r="DI111" s="47">
        <f t="shared" si="785"/>
        <v>6.81384573453257E-3</v>
      </c>
      <c r="DJ111" s="37">
        <f t="shared" si="578"/>
        <v>4.0000000000000009</v>
      </c>
      <c r="DK111" s="157">
        <f t="shared" si="786"/>
        <v>0.35318888813421179</v>
      </c>
      <c r="DL111" s="130">
        <v>925</v>
      </c>
      <c r="DM111" s="11">
        <f t="shared" si="579"/>
        <v>67</v>
      </c>
      <c r="DN111" s="442">
        <f t="shared" si="787"/>
        <v>63.028073044426272</v>
      </c>
      <c r="DO111" s="377">
        <f t="shared" si="666"/>
        <v>1712.5708608004143</v>
      </c>
      <c r="DP111" s="61">
        <f t="shared" si="580"/>
        <v>1115</v>
      </c>
      <c r="DQ111" s="131">
        <v>1100</v>
      </c>
      <c r="DR111" s="41">
        <f t="shared" si="739"/>
        <v>15</v>
      </c>
      <c r="DS111" s="58">
        <f t="shared" si="581"/>
        <v>86</v>
      </c>
      <c r="DT111" s="131">
        <v>78</v>
      </c>
      <c r="DU111" s="41">
        <f t="shared" si="654"/>
        <v>8</v>
      </c>
      <c r="DW111" s="118">
        <v>8</v>
      </c>
      <c r="DX111" s="9">
        <v>15</v>
      </c>
      <c r="DY111" s="129"/>
      <c r="DZ111" s="11">
        <f t="shared" si="926"/>
        <v>14478</v>
      </c>
      <c r="EA111" s="57">
        <f t="shared" si="487"/>
        <v>14476</v>
      </c>
      <c r="EB111" s="398"/>
      <c r="EC111" s="399">
        <v>2</v>
      </c>
      <c r="ED111" s="399"/>
      <c r="EE111" s="11">
        <f t="shared" si="686"/>
        <v>2</v>
      </c>
      <c r="EF111" s="11">
        <f t="shared" si="881"/>
        <v>71</v>
      </c>
      <c r="EG111" s="31">
        <f t="shared" si="582"/>
        <v>0.16</v>
      </c>
      <c r="EH111" s="47">
        <f t="shared" si="788"/>
        <v>1.3814062715844729E-2</v>
      </c>
      <c r="EI111" s="37">
        <f t="shared" si="583"/>
        <v>4.0000000000000009</v>
      </c>
      <c r="EJ111" s="157">
        <f t="shared" si="800"/>
        <v>0.48830811554332876</v>
      </c>
      <c r="EK111" s="130">
        <v>1850</v>
      </c>
      <c r="EL111" s="11">
        <f t="shared" si="584"/>
        <v>67</v>
      </c>
      <c r="EM111" s="442">
        <f t="shared" si="789"/>
        <v>127.78008012156376</v>
      </c>
      <c r="EN111" s="377">
        <f t="shared" si="669"/>
        <v>1939.1072066207887</v>
      </c>
      <c r="EO111" s="61">
        <f t="shared" si="585"/>
        <v>1115</v>
      </c>
      <c r="EP111" s="131">
        <v>1100</v>
      </c>
      <c r="EQ111" s="41">
        <f t="shared" si="740"/>
        <v>15</v>
      </c>
      <c r="ER111" s="58">
        <f t="shared" si="586"/>
        <v>86</v>
      </c>
      <c r="ES111" s="131">
        <v>78</v>
      </c>
      <c r="ET111" s="41">
        <f t="shared" si="655"/>
        <v>8</v>
      </c>
      <c r="EV111" s="118">
        <v>8</v>
      </c>
      <c r="EW111" s="9">
        <v>15</v>
      </c>
      <c r="EX111" s="129"/>
      <c r="EY111" s="11">
        <f t="shared" si="927"/>
        <v>14177</v>
      </c>
      <c r="EZ111" s="57">
        <f t="shared" si="488"/>
        <v>14174</v>
      </c>
      <c r="FA111" s="398"/>
      <c r="FB111" s="399">
        <v>3</v>
      </c>
      <c r="FC111" s="399"/>
      <c r="FD111" s="11">
        <f t="shared" si="688"/>
        <v>3</v>
      </c>
      <c r="FE111" s="11">
        <f t="shared" si="882"/>
        <v>64</v>
      </c>
      <c r="FF111" s="31">
        <f t="shared" si="587"/>
        <v>0.16</v>
      </c>
      <c r="FG111" s="47">
        <f t="shared" si="790"/>
        <v>2.116103548000282E-2</v>
      </c>
      <c r="FH111" s="37">
        <f t="shared" si="588"/>
        <v>4.0000000000000009</v>
      </c>
      <c r="FI111" s="157">
        <f t="shared" si="801"/>
        <v>0.4495960660344222</v>
      </c>
      <c r="FJ111" s="130">
        <v>1480</v>
      </c>
      <c r="FK111" s="11">
        <f t="shared" si="589"/>
        <v>67</v>
      </c>
      <c r="FL111" s="442">
        <f t="shared" si="792"/>
        <v>104.39444170134725</v>
      </c>
      <c r="FM111" s="377">
        <f t="shared" si="672"/>
        <v>2045.494027102862</v>
      </c>
      <c r="FN111" s="61">
        <f t="shared" si="590"/>
        <v>1115</v>
      </c>
      <c r="FO111" s="131">
        <v>1100</v>
      </c>
      <c r="FP111" s="41">
        <f t="shared" si="741"/>
        <v>15</v>
      </c>
      <c r="FQ111" s="58">
        <f t="shared" si="591"/>
        <v>86</v>
      </c>
      <c r="FR111" s="131">
        <v>78</v>
      </c>
      <c r="FS111" s="41">
        <f t="shared" si="656"/>
        <v>8</v>
      </c>
      <c r="FU111" s="118">
        <v>8</v>
      </c>
      <c r="FV111" s="9">
        <v>15</v>
      </c>
      <c r="FW111" s="129"/>
      <c r="FX111" s="11">
        <f t="shared" si="928"/>
        <v>14152</v>
      </c>
      <c r="FY111" s="57">
        <f t="shared" si="489"/>
        <v>14151</v>
      </c>
      <c r="FZ111" s="398"/>
      <c r="GA111" s="399">
        <v>1</v>
      </c>
      <c r="GB111" s="399"/>
      <c r="GC111" s="11">
        <f t="shared" si="690"/>
        <v>1</v>
      </c>
      <c r="GD111" s="11">
        <f t="shared" si="883"/>
        <v>40</v>
      </c>
      <c r="GE111" s="31">
        <f t="shared" si="592"/>
        <v>0.16</v>
      </c>
      <c r="GF111" s="47">
        <f t="shared" si="793"/>
        <v>7.0661390616167325E-3</v>
      </c>
      <c r="GG111" s="37">
        <f t="shared" si="593"/>
        <v>4.0000000000000009</v>
      </c>
      <c r="GH111" s="157">
        <f t="shared" si="802"/>
        <v>0.28190852068503769</v>
      </c>
      <c r="GI111" s="130">
        <v>1110</v>
      </c>
      <c r="GJ111" s="11">
        <f t="shared" si="594"/>
        <v>67</v>
      </c>
      <c r="GK111" s="442">
        <f t="shared" si="795"/>
        <v>78.43414358394574</v>
      </c>
      <c r="GL111" s="377">
        <f t="shared" si="675"/>
        <v>1801.9839960926986</v>
      </c>
      <c r="GM111" s="61">
        <f t="shared" si="595"/>
        <v>1115</v>
      </c>
      <c r="GN111" s="131">
        <v>1100</v>
      </c>
      <c r="GO111" s="41">
        <f t="shared" si="742"/>
        <v>15</v>
      </c>
      <c r="GP111" s="58">
        <f t="shared" si="596"/>
        <v>86</v>
      </c>
      <c r="GQ111" s="131">
        <v>78</v>
      </c>
      <c r="GR111" s="41">
        <f t="shared" si="657"/>
        <v>8</v>
      </c>
      <c r="GT111" s="118">
        <v>8</v>
      </c>
      <c r="GU111" s="9">
        <v>15</v>
      </c>
      <c r="GV111" s="129"/>
      <c r="GW111" s="11">
        <f t="shared" si="929"/>
        <v>9154</v>
      </c>
      <c r="GX111" s="57">
        <f t="shared" si="490"/>
        <v>9152</v>
      </c>
      <c r="GY111" s="398"/>
      <c r="GZ111" s="399">
        <v>2</v>
      </c>
      <c r="HA111" s="399"/>
      <c r="HB111" s="11">
        <f t="shared" si="692"/>
        <v>2</v>
      </c>
      <c r="HC111" s="11">
        <f t="shared" si="884"/>
        <v>30</v>
      </c>
      <c r="HD111" s="31">
        <f t="shared" si="597"/>
        <v>0.16</v>
      </c>
      <c r="HE111" s="47">
        <f t="shared" si="796"/>
        <v>2.1848372296263928E-2</v>
      </c>
      <c r="HF111" s="37">
        <f t="shared" si="598"/>
        <v>4.0000000000000009</v>
      </c>
      <c r="HG111" s="157">
        <f t="shared" si="803"/>
        <v>0.32672620344151598</v>
      </c>
      <c r="HH111" s="130">
        <v>1295</v>
      </c>
      <c r="HI111" s="11">
        <f t="shared" si="599"/>
        <v>67</v>
      </c>
      <c r="HJ111" s="442">
        <f t="shared" si="798"/>
        <v>141.46821061830894</v>
      </c>
      <c r="HK111" s="377">
        <f t="shared" si="678"/>
        <v>1917.9113511900982</v>
      </c>
      <c r="HL111" s="61">
        <f t="shared" si="600"/>
        <v>1115</v>
      </c>
      <c r="HM111" s="131">
        <v>1100</v>
      </c>
      <c r="HN111" s="41">
        <f t="shared" si="743"/>
        <v>15</v>
      </c>
      <c r="HO111" s="58">
        <f t="shared" si="601"/>
        <v>86</v>
      </c>
      <c r="HP111" s="131">
        <v>78</v>
      </c>
      <c r="HQ111" s="41">
        <f t="shared" si="658"/>
        <v>8</v>
      </c>
    </row>
    <row r="112" spans="1:225" ht="17.25" thickBot="1" x14ac:dyDescent="0.3">
      <c r="B112" s="120">
        <f>B111+1</f>
        <v>9</v>
      </c>
      <c r="C112" s="570">
        <f>C111</f>
        <v>15</v>
      </c>
      <c r="D112" s="133"/>
      <c r="E112" s="408">
        <f t="shared" si="696"/>
        <v>68546</v>
      </c>
      <c r="F112" s="562">
        <f t="shared" si="555"/>
        <v>68545</v>
      </c>
      <c r="G112" s="134"/>
      <c r="H112" s="135">
        <v>1</v>
      </c>
      <c r="I112" s="135"/>
      <c r="J112" s="14">
        <f t="shared" si="679"/>
        <v>1</v>
      </c>
      <c r="K112" s="14">
        <f t="shared" si="604"/>
        <v>5540</v>
      </c>
      <c r="L112" s="14">
        <f t="shared" si="556"/>
        <v>0.16</v>
      </c>
      <c r="M112" s="230">
        <f t="shared" si="605"/>
        <v>1.4588743325649929E-3</v>
      </c>
      <c r="N112" s="35">
        <f t="shared" si="557"/>
        <v>4.0000000000000009</v>
      </c>
      <c r="O112" s="132">
        <f t="shared" si="606"/>
        <v>4.1075678601350898</v>
      </c>
      <c r="P112" s="142">
        <v>1638</v>
      </c>
      <c r="Q112" s="14">
        <f t="shared" si="558"/>
        <v>67</v>
      </c>
      <c r="R112" s="442">
        <f t="shared" si="877"/>
        <v>23.896361567414584</v>
      </c>
      <c r="S112" s="470">
        <f t="shared" si="650"/>
        <v>3476.4579819317205</v>
      </c>
      <c r="T112" s="51">
        <f t="shared" si="560"/>
        <v>1115</v>
      </c>
      <c r="U112" s="103">
        <f>U111</f>
        <v>0</v>
      </c>
      <c r="V112" s="46">
        <f t="shared" si="608"/>
        <v>1115</v>
      </c>
      <c r="W112" s="51">
        <f t="shared" si="878"/>
        <v>86</v>
      </c>
      <c r="X112" s="103">
        <f>X111</f>
        <v>0</v>
      </c>
      <c r="Y112" s="46">
        <f t="shared" si="610"/>
        <v>86</v>
      </c>
      <c r="Z112" s="487"/>
      <c r="AA112" s="120">
        <f>AA111+1</f>
        <v>9</v>
      </c>
      <c r="AB112" s="7">
        <f>AB111</f>
        <v>15</v>
      </c>
      <c r="AC112" s="133"/>
      <c r="AD112" s="48">
        <f t="shared" si="879"/>
        <v>59294</v>
      </c>
      <c r="AE112" s="196">
        <f t="shared" si="484"/>
        <v>59289</v>
      </c>
      <c r="AF112" s="134"/>
      <c r="AG112" s="135">
        <v>5</v>
      </c>
      <c r="AH112" s="135"/>
      <c r="AI112" s="14">
        <f t="shared" si="889"/>
        <v>5</v>
      </c>
      <c r="AJ112" s="14">
        <f t="shared" si="910"/>
        <v>6430</v>
      </c>
      <c r="AK112" s="14">
        <f t="shared" si="562"/>
        <v>0.16</v>
      </c>
      <c r="AL112" s="230">
        <f t="shared" si="613"/>
        <v>8.432556413802408E-3</v>
      </c>
      <c r="AM112" s="35">
        <f t="shared" si="563"/>
        <v>4.0000000000000009</v>
      </c>
      <c r="AN112" s="157">
        <f t="shared" si="659"/>
        <v>4.1977855538726692</v>
      </c>
      <c r="AO112" s="134">
        <v>2730</v>
      </c>
      <c r="AP112" s="14">
        <f t="shared" si="564"/>
        <v>67</v>
      </c>
      <c r="AQ112" s="442">
        <f t="shared" si="614"/>
        <v>46.041758019361147</v>
      </c>
      <c r="AR112" s="470">
        <f t="shared" si="799"/>
        <v>3635.697087554749</v>
      </c>
      <c r="AS112" s="51">
        <f t="shared" si="565"/>
        <v>1115</v>
      </c>
      <c r="AT112" s="103">
        <f>AT111</f>
        <v>1066</v>
      </c>
      <c r="AU112" s="46">
        <f t="shared" si="736"/>
        <v>49</v>
      </c>
      <c r="AV112" s="51">
        <f t="shared" si="566"/>
        <v>86</v>
      </c>
      <c r="AW112" s="103">
        <f>AW111</f>
        <v>81</v>
      </c>
      <c r="AX112" s="46">
        <f t="shared" si="660"/>
        <v>5</v>
      </c>
      <c r="AZ112" s="120">
        <f>AZ111+1</f>
        <v>9</v>
      </c>
      <c r="BA112" s="7">
        <f>BA111</f>
        <v>15</v>
      </c>
      <c r="BB112" s="133"/>
      <c r="BC112" s="48">
        <f t="shared" si="518"/>
        <v>65349</v>
      </c>
      <c r="BD112" s="196">
        <f t="shared" si="485"/>
        <v>65343</v>
      </c>
      <c r="BE112" s="134"/>
      <c r="BF112" s="135">
        <v>6</v>
      </c>
      <c r="BG112" s="135"/>
      <c r="BH112" s="14">
        <f t="shared" si="893"/>
        <v>6</v>
      </c>
      <c r="BI112" s="14">
        <f t="shared" si="912"/>
        <v>1248</v>
      </c>
      <c r="BJ112" s="14">
        <f t="shared" si="567"/>
        <v>0.16</v>
      </c>
      <c r="BK112" s="47">
        <f t="shared" si="646"/>
        <v>9.1814717899279252E-3</v>
      </c>
      <c r="BL112" s="35">
        <f t="shared" si="568"/>
        <v>4.0000000000000009</v>
      </c>
      <c r="BM112" s="132">
        <f t="shared" si="840"/>
        <v>1.7478991596638656</v>
      </c>
      <c r="BN112" s="134">
        <v>1092</v>
      </c>
      <c r="BO112" s="14">
        <f t="shared" si="569"/>
        <v>67</v>
      </c>
      <c r="BP112" s="442">
        <f t="shared" si="647"/>
        <v>16.710278657668823</v>
      </c>
      <c r="BQ112" s="747">
        <f t="shared" si="651"/>
        <v>3445.9514790963503</v>
      </c>
      <c r="BR112" s="51">
        <f t="shared" si="570"/>
        <v>1115</v>
      </c>
      <c r="BS112" s="103">
        <f>BS111</f>
        <v>1047</v>
      </c>
      <c r="BT112" s="46">
        <f t="shared" si="737"/>
        <v>68</v>
      </c>
      <c r="BU112" s="51">
        <f t="shared" si="571"/>
        <v>86</v>
      </c>
      <c r="BV112" s="103">
        <f>BV111</f>
        <v>77</v>
      </c>
      <c r="BW112" s="46">
        <f t="shared" si="661"/>
        <v>9</v>
      </c>
      <c r="BY112" s="120">
        <f>BY111+1</f>
        <v>9</v>
      </c>
      <c r="BZ112" s="7">
        <f>BZ111</f>
        <v>15</v>
      </c>
      <c r="CA112" s="133"/>
      <c r="CB112" s="14">
        <f t="shared" si="662"/>
        <v>14589</v>
      </c>
      <c r="CC112" s="59">
        <f t="shared" si="682"/>
        <v>14587</v>
      </c>
      <c r="CD112" s="405"/>
      <c r="CE112" s="406">
        <v>2</v>
      </c>
      <c r="CF112" s="406"/>
      <c r="CG112" s="14">
        <f t="shared" si="683"/>
        <v>2</v>
      </c>
      <c r="CH112" s="14">
        <f t="shared" si="663"/>
        <v>69</v>
      </c>
      <c r="CI112" s="14">
        <f t="shared" si="572"/>
        <v>0.16</v>
      </c>
      <c r="CJ112" s="47">
        <f t="shared" si="782"/>
        <v>1.3708958804578793E-2</v>
      </c>
      <c r="CK112" s="35">
        <f t="shared" si="573"/>
        <v>4.0000000000000009</v>
      </c>
      <c r="CL112" s="157">
        <f t="shared" si="783"/>
        <v>0.47079694323144106</v>
      </c>
      <c r="CM112" s="134">
        <v>925</v>
      </c>
      <c r="CN112" s="14">
        <f t="shared" si="574"/>
        <v>67</v>
      </c>
      <c r="CO112" s="442">
        <f t="shared" si="784"/>
        <v>63.40393447117691</v>
      </c>
      <c r="CP112" s="68">
        <f t="shared" si="649"/>
        <v>1785.0396423196614</v>
      </c>
      <c r="CQ112" s="51">
        <f t="shared" si="575"/>
        <v>1115</v>
      </c>
      <c r="CR112" s="103">
        <f>CR111</f>
        <v>0</v>
      </c>
      <c r="CS112" s="46">
        <f t="shared" si="738"/>
        <v>1115</v>
      </c>
      <c r="CT112" s="12">
        <f t="shared" si="576"/>
        <v>86</v>
      </c>
      <c r="CU112" s="103">
        <f>CU111</f>
        <v>0</v>
      </c>
      <c r="CV112" s="46">
        <f t="shared" si="625"/>
        <v>86</v>
      </c>
      <c r="CX112" s="120">
        <f>CX111+1</f>
        <v>9</v>
      </c>
      <c r="CY112" s="7">
        <f>CY111</f>
        <v>15</v>
      </c>
      <c r="CZ112" s="133"/>
      <c r="DA112" s="14">
        <f t="shared" si="925"/>
        <v>14675</v>
      </c>
      <c r="DB112" s="59">
        <f t="shared" si="486"/>
        <v>14673</v>
      </c>
      <c r="DC112" s="405"/>
      <c r="DD112" s="406">
        <v>2</v>
      </c>
      <c r="DE112" s="406"/>
      <c r="DF112" s="14">
        <f t="shared" si="684"/>
        <v>2</v>
      </c>
      <c r="DG112" s="14">
        <f t="shared" si="880"/>
        <v>54</v>
      </c>
      <c r="DH112" s="14">
        <f t="shared" si="577"/>
        <v>0.16</v>
      </c>
      <c r="DI112" s="47">
        <f t="shared" si="785"/>
        <v>1.3628620102214651E-2</v>
      </c>
      <c r="DJ112" s="35">
        <f t="shared" si="578"/>
        <v>4.0000000000000009</v>
      </c>
      <c r="DK112" s="157">
        <f t="shared" si="786"/>
        <v>0.36677307613937377</v>
      </c>
      <c r="DL112" s="134">
        <v>1295</v>
      </c>
      <c r="DM112" s="14">
        <f t="shared" si="579"/>
        <v>67</v>
      </c>
      <c r="DN112" s="442">
        <f t="shared" si="787"/>
        <v>88.245315161839869</v>
      </c>
      <c r="DO112" s="68">
        <f t="shared" si="666"/>
        <v>1800.8161759622542</v>
      </c>
      <c r="DP112" s="51">
        <f t="shared" si="580"/>
        <v>1115</v>
      </c>
      <c r="DQ112" s="103">
        <f>DQ111</f>
        <v>1100</v>
      </c>
      <c r="DR112" s="46">
        <f t="shared" si="739"/>
        <v>15</v>
      </c>
      <c r="DS112" s="12">
        <f t="shared" si="581"/>
        <v>86</v>
      </c>
      <c r="DT112" s="103">
        <f>DT111</f>
        <v>78</v>
      </c>
      <c r="DU112" s="46">
        <f t="shared" si="654"/>
        <v>8</v>
      </c>
      <c r="DW112" s="120">
        <f>DW111+1</f>
        <v>9</v>
      </c>
      <c r="DX112" s="7">
        <f>DX111</f>
        <v>15</v>
      </c>
      <c r="DY112" s="133"/>
      <c r="DZ112" s="14">
        <f t="shared" si="926"/>
        <v>14476</v>
      </c>
      <c r="EA112" s="59">
        <f t="shared" si="487"/>
        <v>14471</v>
      </c>
      <c r="EB112" s="405"/>
      <c r="EC112" s="406">
        <v>5</v>
      </c>
      <c r="ED112" s="406"/>
      <c r="EE112" s="14">
        <f t="shared" si="686"/>
        <v>5</v>
      </c>
      <c r="EF112" s="14">
        <f t="shared" si="881"/>
        <v>76</v>
      </c>
      <c r="EG112" s="14">
        <f t="shared" si="582"/>
        <v>0.16</v>
      </c>
      <c r="EH112" s="47">
        <f t="shared" si="788"/>
        <v>3.453992815694943E-2</v>
      </c>
      <c r="EI112" s="35">
        <f t="shared" si="583"/>
        <v>4.0000000000000009</v>
      </c>
      <c r="EJ112" s="157">
        <f t="shared" si="800"/>
        <v>0.52269601100412655</v>
      </c>
      <c r="EK112" s="134">
        <v>1850</v>
      </c>
      <c r="EL112" s="14">
        <f t="shared" si="584"/>
        <v>67</v>
      </c>
      <c r="EM112" s="442">
        <f t="shared" si="789"/>
        <v>127.79773418071291</v>
      </c>
      <c r="EN112" s="68">
        <f t="shared" si="669"/>
        <v>2066.9049408015017</v>
      </c>
      <c r="EO112" s="51">
        <f t="shared" si="585"/>
        <v>1115</v>
      </c>
      <c r="EP112" s="103">
        <f>EP111</f>
        <v>1100</v>
      </c>
      <c r="EQ112" s="46">
        <f t="shared" si="740"/>
        <v>15</v>
      </c>
      <c r="ER112" s="12">
        <f t="shared" si="586"/>
        <v>86</v>
      </c>
      <c r="ES112" s="103">
        <f>ES111</f>
        <v>78</v>
      </c>
      <c r="ET112" s="46">
        <f t="shared" si="655"/>
        <v>8</v>
      </c>
      <c r="EV112" s="120">
        <f>EV111+1</f>
        <v>9</v>
      </c>
      <c r="EW112" s="7">
        <f>EW111</f>
        <v>15</v>
      </c>
      <c r="EX112" s="133"/>
      <c r="EY112" s="14">
        <f t="shared" si="927"/>
        <v>14174</v>
      </c>
      <c r="EZ112" s="59">
        <f t="shared" si="488"/>
        <v>14172</v>
      </c>
      <c r="FA112" s="405"/>
      <c r="FB112" s="406">
        <v>2</v>
      </c>
      <c r="FC112" s="406"/>
      <c r="FD112" s="14">
        <f t="shared" si="688"/>
        <v>2</v>
      </c>
      <c r="FE112" s="14">
        <f t="shared" si="882"/>
        <v>66</v>
      </c>
      <c r="FF112" s="14">
        <f t="shared" si="587"/>
        <v>0.16</v>
      </c>
      <c r="FG112" s="47">
        <f t="shared" si="790"/>
        <v>1.4110342881332016E-2</v>
      </c>
      <c r="FH112" s="35">
        <f t="shared" si="588"/>
        <v>4.0000000000000009</v>
      </c>
      <c r="FI112" s="157">
        <f t="shared" si="801"/>
        <v>0.46364594309799789</v>
      </c>
      <c r="FJ112" s="134">
        <v>1480</v>
      </c>
      <c r="FK112" s="14">
        <f t="shared" si="589"/>
        <v>67</v>
      </c>
      <c r="FL112" s="442">
        <f t="shared" si="792"/>
        <v>104.41653732185692</v>
      </c>
      <c r="FM112" s="68">
        <f t="shared" si="672"/>
        <v>2149.9105644247188</v>
      </c>
      <c r="FN112" s="51">
        <f t="shared" si="590"/>
        <v>1115</v>
      </c>
      <c r="FO112" s="103">
        <f>FO111</f>
        <v>1100</v>
      </c>
      <c r="FP112" s="46">
        <f t="shared" si="741"/>
        <v>15</v>
      </c>
      <c r="FQ112" s="12">
        <f t="shared" si="591"/>
        <v>86</v>
      </c>
      <c r="FR112" s="103">
        <f>FR111</f>
        <v>78</v>
      </c>
      <c r="FS112" s="46">
        <f t="shared" si="656"/>
        <v>8</v>
      </c>
      <c r="FU112" s="120">
        <f>FU111+1</f>
        <v>9</v>
      </c>
      <c r="FV112" s="7">
        <f>FV111</f>
        <v>15</v>
      </c>
      <c r="FW112" s="133"/>
      <c r="FX112" s="14">
        <f t="shared" si="928"/>
        <v>14151</v>
      </c>
      <c r="FY112" s="59">
        <f t="shared" si="489"/>
        <v>14150</v>
      </c>
      <c r="FZ112" s="405"/>
      <c r="GA112" s="406">
        <v>1</v>
      </c>
      <c r="GB112" s="406"/>
      <c r="GC112" s="14">
        <f t="shared" si="690"/>
        <v>1</v>
      </c>
      <c r="GD112" s="14">
        <f t="shared" si="883"/>
        <v>41</v>
      </c>
      <c r="GE112" s="14">
        <f t="shared" si="592"/>
        <v>0.16</v>
      </c>
      <c r="GF112" s="47">
        <f t="shared" si="793"/>
        <v>7.066638400113066E-3</v>
      </c>
      <c r="GG112" s="35">
        <f t="shared" si="593"/>
        <v>4.0000000000000009</v>
      </c>
      <c r="GH112" s="157">
        <f t="shared" si="802"/>
        <v>0.28895623370216367</v>
      </c>
      <c r="GI112" s="134">
        <v>1665</v>
      </c>
      <c r="GJ112" s="14">
        <f t="shared" si="594"/>
        <v>67</v>
      </c>
      <c r="GK112" s="442">
        <f t="shared" si="795"/>
        <v>117.65952936188255</v>
      </c>
      <c r="GL112" s="68">
        <f t="shared" si="675"/>
        <v>1919.6435254545811</v>
      </c>
      <c r="GM112" s="51">
        <f t="shared" si="595"/>
        <v>1115</v>
      </c>
      <c r="GN112" s="103">
        <f>GN111</f>
        <v>1100</v>
      </c>
      <c r="GO112" s="46">
        <f t="shared" si="742"/>
        <v>15</v>
      </c>
      <c r="GP112" s="12">
        <f t="shared" si="596"/>
        <v>86</v>
      </c>
      <c r="GQ112" s="103">
        <f>GQ111</f>
        <v>78</v>
      </c>
      <c r="GR112" s="46">
        <f t="shared" si="657"/>
        <v>8</v>
      </c>
      <c r="GT112" s="120">
        <f>GT111+1</f>
        <v>9</v>
      </c>
      <c r="GU112" s="7">
        <f>GU111</f>
        <v>15</v>
      </c>
      <c r="GV112" s="133"/>
      <c r="GW112" s="14">
        <f t="shared" si="929"/>
        <v>9152</v>
      </c>
      <c r="GX112" s="59">
        <f t="shared" si="490"/>
        <v>9151</v>
      </c>
      <c r="GY112" s="405"/>
      <c r="GZ112" s="406">
        <v>1</v>
      </c>
      <c r="HA112" s="406"/>
      <c r="HB112" s="14">
        <f t="shared" si="692"/>
        <v>1</v>
      </c>
      <c r="HC112" s="14">
        <f t="shared" si="884"/>
        <v>31</v>
      </c>
      <c r="HD112" s="14">
        <f t="shared" si="597"/>
        <v>0.16</v>
      </c>
      <c r="HE112" s="47">
        <f t="shared" si="796"/>
        <v>1.0926573426573426E-2</v>
      </c>
      <c r="HF112" s="35">
        <f t="shared" si="598"/>
        <v>4.0000000000000009</v>
      </c>
      <c r="HG112" s="157">
        <f t="shared" si="803"/>
        <v>0.33761707688956655</v>
      </c>
      <c r="HH112" s="134">
        <v>1295</v>
      </c>
      <c r="HI112" s="14">
        <f t="shared" si="599"/>
        <v>67</v>
      </c>
      <c r="HJ112" s="442">
        <f t="shared" si="798"/>
        <v>141.49912587412589</v>
      </c>
      <c r="HK112" s="68">
        <f t="shared" si="678"/>
        <v>2059.4104770642243</v>
      </c>
      <c r="HL112" s="51">
        <f t="shared" si="600"/>
        <v>1115</v>
      </c>
      <c r="HM112" s="103">
        <f>HM111</f>
        <v>1100</v>
      </c>
      <c r="HN112" s="46">
        <f t="shared" si="743"/>
        <v>15</v>
      </c>
      <c r="HO112" s="12">
        <f t="shared" si="601"/>
        <v>86</v>
      </c>
      <c r="HP112" s="103">
        <f>HP111</f>
        <v>78</v>
      </c>
      <c r="HQ112" s="46">
        <f t="shared" si="658"/>
        <v>8</v>
      </c>
    </row>
    <row r="113" spans="1:225" ht="17.25" thickBot="1" x14ac:dyDescent="0.3">
      <c r="B113" s="120">
        <f t="shared" ref="B113:B117" si="930">B112+1</f>
        <v>10</v>
      </c>
      <c r="C113" s="570">
        <f t="shared" ref="C113:C117" si="931">C112</f>
        <v>15</v>
      </c>
      <c r="D113" s="133"/>
      <c r="E113" s="408">
        <f t="shared" si="696"/>
        <v>68545</v>
      </c>
      <c r="F113" s="562">
        <f t="shared" si="555"/>
        <v>68543</v>
      </c>
      <c r="G113" s="134"/>
      <c r="H113" s="135">
        <v>2</v>
      </c>
      <c r="I113" s="135"/>
      <c r="J113" s="14">
        <f t="shared" si="679"/>
        <v>2</v>
      </c>
      <c r="K113" s="14">
        <f t="shared" si="604"/>
        <v>5542</v>
      </c>
      <c r="L113" s="14">
        <f t="shared" si="556"/>
        <v>0.16</v>
      </c>
      <c r="M113" s="230">
        <f t="shared" si="605"/>
        <v>2.9177912320373475E-3</v>
      </c>
      <c r="N113" s="35">
        <f t="shared" si="557"/>
        <v>4.0000000000000009</v>
      </c>
      <c r="O113" s="132">
        <f t="shared" si="606"/>
        <v>4.1090507366188938</v>
      </c>
      <c r="P113" s="142">
        <v>3003</v>
      </c>
      <c r="Q113" s="14">
        <f t="shared" si="558"/>
        <v>67</v>
      </c>
      <c r="R113" s="480">
        <f t="shared" si="877"/>
        <v>43.810635349040773</v>
      </c>
      <c r="S113" s="470">
        <f t="shared" si="650"/>
        <v>3520.2686172807612</v>
      </c>
      <c r="T113" s="51">
        <f t="shared" si="560"/>
        <v>1115</v>
      </c>
      <c r="U113" s="103">
        <f t="shared" ref="U113:U117" si="932">U112</f>
        <v>0</v>
      </c>
      <c r="V113" s="46">
        <f t="shared" si="608"/>
        <v>1115</v>
      </c>
      <c r="W113" s="51">
        <f t="shared" si="878"/>
        <v>86</v>
      </c>
      <c r="X113" s="103">
        <f t="shared" ref="X113:X117" si="933">X112</f>
        <v>0</v>
      </c>
      <c r="Y113" s="46">
        <f t="shared" si="610"/>
        <v>86</v>
      </c>
      <c r="Z113" s="487"/>
      <c r="AA113" s="120">
        <f t="shared" ref="AA113:AA117" si="934">AA112+1</f>
        <v>10</v>
      </c>
      <c r="AB113" s="7">
        <f t="shared" ref="AB113:AB117" si="935">AB112</f>
        <v>15</v>
      </c>
      <c r="AC113" s="133"/>
      <c r="AD113" s="48">
        <f t="shared" si="879"/>
        <v>59289</v>
      </c>
      <c r="AE113" s="196">
        <f t="shared" si="484"/>
        <v>59287</v>
      </c>
      <c r="AF113" s="134"/>
      <c r="AG113" s="135">
        <v>2</v>
      </c>
      <c r="AH113" s="135"/>
      <c r="AI113" s="14">
        <f t="shared" si="889"/>
        <v>2</v>
      </c>
      <c r="AJ113" s="14">
        <f t="shared" si="910"/>
        <v>6432</v>
      </c>
      <c r="AK113" s="14">
        <f t="shared" si="562"/>
        <v>0.16</v>
      </c>
      <c r="AL113" s="230">
        <f t="shared" si="613"/>
        <v>3.3733070215385655E-3</v>
      </c>
      <c r="AM113" s="35">
        <f t="shared" si="563"/>
        <v>4.0000000000000009</v>
      </c>
      <c r="AN113" s="157">
        <f t="shared" si="659"/>
        <v>4.1990912414477464</v>
      </c>
      <c r="AO113" s="134">
        <v>2730</v>
      </c>
      <c r="AP113" s="14">
        <f t="shared" si="564"/>
        <v>67</v>
      </c>
      <c r="AQ113" s="480">
        <f t="shared" si="614"/>
        <v>46.045640844001419</v>
      </c>
      <c r="AR113" s="470">
        <f t="shared" si="799"/>
        <v>3681.7427283987504</v>
      </c>
      <c r="AS113" s="51">
        <f t="shared" si="565"/>
        <v>1115</v>
      </c>
      <c r="AT113" s="103">
        <f t="shared" ref="AT113:AT117" si="936">AT112</f>
        <v>1066</v>
      </c>
      <c r="AU113" s="46">
        <f t="shared" si="736"/>
        <v>49</v>
      </c>
      <c r="AV113" s="51">
        <f t="shared" si="566"/>
        <v>86</v>
      </c>
      <c r="AW113" s="103">
        <f t="shared" ref="AW113:AW117" si="937">AW112</f>
        <v>81</v>
      </c>
      <c r="AX113" s="46">
        <f t="shared" si="660"/>
        <v>5</v>
      </c>
      <c r="AZ113" s="120">
        <f t="shared" ref="AZ113:AZ117" si="938">AZ112+1</f>
        <v>10</v>
      </c>
      <c r="BA113" s="7">
        <f t="shared" ref="BA113:BA117" si="939">BA112</f>
        <v>15</v>
      </c>
      <c r="BB113" s="133"/>
      <c r="BC113" s="48">
        <f t="shared" si="518"/>
        <v>65343</v>
      </c>
      <c r="BD113" s="196">
        <f t="shared" si="485"/>
        <v>65336</v>
      </c>
      <c r="BE113" s="134"/>
      <c r="BF113" s="135">
        <v>7</v>
      </c>
      <c r="BG113" s="135"/>
      <c r="BH113" s="14">
        <f t="shared" si="893"/>
        <v>7</v>
      </c>
      <c r="BI113" s="14">
        <f t="shared" si="912"/>
        <v>1255</v>
      </c>
      <c r="BJ113" s="14">
        <f t="shared" si="567"/>
        <v>0.16</v>
      </c>
      <c r="BK113" s="47">
        <f t="shared" si="646"/>
        <v>1.0712700671839371E-2</v>
      </c>
      <c r="BL113" s="35">
        <f t="shared" si="568"/>
        <v>4.0000000000000009</v>
      </c>
      <c r="BM113" s="132">
        <f t="shared" si="840"/>
        <v>1.757703081232493</v>
      </c>
      <c r="BN113" s="134">
        <v>2730</v>
      </c>
      <c r="BO113" s="14">
        <f t="shared" si="569"/>
        <v>67</v>
      </c>
      <c r="BP113" s="442">
        <f t="shared" si="647"/>
        <v>41.779532620173548</v>
      </c>
      <c r="BQ113" s="747">
        <f t="shared" si="651"/>
        <v>3487.7310117165239</v>
      </c>
      <c r="BR113" s="51">
        <f t="shared" si="570"/>
        <v>1115</v>
      </c>
      <c r="BS113" s="103">
        <f t="shared" ref="BS113:BS117" si="940">BS112</f>
        <v>1047</v>
      </c>
      <c r="BT113" s="46">
        <f t="shared" si="737"/>
        <v>68</v>
      </c>
      <c r="BU113" s="51">
        <f t="shared" si="571"/>
        <v>86</v>
      </c>
      <c r="BV113" s="103">
        <f t="shared" ref="BV113:BV117" si="941">BV112</f>
        <v>77</v>
      </c>
      <c r="BW113" s="46">
        <f t="shared" si="661"/>
        <v>9</v>
      </c>
      <c r="BY113" s="120">
        <f t="shared" ref="BY113:BY116" si="942">BY112+1</f>
        <v>10</v>
      </c>
      <c r="BZ113" s="7">
        <f t="shared" ref="BZ113:BZ117" si="943">BZ112</f>
        <v>15</v>
      </c>
      <c r="CA113" s="133"/>
      <c r="CB113" s="14">
        <f t="shared" si="662"/>
        <v>14587</v>
      </c>
      <c r="CC113" s="59">
        <f t="shared" si="682"/>
        <v>14586</v>
      </c>
      <c r="CD113" s="405"/>
      <c r="CE113" s="406">
        <v>1</v>
      </c>
      <c r="CF113" s="406"/>
      <c r="CG113" s="14">
        <f t="shared" si="683"/>
        <v>1</v>
      </c>
      <c r="CH113" s="14">
        <f t="shared" si="663"/>
        <v>70</v>
      </c>
      <c r="CI113" s="14">
        <f t="shared" si="572"/>
        <v>0.16</v>
      </c>
      <c r="CJ113" s="47">
        <f t="shared" si="782"/>
        <v>6.8554192088846229E-3</v>
      </c>
      <c r="CK113" s="35">
        <f t="shared" si="573"/>
        <v>4.0000000000000009</v>
      </c>
      <c r="CL113" s="157">
        <f t="shared" si="783"/>
        <v>0.47762008733624456</v>
      </c>
      <c r="CM113" s="134">
        <v>925</v>
      </c>
      <c r="CN113" s="14">
        <f t="shared" si="574"/>
        <v>67</v>
      </c>
      <c r="CO113" s="442">
        <f t="shared" si="784"/>
        <v>63.412627682182766</v>
      </c>
      <c r="CP113" s="68">
        <f t="shared" si="649"/>
        <v>1848.4522700018442</v>
      </c>
      <c r="CQ113" s="51">
        <f t="shared" si="575"/>
        <v>1115</v>
      </c>
      <c r="CR113" s="103">
        <f t="shared" ref="CR113:CR117" si="944">CR112</f>
        <v>0</v>
      </c>
      <c r="CS113" s="46">
        <f t="shared" si="738"/>
        <v>1115</v>
      </c>
      <c r="CT113" s="51">
        <f t="shared" si="576"/>
        <v>86</v>
      </c>
      <c r="CU113" s="103">
        <f t="shared" ref="CU113:CU117" si="945">CU112</f>
        <v>0</v>
      </c>
      <c r="CV113" s="46">
        <f t="shared" si="625"/>
        <v>86</v>
      </c>
      <c r="CX113" s="120">
        <f t="shared" ref="CX113:CX116" si="946">CX112+1</f>
        <v>10</v>
      </c>
      <c r="CY113" s="7">
        <f t="shared" ref="CY113:CY117" si="947">CY112</f>
        <v>15</v>
      </c>
      <c r="CZ113" s="133"/>
      <c r="DA113" s="14">
        <f t="shared" si="925"/>
        <v>14673</v>
      </c>
      <c r="DB113" s="59">
        <f t="shared" si="486"/>
        <v>14672</v>
      </c>
      <c r="DC113" s="405"/>
      <c r="DD113" s="406">
        <v>1</v>
      </c>
      <c r="DE113" s="406"/>
      <c r="DF113" s="14">
        <f t="shared" si="684"/>
        <v>1</v>
      </c>
      <c r="DG113" s="14">
        <f t="shared" si="880"/>
        <v>55</v>
      </c>
      <c r="DH113" s="14">
        <f t="shared" si="577"/>
        <v>0.16</v>
      </c>
      <c r="DI113" s="47">
        <f t="shared" si="785"/>
        <v>6.8152388741225377E-3</v>
      </c>
      <c r="DJ113" s="35">
        <f t="shared" si="578"/>
        <v>4.0000000000000009</v>
      </c>
      <c r="DK113" s="157">
        <f t="shared" si="786"/>
        <v>0.37356517014195478</v>
      </c>
      <c r="DL113" s="134">
        <v>1850</v>
      </c>
      <c r="DM113" s="14">
        <f t="shared" si="579"/>
        <v>67</v>
      </c>
      <c r="DN113" s="442">
        <f t="shared" si="787"/>
        <v>126.08191917126696</v>
      </c>
      <c r="DO113" s="68">
        <f t="shared" si="666"/>
        <v>1926.8980951335211</v>
      </c>
      <c r="DP113" s="51">
        <f t="shared" si="580"/>
        <v>1115</v>
      </c>
      <c r="DQ113" s="103">
        <f t="shared" ref="DQ113:DQ117" si="948">DQ112</f>
        <v>1100</v>
      </c>
      <c r="DR113" s="46">
        <f t="shared" si="739"/>
        <v>15</v>
      </c>
      <c r="DS113" s="51">
        <f t="shared" si="581"/>
        <v>86</v>
      </c>
      <c r="DT113" s="103">
        <f t="shared" ref="DT113:DT117" si="949">DT112</f>
        <v>78</v>
      </c>
      <c r="DU113" s="46">
        <f t="shared" si="654"/>
        <v>8</v>
      </c>
      <c r="DW113" s="120">
        <f t="shared" ref="DW113:DW116" si="950">DW112+1</f>
        <v>10</v>
      </c>
      <c r="DX113" s="7">
        <f t="shared" ref="DX113:DX117" si="951">DX112</f>
        <v>15</v>
      </c>
      <c r="DY113" s="133"/>
      <c r="DZ113" s="14">
        <f t="shared" si="926"/>
        <v>14471</v>
      </c>
      <c r="EA113" s="59">
        <f t="shared" si="487"/>
        <v>14468</v>
      </c>
      <c r="EB113" s="405"/>
      <c r="EC113" s="406">
        <v>3</v>
      </c>
      <c r="ED113" s="406"/>
      <c r="EE113" s="14">
        <f t="shared" si="686"/>
        <v>3</v>
      </c>
      <c r="EF113" s="14">
        <f t="shared" si="881"/>
        <v>79</v>
      </c>
      <c r="EG113" s="14">
        <f t="shared" si="582"/>
        <v>0.16</v>
      </c>
      <c r="EH113" s="47">
        <f t="shared" si="788"/>
        <v>2.0731117407228248E-2</v>
      </c>
      <c r="EI113" s="35">
        <f t="shared" si="583"/>
        <v>4.0000000000000009</v>
      </c>
      <c r="EJ113" s="157">
        <f t="shared" si="800"/>
        <v>0.54332874828060518</v>
      </c>
      <c r="EK113" s="134">
        <v>1480</v>
      </c>
      <c r="EL113" s="14">
        <f t="shared" si="584"/>
        <v>67</v>
      </c>
      <c r="EM113" s="442">
        <f t="shared" si="789"/>
        <v>102.27351254232603</v>
      </c>
      <c r="EN113" s="68">
        <f t="shared" si="669"/>
        <v>2169.1784533438276</v>
      </c>
      <c r="EO113" s="51">
        <f t="shared" si="585"/>
        <v>1115</v>
      </c>
      <c r="EP113" s="103">
        <f t="shared" ref="EP113:EP117" si="952">EP112</f>
        <v>1100</v>
      </c>
      <c r="EQ113" s="46">
        <f t="shared" si="740"/>
        <v>15</v>
      </c>
      <c r="ER113" s="51">
        <f t="shared" si="586"/>
        <v>86</v>
      </c>
      <c r="ES113" s="103">
        <f t="shared" ref="ES113:ES117" si="953">ES112</f>
        <v>78</v>
      </c>
      <c r="ET113" s="46">
        <f t="shared" si="655"/>
        <v>8</v>
      </c>
      <c r="EV113" s="120">
        <f t="shared" ref="EV113:EV116" si="954">EV112+1</f>
        <v>10</v>
      </c>
      <c r="EW113" s="7">
        <f t="shared" ref="EW113:EW117" si="955">EW112</f>
        <v>15</v>
      </c>
      <c r="EX113" s="133"/>
      <c r="EY113" s="14">
        <f t="shared" si="927"/>
        <v>14172</v>
      </c>
      <c r="EZ113" s="59">
        <f t="shared" si="488"/>
        <v>14169</v>
      </c>
      <c r="FA113" s="405"/>
      <c r="FB113" s="406">
        <v>3</v>
      </c>
      <c r="FC113" s="406"/>
      <c r="FD113" s="14">
        <f t="shared" si="688"/>
        <v>3</v>
      </c>
      <c r="FE113" s="14">
        <f t="shared" si="882"/>
        <v>69</v>
      </c>
      <c r="FF113" s="14">
        <f t="shared" si="587"/>
        <v>0.16</v>
      </c>
      <c r="FG113" s="47">
        <f t="shared" si="790"/>
        <v>2.1168501270110076E-2</v>
      </c>
      <c r="FH113" s="35">
        <f t="shared" si="588"/>
        <v>4.0000000000000009</v>
      </c>
      <c r="FI113" s="157">
        <f t="shared" si="801"/>
        <v>0.48472075869336145</v>
      </c>
      <c r="FJ113" s="134">
        <v>1295</v>
      </c>
      <c r="FK113" s="14">
        <f t="shared" si="589"/>
        <v>67</v>
      </c>
      <c r="FL113" s="442">
        <f t="shared" si="792"/>
        <v>91.377363815975173</v>
      </c>
      <c r="FM113" s="68">
        <f t="shared" si="672"/>
        <v>2241.2879282406939</v>
      </c>
      <c r="FN113" s="51">
        <f t="shared" si="590"/>
        <v>1115</v>
      </c>
      <c r="FO113" s="103">
        <f t="shared" ref="FO113:FO117" si="956">FO112</f>
        <v>1100</v>
      </c>
      <c r="FP113" s="46">
        <f t="shared" si="741"/>
        <v>15</v>
      </c>
      <c r="FQ113" s="51">
        <f t="shared" si="591"/>
        <v>86</v>
      </c>
      <c r="FR113" s="103">
        <f t="shared" ref="FR113:FR117" si="957">FR112</f>
        <v>78</v>
      </c>
      <c r="FS113" s="46">
        <f t="shared" si="656"/>
        <v>8</v>
      </c>
      <c r="FU113" s="120">
        <f t="shared" ref="FU113:FU116" si="958">FU112+1</f>
        <v>10</v>
      </c>
      <c r="FV113" s="7">
        <f t="shared" ref="FV113:FV117" si="959">FV112</f>
        <v>15</v>
      </c>
      <c r="FW113" s="133"/>
      <c r="FX113" s="14">
        <f t="shared" si="928"/>
        <v>14150</v>
      </c>
      <c r="FY113" s="59">
        <f t="shared" si="489"/>
        <v>14149</v>
      </c>
      <c r="FZ113" s="405"/>
      <c r="GA113" s="406">
        <v>1</v>
      </c>
      <c r="GB113" s="406"/>
      <c r="GC113" s="14">
        <f t="shared" si="690"/>
        <v>1</v>
      </c>
      <c r="GD113" s="14">
        <f t="shared" si="883"/>
        <v>42</v>
      </c>
      <c r="GE113" s="14">
        <f t="shared" si="592"/>
        <v>0.16</v>
      </c>
      <c r="GF113" s="47">
        <f t="shared" si="793"/>
        <v>7.0671378091872791E-3</v>
      </c>
      <c r="GG113" s="35">
        <f t="shared" si="593"/>
        <v>4.0000000000000009</v>
      </c>
      <c r="GH113" s="157">
        <f t="shared" si="802"/>
        <v>0.29600394671928959</v>
      </c>
      <c r="GI113" s="134">
        <v>925</v>
      </c>
      <c r="GJ113" s="14">
        <f t="shared" si="594"/>
        <v>67</v>
      </c>
      <c r="GK113" s="442">
        <f t="shared" si="795"/>
        <v>65.371024734982342</v>
      </c>
      <c r="GL113" s="68">
        <f t="shared" si="675"/>
        <v>1985.0145501895634</v>
      </c>
      <c r="GM113" s="51">
        <f t="shared" si="595"/>
        <v>1115</v>
      </c>
      <c r="GN113" s="103">
        <f t="shared" ref="GN113:GN117" si="960">GN112</f>
        <v>1100</v>
      </c>
      <c r="GO113" s="46">
        <f t="shared" si="742"/>
        <v>15</v>
      </c>
      <c r="GP113" s="51">
        <f t="shared" si="596"/>
        <v>86</v>
      </c>
      <c r="GQ113" s="103">
        <f t="shared" ref="GQ113:GQ117" si="961">GQ112</f>
        <v>78</v>
      </c>
      <c r="GR113" s="46">
        <f t="shared" si="657"/>
        <v>8</v>
      </c>
      <c r="GT113" s="120">
        <f t="shared" ref="GT113:GT116" si="962">GT112+1</f>
        <v>10</v>
      </c>
      <c r="GU113" s="7">
        <f t="shared" ref="GU113:GU117" si="963">GU112</f>
        <v>15</v>
      </c>
      <c r="GV113" s="133"/>
      <c r="GW113" s="14">
        <f t="shared" si="929"/>
        <v>9151</v>
      </c>
      <c r="GX113" s="59">
        <f t="shared" si="490"/>
        <v>9150</v>
      </c>
      <c r="GY113" s="405"/>
      <c r="GZ113" s="406">
        <v>1</v>
      </c>
      <c r="HA113" s="406"/>
      <c r="HB113" s="14">
        <f t="shared" si="692"/>
        <v>1</v>
      </c>
      <c r="HC113" s="14">
        <f t="shared" si="884"/>
        <v>32</v>
      </c>
      <c r="HD113" s="14">
        <f t="shared" si="597"/>
        <v>0.16</v>
      </c>
      <c r="HE113" s="47">
        <f t="shared" si="796"/>
        <v>1.0927767457108512E-2</v>
      </c>
      <c r="HF113" s="35">
        <f t="shared" si="598"/>
        <v>4.0000000000000009</v>
      </c>
      <c r="HG113" s="157">
        <f t="shared" si="803"/>
        <v>0.34850795033761706</v>
      </c>
      <c r="HH113" s="134">
        <v>1110</v>
      </c>
      <c r="HI113" s="14">
        <f t="shared" si="599"/>
        <v>67</v>
      </c>
      <c r="HJ113" s="442">
        <f t="shared" si="798"/>
        <v>121.29821877390449</v>
      </c>
      <c r="HK113" s="68">
        <f t="shared" si="678"/>
        <v>2180.7086958381287</v>
      </c>
      <c r="HL113" s="51">
        <f t="shared" si="600"/>
        <v>1115</v>
      </c>
      <c r="HM113" s="103">
        <f t="shared" ref="HM113:HM117" si="964">HM112</f>
        <v>1100</v>
      </c>
      <c r="HN113" s="46">
        <f t="shared" si="743"/>
        <v>15</v>
      </c>
      <c r="HO113" s="51">
        <f t="shared" si="601"/>
        <v>86</v>
      </c>
      <c r="HP113" s="103">
        <f t="shared" ref="HP113:HP117" si="965">HP112</f>
        <v>78</v>
      </c>
      <c r="HQ113" s="46">
        <f t="shared" si="658"/>
        <v>8</v>
      </c>
    </row>
    <row r="114" spans="1:225" ht="17.25" thickBot="1" x14ac:dyDescent="0.3">
      <c r="B114" s="120">
        <f t="shared" si="930"/>
        <v>11</v>
      </c>
      <c r="C114" s="570">
        <f t="shared" si="931"/>
        <v>15</v>
      </c>
      <c r="D114" s="133"/>
      <c r="E114" s="408">
        <f t="shared" si="696"/>
        <v>68543</v>
      </c>
      <c r="F114" s="562">
        <f t="shared" si="555"/>
        <v>68543</v>
      </c>
      <c r="G114" s="134"/>
      <c r="H114" s="135"/>
      <c r="I114" s="135"/>
      <c r="J114" s="14">
        <f t="shared" si="679"/>
        <v>0</v>
      </c>
      <c r="K114" s="14">
        <f t="shared" si="604"/>
        <v>5542</v>
      </c>
      <c r="L114" s="14">
        <f t="shared" si="556"/>
        <v>0.16</v>
      </c>
      <c r="M114" s="47">
        <f t="shared" si="605"/>
        <v>0</v>
      </c>
      <c r="N114" s="35">
        <f t="shared" si="557"/>
        <v>4.0000000000000009</v>
      </c>
      <c r="O114" s="132">
        <f t="shared" si="606"/>
        <v>4.1090507366188938</v>
      </c>
      <c r="P114" s="142"/>
      <c r="Q114" s="14">
        <f t="shared" si="558"/>
        <v>67</v>
      </c>
      <c r="R114" s="482">
        <f t="shared" si="877"/>
        <v>0</v>
      </c>
      <c r="S114" s="470">
        <f t="shared" si="650"/>
        <v>3520.2686172807612</v>
      </c>
      <c r="T114" s="51">
        <f t="shared" si="560"/>
        <v>1115</v>
      </c>
      <c r="U114" s="103">
        <f t="shared" si="932"/>
        <v>0</v>
      </c>
      <c r="V114" s="46">
        <f t="shared" si="608"/>
        <v>1115</v>
      </c>
      <c r="W114" s="12">
        <f t="shared" si="878"/>
        <v>86</v>
      </c>
      <c r="X114" s="103">
        <f t="shared" si="933"/>
        <v>0</v>
      </c>
      <c r="Y114" s="46">
        <f t="shared" si="610"/>
        <v>86</v>
      </c>
      <c r="Z114" s="487"/>
      <c r="AA114" s="120">
        <f t="shared" si="934"/>
        <v>11</v>
      </c>
      <c r="AB114" s="7">
        <f t="shared" si="935"/>
        <v>15</v>
      </c>
      <c r="AC114" s="133"/>
      <c r="AD114" s="48">
        <f t="shared" si="879"/>
        <v>59287</v>
      </c>
      <c r="AE114" s="49">
        <f t="shared" si="484"/>
        <v>59287</v>
      </c>
      <c r="AF114" s="134"/>
      <c r="AG114" s="135"/>
      <c r="AH114" s="135"/>
      <c r="AI114" s="14">
        <f t="shared" si="889"/>
        <v>0</v>
      </c>
      <c r="AJ114" s="14">
        <f t="shared" si="910"/>
        <v>6432</v>
      </c>
      <c r="AK114" s="14">
        <f t="shared" si="562"/>
        <v>0.16</v>
      </c>
      <c r="AL114" s="47">
        <f t="shared" si="613"/>
        <v>0</v>
      </c>
      <c r="AM114" s="35">
        <f t="shared" si="563"/>
        <v>4.0000000000000009</v>
      </c>
      <c r="AN114" s="157">
        <f t="shared" si="659"/>
        <v>4.1990912414477464</v>
      </c>
      <c r="AO114" s="134"/>
      <c r="AP114" s="14">
        <f t="shared" si="564"/>
        <v>67</v>
      </c>
      <c r="AQ114" s="482">
        <f t="shared" si="614"/>
        <v>0</v>
      </c>
      <c r="AR114" s="470">
        <f t="shared" si="799"/>
        <v>3681.7427283987504</v>
      </c>
      <c r="AS114" s="51">
        <f t="shared" si="565"/>
        <v>1115</v>
      </c>
      <c r="AT114" s="103">
        <f t="shared" si="936"/>
        <v>1066</v>
      </c>
      <c r="AU114" s="46">
        <f t="shared" si="736"/>
        <v>49</v>
      </c>
      <c r="AV114" s="12">
        <f t="shared" si="566"/>
        <v>86</v>
      </c>
      <c r="AW114" s="103">
        <f t="shared" si="937"/>
        <v>81</v>
      </c>
      <c r="AX114" s="46">
        <f t="shared" si="660"/>
        <v>5</v>
      </c>
      <c r="AZ114" s="120">
        <f t="shared" si="938"/>
        <v>11</v>
      </c>
      <c r="BA114" s="7">
        <f t="shared" si="939"/>
        <v>15</v>
      </c>
      <c r="BB114" s="133"/>
      <c r="BC114" s="48">
        <f t="shared" si="518"/>
        <v>65336</v>
      </c>
      <c r="BD114" s="49">
        <f t="shared" si="485"/>
        <v>65336</v>
      </c>
      <c r="BE114" s="134"/>
      <c r="BF114" s="135"/>
      <c r="BG114" s="135"/>
      <c r="BH114" s="14">
        <f t="shared" si="893"/>
        <v>0</v>
      </c>
      <c r="BI114" s="14">
        <f t="shared" si="912"/>
        <v>1255</v>
      </c>
      <c r="BJ114" s="14">
        <f t="shared" si="567"/>
        <v>0.16</v>
      </c>
      <c r="BK114" s="47">
        <f t="shared" si="646"/>
        <v>0</v>
      </c>
      <c r="BL114" s="35">
        <f t="shared" si="568"/>
        <v>4.0000000000000009</v>
      </c>
      <c r="BM114" s="132">
        <f t="shared" si="840"/>
        <v>1.757703081232493</v>
      </c>
      <c r="BN114" s="134"/>
      <c r="BO114" s="14">
        <f t="shared" si="569"/>
        <v>67</v>
      </c>
      <c r="BP114" s="442">
        <f t="shared" si="647"/>
        <v>0</v>
      </c>
      <c r="BQ114" s="747">
        <f t="shared" si="651"/>
        <v>3487.7310117165239</v>
      </c>
      <c r="BR114" s="51">
        <f t="shared" si="570"/>
        <v>1115</v>
      </c>
      <c r="BS114" s="103">
        <f t="shared" si="940"/>
        <v>1047</v>
      </c>
      <c r="BT114" s="46">
        <f t="shared" si="737"/>
        <v>68</v>
      </c>
      <c r="BU114" s="12">
        <f t="shared" si="571"/>
        <v>86</v>
      </c>
      <c r="BV114" s="103">
        <f t="shared" si="941"/>
        <v>77</v>
      </c>
      <c r="BW114" s="46">
        <f t="shared" si="661"/>
        <v>9</v>
      </c>
      <c r="BY114" s="120">
        <f t="shared" si="942"/>
        <v>11</v>
      </c>
      <c r="BZ114" s="7">
        <f t="shared" si="943"/>
        <v>15</v>
      </c>
      <c r="CA114" s="133"/>
      <c r="CB114" s="14">
        <f t="shared" si="662"/>
        <v>14586</v>
      </c>
      <c r="CC114" s="46">
        <f t="shared" si="682"/>
        <v>14583</v>
      </c>
      <c r="CD114" s="405"/>
      <c r="CE114" s="406">
        <v>3</v>
      </c>
      <c r="CF114" s="406"/>
      <c r="CG114" s="14">
        <f t="shared" si="683"/>
        <v>3</v>
      </c>
      <c r="CH114" s="14">
        <f t="shared" si="663"/>
        <v>73</v>
      </c>
      <c r="CI114" s="14">
        <f t="shared" si="572"/>
        <v>0.16</v>
      </c>
      <c r="CJ114" s="47">
        <f t="shared" si="782"/>
        <v>2.0567667626491155E-2</v>
      </c>
      <c r="CK114" s="35">
        <f t="shared" si="573"/>
        <v>4.0000000000000009</v>
      </c>
      <c r="CL114" s="157">
        <f t="shared" si="783"/>
        <v>0.49808951965065501</v>
      </c>
      <c r="CM114" s="134">
        <v>1850</v>
      </c>
      <c r="CN114" s="14">
        <f t="shared" si="574"/>
        <v>67</v>
      </c>
      <c r="CO114" s="442">
        <f t="shared" si="784"/>
        <v>126.83395036336212</v>
      </c>
      <c r="CP114" s="68">
        <f t="shared" si="649"/>
        <v>1975.2862203652064</v>
      </c>
      <c r="CQ114" s="51">
        <f t="shared" si="575"/>
        <v>1115</v>
      </c>
      <c r="CR114" s="103">
        <f t="shared" si="944"/>
        <v>0</v>
      </c>
      <c r="CS114" s="46">
        <f t="shared" si="738"/>
        <v>1115</v>
      </c>
      <c r="CT114" s="51">
        <f t="shared" si="576"/>
        <v>86</v>
      </c>
      <c r="CU114" s="103">
        <f t="shared" si="945"/>
        <v>0</v>
      </c>
      <c r="CV114" s="46">
        <f t="shared" si="625"/>
        <v>86</v>
      </c>
      <c r="CX114" s="120">
        <f t="shared" si="946"/>
        <v>11</v>
      </c>
      <c r="CY114" s="7">
        <f t="shared" si="947"/>
        <v>15</v>
      </c>
      <c r="CZ114" s="133"/>
      <c r="DA114" s="14">
        <f t="shared" si="925"/>
        <v>14672</v>
      </c>
      <c r="DB114" s="46">
        <f t="shared" si="486"/>
        <v>14671</v>
      </c>
      <c r="DC114" s="405"/>
      <c r="DD114" s="406">
        <v>1</v>
      </c>
      <c r="DE114" s="406"/>
      <c r="DF114" s="14">
        <f t="shared" si="684"/>
        <v>1</v>
      </c>
      <c r="DG114" s="14">
        <f t="shared" si="880"/>
        <v>56</v>
      </c>
      <c r="DH114" s="14">
        <f t="shared" si="577"/>
        <v>0.16</v>
      </c>
      <c r="DI114" s="47">
        <f t="shared" si="785"/>
        <v>6.8157033805888766E-3</v>
      </c>
      <c r="DJ114" s="35">
        <f t="shared" si="578"/>
        <v>4.0000000000000009</v>
      </c>
      <c r="DK114" s="157">
        <f t="shared" si="786"/>
        <v>0.38035726414453574</v>
      </c>
      <c r="DL114" s="134">
        <v>1850</v>
      </c>
      <c r="DM114" s="14">
        <f t="shared" si="579"/>
        <v>67</v>
      </c>
      <c r="DN114" s="442">
        <f t="shared" si="787"/>
        <v>126.09051254089424</v>
      </c>
      <c r="DO114" s="68">
        <f t="shared" si="666"/>
        <v>2052.9886076744156</v>
      </c>
      <c r="DP114" s="51">
        <f t="shared" si="580"/>
        <v>1115</v>
      </c>
      <c r="DQ114" s="103">
        <f t="shared" si="948"/>
        <v>1100</v>
      </c>
      <c r="DR114" s="46">
        <f t="shared" si="739"/>
        <v>15</v>
      </c>
      <c r="DS114" s="51">
        <f t="shared" si="581"/>
        <v>86</v>
      </c>
      <c r="DT114" s="103">
        <f t="shared" si="949"/>
        <v>78</v>
      </c>
      <c r="DU114" s="46">
        <f t="shared" si="654"/>
        <v>8</v>
      </c>
      <c r="DW114" s="120">
        <f t="shared" si="950"/>
        <v>11</v>
      </c>
      <c r="DX114" s="7">
        <f t="shared" si="951"/>
        <v>15</v>
      </c>
      <c r="DY114" s="133"/>
      <c r="DZ114" s="14">
        <f t="shared" si="926"/>
        <v>14468</v>
      </c>
      <c r="EA114" s="46">
        <f t="shared" si="487"/>
        <v>14466</v>
      </c>
      <c r="EB114" s="405"/>
      <c r="EC114" s="406">
        <v>2</v>
      </c>
      <c r="ED114" s="406"/>
      <c r="EE114" s="14">
        <f t="shared" si="686"/>
        <v>2</v>
      </c>
      <c r="EF114" s="14">
        <f t="shared" si="881"/>
        <v>81</v>
      </c>
      <c r="EG114" s="14">
        <f t="shared" si="582"/>
        <v>0.16</v>
      </c>
      <c r="EH114" s="47">
        <f t="shared" si="788"/>
        <v>1.3823610727121923E-2</v>
      </c>
      <c r="EI114" s="35">
        <f t="shared" si="583"/>
        <v>4.0000000000000009</v>
      </c>
      <c r="EJ114" s="157">
        <f t="shared" si="800"/>
        <v>0.55708390646492434</v>
      </c>
      <c r="EK114" s="134">
        <v>1850</v>
      </c>
      <c r="EL114" s="14">
        <f t="shared" si="584"/>
        <v>67</v>
      </c>
      <c r="EM114" s="442">
        <f t="shared" si="789"/>
        <v>127.86839922587781</v>
      </c>
      <c r="EN114" s="68">
        <f t="shared" si="669"/>
        <v>2297.0468525697056</v>
      </c>
      <c r="EO114" s="51">
        <f t="shared" si="585"/>
        <v>1115</v>
      </c>
      <c r="EP114" s="103">
        <f t="shared" si="952"/>
        <v>1100</v>
      </c>
      <c r="EQ114" s="46">
        <f t="shared" si="740"/>
        <v>15</v>
      </c>
      <c r="ER114" s="51">
        <f t="shared" si="586"/>
        <v>86</v>
      </c>
      <c r="ES114" s="103">
        <f t="shared" si="953"/>
        <v>78</v>
      </c>
      <c r="ET114" s="46">
        <f t="shared" si="655"/>
        <v>8</v>
      </c>
      <c r="EV114" s="120">
        <f t="shared" si="954"/>
        <v>11</v>
      </c>
      <c r="EW114" s="7">
        <f t="shared" si="955"/>
        <v>15</v>
      </c>
      <c r="EX114" s="133"/>
      <c r="EY114" s="14">
        <f t="shared" si="927"/>
        <v>14169</v>
      </c>
      <c r="EZ114" s="46">
        <f t="shared" si="488"/>
        <v>14167</v>
      </c>
      <c r="FA114" s="405"/>
      <c r="FB114" s="406">
        <v>2</v>
      </c>
      <c r="FC114" s="406"/>
      <c r="FD114" s="14">
        <f t="shared" si="688"/>
        <v>2</v>
      </c>
      <c r="FE114" s="14">
        <f t="shared" si="882"/>
        <v>71</v>
      </c>
      <c r="FF114" s="14">
        <f t="shared" si="587"/>
        <v>0.16</v>
      </c>
      <c r="FG114" s="47">
        <f t="shared" si="790"/>
        <v>1.411532218222881E-2</v>
      </c>
      <c r="FH114" s="35">
        <f t="shared" si="588"/>
        <v>4.0000000000000009</v>
      </c>
      <c r="FI114" s="157">
        <f t="shared" si="801"/>
        <v>0.49877063575693714</v>
      </c>
      <c r="FJ114" s="134">
        <v>2775</v>
      </c>
      <c r="FK114" s="14">
        <f t="shared" si="589"/>
        <v>67</v>
      </c>
      <c r="FL114" s="442">
        <f t="shared" si="792"/>
        <v>195.85009527842473</v>
      </c>
      <c r="FM114" s="68">
        <f t="shared" si="672"/>
        <v>2437.1380235191186</v>
      </c>
      <c r="FN114" s="51">
        <f t="shared" si="590"/>
        <v>1115</v>
      </c>
      <c r="FO114" s="103">
        <f t="shared" si="956"/>
        <v>1100</v>
      </c>
      <c r="FP114" s="46">
        <f t="shared" si="741"/>
        <v>15</v>
      </c>
      <c r="FQ114" s="51">
        <f t="shared" si="591"/>
        <v>86</v>
      </c>
      <c r="FR114" s="103">
        <f t="shared" si="957"/>
        <v>78</v>
      </c>
      <c r="FS114" s="46">
        <f t="shared" si="656"/>
        <v>8</v>
      </c>
      <c r="FU114" s="120">
        <f t="shared" si="958"/>
        <v>11</v>
      </c>
      <c r="FV114" s="7">
        <f t="shared" si="959"/>
        <v>15</v>
      </c>
      <c r="FW114" s="133"/>
      <c r="FX114" s="14">
        <f t="shared" si="928"/>
        <v>14149</v>
      </c>
      <c r="FY114" s="46">
        <f t="shared" si="489"/>
        <v>14147</v>
      </c>
      <c r="FZ114" s="405"/>
      <c r="GA114" s="406">
        <v>2</v>
      </c>
      <c r="GB114" s="406"/>
      <c r="GC114" s="14">
        <f t="shared" si="690"/>
        <v>2</v>
      </c>
      <c r="GD114" s="14">
        <f t="shared" si="883"/>
        <v>44</v>
      </c>
      <c r="GE114" s="14">
        <f t="shared" si="592"/>
        <v>0.16</v>
      </c>
      <c r="GF114" s="47">
        <f t="shared" si="793"/>
        <v>1.4135274577708672E-2</v>
      </c>
      <c r="GG114" s="35">
        <f t="shared" si="593"/>
        <v>4.0000000000000009</v>
      </c>
      <c r="GH114" s="157">
        <f t="shared" si="802"/>
        <v>0.31009937275354149</v>
      </c>
      <c r="GI114" s="134">
        <v>1850</v>
      </c>
      <c r="GJ114" s="14">
        <f t="shared" si="594"/>
        <v>67</v>
      </c>
      <c r="GK114" s="442">
        <f t="shared" si="795"/>
        <v>130.75128984380521</v>
      </c>
      <c r="GL114" s="68">
        <f t="shared" si="675"/>
        <v>2115.7658400333685</v>
      </c>
      <c r="GM114" s="51">
        <f t="shared" si="595"/>
        <v>1115</v>
      </c>
      <c r="GN114" s="103">
        <f t="shared" si="960"/>
        <v>1100</v>
      </c>
      <c r="GO114" s="46">
        <f t="shared" si="742"/>
        <v>15</v>
      </c>
      <c r="GP114" s="51">
        <f t="shared" si="596"/>
        <v>86</v>
      </c>
      <c r="GQ114" s="103">
        <f t="shared" si="961"/>
        <v>78</v>
      </c>
      <c r="GR114" s="46">
        <f t="shared" si="657"/>
        <v>8</v>
      </c>
      <c r="GT114" s="120">
        <f t="shared" si="962"/>
        <v>11</v>
      </c>
      <c r="GU114" s="7">
        <f t="shared" si="963"/>
        <v>15</v>
      </c>
      <c r="GV114" s="133"/>
      <c r="GW114" s="14">
        <f t="shared" si="929"/>
        <v>9150</v>
      </c>
      <c r="GX114" s="46">
        <f t="shared" si="490"/>
        <v>9146</v>
      </c>
      <c r="GY114" s="405"/>
      <c r="GZ114" s="406">
        <v>4</v>
      </c>
      <c r="HA114" s="406"/>
      <c r="HB114" s="14">
        <f t="shared" si="692"/>
        <v>4</v>
      </c>
      <c r="HC114" s="14">
        <f t="shared" si="884"/>
        <v>36</v>
      </c>
      <c r="HD114" s="14">
        <f t="shared" si="597"/>
        <v>0.16</v>
      </c>
      <c r="HE114" s="47">
        <f t="shared" si="796"/>
        <v>4.3715846994535519E-2</v>
      </c>
      <c r="HF114" s="35">
        <f t="shared" si="598"/>
        <v>4.0000000000000009</v>
      </c>
      <c r="HG114" s="157">
        <f t="shared" si="803"/>
        <v>0.3920714441298192</v>
      </c>
      <c r="HH114" s="134">
        <v>740</v>
      </c>
      <c r="HI114" s="14">
        <f t="shared" si="599"/>
        <v>67</v>
      </c>
      <c r="HJ114" s="442">
        <f t="shared" si="798"/>
        <v>80.874316939890704</v>
      </c>
      <c r="HK114" s="68">
        <f t="shared" si="678"/>
        <v>2261.5830127780196</v>
      </c>
      <c r="HL114" s="51">
        <f t="shared" si="600"/>
        <v>1115</v>
      </c>
      <c r="HM114" s="103">
        <f t="shared" si="964"/>
        <v>1100</v>
      </c>
      <c r="HN114" s="46">
        <f t="shared" si="743"/>
        <v>15</v>
      </c>
      <c r="HO114" s="51">
        <f t="shared" si="601"/>
        <v>86</v>
      </c>
      <c r="HP114" s="103">
        <f t="shared" si="965"/>
        <v>78</v>
      </c>
      <c r="HQ114" s="46">
        <f t="shared" si="658"/>
        <v>8</v>
      </c>
    </row>
    <row r="115" spans="1:225" ht="17.25" thickBot="1" x14ac:dyDescent="0.3">
      <c r="B115" s="120">
        <f t="shared" si="930"/>
        <v>12</v>
      </c>
      <c r="C115" s="570">
        <f t="shared" si="931"/>
        <v>15</v>
      </c>
      <c r="D115" s="133"/>
      <c r="E115" s="408">
        <f t="shared" si="696"/>
        <v>68543</v>
      </c>
      <c r="F115" s="562">
        <f t="shared" si="555"/>
        <v>68543</v>
      </c>
      <c r="G115" s="134"/>
      <c r="H115" s="135"/>
      <c r="I115" s="135"/>
      <c r="J115" s="31">
        <f t="shared" si="679"/>
        <v>0</v>
      </c>
      <c r="K115" s="17">
        <f t="shared" si="604"/>
        <v>5542</v>
      </c>
      <c r="L115" s="14">
        <f t="shared" si="556"/>
        <v>0.16</v>
      </c>
      <c r="M115" s="231">
        <f t="shared" si="605"/>
        <v>0</v>
      </c>
      <c r="N115" s="35">
        <f t="shared" si="557"/>
        <v>4.0000000000000009</v>
      </c>
      <c r="O115" s="132">
        <f t="shared" si="606"/>
        <v>4.1090507366188938</v>
      </c>
      <c r="P115" s="142"/>
      <c r="Q115" s="14">
        <f t="shared" si="558"/>
        <v>67</v>
      </c>
      <c r="R115" s="442">
        <f t="shared" si="877"/>
        <v>0</v>
      </c>
      <c r="S115" s="470">
        <f t="shared" si="650"/>
        <v>3520.2686172807612</v>
      </c>
      <c r="T115" s="51">
        <f t="shared" si="560"/>
        <v>1115</v>
      </c>
      <c r="U115" s="103">
        <f t="shared" si="932"/>
        <v>0</v>
      </c>
      <c r="V115" s="46">
        <f t="shared" si="608"/>
        <v>1115</v>
      </c>
      <c r="W115" s="50">
        <f t="shared" si="878"/>
        <v>86</v>
      </c>
      <c r="X115" s="103">
        <f t="shared" si="933"/>
        <v>0</v>
      </c>
      <c r="Y115" s="46">
        <f t="shared" si="610"/>
        <v>86</v>
      </c>
      <c r="Z115" s="487"/>
      <c r="AA115" s="120">
        <f t="shared" si="934"/>
        <v>12</v>
      </c>
      <c r="AB115" s="7">
        <f t="shared" si="935"/>
        <v>15</v>
      </c>
      <c r="AC115" s="133"/>
      <c r="AD115" s="48">
        <f t="shared" si="879"/>
        <v>59287</v>
      </c>
      <c r="AE115" s="49">
        <f t="shared" ref="AE115:AE138" si="966">IFERROR(AD115-AI115,0)</f>
        <v>59287</v>
      </c>
      <c r="AF115" s="134"/>
      <c r="AG115" s="135"/>
      <c r="AH115" s="135"/>
      <c r="AI115" s="31">
        <f t="shared" si="889"/>
        <v>0</v>
      </c>
      <c r="AJ115" s="17">
        <f t="shared" si="910"/>
        <v>6432</v>
      </c>
      <c r="AK115" s="14">
        <f t="shared" si="562"/>
        <v>0.16</v>
      </c>
      <c r="AL115" s="231">
        <f t="shared" si="613"/>
        <v>0</v>
      </c>
      <c r="AM115" s="35">
        <f t="shared" si="563"/>
        <v>4.0000000000000009</v>
      </c>
      <c r="AN115" s="157">
        <f t="shared" si="659"/>
        <v>4.1990912414477464</v>
      </c>
      <c r="AO115" s="134"/>
      <c r="AP115" s="14">
        <f t="shared" si="564"/>
        <v>67</v>
      </c>
      <c r="AQ115" s="442">
        <f t="shared" si="614"/>
        <v>0</v>
      </c>
      <c r="AR115" s="470">
        <f t="shared" si="799"/>
        <v>3681.7427283987504</v>
      </c>
      <c r="AS115" s="51">
        <f t="shared" si="565"/>
        <v>1115</v>
      </c>
      <c r="AT115" s="103">
        <f t="shared" si="936"/>
        <v>1066</v>
      </c>
      <c r="AU115" s="46">
        <f t="shared" si="736"/>
        <v>49</v>
      </c>
      <c r="AV115" s="50">
        <f t="shared" si="566"/>
        <v>86</v>
      </c>
      <c r="AW115" s="103">
        <f t="shared" si="937"/>
        <v>81</v>
      </c>
      <c r="AX115" s="46">
        <f t="shared" si="660"/>
        <v>5</v>
      </c>
      <c r="AZ115" s="120">
        <f t="shared" si="938"/>
        <v>12</v>
      </c>
      <c r="BA115" s="7">
        <f t="shared" si="939"/>
        <v>15</v>
      </c>
      <c r="BB115" s="133"/>
      <c r="BC115" s="48">
        <f t="shared" ref="BC115:BC138" si="967">IFERROR(BD114+BB115,0)</f>
        <v>65336</v>
      </c>
      <c r="BD115" s="49">
        <f t="shared" ref="BD115:BD138" si="968">IFERROR(BC115-BH115,0)</f>
        <v>65336</v>
      </c>
      <c r="BE115" s="134"/>
      <c r="BF115" s="135"/>
      <c r="BG115" s="135"/>
      <c r="BH115" s="31">
        <f t="shared" si="893"/>
        <v>0</v>
      </c>
      <c r="BI115" s="17">
        <f t="shared" si="912"/>
        <v>1255</v>
      </c>
      <c r="BJ115" s="14">
        <f t="shared" si="567"/>
        <v>0.16</v>
      </c>
      <c r="BK115" s="47">
        <f t="shared" si="646"/>
        <v>0</v>
      </c>
      <c r="BL115" s="35">
        <f t="shared" si="568"/>
        <v>4.0000000000000009</v>
      </c>
      <c r="BM115" s="132">
        <f t="shared" si="840"/>
        <v>1.757703081232493</v>
      </c>
      <c r="BN115" s="134"/>
      <c r="BO115" s="14">
        <f t="shared" si="569"/>
        <v>67</v>
      </c>
      <c r="BP115" s="442">
        <f t="shared" si="647"/>
        <v>0</v>
      </c>
      <c r="BQ115" s="747">
        <f t="shared" si="651"/>
        <v>3487.7310117165239</v>
      </c>
      <c r="BR115" s="51">
        <f t="shared" si="570"/>
        <v>1115</v>
      </c>
      <c r="BS115" s="103">
        <f t="shared" si="940"/>
        <v>1047</v>
      </c>
      <c r="BT115" s="46">
        <f t="shared" si="737"/>
        <v>68</v>
      </c>
      <c r="BU115" s="50">
        <f t="shared" si="571"/>
        <v>86</v>
      </c>
      <c r="BV115" s="103">
        <f t="shared" si="941"/>
        <v>77</v>
      </c>
      <c r="BW115" s="46">
        <f t="shared" si="661"/>
        <v>9</v>
      </c>
      <c r="BY115" s="120">
        <f t="shared" si="942"/>
        <v>12</v>
      </c>
      <c r="BZ115" s="7">
        <f t="shared" si="943"/>
        <v>15</v>
      </c>
      <c r="CA115" s="133"/>
      <c r="CB115" s="14">
        <f t="shared" si="662"/>
        <v>14583</v>
      </c>
      <c r="CC115" s="46">
        <f t="shared" si="682"/>
        <v>14583</v>
      </c>
      <c r="CD115" s="405"/>
      <c r="CE115" s="406"/>
      <c r="CF115" s="406"/>
      <c r="CG115" s="31">
        <f t="shared" si="683"/>
        <v>0</v>
      </c>
      <c r="CH115" s="17">
        <f t="shared" si="663"/>
        <v>73</v>
      </c>
      <c r="CI115" s="14">
        <f t="shared" si="572"/>
        <v>0.16</v>
      </c>
      <c r="CJ115" s="47">
        <f t="shared" si="782"/>
        <v>0</v>
      </c>
      <c r="CK115" s="35">
        <f t="shared" si="573"/>
        <v>4.0000000000000009</v>
      </c>
      <c r="CL115" s="157">
        <f t="shared" si="783"/>
        <v>0.49808951965065501</v>
      </c>
      <c r="CM115" s="134"/>
      <c r="CN115" s="14">
        <f t="shared" si="574"/>
        <v>67</v>
      </c>
      <c r="CO115" s="442">
        <f t="shared" si="784"/>
        <v>0</v>
      </c>
      <c r="CP115" s="68">
        <f t="shared" si="649"/>
        <v>1975.2862203652064</v>
      </c>
      <c r="CQ115" s="51">
        <f t="shared" si="575"/>
        <v>1115</v>
      </c>
      <c r="CR115" s="103">
        <f t="shared" si="944"/>
        <v>0</v>
      </c>
      <c r="CS115" s="46">
        <f t="shared" si="738"/>
        <v>1115</v>
      </c>
      <c r="CT115" s="12">
        <f t="shared" si="576"/>
        <v>86</v>
      </c>
      <c r="CU115" s="103">
        <f t="shared" si="945"/>
        <v>0</v>
      </c>
      <c r="CV115" s="46">
        <f t="shared" si="625"/>
        <v>86</v>
      </c>
      <c r="CX115" s="120">
        <f t="shared" si="946"/>
        <v>12</v>
      </c>
      <c r="CY115" s="7">
        <f t="shared" si="947"/>
        <v>15</v>
      </c>
      <c r="CZ115" s="133"/>
      <c r="DA115" s="14">
        <f t="shared" si="925"/>
        <v>14671</v>
      </c>
      <c r="DB115" s="46">
        <f t="shared" si="486"/>
        <v>14671</v>
      </c>
      <c r="DC115" s="405"/>
      <c r="DD115" s="406"/>
      <c r="DE115" s="406"/>
      <c r="DF115" s="31">
        <f t="shared" si="684"/>
        <v>0</v>
      </c>
      <c r="DG115" s="17">
        <f t="shared" si="880"/>
        <v>56</v>
      </c>
      <c r="DH115" s="14">
        <f t="shared" si="577"/>
        <v>0.16</v>
      </c>
      <c r="DI115" s="47">
        <f t="shared" si="785"/>
        <v>0</v>
      </c>
      <c r="DJ115" s="35">
        <f t="shared" si="578"/>
        <v>4.0000000000000009</v>
      </c>
      <c r="DK115" s="157">
        <f t="shared" si="786"/>
        <v>0.38035726414453574</v>
      </c>
      <c r="DL115" s="134"/>
      <c r="DM115" s="14">
        <f t="shared" si="579"/>
        <v>67</v>
      </c>
      <c r="DN115" s="442">
        <f t="shared" si="787"/>
        <v>0</v>
      </c>
      <c r="DO115" s="68">
        <f t="shared" si="666"/>
        <v>2052.9886076744156</v>
      </c>
      <c r="DP115" s="51">
        <f t="shared" si="580"/>
        <v>1115</v>
      </c>
      <c r="DQ115" s="103">
        <f t="shared" si="948"/>
        <v>1100</v>
      </c>
      <c r="DR115" s="46">
        <f t="shared" si="739"/>
        <v>15</v>
      </c>
      <c r="DS115" s="12">
        <f t="shared" si="581"/>
        <v>86</v>
      </c>
      <c r="DT115" s="103">
        <f t="shared" si="949"/>
        <v>78</v>
      </c>
      <c r="DU115" s="46">
        <f t="shared" si="654"/>
        <v>8</v>
      </c>
      <c r="DW115" s="120">
        <f t="shared" si="950"/>
        <v>12</v>
      </c>
      <c r="DX115" s="7">
        <f t="shared" si="951"/>
        <v>15</v>
      </c>
      <c r="DY115" s="133"/>
      <c r="DZ115" s="14">
        <f t="shared" si="926"/>
        <v>14466</v>
      </c>
      <c r="EA115" s="46">
        <f t="shared" si="487"/>
        <v>14466</v>
      </c>
      <c r="EB115" s="405"/>
      <c r="EC115" s="406"/>
      <c r="ED115" s="406"/>
      <c r="EE115" s="31">
        <f t="shared" si="686"/>
        <v>0</v>
      </c>
      <c r="EF115" s="17">
        <f t="shared" si="881"/>
        <v>81</v>
      </c>
      <c r="EG115" s="14">
        <f t="shared" si="582"/>
        <v>0.16</v>
      </c>
      <c r="EH115" s="47">
        <f t="shared" si="788"/>
        <v>0</v>
      </c>
      <c r="EI115" s="35">
        <f t="shared" si="583"/>
        <v>4.0000000000000009</v>
      </c>
      <c r="EJ115" s="157">
        <f t="shared" si="800"/>
        <v>0.55708390646492434</v>
      </c>
      <c r="EK115" s="134"/>
      <c r="EL115" s="14">
        <f t="shared" si="584"/>
        <v>67</v>
      </c>
      <c r="EM115" s="442">
        <f t="shared" si="789"/>
        <v>0</v>
      </c>
      <c r="EN115" s="68">
        <f t="shared" si="669"/>
        <v>2297.0468525697056</v>
      </c>
      <c r="EO115" s="51">
        <f t="shared" si="585"/>
        <v>1115</v>
      </c>
      <c r="EP115" s="103">
        <f t="shared" si="952"/>
        <v>1100</v>
      </c>
      <c r="EQ115" s="46">
        <f t="shared" si="740"/>
        <v>15</v>
      </c>
      <c r="ER115" s="12">
        <f t="shared" si="586"/>
        <v>86</v>
      </c>
      <c r="ES115" s="103">
        <f t="shared" si="953"/>
        <v>78</v>
      </c>
      <c r="ET115" s="46">
        <f t="shared" si="655"/>
        <v>8</v>
      </c>
      <c r="EV115" s="120">
        <f t="shared" si="954"/>
        <v>12</v>
      </c>
      <c r="EW115" s="7">
        <f t="shared" si="955"/>
        <v>15</v>
      </c>
      <c r="EX115" s="133"/>
      <c r="EY115" s="14">
        <f t="shared" si="927"/>
        <v>14167</v>
      </c>
      <c r="EZ115" s="46">
        <f t="shared" si="488"/>
        <v>14167</v>
      </c>
      <c r="FA115" s="405"/>
      <c r="FB115" s="406"/>
      <c r="FC115" s="406"/>
      <c r="FD115" s="31">
        <f t="shared" si="688"/>
        <v>0</v>
      </c>
      <c r="FE115" s="17">
        <f t="shared" si="882"/>
        <v>71</v>
      </c>
      <c r="FF115" s="14">
        <f t="shared" si="587"/>
        <v>0.16</v>
      </c>
      <c r="FG115" s="47">
        <f t="shared" si="790"/>
        <v>0</v>
      </c>
      <c r="FH115" s="35">
        <f t="shared" si="588"/>
        <v>4.0000000000000009</v>
      </c>
      <c r="FI115" s="157">
        <f t="shared" si="801"/>
        <v>0.49877063575693714</v>
      </c>
      <c r="FJ115" s="134"/>
      <c r="FK115" s="14">
        <f t="shared" si="589"/>
        <v>67</v>
      </c>
      <c r="FL115" s="442">
        <f t="shared" si="792"/>
        <v>0</v>
      </c>
      <c r="FM115" s="68">
        <f t="shared" si="672"/>
        <v>2437.1380235191186</v>
      </c>
      <c r="FN115" s="51">
        <f t="shared" si="590"/>
        <v>1115</v>
      </c>
      <c r="FO115" s="103">
        <f t="shared" si="956"/>
        <v>1100</v>
      </c>
      <c r="FP115" s="46">
        <f t="shared" si="741"/>
        <v>15</v>
      </c>
      <c r="FQ115" s="12">
        <f t="shared" si="591"/>
        <v>86</v>
      </c>
      <c r="FR115" s="103">
        <f t="shared" si="957"/>
        <v>78</v>
      </c>
      <c r="FS115" s="46">
        <f t="shared" si="656"/>
        <v>8</v>
      </c>
      <c r="FU115" s="120">
        <f t="shared" si="958"/>
        <v>12</v>
      </c>
      <c r="FV115" s="7">
        <f t="shared" si="959"/>
        <v>15</v>
      </c>
      <c r="FW115" s="133"/>
      <c r="FX115" s="14">
        <f t="shared" si="928"/>
        <v>14147</v>
      </c>
      <c r="FY115" s="46">
        <f t="shared" si="489"/>
        <v>14147</v>
      </c>
      <c r="FZ115" s="405"/>
      <c r="GA115" s="406"/>
      <c r="GB115" s="406"/>
      <c r="GC115" s="31">
        <f t="shared" si="690"/>
        <v>0</v>
      </c>
      <c r="GD115" s="17">
        <f t="shared" si="883"/>
        <v>44</v>
      </c>
      <c r="GE115" s="14">
        <f t="shared" si="592"/>
        <v>0.16</v>
      </c>
      <c r="GF115" s="47">
        <f t="shared" si="793"/>
        <v>0</v>
      </c>
      <c r="GG115" s="35">
        <f t="shared" si="593"/>
        <v>4.0000000000000009</v>
      </c>
      <c r="GH115" s="157">
        <f t="shared" si="802"/>
        <v>0.31009937275354149</v>
      </c>
      <c r="GI115" s="134"/>
      <c r="GJ115" s="14">
        <f t="shared" si="594"/>
        <v>67</v>
      </c>
      <c r="GK115" s="442">
        <f t="shared" si="795"/>
        <v>0</v>
      </c>
      <c r="GL115" s="68">
        <f t="shared" si="675"/>
        <v>2115.7658400333685</v>
      </c>
      <c r="GM115" s="51">
        <f t="shared" si="595"/>
        <v>1115</v>
      </c>
      <c r="GN115" s="103">
        <f t="shared" si="960"/>
        <v>1100</v>
      </c>
      <c r="GO115" s="46">
        <f t="shared" si="742"/>
        <v>15</v>
      </c>
      <c r="GP115" s="12">
        <f t="shared" si="596"/>
        <v>86</v>
      </c>
      <c r="GQ115" s="103">
        <f t="shared" si="961"/>
        <v>78</v>
      </c>
      <c r="GR115" s="46">
        <f t="shared" si="657"/>
        <v>8</v>
      </c>
      <c r="GT115" s="120">
        <f t="shared" si="962"/>
        <v>12</v>
      </c>
      <c r="GU115" s="7">
        <f t="shared" si="963"/>
        <v>15</v>
      </c>
      <c r="GV115" s="133"/>
      <c r="GW115" s="14">
        <f t="shared" si="929"/>
        <v>9146</v>
      </c>
      <c r="GX115" s="46">
        <f t="shared" si="490"/>
        <v>9146</v>
      </c>
      <c r="GY115" s="405"/>
      <c r="GZ115" s="406"/>
      <c r="HA115" s="406"/>
      <c r="HB115" s="31">
        <f t="shared" si="692"/>
        <v>0</v>
      </c>
      <c r="HC115" s="17">
        <f t="shared" si="884"/>
        <v>36</v>
      </c>
      <c r="HD115" s="14">
        <f t="shared" si="597"/>
        <v>0.16</v>
      </c>
      <c r="HE115" s="47">
        <f t="shared" si="796"/>
        <v>0</v>
      </c>
      <c r="HF115" s="35">
        <f t="shared" si="598"/>
        <v>4.0000000000000009</v>
      </c>
      <c r="HG115" s="157">
        <f t="shared" si="803"/>
        <v>0.3920714441298192</v>
      </c>
      <c r="HH115" s="134"/>
      <c r="HI115" s="14">
        <f t="shared" si="599"/>
        <v>67</v>
      </c>
      <c r="HJ115" s="442">
        <f t="shared" si="798"/>
        <v>0</v>
      </c>
      <c r="HK115" s="68">
        <f t="shared" si="678"/>
        <v>2261.5830127780196</v>
      </c>
      <c r="HL115" s="51">
        <f t="shared" si="600"/>
        <v>1115</v>
      </c>
      <c r="HM115" s="103">
        <f t="shared" si="964"/>
        <v>1100</v>
      </c>
      <c r="HN115" s="46">
        <f t="shared" si="743"/>
        <v>15</v>
      </c>
      <c r="HO115" s="12">
        <f t="shared" si="601"/>
        <v>86</v>
      </c>
      <c r="HP115" s="103">
        <f t="shared" si="965"/>
        <v>78</v>
      </c>
      <c r="HQ115" s="46">
        <f t="shared" si="658"/>
        <v>8</v>
      </c>
    </row>
    <row r="116" spans="1:225" ht="17.25" thickBot="1" x14ac:dyDescent="0.3">
      <c r="B116" s="120">
        <f t="shared" si="930"/>
        <v>13</v>
      </c>
      <c r="C116" s="570">
        <f t="shared" si="931"/>
        <v>15</v>
      </c>
      <c r="D116" s="133"/>
      <c r="E116" s="408">
        <f t="shared" si="696"/>
        <v>68543</v>
      </c>
      <c r="F116" s="562">
        <f t="shared" si="555"/>
        <v>68543</v>
      </c>
      <c r="G116" s="134"/>
      <c r="H116" s="135"/>
      <c r="I116" s="135"/>
      <c r="J116" s="14">
        <f t="shared" si="679"/>
        <v>0</v>
      </c>
      <c r="K116" s="14">
        <f t="shared" si="604"/>
        <v>5542</v>
      </c>
      <c r="L116" s="14">
        <f t="shared" si="556"/>
        <v>0.16</v>
      </c>
      <c r="M116" s="230">
        <f t="shared" si="605"/>
        <v>0</v>
      </c>
      <c r="N116" s="35">
        <f t="shared" si="557"/>
        <v>4.0000000000000009</v>
      </c>
      <c r="O116" s="132">
        <f t="shared" si="606"/>
        <v>4.1090507366188938</v>
      </c>
      <c r="P116" s="142"/>
      <c r="Q116" s="14">
        <f t="shared" si="558"/>
        <v>67</v>
      </c>
      <c r="R116" s="480">
        <f t="shared" si="877"/>
        <v>0</v>
      </c>
      <c r="S116" s="470">
        <f t="shared" si="650"/>
        <v>3520.2686172807612</v>
      </c>
      <c r="T116" s="51">
        <f t="shared" si="560"/>
        <v>1115</v>
      </c>
      <c r="U116" s="103">
        <f t="shared" si="932"/>
        <v>0</v>
      </c>
      <c r="V116" s="46">
        <f t="shared" si="608"/>
        <v>1115</v>
      </c>
      <c r="W116" s="50">
        <f t="shared" si="878"/>
        <v>86</v>
      </c>
      <c r="X116" s="103">
        <f t="shared" si="933"/>
        <v>0</v>
      </c>
      <c r="Y116" s="46">
        <f t="shared" si="610"/>
        <v>86</v>
      </c>
      <c r="Z116" s="487"/>
      <c r="AA116" s="120">
        <f t="shared" si="934"/>
        <v>13</v>
      </c>
      <c r="AB116" s="7">
        <f t="shared" si="935"/>
        <v>15</v>
      </c>
      <c r="AC116" s="133"/>
      <c r="AD116" s="48">
        <f t="shared" si="879"/>
        <v>59287</v>
      </c>
      <c r="AE116" s="49">
        <f t="shared" si="966"/>
        <v>59287</v>
      </c>
      <c r="AF116" s="134"/>
      <c r="AG116" s="135"/>
      <c r="AH116" s="135"/>
      <c r="AI116" s="14">
        <f t="shared" si="889"/>
        <v>0</v>
      </c>
      <c r="AJ116" s="14">
        <f t="shared" si="910"/>
        <v>6432</v>
      </c>
      <c r="AK116" s="14">
        <f t="shared" si="562"/>
        <v>0.16</v>
      </c>
      <c r="AL116" s="230">
        <f t="shared" si="613"/>
        <v>0</v>
      </c>
      <c r="AM116" s="35">
        <f t="shared" si="563"/>
        <v>4.0000000000000009</v>
      </c>
      <c r="AN116" s="157">
        <f t="shared" si="659"/>
        <v>4.1990912414477464</v>
      </c>
      <c r="AO116" s="134"/>
      <c r="AP116" s="14">
        <f t="shared" si="564"/>
        <v>67</v>
      </c>
      <c r="AQ116" s="480">
        <f t="shared" si="614"/>
        <v>0</v>
      </c>
      <c r="AR116" s="470">
        <f t="shared" si="799"/>
        <v>3681.7427283987504</v>
      </c>
      <c r="AS116" s="51">
        <f t="shared" si="565"/>
        <v>1115</v>
      </c>
      <c r="AT116" s="103">
        <f t="shared" si="936"/>
        <v>1066</v>
      </c>
      <c r="AU116" s="46">
        <f t="shared" si="736"/>
        <v>49</v>
      </c>
      <c r="AV116" s="50">
        <f t="shared" si="566"/>
        <v>86</v>
      </c>
      <c r="AW116" s="103">
        <f t="shared" si="937"/>
        <v>81</v>
      </c>
      <c r="AX116" s="46">
        <f t="shared" si="660"/>
        <v>5</v>
      </c>
      <c r="AZ116" s="120">
        <f t="shared" si="938"/>
        <v>13</v>
      </c>
      <c r="BA116" s="7">
        <f t="shared" si="939"/>
        <v>15</v>
      </c>
      <c r="BB116" s="133"/>
      <c r="BC116" s="48">
        <f t="shared" si="967"/>
        <v>65336</v>
      </c>
      <c r="BD116" s="49">
        <f t="shared" si="968"/>
        <v>65336</v>
      </c>
      <c r="BE116" s="134"/>
      <c r="BF116" s="135"/>
      <c r="BG116" s="135"/>
      <c r="BH116" s="14">
        <f t="shared" si="893"/>
        <v>0</v>
      </c>
      <c r="BI116" s="14">
        <f t="shared" si="912"/>
        <v>1255</v>
      </c>
      <c r="BJ116" s="14">
        <f t="shared" si="567"/>
        <v>0.16</v>
      </c>
      <c r="BK116" s="47">
        <f t="shared" si="646"/>
        <v>0</v>
      </c>
      <c r="BL116" s="35">
        <f t="shared" si="568"/>
        <v>4.0000000000000009</v>
      </c>
      <c r="BM116" s="132">
        <f t="shared" si="840"/>
        <v>1.757703081232493</v>
      </c>
      <c r="BN116" s="134"/>
      <c r="BO116" s="14">
        <f t="shared" si="569"/>
        <v>67</v>
      </c>
      <c r="BP116" s="442">
        <f t="shared" si="647"/>
        <v>0</v>
      </c>
      <c r="BQ116" s="747">
        <f t="shared" si="651"/>
        <v>3487.7310117165239</v>
      </c>
      <c r="BR116" s="51">
        <f t="shared" si="570"/>
        <v>1115</v>
      </c>
      <c r="BS116" s="103">
        <f t="shared" si="940"/>
        <v>1047</v>
      </c>
      <c r="BT116" s="46">
        <f t="shared" si="737"/>
        <v>68</v>
      </c>
      <c r="BU116" s="50">
        <f t="shared" si="571"/>
        <v>86</v>
      </c>
      <c r="BV116" s="103">
        <f t="shared" si="941"/>
        <v>77</v>
      </c>
      <c r="BW116" s="46">
        <f t="shared" si="661"/>
        <v>9</v>
      </c>
      <c r="BY116" s="120">
        <f t="shared" si="942"/>
        <v>13</v>
      </c>
      <c r="BZ116" s="7">
        <f t="shared" si="943"/>
        <v>15</v>
      </c>
      <c r="CA116" s="133"/>
      <c r="CB116" s="14">
        <f t="shared" si="662"/>
        <v>14583</v>
      </c>
      <c r="CC116" s="46">
        <f t="shared" si="682"/>
        <v>14583</v>
      </c>
      <c r="CD116" s="405"/>
      <c r="CE116" s="406"/>
      <c r="CF116" s="406"/>
      <c r="CG116" s="14">
        <f t="shared" si="683"/>
        <v>0</v>
      </c>
      <c r="CH116" s="14">
        <f t="shared" si="663"/>
        <v>73</v>
      </c>
      <c r="CI116" s="14">
        <f t="shared" si="572"/>
        <v>0.16</v>
      </c>
      <c r="CJ116" s="47">
        <f t="shared" si="782"/>
        <v>0</v>
      </c>
      <c r="CK116" s="35">
        <f t="shared" si="573"/>
        <v>4.0000000000000009</v>
      </c>
      <c r="CL116" s="157">
        <f t="shared" si="783"/>
        <v>0.49808951965065501</v>
      </c>
      <c r="CM116" s="134"/>
      <c r="CN116" s="14">
        <f t="shared" si="574"/>
        <v>67</v>
      </c>
      <c r="CO116" s="442">
        <f t="shared" si="784"/>
        <v>0</v>
      </c>
      <c r="CP116" s="68">
        <f t="shared" si="649"/>
        <v>1975.2862203652064</v>
      </c>
      <c r="CQ116" s="51">
        <f t="shared" si="575"/>
        <v>1115</v>
      </c>
      <c r="CR116" s="103">
        <f t="shared" si="944"/>
        <v>0</v>
      </c>
      <c r="CS116" s="46">
        <f t="shared" si="738"/>
        <v>1115</v>
      </c>
      <c r="CT116" s="50">
        <f t="shared" si="576"/>
        <v>86</v>
      </c>
      <c r="CU116" s="103">
        <f t="shared" si="945"/>
        <v>0</v>
      </c>
      <c r="CV116" s="46">
        <f t="shared" si="625"/>
        <v>86</v>
      </c>
      <c r="CX116" s="120">
        <f t="shared" si="946"/>
        <v>13</v>
      </c>
      <c r="CY116" s="7">
        <f t="shared" si="947"/>
        <v>15</v>
      </c>
      <c r="CZ116" s="133"/>
      <c r="DA116" s="14">
        <f t="shared" si="925"/>
        <v>14671</v>
      </c>
      <c r="DB116" s="46">
        <f t="shared" si="486"/>
        <v>14671</v>
      </c>
      <c r="DC116" s="405"/>
      <c r="DD116" s="406"/>
      <c r="DE116" s="406"/>
      <c r="DF116" s="14">
        <f t="shared" si="684"/>
        <v>0</v>
      </c>
      <c r="DG116" s="14">
        <f t="shared" si="880"/>
        <v>56</v>
      </c>
      <c r="DH116" s="14">
        <f t="shared" si="577"/>
        <v>0.16</v>
      </c>
      <c r="DI116" s="47">
        <f t="shared" si="785"/>
        <v>0</v>
      </c>
      <c r="DJ116" s="35">
        <f t="shared" si="578"/>
        <v>4.0000000000000009</v>
      </c>
      <c r="DK116" s="157">
        <f t="shared" si="786"/>
        <v>0.38035726414453574</v>
      </c>
      <c r="DL116" s="134"/>
      <c r="DM116" s="14">
        <f t="shared" si="579"/>
        <v>67</v>
      </c>
      <c r="DN116" s="442">
        <f t="shared" si="787"/>
        <v>0</v>
      </c>
      <c r="DO116" s="68">
        <f t="shared" si="666"/>
        <v>2052.9886076744156</v>
      </c>
      <c r="DP116" s="51">
        <f t="shared" si="580"/>
        <v>1115</v>
      </c>
      <c r="DQ116" s="103">
        <f t="shared" si="948"/>
        <v>1100</v>
      </c>
      <c r="DR116" s="46">
        <f t="shared" si="739"/>
        <v>15</v>
      </c>
      <c r="DS116" s="50">
        <f t="shared" si="581"/>
        <v>86</v>
      </c>
      <c r="DT116" s="103">
        <f t="shared" si="949"/>
        <v>78</v>
      </c>
      <c r="DU116" s="46">
        <f t="shared" si="654"/>
        <v>8</v>
      </c>
      <c r="DW116" s="120">
        <f t="shared" si="950"/>
        <v>13</v>
      </c>
      <c r="DX116" s="7">
        <f t="shared" si="951"/>
        <v>15</v>
      </c>
      <c r="DY116" s="133"/>
      <c r="DZ116" s="14">
        <f t="shared" si="926"/>
        <v>14466</v>
      </c>
      <c r="EA116" s="46">
        <f t="shared" si="487"/>
        <v>14466</v>
      </c>
      <c r="EB116" s="405"/>
      <c r="EC116" s="406"/>
      <c r="ED116" s="406"/>
      <c r="EE116" s="14">
        <f t="shared" si="686"/>
        <v>0</v>
      </c>
      <c r="EF116" s="14">
        <f t="shared" si="881"/>
        <v>81</v>
      </c>
      <c r="EG116" s="14">
        <f t="shared" si="582"/>
        <v>0.16</v>
      </c>
      <c r="EH116" s="47">
        <f t="shared" si="788"/>
        <v>0</v>
      </c>
      <c r="EI116" s="35">
        <f t="shared" si="583"/>
        <v>4.0000000000000009</v>
      </c>
      <c r="EJ116" s="157">
        <f t="shared" si="800"/>
        <v>0.55708390646492434</v>
      </c>
      <c r="EK116" s="134"/>
      <c r="EL116" s="14">
        <f t="shared" si="584"/>
        <v>67</v>
      </c>
      <c r="EM116" s="442">
        <f t="shared" si="789"/>
        <v>0</v>
      </c>
      <c r="EN116" s="68">
        <f t="shared" si="669"/>
        <v>2297.0468525697056</v>
      </c>
      <c r="EO116" s="51">
        <f t="shared" si="585"/>
        <v>1115</v>
      </c>
      <c r="EP116" s="103">
        <f t="shared" si="952"/>
        <v>1100</v>
      </c>
      <c r="EQ116" s="46">
        <f t="shared" si="740"/>
        <v>15</v>
      </c>
      <c r="ER116" s="50">
        <f t="shared" si="586"/>
        <v>86</v>
      </c>
      <c r="ES116" s="103">
        <f t="shared" si="953"/>
        <v>78</v>
      </c>
      <c r="ET116" s="46">
        <f t="shared" si="655"/>
        <v>8</v>
      </c>
      <c r="EV116" s="120">
        <f t="shared" si="954"/>
        <v>13</v>
      </c>
      <c r="EW116" s="7">
        <f t="shared" si="955"/>
        <v>15</v>
      </c>
      <c r="EX116" s="133"/>
      <c r="EY116" s="14">
        <f t="shared" si="927"/>
        <v>14167</v>
      </c>
      <c r="EZ116" s="46">
        <f t="shared" si="488"/>
        <v>14167</v>
      </c>
      <c r="FA116" s="405"/>
      <c r="FB116" s="406"/>
      <c r="FC116" s="406"/>
      <c r="FD116" s="14">
        <f t="shared" si="688"/>
        <v>0</v>
      </c>
      <c r="FE116" s="14">
        <f t="shared" si="882"/>
        <v>71</v>
      </c>
      <c r="FF116" s="14">
        <f t="shared" si="587"/>
        <v>0.16</v>
      </c>
      <c r="FG116" s="47">
        <f t="shared" si="790"/>
        <v>0</v>
      </c>
      <c r="FH116" s="35">
        <f t="shared" si="588"/>
        <v>4.0000000000000009</v>
      </c>
      <c r="FI116" s="157">
        <f t="shared" si="801"/>
        <v>0.49877063575693714</v>
      </c>
      <c r="FJ116" s="134"/>
      <c r="FK116" s="14">
        <f t="shared" si="589"/>
        <v>67</v>
      </c>
      <c r="FL116" s="442">
        <f t="shared" si="792"/>
        <v>0</v>
      </c>
      <c r="FM116" s="68">
        <f t="shared" si="672"/>
        <v>2437.1380235191186</v>
      </c>
      <c r="FN116" s="51">
        <f t="shared" si="590"/>
        <v>1115</v>
      </c>
      <c r="FO116" s="103">
        <f t="shared" si="956"/>
        <v>1100</v>
      </c>
      <c r="FP116" s="46">
        <f t="shared" si="741"/>
        <v>15</v>
      </c>
      <c r="FQ116" s="50">
        <f t="shared" si="591"/>
        <v>86</v>
      </c>
      <c r="FR116" s="103">
        <f t="shared" si="957"/>
        <v>78</v>
      </c>
      <c r="FS116" s="46">
        <f t="shared" si="656"/>
        <v>8</v>
      </c>
      <c r="FU116" s="120">
        <f t="shared" si="958"/>
        <v>13</v>
      </c>
      <c r="FV116" s="7">
        <f t="shared" si="959"/>
        <v>15</v>
      </c>
      <c r="FW116" s="133"/>
      <c r="FX116" s="14">
        <f t="shared" si="928"/>
        <v>14147</v>
      </c>
      <c r="FY116" s="46">
        <f t="shared" si="489"/>
        <v>14147</v>
      </c>
      <c r="FZ116" s="405"/>
      <c r="GA116" s="406"/>
      <c r="GB116" s="406"/>
      <c r="GC116" s="14">
        <f t="shared" si="690"/>
        <v>0</v>
      </c>
      <c r="GD116" s="14">
        <f t="shared" si="883"/>
        <v>44</v>
      </c>
      <c r="GE116" s="14">
        <f t="shared" si="592"/>
        <v>0.16</v>
      </c>
      <c r="GF116" s="47">
        <f t="shared" si="793"/>
        <v>0</v>
      </c>
      <c r="GG116" s="35">
        <f t="shared" si="593"/>
        <v>4.0000000000000009</v>
      </c>
      <c r="GH116" s="157">
        <f t="shared" si="802"/>
        <v>0.31009937275354149</v>
      </c>
      <c r="GI116" s="134"/>
      <c r="GJ116" s="14">
        <f t="shared" si="594"/>
        <v>67</v>
      </c>
      <c r="GK116" s="442">
        <f t="shared" si="795"/>
        <v>0</v>
      </c>
      <c r="GL116" s="68">
        <f t="shared" si="675"/>
        <v>2115.7658400333685</v>
      </c>
      <c r="GM116" s="51">
        <f t="shared" si="595"/>
        <v>1115</v>
      </c>
      <c r="GN116" s="103">
        <f t="shared" si="960"/>
        <v>1100</v>
      </c>
      <c r="GO116" s="46">
        <f t="shared" si="742"/>
        <v>15</v>
      </c>
      <c r="GP116" s="50">
        <f t="shared" si="596"/>
        <v>86</v>
      </c>
      <c r="GQ116" s="103">
        <f t="shared" si="961"/>
        <v>78</v>
      </c>
      <c r="GR116" s="46">
        <f t="shared" si="657"/>
        <v>8</v>
      </c>
      <c r="GT116" s="120">
        <f t="shared" si="962"/>
        <v>13</v>
      </c>
      <c r="GU116" s="7">
        <f t="shared" si="963"/>
        <v>15</v>
      </c>
      <c r="GV116" s="133"/>
      <c r="GW116" s="14">
        <f t="shared" si="929"/>
        <v>9146</v>
      </c>
      <c r="GX116" s="46">
        <f t="shared" si="490"/>
        <v>9146</v>
      </c>
      <c r="GY116" s="405"/>
      <c r="GZ116" s="406"/>
      <c r="HA116" s="406"/>
      <c r="HB116" s="14">
        <f t="shared" si="692"/>
        <v>0</v>
      </c>
      <c r="HC116" s="14">
        <f t="shared" si="884"/>
        <v>36</v>
      </c>
      <c r="HD116" s="14">
        <f t="shared" si="597"/>
        <v>0.16</v>
      </c>
      <c r="HE116" s="47">
        <f t="shared" si="796"/>
        <v>0</v>
      </c>
      <c r="HF116" s="35">
        <f t="shared" si="598"/>
        <v>4.0000000000000009</v>
      </c>
      <c r="HG116" s="157">
        <f t="shared" si="803"/>
        <v>0.3920714441298192</v>
      </c>
      <c r="HH116" s="134"/>
      <c r="HI116" s="14">
        <f t="shared" si="599"/>
        <v>67</v>
      </c>
      <c r="HJ116" s="442">
        <f t="shared" si="798"/>
        <v>0</v>
      </c>
      <c r="HK116" s="68">
        <f t="shared" si="678"/>
        <v>2261.5830127780196</v>
      </c>
      <c r="HL116" s="51">
        <f t="shared" si="600"/>
        <v>1115</v>
      </c>
      <c r="HM116" s="103">
        <f t="shared" si="964"/>
        <v>1100</v>
      </c>
      <c r="HN116" s="46">
        <f t="shared" si="743"/>
        <v>15</v>
      </c>
      <c r="HO116" s="50">
        <f t="shared" si="601"/>
        <v>86</v>
      </c>
      <c r="HP116" s="103">
        <f t="shared" si="965"/>
        <v>78</v>
      </c>
      <c r="HQ116" s="46">
        <f t="shared" si="658"/>
        <v>8</v>
      </c>
    </row>
    <row r="117" spans="1:225" ht="17.25" thickBot="1" x14ac:dyDescent="0.3">
      <c r="B117" s="120">
        <f t="shared" si="930"/>
        <v>14</v>
      </c>
      <c r="C117" s="574">
        <f t="shared" si="931"/>
        <v>15</v>
      </c>
      <c r="D117" s="136"/>
      <c r="E117" s="436">
        <f t="shared" si="696"/>
        <v>68543</v>
      </c>
      <c r="F117" s="451">
        <f t="shared" si="555"/>
        <v>68543</v>
      </c>
      <c r="G117" s="137"/>
      <c r="H117" s="138"/>
      <c r="I117" s="138"/>
      <c r="J117" s="34">
        <f t="shared" si="679"/>
        <v>0</v>
      </c>
      <c r="K117" s="32">
        <f t="shared" si="604"/>
        <v>5542</v>
      </c>
      <c r="L117" s="34">
        <f t="shared" si="556"/>
        <v>0.16</v>
      </c>
      <c r="M117" s="96">
        <f t="shared" si="605"/>
        <v>0</v>
      </c>
      <c r="N117" s="40">
        <f t="shared" si="557"/>
        <v>4.0000000000000009</v>
      </c>
      <c r="O117" s="132">
        <f t="shared" si="606"/>
        <v>4.1090507366188938</v>
      </c>
      <c r="P117" s="139"/>
      <c r="Q117" s="32">
        <f t="shared" si="558"/>
        <v>67</v>
      </c>
      <c r="R117" s="443">
        <f t="shared" si="877"/>
        <v>0</v>
      </c>
      <c r="S117" s="471">
        <f t="shared" si="650"/>
        <v>3520.2686172807612</v>
      </c>
      <c r="T117" s="56">
        <f t="shared" si="560"/>
        <v>1115</v>
      </c>
      <c r="U117" s="109">
        <f t="shared" si="932"/>
        <v>0</v>
      </c>
      <c r="V117" s="63">
        <f t="shared" si="608"/>
        <v>1115</v>
      </c>
      <c r="W117" s="56">
        <f t="shared" si="878"/>
        <v>86</v>
      </c>
      <c r="X117" s="109">
        <f t="shared" si="933"/>
        <v>0</v>
      </c>
      <c r="Y117" s="63">
        <f t="shared" si="610"/>
        <v>86</v>
      </c>
      <c r="Z117" s="487"/>
      <c r="AA117" s="120">
        <f t="shared" si="934"/>
        <v>14</v>
      </c>
      <c r="AB117" s="8">
        <f t="shared" si="935"/>
        <v>15</v>
      </c>
      <c r="AC117" s="136"/>
      <c r="AD117" s="54">
        <f t="shared" si="879"/>
        <v>59287</v>
      </c>
      <c r="AE117" s="448">
        <f t="shared" si="966"/>
        <v>59287</v>
      </c>
      <c r="AF117" s="137"/>
      <c r="AG117" s="138"/>
      <c r="AH117" s="138"/>
      <c r="AI117" s="34">
        <f t="shared" si="889"/>
        <v>0</v>
      </c>
      <c r="AJ117" s="32">
        <f t="shared" si="910"/>
        <v>6432</v>
      </c>
      <c r="AK117" s="17">
        <f t="shared" si="562"/>
        <v>0.16</v>
      </c>
      <c r="AL117" s="96">
        <f t="shared" si="613"/>
        <v>0</v>
      </c>
      <c r="AM117" s="33">
        <f t="shared" si="563"/>
        <v>4.0000000000000009</v>
      </c>
      <c r="AN117" s="157">
        <f t="shared" si="659"/>
        <v>4.1990912414477464</v>
      </c>
      <c r="AO117" s="137"/>
      <c r="AP117" s="32">
        <f t="shared" si="564"/>
        <v>67</v>
      </c>
      <c r="AQ117" s="443">
        <f t="shared" si="614"/>
        <v>0</v>
      </c>
      <c r="AR117" s="471">
        <f t="shared" si="799"/>
        <v>3681.7427283987504</v>
      </c>
      <c r="AS117" s="50">
        <f t="shared" si="565"/>
        <v>1115</v>
      </c>
      <c r="AT117" s="103">
        <f t="shared" si="936"/>
        <v>1066</v>
      </c>
      <c r="AU117" s="63">
        <f t="shared" si="736"/>
        <v>49</v>
      </c>
      <c r="AV117" s="56">
        <f t="shared" si="566"/>
        <v>86</v>
      </c>
      <c r="AW117" s="103">
        <f t="shared" si="937"/>
        <v>81</v>
      </c>
      <c r="AX117" s="63">
        <f t="shared" si="660"/>
        <v>5</v>
      </c>
      <c r="AZ117" s="197">
        <f t="shared" si="938"/>
        <v>14</v>
      </c>
      <c r="BA117" s="8">
        <f t="shared" si="939"/>
        <v>15</v>
      </c>
      <c r="BB117" s="136"/>
      <c r="BC117" s="54">
        <f t="shared" si="967"/>
        <v>65336</v>
      </c>
      <c r="BD117" s="448">
        <f t="shared" si="968"/>
        <v>65336</v>
      </c>
      <c r="BE117" s="137"/>
      <c r="BF117" s="138"/>
      <c r="BG117" s="138"/>
      <c r="BH117" s="34">
        <f t="shared" si="893"/>
        <v>0</v>
      </c>
      <c r="BI117" s="32">
        <f t="shared" si="912"/>
        <v>1255</v>
      </c>
      <c r="BJ117" s="34">
        <f t="shared" si="567"/>
        <v>0.16</v>
      </c>
      <c r="BK117" s="96">
        <f t="shared" si="646"/>
        <v>0</v>
      </c>
      <c r="BL117" s="40">
        <f t="shared" si="568"/>
        <v>4.0000000000000009</v>
      </c>
      <c r="BM117" s="132">
        <f t="shared" si="840"/>
        <v>1.757703081232493</v>
      </c>
      <c r="BN117" s="137"/>
      <c r="BO117" s="32">
        <f t="shared" si="569"/>
        <v>67</v>
      </c>
      <c r="BP117" s="443">
        <f t="shared" si="647"/>
        <v>0</v>
      </c>
      <c r="BQ117" s="750">
        <f t="shared" si="651"/>
        <v>3487.7310117165239</v>
      </c>
      <c r="BR117" s="56">
        <f t="shared" si="570"/>
        <v>1115</v>
      </c>
      <c r="BS117" s="109">
        <f t="shared" si="940"/>
        <v>1047</v>
      </c>
      <c r="BT117" s="63">
        <f t="shared" si="737"/>
        <v>68</v>
      </c>
      <c r="BU117" s="56">
        <f t="shared" si="571"/>
        <v>86</v>
      </c>
      <c r="BV117" s="109">
        <f t="shared" si="941"/>
        <v>77</v>
      </c>
      <c r="BW117" s="63">
        <f t="shared" si="661"/>
        <v>9</v>
      </c>
      <c r="BY117" s="197">
        <f>BY116+1</f>
        <v>14</v>
      </c>
      <c r="BZ117" s="8">
        <f t="shared" si="943"/>
        <v>15</v>
      </c>
      <c r="CA117" s="136"/>
      <c r="CB117" s="32">
        <f t="shared" si="662"/>
        <v>14583</v>
      </c>
      <c r="CC117" s="63">
        <f t="shared" si="682"/>
        <v>14583</v>
      </c>
      <c r="CD117" s="421"/>
      <c r="CE117" s="426"/>
      <c r="CF117" s="426"/>
      <c r="CG117" s="34">
        <f t="shared" si="683"/>
        <v>0</v>
      </c>
      <c r="CH117" s="32">
        <f t="shared" si="663"/>
        <v>73</v>
      </c>
      <c r="CI117" s="17">
        <f t="shared" si="572"/>
        <v>0.16</v>
      </c>
      <c r="CJ117" s="47">
        <f t="shared" si="782"/>
        <v>0</v>
      </c>
      <c r="CK117" s="33">
        <f t="shared" si="573"/>
        <v>4.0000000000000009</v>
      </c>
      <c r="CL117" s="157">
        <f t="shared" si="783"/>
        <v>0.49808951965065501</v>
      </c>
      <c r="CM117" s="137"/>
      <c r="CN117" s="13">
        <f t="shared" si="574"/>
        <v>67</v>
      </c>
      <c r="CO117" s="442">
        <f t="shared" si="784"/>
        <v>0</v>
      </c>
      <c r="CP117" s="70">
        <f t="shared" si="649"/>
        <v>1975.2862203652064</v>
      </c>
      <c r="CQ117" s="50">
        <f t="shared" si="575"/>
        <v>1115</v>
      </c>
      <c r="CR117" s="103">
        <f t="shared" si="944"/>
        <v>0</v>
      </c>
      <c r="CS117" s="63">
        <f t="shared" si="738"/>
        <v>1115</v>
      </c>
      <c r="CT117" s="56">
        <f t="shared" si="576"/>
        <v>86</v>
      </c>
      <c r="CU117" s="103">
        <f t="shared" si="945"/>
        <v>0</v>
      </c>
      <c r="CV117" s="63">
        <f t="shared" si="625"/>
        <v>86</v>
      </c>
      <c r="CX117" s="197">
        <f>CX116+1</f>
        <v>14</v>
      </c>
      <c r="CY117" s="8">
        <f t="shared" si="947"/>
        <v>15</v>
      </c>
      <c r="CZ117" s="136"/>
      <c r="DA117" s="32">
        <f t="shared" si="925"/>
        <v>14671</v>
      </c>
      <c r="DB117" s="63">
        <f t="shared" si="486"/>
        <v>14671</v>
      </c>
      <c r="DC117" s="421"/>
      <c r="DD117" s="426"/>
      <c r="DE117" s="426"/>
      <c r="DF117" s="34">
        <f t="shared" si="684"/>
        <v>0</v>
      </c>
      <c r="DG117" s="32">
        <f t="shared" si="880"/>
        <v>56</v>
      </c>
      <c r="DH117" s="17">
        <f t="shared" si="577"/>
        <v>0.16</v>
      </c>
      <c r="DI117" s="47">
        <f t="shared" si="785"/>
        <v>0</v>
      </c>
      <c r="DJ117" s="33">
        <f t="shared" si="578"/>
        <v>4.0000000000000009</v>
      </c>
      <c r="DK117" s="157">
        <f t="shared" si="786"/>
        <v>0.38035726414453574</v>
      </c>
      <c r="DL117" s="137"/>
      <c r="DM117" s="13">
        <f t="shared" si="579"/>
        <v>67</v>
      </c>
      <c r="DN117" s="442">
        <f t="shared" si="787"/>
        <v>0</v>
      </c>
      <c r="DO117" s="70">
        <f t="shared" si="666"/>
        <v>2052.9886076744156</v>
      </c>
      <c r="DP117" s="50">
        <f t="shared" si="580"/>
        <v>1115</v>
      </c>
      <c r="DQ117" s="103">
        <f t="shared" si="948"/>
        <v>1100</v>
      </c>
      <c r="DR117" s="63">
        <f t="shared" si="739"/>
        <v>15</v>
      </c>
      <c r="DS117" s="56">
        <f t="shared" si="581"/>
        <v>86</v>
      </c>
      <c r="DT117" s="103">
        <f t="shared" si="949"/>
        <v>78</v>
      </c>
      <c r="DU117" s="63">
        <f t="shared" si="654"/>
        <v>8</v>
      </c>
      <c r="DW117" s="197">
        <f>DW116+1</f>
        <v>14</v>
      </c>
      <c r="DX117" s="8">
        <f t="shared" si="951"/>
        <v>15</v>
      </c>
      <c r="DY117" s="136"/>
      <c r="DZ117" s="32">
        <f t="shared" si="926"/>
        <v>14466</v>
      </c>
      <c r="EA117" s="63">
        <f t="shared" si="487"/>
        <v>14466</v>
      </c>
      <c r="EB117" s="421"/>
      <c r="EC117" s="426"/>
      <c r="ED117" s="426"/>
      <c r="EE117" s="34">
        <f t="shared" si="686"/>
        <v>0</v>
      </c>
      <c r="EF117" s="32">
        <f t="shared" si="881"/>
        <v>81</v>
      </c>
      <c r="EG117" s="17">
        <f t="shared" si="582"/>
        <v>0.16</v>
      </c>
      <c r="EH117" s="47">
        <f t="shared" si="788"/>
        <v>0</v>
      </c>
      <c r="EI117" s="33">
        <f t="shared" si="583"/>
        <v>4.0000000000000009</v>
      </c>
      <c r="EJ117" s="157">
        <f t="shared" si="800"/>
        <v>0.55708390646492434</v>
      </c>
      <c r="EK117" s="137"/>
      <c r="EL117" s="13">
        <f t="shared" si="584"/>
        <v>67</v>
      </c>
      <c r="EM117" s="442">
        <f t="shared" si="789"/>
        <v>0</v>
      </c>
      <c r="EN117" s="70">
        <f t="shared" si="669"/>
        <v>2297.0468525697056</v>
      </c>
      <c r="EO117" s="50">
        <f t="shared" si="585"/>
        <v>1115</v>
      </c>
      <c r="EP117" s="103">
        <f t="shared" si="952"/>
        <v>1100</v>
      </c>
      <c r="EQ117" s="63">
        <f t="shared" si="740"/>
        <v>15</v>
      </c>
      <c r="ER117" s="56">
        <f t="shared" si="586"/>
        <v>86</v>
      </c>
      <c r="ES117" s="103">
        <f t="shared" si="953"/>
        <v>78</v>
      </c>
      <c r="ET117" s="63">
        <f t="shared" si="655"/>
        <v>8</v>
      </c>
      <c r="EV117" s="197">
        <f>EV116+1</f>
        <v>14</v>
      </c>
      <c r="EW117" s="8">
        <f t="shared" si="955"/>
        <v>15</v>
      </c>
      <c r="EX117" s="136"/>
      <c r="EY117" s="32">
        <f t="shared" si="927"/>
        <v>14167</v>
      </c>
      <c r="EZ117" s="63">
        <f t="shared" si="488"/>
        <v>14167</v>
      </c>
      <c r="FA117" s="421"/>
      <c r="FB117" s="426"/>
      <c r="FC117" s="426"/>
      <c r="FD117" s="34">
        <f t="shared" si="688"/>
        <v>0</v>
      </c>
      <c r="FE117" s="32">
        <f t="shared" si="882"/>
        <v>71</v>
      </c>
      <c r="FF117" s="17">
        <f t="shared" si="587"/>
        <v>0.16</v>
      </c>
      <c r="FG117" s="47">
        <f t="shared" si="790"/>
        <v>0</v>
      </c>
      <c r="FH117" s="33">
        <f t="shared" si="588"/>
        <v>4.0000000000000009</v>
      </c>
      <c r="FI117" s="157">
        <f t="shared" si="801"/>
        <v>0.49877063575693714</v>
      </c>
      <c r="FJ117" s="137"/>
      <c r="FK117" s="13">
        <f t="shared" si="589"/>
        <v>67</v>
      </c>
      <c r="FL117" s="442">
        <f t="shared" si="792"/>
        <v>0</v>
      </c>
      <c r="FM117" s="70">
        <f t="shared" si="672"/>
        <v>2437.1380235191186</v>
      </c>
      <c r="FN117" s="50">
        <f t="shared" si="590"/>
        <v>1115</v>
      </c>
      <c r="FO117" s="103">
        <f t="shared" si="956"/>
        <v>1100</v>
      </c>
      <c r="FP117" s="63">
        <f t="shared" si="741"/>
        <v>15</v>
      </c>
      <c r="FQ117" s="56">
        <f t="shared" si="591"/>
        <v>86</v>
      </c>
      <c r="FR117" s="103">
        <f t="shared" si="957"/>
        <v>78</v>
      </c>
      <c r="FS117" s="63">
        <f t="shared" si="656"/>
        <v>8</v>
      </c>
      <c r="FU117" s="197">
        <f>FU116+1</f>
        <v>14</v>
      </c>
      <c r="FV117" s="8">
        <f t="shared" si="959"/>
        <v>15</v>
      </c>
      <c r="FW117" s="136"/>
      <c r="FX117" s="32">
        <f t="shared" si="928"/>
        <v>14147</v>
      </c>
      <c r="FY117" s="63">
        <f t="shared" si="489"/>
        <v>14147</v>
      </c>
      <c r="FZ117" s="421"/>
      <c r="GA117" s="426"/>
      <c r="GB117" s="426"/>
      <c r="GC117" s="34">
        <f t="shared" si="690"/>
        <v>0</v>
      </c>
      <c r="GD117" s="32">
        <f t="shared" si="883"/>
        <v>44</v>
      </c>
      <c r="GE117" s="17">
        <f t="shared" si="592"/>
        <v>0.16</v>
      </c>
      <c r="GF117" s="47">
        <f t="shared" si="793"/>
        <v>0</v>
      </c>
      <c r="GG117" s="33">
        <f t="shared" si="593"/>
        <v>4.0000000000000009</v>
      </c>
      <c r="GH117" s="157">
        <f t="shared" si="802"/>
        <v>0.31009937275354149</v>
      </c>
      <c r="GI117" s="137"/>
      <c r="GJ117" s="13">
        <f t="shared" si="594"/>
        <v>67</v>
      </c>
      <c r="GK117" s="442">
        <f t="shared" si="795"/>
        <v>0</v>
      </c>
      <c r="GL117" s="70">
        <f t="shared" si="675"/>
        <v>2115.7658400333685</v>
      </c>
      <c r="GM117" s="50">
        <f t="shared" si="595"/>
        <v>1115</v>
      </c>
      <c r="GN117" s="103">
        <f t="shared" si="960"/>
        <v>1100</v>
      </c>
      <c r="GO117" s="63">
        <f t="shared" si="742"/>
        <v>15</v>
      </c>
      <c r="GP117" s="56">
        <f t="shared" si="596"/>
        <v>86</v>
      </c>
      <c r="GQ117" s="103">
        <f t="shared" si="961"/>
        <v>78</v>
      </c>
      <c r="GR117" s="63">
        <f t="shared" si="657"/>
        <v>8</v>
      </c>
      <c r="GT117" s="197">
        <f>GT116+1</f>
        <v>14</v>
      </c>
      <c r="GU117" s="8">
        <f t="shared" si="963"/>
        <v>15</v>
      </c>
      <c r="GV117" s="136"/>
      <c r="GW117" s="32">
        <f t="shared" si="929"/>
        <v>9146</v>
      </c>
      <c r="GX117" s="63">
        <f t="shared" si="490"/>
        <v>9146</v>
      </c>
      <c r="GY117" s="421"/>
      <c r="GZ117" s="426"/>
      <c r="HA117" s="426"/>
      <c r="HB117" s="34">
        <f t="shared" si="692"/>
        <v>0</v>
      </c>
      <c r="HC117" s="32">
        <f t="shared" si="884"/>
        <v>36</v>
      </c>
      <c r="HD117" s="17">
        <f t="shared" si="597"/>
        <v>0.16</v>
      </c>
      <c r="HE117" s="47">
        <f t="shared" si="796"/>
        <v>0</v>
      </c>
      <c r="HF117" s="33">
        <f t="shared" si="598"/>
        <v>4.0000000000000009</v>
      </c>
      <c r="HG117" s="157">
        <f t="shared" si="803"/>
        <v>0.3920714441298192</v>
      </c>
      <c r="HH117" s="137"/>
      <c r="HI117" s="13">
        <f t="shared" si="599"/>
        <v>67</v>
      </c>
      <c r="HJ117" s="442">
        <f t="shared" si="798"/>
        <v>0</v>
      </c>
      <c r="HK117" s="70">
        <f t="shared" si="678"/>
        <v>2261.5830127780196</v>
      </c>
      <c r="HL117" s="50">
        <f t="shared" si="600"/>
        <v>1115</v>
      </c>
      <c r="HM117" s="103">
        <f t="shared" si="964"/>
        <v>1100</v>
      </c>
      <c r="HN117" s="63">
        <f t="shared" si="743"/>
        <v>15</v>
      </c>
      <c r="HO117" s="56">
        <f t="shared" si="601"/>
        <v>86</v>
      </c>
      <c r="HP117" s="103">
        <f t="shared" si="965"/>
        <v>78</v>
      </c>
      <c r="HQ117" s="63">
        <f t="shared" si="658"/>
        <v>8</v>
      </c>
    </row>
    <row r="118" spans="1:225" ht="17.25" thickBot="1" x14ac:dyDescent="0.3">
      <c r="B118" s="118">
        <v>15</v>
      </c>
      <c r="C118" s="575">
        <v>16</v>
      </c>
      <c r="D118" s="129"/>
      <c r="E118" s="400">
        <f t="shared" si="696"/>
        <v>68543</v>
      </c>
      <c r="F118" s="561">
        <f t="shared" si="555"/>
        <v>68543</v>
      </c>
      <c r="G118" s="130"/>
      <c r="H118" s="131"/>
      <c r="I118" s="131"/>
      <c r="J118" s="16">
        <f t="shared" si="679"/>
        <v>0</v>
      </c>
      <c r="K118" s="11">
        <f t="shared" si="604"/>
        <v>5542</v>
      </c>
      <c r="L118" s="16">
        <f t="shared" si="556"/>
        <v>0.16</v>
      </c>
      <c r="M118" s="42">
        <f t="shared" si="605"/>
        <v>0</v>
      </c>
      <c r="N118" s="154">
        <f t="shared" si="557"/>
        <v>4.160000000000001</v>
      </c>
      <c r="O118" s="132">
        <f t="shared" si="606"/>
        <v>4.1090507366188938</v>
      </c>
      <c r="P118" s="158"/>
      <c r="Q118" s="17">
        <f t="shared" si="558"/>
        <v>71</v>
      </c>
      <c r="R118" s="441">
        <f t="shared" si="877"/>
        <v>0</v>
      </c>
      <c r="S118" s="469">
        <f t="shared" si="650"/>
        <v>3520.2686172807612</v>
      </c>
      <c r="T118" s="58">
        <f t="shared" si="560"/>
        <v>1160</v>
      </c>
      <c r="U118" s="131"/>
      <c r="V118" s="41">
        <f t="shared" si="608"/>
        <v>1160</v>
      </c>
      <c r="W118" s="18">
        <f t="shared" si="878"/>
        <v>86</v>
      </c>
      <c r="X118" s="131"/>
      <c r="Y118" s="41">
        <f t="shared" si="610"/>
        <v>86</v>
      </c>
      <c r="Z118" s="487"/>
      <c r="AA118" s="118">
        <v>15</v>
      </c>
      <c r="AB118" s="9">
        <v>16</v>
      </c>
      <c r="AC118" s="129"/>
      <c r="AD118" s="43">
        <f t="shared" si="879"/>
        <v>59287</v>
      </c>
      <c r="AE118" s="449">
        <f t="shared" si="966"/>
        <v>59287</v>
      </c>
      <c r="AF118" s="130"/>
      <c r="AG118" s="131"/>
      <c r="AH118" s="131"/>
      <c r="AI118" s="16">
        <f t="shared" si="889"/>
        <v>0</v>
      </c>
      <c r="AJ118" s="11">
        <f t="shared" si="910"/>
        <v>6432</v>
      </c>
      <c r="AK118" s="16">
        <f t="shared" si="562"/>
        <v>0.16</v>
      </c>
      <c r="AL118" s="42">
        <f t="shared" si="613"/>
        <v>0</v>
      </c>
      <c r="AM118" s="154">
        <f t="shared" si="563"/>
        <v>4.160000000000001</v>
      </c>
      <c r="AN118" s="157">
        <f t="shared" si="659"/>
        <v>4.1990912414477464</v>
      </c>
      <c r="AO118" s="130"/>
      <c r="AP118" s="17">
        <f t="shared" si="564"/>
        <v>71</v>
      </c>
      <c r="AQ118" s="441">
        <f t="shared" si="614"/>
        <v>0</v>
      </c>
      <c r="AR118" s="469">
        <f t="shared" si="799"/>
        <v>3681.7427283987504</v>
      </c>
      <c r="AS118" s="58">
        <f t="shared" si="565"/>
        <v>1160</v>
      </c>
      <c r="AT118" s="131"/>
      <c r="AU118" s="41">
        <f t="shared" si="736"/>
        <v>1160</v>
      </c>
      <c r="AV118" s="18">
        <f t="shared" si="566"/>
        <v>86</v>
      </c>
      <c r="AW118" s="131"/>
      <c r="AX118" s="41">
        <f t="shared" si="660"/>
        <v>86</v>
      </c>
      <c r="AZ118" s="198">
        <v>15</v>
      </c>
      <c r="BA118" s="38">
        <v>16</v>
      </c>
      <c r="BB118" s="143"/>
      <c r="BC118" s="60">
        <f t="shared" si="967"/>
        <v>65336</v>
      </c>
      <c r="BD118" s="447">
        <f t="shared" si="968"/>
        <v>65336</v>
      </c>
      <c r="BE118" s="144"/>
      <c r="BF118" s="141"/>
      <c r="BG118" s="141"/>
      <c r="BH118" s="31">
        <f t="shared" si="893"/>
        <v>0</v>
      </c>
      <c r="BI118" s="17">
        <f t="shared" si="912"/>
        <v>1255</v>
      </c>
      <c r="BJ118" s="31">
        <f t="shared" si="567"/>
        <v>0.16</v>
      </c>
      <c r="BK118" s="235">
        <f t="shared" si="646"/>
        <v>0</v>
      </c>
      <c r="BL118" s="37">
        <f t="shared" si="568"/>
        <v>4.160000000000001</v>
      </c>
      <c r="BM118" s="132">
        <f t="shared" si="840"/>
        <v>1.757703081232493</v>
      </c>
      <c r="BN118" s="144"/>
      <c r="BO118" s="17">
        <f t="shared" si="569"/>
        <v>71</v>
      </c>
      <c r="BP118" s="479">
        <f t="shared" si="647"/>
        <v>0</v>
      </c>
      <c r="BQ118" s="751">
        <f t="shared" si="651"/>
        <v>3487.7310117165239</v>
      </c>
      <c r="BR118" s="61">
        <f t="shared" si="570"/>
        <v>1160</v>
      </c>
      <c r="BS118" s="141"/>
      <c r="BT118" s="71">
        <f t="shared" si="737"/>
        <v>1160</v>
      </c>
      <c r="BU118" s="12">
        <f t="shared" si="571"/>
        <v>86</v>
      </c>
      <c r="BV118" s="141"/>
      <c r="BW118" s="71">
        <f t="shared" si="661"/>
        <v>86</v>
      </c>
      <c r="BY118" s="118">
        <v>15</v>
      </c>
      <c r="BZ118" s="9">
        <v>16</v>
      </c>
      <c r="CA118" s="129"/>
      <c r="CB118" s="11">
        <f t="shared" si="662"/>
        <v>14583</v>
      </c>
      <c r="CC118" s="57">
        <f t="shared" si="682"/>
        <v>14583</v>
      </c>
      <c r="CD118" s="398"/>
      <c r="CE118" s="399"/>
      <c r="CF118" s="399"/>
      <c r="CG118" s="16">
        <f t="shared" si="683"/>
        <v>0</v>
      </c>
      <c r="CH118" s="11">
        <f t="shared" si="663"/>
        <v>73</v>
      </c>
      <c r="CI118" s="16">
        <f t="shared" si="572"/>
        <v>0.16</v>
      </c>
      <c r="CJ118" s="47">
        <f t="shared" si="782"/>
        <v>0</v>
      </c>
      <c r="CK118" s="154">
        <f t="shared" si="573"/>
        <v>4.160000000000001</v>
      </c>
      <c r="CL118" s="157">
        <f t="shared" si="783"/>
        <v>0.49808951965065501</v>
      </c>
      <c r="CM118" s="130"/>
      <c r="CN118" s="11">
        <f t="shared" si="574"/>
        <v>71</v>
      </c>
      <c r="CO118" s="442">
        <f t="shared" si="784"/>
        <v>0</v>
      </c>
      <c r="CP118" s="377">
        <f t="shared" si="649"/>
        <v>1975.2862203652064</v>
      </c>
      <c r="CQ118" s="58">
        <f t="shared" si="575"/>
        <v>1160</v>
      </c>
      <c r="CR118" s="131"/>
      <c r="CS118" s="41">
        <f t="shared" si="738"/>
        <v>1160</v>
      </c>
      <c r="CT118" s="58">
        <f t="shared" si="576"/>
        <v>86</v>
      </c>
      <c r="CU118" s="131"/>
      <c r="CV118" s="41">
        <f t="shared" si="625"/>
        <v>86</v>
      </c>
      <c r="CX118" s="118">
        <v>15</v>
      </c>
      <c r="CY118" s="9">
        <v>16</v>
      </c>
      <c r="CZ118" s="129"/>
      <c r="DA118" s="11">
        <f t="shared" si="925"/>
        <v>14671</v>
      </c>
      <c r="DB118" s="57">
        <f t="shared" ref="DB118:DB138" si="969">IFERROR(DA118-DF118,0)</f>
        <v>14671</v>
      </c>
      <c r="DC118" s="398"/>
      <c r="DD118" s="399"/>
      <c r="DE118" s="399"/>
      <c r="DF118" s="16">
        <f t="shared" si="684"/>
        <v>0</v>
      </c>
      <c r="DG118" s="11">
        <f t="shared" si="880"/>
        <v>56</v>
      </c>
      <c r="DH118" s="16">
        <f t="shared" si="577"/>
        <v>0.16</v>
      </c>
      <c r="DI118" s="47">
        <f t="shared" si="785"/>
        <v>0</v>
      </c>
      <c r="DJ118" s="154">
        <f t="shared" si="578"/>
        <v>4.160000000000001</v>
      </c>
      <c r="DK118" s="157">
        <f t="shared" si="786"/>
        <v>0.38035726414453574</v>
      </c>
      <c r="DL118" s="130"/>
      <c r="DM118" s="11">
        <f t="shared" si="579"/>
        <v>71</v>
      </c>
      <c r="DN118" s="442">
        <f t="shared" si="787"/>
        <v>0</v>
      </c>
      <c r="DO118" s="377">
        <f t="shared" si="666"/>
        <v>2052.9886076744156</v>
      </c>
      <c r="DP118" s="58">
        <f t="shared" si="580"/>
        <v>1160</v>
      </c>
      <c r="DQ118" s="131"/>
      <c r="DR118" s="41">
        <f t="shared" si="739"/>
        <v>1160</v>
      </c>
      <c r="DS118" s="58">
        <f t="shared" si="581"/>
        <v>86</v>
      </c>
      <c r="DT118" s="131"/>
      <c r="DU118" s="41">
        <f t="shared" si="654"/>
        <v>86</v>
      </c>
      <c r="DW118" s="118">
        <v>15</v>
      </c>
      <c r="DX118" s="9">
        <v>16</v>
      </c>
      <c r="DY118" s="129"/>
      <c r="DZ118" s="11">
        <f t="shared" si="926"/>
        <v>14466</v>
      </c>
      <c r="EA118" s="57">
        <f t="shared" ref="EA118:EA138" si="970">IFERROR(DZ118-EE118,0)</f>
        <v>14466</v>
      </c>
      <c r="EB118" s="398"/>
      <c r="EC118" s="399"/>
      <c r="ED118" s="399"/>
      <c r="EE118" s="16">
        <f t="shared" si="686"/>
        <v>0</v>
      </c>
      <c r="EF118" s="11">
        <f t="shared" si="881"/>
        <v>81</v>
      </c>
      <c r="EG118" s="16">
        <f t="shared" si="582"/>
        <v>0.16</v>
      </c>
      <c r="EH118" s="47">
        <f t="shared" si="788"/>
        <v>0</v>
      </c>
      <c r="EI118" s="154">
        <f t="shared" si="583"/>
        <v>4.160000000000001</v>
      </c>
      <c r="EJ118" s="157">
        <f t="shared" si="800"/>
        <v>0.55708390646492434</v>
      </c>
      <c r="EK118" s="130"/>
      <c r="EL118" s="11">
        <f t="shared" si="584"/>
        <v>71</v>
      </c>
      <c r="EM118" s="442">
        <f t="shared" si="789"/>
        <v>0</v>
      </c>
      <c r="EN118" s="377">
        <f t="shared" si="669"/>
        <v>2297.0468525697056</v>
      </c>
      <c r="EO118" s="58">
        <f t="shared" si="585"/>
        <v>1160</v>
      </c>
      <c r="EP118" s="131"/>
      <c r="EQ118" s="41">
        <f t="shared" si="740"/>
        <v>1160</v>
      </c>
      <c r="ER118" s="58">
        <f t="shared" si="586"/>
        <v>86</v>
      </c>
      <c r="ES118" s="131"/>
      <c r="ET118" s="41">
        <f t="shared" si="655"/>
        <v>86</v>
      </c>
      <c r="EV118" s="118">
        <v>15</v>
      </c>
      <c r="EW118" s="9">
        <v>16</v>
      </c>
      <c r="EX118" s="129"/>
      <c r="EY118" s="11">
        <f t="shared" si="927"/>
        <v>14167</v>
      </c>
      <c r="EZ118" s="57">
        <f t="shared" ref="EZ118:EZ138" si="971">IFERROR(EY118-FD118,0)</f>
        <v>14167</v>
      </c>
      <c r="FA118" s="398"/>
      <c r="FB118" s="399"/>
      <c r="FC118" s="399"/>
      <c r="FD118" s="16">
        <f t="shared" si="688"/>
        <v>0</v>
      </c>
      <c r="FE118" s="11">
        <f t="shared" si="882"/>
        <v>71</v>
      </c>
      <c r="FF118" s="16">
        <f t="shared" si="587"/>
        <v>0.16</v>
      </c>
      <c r="FG118" s="47">
        <f t="shared" si="790"/>
        <v>0</v>
      </c>
      <c r="FH118" s="154">
        <f t="shared" si="588"/>
        <v>4.160000000000001</v>
      </c>
      <c r="FI118" s="157">
        <f t="shared" si="801"/>
        <v>0.49877063575693714</v>
      </c>
      <c r="FJ118" s="130"/>
      <c r="FK118" s="11">
        <f t="shared" si="589"/>
        <v>71</v>
      </c>
      <c r="FL118" s="442">
        <f t="shared" si="792"/>
        <v>0</v>
      </c>
      <c r="FM118" s="377">
        <f t="shared" si="672"/>
        <v>2437.1380235191186</v>
      </c>
      <c r="FN118" s="58">
        <f t="shared" si="590"/>
        <v>1160</v>
      </c>
      <c r="FO118" s="131"/>
      <c r="FP118" s="41">
        <f t="shared" si="741"/>
        <v>1160</v>
      </c>
      <c r="FQ118" s="58">
        <f t="shared" si="591"/>
        <v>86</v>
      </c>
      <c r="FR118" s="131"/>
      <c r="FS118" s="41">
        <f t="shared" si="656"/>
        <v>86</v>
      </c>
      <c r="FU118" s="118">
        <v>15</v>
      </c>
      <c r="FV118" s="9">
        <v>16</v>
      </c>
      <c r="FW118" s="129"/>
      <c r="FX118" s="11">
        <f t="shared" si="928"/>
        <v>14147</v>
      </c>
      <c r="FY118" s="57">
        <f t="shared" ref="FY118:FY138" si="972">IFERROR(FX118-GC118,0)</f>
        <v>14147</v>
      </c>
      <c r="FZ118" s="398"/>
      <c r="GA118" s="399"/>
      <c r="GB118" s="399"/>
      <c r="GC118" s="16">
        <f t="shared" si="690"/>
        <v>0</v>
      </c>
      <c r="GD118" s="11">
        <f t="shared" si="883"/>
        <v>44</v>
      </c>
      <c r="GE118" s="16">
        <f t="shared" si="592"/>
        <v>0.16</v>
      </c>
      <c r="GF118" s="47">
        <f t="shared" si="793"/>
        <v>0</v>
      </c>
      <c r="GG118" s="154">
        <f t="shared" si="593"/>
        <v>4.160000000000001</v>
      </c>
      <c r="GH118" s="157">
        <f t="shared" si="802"/>
        <v>0.31009937275354149</v>
      </c>
      <c r="GI118" s="130"/>
      <c r="GJ118" s="11">
        <f t="shared" si="594"/>
        <v>71</v>
      </c>
      <c r="GK118" s="442">
        <f t="shared" si="795"/>
        <v>0</v>
      </c>
      <c r="GL118" s="377">
        <f t="shared" si="675"/>
        <v>2115.7658400333685</v>
      </c>
      <c r="GM118" s="58">
        <f t="shared" si="595"/>
        <v>1160</v>
      </c>
      <c r="GN118" s="131"/>
      <c r="GO118" s="41">
        <f t="shared" si="742"/>
        <v>1160</v>
      </c>
      <c r="GP118" s="58">
        <f t="shared" si="596"/>
        <v>86</v>
      </c>
      <c r="GQ118" s="131"/>
      <c r="GR118" s="41">
        <f t="shared" si="657"/>
        <v>86</v>
      </c>
      <c r="GT118" s="118">
        <v>15</v>
      </c>
      <c r="GU118" s="9">
        <v>16</v>
      </c>
      <c r="GV118" s="129"/>
      <c r="GW118" s="11">
        <f t="shared" si="929"/>
        <v>9146</v>
      </c>
      <c r="GX118" s="57">
        <f t="shared" ref="GX118:GX138" si="973">IFERROR(GW118-HB118,0)</f>
        <v>9146</v>
      </c>
      <c r="GY118" s="398"/>
      <c r="GZ118" s="399"/>
      <c r="HA118" s="399"/>
      <c r="HB118" s="16">
        <f t="shared" si="692"/>
        <v>0</v>
      </c>
      <c r="HC118" s="11">
        <f t="shared" si="884"/>
        <v>36</v>
      </c>
      <c r="HD118" s="16">
        <f t="shared" si="597"/>
        <v>0.16</v>
      </c>
      <c r="HE118" s="47">
        <f t="shared" si="796"/>
        <v>0</v>
      </c>
      <c r="HF118" s="154">
        <f t="shared" si="598"/>
        <v>4.160000000000001</v>
      </c>
      <c r="HG118" s="157">
        <f t="shared" si="803"/>
        <v>0.3920714441298192</v>
      </c>
      <c r="HH118" s="130"/>
      <c r="HI118" s="11">
        <f t="shared" si="599"/>
        <v>71</v>
      </c>
      <c r="HJ118" s="442">
        <f t="shared" si="798"/>
        <v>0</v>
      </c>
      <c r="HK118" s="377">
        <f t="shared" si="678"/>
        <v>2261.5830127780196</v>
      </c>
      <c r="HL118" s="58">
        <f t="shared" si="600"/>
        <v>1160</v>
      </c>
      <c r="HM118" s="131"/>
      <c r="HN118" s="41">
        <f t="shared" si="743"/>
        <v>1160</v>
      </c>
      <c r="HO118" s="58">
        <f t="shared" si="601"/>
        <v>86</v>
      </c>
      <c r="HP118" s="131"/>
      <c r="HQ118" s="41">
        <f t="shared" si="658"/>
        <v>86</v>
      </c>
    </row>
    <row r="119" spans="1:225" ht="17.25" thickBot="1" x14ac:dyDescent="0.3">
      <c r="B119" s="120">
        <f>B118+1</f>
        <v>16</v>
      </c>
      <c r="C119" s="570">
        <f>C118</f>
        <v>16</v>
      </c>
      <c r="D119" s="133"/>
      <c r="E119" s="408">
        <f t="shared" si="696"/>
        <v>68543</v>
      </c>
      <c r="F119" s="562">
        <f t="shared" si="555"/>
        <v>68543</v>
      </c>
      <c r="G119" s="134"/>
      <c r="H119" s="135"/>
      <c r="I119" s="135"/>
      <c r="J119" s="13">
        <f t="shared" si="679"/>
        <v>0</v>
      </c>
      <c r="K119" s="14">
        <f t="shared" si="604"/>
        <v>5542</v>
      </c>
      <c r="L119" s="14">
        <f t="shared" si="556"/>
        <v>0.16</v>
      </c>
      <c r="M119" s="47">
        <f t="shared" si="605"/>
        <v>0</v>
      </c>
      <c r="N119" s="35">
        <f t="shared" si="557"/>
        <v>4.160000000000001</v>
      </c>
      <c r="O119" s="132">
        <f t="shared" si="606"/>
        <v>4.1090507366188938</v>
      </c>
      <c r="P119" s="142"/>
      <c r="Q119" s="14">
        <f t="shared" si="558"/>
        <v>71</v>
      </c>
      <c r="R119" s="480">
        <f t="shared" si="877"/>
        <v>0</v>
      </c>
      <c r="S119" s="470">
        <f t="shared" si="650"/>
        <v>3520.2686172807612</v>
      </c>
      <c r="T119" s="51">
        <f t="shared" si="560"/>
        <v>1160</v>
      </c>
      <c r="U119" s="103">
        <f>U118</f>
        <v>0</v>
      </c>
      <c r="V119" s="46">
        <f t="shared" si="608"/>
        <v>1160</v>
      </c>
      <c r="W119" s="51">
        <f t="shared" si="878"/>
        <v>86</v>
      </c>
      <c r="X119" s="103">
        <f>X118</f>
        <v>0</v>
      </c>
      <c r="Y119" s="46">
        <f t="shared" si="610"/>
        <v>86</v>
      </c>
      <c r="Z119" s="487"/>
      <c r="AA119" s="120">
        <f>AA118+1</f>
        <v>16</v>
      </c>
      <c r="AB119" s="7">
        <f>AB118</f>
        <v>16</v>
      </c>
      <c r="AC119" s="133"/>
      <c r="AD119" s="48">
        <f t="shared" si="879"/>
        <v>59287</v>
      </c>
      <c r="AE119" s="49">
        <f t="shared" si="966"/>
        <v>59287</v>
      </c>
      <c r="AF119" s="134"/>
      <c r="AG119" s="135"/>
      <c r="AH119" s="135"/>
      <c r="AI119" s="13">
        <f t="shared" si="889"/>
        <v>0</v>
      </c>
      <c r="AJ119" s="14">
        <f t="shared" si="910"/>
        <v>6432</v>
      </c>
      <c r="AK119" s="14">
        <f t="shared" si="562"/>
        <v>0.16</v>
      </c>
      <c r="AL119" s="47">
        <f t="shared" si="613"/>
        <v>0</v>
      </c>
      <c r="AM119" s="35">
        <f t="shared" si="563"/>
        <v>4.160000000000001</v>
      </c>
      <c r="AN119" s="157">
        <f t="shared" si="659"/>
        <v>4.1990912414477464</v>
      </c>
      <c r="AO119" s="134"/>
      <c r="AP119" s="14">
        <f t="shared" si="564"/>
        <v>71</v>
      </c>
      <c r="AQ119" s="480">
        <f t="shared" si="614"/>
        <v>0</v>
      </c>
      <c r="AR119" s="470">
        <f t="shared" si="799"/>
        <v>3681.7427283987504</v>
      </c>
      <c r="AS119" s="51">
        <f t="shared" si="565"/>
        <v>1160</v>
      </c>
      <c r="AT119" s="103">
        <f>AT118</f>
        <v>0</v>
      </c>
      <c r="AU119" s="46">
        <f t="shared" si="736"/>
        <v>1160</v>
      </c>
      <c r="AV119" s="51">
        <f t="shared" si="566"/>
        <v>86</v>
      </c>
      <c r="AW119" s="103">
        <f>AW118</f>
        <v>0</v>
      </c>
      <c r="AX119" s="46">
        <f t="shared" si="660"/>
        <v>86</v>
      </c>
      <c r="AZ119" s="120">
        <f>AZ118+1</f>
        <v>16</v>
      </c>
      <c r="BA119" s="7">
        <f>BA118</f>
        <v>16</v>
      </c>
      <c r="BB119" s="133"/>
      <c r="BC119" s="48">
        <f t="shared" si="967"/>
        <v>65336</v>
      </c>
      <c r="BD119" s="49">
        <f t="shared" si="968"/>
        <v>65336</v>
      </c>
      <c r="BE119" s="134"/>
      <c r="BF119" s="135"/>
      <c r="BG119" s="135"/>
      <c r="BH119" s="13">
        <f t="shared" si="893"/>
        <v>0</v>
      </c>
      <c r="BI119" s="14">
        <f t="shared" si="912"/>
        <v>1255</v>
      </c>
      <c r="BJ119" s="14">
        <f t="shared" si="567"/>
        <v>0.16</v>
      </c>
      <c r="BK119" s="47">
        <f t="shared" si="646"/>
        <v>0</v>
      </c>
      <c r="BL119" s="35">
        <f t="shared" si="568"/>
        <v>4.160000000000001</v>
      </c>
      <c r="BM119" s="132">
        <f t="shared" si="840"/>
        <v>1.757703081232493</v>
      </c>
      <c r="BN119" s="134"/>
      <c r="BO119" s="14">
        <f t="shared" si="569"/>
        <v>71</v>
      </c>
      <c r="BP119" s="442">
        <f t="shared" si="647"/>
        <v>0</v>
      </c>
      <c r="BQ119" s="747">
        <f t="shared" si="651"/>
        <v>3487.7310117165239</v>
      </c>
      <c r="BR119" s="51">
        <f t="shared" si="570"/>
        <v>1160</v>
      </c>
      <c r="BS119" s="103">
        <f>BS118</f>
        <v>0</v>
      </c>
      <c r="BT119" s="46">
        <f t="shared" si="737"/>
        <v>1160</v>
      </c>
      <c r="BU119" s="51">
        <f t="shared" si="571"/>
        <v>86</v>
      </c>
      <c r="BV119" s="103">
        <f>BV118</f>
        <v>0</v>
      </c>
      <c r="BW119" s="46">
        <f t="shared" si="661"/>
        <v>86</v>
      </c>
      <c r="BY119" s="120">
        <f>BY118+1</f>
        <v>16</v>
      </c>
      <c r="BZ119" s="7">
        <f>BZ118</f>
        <v>16</v>
      </c>
      <c r="CA119" s="133"/>
      <c r="CB119" s="14">
        <f t="shared" si="662"/>
        <v>14583</v>
      </c>
      <c r="CC119" s="46">
        <f t="shared" si="682"/>
        <v>14583</v>
      </c>
      <c r="CD119" s="405"/>
      <c r="CE119" s="406"/>
      <c r="CF119" s="406"/>
      <c r="CG119" s="13">
        <f t="shared" si="683"/>
        <v>0</v>
      </c>
      <c r="CH119" s="14">
        <f t="shared" si="663"/>
        <v>73</v>
      </c>
      <c r="CI119" s="13">
        <f t="shared" si="572"/>
        <v>0.16</v>
      </c>
      <c r="CJ119" s="47">
        <f t="shared" si="782"/>
        <v>0</v>
      </c>
      <c r="CK119" s="35">
        <f t="shared" si="573"/>
        <v>4.160000000000001</v>
      </c>
      <c r="CL119" s="157">
        <f t="shared" si="783"/>
        <v>0.49808951965065501</v>
      </c>
      <c r="CM119" s="134"/>
      <c r="CN119" s="14">
        <f t="shared" si="574"/>
        <v>71</v>
      </c>
      <c r="CO119" s="442">
        <f t="shared" si="784"/>
        <v>0</v>
      </c>
      <c r="CP119" s="68">
        <f t="shared" si="649"/>
        <v>1975.2862203652064</v>
      </c>
      <c r="CQ119" s="51">
        <f t="shared" si="575"/>
        <v>1160</v>
      </c>
      <c r="CR119" s="103">
        <f>CR118</f>
        <v>0</v>
      </c>
      <c r="CS119" s="46">
        <f t="shared" si="738"/>
        <v>1160</v>
      </c>
      <c r="CT119" s="12">
        <f t="shared" si="576"/>
        <v>86</v>
      </c>
      <c r="CU119" s="103">
        <f>CU118</f>
        <v>0</v>
      </c>
      <c r="CV119" s="46">
        <f t="shared" si="625"/>
        <v>86</v>
      </c>
      <c r="CX119" s="120">
        <f>CX118+1</f>
        <v>16</v>
      </c>
      <c r="CY119" s="7">
        <f>CY118</f>
        <v>16</v>
      </c>
      <c r="CZ119" s="133"/>
      <c r="DA119" s="14">
        <f t="shared" si="925"/>
        <v>14671</v>
      </c>
      <c r="DB119" s="46">
        <f t="shared" si="969"/>
        <v>14671</v>
      </c>
      <c r="DC119" s="405"/>
      <c r="DD119" s="406"/>
      <c r="DE119" s="406"/>
      <c r="DF119" s="13">
        <f t="shared" si="684"/>
        <v>0</v>
      </c>
      <c r="DG119" s="14">
        <f t="shared" si="880"/>
        <v>56</v>
      </c>
      <c r="DH119" s="13">
        <f t="shared" si="577"/>
        <v>0.16</v>
      </c>
      <c r="DI119" s="47">
        <f t="shared" si="785"/>
        <v>0</v>
      </c>
      <c r="DJ119" s="35">
        <f t="shared" si="578"/>
        <v>4.160000000000001</v>
      </c>
      <c r="DK119" s="157">
        <f t="shared" si="786"/>
        <v>0.38035726414453574</v>
      </c>
      <c r="DL119" s="134"/>
      <c r="DM119" s="14">
        <f t="shared" si="579"/>
        <v>71</v>
      </c>
      <c r="DN119" s="442">
        <f t="shared" si="787"/>
        <v>0</v>
      </c>
      <c r="DO119" s="68">
        <f t="shared" si="666"/>
        <v>2052.9886076744156</v>
      </c>
      <c r="DP119" s="51">
        <f t="shared" si="580"/>
        <v>1160</v>
      </c>
      <c r="DQ119" s="103">
        <f>DQ118</f>
        <v>0</v>
      </c>
      <c r="DR119" s="46">
        <f t="shared" si="739"/>
        <v>1160</v>
      </c>
      <c r="DS119" s="12">
        <f t="shared" si="581"/>
        <v>86</v>
      </c>
      <c r="DT119" s="103">
        <f>DT118</f>
        <v>0</v>
      </c>
      <c r="DU119" s="46">
        <f t="shared" si="654"/>
        <v>86</v>
      </c>
      <c r="DW119" s="120">
        <f>DW118+1</f>
        <v>16</v>
      </c>
      <c r="DX119" s="7">
        <f>DX118</f>
        <v>16</v>
      </c>
      <c r="DY119" s="133"/>
      <c r="DZ119" s="14">
        <f t="shared" si="926"/>
        <v>14466</v>
      </c>
      <c r="EA119" s="46">
        <f t="shared" si="970"/>
        <v>14466</v>
      </c>
      <c r="EB119" s="405"/>
      <c r="EC119" s="406"/>
      <c r="ED119" s="406"/>
      <c r="EE119" s="13">
        <f t="shared" si="686"/>
        <v>0</v>
      </c>
      <c r="EF119" s="14">
        <f t="shared" si="881"/>
        <v>81</v>
      </c>
      <c r="EG119" s="13">
        <f t="shared" si="582"/>
        <v>0.16</v>
      </c>
      <c r="EH119" s="47">
        <f t="shared" si="788"/>
        <v>0</v>
      </c>
      <c r="EI119" s="35">
        <f t="shared" si="583"/>
        <v>4.160000000000001</v>
      </c>
      <c r="EJ119" s="157">
        <f t="shared" si="800"/>
        <v>0.55708390646492434</v>
      </c>
      <c r="EK119" s="134"/>
      <c r="EL119" s="14">
        <f t="shared" si="584"/>
        <v>71</v>
      </c>
      <c r="EM119" s="442">
        <f t="shared" si="789"/>
        <v>0</v>
      </c>
      <c r="EN119" s="68">
        <f t="shared" si="669"/>
        <v>2297.0468525697056</v>
      </c>
      <c r="EO119" s="51">
        <f t="shared" si="585"/>
        <v>1160</v>
      </c>
      <c r="EP119" s="103">
        <f>EP118</f>
        <v>0</v>
      </c>
      <c r="EQ119" s="46">
        <f t="shared" si="740"/>
        <v>1160</v>
      </c>
      <c r="ER119" s="12">
        <f t="shared" si="586"/>
        <v>86</v>
      </c>
      <c r="ES119" s="103">
        <f>ES118</f>
        <v>0</v>
      </c>
      <c r="ET119" s="46">
        <f t="shared" si="655"/>
        <v>86</v>
      </c>
      <c r="EV119" s="120">
        <f>EV118+1</f>
        <v>16</v>
      </c>
      <c r="EW119" s="7">
        <f>EW118</f>
        <v>16</v>
      </c>
      <c r="EX119" s="133"/>
      <c r="EY119" s="14">
        <f t="shared" si="927"/>
        <v>14167</v>
      </c>
      <c r="EZ119" s="46">
        <f t="shared" si="971"/>
        <v>14167</v>
      </c>
      <c r="FA119" s="405"/>
      <c r="FB119" s="406"/>
      <c r="FC119" s="406"/>
      <c r="FD119" s="13">
        <f t="shared" si="688"/>
        <v>0</v>
      </c>
      <c r="FE119" s="14">
        <f t="shared" si="882"/>
        <v>71</v>
      </c>
      <c r="FF119" s="13">
        <f t="shared" si="587"/>
        <v>0.16</v>
      </c>
      <c r="FG119" s="47">
        <f t="shared" si="790"/>
        <v>0</v>
      </c>
      <c r="FH119" s="35">
        <f t="shared" si="588"/>
        <v>4.160000000000001</v>
      </c>
      <c r="FI119" s="157">
        <f t="shared" si="801"/>
        <v>0.49877063575693714</v>
      </c>
      <c r="FJ119" s="134"/>
      <c r="FK119" s="14">
        <f t="shared" si="589"/>
        <v>71</v>
      </c>
      <c r="FL119" s="442">
        <f t="shared" si="792"/>
        <v>0</v>
      </c>
      <c r="FM119" s="68">
        <f t="shared" si="672"/>
        <v>2437.1380235191186</v>
      </c>
      <c r="FN119" s="51">
        <f t="shared" si="590"/>
        <v>1160</v>
      </c>
      <c r="FO119" s="103">
        <f>FO118</f>
        <v>0</v>
      </c>
      <c r="FP119" s="46">
        <f t="shared" si="741"/>
        <v>1160</v>
      </c>
      <c r="FQ119" s="12">
        <f t="shared" si="591"/>
        <v>86</v>
      </c>
      <c r="FR119" s="103">
        <f>FR118</f>
        <v>0</v>
      </c>
      <c r="FS119" s="46">
        <f t="shared" si="656"/>
        <v>86</v>
      </c>
      <c r="FU119" s="120">
        <f>FU118+1</f>
        <v>16</v>
      </c>
      <c r="FV119" s="7">
        <f>FV118</f>
        <v>16</v>
      </c>
      <c r="FW119" s="133"/>
      <c r="FX119" s="14">
        <f t="shared" si="928"/>
        <v>14147</v>
      </c>
      <c r="FY119" s="46">
        <f t="shared" si="972"/>
        <v>14147</v>
      </c>
      <c r="FZ119" s="405"/>
      <c r="GA119" s="406"/>
      <c r="GB119" s="406"/>
      <c r="GC119" s="13">
        <f t="shared" si="690"/>
        <v>0</v>
      </c>
      <c r="GD119" s="14">
        <f t="shared" si="883"/>
        <v>44</v>
      </c>
      <c r="GE119" s="13">
        <f t="shared" si="592"/>
        <v>0.16</v>
      </c>
      <c r="GF119" s="47">
        <f t="shared" si="793"/>
        <v>0</v>
      </c>
      <c r="GG119" s="35">
        <f t="shared" si="593"/>
        <v>4.160000000000001</v>
      </c>
      <c r="GH119" s="157">
        <f t="shared" si="802"/>
        <v>0.31009937275354149</v>
      </c>
      <c r="GI119" s="134"/>
      <c r="GJ119" s="14">
        <f t="shared" si="594"/>
        <v>71</v>
      </c>
      <c r="GK119" s="442">
        <f t="shared" si="795"/>
        <v>0</v>
      </c>
      <c r="GL119" s="68">
        <f t="shared" si="675"/>
        <v>2115.7658400333685</v>
      </c>
      <c r="GM119" s="51">
        <f t="shared" si="595"/>
        <v>1160</v>
      </c>
      <c r="GN119" s="103">
        <f>GN118</f>
        <v>0</v>
      </c>
      <c r="GO119" s="46">
        <f t="shared" si="742"/>
        <v>1160</v>
      </c>
      <c r="GP119" s="12">
        <f t="shared" si="596"/>
        <v>86</v>
      </c>
      <c r="GQ119" s="103">
        <f>GQ118</f>
        <v>0</v>
      </c>
      <c r="GR119" s="46">
        <f t="shared" si="657"/>
        <v>86</v>
      </c>
      <c r="GT119" s="120">
        <f>GT118+1</f>
        <v>16</v>
      </c>
      <c r="GU119" s="7">
        <f>GU118</f>
        <v>16</v>
      </c>
      <c r="GV119" s="133"/>
      <c r="GW119" s="14">
        <f t="shared" si="929"/>
        <v>9146</v>
      </c>
      <c r="GX119" s="46">
        <f t="shared" si="973"/>
        <v>9146</v>
      </c>
      <c r="GY119" s="405"/>
      <c r="GZ119" s="406"/>
      <c r="HA119" s="406"/>
      <c r="HB119" s="13">
        <f t="shared" si="692"/>
        <v>0</v>
      </c>
      <c r="HC119" s="14">
        <f t="shared" si="884"/>
        <v>36</v>
      </c>
      <c r="HD119" s="13">
        <f t="shared" si="597"/>
        <v>0.16</v>
      </c>
      <c r="HE119" s="47">
        <f t="shared" si="796"/>
        <v>0</v>
      </c>
      <c r="HF119" s="35">
        <f t="shared" si="598"/>
        <v>4.160000000000001</v>
      </c>
      <c r="HG119" s="157">
        <f t="shared" si="803"/>
        <v>0.3920714441298192</v>
      </c>
      <c r="HH119" s="134"/>
      <c r="HI119" s="14">
        <f t="shared" si="599"/>
        <v>71</v>
      </c>
      <c r="HJ119" s="442">
        <f t="shared" si="798"/>
        <v>0</v>
      </c>
      <c r="HK119" s="68">
        <f t="shared" si="678"/>
        <v>2261.5830127780196</v>
      </c>
      <c r="HL119" s="51">
        <f t="shared" si="600"/>
        <v>1160</v>
      </c>
      <c r="HM119" s="103">
        <f>HM118</f>
        <v>0</v>
      </c>
      <c r="HN119" s="46">
        <f t="shared" si="743"/>
        <v>1160</v>
      </c>
      <c r="HO119" s="12">
        <f t="shared" si="601"/>
        <v>86</v>
      </c>
      <c r="HP119" s="103">
        <f>HP118</f>
        <v>0</v>
      </c>
      <c r="HQ119" s="46">
        <f t="shared" si="658"/>
        <v>86</v>
      </c>
    </row>
    <row r="120" spans="1:225" ht="17.25" thickBot="1" x14ac:dyDescent="0.3">
      <c r="B120" s="120">
        <f t="shared" ref="B120:B124" si="974">B119+1</f>
        <v>17</v>
      </c>
      <c r="C120" s="570">
        <f t="shared" ref="C120:C124" si="975">C119</f>
        <v>16</v>
      </c>
      <c r="D120" s="133"/>
      <c r="E120" s="563">
        <f t="shared" si="696"/>
        <v>68543</v>
      </c>
      <c r="F120" s="560">
        <f t="shared" si="555"/>
        <v>68543</v>
      </c>
      <c r="G120" s="204"/>
      <c r="H120" s="135"/>
      <c r="I120" s="135"/>
      <c r="J120" s="13">
        <f t="shared" si="679"/>
        <v>0</v>
      </c>
      <c r="K120" s="14">
        <f t="shared" si="604"/>
        <v>5542</v>
      </c>
      <c r="L120" s="14">
        <f t="shared" si="556"/>
        <v>0.16</v>
      </c>
      <c r="M120" s="231">
        <f t="shared" si="605"/>
        <v>0</v>
      </c>
      <c r="N120" s="35">
        <f t="shared" si="557"/>
        <v>4.160000000000001</v>
      </c>
      <c r="O120" s="132">
        <f t="shared" si="606"/>
        <v>4.1090507366188938</v>
      </c>
      <c r="P120" s="142"/>
      <c r="Q120" s="14">
        <f t="shared" si="558"/>
        <v>71</v>
      </c>
      <c r="R120" s="482">
        <f t="shared" si="877"/>
        <v>0</v>
      </c>
      <c r="S120" s="470">
        <f t="shared" si="650"/>
        <v>3520.2686172807612</v>
      </c>
      <c r="T120" s="51">
        <f t="shared" si="560"/>
        <v>1160</v>
      </c>
      <c r="U120" s="103">
        <f t="shared" ref="U120:U124" si="976">U119</f>
        <v>0</v>
      </c>
      <c r="V120" s="46">
        <f t="shared" si="608"/>
        <v>1160</v>
      </c>
      <c r="W120" s="12">
        <f t="shared" si="878"/>
        <v>86</v>
      </c>
      <c r="X120" s="103">
        <f t="shared" ref="X120:X124" si="977">X119</f>
        <v>0</v>
      </c>
      <c r="Y120" s="46">
        <f t="shared" si="610"/>
        <v>86</v>
      </c>
      <c r="Z120" s="487"/>
      <c r="AA120" s="120">
        <f t="shared" ref="AA120:AA124" si="978">AA119+1</f>
        <v>17</v>
      </c>
      <c r="AB120" s="7">
        <f t="shared" ref="AB120:AB124" si="979">AB119</f>
        <v>16</v>
      </c>
      <c r="AC120" s="133"/>
      <c r="AD120" s="48">
        <f t="shared" si="879"/>
        <v>59287</v>
      </c>
      <c r="AE120" s="447">
        <f t="shared" si="966"/>
        <v>59287</v>
      </c>
      <c r="AF120" s="134"/>
      <c r="AG120" s="135"/>
      <c r="AH120" s="135"/>
      <c r="AI120" s="13">
        <f t="shared" si="889"/>
        <v>0</v>
      </c>
      <c r="AJ120" s="14">
        <f t="shared" si="910"/>
        <v>6432</v>
      </c>
      <c r="AK120" s="14">
        <f t="shared" si="562"/>
        <v>0.16</v>
      </c>
      <c r="AL120" s="231">
        <f t="shared" si="613"/>
        <v>0</v>
      </c>
      <c r="AM120" s="35">
        <f t="shared" si="563"/>
        <v>4.160000000000001</v>
      </c>
      <c r="AN120" s="157">
        <f t="shared" si="659"/>
        <v>4.1990912414477464</v>
      </c>
      <c r="AO120" s="134"/>
      <c r="AP120" s="14">
        <f t="shared" si="564"/>
        <v>71</v>
      </c>
      <c r="AQ120" s="482">
        <f t="shared" si="614"/>
        <v>0</v>
      </c>
      <c r="AR120" s="470">
        <f t="shared" si="799"/>
        <v>3681.7427283987504</v>
      </c>
      <c r="AS120" s="51">
        <f t="shared" si="565"/>
        <v>1160</v>
      </c>
      <c r="AT120" s="103">
        <f t="shared" ref="AT120:AT124" si="980">AT119</f>
        <v>0</v>
      </c>
      <c r="AU120" s="46">
        <f t="shared" si="736"/>
        <v>1160</v>
      </c>
      <c r="AV120" s="12">
        <f t="shared" si="566"/>
        <v>86</v>
      </c>
      <c r="AW120" s="103">
        <f t="shared" ref="AW120:AW124" si="981">AW119</f>
        <v>0</v>
      </c>
      <c r="AX120" s="46">
        <f t="shared" si="660"/>
        <v>86</v>
      </c>
      <c r="AZ120" s="120">
        <f t="shared" ref="AZ120:AZ124" si="982">AZ119+1</f>
        <v>17</v>
      </c>
      <c r="BA120" s="7">
        <f t="shared" ref="BA120:BA124" si="983">BA119</f>
        <v>16</v>
      </c>
      <c r="BB120" s="133"/>
      <c r="BC120" s="48">
        <f t="shared" si="967"/>
        <v>65336</v>
      </c>
      <c r="BD120" s="447">
        <f t="shared" si="968"/>
        <v>65336</v>
      </c>
      <c r="BE120" s="134"/>
      <c r="BF120" s="135"/>
      <c r="BG120" s="135"/>
      <c r="BH120" s="13">
        <f t="shared" si="893"/>
        <v>0</v>
      </c>
      <c r="BI120" s="14">
        <f t="shared" si="912"/>
        <v>1255</v>
      </c>
      <c r="BJ120" s="14">
        <f t="shared" si="567"/>
        <v>0.16</v>
      </c>
      <c r="BK120" s="47">
        <f t="shared" si="646"/>
        <v>0</v>
      </c>
      <c r="BL120" s="35">
        <f t="shared" si="568"/>
        <v>4.160000000000001</v>
      </c>
      <c r="BM120" s="132">
        <f t="shared" si="840"/>
        <v>1.757703081232493</v>
      </c>
      <c r="BN120" s="134"/>
      <c r="BO120" s="14">
        <f t="shared" si="569"/>
        <v>71</v>
      </c>
      <c r="BP120" s="442">
        <f t="shared" si="647"/>
        <v>0</v>
      </c>
      <c r="BQ120" s="747">
        <f t="shared" si="651"/>
        <v>3487.7310117165239</v>
      </c>
      <c r="BR120" s="51">
        <f t="shared" si="570"/>
        <v>1160</v>
      </c>
      <c r="BS120" s="103">
        <f t="shared" ref="BS120:BS124" si="984">BS119</f>
        <v>0</v>
      </c>
      <c r="BT120" s="46">
        <f t="shared" si="737"/>
        <v>1160</v>
      </c>
      <c r="BU120" s="12">
        <f t="shared" si="571"/>
        <v>86</v>
      </c>
      <c r="BV120" s="103">
        <f t="shared" ref="BV120:BV124" si="985">BV119</f>
        <v>0</v>
      </c>
      <c r="BW120" s="46">
        <f t="shared" si="661"/>
        <v>86</v>
      </c>
      <c r="BY120" s="120">
        <f t="shared" ref="BY120:BY123" si="986">BY119+1</f>
        <v>17</v>
      </c>
      <c r="BZ120" s="7">
        <f t="shared" ref="BZ120:BZ124" si="987">BZ119</f>
        <v>16</v>
      </c>
      <c r="CA120" s="133"/>
      <c r="CB120" s="14">
        <f t="shared" si="662"/>
        <v>14583</v>
      </c>
      <c r="CC120" s="62">
        <f t="shared" si="682"/>
        <v>14583</v>
      </c>
      <c r="CD120" s="405"/>
      <c r="CE120" s="406"/>
      <c r="CF120" s="406"/>
      <c r="CG120" s="13">
        <f t="shared" si="683"/>
        <v>0</v>
      </c>
      <c r="CH120" s="14">
        <f t="shared" si="663"/>
        <v>73</v>
      </c>
      <c r="CI120" s="14">
        <f t="shared" si="572"/>
        <v>0.16</v>
      </c>
      <c r="CJ120" s="47">
        <f t="shared" si="782"/>
        <v>0</v>
      </c>
      <c r="CK120" s="35">
        <f t="shared" si="573"/>
        <v>4.160000000000001</v>
      </c>
      <c r="CL120" s="157">
        <f t="shared" si="783"/>
        <v>0.49808951965065501</v>
      </c>
      <c r="CM120" s="134"/>
      <c r="CN120" s="14">
        <f t="shared" si="574"/>
        <v>71</v>
      </c>
      <c r="CO120" s="442">
        <f t="shared" si="784"/>
        <v>0</v>
      </c>
      <c r="CP120" s="68">
        <f t="shared" si="649"/>
        <v>1975.2862203652064</v>
      </c>
      <c r="CQ120" s="51">
        <f t="shared" si="575"/>
        <v>1160</v>
      </c>
      <c r="CR120" s="103">
        <f t="shared" ref="CR120:CR124" si="988">CR119</f>
        <v>0</v>
      </c>
      <c r="CS120" s="46">
        <f t="shared" si="738"/>
        <v>1160</v>
      </c>
      <c r="CT120" s="50">
        <f t="shared" si="576"/>
        <v>86</v>
      </c>
      <c r="CU120" s="103">
        <f t="shared" ref="CU120:CU124" si="989">CU119</f>
        <v>0</v>
      </c>
      <c r="CV120" s="46">
        <f t="shared" si="625"/>
        <v>86</v>
      </c>
      <c r="CX120" s="120">
        <f t="shared" ref="CX120:CX123" si="990">CX119+1</f>
        <v>17</v>
      </c>
      <c r="CY120" s="7">
        <f t="shared" ref="CY120:CY124" si="991">CY119</f>
        <v>16</v>
      </c>
      <c r="CZ120" s="133"/>
      <c r="DA120" s="14">
        <f t="shared" si="925"/>
        <v>14671</v>
      </c>
      <c r="DB120" s="62">
        <f t="shared" si="969"/>
        <v>14671</v>
      </c>
      <c r="DC120" s="405"/>
      <c r="DD120" s="406"/>
      <c r="DE120" s="406"/>
      <c r="DF120" s="13">
        <f t="shared" si="684"/>
        <v>0</v>
      </c>
      <c r="DG120" s="14">
        <f t="shared" si="880"/>
        <v>56</v>
      </c>
      <c r="DH120" s="14">
        <f t="shared" si="577"/>
        <v>0.16</v>
      </c>
      <c r="DI120" s="47">
        <f t="shared" si="785"/>
        <v>0</v>
      </c>
      <c r="DJ120" s="35">
        <f t="shared" si="578"/>
        <v>4.160000000000001</v>
      </c>
      <c r="DK120" s="157">
        <f t="shared" si="786"/>
        <v>0.38035726414453574</v>
      </c>
      <c r="DL120" s="134"/>
      <c r="DM120" s="14">
        <f t="shared" si="579"/>
        <v>71</v>
      </c>
      <c r="DN120" s="442">
        <f t="shared" si="787"/>
        <v>0</v>
      </c>
      <c r="DO120" s="68">
        <f t="shared" si="666"/>
        <v>2052.9886076744156</v>
      </c>
      <c r="DP120" s="51">
        <f t="shared" si="580"/>
        <v>1160</v>
      </c>
      <c r="DQ120" s="103">
        <f t="shared" ref="DQ120:DQ124" si="992">DQ119</f>
        <v>0</v>
      </c>
      <c r="DR120" s="46">
        <f t="shared" si="739"/>
        <v>1160</v>
      </c>
      <c r="DS120" s="50">
        <f t="shared" si="581"/>
        <v>86</v>
      </c>
      <c r="DT120" s="103">
        <f t="shared" ref="DT120:DT124" si="993">DT119</f>
        <v>0</v>
      </c>
      <c r="DU120" s="46">
        <f t="shared" si="654"/>
        <v>86</v>
      </c>
      <c r="DW120" s="120">
        <f t="shared" ref="DW120:DW123" si="994">DW119+1</f>
        <v>17</v>
      </c>
      <c r="DX120" s="7">
        <f t="shared" ref="DX120:DX124" si="995">DX119</f>
        <v>16</v>
      </c>
      <c r="DY120" s="133"/>
      <c r="DZ120" s="14">
        <f t="shared" si="926"/>
        <v>14466</v>
      </c>
      <c r="EA120" s="62">
        <f t="shared" si="970"/>
        <v>14466</v>
      </c>
      <c r="EB120" s="405"/>
      <c r="EC120" s="406"/>
      <c r="ED120" s="406"/>
      <c r="EE120" s="13">
        <f t="shared" si="686"/>
        <v>0</v>
      </c>
      <c r="EF120" s="14">
        <f t="shared" si="881"/>
        <v>81</v>
      </c>
      <c r="EG120" s="14">
        <f t="shared" si="582"/>
        <v>0.16</v>
      </c>
      <c r="EH120" s="47">
        <f t="shared" si="788"/>
        <v>0</v>
      </c>
      <c r="EI120" s="35">
        <f t="shared" si="583"/>
        <v>4.160000000000001</v>
      </c>
      <c r="EJ120" s="157">
        <f t="shared" si="800"/>
        <v>0.55708390646492434</v>
      </c>
      <c r="EK120" s="134"/>
      <c r="EL120" s="14">
        <f t="shared" si="584"/>
        <v>71</v>
      </c>
      <c r="EM120" s="442">
        <f t="shared" si="789"/>
        <v>0</v>
      </c>
      <c r="EN120" s="68">
        <f t="shared" si="669"/>
        <v>2297.0468525697056</v>
      </c>
      <c r="EO120" s="51">
        <f t="shared" si="585"/>
        <v>1160</v>
      </c>
      <c r="EP120" s="103">
        <f t="shared" ref="EP120:EP124" si="996">EP119</f>
        <v>0</v>
      </c>
      <c r="EQ120" s="46">
        <f t="shared" si="740"/>
        <v>1160</v>
      </c>
      <c r="ER120" s="50">
        <f t="shared" si="586"/>
        <v>86</v>
      </c>
      <c r="ES120" s="103">
        <f t="shared" ref="ES120:ES124" si="997">ES119</f>
        <v>0</v>
      </c>
      <c r="ET120" s="46">
        <f t="shared" si="655"/>
        <v>86</v>
      </c>
      <c r="EV120" s="120">
        <f t="shared" ref="EV120:EV123" si="998">EV119+1</f>
        <v>17</v>
      </c>
      <c r="EW120" s="7">
        <f t="shared" ref="EW120:EW124" si="999">EW119</f>
        <v>16</v>
      </c>
      <c r="EX120" s="133"/>
      <c r="EY120" s="14">
        <f t="shared" si="927"/>
        <v>14167</v>
      </c>
      <c r="EZ120" s="62">
        <f t="shared" si="971"/>
        <v>14167</v>
      </c>
      <c r="FA120" s="405"/>
      <c r="FB120" s="406"/>
      <c r="FC120" s="406"/>
      <c r="FD120" s="13">
        <f t="shared" si="688"/>
        <v>0</v>
      </c>
      <c r="FE120" s="14">
        <f t="shared" si="882"/>
        <v>71</v>
      </c>
      <c r="FF120" s="14">
        <f t="shared" si="587"/>
        <v>0.16</v>
      </c>
      <c r="FG120" s="47">
        <f t="shared" si="790"/>
        <v>0</v>
      </c>
      <c r="FH120" s="35">
        <f t="shared" si="588"/>
        <v>4.160000000000001</v>
      </c>
      <c r="FI120" s="157">
        <f t="shared" si="801"/>
        <v>0.49877063575693714</v>
      </c>
      <c r="FJ120" s="134"/>
      <c r="FK120" s="14">
        <f t="shared" si="589"/>
        <v>71</v>
      </c>
      <c r="FL120" s="442">
        <f t="shared" si="792"/>
        <v>0</v>
      </c>
      <c r="FM120" s="68">
        <f t="shared" si="672"/>
        <v>2437.1380235191186</v>
      </c>
      <c r="FN120" s="51">
        <f t="shared" si="590"/>
        <v>1160</v>
      </c>
      <c r="FO120" s="103">
        <f t="shared" ref="FO120:FO124" si="1000">FO119</f>
        <v>0</v>
      </c>
      <c r="FP120" s="46">
        <f t="shared" si="741"/>
        <v>1160</v>
      </c>
      <c r="FQ120" s="50">
        <f t="shared" si="591"/>
        <v>86</v>
      </c>
      <c r="FR120" s="103">
        <f t="shared" ref="FR120:FR124" si="1001">FR119</f>
        <v>0</v>
      </c>
      <c r="FS120" s="46">
        <f t="shared" si="656"/>
        <v>86</v>
      </c>
      <c r="FU120" s="120">
        <f t="shared" ref="FU120:FU123" si="1002">FU119+1</f>
        <v>17</v>
      </c>
      <c r="FV120" s="7">
        <f t="shared" ref="FV120:FV124" si="1003">FV119</f>
        <v>16</v>
      </c>
      <c r="FW120" s="133"/>
      <c r="FX120" s="14">
        <f t="shared" si="928"/>
        <v>14147</v>
      </c>
      <c r="FY120" s="62">
        <f t="shared" si="972"/>
        <v>14147</v>
      </c>
      <c r="FZ120" s="405"/>
      <c r="GA120" s="406"/>
      <c r="GB120" s="406"/>
      <c r="GC120" s="13">
        <f t="shared" si="690"/>
        <v>0</v>
      </c>
      <c r="GD120" s="14">
        <f t="shared" si="883"/>
        <v>44</v>
      </c>
      <c r="GE120" s="14">
        <f t="shared" si="592"/>
        <v>0.16</v>
      </c>
      <c r="GF120" s="47">
        <f t="shared" si="793"/>
        <v>0</v>
      </c>
      <c r="GG120" s="35">
        <f t="shared" si="593"/>
        <v>4.160000000000001</v>
      </c>
      <c r="GH120" s="157">
        <f t="shared" si="802"/>
        <v>0.31009937275354149</v>
      </c>
      <c r="GI120" s="134"/>
      <c r="GJ120" s="14">
        <f t="shared" si="594"/>
        <v>71</v>
      </c>
      <c r="GK120" s="442">
        <f t="shared" si="795"/>
        <v>0</v>
      </c>
      <c r="GL120" s="68">
        <f t="shared" si="675"/>
        <v>2115.7658400333685</v>
      </c>
      <c r="GM120" s="51">
        <f t="shared" si="595"/>
        <v>1160</v>
      </c>
      <c r="GN120" s="103">
        <f t="shared" ref="GN120:GN124" si="1004">GN119</f>
        <v>0</v>
      </c>
      <c r="GO120" s="46">
        <f t="shared" si="742"/>
        <v>1160</v>
      </c>
      <c r="GP120" s="50">
        <f t="shared" si="596"/>
        <v>86</v>
      </c>
      <c r="GQ120" s="103">
        <f t="shared" ref="GQ120:GQ124" si="1005">GQ119</f>
        <v>0</v>
      </c>
      <c r="GR120" s="46">
        <f t="shared" si="657"/>
        <v>86</v>
      </c>
      <c r="GT120" s="120">
        <f t="shared" ref="GT120:GT123" si="1006">GT119+1</f>
        <v>17</v>
      </c>
      <c r="GU120" s="7">
        <f t="shared" ref="GU120:GU124" si="1007">GU119</f>
        <v>16</v>
      </c>
      <c r="GV120" s="133"/>
      <c r="GW120" s="14">
        <f t="shared" si="929"/>
        <v>9146</v>
      </c>
      <c r="GX120" s="62">
        <f t="shared" si="973"/>
        <v>9146</v>
      </c>
      <c r="GY120" s="405"/>
      <c r="GZ120" s="406"/>
      <c r="HA120" s="406"/>
      <c r="HB120" s="13">
        <f t="shared" si="692"/>
        <v>0</v>
      </c>
      <c r="HC120" s="14">
        <f t="shared" si="884"/>
        <v>36</v>
      </c>
      <c r="HD120" s="14">
        <f t="shared" si="597"/>
        <v>0.16</v>
      </c>
      <c r="HE120" s="47">
        <f t="shared" si="796"/>
        <v>0</v>
      </c>
      <c r="HF120" s="35">
        <f t="shared" si="598"/>
        <v>4.160000000000001</v>
      </c>
      <c r="HG120" s="157">
        <f t="shared" si="803"/>
        <v>0.3920714441298192</v>
      </c>
      <c r="HH120" s="134"/>
      <c r="HI120" s="14">
        <f t="shared" si="599"/>
        <v>71</v>
      </c>
      <c r="HJ120" s="442">
        <f t="shared" si="798"/>
        <v>0</v>
      </c>
      <c r="HK120" s="68">
        <f t="shared" si="678"/>
        <v>2261.5830127780196</v>
      </c>
      <c r="HL120" s="51">
        <f t="shared" si="600"/>
        <v>1160</v>
      </c>
      <c r="HM120" s="103">
        <f t="shared" ref="HM120:HM124" si="1008">HM119</f>
        <v>0</v>
      </c>
      <c r="HN120" s="46">
        <f t="shared" si="743"/>
        <v>1160</v>
      </c>
      <c r="HO120" s="50">
        <f t="shared" si="601"/>
        <v>86</v>
      </c>
      <c r="HP120" s="103">
        <f t="shared" ref="HP120:HP124" si="1009">HP119</f>
        <v>0</v>
      </c>
      <c r="HQ120" s="46">
        <f t="shared" si="658"/>
        <v>86</v>
      </c>
    </row>
    <row r="121" spans="1:225" ht="17.25" thickBot="1" x14ac:dyDescent="0.3">
      <c r="B121" s="120">
        <f t="shared" si="974"/>
        <v>18</v>
      </c>
      <c r="C121" s="570">
        <f t="shared" si="975"/>
        <v>16</v>
      </c>
      <c r="D121" s="133"/>
      <c r="E121" s="408">
        <f t="shared" si="696"/>
        <v>68543</v>
      </c>
      <c r="F121" s="562">
        <f t="shared" si="555"/>
        <v>68543</v>
      </c>
      <c r="G121" s="134"/>
      <c r="H121" s="135"/>
      <c r="I121" s="135"/>
      <c r="J121" s="13">
        <f t="shared" si="679"/>
        <v>0</v>
      </c>
      <c r="K121" s="14">
        <f t="shared" si="604"/>
        <v>5542</v>
      </c>
      <c r="L121" s="14">
        <f t="shared" si="556"/>
        <v>0.16</v>
      </c>
      <c r="M121" s="230">
        <f t="shared" si="605"/>
        <v>0</v>
      </c>
      <c r="N121" s="35">
        <f t="shared" si="557"/>
        <v>4.160000000000001</v>
      </c>
      <c r="O121" s="132">
        <f t="shared" si="606"/>
        <v>4.1090507366188938</v>
      </c>
      <c r="P121" s="142"/>
      <c r="Q121" s="14">
        <f t="shared" si="558"/>
        <v>71</v>
      </c>
      <c r="R121" s="482">
        <f t="shared" si="877"/>
        <v>0</v>
      </c>
      <c r="S121" s="470">
        <f t="shared" si="650"/>
        <v>3520.2686172807612</v>
      </c>
      <c r="T121" s="51">
        <f t="shared" si="560"/>
        <v>1160</v>
      </c>
      <c r="U121" s="103">
        <f t="shared" si="976"/>
        <v>0</v>
      </c>
      <c r="V121" s="46">
        <f t="shared" si="608"/>
        <v>1160</v>
      </c>
      <c r="W121" s="51">
        <f t="shared" si="878"/>
        <v>86</v>
      </c>
      <c r="X121" s="103">
        <f t="shared" si="977"/>
        <v>0</v>
      </c>
      <c r="Y121" s="46">
        <f t="shared" si="610"/>
        <v>86</v>
      </c>
      <c r="Z121" s="487"/>
      <c r="AA121" s="120">
        <f t="shared" si="978"/>
        <v>18</v>
      </c>
      <c r="AB121" s="7">
        <f t="shared" si="979"/>
        <v>16</v>
      </c>
      <c r="AC121" s="133"/>
      <c r="AD121" s="48">
        <f t="shared" si="879"/>
        <v>59287</v>
      </c>
      <c r="AE121" s="196">
        <f t="shared" si="966"/>
        <v>59287</v>
      </c>
      <c r="AF121" s="134"/>
      <c r="AG121" s="135"/>
      <c r="AH121" s="135"/>
      <c r="AI121" s="13">
        <f t="shared" si="889"/>
        <v>0</v>
      </c>
      <c r="AJ121" s="14">
        <f t="shared" si="910"/>
        <v>6432</v>
      </c>
      <c r="AK121" s="14">
        <f t="shared" si="562"/>
        <v>0.16</v>
      </c>
      <c r="AL121" s="230">
        <f t="shared" si="613"/>
        <v>0</v>
      </c>
      <c r="AM121" s="35">
        <f t="shared" si="563"/>
        <v>4.160000000000001</v>
      </c>
      <c r="AN121" s="157">
        <f t="shared" si="659"/>
        <v>4.1990912414477464</v>
      </c>
      <c r="AO121" s="134"/>
      <c r="AP121" s="14">
        <f t="shared" si="564"/>
        <v>71</v>
      </c>
      <c r="AQ121" s="482">
        <f t="shared" si="614"/>
        <v>0</v>
      </c>
      <c r="AR121" s="470">
        <f t="shared" si="799"/>
        <v>3681.7427283987504</v>
      </c>
      <c r="AS121" s="51">
        <f t="shared" si="565"/>
        <v>1160</v>
      </c>
      <c r="AT121" s="103">
        <f t="shared" si="980"/>
        <v>0</v>
      </c>
      <c r="AU121" s="46">
        <f t="shared" si="736"/>
        <v>1160</v>
      </c>
      <c r="AV121" s="51">
        <f t="shared" si="566"/>
        <v>86</v>
      </c>
      <c r="AW121" s="103">
        <f t="shared" si="981"/>
        <v>0</v>
      </c>
      <c r="AX121" s="46">
        <f t="shared" si="660"/>
        <v>86</v>
      </c>
      <c r="AZ121" s="120">
        <f t="shared" si="982"/>
        <v>18</v>
      </c>
      <c r="BA121" s="7">
        <f t="shared" si="983"/>
        <v>16</v>
      </c>
      <c r="BB121" s="133"/>
      <c r="BC121" s="48">
        <f t="shared" si="967"/>
        <v>65336</v>
      </c>
      <c r="BD121" s="196">
        <f t="shared" si="968"/>
        <v>65336</v>
      </c>
      <c r="BE121" s="134"/>
      <c r="BF121" s="135"/>
      <c r="BG121" s="135"/>
      <c r="BH121" s="13">
        <f t="shared" si="893"/>
        <v>0</v>
      </c>
      <c r="BI121" s="14">
        <f t="shared" si="912"/>
        <v>1255</v>
      </c>
      <c r="BJ121" s="14">
        <f t="shared" si="567"/>
        <v>0.16</v>
      </c>
      <c r="BK121" s="47">
        <f t="shared" si="646"/>
        <v>0</v>
      </c>
      <c r="BL121" s="35">
        <f t="shared" si="568"/>
        <v>4.160000000000001</v>
      </c>
      <c r="BM121" s="132">
        <f t="shared" si="840"/>
        <v>1.757703081232493</v>
      </c>
      <c r="BN121" s="134"/>
      <c r="BO121" s="14">
        <f t="shared" si="569"/>
        <v>71</v>
      </c>
      <c r="BP121" s="442">
        <f t="shared" si="647"/>
        <v>0</v>
      </c>
      <c r="BQ121" s="747">
        <f t="shared" si="651"/>
        <v>3487.7310117165239</v>
      </c>
      <c r="BR121" s="51">
        <f t="shared" si="570"/>
        <v>1160</v>
      </c>
      <c r="BS121" s="103">
        <f t="shared" si="984"/>
        <v>0</v>
      </c>
      <c r="BT121" s="46">
        <f t="shared" si="737"/>
        <v>1160</v>
      </c>
      <c r="BU121" s="51">
        <f t="shared" si="571"/>
        <v>86</v>
      </c>
      <c r="BV121" s="103">
        <f t="shared" si="985"/>
        <v>0</v>
      </c>
      <c r="BW121" s="46">
        <f t="shared" si="661"/>
        <v>86</v>
      </c>
      <c r="BY121" s="120">
        <f t="shared" si="986"/>
        <v>18</v>
      </c>
      <c r="BZ121" s="7">
        <f t="shared" si="987"/>
        <v>16</v>
      </c>
      <c r="CA121" s="133"/>
      <c r="CB121" s="14">
        <f t="shared" si="662"/>
        <v>14583</v>
      </c>
      <c r="CC121" s="59">
        <f t="shared" si="682"/>
        <v>14583</v>
      </c>
      <c r="CD121" s="405"/>
      <c r="CE121" s="406"/>
      <c r="CF121" s="406"/>
      <c r="CG121" s="13">
        <f t="shared" si="683"/>
        <v>0</v>
      </c>
      <c r="CH121" s="14">
        <f t="shared" si="663"/>
        <v>73</v>
      </c>
      <c r="CI121" s="14">
        <f t="shared" si="572"/>
        <v>0.16</v>
      </c>
      <c r="CJ121" s="47">
        <f t="shared" si="782"/>
        <v>0</v>
      </c>
      <c r="CK121" s="35">
        <f t="shared" si="573"/>
        <v>4.160000000000001</v>
      </c>
      <c r="CL121" s="157">
        <f t="shared" si="783"/>
        <v>0.49808951965065501</v>
      </c>
      <c r="CM121" s="134"/>
      <c r="CN121" s="14">
        <f t="shared" si="574"/>
        <v>71</v>
      </c>
      <c r="CO121" s="442">
        <f t="shared" si="784"/>
        <v>0</v>
      </c>
      <c r="CP121" s="68">
        <f t="shared" si="649"/>
        <v>1975.2862203652064</v>
      </c>
      <c r="CQ121" s="51">
        <f t="shared" si="575"/>
        <v>1160</v>
      </c>
      <c r="CR121" s="103">
        <f t="shared" si="988"/>
        <v>0</v>
      </c>
      <c r="CS121" s="46">
        <f t="shared" si="738"/>
        <v>1160</v>
      </c>
      <c r="CT121" s="51">
        <f t="shared" si="576"/>
        <v>86</v>
      </c>
      <c r="CU121" s="103">
        <f t="shared" si="989"/>
        <v>0</v>
      </c>
      <c r="CV121" s="46">
        <f t="shared" si="625"/>
        <v>86</v>
      </c>
      <c r="CX121" s="120">
        <f t="shared" si="990"/>
        <v>18</v>
      </c>
      <c r="CY121" s="7">
        <f t="shared" si="991"/>
        <v>16</v>
      </c>
      <c r="CZ121" s="133"/>
      <c r="DA121" s="14">
        <f t="shared" si="925"/>
        <v>14671</v>
      </c>
      <c r="DB121" s="59">
        <f t="shared" si="969"/>
        <v>14671</v>
      </c>
      <c r="DC121" s="405"/>
      <c r="DD121" s="406"/>
      <c r="DE121" s="406"/>
      <c r="DF121" s="13">
        <f t="shared" si="684"/>
        <v>0</v>
      </c>
      <c r="DG121" s="14">
        <f t="shared" si="880"/>
        <v>56</v>
      </c>
      <c r="DH121" s="14">
        <f t="shared" si="577"/>
        <v>0.16</v>
      </c>
      <c r="DI121" s="47">
        <f t="shared" si="785"/>
        <v>0</v>
      </c>
      <c r="DJ121" s="35">
        <f t="shared" si="578"/>
        <v>4.160000000000001</v>
      </c>
      <c r="DK121" s="157">
        <f t="shared" si="786"/>
        <v>0.38035726414453574</v>
      </c>
      <c r="DL121" s="134"/>
      <c r="DM121" s="14">
        <f t="shared" si="579"/>
        <v>71</v>
      </c>
      <c r="DN121" s="442">
        <f t="shared" si="787"/>
        <v>0</v>
      </c>
      <c r="DO121" s="68">
        <f t="shared" si="666"/>
        <v>2052.9886076744156</v>
      </c>
      <c r="DP121" s="51">
        <f t="shared" si="580"/>
        <v>1160</v>
      </c>
      <c r="DQ121" s="103">
        <f t="shared" si="992"/>
        <v>0</v>
      </c>
      <c r="DR121" s="46">
        <f t="shared" si="739"/>
        <v>1160</v>
      </c>
      <c r="DS121" s="51">
        <f t="shared" si="581"/>
        <v>86</v>
      </c>
      <c r="DT121" s="103">
        <f t="shared" si="993"/>
        <v>0</v>
      </c>
      <c r="DU121" s="46">
        <f t="shared" si="654"/>
        <v>86</v>
      </c>
      <c r="DW121" s="120">
        <f t="shared" si="994"/>
        <v>18</v>
      </c>
      <c r="DX121" s="7">
        <f t="shared" si="995"/>
        <v>16</v>
      </c>
      <c r="DY121" s="133"/>
      <c r="DZ121" s="14">
        <f t="shared" si="926"/>
        <v>14466</v>
      </c>
      <c r="EA121" s="59">
        <f t="shared" si="970"/>
        <v>14466</v>
      </c>
      <c r="EB121" s="405"/>
      <c r="EC121" s="406"/>
      <c r="ED121" s="406"/>
      <c r="EE121" s="13">
        <f t="shared" si="686"/>
        <v>0</v>
      </c>
      <c r="EF121" s="14">
        <f t="shared" si="881"/>
        <v>81</v>
      </c>
      <c r="EG121" s="14">
        <f t="shared" si="582"/>
        <v>0.16</v>
      </c>
      <c r="EH121" s="47">
        <f t="shared" si="788"/>
        <v>0</v>
      </c>
      <c r="EI121" s="35">
        <f t="shared" si="583"/>
        <v>4.160000000000001</v>
      </c>
      <c r="EJ121" s="157">
        <f t="shared" si="800"/>
        <v>0.55708390646492434</v>
      </c>
      <c r="EK121" s="134"/>
      <c r="EL121" s="14">
        <f t="shared" si="584"/>
        <v>71</v>
      </c>
      <c r="EM121" s="442">
        <f t="shared" si="789"/>
        <v>0</v>
      </c>
      <c r="EN121" s="68">
        <f t="shared" si="669"/>
        <v>2297.0468525697056</v>
      </c>
      <c r="EO121" s="51">
        <f t="shared" si="585"/>
        <v>1160</v>
      </c>
      <c r="EP121" s="103">
        <f t="shared" si="996"/>
        <v>0</v>
      </c>
      <c r="EQ121" s="46">
        <f t="shared" si="740"/>
        <v>1160</v>
      </c>
      <c r="ER121" s="51">
        <f t="shared" si="586"/>
        <v>86</v>
      </c>
      <c r="ES121" s="103">
        <f t="shared" si="997"/>
        <v>0</v>
      </c>
      <c r="ET121" s="46">
        <f t="shared" si="655"/>
        <v>86</v>
      </c>
      <c r="EV121" s="120">
        <f t="shared" si="998"/>
        <v>18</v>
      </c>
      <c r="EW121" s="7">
        <f t="shared" si="999"/>
        <v>16</v>
      </c>
      <c r="EX121" s="133"/>
      <c r="EY121" s="14">
        <f t="shared" si="927"/>
        <v>14167</v>
      </c>
      <c r="EZ121" s="59">
        <f t="shared" si="971"/>
        <v>14167</v>
      </c>
      <c r="FA121" s="405"/>
      <c r="FB121" s="406"/>
      <c r="FC121" s="406"/>
      <c r="FD121" s="13">
        <f t="shared" si="688"/>
        <v>0</v>
      </c>
      <c r="FE121" s="14">
        <f t="shared" si="882"/>
        <v>71</v>
      </c>
      <c r="FF121" s="14">
        <f t="shared" si="587"/>
        <v>0.16</v>
      </c>
      <c r="FG121" s="47">
        <f t="shared" si="790"/>
        <v>0</v>
      </c>
      <c r="FH121" s="35">
        <f t="shared" si="588"/>
        <v>4.160000000000001</v>
      </c>
      <c r="FI121" s="157">
        <f t="shared" si="801"/>
        <v>0.49877063575693714</v>
      </c>
      <c r="FJ121" s="134"/>
      <c r="FK121" s="14">
        <f t="shared" si="589"/>
        <v>71</v>
      </c>
      <c r="FL121" s="442">
        <f t="shared" si="792"/>
        <v>0</v>
      </c>
      <c r="FM121" s="68">
        <f t="shared" si="672"/>
        <v>2437.1380235191186</v>
      </c>
      <c r="FN121" s="51">
        <f t="shared" si="590"/>
        <v>1160</v>
      </c>
      <c r="FO121" s="103">
        <f t="shared" si="1000"/>
        <v>0</v>
      </c>
      <c r="FP121" s="46">
        <f t="shared" si="741"/>
        <v>1160</v>
      </c>
      <c r="FQ121" s="51">
        <f t="shared" si="591"/>
        <v>86</v>
      </c>
      <c r="FR121" s="103">
        <f t="shared" si="1001"/>
        <v>0</v>
      </c>
      <c r="FS121" s="46">
        <f t="shared" si="656"/>
        <v>86</v>
      </c>
      <c r="FU121" s="120">
        <f t="shared" si="1002"/>
        <v>18</v>
      </c>
      <c r="FV121" s="7">
        <f t="shared" si="1003"/>
        <v>16</v>
      </c>
      <c r="FW121" s="133"/>
      <c r="FX121" s="14">
        <f t="shared" si="928"/>
        <v>14147</v>
      </c>
      <c r="FY121" s="59">
        <f t="shared" si="972"/>
        <v>14147</v>
      </c>
      <c r="FZ121" s="405"/>
      <c r="GA121" s="406"/>
      <c r="GB121" s="406"/>
      <c r="GC121" s="13">
        <f t="shared" si="690"/>
        <v>0</v>
      </c>
      <c r="GD121" s="14">
        <f t="shared" si="883"/>
        <v>44</v>
      </c>
      <c r="GE121" s="14">
        <f t="shared" si="592"/>
        <v>0.16</v>
      </c>
      <c r="GF121" s="47">
        <f t="shared" si="793"/>
        <v>0</v>
      </c>
      <c r="GG121" s="35">
        <f t="shared" si="593"/>
        <v>4.160000000000001</v>
      </c>
      <c r="GH121" s="157">
        <f t="shared" si="802"/>
        <v>0.31009937275354149</v>
      </c>
      <c r="GI121" s="134"/>
      <c r="GJ121" s="14">
        <f t="shared" si="594"/>
        <v>71</v>
      </c>
      <c r="GK121" s="442">
        <f t="shared" si="795"/>
        <v>0</v>
      </c>
      <c r="GL121" s="68">
        <f t="shared" si="675"/>
        <v>2115.7658400333685</v>
      </c>
      <c r="GM121" s="51">
        <f t="shared" si="595"/>
        <v>1160</v>
      </c>
      <c r="GN121" s="103">
        <f t="shared" si="1004"/>
        <v>0</v>
      </c>
      <c r="GO121" s="46">
        <f t="shared" si="742"/>
        <v>1160</v>
      </c>
      <c r="GP121" s="51">
        <f t="shared" si="596"/>
        <v>86</v>
      </c>
      <c r="GQ121" s="103">
        <f t="shared" si="1005"/>
        <v>0</v>
      </c>
      <c r="GR121" s="46">
        <f t="shared" si="657"/>
        <v>86</v>
      </c>
      <c r="GT121" s="120">
        <f t="shared" si="1006"/>
        <v>18</v>
      </c>
      <c r="GU121" s="7">
        <f t="shared" si="1007"/>
        <v>16</v>
      </c>
      <c r="GV121" s="133"/>
      <c r="GW121" s="14">
        <f t="shared" si="929"/>
        <v>9146</v>
      </c>
      <c r="GX121" s="59">
        <f t="shared" si="973"/>
        <v>9146</v>
      </c>
      <c r="GY121" s="405"/>
      <c r="GZ121" s="406"/>
      <c r="HA121" s="406"/>
      <c r="HB121" s="13">
        <f t="shared" si="692"/>
        <v>0</v>
      </c>
      <c r="HC121" s="14">
        <f t="shared" si="884"/>
        <v>36</v>
      </c>
      <c r="HD121" s="14">
        <f t="shared" si="597"/>
        <v>0.16</v>
      </c>
      <c r="HE121" s="47">
        <f t="shared" si="796"/>
        <v>0</v>
      </c>
      <c r="HF121" s="35">
        <f t="shared" si="598"/>
        <v>4.160000000000001</v>
      </c>
      <c r="HG121" s="157">
        <f t="shared" si="803"/>
        <v>0.3920714441298192</v>
      </c>
      <c r="HH121" s="134"/>
      <c r="HI121" s="14">
        <f t="shared" si="599"/>
        <v>71</v>
      </c>
      <c r="HJ121" s="442">
        <f t="shared" si="798"/>
        <v>0</v>
      </c>
      <c r="HK121" s="68">
        <f t="shared" si="678"/>
        <v>2261.5830127780196</v>
      </c>
      <c r="HL121" s="51">
        <f t="shared" si="600"/>
        <v>1160</v>
      </c>
      <c r="HM121" s="103">
        <f t="shared" si="1008"/>
        <v>0</v>
      </c>
      <c r="HN121" s="46">
        <f t="shared" si="743"/>
        <v>1160</v>
      </c>
      <c r="HO121" s="51">
        <f t="shared" si="601"/>
        <v>86</v>
      </c>
      <c r="HP121" s="103">
        <f t="shared" si="1009"/>
        <v>0</v>
      </c>
      <c r="HQ121" s="46">
        <f t="shared" si="658"/>
        <v>86</v>
      </c>
    </row>
    <row r="122" spans="1:225" ht="17.25" thickBot="1" x14ac:dyDescent="0.3">
      <c r="B122" s="120">
        <f t="shared" si="974"/>
        <v>19</v>
      </c>
      <c r="C122" s="570">
        <f t="shared" si="975"/>
        <v>16</v>
      </c>
      <c r="D122" s="133"/>
      <c r="E122" s="408">
        <f t="shared" si="696"/>
        <v>68543</v>
      </c>
      <c r="F122" s="562">
        <f t="shared" si="555"/>
        <v>68543</v>
      </c>
      <c r="G122" s="134"/>
      <c r="H122" s="135"/>
      <c r="I122" s="135"/>
      <c r="J122" s="13">
        <f t="shared" si="679"/>
        <v>0</v>
      </c>
      <c r="K122" s="14">
        <f t="shared" si="604"/>
        <v>5542</v>
      </c>
      <c r="L122" s="14">
        <f t="shared" si="556"/>
        <v>0.16</v>
      </c>
      <c r="M122" s="47">
        <f t="shared" si="605"/>
        <v>0</v>
      </c>
      <c r="N122" s="35">
        <f t="shared" si="557"/>
        <v>4.160000000000001</v>
      </c>
      <c r="O122" s="132">
        <f t="shared" si="606"/>
        <v>4.1090507366188938</v>
      </c>
      <c r="P122" s="142"/>
      <c r="Q122" s="14">
        <f t="shared" si="558"/>
        <v>71</v>
      </c>
      <c r="R122" s="482">
        <f t="shared" si="877"/>
        <v>0</v>
      </c>
      <c r="S122" s="470">
        <f t="shared" si="650"/>
        <v>3520.2686172807612</v>
      </c>
      <c r="T122" s="51">
        <f t="shared" si="560"/>
        <v>1160</v>
      </c>
      <c r="U122" s="103">
        <f t="shared" si="976"/>
        <v>0</v>
      </c>
      <c r="V122" s="46">
        <f t="shared" si="608"/>
        <v>1160</v>
      </c>
      <c r="W122" s="51">
        <f t="shared" si="878"/>
        <v>86</v>
      </c>
      <c r="X122" s="103">
        <f t="shared" si="977"/>
        <v>0</v>
      </c>
      <c r="Y122" s="46">
        <f t="shared" si="610"/>
        <v>86</v>
      </c>
      <c r="Z122" s="487"/>
      <c r="AA122" s="120">
        <f t="shared" si="978"/>
        <v>19</v>
      </c>
      <c r="AB122" s="7">
        <f t="shared" si="979"/>
        <v>16</v>
      </c>
      <c r="AC122" s="133"/>
      <c r="AD122" s="48">
        <f t="shared" si="879"/>
        <v>59287</v>
      </c>
      <c r="AE122" s="49">
        <f t="shared" si="966"/>
        <v>59287</v>
      </c>
      <c r="AF122" s="134"/>
      <c r="AG122" s="135"/>
      <c r="AH122" s="135"/>
      <c r="AI122" s="13">
        <f t="shared" si="889"/>
        <v>0</v>
      </c>
      <c r="AJ122" s="14">
        <f t="shared" si="910"/>
        <v>6432</v>
      </c>
      <c r="AK122" s="14">
        <f t="shared" si="562"/>
        <v>0.16</v>
      </c>
      <c r="AL122" s="47">
        <f t="shared" si="613"/>
        <v>0</v>
      </c>
      <c r="AM122" s="35">
        <f t="shared" si="563"/>
        <v>4.160000000000001</v>
      </c>
      <c r="AN122" s="157">
        <f t="shared" si="659"/>
        <v>4.1990912414477464</v>
      </c>
      <c r="AO122" s="134"/>
      <c r="AP122" s="14">
        <f t="shared" si="564"/>
        <v>71</v>
      </c>
      <c r="AQ122" s="482">
        <f t="shared" si="614"/>
        <v>0</v>
      </c>
      <c r="AR122" s="470">
        <f t="shared" si="799"/>
        <v>3681.7427283987504</v>
      </c>
      <c r="AS122" s="51">
        <f t="shared" si="565"/>
        <v>1160</v>
      </c>
      <c r="AT122" s="103">
        <f t="shared" si="980"/>
        <v>0</v>
      </c>
      <c r="AU122" s="46">
        <f t="shared" si="736"/>
        <v>1160</v>
      </c>
      <c r="AV122" s="51">
        <f t="shared" si="566"/>
        <v>86</v>
      </c>
      <c r="AW122" s="103">
        <f t="shared" si="981"/>
        <v>0</v>
      </c>
      <c r="AX122" s="46">
        <f t="shared" si="660"/>
        <v>86</v>
      </c>
      <c r="AZ122" s="120">
        <f>AZ121+1</f>
        <v>19</v>
      </c>
      <c r="BA122" s="7">
        <f t="shared" si="983"/>
        <v>16</v>
      </c>
      <c r="BB122" s="133"/>
      <c r="BC122" s="48">
        <f t="shared" si="967"/>
        <v>65336</v>
      </c>
      <c r="BD122" s="49">
        <f t="shared" si="968"/>
        <v>65336</v>
      </c>
      <c r="BE122" s="134"/>
      <c r="BF122" s="135"/>
      <c r="BG122" s="135"/>
      <c r="BH122" s="13">
        <f t="shared" si="893"/>
        <v>0</v>
      </c>
      <c r="BI122" s="14">
        <f t="shared" si="912"/>
        <v>1255</v>
      </c>
      <c r="BJ122" s="14">
        <f t="shared" si="567"/>
        <v>0.16</v>
      </c>
      <c r="BK122" s="47">
        <f t="shared" si="646"/>
        <v>0</v>
      </c>
      <c r="BL122" s="35">
        <f t="shared" si="568"/>
        <v>4.160000000000001</v>
      </c>
      <c r="BM122" s="132">
        <f t="shared" si="840"/>
        <v>1.757703081232493</v>
      </c>
      <c r="BN122" s="134"/>
      <c r="BO122" s="14">
        <f t="shared" si="569"/>
        <v>71</v>
      </c>
      <c r="BP122" s="442">
        <f t="shared" si="647"/>
        <v>0</v>
      </c>
      <c r="BQ122" s="747">
        <f t="shared" si="651"/>
        <v>3487.7310117165239</v>
      </c>
      <c r="BR122" s="51">
        <f t="shared" si="570"/>
        <v>1160</v>
      </c>
      <c r="BS122" s="103">
        <f t="shared" si="984"/>
        <v>0</v>
      </c>
      <c r="BT122" s="46">
        <f t="shared" si="737"/>
        <v>1160</v>
      </c>
      <c r="BU122" s="51">
        <f t="shared" si="571"/>
        <v>86</v>
      </c>
      <c r="BV122" s="103">
        <f t="shared" si="985"/>
        <v>0</v>
      </c>
      <c r="BW122" s="46">
        <f t="shared" si="661"/>
        <v>86</v>
      </c>
      <c r="BY122" s="120">
        <f t="shared" si="986"/>
        <v>19</v>
      </c>
      <c r="BZ122" s="7">
        <f t="shared" si="987"/>
        <v>16</v>
      </c>
      <c r="CA122" s="133"/>
      <c r="CB122" s="14">
        <f t="shared" si="662"/>
        <v>14583</v>
      </c>
      <c r="CC122" s="46">
        <f t="shared" si="682"/>
        <v>14583</v>
      </c>
      <c r="CD122" s="405"/>
      <c r="CE122" s="406"/>
      <c r="CF122" s="406"/>
      <c r="CG122" s="13">
        <f t="shared" si="683"/>
        <v>0</v>
      </c>
      <c r="CH122" s="14">
        <f t="shared" si="663"/>
        <v>73</v>
      </c>
      <c r="CI122" s="14">
        <f t="shared" si="572"/>
        <v>0.16</v>
      </c>
      <c r="CJ122" s="47">
        <f t="shared" si="782"/>
        <v>0</v>
      </c>
      <c r="CK122" s="35">
        <f t="shared" si="573"/>
        <v>4.160000000000001</v>
      </c>
      <c r="CL122" s="157">
        <f t="shared" si="783"/>
        <v>0.49808951965065501</v>
      </c>
      <c r="CM122" s="134"/>
      <c r="CN122" s="14">
        <f t="shared" si="574"/>
        <v>71</v>
      </c>
      <c r="CO122" s="442">
        <f t="shared" si="784"/>
        <v>0</v>
      </c>
      <c r="CP122" s="68">
        <f t="shared" si="649"/>
        <v>1975.2862203652064</v>
      </c>
      <c r="CQ122" s="51">
        <f t="shared" si="575"/>
        <v>1160</v>
      </c>
      <c r="CR122" s="103">
        <f t="shared" si="988"/>
        <v>0</v>
      </c>
      <c r="CS122" s="46">
        <f t="shared" si="738"/>
        <v>1160</v>
      </c>
      <c r="CT122" s="51">
        <f t="shared" si="576"/>
        <v>86</v>
      </c>
      <c r="CU122" s="103">
        <f t="shared" si="989"/>
        <v>0</v>
      </c>
      <c r="CV122" s="46">
        <f t="shared" si="625"/>
        <v>86</v>
      </c>
      <c r="CX122" s="120">
        <f t="shared" si="990"/>
        <v>19</v>
      </c>
      <c r="CY122" s="7">
        <f t="shared" si="991"/>
        <v>16</v>
      </c>
      <c r="CZ122" s="133"/>
      <c r="DA122" s="14">
        <f t="shared" si="925"/>
        <v>14671</v>
      </c>
      <c r="DB122" s="46">
        <f t="shared" si="969"/>
        <v>14671</v>
      </c>
      <c r="DC122" s="405"/>
      <c r="DD122" s="406"/>
      <c r="DE122" s="406"/>
      <c r="DF122" s="13">
        <f t="shared" si="684"/>
        <v>0</v>
      </c>
      <c r="DG122" s="14">
        <f t="shared" si="880"/>
        <v>56</v>
      </c>
      <c r="DH122" s="14">
        <f t="shared" si="577"/>
        <v>0.16</v>
      </c>
      <c r="DI122" s="47">
        <f t="shared" si="785"/>
        <v>0</v>
      </c>
      <c r="DJ122" s="35">
        <f t="shared" si="578"/>
        <v>4.160000000000001</v>
      </c>
      <c r="DK122" s="157">
        <f t="shared" si="786"/>
        <v>0.38035726414453574</v>
      </c>
      <c r="DL122" s="134"/>
      <c r="DM122" s="14">
        <f t="shared" si="579"/>
        <v>71</v>
      </c>
      <c r="DN122" s="442">
        <f t="shared" si="787"/>
        <v>0</v>
      </c>
      <c r="DO122" s="68">
        <f t="shared" si="666"/>
        <v>2052.9886076744156</v>
      </c>
      <c r="DP122" s="51">
        <f t="shared" si="580"/>
        <v>1160</v>
      </c>
      <c r="DQ122" s="103">
        <f t="shared" si="992"/>
        <v>0</v>
      </c>
      <c r="DR122" s="46">
        <f t="shared" si="739"/>
        <v>1160</v>
      </c>
      <c r="DS122" s="51">
        <f t="shared" si="581"/>
        <v>86</v>
      </c>
      <c r="DT122" s="103">
        <f t="shared" si="993"/>
        <v>0</v>
      </c>
      <c r="DU122" s="46">
        <f t="shared" si="654"/>
        <v>86</v>
      </c>
      <c r="DW122" s="120">
        <f t="shared" si="994"/>
        <v>19</v>
      </c>
      <c r="DX122" s="7">
        <f t="shared" si="995"/>
        <v>16</v>
      </c>
      <c r="DY122" s="133"/>
      <c r="DZ122" s="14">
        <f t="shared" si="926"/>
        <v>14466</v>
      </c>
      <c r="EA122" s="46">
        <f t="shared" si="970"/>
        <v>14466</v>
      </c>
      <c r="EB122" s="405"/>
      <c r="EC122" s="406"/>
      <c r="ED122" s="406"/>
      <c r="EE122" s="13">
        <f t="shared" si="686"/>
        <v>0</v>
      </c>
      <c r="EF122" s="14">
        <f t="shared" si="881"/>
        <v>81</v>
      </c>
      <c r="EG122" s="14">
        <f t="shared" si="582"/>
        <v>0.16</v>
      </c>
      <c r="EH122" s="47">
        <f t="shared" si="788"/>
        <v>0</v>
      </c>
      <c r="EI122" s="35">
        <f t="shared" si="583"/>
        <v>4.160000000000001</v>
      </c>
      <c r="EJ122" s="157">
        <f t="shared" si="800"/>
        <v>0.55708390646492434</v>
      </c>
      <c r="EK122" s="134"/>
      <c r="EL122" s="14">
        <f t="shared" si="584"/>
        <v>71</v>
      </c>
      <c r="EM122" s="442">
        <f t="shared" si="789"/>
        <v>0</v>
      </c>
      <c r="EN122" s="68">
        <f t="shared" si="669"/>
        <v>2297.0468525697056</v>
      </c>
      <c r="EO122" s="51">
        <f t="shared" si="585"/>
        <v>1160</v>
      </c>
      <c r="EP122" s="103">
        <f t="shared" si="996"/>
        <v>0</v>
      </c>
      <c r="EQ122" s="46">
        <f t="shared" si="740"/>
        <v>1160</v>
      </c>
      <c r="ER122" s="51">
        <f t="shared" si="586"/>
        <v>86</v>
      </c>
      <c r="ES122" s="103">
        <f t="shared" si="997"/>
        <v>0</v>
      </c>
      <c r="ET122" s="46">
        <f t="shared" si="655"/>
        <v>86</v>
      </c>
      <c r="EV122" s="120">
        <f t="shared" si="998"/>
        <v>19</v>
      </c>
      <c r="EW122" s="7">
        <f t="shared" si="999"/>
        <v>16</v>
      </c>
      <c r="EX122" s="133"/>
      <c r="EY122" s="14">
        <f t="shared" si="927"/>
        <v>14167</v>
      </c>
      <c r="EZ122" s="46">
        <f t="shared" si="971"/>
        <v>14167</v>
      </c>
      <c r="FA122" s="405"/>
      <c r="FB122" s="406"/>
      <c r="FC122" s="406"/>
      <c r="FD122" s="13">
        <f t="shared" si="688"/>
        <v>0</v>
      </c>
      <c r="FE122" s="14">
        <f t="shared" si="882"/>
        <v>71</v>
      </c>
      <c r="FF122" s="14">
        <f t="shared" si="587"/>
        <v>0.16</v>
      </c>
      <c r="FG122" s="47">
        <f t="shared" si="790"/>
        <v>0</v>
      </c>
      <c r="FH122" s="35">
        <f t="shared" si="588"/>
        <v>4.160000000000001</v>
      </c>
      <c r="FI122" s="157">
        <f t="shared" si="801"/>
        <v>0.49877063575693714</v>
      </c>
      <c r="FJ122" s="134"/>
      <c r="FK122" s="14">
        <f t="shared" si="589"/>
        <v>71</v>
      </c>
      <c r="FL122" s="442">
        <f t="shared" si="792"/>
        <v>0</v>
      </c>
      <c r="FM122" s="68">
        <f t="shared" si="672"/>
        <v>2437.1380235191186</v>
      </c>
      <c r="FN122" s="51">
        <f t="shared" si="590"/>
        <v>1160</v>
      </c>
      <c r="FO122" s="103">
        <f t="shared" si="1000"/>
        <v>0</v>
      </c>
      <c r="FP122" s="46">
        <f t="shared" si="741"/>
        <v>1160</v>
      </c>
      <c r="FQ122" s="51">
        <f t="shared" si="591"/>
        <v>86</v>
      </c>
      <c r="FR122" s="103">
        <f t="shared" si="1001"/>
        <v>0</v>
      </c>
      <c r="FS122" s="46">
        <f t="shared" si="656"/>
        <v>86</v>
      </c>
      <c r="FU122" s="120">
        <f t="shared" si="1002"/>
        <v>19</v>
      </c>
      <c r="FV122" s="7">
        <f t="shared" si="1003"/>
        <v>16</v>
      </c>
      <c r="FW122" s="133"/>
      <c r="FX122" s="14">
        <f t="shared" si="928"/>
        <v>14147</v>
      </c>
      <c r="FY122" s="46">
        <f t="shared" si="972"/>
        <v>14147</v>
      </c>
      <c r="FZ122" s="405"/>
      <c r="GA122" s="406"/>
      <c r="GB122" s="406"/>
      <c r="GC122" s="13">
        <f t="shared" si="690"/>
        <v>0</v>
      </c>
      <c r="GD122" s="14">
        <f t="shared" si="883"/>
        <v>44</v>
      </c>
      <c r="GE122" s="14">
        <f t="shared" si="592"/>
        <v>0.16</v>
      </c>
      <c r="GF122" s="47">
        <f t="shared" si="793"/>
        <v>0</v>
      </c>
      <c r="GG122" s="35">
        <f t="shared" si="593"/>
        <v>4.160000000000001</v>
      </c>
      <c r="GH122" s="157">
        <f t="shared" si="802"/>
        <v>0.31009937275354149</v>
      </c>
      <c r="GI122" s="134"/>
      <c r="GJ122" s="14">
        <f t="shared" si="594"/>
        <v>71</v>
      </c>
      <c r="GK122" s="442">
        <f t="shared" si="795"/>
        <v>0</v>
      </c>
      <c r="GL122" s="68">
        <f t="shared" si="675"/>
        <v>2115.7658400333685</v>
      </c>
      <c r="GM122" s="51">
        <f t="shared" si="595"/>
        <v>1160</v>
      </c>
      <c r="GN122" s="103">
        <f t="shared" si="1004"/>
        <v>0</v>
      </c>
      <c r="GO122" s="46">
        <f t="shared" si="742"/>
        <v>1160</v>
      </c>
      <c r="GP122" s="51">
        <f t="shared" si="596"/>
        <v>86</v>
      </c>
      <c r="GQ122" s="103">
        <f t="shared" si="1005"/>
        <v>0</v>
      </c>
      <c r="GR122" s="46">
        <f t="shared" si="657"/>
        <v>86</v>
      </c>
      <c r="GT122" s="120">
        <f t="shared" si="1006"/>
        <v>19</v>
      </c>
      <c r="GU122" s="7">
        <f t="shared" si="1007"/>
        <v>16</v>
      </c>
      <c r="GV122" s="133"/>
      <c r="GW122" s="14">
        <f t="shared" si="929"/>
        <v>9146</v>
      </c>
      <c r="GX122" s="46">
        <f t="shared" si="973"/>
        <v>9146</v>
      </c>
      <c r="GY122" s="405"/>
      <c r="GZ122" s="406"/>
      <c r="HA122" s="406"/>
      <c r="HB122" s="13">
        <f t="shared" si="692"/>
        <v>0</v>
      </c>
      <c r="HC122" s="14">
        <f t="shared" si="884"/>
        <v>36</v>
      </c>
      <c r="HD122" s="14">
        <f t="shared" si="597"/>
        <v>0.16</v>
      </c>
      <c r="HE122" s="47">
        <f t="shared" si="796"/>
        <v>0</v>
      </c>
      <c r="HF122" s="35">
        <f t="shared" si="598"/>
        <v>4.160000000000001</v>
      </c>
      <c r="HG122" s="157">
        <f t="shared" si="803"/>
        <v>0.3920714441298192</v>
      </c>
      <c r="HH122" s="134"/>
      <c r="HI122" s="14">
        <f t="shared" si="599"/>
        <v>71</v>
      </c>
      <c r="HJ122" s="442">
        <f t="shared" si="798"/>
        <v>0</v>
      </c>
      <c r="HK122" s="68">
        <f t="shared" si="678"/>
        <v>2261.5830127780196</v>
      </c>
      <c r="HL122" s="51">
        <f t="shared" si="600"/>
        <v>1160</v>
      </c>
      <c r="HM122" s="103">
        <f t="shared" si="1008"/>
        <v>0</v>
      </c>
      <c r="HN122" s="46">
        <f t="shared" si="743"/>
        <v>1160</v>
      </c>
      <c r="HO122" s="51">
        <f t="shared" si="601"/>
        <v>86</v>
      </c>
      <c r="HP122" s="103">
        <f t="shared" si="1009"/>
        <v>0</v>
      </c>
      <c r="HQ122" s="46">
        <f t="shared" si="658"/>
        <v>86</v>
      </c>
    </row>
    <row r="123" spans="1:225" ht="18.75" thickBot="1" x14ac:dyDescent="0.3">
      <c r="A123" s="717"/>
      <c r="B123" s="403">
        <v>20</v>
      </c>
      <c r="C123" s="571">
        <f t="shared" si="975"/>
        <v>16</v>
      </c>
      <c r="D123" s="229"/>
      <c r="E123" s="408">
        <f t="shared" si="696"/>
        <v>68543</v>
      </c>
      <c r="F123" s="562">
        <f t="shared" si="555"/>
        <v>68543</v>
      </c>
      <c r="G123" s="405"/>
      <c r="H123" s="406"/>
      <c r="I123" s="406"/>
      <c r="J123" s="387">
        <f t="shared" si="679"/>
        <v>0</v>
      </c>
      <c r="K123" s="380">
        <f t="shared" si="604"/>
        <v>5542</v>
      </c>
      <c r="L123" s="380">
        <f t="shared" si="556"/>
        <v>0.16</v>
      </c>
      <c r="M123" s="429">
        <f t="shared" si="605"/>
        <v>0</v>
      </c>
      <c r="N123" s="407">
        <f t="shared" si="557"/>
        <v>4.160000000000001</v>
      </c>
      <c r="O123" s="132">
        <f t="shared" si="606"/>
        <v>4.1090507366188938</v>
      </c>
      <c r="P123" s="411"/>
      <c r="Q123" s="380">
        <f t="shared" si="558"/>
        <v>71</v>
      </c>
      <c r="R123" s="536">
        <f t="shared" si="877"/>
        <v>0</v>
      </c>
      <c r="S123" s="474">
        <f t="shared" si="650"/>
        <v>3520.2686172807612</v>
      </c>
      <c r="T123" s="182">
        <f t="shared" si="560"/>
        <v>1160</v>
      </c>
      <c r="U123" s="604">
        <f t="shared" si="976"/>
        <v>0</v>
      </c>
      <c r="V123" s="206">
        <f t="shared" si="608"/>
        <v>1160</v>
      </c>
      <c r="W123" s="182">
        <f t="shared" si="878"/>
        <v>86</v>
      </c>
      <c r="X123" s="181">
        <f t="shared" si="977"/>
        <v>0</v>
      </c>
      <c r="Y123" s="206">
        <f t="shared" si="610"/>
        <v>86</v>
      </c>
      <c r="Z123" s="487"/>
      <c r="AA123" s="120">
        <v>20</v>
      </c>
      <c r="AB123" s="7">
        <f t="shared" si="979"/>
        <v>16</v>
      </c>
      <c r="AC123" s="133"/>
      <c r="AD123" s="48">
        <f t="shared" si="879"/>
        <v>59287</v>
      </c>
      <c r="AE123" s="447">
        <f t="shared" si="966"/>
        <v>59287</v>
      </c>
      <c r="AF123" s="134"/>
      <c r="AG123" s="135"/>
      <c r="AH123" s="135"/>
      <c r="AI123" s="13">
        <f t="shared" si="889"/>
        <v>0</v>
      </c>
      <c r="AJ123" s="14">
        <f t="shared" si="910"/>
        <v>6432</v>
      </c>
      <c r="AK123" s="14">
        <f t="shared" si="562"/>
        <v>0.16</v>
      </c>
      <c r="AL123" s="231">
        <f t="shared" si="613"/>
        <v>0</v>
      </c>
      <c r="AM123" s="35">
        <f t="shared" si="563"/>
        <v>4.160000000000001</v>
      </c>
      <c r="AN123" s="157">
        <f t="shared" si="659"/>
        <v>4.1990912414477464</v>
      </c>
      <c r="AO123" s="134"/>
      <c r="AP123" s="14">
        <f t="shared" si="564"/>
        <v>71</v>
      </c>
      <c r="AQ123" s="442">
        <f t="shared" si="614"/>
        <v>0</v>
      </c>
      <c r="AR123" s="470">
        <f t="shared" si="799"/>
        <v>3681.7427283987504</v>
      </c>
      <c r="AS123" s="51">
        <f t="shared" si="565"/>
        <v>1160</v>
      </c>
      <c r="AT123" s="202">
        <f t="shared" si="980"/>
        <v>0</v>
      </c>
      <c r="AU123" s="46">
        <f t="shared" si="736"/>
        <v>1160</v>
      </c>
      <c r="AV123" s="51">
        <f t="shared" si="566"/>
        <v>86</v>
      </c>
      <c r="AW123" s="103">
        <f t="shared" si="981"/>
        <v>0</v>
      </c>
      <c r="AX123" s="46">
        <f t="shared" si="660"/>
        <v>86</v>
      </c>
      <c r="AZ123" s="120">
        <f>AZ122+1</f>
        <v>20</v>
      </c>
      <c r="BA123" s="7">
        <f t="shared" si="983"/>
        <v>16</v>
      </c>
      <c r="BB123" s="133"/>
      <c r="BC123" s="48">
        <f t="shared" si="967"/>
        <v>65336</v>
      </c>
      <c r="BD123" s="447">
        <f t="shared" si="968"/>
        <v>65336</v>
      </c>
      <c r="BE123" s="134"/>
      <c r="BF123" s="135"/>
      <c r="BG123" s="135"/>
      <c r="BH123" s="13">
        <f t="shared" si="893"/>
        <v>0</v>
      </c>
      <c r="BI123" s="14">
        <f t="shared" si="912"/>
        <v>1255</v>
      </c>
      <c r="BJ123" s="14">
        <f t="shared" si="567"/>
        <v>0.16</v>
      </c>
      <c r="BK123" s="47">
        <f t="shared" si="646"/>
        <v>0</v>
      </c>
      <c r="BL123" s="35">
        <f t="shared" si="568"/>
        <v>4.160000000000001</v>
      </c>
      <c r="BM123" s="132">
        <f t="shared" si="840"/>
        <v>1.757703081232493</v>
      </c>
      <c r="BN123" s="134"/>
      <c r="BO123" s="14">
        <f t="shared" si="569"/>
        <v>71</v>
      </c>
      <c r="BP123" s="442">
        <f t="shared" si="647"/>
        <v>0</v>
      </c>
      <c r="BQ123" s="747">
        <f t="shared" si="651"/>
        <v>3487.7310117165239</v>
      </c>
      <c r="BR123" s="51">
        <f t="shared" si="570"/>
        <v>1160</v>
      </c>
      <c r="BS123" s="202">
        <f t="shared" si="984"/>
        <v>0</v>
      </c>
      <c r="BT123" s="46">
        <f t="shared" si="737"/>
        <v>1160</v>
      </c>
      <c r="BU123" s="51">
        <f t="shared" si="571"/>
        <v>86</v>
      </c>
      <c r="BV123" s="103">
        <f t="shared" si="985"/>
        <v>0</v>
      </c>
      <c r="BW123" s="46">
        <f t="shared" si="661"/>
        <v>86</v>
      </c>
      <c r="BY123" s="120">
        <f t="shared" si="986"/>
        <v>20</v>
      </c>
      <c r="BZ123" s="7">
        <f t="shared" si="987"/>
        <v>16</v>
      </c>
      <c r="CA123" s="133"/>
      <c r="CB123" s="14">
        <f t="shared" si="662"/>
        <v>14583</v>
      </c>
      <c r="CC123" s="62">
        <f t="shared" si="682"/>
        <v>14583</v>
      </c>
      <c r="CD123" s="405"/>
      <c r="CE123" s="406"/>
      <c r="CF123" s="406"/>
      <c r="CG123" s="13">
        <f t="shared" si="683"/>
        <v>0</v>
      </c>
      <c r="CH123" s="14">
        <f t="shared" si="663"/>
        <v>73</v>
      </c>
      <c r="CI123" s="14">
        <f t="shared" si="572"/>
        <v>0.16</v>
      </c>
      <c r="CJ123" s="47">
        <f t="shared" si="782"/>
        <v>0</v>
      </c>
      <c r="CK123" s="35">
        <f t="shared" si="573"/>
        <v>4.160000000000001</v>
      </c>
      <c r="CL123" s="157">
        <f t="shared" si="783"/>
        <v>0.49808951965065501</v>
      </c>
      <c r="CM123" s="134"/>
      <c r="CN123" s="14">
        <f t="shared" si="574"/>
        <v>71</v>
      </c>
      <c r="CO123" s="442">
        <f t="shared" si="784"/>
        <v>0</v>
      </c>
      <c r="CP123" s="68">
        <f t="shared" si="649"/>
        <v>1975.2862203652064</v>
      </c>
      <c r="CQ123" s="51">
        <f t="shared" si="575"/>
        <v>1160</v>
      </c>
      <c r="CR123" s="103">
        <f t="shared" si="988"/>
        <v>0</v>
      </c>
      <c r="CS123" s="46">
        <f t="shared" si="738"/>
        <v>1160</v>
      </c>
      <c r="CT123" s="51">
        <f t="shared" si="576"/>
        <v>86</v>
      </c>
      <c r="CU123" s="103">
        <f t="shared" si="989"/>
        <v>0</v>
      </c>
      <c r="CV123" s="46">
        <f t="shared" si="625"/>
        <v>86</v>
      </c>
      <c r="CX123" s="120">
        <f t="shared" si="990"/>
        <v>20</v>
      </c>
      <c r="CY123" s="7">
        <f t="shared" si="991"/>
        <v>16</v>
      </c>
      <c r="CZ123" s="133"/>
      <c r="DA123" s="14">
        <f t="shared" si="925"/>
        <v>14671</v>
      </c>
      <c r="DB123" s="62">
        <f t="shared" si="969"/>
        <v>14671</v>
      </c>
      <c r="DC123" s="405"/>
      <c r="DD123" s="406"/>
      <c r="DE123" s="406"/>
      <c r="DF123" s="13">
        <f t="shared" si="684"/>
        <v>0</v>
      </c>
      <c r="DG123" s="14">
        <f t="shared" si="880"/>
        <v>56</v>
      </c>
      <c r="DH123" s="14">
        <f t="shared" si="577"/>
        <v>0.16</v>
      </c>
      <c r="DI123" s="47">
        <f t="shared" si="785"/>
        <v>0</v>
      </c>
      <c r="DJ123" s="35">
        <f t="shared" si="578"/>
        <v>4.160000000000001</v>
      </c>
      <c r="DK123" s="157">
        <f t="shared" si="786"/>
        <v>0.38035726414453574</v>
      </c>
      <c r="DL123" s="134"/>
      <c r="DM123" s="14">
        <f t="shared" si="579"/>
        <v>71</v>
      </c>
      <c r="DN123" s="442">
        <f t="shared" si="787"/>
        <v>0</v>
      </c>
      <c r="DO123" s="68">
        <f t="shared" si="666"/>
        <v>2052.9886076744156</v>
      </c>
      <c r="DP123" s="51">
        <f t="shared" si="580"/>
        <v>1160</v>
      </c>
      <c r="DQ123" s="103">
        <f t="shared" si="992"/>
        <v>0</v>
      </c>
      <c r="DR123" s="46">
        <f t="shared" si="739"/>
        <v>1160</v>
      </c>
      <c r="DS123" s="51">
        <f t="shared" si="581"/>
        <v>86</v>
      </c>
      <c r="DT123" s="103">
        <f t="shared" si="993"/>
        <v>0</v>
      </c>
      <c r="DU123" s="46">
        <f t="shared" si="654"/>
        <v>86</v>
      </c>
      <c r="DW123" s="120">
        <f t="shared" si="994"/>
        <v>20</v>
      </c>
      <c r="DX123" s="7">
        <f t="shared" si="995"/>
        <v>16</v>
      </c>
      <c r="DY123" s="133"/>
      <c r="DZ123" s="14">
        <f t="shared" si="926"/>
        <v>14466</v>
      </c>
      <c r="EA123" s="62">
        <f t="shared" si="970"/>
        <v>14466</v>
      </c>
      <c r="EB123" s="405"/>
      <c r="EC123" s="406"/>
      <c r="ED123" s="406"/>
      <c r="EE123" s="13">
        <f t="shared" si="686"/>
        <v>0</v>
      </c>
      <c r="EF123" s="14">
        <f t="shared" si="881"/>
        <v>81</v>
      </c>
      <c r="EG123" s="14">
        <f t="shared" si="582"/>
        <v>0.16</v>
      </c>
      <c r="EH123" s="47">
        <f t="shared" si="788"/>
        <v>0</v>
      </c>
      <c r="EI123" s="35">
        <f t="shared" si="583"/>
        <v>4.160000000000001</v>
      </c>
      <c r="EJ123" s="157">
        <f t="shared" si="800"/>
        <v>0.55708390646492434</v>
      </c>
      <c r="EK123" s="134"/>
      <c r="EL123" s="14">
        <f t="shared" si="584"/>
        <v>71</v>
      </c>
      <c r="EM123" s="442">
        <f t="shared" si="789"/>
        <v>0</v>
      </c>
      <c r="EN123" s="68">
        <f t="shared" si="669"/>
        <v>2297.0468525697056</v>
      </c>
      <c r="EO123" s="51">
        <f t="shared" si="585"/>
        <v>1160</v>
      </c>
      <c r="EP123" s="103">
        <f t="shared" si="996"/>
        <v>0</v>
      </c>
      <c r="EQ123" s="46">
        <f t="shared" si="740"/>
        <v>1160</v>
      </c>
      <c r="ER123" s="51">
        <f t="shared" si="586"/>
        <v>86</v>
      </c>
      <c r="ES123" s="103">
        <f t="shared" si="997"/>
        <v>0</v>
      </c>
      <c r="ET123" s="46">
        <f t="shared" si="655"/>
        <v>86</v>
      </c>
      <c r="EV123" s="120">
        <f t="shared" si="998"/>
        <v>20</v>
      </c>
      <c r="EW123" s="7">
        <f t="shared" si="999"/>
        <v>16</v>
      </c>
      <c r="EX123" s="133"/>
      <c r="EY123" s="14">
        <f t="shared" si="927"/>
        <v>14167</v>
      </c>
      <c r="EZ123" s="62">
        <f t="shared" si="971"/>
        <v>14167</v>
      </c>
      <c r="FA123" s="405"/>
      <c r="FB123" s="406"/>
      <c r="FC123" s="406"/>
      <c r="FD123" s="13">
        <f t="shared" si="688"/>
        <v>0</v>
      </c>
      <c r="FE123" s="14">
        <f t="shared" si="882"/>
        <v>71</v>
      </c>
      <c r="FF123" s="14">
        <f t="shared" si="587"/>
        <v>0.16</v>
      </c>
      <c r="FG123" s="47">
        <f t="shared" si="790"/>
        <v>0</v>
      </c>
      <c r="FH123" s="35">
        <f t="shared" si="588"/>
        <v>4.160000000000001</v>
      </c>
      <c r="FI123" s="157">
        <f t="shared" si="801"/>
        <v>0.49877063575693714</v>
      </c>
      <c r="FJ123" s="134"/>
      <c r="FK123" s="14">
        <f t="shared" si="589"/>
        <v>71</v>
      </c>
      <c r="FL123" s="442">
        <f t="shared" si="792"/>
        <v>0</v>
      </c>
      <c r="FM123" s="68">
        <f t="shared" si="672"/>
        <v>2437.1380235191186</v>
      </c>
      <c r="FN123" s="51">
        <f t="shared" si="590"/>
        <v>1160</v>
      </c>
      <c r="FO123" s="103">
        <f t="shared" si="1000"/>
        <v>0</v>
      </c>
      <c r="FP123" s="46">
        <f t="shared" si="741"/>
        <v>1160</v>
      </c>
      <c r="FQ123" s="51">
        <f t="shared" si="591"/>
        <v>86</v>
      </c>
      <c r="FR123" s="103">
        <f t="shared" si="1001"/>
        <v>0</v>
      </c>
      <c r="FS123" s="46">
        <f t="shared" si="656"/>
        <v>86</v>
      </c>
      <c r="FU123" s="120">
        <f t="shared" si="1002"/>
        <v>20</v>
      </c>
      <c r="FV123" s="7">
        <f t="shared" si="1003"/>
        <v>16</v>
      </c>
      <c r="FW123" s="133"/>
      <c r="FX123" s="14">
        <f t="shared" si="928"/>
        <v>14147</v>
      </c>
      <c r="FY123" s="62">
        <f t="shared" si="972"/>
        <v>14147</v>
      </c>
      <c r="FZ123" s="405"/>
      <c r="GA123" s="406"/>
      <c r="GB123" s="406"/>
      <c r="GC123" s="13">
        <f t="shared" si="690"/>
        <v>0</v>
      </c>
      <c r="GD123" s="14">
        <f t="shared" si="883"/>
        <v>44</v>
      </c>
      <c r="GE123" s="14">
        <f t="shared" si="592"/>
        <v>0.16</v>
      </c>
      <c r="GF123" s="47">
        <f t="shared" si="793"/>
        <v>0</v>
      </c>
      <c r="GG123" s="35">
        <f t="shared" si="593"/>
        <v>4.160000000000001</v>
      </c>
      <c r="GH123" s="157">
        <f t="shared" si="802"/>
        <v>0.31009937275354149</v>
      </c>
      <c r="GI123" s="134"/>
      <c r="GJ123" s="14">
        <f t="shared" si="594"/>
        <v>71</v>
      </c>
      <c r="GK123" s="442">
        <f t="shared" si="795"/>
        <v>0</v>
      </c>
      <c r="GL123" s="68">
        <f t="shared" si="675"/>
        <v>2115.7658400333685</v>
      </c>
      <c r="GM123" s="51">
        <f t="shared" si="595"/>
        <v>1160</v>
      </c>
      <c r="GN123" s="103">
        <f t="shared" si="1004"/>
        <v>0</v>
      </c>
      <c r="GO123" s="46">
        <f t="shared" si="742"/>
        <v>1160</v>
      </c>
      <c r="GP123" s="51">
        <f t="shared" si="596"/>
        <v>86</v>
      </c>
      <c r="GQ123" s="103">
        <f t="shared" si="1005"/>
        <v>0</v>
      </c>
      <c r="GR123" s="46">
        <f t="shared" si="657"/>
        <v>86</v>
      </c>
      <c r="GT123" s="120">
        <f t="shared" si="1006"/>
        <v>20</v>
      </c>
      <c r="GU123" s="7">
        <f t="shared" si="1007"/>
        <v>16</v>
      </c>
      <c r="GV123" s="133"/>
      <c r="GW123" s="14">
        <f t="shared" si="929"/>
        <v>9146</v>
      </c>
      <c r="GX123" s="62">
        <f t="shared" si="973"/>
        <v>9146</v>
      </c>
      <c r="GY123" s="405"/>
      <c r="GZ123" s="406"/>
      <c r="HA123" s="406"/>
      <c r="HB123" s="13">
        <f t="shared" si="692"/>
        <v>0</v>
      </c>
      <c r="HC123" s="14">
        <f t="shared" si="884"/>
        <v>36</v>
      </c>
      <c r="HD123" s="14">
        <f t="shared" si="597"/>
        <v>0.16</v>
      </c>
      <c r="HE123" s="47">
        <f t="shared" si="796"/>
        <v>0</v>
      </c>
      <c r="HF123" s="35">
        <f t="shared" si="598"/>
        <v>4.160000000000001</v>
      </c>
      <c r="HG123" s="157">
        <f t="shared" si="803"/>
        <v>0.3920714441298192</v>
      </c>
      <c r="HH123" s="134"/>
      <c r="HI123" s="14">
        <f t="shared" si="599"/>
        <v>71</v>
      </c>
      <c r="HJ123" s="442">
        <f t="shared" si="798"/>
        <v>0</v>
      </c>
      <c r="HK123" s="68">
        <f t="shared" si="678"/>
        <v>2261.5830127780196</v>
      </c>
      <c r="HL123" s="51">
        <f t="shared" si="600"/>
        <v>1160</v>
      </c>
      <c r="HM123" s="103">
        <f t="shared" si="1008"/>
        <v>0</v>
      </c>
      <c r="HN123" s="46">
        <f t="shared" si="743"/>
        <v>1160</v>
      </c>
      <c r="HO123" s="51">
        <f t="shared" si="601"/>
        <v>86</v>
      </c>
      <c r="HP123" s="103">
        <f t="shared" si="1009"/>
        <v>0</v>
      </c>
      <c r="HQ123" s="46">
        <f t="shared" si="658"/>
        <v>86</v>
      </c>
    </row>
    <row r="124" spans="1:225" ht="17.25" thickBot="1" x14ac:dyDescent="0.3">
      <c r="B124" s="120">
        <f t="shared" si="974"/>
        <v>21</v>
      </c>
      <c r="C124" s="574">
        <f t="shared" si="975"/>
        <v>16</v>
      </c>
      <c r="D124" s="136"/>
      <c r="E124" s="436">
        <f t="shared" si="696"/>
        <v>68543</v>
      </c>
      <c r="F124" s="451">
        <f t="shared" si="555"/>
        <v>68543</v>
      </c>
      <c r="G124" s="204"/>
      <c r="H124" s="205"/>
      <c r="I124" s="205"/>
      <c r="J124" s="13">
        <f t="shared" si="679"/>
        <v>0</v>
      </c>
      <c r="K124" s="13">
        <f t="shared" si="604"/>
        <v>5542</v>
      </c>
      <c r="L124" s="13">
        <f t="shared" si="556"/>
        <v>0.16</v>
      </c>
      <c r="M124" s="230">
        <f t="shared" si="605"/>
        <v>0</v>
      </c>
      <c r="N124" s="161">
        <f t="shared" si="557"/>
        <v>4.160000000000001</v>
      </c>
      <c r="O124" s="132">
        <f t="shared" si="606"/>
        <v>4.1090507366188938</v>
      </c>
      <c r="P124" s="139"/>
      <c r="Q124" s="32">
        <f t="shared" si="558"/>
        <v>71</v>
      </c>
      <c r="R124" s="479">
        <f t="shared" si="877"/>
        <v>0</v>
      </c>
      <c r="S124" s="471">
        <f t="shared" si="650"/>
        <v>3520.2686172807612</v>
      </c>
      <c r="T124" s="378">
        <f t="shared" si="560"/>
        <v>1160</v>
      </c>
      <c r="U124" s="111">
        <f t="shared" si="976"/>
        <v>0</v>
      </c>
      <c r="V124" s="53">
        <f t="shared" si="608"/>
        <v>1160</v>
      </c>
      <c r="W124" s="12">
        <f t="shared" si="878"/>
        <v>86</v>
      </c>
      <c r="X124" s="103">
        <f t="shared" si="977"/>
        <v>0</v>
      </c>
      <c r="Y124" s="63">
        <f t="shared" si="610"/>
        <v>86</v>
      </c>
      <c r="Z124" s="487"/>
      <c r="AA124" s="120">
        <f t="shared" si="978"/>
        <v>21</v>
      </c>
      <c r="AB124" s="8">
        <f t="shared" si="979"/>
        <v>16</v>
      </c>
      <c r="AC124" s="136"/>
      <c r="AD124" s="54">
        <f t="shared" si="879"/>
        <v>59287</v>
      </c>
      <c r="AE124" s="55">
        <f t="shared" si="966"/>
        <v>59287</v>
      </c>
      <c r="AF124" s="137"/>
      <c r="AG124" s="138"/>
      <c r="AH124" s="138"/>
      <c r="AI124" s="32">
        <f t="shared" si="889"/>
        <v>0</v>
      </c>
      <c r="AJ124" s="32">
        <f t="shared" si="910"/>
        <v>6432</v>
      </c>
      <c r="AK124" s="32">
        <f t="shared" si="562"/>
        <v>0.16</v>
      </c>
      <c r="AL124" s="96">
        <f t="shared" si="613"/>
        <v>0</v>
      </c>
      <c r="AM124" s="36">
        <f t="shared" si="563"/>
        <v>4.160000000000001</v>
      </c>
      <c r="AN124" s="157">
        <f t="shared" si="659"/>
        <v>4.1990912414477464</v>
      </c>
      <c r="AO124" s="137"/>
      <c r="AP124" s="32">
        <f t="shared" si="564"/>
        <v>71</v>
      </c>
      <c r="AQ124" s="479">
        <f t="shared" si="614"/>
        <v>0</v>
      </c>
      <c r="AR124" s="471">
        <f t="shared" si="799"/>
        <v>3681.7427283987504</v>
      </c>
      <c r="AS124" s="378">
        <f t="shared" si="565"/>
        <v>1160</v>
      </c>
      <c r="AT124" s="111">
        <f t="shared" si="980"/>
        <v>0</v>
      </c>
      <c r="AU124" s="53">
        <f t="shared" si="736"/>
        <v>1160</v>
      </c>
      <c r="AV124" s="12">
        <f t="shared" si="566"/>
        <v>86</v>
      </c>
      <c r="AW124" s="103">
        <f t="shared" si="981"/>
        <v>0</v>
      </c>
      <c r="AX124" s="63">
        <f t="shared" si="660"/>
        <v>86</v>
      </c>
      <c r="AZ124" s="119">
        <f t="shared" si="982"/>
        <v>21</v>
      </c>
      <c r="BA124" s="95">
        <f t="shared" si="983"/>
        <v>16</v>
      </c>
      <c r="BB124" s="203"/>
      <c r="BC124" s="67">
        <f t="shared" si="967"/>
        <v>65336</v>
      </c>
      <c r="BD124" s="196">
        <f t="shared" si="968"/>
        <v>65336</v>
      </c>
      <c r="BE124" s="204"/>
      <c r="BF124" s="205"/>
      <c r="BG124" s="205"/>
      <c r="BH124" s="13">
        <f t="shared" si="893"/>
        <v>0</v>
      </c>
      <c r="BI124" s="13">
        <f t="shared" si="912"/>
        <v>1255</v>
      </c>
      <c r="BJ124" s="13">
        <f t="shared" si="567"/>
        <v>0.16</v>
      </c>
      <c r="BK124" s="230">
        <f t="shared" si="646"/>
        <v>0</v>
      </c>
      <c r="BL124" s="161">
        <f t="shared" si="568"/>
        <v>4.160000000000001</v>
      </c>
      <c r="BM124" s="132">
        <f t="shared" si="840"/>
        <v>1.757703081232493</v>
      </c>
      <c r="BN124" s="204"/>
      <c r="BO124" s="13">
        <f t="shared" si="569"/>
        <v>71</v>
      </c>
      <c r="BP124" s="482">
        <f t="shared" si="647"/>
        <v>0</v>
      </c>
      <c r="BQ124" s="752">
        <f t="shared" si="651"/>
        <v>3487.7310117165239</v>
      </c>
      <c r="BR124" s="605">
        <f t="shared" si="570"/>
        <v>1160</v>
      </c>
      <c r="BS124" s="606">
        <f t="shared" si="984"/>
        <v>0</v>
      </c>
      <c r="BT124" s="59">
        <f t="shared" si="737"/>
        <v>1160</v>
      </c>
      <c r="BU124" s="12">
        <f t="shared" si="571"/>
        <v>86</v>
      </c>
      <c r="BV124" s="202">
        <f t="shared" si="985"/>
        <v>0</v>
      </c>
      <c r="BW124" s="62">
        <f t="shared" si="661"/>
        <v>86</v>
      </c>
      <c r="BY124" s="197">
        <f>BY123+1</f>
        <v>21</v>
      </c>
      <c r="BZ124" s="8">
        <f t="shared" si="987"/>
        <v>16</v>
      </c>
      <c r="CA124" s="136"/>
      <c r="CB124" s="32">
        <f t="shared" si="662"/>
        <v>14583</v>
      </c>
      <c r="CC124" s="53">
        <f t="shared" si="682"/>
        <v>14583</v>
      </c>
      <c r="CD124" s="421"/>
      <c r="CE124" s="426"/>
      <c r="CF124" s="426"/>
      <c r="CG124" s="32">
        <f t="shared" si="683"/>
        <v>0</v>
      </c>
      <c r="CH124" s="32">
        <f t="shared" si="663"/>
        <v>73</v>
      </c>
      <c r="CI124" s="32">
        <f t="shared" si="572"/>
        <v>0.16</v>
      </c>
      <c r="CJ124" s="47">
        <f t="shared" si="782"/>
        <v>0</v>
      </c>
      <c r="CK124" s="36">
        <f t="shared" si="573"/>
        <v>4.160000000000001</v>
      </c>
      <c r="CL124" s="157">
        <f t="shared" si="783"/>
        <v>0.49808951965065501</v>
      </c>
      <c r="CM124" s="137"/>
      <c r="CN124" s="32">
        <f t="shared" si="574"/>
        <v>71</v>
      </c>
      <c r="CO124" s="442">
        <f t="shared" si="784"/>
        <v>0</v>
      </c>
      <c r="CP124" s="70">
        <f t="shared" si="649"/>
        <v>1975.2862203652064</v>
      </c>
      <c r="CQ124" s="50">
        <f t="shared" si="575"/>
        <v>1160</v>
      </c>
      <c r="CR124" s="103">
        <f t="shared" si="988"/>
        <v>0</v>
      </c>
      <c r="CS124" s="63">
        <f t="shared" si="738"/>
        <v>1160</v>
      </c>
      <c r="CT124" s="12">
        <f t="shared" si="576"/>
        <v>86</v>
      </c>
      <c r="CU124" s="103">
        <f t="shared" si="989"/>
        <v>0</v>
      </c>
      <c r="CV124" s="63">
        <f t="shared" si="625"/>
        <v>86</v>
      </c>
      <c r="CX124" s="197">
        <f>CX123+1</f>
        <v>21</v>
      </c>
      <c r="CY124" s="8">
        <f t="shared" si="991"/>
        <v>16</v>
      </c>
      <c r="CZ124" s="136"/>
      <c r="DA124" s="32">
        <f t="shared" si="925"/>
        <v>14671</v>
      </c>
      <c r="DB124" s="53">
        <f t="shared" si="969"/>
        <v>14671</v>
      </c>
      <c r="DC124" s="421"/>
      <c r="DD124" s="426"/>
      <c r="DE124" s="426"/>
      <c r="DF124" s="32">
        <f t="shared" si="684"/>
        <v>0</v>
      </c>
      <c r="DG124" s="32">
        <f t="shared" si="880"/>
        <v>56</v>
      </c>
      <c r="DH124" s="32">
        <f t="shared" si="577"/>
        <v>0.16</v>
      </c>
      <c r="DI124" s="47">
        <f t="shared" si="785"/>
        <v>0</v>
      </c>
      <c r="DJ124" s="36">
        <f t="shared" si="578"/>
        <v>4.160000000000001</v>
      </c>
      <c r="DK124" s="157">
        <f t="shared" si="786"/>
        <v>0.38035726414453574</v>
      </c>
      <c r="DL124" s="137"/>
      <c r="DM124" s="32">
        <f t="shared" si="579"/>
        <v>71</v>
      </c>
      <c r="DN124" s="442">
        <f t="shared" si="787"/>
        <v>0</v>
      </c>
      <c r="DO124" s="70">
        <f t="shared" si="666"/>
        <v>2052.9886076744156</v>
      </c>
      <c r="DP124" s="50">
        <f t="shared" si="580"/>
        <v>1160</v>
      </c>
      <c r="DQ124" s="103">
        <f t="shared" si="992"/>
        <v>0</v>
      </c>
      <c r="DR124" s="63">
        <f t="shared" si="739"/>
        <v>1160</v>
      </c>
      <c r="DS124" s="12">
        <f t="shared" si="581"/>
        <v>86</v>
      </c>
      <c r="DT124" s="103">
        <f t="shared" si="993"/>
        <v>0</v>
      </c>
      <c r="DU124" s="63">
        <f t="shared" si="654"/>
        <v>86</v>
      </c>
      <c r="DW124" s="197">
        <f>DW123+1</f>
        <v>21</v>
      </c>
      <c r="DX124" s="8">
        <f t="shared" si="995"/>
        <v>16</v>
      </c>
      <c r="DY124" s="136"/>
      <c r="DZ124" s="32">
        <f t="shared" si="926"/>
        <v>14466</v>
      </c>
      <c r="EA124" s="53">
        <f t="shared" si="970"/>
        <v>14466</v>
      </c>
      <c r="EB124" s="421"/>
      <c r="EC124" s="426"/>
      <c r="ED124" s="426"/>
      <c r="EE124" s="32">
        <f t="shared" si="686"/>
        <v>0</v>
      </c>
      <c r="EF124" s="32">
        <f t="shared" si="881"/>
        <v>81</v>
      </c>
      <c r="EG124" s="32">
        <f t="shared" si="582"/>
        <v>0.16</v>
      </c>
      <c r="EH124" s="47">
        <f t="shared" si="788"/>
        <v>0</v>
      </c>
      <c r="EI124" s="36">
        <f t="shared" si="583"/>
        <v>4.160000000000001</v>
      </c>
      <c r="EJ124" s="157">
        <f t="shared" si="800"/>
        <v>0.55708390646492434</v>
      </c>
      <c r="EK124" s="137"/>
      <c r="EL124" s="32">
        <f t="shared" si="584"/>
        <v>71</v>
      </c>
      <c r="EM124" s="442">
        <f t="shared" si="789"/>
        <v>0</v>
      </c>
      <c r="EN124" s="70">
        <f t="shared" si="669"/>
        <v>2297.0468525697056</v>
      </c>
      <c r="EO124" s="50">
        <f t="shared" si="585"/>
        <v>1160</v>
      </c>
      <c r="EP124" s="103">
        <f t="shared" si="996"/>
        <v>0</v>
      </c>
      <c r="EQ124" s="63">
        <f t="shared" si="740"/>
        <v>1160</v>
      </c>
      <c r="ER124" s="12">
        <f t="shared" si="586"/>
        <v>86</v>
      </c>
      <c r="ES124" s="103">
        <f t="shared" si="997"/>
        <v>0</v>
      </c>
      <c r="ET124" s="63">
        <f t="shared" si="655"/>
        <v>86</v>
      </c>
      <c r="EV124" s="197">
        <f>EV123+1</f>
        <v>21</v>
      </c>
      <c r="EW124" s="8">
        <f t="shared" si="999"/>
        <v>16</v>
      </c>
      <c r="EX124" s="136"/>
      <c r="EY124" s="32">
        <f t="shared" si="927"/>
        <v>14167</v>
      </c>
      <c r="EZ124" s="53">
        <f t="shared" si="971"/>
        <v>14167</v>
      </c>
      <c r="FA124" s="421"/>
      <c r="FB124" s="426"/>
      <c r="FC124" s="426"/>
      <c r="FD124" s="32">
        <f t="shared" si="688"/>
        <v>0</v>
      </c>
      <c r="FE124" s="32">
        <f t="shared" si="882"/>
        <v>71</v>
      </c>
      <c r="FF124" s="32">
        <f t="shared" si="587"/>
        <v>0.16</v>
      </c>
      <c r="FG124" s="47">
        <f t="shared" si="790"/>
        <v>0</v>
      </c>
      <c r="FH124" s="36">
        <f t="shared" si="588"/>
        <v>4.160000000000001</v>
      </c>
      <c r="FI124" s="157">
        <f t="shared" si="801"/>
        <v>0.49877063575693714</v>
      </c>
      <c r="FJ124" s="137"/>
      <c r="FK124" s="32">
        <f t="shared" si="589"/>
        <v>71</v>
      </c>
      <c r="FL124" s="442">
        <f t="shared" si="792"/>
        <v>0</v>
      </c>
      <c r="FM124" s="70">
        <f t="shared" si="672"/>
        <v>2437.1380235191186</v>
      </c>
      <c r="FN124" s="50">
        <f t="shared" si="590"/>
        <v>1160</v>
      </c>
      <c r="FO124" s="103">
        <f t="shared" si="1000"/>
        <v>0</v>
      </c>
      <c r="FP124" s="63">
        <f t="shared" si="741"/>
        <v>1160</v>
      </c>
      <c r="FQ124" s="12">
        <f t="shared" si="591"/>
        <v>86</v>
      </c>
      <c r="FR124" s="103">
        <f t="shared" si="1001"/>
        <v>0</v>
      </c>
      <c r="FS124" s="63">
        <f t="shared" si="656"/>
        <v>86</v>
      </c>
      <c r="FU124" s="197">
        <f>FU123+1</f>
        <v>21</v>
      </c>
      <c r="FV124" s="8">
        <f t="shared" si="1003"/>
        <v>16</v>
      </c>
      <c r="FW124" s="136"/>
      <c r="FX124" s="32">
        <f t="shared" si="928"/>
        <v>14147</v>
      </c>
      <c r="FY124" s="53">
        <f t="shared" si="972"/>
        <v>14147</v>
      </c>
      <c r="FZ124" s="421"/>
      <c r="GA124" s="426"/>
      <c r="GB124" s="426"/>
      <c r="GC124" s="32">
        <f t="shared" si="690"/>
        <v>0</v>
      </c>
      <c r="GD124" s="32">
        <f t="shared" si="883"/>
        <v>44</v>
      </c>
      <c r="GE124" s="32">
        <f t="shared" si="592"/>
        <v>0.16</v>
      </c>
      <c r="GF124" s="47">
        <f t="shared" si="793"/>
        <v>0</v>
      </c>
      <c r="GG124" s="36">
        <f t="shared" si="593"/>
        <v>4.160000000000001</v>
      </c>
      <c r="GH124" s="157">
        <f t="shared" si="802"/>
        <v>0.31009937275354149</v>
      </c>
      <c r="GI124" s="137"/>
      <c r="GJ124" s="32">
        <f t="shared" si="594"/>
        <v>71</v>
      </c>
      <c r="GK124" s="442">
        <f t="shared" si="795"/>
        <v>0</v>
      </c>
      <c r="GL124" s="70">
        <f t="shared" si="675"/>
        <v>2115.7658400333685</v>
      </c>
      <c r="GM124" s="50">
        <f t="shared" si="595"/>
        <v>1160</v>
      </c>
      <c r="GN124" s="103">
        <f t="shared" si="1004"/>
        <v>0</v>
      </c>
      <c r="GO124" s="63">
        <f t="shared" si="742"/>
        <v>1160</v>
      </c>
      <c r="GP124" s="12">
        <f t="shared" si="596"/>
        <v>86</v>
      </c>
      <c r="GQ124" s="103">
        <f t="shared" si="1005"/>
        <v>0</v>
      </c>
      <c r="GR124" s="63">
        <f t="shared" si="657"/>
        <v>86</v>
      </c>
      <c r="GT124" s="197">
        <f>GT123+1</f>
        <v>21</v>
      </c>
      <c r="GU124" s="8">
        <f t="shared" si="1007"/>
        <v>16</v>
      </c>
      <c r="GV124" s="136"/>
      <c r="GW124" s="32">
        <f t="shared" si="929"/>
        <v>9146</v>
      </c>
      <c r="GX124" s="53">
        <f t="shared" si="973"/>
        <v>9146</v>
      </c>
      <c r="GY124" s="421"/>
      <c r="GZ124" s="426"/>
      <c r="HA124" s="426"/>
      <c r="HB124" s="32">
        <f t="shared" si="692"/>
        <v>0</v>
      </c>
      <c r="HC124" s="32">
        <f t="shared" si="884"/>
        <v>36</v>
      </c>
      <c r="HD124" s="32">
        <f t="shared" si="597"/>
        <v>0.16</v>
      </c>
      <c r="HE124" s="47">
        <f t="shared" si="796"/>
        <v>0</v>
      </c>
      <c r="HF124" s="36">
        <f t="shared" si="598"/>
        <v>4.160000000000001</v>
      </c>
      <c r="HG124" s="157">
        <f t="shared" si="803"/>
        <v>0.3920714441298192</v>
      </c>
      <c r="HH124" s="137"/>
      <c r="HI124" s="32">
        <f t="shared" si="599"/>
        <v>71</v>
      </c>
      <c r="HJ124" s="442">
        <f t="shared" si="798"/>
        <v>0</v>
      </c>
      <c r="HK124" s="70">
        <f t="shared" si="678"/>
        <v>2261.5830127780196</v>
      </c>
      <c r="HL124" s="50">
        <f t="shared" si="600"/>
        <v>1160</v>
      </c>
      <c r="HM124" s="103">
        <f t="shared" si="1008"/>
        <v>0</v>
      </c>
      <c r="HN124" s="63">
        <f t="shared" si="743"/>
        <v>1160</v>
      </c>
      <c r="HO124" s="12">
        <f t="shared" si="601"/>
        <v>86</v>
      </c>
      <c r="HP124" s="103">
        <f t="shared" si="1009"/>
        <v>0</v>
      </c>
      <c r="HQ124" s="63">
        <f t="shared" si="658"/>
        <v>86</v>
      </c>
    </row>
    <row r="125" spans="1:225" ht="17.25" thickBot="1" x14ac:dyDescent="0.3">
      <c r="B125" s="118">
        <v>22</v>
      </c>
      <c r="C125" s="575">
        <v>17</v>
      </c>
      <c r="D125" s="129"/>
      <c r="E125" s="400">
        <f t="shared" si="696"/>
        <v>68543</v>
      </c>
      <c r="F125" s="561">
        <f t="shared" si="555"/>
        <v>68543</v>
      </c>
      <c r="G125" s="130"/>
      <c r="H125" s="131"/>
      <c r="I125" s="131"/>
      <c r="J125" s="11">
        <f t="shared" si="679"/>
        <v>0</v>
      </c>
      <c r="K125" s="11">
        <f t="shared" si="604"/>
        <v>5542</v>
      </c>
      <c r="L125" s="11">
        <f t="shared" si="556"/>
        <v>0.16</v>
      </c>
      <c r="M125" s="42">
        <f t="shared" si="605"/>
        <v>0</v>
      </c>
      <c r="N125" s="21">
        <f t="shared" si="557"/>
        <v>4.3200000000000012</v>
      </c>
      <c r="O125" s="132">
        <f t="shared" si="606"/>
        <v>4.1090507366188938</v>
      </c>
      <c r="P125" s="158"/>
      <c r="Q125" s="17">
        <f t="shared" si="558"/>
        <v>75</v>
      </c>
      <c r="R125" s="441">
        <f t="shared" si="877"/>
        <v>0</v>
      </c>
      <c r="S125" s="469">
        <f t="shared" si="650"/>
        <v>3520.2686172807612</v>
      </c>
      <c r="T125" s="61">
        <f t="shared" si="560"/>
        <v>1207</v>
      </c>
      <c r="U125" s="131"/>
      <c r="V125" s="41">
        <f t="shared" si="608"/>
        <v>1207</v>
      </c>
      <c r="W125" s="18">
        <f t="shared" si="878"/>
        <v>86</v>
      </c>
      <c r="X125" s="131"/>
      <c r="Y125" s="41">
        <f t="shared" si="610"/>
        <v>86</v>
      </c>
      <c r="Z125" s="487"/>
      <c r="AA125" s="118">
        <v>22</v>
      </c>
      <c r="AB125" s="9">
        <v>17</v>
      </c>
      <c r="AC125" s="129"/>
      <c r="AD125" s="43">
        <f t="shared" si="879"/>
        <v>59287</v>
      </c>
      <c r="AE125" s="449">
        <f t="shared" si="966"/>
        <v>59287</v>
      </c>
      <c r="AF125" s="130"/>
      <c r="AG125" s="131"/>
      <c r="AH125" s="131"/>
      <c r="AI125" s="11">
        <f t="shared" si="889"/>
        <v>0</v>
      </c>
      <c r="AJ125" s="11">
        <f t="shared" si="910"/>
        <v>6432</v>
      </c>
      <c r="AK125" s="17">
        <f t="shared" si="562"/>
        <v>0.16</v>
      </c>
      <c r="AL125" s="42">
        <f t="shared" si="613"/>
        <v>0</v>
      </c>
      <c r="AM125" s="33">
        <f t="shared" si="563"/>
        <v>4.3200000000000012</v>
      </c>
      <c r="AN125" s="157">
        <f t="shared" si="659"/>
        <v>4.1990912414477464</v>
      </c>
      <c r="AO125" s="130"/>
      <c r="AP125" s="17">
        <f t="shared" si="564"/>
        <v>75</v>
      </c>
      <c r="AQ125" s="441">
        <f t="shared" si="614"/>
        <v>0</v>
      </c>
      <c r="AR125" s="469">
        <f t="shared" si="799"/>
        <v>3681.7427283987504</v>
      </c>
      <c r="AS125" s="61">
        <f t="shared" si="565"/>
        <v>1207</v>
      </c>
      <c r="AT125" s="131"/>
      <c r="AU125" s="41">
        <f t="shared" si="736"/>
        <v>1207</v>
      </c>
      <c r="AV125" s="18">
        <f t="shared" si="566"/>
        <v>86</v>
      </c>
      <c r="AW125" s="131"/>
      <c r="AX125" s="41">
        <f t="shared" si="660"/>
        <v>86</v>
      </c>
      <c r="AZ125" s="118">
        <v>22</v>
      </c>
      <c r="BA125" s="9">
        <v>17</v>
      </c>
      <c r="BB125" s="129"/>
      <c r="BC125" s="43">
        <f t="shared" si="967"/>
        <v>65336</v>
      </c>
      <c r="BD125" s="449">
        <f t="shared" si="968"/>
        <v>65336</v>
      </c>
      <c r="BE125" s="130"/>
      <c r="BF125" s="131"/>
      <c r="BG125" s="131"/>
      <c r="BH125" s="11">
        <f t="shared" si="893"/>
        <v>0</v>
      </c>
      <c r="BI125" s="11">
        <f t="shared" si="912"/>
        <v>1255</v>
      </c>
      <c r="BJ125" s="11">
        <f t="shared" si="567"/>
        <v>0.16</v>
      </c>
      <c r="BK125" s="42">
        <f t="shared" si="646"/>
        <v>0</v>
      </c>
      <c r="BL125" s="21">
        <f t="shared" si="568"/>
        <v>4.3200000000000012</v>
      </c>
      <c r="BM125" s="132">
        <f t="shared" si="840"/>
        <v>1.757703081232493</v>
      </c>
      <c r="BN125" s="130"/>
      <c r="BO125" s="11">
        <f t="shared" si="569"/>
        <v>75</v>
      </c>
      <c r="BP125" s="441">
        <f t="shared" si="647"/>
        <v>0</v>
      </c>
      <c r="BQ125" s="746">
        <f t="shared" si="651"/>
        <v>3487.7310117165239</v>
      </c>
      <c r="BR125" s="58">
        <f t="shared" si="570"/>
        <v>1207</v>
      </c>
      <c r="BS125" s="131"/>
      <c r="BT125" s="41">
        <f t="shared" si="737"/>
        <v>1207</v>
      </c>
      <c r="BU125" s="18">
        <f t="shared" si="571"/>
        <v>86</v>
      </c>
      <c r="BV125" s="131"/>
      <c r="BW125" s="41">
        <f t="shared" si="661"/>
        <v>86</v>
      </c>
      <c r="BY125" s="118">
        <v>22</v>
      </c>
      <c r="BZ125" s="9">
        <v>17</v>
      </c>
      <c r="CA125" s="129"/>
      <c r="CB125" s="11">
        <f t="shared" si="662"/>
        <v>14583</v>
      </c>
      <c r="CC125" s="57">
        <f t="shared" si="682"/>
        <v>14583</v>
      </c>
      <c r="CD125" s="130"/>
      <c r="CE125" s="131"/>
      <c r="CF125" s="131"/>
      <c r="CG125" s="11">
        <f t="shared" si="683"/>
        <v>0</v>
      </c>
      <c r="CH125" s="11">
        <f t="shared" si="663"/>
        <v>73</v>
      </c>
      <c r="CI125" s="17">
        <f t="shared" si="572"/>
        <v>0.16</v>
      </c>
      <c r="CJ125" s="47">
        <f t="shared" si="782"/>
        <v>0</v>
      </c>
      <c r="CK125" s="33">
        <f t="shared" si="573"/>
        <v>4.3200000000000012</v>
      </c>
      <c r="CL125" s="157">
        <f t="shared" si="783"/>
        <v>0.49808951965065501</v>
      </c>
      <c r="CM125" s="130"/>
      <c r="CN125" s="17">
        <f t="shared" si="574"/>
        <v>75</v>
      </c>
      <c r="CO125" s="442">
        <f t="shared" si="784"/>
        <v>0</v>
      </c>
      <c r="CP125" s="377">
        <f t="shared" si="649"/>
        <v>1975.2862203652064</v>
      </c>
      <c r="CQ125" s="58">
        <f t="shared" si="575"/>
        <v>1207</v>
      </c>
      <c r="CR125" s="131"/>
      <c r="CS125" s="41">
        <f t="shared" si="738"/>
        <v>1207</v>
      </c>
      <c r="CT125" s="18">
        <f t="shared" si="576"/>
        <v>86</v>
      </c>
      <c r="CU125" s="131"/>
      <c r="CV125" s="41">
        <f t="shared" si="625"/>
        <v>86</v>
      </c>
      <c r="CX125" s="118">
        <v>22</v>
      </c>
      <c r="CY125" s="9">
        <v>17</v>
      </c>
      <c r="CZ125" s="129"/>
      <c r="DA125" s="11">
        <f t="shared" si="925"/>
        <v>14671</v>
      </c>
      <c r="DB125" s="57">
        <f t="shared" si="969"/>
        <v>14671</v>
      </c>
      <c r="DC125" s="130"/>
      <c r="DD125" s="131"/>
      <c r="DE125" s="131"/>
      <c r="DF125" s="11">
        <f t="shared" si="684"/>
        <v>0</v>
      </c>
      <c r="DG125" s="11">
        <f t="shared" si="880"/>
        <v>56</v>
      </c>
      <c r="DH125" s="17">
        <f t="shared" si="577"/>
        <v>0.16</v>
      </c>
      <c r="DI125" s="47">
        <f t="shared" si="785"/>
        <v>0</v>
      </c>
      <c r="DJ125" s="33">
        <f t="shared" si="578"/>
        <v>4.3200000000000012</v>
      </c>
      <c r="DK125" s="157">
        <f t="shared" si="786"/>
        <v>0.38035726414453574</v>
      </c>
      <c r="DL125" s="130"/>
      <c r="DM125" s="17">
        <f t="shared" si="579"/>
        <v>75</v>
      </c>
      <c r="DN125" s="442">
        <f t="shared" si="787"/>
        <v>0</v>
      </c>
      <c r="DO125" s="377">
        <f t="shared" si="666"/>
        <v>2052.9886076744156</v>
      </c>
      <c r="DP125" s="58">
        <f t="shared" si="580"/>
        <v>1207</v>
      </c>
      <c r="DQ125" s="131"/>
      <c r="DR125" s="41">
        <f t="shared" si="739"/>
        <v>1207</v>
      </c>
      <c r="DS125" s="18">
        <f t="shared" si="581"/>
        <v>86</v>
      </c>
      <c r="DT125" s="131"/>
      <c r="DU125" s="41">
        <f t="shared" si="654"/>
        <v>86</v>
      </c>
      <c r="DW125" s="118">
        <v>22</v>
      </c>
      <c r="DX125" s="9">
        <v>17</v>
      </c>
      <c r="DY125" s="129"/>
      <c r="DZ125" s="11">
        <f t="shared" si="926"/>
        <v>14466</v>
      </c>
      <c r="EA125" s="57">
        <f t="shared" si="970"/>
        <v>14466</v>
      </c>
      <c r="EB125" s="130"/>
      <c r="EC125" s="131"/>
      <c r="ED125" s="131"/>
      <c r="EE125" s="11">
        <f t="shared" si="686"/>
        <v>0</v>
      </c>
      <c r="EF125" s="11">
        <f t="shared" si="881"/>
        <v>81</v>
      </c>
      <c r="EG125" s="17">
        <f t="shared" si="582"/>
        <v>0.16</v>
      </c>
      <c r="EH125" s="47">
        <f t="shared" si="788"/>
        <v>0</v>
      </c>
      <c r="EI125" s="33">
        <f t="shared" si="583"/>
        <v>4.3200000000000012</v>
      </c>
      <c r="EJ125" s="157">
        <f t="shared" si="800"/>
        <v>0.55708390646492434</v>
      </c>
      <c r="EK125" s="130"/>
      <c r="EL125" s="17">
        <f t="shared" si="584"/>
        <v>75</v>
      </c>
      <c r="EM125" s="442">
        <f t="shared" si="789"/>
        <v>0</v>
      </c>
      <c r="EN125" s="377">
        <f t="shared" si="669"/>
        <v>2297.0468525697056</v>
      </c>
      <c r="EO125" s="58">
        <f t="shared" si="585"/>
        <v>1207</v>
      </c>
      <c r="EP125" s="131"/>
      <c r="EQ125" s="41">
        <f t="shared" si="740"/>
        <v>1207</v>
      </c>
      <c r="ER125" s="18">
        <f t="shared" si="586"/>
        <v>86</v>
      </c>
      <c r="ES125" s="131"/>
      <c r="ET125" s="41">
        <f t="shared" si="655"/>
        <v>86</v>
      </c>
      <c r="EV125" s="118">
        <v>22</v>
      </c>
      <c r="EW125" s="9">
        <v>17</v>
      </c>
      <c r="EX125" s="129"/>
      <c r="EY125" s="11">
        <f t="shared" si="927"/>
        <v>14167</v>
      </c>
      <c r="EZ125" s="57">
        <f t="shared" si="971"/>
        <v>14167</v>
      </c>
      <c r="FA125" s="130"/>
      <c r="FB125" s="131"/>
      <c r="FC125" s="131"/>
      <c r="FD125" s="11">
        <f t="shared" si="688"/>
        <v>0</v>
      </c>
      <c r="FE125" s="11">
        <f t="shared" si="882"/>
        <v>71</v>
      </c>
      <c r="FF125" s="17">
        <f t="shared" si="587"/>
        <v>0.16</v>
      </c>
      <c r="FG125" s="47">
        <f t="shared" si="790"/>
        <v>0</v>
      </c>
      <c r="FH125" s="33">
        <f t="shared" si="588"/>
        <v>4.3200000000000012</v>
      </c>
      <c r="FI125" s="157">
        <f t="shared" si="801"/>
        <v>0.49877063575693714</v>
      </c>
      <c r="FJ125" s="130"/>
      <c r="FK125" s="17">
        <f t="shared" si="589"/>
        <v>75</v>
      </c>
      <c r="FL125" s="442">
        <f t="shared" si="792"/>
        <v>0</v>
      </c>
      <c r="FM125" s="377">
        <f t="shared" si="672"/>
        <v>2437.1380235191186</v>
      </c>
      <c r="FN125" s="58">
        <f t="shared" si="590"/>
        <v>1207</v>
      </c>
      <c r="FO125" s="131"/>
      <c r="FP125" s="41">
        <f t="shared" si="741"/>
        <v>1207</v>
      </c>
      <c r="FQ125" s="18">
        <f t="shared" si="591"/>
        <v>86</v>
      </c>
      <c r="FR125" s="131"/>
      <c r="FS125" s="41">
        <f t="shared" si="656"/>
        <v>86</v>
      </c>
      <c r="FU125" s="118">
        <v>22</v>
      </c>
      <c r="FV125" s="9">
        <v>17</v>
      </c>
      <c r="FW125" s="129"/>
      <c r="FX125" s="11">
        <f t="shared" si="928"/>
        <v>14147</v>
      </c>
      <c r="FY125" s="57">
        <f t="shared" si="972"/>
        <v>14147</v>
      </c>
      <c r="FZ125" s="130"/>
      <c r="GA125" s="131"/>
      <c r="GB125" s="131"/>
      <c r="GC125" s="11">
        <f t="shared" si="690"/>
        <v>0</v>
      </c>
      <c r="GD125" s="11">
        <f t="shared" si="883"/>
        <v>44</v>
      </c>
      <c r="GE125" s="17">
        <f t="shared" si="592"/>
        <v>0.16</v>
      </c>
      <c r="GF125" s="47">
        <f t="shared" si="793"/>
        <v>0</v>
      </c>
      <c r="GG125" s="33">
        <f t="shared" si="593"/>
        <v>4.3200000000000012</v>
      </c>
      <c r="GH125" s="157">
        <f t="shared" si="802"/>
        <v>0.31009937275354149</v>
      </c>
      <c r="GI125" s="130"/>
      <c r="GJ125" s="17">
        <f t="shared" si="594"/>
        <v>75</v>
      </c>
      <c r="GK125" s="442">
        <f t="shared" si="795"/>
        <v>0</v>
      </c>
      <c r="GL125" s="377">
        <f t="shared" si="675"/>
        <v>2115.7658400333685</v>
      </c>
      <c r="GM125" s="58">
        <f t="shared" si="595"/>
        <v>1207</v>
      </c>
      <c r="GN125" s="131"/>
      <c r="GO125" s="41">
        <f t="shared" si="742"/>
        <v>1207</v>
      </c>
      <c r="GP125" s="18">
        <f t="shared" si="596"/>
        <v>86</v>
      </c>
      <c r="GQ125" s="131"/>
      <c r="GR125" s="41">
        <f t="shared" si="657"/>
        <v>86</v>
      </c>
      <c r="GT125" s="118">
        <v>22</v>
      </c>
      <c r="GU125" s="9">
        <v>17</v>
      </c>
      <c r="GV125" s="129"/>
      <c r="GW125" s="11">
        <f t="shared" si="929"/>
        <v>9146</v>
      </c>
      <c r="GX125" s="57">
        <f t="shared" si="973"/>
        <v>9146</v>
      </c>
      <c r="GY125" s="130"/>
      <c r="GZ125" s="131"/>
      <c r="HA125" s="131"/>
      <c r="HB125" s="11">
        <f t="shared" si="692"/>
        <v>0</v>
      </c>
      <c r="HC125" s="11">
        <f t="shared" si="884"/>
        <v>36</v>
      </c>
      <c r="HD125" s="17">
        <f t="shared" si="597"/>
        <v>0.16</v>
      </c>
      <c r="HE125" s="47">
        <f t="shared" si="796"/>
        <v>0</v>
      </c>
      <c r="HF125" s="33">
        <f t="shared" si="598"/>
        <v>4.3200000000000012</v>
      </c>
      <c r="HG125" s="157">
        <f t="shared" si="803"/>
        <v>0.3920714441298192</v>
      </c>
      <c r="HH125" s="130"/>
      <c r="HI125" s="17">
        <f t="shared" si="599"/>
        <v>75</v>
      </c>
      <c r="HJ125" s="442">
        <f t="shared" si="798"/>
        <v>0</v>
      </c>
      <c r="HK125" s="377">
        <f t="shared" si="678"/>
        <v>2261.5830127780196</v>
      </c>
      <c r="HL125" s="58">
        <f t="shared" si="600"/>
        <v>1207</v>
      </c>
      <c r="HM125" s="131"/>
      <c r="HN125" s="41">
        <f t="shared" si="743"/>
        <v>1207</v>
      </c>
      <c r="HO125" s="18">
        <f t="shared" si="601"/>
        <v>86</v>
      </c>
      <c r="HP125" s="131"/>
      <c r="HQ125" s="41">
        <f t="shared" si="658"/>
        <v>86</v>
      </c>
    </row>
    <row r="126" spans="1:225" ht="17.25" thickBot="1" x14ac:dyDescent="0.3">
      <c r="B126" s="120">
        <f>B125+1</f>
        <v>23</v>
      </c>
      <c r="C126" s="570">
        <f>C125</f>
        <v>17</v>
      </c>
      <c r="D126" s="133"/>
      <c r="E126" s="408">
        <f t="shared" si="696"/>
        <v>68543</v>
      </c>
      <c r="F126" s="562">
        <f t="shared" si="555"/>
        <v>68543</v>
      </c>
      <c r="G126" s="134"/>
      <c r="H126" s="135"/>
      <c r="I126" s="135"/>
      <c r="J126" s="31">
        <f t="shared" si="679"/>
        <v>0</v>
      </c>
      <c r="K126" s="14">
        <f t="shared" si="604"/>
        <v>5542</v>
      </c>
      <c r="L126" s="14">
        <f t="shared" si="556"/>
        <v>0.16</v>
      </c>
      <c r="M126" s="47">
        <f t="shared" si="605"/>
        <v>0</v>
      </c>
      <c r="N126" s="35">
        <f t="shared" si="557"/>
        <v>4.3200000000000012</v>
      </c>
      <c r="O126" s="132">
        <f t="shared" si="606"/>
        <v>4.1090507366188938</v>
      </c>
      <c r="P126" s="142"/>
      <c r="Q126" s="14">
        <f t="shared" si="558"/>
        <v>75</v>
      </c>
      <c r="R126" s="480">
        <f t="shared" si="877"/>
        <v>0</v>
      </c>
      <c r="S126" s="470">
        <f t="shared" si="650"/>
        <v>3520.2686172807612</v>
      </c>
      <c r="T126" s="51">
        <f t="shared" si="560"/>
        <v>1207</v>
      </c>
      <c r="U126" s="103">
        <f>U125</f>
        <v>0</v>
      </c>
      <c r="V126" s="46">
        <f t="shared" si="608"/>
        <v>1207</v>
      </c>
      <c r="W126" s="51">
        <f t="shared" si="878"/>
        <v>86</v>
      </c>
      <c r="X126" s="103">
        <f>X125</f>
        <v>0</v>
      </c>
      <c r="Y126" s="46">
        <f t="shared" si="610"/>
        <v>86</v>
      </c>
      <c r="Z126" s="487"/>
      <c r="AA126" s="120">
        <f>AA125+1</f>
        <v>23</v>
      </c>
      <c r="AB126" s="7">
        <f>AB125</f>
        <v>17</v>
      </c>
      <c r="AC126" s="133"/>
      <c r="AD126" s="48">
        <f t="shared" si="879"/>
        <v>59287</v>
      </c>
      <c r="AE126" s="196">
        <f t="shared" si="966"/>
        <v>59287</v>
      </c>
      <c r="AF126" s="134"/>
      <c r="AG126" s="135"/>
      <c r="AH126" s="135"/>
      <c r="AI126" s="31">
        <f t="shared" si="889"/>
        <v>0</v>
      </c>
      <c r="AJ126" s="14">
        <f t="shared" si="910"/>
        <v>6432</v>
      </c>
      <c r="AK126" s="14">
        <f t="shared" si="562"/>
        <v>0.16</v>
      </c>
      <c r="AL126" s="47">
        <f t="shared" si="613"/>
        <v>0</v>
      </c>
      <c r="AM126" s="35">
        <f t="shared" si="563"/>
        <v>4.3200000000000012</v>
      </c>
      <c r="AN126" s="157">
        <f t="shared" si="659"/>
        <v>4.1990912414477464</v>
      </c>
      <c r="AO126" s="134"/>
      <c r="AP126" s="14">
        <f t="shared" si="564"/>
        <v>75</v>
      </c>
      <c r="AQ126" s="480">
        <f t="shared" si="614"/>
        <v>0</v>
      </c>
      <c r="AR126" s="470">
        <f t="shared" si="799"/>
        <v>3681.7427283987504</v>
      </c>
      <c r="AS126" s="51">
        <f t="shared" si="565"/>
        <v>1207</v>
      </c>
      <c r="AT126" s="103">
        <f>AT125</f>
        <v>0</v>
      </c>
      <c r="AU126" s="46">
        <f t="shared" si="736"/>
        <v>1207</v>
      </c>
      <c r="AV126" s="51">
        <f t="shared" si="566"/>
        <v>86</v>
      </c>
      <c r="AW126" s="103">
        <f>AW125</f>
        <v>0</v>
      </c>
      <c r="AX126" s="46">
        <f t="shared" si="660"/>
        <v>86</v>
      </c>
      <c r="AZ126" s="120">
        <f>AZ125+1</f>
        <v>23</v>
      </c>
      <c r="BA126" s="7">
        <f>BA125</f>
        <v>17</v>
      </c>
      <c r="BB126" s="133"/>
      <c r="BC126" s="48">
        <f t="shared" si="967"/>
        <v>65336</v>
      </c>
      <c r="BD126" s="196">
        <f t="shared" si="968"/>
        <v>65336</v>
      </c>
      <c r="BE126" s="134"/>
      <c r="BF126" s="135"/>
      <c r="BG126" s="135"/>
      <c r="BH126" s="31">
        <f t="shared" si="893"/>
        <v>0</v>
      </c>
      <c r="BI126" s="14">
        <f t="shared" si="912"/>
        <v>1255</v>
      </c>
      <c r="BJ126" s="14">
        <f t="shared" si="567"/>
        <v>0.16</v>
      </c>
      <c r="BK126" s="47">
        <f t="shared" si="646"/>
        <v>0</v>
      </c>
      <c r="BL126" s="35">
        <f t="shared" si="568"/>
        <v>4.3200000000000012</v>
      </c>
      <c r="BM126" s="132">
        <f t="shared" si="840"/>
        <v>1.757703081232493</v>
      </c>
      <c r="BN126" s="134"/>
      <c r="BO126" s="14">
        <f t="shared" si="569"/>
        <v>75</v>
      </c>
      <c r="BP126" s="442">
        <f t="shared" si="647"/>
        <v>0</v>
      </c>
      <c r="BQ126" s="747">
        <f t="shared" si="651"/>
        <v>3487.7310117165239</v>
      </c>
      <c r="BR126" s="51">
        <f t="shared" si="570"/>
        <v>1207</v>
      </c>
      <c r="BS126" s="103">
        <f>BS125</f>
        <v>0</v>
      </c>
      <c r="BT126" s="46">
        <f t="shared" si="737"/>
        <v>1207</v>
      </c>
      <c r="BU126" s="51">
        <f t="shared" si="571"/>
        <v>86</v>
      </c>
      <c r="BV126" s="103">
        <f>BV125</f>
        <v>0</v>
      </c>
      <c r="BW126" s="46">
        <f t="shared" si="661"/>
        <v>86</v>
      </c>
      <c r="BY126" s="120">
        <f>BY125+1</f>
        <v>23</v>
      </c>
      <c r="BZ126" s="7">
        <f>BZ125</f>
        <v>17</v>
      </c>
      <c r="CA126" s="133"/>
      <c r="CB126" s="14">
        <f t="shared" si="662"/>
        <v>14583</v>
      </c>
      <c r="CC126" s="59">
        <f t="shared" si="682"/>
        <v>14583</v>
      </c>
      <c r="CD126" s="134"/>
      <c r="CE126" s="135"/>
      <c r="CF126" s="135"/>
      <c r="CG126" s="31">
        <f t="shared" si="683"/>
        <v>0</v>
      </c>
      <c r="CH126" s="14">
        <f t="shared" si="663"/>
        <v>73</v>
      </c>
      <c r="CI126" s="14">
        <f t="shared" si="572"/>
        <v>0.16</v>
      </c>
      <c r="CJ126" s="47">
        <f t="shared" si="782"/>
        <v>0</v>
      </c>
      <c r="CK126" s="35">
        <f t="shared" si="573"/>
        <v>4.3200000000000012</v>
      </c>
      <c r="CL126" s="157">
        <f t="shared" si="783"/>
        <v>0.49808951965065501</v>
      </c>
      <c r="CM126" s="134"/>
      <c r="CN126" s="14">
        <f t="shared" si="574"/>
        <v>75</v>
      </c>
      <c r="CO126" s="442">
        <f t="shared" si="784"/>
        <v>0</v>
      </c>
      <c r="CP126" s="68">
        <f t="shared" si="649"/>
        <v>1975.2862203652064</v>
      </c>
      <c r="CQ126" s="51">
        <f t="shared" si="575"/>
        <v>1207</v>
      </c>
      <c r="CR126" s="103">
        <f>CR125</f>
        <v>0</v>
      </c>
      <c r="CS126" s="104">
        <f t="shared" si="738"/>
        <v>1207</v>
      </c>
      <c r="CT126" s="50">
        <f t="shared" si="576"/>
        <v>86</v>
      </c>
      <c r="CU126" s="103">
        <f>CU125</f>
        <v>0</v>
      </c>
      <c r="CV126" s="46">
        <f t="shared" si="625"/>
        <v>86</v>
      </c>
      <c r="CX126" s="120">
        <f>CX125+1</f>
        <v>23</v>
      </c>
      <c r="CY126" s="7">
        <f>CY125</f>
        <v>17</v>
      </c>
      <c r="CZ126" s="133"/>
      <c r="DA126" s="14">
        <f t="shared" si="925"/>
        <v>14671</v>
      </c>
      <c r="DB126" s="59">
        <f t="shared" si="969"/>
        <v>14671</v>
      </c>
      <c r="DC126" s="134"/>
      <c r="DD126" s="135"/>
      <c r="DE126" s="135"/>
      <c r="DF126" s="31">
        <f t="shared" si="684"/>
        <v>0</v>
      </c>
      <c r="DG126" s="14">
        <f t="shared" si="880"/>
        <v>56</v>
      </c>
      <c r="DH126" s="14">
        <f t="shared" si="577"/>
        <v>0.16</v>
      </c>
      <c r="DI126" s="47">
        <f t="shared" si="785"/>
        <v>0</v>
      </c>
      <c r="DJ126" s="35">
        <f t="shared" si="578"/>
        <v>4.3200000000000012</v>
      </c>
      <c r="DK126" s="157">
        <f t="shared" si="786"/>
        <v>0.38035726414453574</v>
      </c>
      <c r="DL126" s="134"/>
      <c r="DM126" s="14">
        <f t="shared" si="579"/>
        <v>75</v>
      </c>
      <c r="DN126" s="442">
        <f t="shared" si="787"/>
        <v>0</v>
      </c>
      <c r="DO126" s="68">
        <f t="shared" si="666"/>
        <v>2052.9886076744156</v>
      </c>
      <c r="DP126" s="51">
        <f t="shared" si="580"/>
        <v>1207</v>
      </c>
      <c r="DQ126" s="103">
        <f>DQ125</f>
        <v>0</v>
      </c>
      <c r="DR126" s="104">
        <f t="shared" si="739"/>
        <v>1207</v>
      </c>
      <c r="DS126" s="50">
        <f t="shared" si="581"/>
        <v>86</v>
      </c>
      <c r="DT126" s="103">
        <f>DT125</f>
        <v>0</v>
      </c>
      <c r="DU126" s="46">
        <f t="shared" si="654"/>
        <v>86</v>
      </c>
      <c r="DW126" s="120">
        <f>DW125+1</f>
        <v>23</v>
      </c>
      <c r="DX126" s="7">
        <f>DX125</f>
        <v>17</v>
      </c>
      <c r="DY126" s="133"/>
      <c r="DZ126" s="14">
        <f t="shared" si="926"/>
        <v>14466</v>
      </c>
      <c r="EA126" s="59">
        <f t="shared" si="970"/>
        <v>14466</v>
      </c>
      <c r="EB126" s="134"/>
      <c r="EC126" s="135"/>
      <c r="ED126" s="135"/>
      <c r="EE126" s="31">
        <f t="shared" si="686"/>
        <v>0</v>
      </c>
      <c r="EF126" s="14">
        <f t="shared" si="881"/>
        <v>81</v>
      </c>
      <c r="EG126" s="14">
        <f t="shared" si="582"/>
        <v>0.16</v>
      </c>
      <c r="EH126" s="47">
        <f t="shared" si="788"/>
        <v>0</v>
      </c>
      <c r="EI126" s="35">
        <f t="shared" si="583"/>
        <v>4.3200000000000012</v>
      </c>
      <c r="EJ126" s="157">
        <f t="shared" si="800"/>
        <v>0.55708390646492434</v>
      </c>
      <c r="EK126" s="134"/>
      <c r="EL126" s="14">
        <f t="shared" si="584"/>
        <v>75</v>
      </c>
      <c r="EM126" s="442">
        <f t="shared" si="789"/>
        <v>0</v>
      </c>
      <c r="EN126" s="68">
        <f t="shared" si="669"/>
        <v>2297.0468525697056</v>
      </c>
      <c r="EO126" s="51">
        <f t="shared" si="585"/>
        <v>1207</v>
      </c>
      <c r="EP126" s="103">
        <f>EP125</f>
        <v>0</v>
      </c>
      <c r="EQ126" s="104">
        <f t="shared" si="740"/>
        <v>1207</v>
      </c>
      <c r="ER126" s="50">
        <f t="shared" si="586"/>
        <v>86</v>
      </c>
      <c r="ES126" s="103">
        <f>ES125</f>
        <v>0</v>
      </c>
      <c r="ET126" s="46">
        <f t="shared" si="655"/>
        <v>86</v>
      </c>
      <c r="EV126" s="120">
        <f>EV125+1</f>
        <v>23</v>
      </c>
      <c r="EW126" s="7">
        <f>EW125</f>
        <v>17</v>
      </c>
      <c r="EX126" s="133"/>
      <c r="EY126" s="14">
        <f t="shared" si="927"/>
        <v>14167</v>
      </c>
      <c r="EZ126" s="59">
        <f t="shared" si="971"/>
        <v>14167</v>
      </c>
      <c r="FA126" s="134"/>
      <c r="FB126" s="135"/>
      <c r="FC126" s="135"/>
      <c r="FD126" s="31">
        <f t="shared" si="688"/>
        <v>0</v>
      </c>
      <c r="FE126" s="14">
        <f t="shared" si="882"/>
        <v>71</v>
      </c>
      <c r="FF126" s="14">
        <f t="shared" si="587"/>
        <v>0.16</v>
      </c>
      <c r="FG126" s="47">
        <f t="shared" si="790"/>
        <v>0</v>
      </c>
      <c r="FH126" s="35">
        <f t="shared" si="588"/>
        <v>4.3200000000000012</v>
      </c>
      <c r="FI126" s="157">
        <f t="shared" si="801"/>
        <v>0.49877063575693714</v>
      </c>
      <c r="FJ126" s="134"/>
      <c r="FK126" s="14">
        <f t="shared" si="589"/>
        <v>75</v>
      </c>
      <c r="FL126" s="442">
        <f t="shared" si="792"/>
        <v>0</v>
      </c>
      <c r="FM126" s="68">
        <f t="shared" si="672"/>
        <v>2437.1380235191186</v>
      </c>
      <c r="FN126" s="51">
        <f t="shared" si="590"/>
        <v>1207</v>
      </c>
      <c r="FO126" s="103">
        <f>FO125</f>
        <v>0</v>
      </c>
      <c r="FP126" s="104">
        <f t="shared" si="741"/>
        <v>1207</v>
      </c>
      <c r="FQ126" s="50">
        <f t="shared" si="591"/>
        <v>86</v>
      </c>
      <c r="FR126" s="103">
        <f>FR125</f>
        <v>0</v>
      </c>
      <c r="FS126" s="46">
        <f t="shared" si="656"/>
        <v>86</v>
      </c>
      <c r="FU126" s="120">
        <f>FU125+1</f>
        <v>23</v>
      </c>
      <c r="FV126" s="7">
        <f>FV125</f>
        <v>17</v>
      </c>
      <c r="FW126" s="133"/>
      <c r="FX126" s="14">
        <f t="shared" si="928"/>
        <v>14147</v>
      </c>
      <c r="FY126" s="59">
        <f t="shared" si="972"/>
        <v>14147</v>
      </c>
      <c r="FZ126" s="134"/>
      <c r="GA126" s="135"/>
      <c r="GB126" s="135"/>
      <c r="GC126" s="31">
        <f t="shared" si="690"/>
        <v>0</v>
      </c>
      <c r="GD126" s="14">
        <f t="shared" si="883"/>
        <v>44</v>
      </c>
      <c r="GE126" s="14">
        <f t="shared" si="592"/>
        <v>0.16</v>
      </c>
      <c r="GF126" s="47">
        <f t="shared" si="793"/>
        <v>0</v>
      </c>
      <c r="GG126" s="35">
        <f t="shared" si="593"/>
        <v>4.3200000000000012</v>
      </c>
      <c r="GH126" s="157">
        <f t="shared" si="802"/>
        <v>0.31009937275354149</v>
      </c>
      <c r="GI126" s="134"/>
      <c r="GJ126" s="14">
        <f t="shared" si="594"/>
        <v>75</v>
      </c>
      <c r="GK126" s="442">
        <f t="shared" si="795"/>
        <v>0</v>
      </c>
      <c r="GL126" s="68">
        <f t="shared" si="675"/>
        <v>2115.7658400333685</v>
      </c>
      <c r="GM126" s="51">
        <f t="shared" si="595"/>
        <v>1207</v>
      </c>
      <c r="GN126" s="103">
        <f>GN125</f>
        <v>0</v>
      </c>
      <c r="GO126" s="104">
        <f t="shared" si="742"/>
        <v>1207</v>
      </c>
      <c r="GP126" s="50">
        <f t="shared" si="596"/>
        <v>86</v>
      </c>
      <c r="GQ126" s="103">
        <f>GQ125</f>
        <v>0</v>
      </c>
      <c r="GR126" s="46">
        <f t="shared" si="657"/>
        <v>86</v>
      </c>
      <c r="GT126" s="120">
        <f>GT125+1</f>
        <v>23</v>
      </c>
      <c r="GU126" s="7">
        <f>GU125</f>
        <v>17</v>
      </c>
      <c r="GV126" s="133"/>
      <c r="GW126" s="14">
        <f t="shared" si="929"/>
        <v>9146</v>
      </c>
      <c r="GX126" s="59">
        <f t="shared" si="973"/>
        <v>9146</v>
      </c>
      <c r="GY126" s="134"/>
      <c r="GZ126" s="135"/>
      <c r="HA126" s="135"/>
      <c r="HB126" s="31">
        <f t="shared" si="692"/>
        <v>0</v>
      </c>
      <c r="HC126" s="14">
        <f t="shared" si="884"/>
        <v>36</v>
      </c>
      <c r="HD126" s="14">
        <f t="shared" si="597"/>
        <v>0.16</v>
      </c>
      <c r="HE126" s="47">
        <f t="shared" si="796"/>
        <v>0</v>
      </c>
      <c r="HF126" s="35">
        <f t="shared" si="598"/>
        <v>4.3200000000000012</v>
      </c>
      <c r="HG126" s="157">
        <f t="shared" si="803"/>
        <v>0.3920714441298192</v>
      </c>
      <c r="HH126" s="134"/>
      <c r="HI126" s="14">
        <f t="shared" si="599"/>
        <v>75</v>
      </c>
      <c r="HJ126" s="442">
        <f t="shared" si="798"/>
        <v>0</v>
      </c>
      <c r="HK126" s="68">
        <f t="shared" si="678"/>
        <v>2261.5830127780196</v>
      </c>
      <c r="HL126" s="51">
        <f t="shared" si="600"/>
        <v>1207</v>
      </c>
      <c r="HM126" s="103">
        <f>HM125</f>
        <v>0</v>
      </c>
      <c r="HN126" s="104">
        <f t="shared" si="743"/>
        <v>1207</v>
      </c>
      <c r="HO126" s="50">
        <f t="shared" si="601"/>
        <v>86</v>
      </c>
      <c r="HP126" s="103">
        <f>HP125</f>
        <v>0</v>
      </c>
      <c r="HQ126" s="46">
        <f t="shared" si="658"/>
        <v>86</v>
      </c>
    </row>
    <row r="127" spans="1:225" ht="17.25" thickBot="1" x14ac:dyDescent="0.3">
      <c r="B127" s="120">
        <f>B126+1</f>
        <v>24</v>
      </c>
      <c r="C127" s="570">
        <f t="shared" ref="C127:C131" si="1010">C126</f>
        <v>17</v>
      </c>
      <c r="D127" s="133"/>
      <c r="E127" s="408">
        <f t="shared" si="696"/>
        <v>68543</v>
      </c>
      <c r="F127" s="562">
        <f t="shared" si="555"/>
        <v>68543</v>
      </c>
      <c r="G127" s="134"/>
      <c r="H127" s="135"/>
      <c r="I127" s="135"/>
      <c r="J127" s="13">
        <f t="shared" si="679"/>
        <v>0</v>
      </c>
      <c r="K127" s="14">
        <f t="shared" si="604"/>
        <v>5542</v>
      </c>
      <c r="L127" s="14">
        <f t="shared" si="556"/>
        <v>0.16</v>
      </c>
      <c r="M127" s="231">
        <f t="shared" si="605"/>
        <v>0</v>
      </c>
      <c r="N127" s="35">
        <f t="shared" si="557"/>
        <v>4.3200000000000012</v>
      </c>
      <c r="O127" s="132">
        <f t="shared" si="606"/>
        <v>4.1090507366188938</v>
      </c>
      <c r="P127" s="142"/>
      <c r="Q127" s="14">
        <f t="shared" si="558"/>
        <v>75</v>
      </c>
      <c r="R127" s="482">
        <f t="shared" si="877"/>
        <v>0</v>
      </c>
      <c r="S127" s="470">
        <f t="shared" si="650"/>
        <v>3520.2686172807612</v>
      </c>
      <c r="T127" s="51">
        <f t="shared" si="560"/>
        <v>1207</v>
      </c>
      <c r="U127" s="103">
        <f t="shared" ref="U127:U131" si="1011">U126</f>
        <v>0</v>
      </c>
      <c r="V127" s="46">
        <f t="shared" si="608"/>
        <v>1207</v>
      </c>
      <c r="W127" s="51">
        <f t="shared" si="878"/>
        <v>86</v>
      </c>
      <c r="X127" s="103">
        <f t="shared" ref="X127:X131" si="1012">X126</f>
        <v>0</v>
      </c>
      <c r="Y127" s="46">
        <f t="shared" si="610"/>
        <v>86</v>
      </c>
      <c r="Z127" s="487"/>
      <c r="AA127" s="120">
        <f>AA126+1</f>
        <v>24</v>
      </c>
      <c r="AB127" s="7">
        <f t="shared" ref="AB127:AB131" si="1013">AB126</f>
        <v>17</v>
      </c>
      <c r="AC127" s="133"/>
      <c r="AD127" s="48">
        <f t="shared" si="879"/>
        <v>59287</v>
      </c>
      <c r="AE127" s="196">
        <f t="shared" si="966"/>
        <v>59287</v>
      </c>
      <c r="AF127" s="134"/>
      <c r="AG127" s="135"/>
      <c r="AH127" s="135"/>
      <c r="AI127" s="13">
        <f t="shared" si="889"/>
        <v>0</v>
      </c>
      <c r="AJ127" s="14">
        <f t="shared" si="910"/>
        <v>6432</v>
      </c>
      <c r="AK127" s="14">
        <f t="shared" si="562"/>
        <v>0.16</v>
      </c>
      <c r="AL127" s="231">
        <f t="shared" si="613"/>
        <v>0</v>
      </c>
      <c r="AM127" s="35">
        <f t="shared" si="563"/>
        <v>4.3200000000000012</v>
      </c>
      <c r="AN127" s="157">
        <f t="shared" si="659"/>
        <v>4.1990912414477464</v>
      </c>
      <c r="AO127" s="134"/>
      <c r="AP127" s="14">
        <f t="shared" si="564"/>
        <v>75</v>
      </c>
      <c r="AQ127" s="482">
        <f t="shared" si="614"/>
        <v>0</v>
      </c>
      <c r="AR127" s="470">
        <f t="shared" si="799"/>
        <v>3681.7427283987504</v>
      </c>
      <c r="AS127" s="51">
        <f t="shared" si="565"/>
        <v>1207</v>
      </c>
      <c r="AT127" s="103">
        <f t="shared" ref="AT127:AT131" si="1014">AT126</f>
        <v>0</v>
      </c>
      <c r="AU127" s="46">
        <f t="shared" si="736"/>
        <v>1207</v>
      </c>
      <c r="AV127" s="51">
        <f t="shared" si="566"/>
        <v>86</v>
      </c>
      <c r="AW127" s="103">
        <f t="shared" ref="AW127:AW131" si="1015">AW126</f>
        <v>0</v>
      </c>
      <c r="AX127" s="46">
        <f t="shared" si="660"/>
        <v>86</v>
      </c>
      <c r="AZ127" s="120">
        <f>AZ126+1</f>
        <v>24</v>
      </c>
      <c r="BA127" s="7">
        <f t="shared" ref="BA127:BA131" si="1016">BA126</f>
        <v>17</v>
      </c>
      <c r="BB127" s="133"/>
      <c r="BC127" s="48">
        <f t="shared" si="967"/>
        <v>65336</v>
      </c>
      <c r="BD127" s="196">
        <f t="shared" si="968"/>
        <v>65336</v>
      </c>
      <c r="BE127" s="134"/>
      <c r="BF127" s="135"/>
      <c r="BG127" s="135"/>
      <c r="BH127" s="13">
        <f t="shared" si="893"/>
        <v>0</v>
      </c>
      <c r="BI127" s="14">
        <f t="shared" si="912"/>
        <v>1255</v>
      </c>
      <c r="BJ127" s="14">
        <f t="shared" si="567"/>
        <v>0.16</v>
      </c>
      <c r="BK127" s="47">
        <f t="shared" si="646"/>
        <v>0</v>
      </c>
      <c r="BL127" s="35">
        <f t="shared" si="568"/>
        <v>4.3200000000000012</v>
      </c>
      <c r="BM127" s="132">
        <f t="shared" si="840"/>
        <v>1.757703081232493</v>
      </c>
      <c r="BN127" s="134"/>
      <c r="BO127" s="14">
        <f t="shared" si="569"/>
        <v>75</v>
      </c>
      <c r="BP127" s="442">
        <f t="shared" si="647"/>
        <v>0</v>
      </c>
      <c r="BQ127" s="747">
        <f t="shared" si="651"/>
        <v>3487.7310117165239</v>
      </c>
      <c r="BR127" s="51">
        <f t="shared" si="570"/>
        <v>1207</v>
      </c>
      <c r="BS127" s="103">
        <f t="shared" ref="BS127:BS131" si="1017">BS126</f>
        <v>0</v>
      </c>
      <c r="BT127" s="46">
        <f t="shared" si="737"/>
        <v>1207</v>
      </c>
      <c r="BU127" s="51">
        <f t="shared" si="571"/>
        <v>86</v>
      </c>
      <c r="BV127" s="103">
        <f t="shared" ref="BV127:BV131" si="1018">BV126</f>
        <v>0</v>
      </c>
      <c r="BW127" s="46">
        <f t="shared" si="661"/>
        <v>86</v>
      </c>
      <c r="BY127" s="120">
        <f t="shared" ref="BY127:BY130" si="1019">BY126+1</f>
        <v>24</v>
      </c>
      <c r="BZ127" s="7">
        <f t="shared" ref="BZ127:BZ131" si="1020">BZ126</f>
        <v>17</v>
      </c>
      <c r="CA127" s="133"/>
      <c r="CB127" s="14">
        <f t="shared" si="662"/>
        <v>14583</v>
      </c>
      <c r="CC127" s="59">
        <f t="shared" si="682"/>
        <v>14583</v>
      </c>
      <c r="CD127" s="134"/>
      <c r="CE127" s="135"/>
      <c r="CF127" s="135"/>
      <c r="CG127" s="13">
        <f t="shared" si="683"/>
        <v>0</v>
      </c>
      <c r="CH127" s="14">
        <f t="shared" si="663"/>
        <v>73</v>
      </c>
      <c r="CI127" s="14">
        <f t="shared" si="572"/>
        <v>0.16</v>
      </c>
      <c r="CJ127" s="47">
        <f t="shared" si="782"/>
        <v>0</v>
      </c>
      <c r="CK127" s="35">
        <f t="shared" si="573"/>
        <v>4.3200000000000012</v>
      </c>
      <c r="CL127" s="157">
        <f t="shared" si="783"/>
        <v>0.49808951965065501</v>
      </c>
      <c r="CM127" s="134"/>
      <c r="CN127" s="14">
        <f t="shared" si="574"/>
        <v>75</v>
      </c>
      <c r="CO127" s="442">
        <f t="shared" si="784"/>
        <v>0</v>
      </c>
      <c r="CP127" s="68">
        <f t="shared" si="649"/>
        <v>1975.2862203652064</v>
      </c>
      <c r="CQ127" s="51">
        <f t="shared" si="575"/>
        <v>1207</v>
      </c>
      <c r="CR127" s="103">
        <f t="shared" ref="CR127:CR131" si="1021">CR126</f>
        <v>0</v>
      </c>
      <c r="CS127" s="104">
        <f t="shared" si="738"/>
        <v>1207</v>
      </c>
      <c r="CT127" s="50">
        <f t="shared" si="576"/>
        <v>86</v>
      </c>
      <c r="CU127" s="103">
        <f t="shared" ref="CU127:CU131" si="1022">CU126</f>
        <v>0</v>
      </c>
      <c r="CV127" s="46">
        <f t="shared" si="625"/>
        <v>86</v>
      </c>
      <c r="CX127" s="120">
        <f t="shared" ref="CX127:CX130" si="1023">CX126+1</f>
        <v>24</v>
      </c>
      <c r="CY127" s="7">
        <f t="shared" ref="CY127:CY131" si="1024">CY126</f>
        <v>17</v>
      </c>
      <c r="CZ127" s="133"/>
      <c r="DA127" s="14">
        <f t="shared" si="925"/>
        <v>14671</v>
      </c>
      <c r="DB127" s="59">
        <f t="shared" si="969"/>
        <v>14671</v>
      </c>
      <c r="DC127" s="134"/>
      <c r="DD127" s="135"/>
      <c r="DE127" s="135"/>
      <c r="DF127" s="13">
        <f t="shared" si="684"/>
        <v>0</v>
      </c>
      <c r="DG127" s="14">
        <f t="shared" si="880"/>
        <v>56</v>
      </c>
      <c r="DH127" s="14">
        <f t="shared" si="577"/>
        <v>0.16</v>
      </c>
      <c r="DI127" s="47">
        <f t="shared" si="785"/>
        <v>0</v>
      </c>
      <c r="DJ127" s="35">
        <f t="shared" si="578"/>
        <v>4.3200000000000012</v>
      </c>
      <c r="DK127" s="157">
        <f t="shared" si="786"/>
        <v>0.38035726414453574</v>
      </c>
      <c r="DL127" s="134"/>
      <c r="DM127" s="14">
        <f t="shared" si="579"/>
        <v>75</v>
      </c>
      <c r="DN127" s="442">
        <f t="shared" si="787"/>
        <v>0</v>
      </c>
      <c r="DO127" s="68">
        <f t="shared" si="666"/>
        <v>2052.9886076744156</v>
      </c>
      <c r="DP127" s="51">
        <f t="shared" si="580"/>
        <v>1207</v>
      </c>
      <c r="DQ127" s="103">
        <f t="shared" ref="DQ127:DQ131" si="1025">DQ126</f>
        <v>0</v>
      </c>
      <c r="DR127" s="104">
        <f t="shared" si="739"/>
        <v>1207</v>
      </c>
      <c r="DS127" s="50">
        <f t="shared" si="581"/>
        <v>86</v>
      </c>
      <c r="DT127" s="103">
        <f t="shared" ref="DT127:DT131" si="1026">DT126</f>
        <v>0</v>
      </c>
      <c r="DU127" s="46">
        <f t="shared" si="654"/>
        <v>86</v>
      </c>
      <c r="DW127" s="120">
        <f t="shared" ref="DW127:DW130" si="1027">DW126+1</f>
        <v>24</v>
      </c>
      <c r="DX127" s="7">
        <f t="shared" ref="DX127:DX131" si="1028">DX126</f>
        <v>17</v>
      </c>
      <c r="DY127" s="133"/>
      <c r="DZ127" s="14">
        <f t="shared" si="926"/>
        <v>14466</v>
      </c>
      <c r="EA127" s="59">
        <f t="shared" si="970"/>
        <v>14466</v>
      </c>
      <c r="EB127" s="134"/>
      <c r="EC127" s="135"/>
      <c r="ED127" s="135"/>
      <c r="EE127" s="13">
        <f t="shared" si="686"/>
        <v>0</v>
      </c>
      <c r="EF127" s="14">
        <f t="shared" si="881"/>
        <v>81</v>
      </c>
      <c r="EG127" s="14">
        <f t="shared" si="582"/>
        <v>0.16</v>
      </c>
      <c r="EH127" s="47">
        <f t="shared" si="788"/>
        <v>0</v>
      </c>
      <c r="EI127" s="35">
        <f t="shared" si="583"/>
        <v>4.3200000000000012</v>
      </c>
      <c r="EJ127" s="157">
        <f t="shared" si="800"/>
        <v>0.55708390646492434</v>
      </c>
      <c r="EK127" s="134"/>
      <c r="EL127" s="14">
        <f t="shared" si="584"/>
        <v>75</v>
      </c>
      <c r="EM127" s="442">
        <f t="shared" si="789"/>
        <v>0</v>
      </c>
      <c r="EN127" s="68">
        <f t="shared" si="669"/>
        <v>2297.0468525697056</v>
      </c>
      <c r="EO127" s="51">
        <f t="shared" si="585"/>
        <v>1207</v>
      </c>
      <c r="EP127" s="103">
        <f t="shared" ref="EP127:EP131" si="1029">EP126</f>
        <v>0</v>
      </c>
      <c r="EQ127" s="104">
        <f t="shared" si="740"/>
        <v>1207</v>
      </c>
      <c r="ER127" s="50">
        <f t="shared" si="586"/>
        <v>86</v>
      </c>
      <c r="ES127" s="103">
        <f t="shared" ref="ES127:ES131" si="1030">ES126</f>
        <v>0</v>
      </c>
      <c r="ET127" s="46">
        <f t="shared" si="655"/>
        <v>86</v>
      </c>
      <c r="EV127" s="120">
        <f t="shared" ref="EV127:EV130" si="1031">EV126+1</f>
        <v>24</v>
      </c>
      <c r="EW127" s="7">
        <f t="shared" ref="EW127:EW131" si="1032">EW126</f>
        <v>17</v>
      </c>
      <c r="EX127" s="133"/>
      <c r="EY127" s="14">
        <f t="shared" si="927"/>
        <v>14167</v>
      </c>
      <c r="EZ127" s="59">
        <f t="shared" si="971"/>
        <v>14167</v>
      </c>
      <c r="FA127" s="134"/>
      <c r="FB127" s="135"/>
      <c r="FC127" s="135"/>
      <c r="FD127" s="13">
        <f t="shared" si="688"/>
        <v>0</v>
      </c>
      <c r="FE127" s="14">
        <f t="shared" si="882"/>
        <v>71</v>
      </c>
      <c r="FF127" s="14">
        <f t="shared" si="587"/>
        <v>0.16</v>
      </c>
      <c r="FG127" s="47">
        <f t="shared" si="790"/>
        <v>0</v>
      </c>
      <c r="FH127" s="35">
        <f t="shared" si="588"/>
        <v>4.3200000000000012</v>
      </c>
      <c r="FI127" s="157">
        <f t="shared" si="801"/>
        <v>0.49877063575693714</v>
      </c>
      <c r="FJ127" s="134"/>
      <c r="FK127" s="14">
        <f t="shared" si="589"/>
        <v>75</v>
      </c>
      <c r="FL127" s="442">
        <f t="shared" si="792"/>
        <v>0</v>
      </c>
      <c r="FM127" s="68">
        <f t="shared" si="672"/>
        <v>2437.1380235191186</v>
      </c>
      <c r="FN127" s="51">
        <f t="shared" si="590"/>
        <v>1207</v>
      </c>
      <c r="FO127" s="103">
        <f t="shared" ref="FO127:FO131" si="1033">FO126</f>
        <v>0</v>
      </c>
      <c r="FP127" s="104">
        <f t="shared" si="741"/>
        <v>1207</v>
      </c>
      <c r="FQ127" s="50">
        <f t="shared" si="591"/>
        <v>86</v>
      </c>
      <c r="FR127" s="103">
        <f t="shared" ref="FR127:FR131" si="1034">FR126</f>
        <v>0</v>
      </c>
      <c r="FS127" s="46">
        <f t="shared" si="656"/>
        <v>86</v>
      </c>
      <c r="FU127" s="120">
        <f t="shared" ref="FU127:FU130" si="1035">FU126+1</f>
        <v>24</v>
      </c>
      <c r="FV127" s="7">
        <f t="shared" ref="FV127:FV131" si="1036">FV126</f>
        <v>17</v>
      </c>
      <c r="FW127" s="133"/>
      <c r="FX127" s="14">
        <f t="shared" si="928"/>
        <v>14147</v>
      </c>
      <c r="FY127" s="59">
        <f t="shared" si="972"/>
        <v>14147</v>
      </c>
      <c r="FZ127" s="134"/>
      <c r="GA127" s="135"/>
      <c r="GB127" s="135"/>
      <c r="GC127" s="13">
        <f t="shared" si="690"/>
        <v>0</v>
      </c>
      <c r="GD127" s="14">
        <f t="shared" si="883"/>
        <v>44</v>
      </c>
      <c r="GE127" s="14">
        <f t="shared" si="592"/>
        <v>0.16</v>
      </c>
      <c r="GF127" s="47">
        <f t="shared" si="793"/>
        <v>0</v>
      </c>
      <c r="GG127" s="35">
        <f t="shared" si="593"/>
        <v>4.3200000000000012</v>
      </c>
      <c r="GH127" s="157">
        <f t="shared" si="802"/>
        <v>0.31009937275354149</v>
      </c>
      <c r="GI127" s="134"/>
      <c r="GJ127" s="14">
        <f t="shared" si="594"/>
        <v>75</v>
      </c>
      <c r="GK127" s="442">
        <f t="shared" si="795"/>
        <v>0</v>
      </c>
      <c r="GL127" s="68">
        <f t="shared" si="675"/>
        <v>2115.7658400333685</v>
      </c>
      <c r="GM127" s="51">
        <f t="shared" si="595"/>
        <v>1207</v>
      </c>
      <c r="GN127" s="103">
        <f t="shared" ref="GN127:GN131" si="1037">GN126</f>
        <v>0</v>
      </c>
      <c r="GO127" s="104">
        <f t="shared" si="742"/>
        <v>1207</v>
      </c>
      <c r="GP127" s="50">
        <f t="shared" si="596"/>
        <v>86</v>
      </c>
      <c r="GQ127" s="103">
        <f t="shared" ref="GQ127:GQ131" si="1038">GQ126</f>
        <v>0</v>
      </c>
      <c r="GR127" s="46">
        <f t="shared" si="657"/>
        <v>86</v>
      </c>
      <c r="GT127" s="120">
        <f t="shared" ref="GT127:GT130" si="1039">GT126+1</f>
        <v>24</v>
      </c>
      <c r="GU127" s="7">
        <f t="shared" ref="GU127:GU131" si="1040">GU126</f>
        <v>17</v>
      </c>
      <c r="GV127" s="133"/>
      <c r="GW127" s="14">
        <f t="shared" si="929"/>
        <v>9146</v>
      </c>
      <c r="GX127" s="59">
        <f t="shared" si="973"/>
        <v>9146</v>
      </c>
      <c r="GY127" s="134"/>
      <c r="GZ127" s="135"/>
      <c r="HA127" s="135"/>
      <c r="HB127" s="13">
        <f t="shared" si="692"/>
        <v>0</v>
      </c>
      <c r="HC127" s="14">
        <f t="shared" si="884"/>
        <v>36</v>
      </c>
      <c r="HD127" s="14">
        <f t="shared" si="597"/>
        <v>0.16</v>
      </c>
      <c r="HE127" s="47">
        <f t="shared" si="796"/>
        <v>0</v>
      </c>
      <c r="HF127" s="35">
        <f t="shared" si="598"/>
        <v>4.3200000000000012</v>
      </c>
      <c r="HG127" s="157">
        <f t="shared" si="803"/>
        <v>0.3920714441298192</v>
      </c>
      <c r="HH127" s="134"/>
      <c r="HI127" s="14">
        <f t="shared" si="599"/>
        <v>75</v>
      </c>
      <c r="HJ127" s="442">
        <f t="shared" si="798"/>
        <v>0</v>
      </c>
      <c r="HK127" s="68">
        <f t="shared" si="678"/>
        <v>2261.5830127780196</v>
      </c>
      <c r="HL127" s="51">
        <f t="shared" si="600"/>
        <v>1207</v>
      </c>
      <c r="HM127" s="103">
        <f t="shared" ref="HM127:HM131" si="1041">HM126</f>
        <v>0</v>
      </c>
      <c r="HN127" s="104">
        <f t="shared" si="743"/>
        <v>1207</v>
      </c>
      <c r="HO127" s="50">
        <f t="shared" si="601"/>
        <v>86</v>
      </c>
      <c r="HP127" s="103">
        <f t="shared" ref="HP127:HP131" si="1042">HP126</f>
        <v>0</v>
      </c>
      <c r="HQ127" s="46">
        <f t="shared" si="658"/>
        <v>86</v>
      </c>
    </row>
    <row r="128" spans="1:225" ht="17.25" thickBot="1" x14ac:dyDescent="0.3">
      <c r="B128" s="120">
        <f t="shared" ref="B128:B131" si="1043">B127+1</f>
        <v>25</v>
      </c>
      <c r="C128" s="570">
        <f t="shared" si="1010"/>
        <v>17</v>
      </c>
      <c r="D128" s="133"/>
      <c r="E128" s="408">
        <f t="shared" si="696"/>
        <v>68543</v>
      </c>
      <c r="F128" s="562">
        <f t="shared" si="555"/>
        <v>68543</v>
      </c>
      <c r="G128" s="134"/>
      <c r="H128" s="135"/>
      <c r="I128" s="135"/>
      <c r="J128" s="14">
        <f t="shared" si="679"/>
        <v>0</v>
      </c>
      <c r="K128" s="14">
        <f t="shared" si="604"/>
        <v>5542</v>
      </c>
      <c r="L128" s="14">
        <f t="shared" si="556"/>
        <v>0.16</v>
      </c>
      <c r="M128" s="47">
        <f t="shared" si="605"/>
        <v>0</v>
      </c>
      <c r="N128" s="35">
        <f t="shared" si="557"/>
        <v>4.3200000000000012</v>
      </c>
      <c r="O128" s="132">
        <f t="shared" si="606"/>
        <v>4.1090507366188938</v>
      </c>
      <c r="P128" s="142"/>
      <c r="Q128" s="14">
        <f t="shared" si="558"/>
        <v>75</v>
      </c>
      <c r="R128" s="482">
        <f t="shared" si="877"/>
        <v>0</v>
      </c>
      <c r="S128" s="470">
        <f t="shared" si="650"/>
        <v>3520.2686172807612</v>
      </c>
      <c r="T128" s="51">
        <f t="shared" si="560"/>
        <v>1207</v>
      </c>
      <c r="U128" s="103">
        <f t="shared" si="1011"/>
        <v>0</v>
      </c>
      <c r="V128" s="46">
        <f t="shared" si="608"/>
        <v>1207</v>
      </c>
      <c r="W128" s="51">
        <f t="shared" si="878"/>
        <v>86</v>
      </c>
      <c r="X128" s="103">
        <f t="shared" si="1012"/>
        <v>0</v>
      </c>
      <c r="Y128" s="46">
        <f t="shared" si="610"/>
        <v>86</v>
      </c>
      <c r="Z128" s="487"/>
      <c r="AA128" s="120">
        <f t="shared" ref="AA128:AA131" si="1044">AA127+1</f>
        <v>25</v>
      </c>
      <c r="AB128" s="7">
        <f t="shared" si="1013"/>
        <v>17</v>
      </c>
      <c r="AC128" s="133"/>
      <c r="AD128" s="48">
        <f t="shared" si="879"/>
        <v>59287</v>
      </c>
      <c r="AE128" s="196">
        <f t="shared" si="966"/>
        <v>59287</v>
      </c>
      <c r="AF128" s="134"/>
      <c r="AG128" s="135"/>
      <c r="AH128" s="135"/>
      <c r="AI128" s="14">
        <f t="shared" si="889"/>
        <v>0</v>
      </c>
      <c r="AJ128" s="14">
        <f t="shared" si="910"/>
        <v>6432</v>
      </c>
      <c r="AK128" s="14">
        <f t="shared" si="562"/>
        <v>0.16</v>
      </c>
      <c r="AL128" s="47">
        <f t="shared" si="613"/>
        <v>0</v>
      </c>
      <c r="AM128" s="35">
        <f t="shared" si="563"/>
        <v>4.3200000000000012</v>
      </c>
      <c r="AN128" s="157">
        <f t="shared" si="659"/>
        <v>4.1990912414477464</v>
      </c>
      <c r="AO128" s="134"/>
      <c r="AP128" s="14">
        <f t="shared" si="564"/>
        <v>75</v>
      </c>
      <c r="AQ128" s="482">
        <f t="shared" si="614"/>
        <v>0</v>
      </c>
      <c r="AR128" s="470">
        <f t="shared" si="799"/>
        <v>3681.7427283987504</v>
      </c>
      <c r="AS128" s="51">
        <f t="shared" si="565"/>
        <v>1207</v>
      </c>
      <c r="AT128" s="103">
        <f t="shared" si="1014"/>
        <v>0</v>
      </c>
      <c r="AU128" s="46">
        <f t="shared" si="736"/>
        <v>1207</v>
      </c>
      <c r="AV128" s="51">
        <f t="shared" si="566"/>
        <v>86</v>
      </c>
      <c r="AW128" s="103">
        <f t="shared" si="1015"/>
        <v>0</v>
      </c>
      <c r="AX128" s="46">
        <f t="shared" si="660"/>
        <v>86</v>
      </c>
      <c r="AZ128" s="120">
        <f t="shared" ref="AZ128:AZ131" si="1045">AZ127+1</f>
        <v>25</v>
      </c>
      <c r="BA128" s="7">
        <f t="shared" si="1016"/>
        <v>17</v>
      </c>
      <c r="BB128" s="133"/>
      <c r="BC128" s="48">
        <f t="shared" si="967"/>
        <v>65336</v>
      </c>
      <c r="BD128" s="196">
        <f t="shared" si="968"/>
        <v>65336</v>
      </c>
      <c r="BE128" s="134"/>
      <c r="BF128" s="135"/>
      <c r="BG128" s="135"/>
      <c r="BH128" s="14">
        <f t="shared" si="893"/>
        <v>0</v>
      </c>
      <c r="BI128" s="14">
        <f t="shared" si="912"/>
        <v>1255</v>
      </c>
      <c r="BJ128" s="14">
        <f t="shared" si="567"/>
        <v>0.16</v>
      </c>
      <c r="BK128" s="47">
        <f t="shared" si="646"/>
        <v>0</v>
      </c>
      <c r="BL128" s="35">
        <f t="shared" si="568"/>
        <v>4.3200000000000012</v>
      </c>
      <c r="BM128" s="132">
        <f t="shared" si="840"/>
        <v>1.757703081232493</v>
      </c>
      <c r="BN128" s="134"/>
      <c r="BO128" s="14">
        <f t="shared" si="569"/>
        <v>75</v>
      </c>
      <c r="BP128" s="442">
        <f t="shared" si="647"/>
        <v>0</v>
      </c>
      <c r="BQ128" s="747">
        <f t="shared" si="651"/>
        <v>3487.7310117165239</v>
      </c>
      <c r="BR128" s="51">
        <f t="shared" si="570"/>
        <v>1207</v>
      </c>
      <c r="BS128" s="103">
        <f t="shared" si="1017"/>
        <v>0</v>
      </c>
      <c r="BT128" s="46">
        <f t="shared" si="737"/>
        <v>1207</v>
      </c>
      <c r="BU128" s="51">
        <f t="shared" si="571"/>
        <v>86</v>
      </c>
      <c r="BV128" s="103">
        <f t="shared" si="1018"/>
        <v>0</v>
      </c>
      <c r="BW128" s="46">
        <f t="shared" si="661"/>
        <v>86</v>
      </c>
      <c r="BY128" s="120">
        <f t="shared" si="1019"/>
        <v>25</v>
      </c>
      <c r="BZ128" s="7">
        <f t="shared" si="1020"/>
        <v>17</v>
      </c>
      <c r="CA128" s="133"/>
      <c r="CB128" s="14">
        <f t="shared" si="662"/>
        <v>14583</v>
      </c>
      <c r="CC128" s="59">
        <f t="shared" si="682"/>
        <v>14583</v>
      </c>
      <c r="CD128" s="134"/>
      <c r="CE128" s="135"/>
      <c r="CF128" s="135"/>
      <c r="CG128" s="14">
        <f t="shared" si="683"/>
        <v>0</v>
      </c>
      <c r="CH128" s="14">
        <f t="shared" si="663"/>
        <v>73</v>
      </c>
      <c r="CI128" s="14">
        <f t="shared" si="572"/>
        <v>0.16</v>
      </c>
      <c r="CJ128" s="47">
        <f t="shared" si="782"/>
        <v>0</v>
      </c>
      <c r="CK128" s="35">
        <f t="shared" si="573"/>
        <v>4.3200000000000012</v>
      </c>
      <c r="CL128" s="157">
        <f t="shared" si="783"/>
        <v>0.49808951965065501</v>
      </c>
      <c r="CM128" s="134"/>
      <c r="CN128" s="14">
        <f t="shared" si="574"/>
        <v>75</v>
      </c>
      <c r="CO128" s="442">
        <f t="shared" si="784"/>
        <v>0</v>
      </c>
      <c r="CP128" s="68">
        <f t="shared" si="649"/>
        <v>1975.2862203652064</v>
      </c>
      <c r="CQ128" s="51">
        <f t="shared" si="575"/>
        <v>1207</v>
      </c>
      <c r="CR128" s="103">
        <f t="shared" si="1021"/>
        <v>0</v>
      </c>
      <c r="CS128" s="104">
        <f t="shared" si="738"/>
        <v>1207</v>
      </c>
      <c r="CT128" s="50">
        <f t="shared" si="576"/>
        <v>86</v>
      </c>
      <c r="CU128" s="103">
        <f t="shared" si="1022"/>
        <v>0</v>
      </c>
      <c r="CV128" s="46">
        <f t="shared" si="625"/>
        <v>86</v>
      </c>
      <c r="CX128" s="120">
        <f t="shared" si="1023"/>
        <v>25</v>
      </c>
      <c r="CY128" s="7">
        <f t="shared" si="1024"/>
        <v>17</v>
      </c>
      <c r="CZ128" s="133"/>
      <c r="DA128" s="14">
        <f t="shared" si="925"/>
        <v>14671</v>
      </c>
      <c r="DB128" s="59">
        <f t="shared" si="969"/>
        <v>14671</v>
      </c>
      <c r="DC128" s="134"/>
      <c r="DD128" s="135"/>
      <c r="DE128" s="135"/>
      <c r="DF128" s="14">
        <f t="shared" si="684"/>
        <v>0</v>
      </c>
      <c r="DG128" s="14">
        <f t="shared" si="880"/>
        <v>56</v>
      </c>
      <c r="DH128" s="14">
        <f t="shared" si="577"/>
        <v>0.16</v>
      </c>
      <c r="DI128" s="47">
        <f t="shared" si="785"/>
        <v>0</v>
      </c>
      <c r="DJ128" s="35">
        <f t="shared" si="578"/>
        <v>4.3200000000000012</v>
      </c>
      <c r="DK128" s="157">
        <f t="shared" si="786"/>
        <v>0.38035726414453574</v>
      </c>
      <c r="DL128" s="134"/>
      <c r="DM128" s="14">
        <f t="shared" si="579"/>
        <v>75</v>
      </c>
      <c r="DN128" s="442">
        <f t="shared" si="787"/>
        <v>0</v>
      </c>
      <c r="DO128" s="68">
        <f t="shared" si="666"/>
        <v>2052.9886076744156</v>
      </c>
      <c r="DP128" s="51">
        <f t="shared" si="580"/>
        <v>1207</v>
      </c>
      <c r="DQ128" s="103">
        <f t="shared" si="1025"/>
        <v>0</v>
      </c>
      <c r="DR128" s="104">
        <f t="shared" si="739"/>
        <v>1207</v>
      </c>
      <c r="DS128" s="50">
        <f t="shared" si="581"/>
        <v>86</v>
      </c>
      <c r="DT128" s="103">
        <f t="shared" si="1026"/>
        <v>0</v>
      </c>
      <c r="DU128" s="46">
        <f t="shared" si="654"/>
        <v>86</v>
      </c>
      <c r="DW128" s="120">
        <f t="shared" si="1027"/>
        <v>25</v>
      </c>
      <c r="DX128" s="7">
        <f t="shared" si="1028"/>
        <v>17</v>
      </c>
      <c r="DY128" s="133"/>
      <c r="DZ128" s="14">
        <f t="shared" si="926"/>
        <v>14466</v>
      </c>
      <c r="EA128" s="59">
        <f t="shared" si="970"/>
        <v>14466</v>
      </c>
      <c r="EB128" s="134"/>
      <c r="EC128" s="135"/>
      <c r="ED128" s="135"/>
      <c r="EE128" s="14">
        <f t="shared" si="686"/>
        <v>0</v>
      </c>
      <c r="EF128" s="14">
        <f t="shared" si="881"/>
        <v>81</v>
      </c>
      <c r="EG128" s="14">
        <f t="shared" si="582"/>
        <v>0.16</v>
      </c>
      <c r="EH128" s="47">
        <f t="shared" si="788"/>
        <v>0</v>
      </c>
      <c r="EI128" s="35">
        <f t="shared" si="583"/>
        <v>4.3200000000000012</v>
      </c>
      <c r="EJ128" s="157">
        <f t="shared" si="800"/>
        <v>0.55708390646492434</v>
      </c>
      <c r="EK128" s="134"/>
      <c r="EL128" s="14">
        <f t="shared" si="584"/>
        <v>75</v>
      </c>
      <c r="EM128" s="442">
        <f t="shared" si="789"/>
        <v>0</v>
      </c>
      <c r="EN128" s="68">
        <f t="shared" si="669"/>
        <v>2297.0468525697056</v>
      </c>
      <c r="EO128" s="51">
        <f t="shared" si="585"/>
        <v>1207</v>
      </c>
      <c r="EP128" s="103">
        <f t="shared" si="1029"/>
        <v>0</v>
      </c>
      <c r="EQ128" s="104">
        <f t="shared" si="740"/>
        <v>1207</v>
      </c>
      <c r="ER128" s="50">
        <f t="shared" si="586"/>
        <v>86</v>
      </c>
      <c r="ES128" s="103">
        <f t="shared" si="1030"/>
        <v>0</v>
      </c>
      <c r="ET128" s="46">
        <f t="shared" si="655"/>
        <v>86</v>
      </c>
      <c r="EV128" s="120">
        <f t="shared" si="1031"/>
        <v>25</v>
      </c>
      <c r="EW128" s="7">
        <f t="shared" si="1032"/>
        <v>17</v>
      </c>
      <c r="EX128" s="133"/>
      <c r="EY128" s="14">
        <f t="shared" si="927"/>
        <v>14167</v>
      </c>
      <c r="EZ128" s="59">
        <f t="shared" si="971"/>
        <v>14167</v>
      </c>
      <c r="FA128" s="134"/>
      <c r="FB128" s="135"/>
      <c r="FC128" s="135"/>
      <c r="FD128" s="14">
        <f t="shared" si="688"/>
        <v>0</v>
      </c>
      <c r="FE128" s="14">
        <f t="shared" si="882"/>
        <v>71</v>
      </c>
      <c r="FF128" s="14">
        <f t="shared" si="587"/>
        <v>0.16</v>
      </c>
      <c r="FG128" s="47">
        <f t="shared" si="790"/>
        <v>0</v>
      </c>
      <c r="FH128" s="35">
        <f t="shared" si="588"/>
        <v>4.3200000000000012</v>
      </c>
      <c r="FI128" s="157">
        <f t="shared" si="801"/>
        <v>0.49877063575693714</v>
      </c>
      <c r="FJ128" s="134"/>
      <c r="FK128" s="14">
        <f t="shared" si="589"/>
        <v>75</v>
      </c>
      <c r="FL128" s="442">
        <f t="shared" si="792"/>
        <v>0</v>
      </c>
      <c r="FM128" s="68">
        <f t="shared" si="672"/>
        <v>2437.1380235191186</v>
      </c>
      <c r="FN128" s="51">
        <f t="shared" si="590"/>
        <v>1207</v>
      </c>
      <c r="FO128" s="103">
        <f t="shared" si="1033"/>
        <v>0</v>
      </c>
      <c r="FP128" s="104">
        <f t="shared" si="741"/>
        <v>1207</v>
      </c>
      <c r="FQ128" s="50">
        <f t="shared" si="591"/>
        <v>86</v>
      </c>
      <c r="FR128" s="103">
        <f t="shared" si="1034"/>
        <v>0</v>
      </c>
      <c r="FS128" s="46">
        <f t="shared" si="656"/>
        <v>86</v>
      </c>
      <c r="FU128" s="120">
        <f t="shared" si="1035"/>
        <v>25</v>
      </c>
      <c r="FV128" s="7">
        <f t="shared" si="1036"/>
        <v>17</v>
      </c>
      <c r="FW128" s="133"/>
      <c r="FX128" s="14">
        <f t="shared" si="928"/>
        <v>14147</v>
      </c>
      <c r="FY128" s="59">
        <f t="shared" si="972"/>
        <v>14147</v>
      </c>
      <c r="FZ128" s="134"/>
      <c r="GA128" s="135"/>
      <c r="GB128" s="135"/>
      <c r="GC128" s="14">
        <f t="shared" si="690"/>
        <v>0</v>
      </c>
      <c r="GD128" s="14">
        <f t="shared" si="883"/>
        <v>44</v>
      </c>
      <c r="GE128" s="14">
        <f t="shared" si="592"/>
        <v>0.16</v>
      </c>
      <c r="GF128" s="47">
        <f t="shared" si="793"/>
        <v>0</v>
      </c>
      <c r="GG128" s="35">
        <f t="shared" si="593"/>
        <v>4.3200000000000012</v>
      </c>
      <c r="GH128" s="157">
        <f t="shared" si="802"/>
        <v>0.31009937275354149</v>
      </c>
      <c r="GI128" s="134"/>
      <c r="GJ128" s="14">
        <f t="shared" si="594"/>
        <v>75</v>
      </c>
      <c r="GK128" s="442">
        <f t="shared" si="795"/>
        <v>0</v>
      </c>
      <c r="GL128" s="68">
        <f t="shared" si="675"/>
        <v>2115.7658400333685</v>
      </c>
      <c r="GM128" s="51">
        <f t="shared" si="595"/>
        <v>1207</v>
      </c>
      <c r="GN128" s="103">
        <f t="shared" si="1037"/>
        <v>0</v>
      </c>
      <c r="GO128" s="104">
        <f t="shared" si="742"/>
        <v>1207</v>
      </c>
      <c r="GP128" s="50">
        <f t="shared" si="596"/>
        <v>86</v>
      </c>
      <c r="GQ128" s="103">
        <f t="shared" si="1038"/>
        <v>0</v>
      </c>
      <c r="GR128" s="46">
        <f t="shared" si="657"/>
        <v>86</v>
      </c>
      <c r="GT128" s="120">
        <f t="shared" si="1039"/>
        <v>25</v>
      </c>
      <c r="GU128" s="7">
        <f t="shared" si="1040"/>
        <v>17</v>
      </c>
      <c r="GV128" s="133"/>
      <c r="GW128" s="14">
        <f t="shared" si="929"/>
        <v>9146</v>
      </c>
      <c r="GX128" s="59">
        <f t="shared" si="973"/>
        <v>9146</v>
      </c>
      <c r="GY128" s="134"/>
      <c r="GZ128" s="135"/>
      <c r="HA128" s="135"/>
      <c r="HB128" s="14">
        <f t="shared" si="692"/>
        <v>0</v>
      </c>
      <c r="HC128" s="14">
        <f t="shared" si="884"/>
        <v>36</v>
      </c>
      <c r="HD128" s="14">
        <f t="shared" si="597"/>
        <v>0.16</v>
      </c>
      <c r="HE128" s="47">
        <f t="shared" si="796"/>
        <v>0</v>
      </c>
      <c r="HF128" s="35">
        <f t="shared" si="598"/>
        <v>4.3200000000000012</v>
      </c>
      <c r="HG128" s="157">
        <f t="shared" si="803"/>
        <v>0.3920714441298192</v>
      </c>
      <c r="HH128" s="134"/>
      <c r="HI128" s="14">
        <f t="shared" si="599"/>
        <v>75</v>
      </c>
      <c r="HJ128" s="442">
        <f t="shared" si="798"/>
        <v>0</v>
      </c>
      <c r="HK128" s="68">
        <f t="shared" si="678"/>
        <v>2261.5830127780196</v>
      </c>
      <c r="HL128" s="51">
        <f t="shared" si="600"/>
        <v>1207</v>
      </c>
      <c r="HM128" s="103">
        <f t="shared" si="1041"/>
        <v>0</v>
      </c>
      <c r="HN128" s="104">
        <f t="shared" si="743"/>
        <v>1207</v>
      </c>
      <c r="HO128" s="50">
        <f t="shared" si="601"/>
        <v>86</v>
      </c>
      <c r="HP128" s="103">
        <f t="shared" si="1042"/>
        <v>0</v>
      </c>
      <c r="HQ128" s="46">
        <f t="shared" si="658"/>
        <v>86</v>
      </c>
    </row>
    <row r="129" spans="2:225" ht="17.25" thickBot="1" x14ac:dyDescent="0.3">
      <c r="B129" s="120">
        <f t="shared" si="1043"/>
        <v>26</v>
      </c>
      <c r="C129" s="570">
        <f t="shared" si="1010"/>
        <v>17</v>
      </c>
      <c r="D129" s="133"/>
      <c r="E129" s="408">
        <f t="shared" si="696"/>
        <v>68543</v>
      </c>
      <c r="F129" s="562">
        <f t="shared" si="555"/>
        <v>68543</v>
      </c>
      <c r="G129" s="144"/>
      <c r="H129" s="135"/>
      <c r="I129" s="135"/>
      <c r="J129" s="31">
        <f t="shared" si="679"/>
        <v>0</v>
      </c>
      <c r="K129" s="14">
        <f t="shared" si="604"/>
        <v>5542</v>
      </c>
      <c r="L129" s="14">
        <f t="shared" si="556"/>
        <v>0.16</v>
      </c>
      <c r="M129" s="231">
        <f t="shared" si="605"/>
        <v>0</v>
      </c>
      <c r="N129" s="35">
        <f t="shared" si="557"/>
        <v>4.3200000000000012</v>
      </c>
      <c r="O129" s="132">
        <f t="shared" si="606"/>
        <v>4.1090507366188938</v>
      </c>
      <c r="P129" s="142"/>
      <c r="Q129" s="14">
        <f t="shared" si="558"/>
        <v>75</v>
      </c>
      <c r="R129" s="482">
        <f t="shared" si="877"/>
        <v>0</v>
      </c>
      <c r="S129" s="470">
        <f t="shared" si="650"/>
        <v>3520.2686172807612</v>
      </c>
      <c r="T129" s="51">
        <f t="shared" si="560"/>
        <v>1207</v>
      </c>
      <c r="U129" s="103">
        <f t="shared" si="1011"/>
        <v>0</v>
      </c>
      <c r="V129" s="46">
        <f t="shared" si="608"/>
        <v>1207</v>
      </c>
      <c r="W129" s="12">
        <f t="shared" si="878"/>
        <v>86</v>
      </c>
      <c r="X129" s="103">
        <f t="shared" si="1012"/>
        <v>0</v>
      </c>
      <c r="Y129" s="46">
        <f t="shared" si="610"/>
        <v>86</v>
      </c>
      <c r="Z129" s="487"/>
      <c r="AA129" s="120">
        <f t="shared" si="1044"/>
        <v>26</v>
      </c>
      <c r="AB129" s="7">
        <f t="shared" si="1013"/>
        <v>17</v>
      </c>
      <c r="AC129" s="133"/>
      <c r="AD129" s="48">
        <f t="shared" si="879"/>
        <v>59287</v>
      </c>
      <c r="AE129" s="49">
        <f t="shared" si="966"/>
        <v>59287</v>
      </c>
      <c r="AF129" s="134"/>
      <c r="AG129" s="135"/>
      <c r="AH129" s="135"/>
      <c r="AI129" s="31">
        <f t="shared" si="889"/>
        <v>0</v>
      </c>
      <c r="AJ129" s="14">
        <f t="shared" si="910"/>
        <v>6432</v>
      </c>
      <c r="AK129" s="14">
        <f t="shared" si="562"/>
        <v>0.16</v>
      </c>
      <c r="AL129" s="231">
        <f t="shared" si="613"/>
        <v>0</v>
      </c>
      <c r="AM129" s="35">
        <f t="shared" si="563"/>
        <v>4.3200000000000012</v>
      </c>
      <c r="AN129" s="157">
        <f t="shared" si="659"/>
        <v>4.1990912414477464</v>
      </c>
      <c r="AO129" s="134"/>
      <c r="AP129" s="14">
        <f t="shared" si="564"/>
        <v>75</v>
      </c>
      <c r="AQ129" s="482">
        <f t="shared" si="614"/>
        <v>0</v>
      </c>
      <c r="AR129" s="470">
        <f t="shared" si="799"/>
        <v>3681.7427283987504</v>
      </c>
      <c r="AS129" s="51">
        <f t="shared" si="565"/>
        <v>1207</v>
      </c>
      <c r="AT129" s="103">
        <f t="shared" si="1014"/>
        <v>0</v>
      </c>
      <c r="AU129" s="46">
        <f t="shared" si="736"/>
        <v>1207</v>
      </c>
      <c r="AV129" s="12">
        <f t="shared" si="566"/>
        <v>86</v>
      </c>
      <c r="AW129" s="103">
        <f t="shared" si="1015"/>
        <v>0</v>
      </c>
      <c r="AX129" s="46">
        <f t="shared" si="660"/>
        <v>86</v>
      </c>
      <c r="AZ129" s="120">
        <f t="shared" si="1045"/>
        <v>26</v>
      </c>
      <c r="BA129" s="7">
        <f t="shared" si="1016"/>
        <v>17</v>
      </c>
      <c r="BB129" s="133"/>
      <c r="BC129" s="48">
        <f t="shared" si="967"/>
        <v>65336</v>
      </c>
      <c r="BD129" s="49">
        <f t="shared" si="968"/>
        <v>65336</v>
      </c>
      <c r="BE129" s="134"/>
      <c r="BF129" s="135"/>
      <c r="BG129" s="135"/>
      <c r="BH129" s="31">
        <f t="shared" si="893"/>
        <v>0</v>
      </c>
      <c r="BI129" s="14">
        <f t="shared" si="912"/>
        <v>1255</v>
      </c>
      <c r="BJ129" s="14">
        <f t="shared" si="567"/>
        <v>0.16</v>
      </c>
      <c r="BK129" s="47">
        <f t="shared" si="646"/>
        <v>0</v>
      </c>
      <c r="BL129" s="35">
        <f t="shared" si="568"/>
        <v>4.3200000000000012</v>
      </c>
      <c r="BM129" s="132">
        <f t="shared" si="840"/>
        <v>1.757703081232493</v>
      </c>
      <c r="BN129" s="134"/>
      <c r="BO129" s="14">
        <f t="shared" si="569"/>
        <v>75</v>
      </c>
      <c r="BP129" s="442">
        <f t="shared" si="647"/>
        <v>0</v>
      </c>
      <c r="BQ129" s="747">
        <f t="shared" si="651"/>
        <v>3487.7310117165239</v>
      </c>
      <c r="BR129" s="51">
        <f t="shared" si="570"/>
        <v>1207</v>
      </c>
      <c r="BS129" s="103">
        <f t="shared" si="1017"/>
        <v>0</v>
      </c>
      <c r="BT129" s="46">
        <f t="shared" si="737"/>
        <v>1207</v>
      </c>
      <c r="BU129" s="12">
        <f t="shared" si="571"/>
        <v>86</v>
      </c>
      <c r="BV129" s="103">
        <f t="shared" si="1018"/>
        <v>0</v>
      </c>
      <c r="BW129" s="46">
        <f t="shared" si="661"/>
        <v>86</v>
      </c>
      <c r="BY129" s="120">
        <f t="shared" si="1019"/>
        <v>26</v>
      </c>
      <c r="BZ129" s="7">
        <f t="shared" si="1020"/>
        <v>17</v>
      </c>
      <c r="CA129" s="133"/>
      <c r="CB129" s="14">
        <f t="shared" si="662"/>
        <v>14583</v>
      </c>
      <c r="CC129" s="46">
        <f t="shared" si="682"/>
        <v>14583</v>
      </c>
      <c r="CD129" s="134"/>
      <c r="CE129" s="135"/>
      <c r="CF129" s="135"/>
      <c r="CG129" s="31">
        <f t="shared" si="683"/>
        <v>0</v>
      </c>
      <c r="CH129" s="14">
        <f t="shared" si="663"/>
        <v>73</v>
      </c>
      <c r="CI129" s="14">
        <f t="shared" si="572"/>
        <v>0.16</v>
      </c>
      <c r="CJ129" s="47">
        <f t="shared" si="782"/>
        <v>0</v>
      </c>
      <c r="CK129" s="35">
        <f t="shared" si="573"/>
        <v>4.3200000000000012</v>
      </c>
      <c r="CL129" s="157">
        <f t="shared" si="783"/>
        <v>0.49808951965065501</v>
      </c>
      <c r="CM129" s="134"/>
      <c r="CN129" s="14">
        <f t="shared" si="574"/>
        <v>75</v>
      </c>
      <c r="CO129" s="442">
        <f t="shared" si="784"/>
        <v>0</v>
      </c>
      <c r="CP129" s="68">
        <f t="shared" si="649"/>
        <v>1975.2862203652064</v>
      </c>
      <c r="CQ129" s="51">
        <f t="shared" si="575"/>
        <v>1207</v>
      </c>
      <c r="CR129" s="103">
        <f t="shared" si="1021"/>
        <v>0</v>
      </c>
      <c r="CS129" s="104">
        <f t="shared" si="738"/>
        <v>1207</v>
      </c>
      <c r="CT129" s="50">
        <f t="shared" si="576"/>
        <v>86</v>
      </c>
      <c r="CU129" s="103">
        <f t="shared" si="1022"/>
        <v>0</v>
      </c>
      <c r="CV129" s="46">
        <f t="shared" si="625"/>
        <v>86</v>
      </c>
      <c r="CX129" s="120">
        <f t="shared" si="1023"/>
        <v>26</v>
      </c>
      <c r="CY129" s="7">
        <f t="shared" si="1024"/>
        <v>17</v>
      </c>
      <c r="CZ129" s="133"/>
      <c r="DA129" s="14">
        <f t="shared" si="925"/>
        <v>14671</v>
      </c>
      <c r="DB129" s="46">
        <f t="shared" si="969"/>
        <v>14671</v>
      </c>
      <c r="DC129" s="134"/>
      <c r="DD129" s="135"/>
      <c r="DE129" s="135"/>
      <c r="DF129" s="31">
        <f t="shared" si="684"/>
        <v>0</v>
      </c>
      <c r="DG129" s="14">
        <f t="shared" si="880"/>
        <v>56</v>
      </c>
      <c r="DH129" s="14">
        <f t="shared" si="577"/>
        <v>0.16</v>
      </c>
      <c r="DI129" s="47">
        <f t="shared" si="785"/>
        <v>0</v>
      </c>
      <c r="DJ129" s="35">
        <f t="shared" si="578"/>
        <v>4.3200000000000012</v>
      </c>
      <c r="DK129" s="157">
        <f t="shared" si="786"/>
        <v>0.38035726414453574</v>
      </c>
      <c r="DL129" s="134"/>
      <c r="DM129" s="14">
        <f t="shared" si="579"/>
        <v>75</v>
      </c>
      <c r="DN129" s="442">
        <f t="shared" si="787"/>
        <v>0</v>
      </c>
      <c r="DO129" s="68">
        <f t="shared" si="666"/>
        <v>2052.9886076744156</v>
      </c>
      <c r="DP129" s="51">
        <f t="shared" si="580"/>
        <v>1207</v>
      </c>
      <c r="DQ129" s="103">
        <f t="shared" si="1025"/>
        <v>0</v>
      </c>
      <c r="DR129" s="104">
        <f t="shared" si="739"/>
        <v>1207</v>
      </c>
      <c r="DS129" s="50">
        <f t="shared" si="581"/>
        <v>86</v>
      </c>
      <c r="DT129" s="103">
        <f t="shared" si="1026"/>
        <v>0</v>
      </c>
      <c r="DU129" s="46">
        <f t="shared" si="654"/>
        <v>86</v>
      </c>
      <c r="DW129" s="120">
        <f t="shared" si="1027"/>
        <v>26</v>
      </c>
      <c r="DX129" s="7">
        <f t="shared" si="1028"/>
        <v>17</v>
      </c>
      <c r="DY129" s="133"/>
      <c r="DZ129" s="14">
        <f t="shared" si="926"/>
        <v>14466</v>
      </c>
      <c r="EA129" s="46">
        <f t="shared" si="970"/>
        <v>14466</v>
      </c>
      <c r="EB129" s="134"/>
      <c r="EC129" s="135"/>
      <c r="ED129" s="135"/>
      <c r="EE129" s="31">
        <f t="shared" si="686"/>
        <v>0</v>
      </c>
      <c r="EF129" s="14">
        <f t="shared" si="881"/>
        <v>81</v>
      </c>
      <c r="EG129" s="14">
        <f t="shared" si="582"/>
        <v>0.16</v>
      </c>
      <c r="EH129" s="47">
        <f t="shared" si="788"/>
        <v>0</v>
      </c>
      <c r="EI129" s="35">
        <f t="shared" si="583"/>
        <v>4.3200000000000012</v>
      </c>
      <c r="EJ129" s="157">
        <f t="shared" si="800"/>
        <v>0.55708390646492434</v>
      </c>
      <c r="EK129" s="134"/>
      <c r="EL129" s="14">
        <f t="shared" si="584"/>
        <v>75</v>
      </c>
      <c r="EM129" s="442">
        <f t="shared" si="789"/>
        <v>0</v>
      </c>
      <c r="EN129" s="68">
        <f t="shared" si="669"/>
        <v>2297.0468525697056</v>
      </c>
      <c r="EO129" s="51">
        <f t="shared" si="585"/>
        <v>1207</v>
      </c>
      <c r="EP129" s="103">
        <f t="shared" si="1029"/>
        <v>0</v>
      </c>
      <c r="EQ129" s="104">
        <f t="shared" si="740"/>
        <v>1207</v>
      </c>
      <c r="ER129" s="50">
        <f t="shared" si="586"/>
        <v>86</v>
      </c>
      <c r="ES129" s="103">
        <f t="shared" si="1030"/>
        <v>0</v>
      </c>
      <c r="ET129" s="46">
        <f t="shared" si="655"/>
        <v>86</v>
      </c>
      <c r="EV129" s="120">
        <f t="shared" si="1031"/>
        <v>26</v>
      </c>
      <c r="EW129" s="7">
        <f t="shared" si="1032"/>
        <v>17</v>
      </c>
      <c r="EX129" s="133"/>
      <c r="EY129" s="14">
        <f t="shared" si="927"/>
        <v>14167</v>
      </c>
      <c r="EZ129" s="46">
        <f t="shared" si="971"/>
        <v>14167</v>
      </c>
      <c r="FA129" s="134"/>
      <c r="FB129" s="135"/>
      <c r="FC129" s="135"/>
      <c r="FD129" s="31">
        <f t="shared" si="688"/>
        <v>0</v>
      </c>
      <c r="FE129" s="14">
        <f t="shared" si="882"/>
        <v>71</v>
      </c>
      <c r="FF129" s="14">
        <f t="shared" si="587"/>
        <v>0.16</v>
      </c>
      <c r="FG129" s="47">
        <f t="shared" si="790"/>
        <v>0</v>
      </c>
      <c r="FH129" s="35">
        <f t="shared" si="588"/>
        <v>4.3200000000000012</v>
      </c>
      <c r="FI129" s="157">
        <f t="shared" si="801"/>
        <v>0.49877063575693714</v>
      </c>
      <c r="FJ129" s="134"/>
      <c r="FK129" s="14">
        <f t="shared" si="589"/>
        <v>75</v>
      </c>
      <c r="FL129" s="442">
        <f t="shared" si="792"/>
        <v>0</v>
      </c>
      <c r="FM129" s="68">
        <f t="shared" si="672"/>
        <v>2437.1380235191186</v>
      </c>
      <c r="FN129" s="51">
        <f t="shared" si="590"/>
        <v>1207</v>
      </c>
      <c r="FO129" s="103">
        <f t="shared" si="1033"/>
        <v>0</v>
      </c>
      <c r="FP129" s="104">
        <f t="shared" si="741"/>
        <v>1207</v>
      </c>
      <c r="FQ129" s="50">
        <f t="shared" si="591"/>
        <v>86</v>
      </c>
      <c r="FR129" s="103">
        <f t="shared" si="1034"/>
        <v>0</v>
      </c>
      <c r="FS129" s="46">
        <f t="shared" si="656"/>
        <v>86</v>
      </c>
      <c r="FU129" s="120">
        <f t="shared" si="1035"/>
        <v>26</v>
      </c>
      <c r="FV129" s="7">
        <f t="shared" si="1036"/>
        <v>17</v>
      </c>
      <c r="FW129" s="133"/>
      <c r="FX129" s="14">
        <f t="shared" si="928"/>
        <v>14147</v>
      </c>
      <c r="FY129" s="46">
        <f t="shared" si="972"/>
        <v>14147</v>
      </c>
      <c r="FZ129" s="134"/>
      <c r="GA129" s="135"/>
      <c r="GB129" s="135"/>
      <c r="GC129" s="31">
        <f t="shared" si="690"/>
        <v>0</v>
      </c>
      <c r="GD129" s="14">
        <f t="shared" si="883"/>
        <v>44</v>
      </c>
      <c r="GE129" s="14">
        <f t="shared" si="592"/>
        <v>0.16</v>
      </c>
      <c r="GF129" s="47">
        <f t="shared" si="793"/>
        <v>0</v>
      </c>
      <c r="GG129" s="35">
        <f t="shared" si="593"/>
        <v>4.3200000000000012</v>
      </c>
      <c r="GH129" s="157">
        <f t="shared" si="802"/>
        <v>0.31009937275354149</v>
      </c>
      <c r="GI129" s="134"/>
      <c r="GJ129" s="14">
        <f t="shared" si="594"/>
        <v>75</v>
      </c>
      <c r="GK129" s="442">
        <f t="shared" si="795"/>
        <v>0</v>
      </c>
      <c r="GL129" s="68">
        <f t="shared" si="675"/>
        <v>2115.7658400333685</v>
      </c>
      <c r="GM129" s="51">
        <f t="shared" si="595"/>
        <v>1207</v>
      </c>
      <c r="GN129" s="103">
        <f t="shared" si="1037"/>
        <v>0</v>
      </c>
      <c r="GO129" s="104">
        <f t="shared" si="742"/>
        <v>1207</v>
      </c>
      <c r="GP129" s="50">
        <f t="shared" si="596"/>
        <v>86</v>
      </c>
      <c r="GQ129" s="103">
        <f t="shared" si="1038"/>
        <v>0</v>
      </c>
      <c r="GR129" s="46">
        <f t="shared" si="657"/>
        <v>86</v>
      </c>
      <c r="GT129" s="120">
        <f t="shared" si="1039"/>
        <v>26</v>
      </c>
      <c r="GU129" s="7">
        <f t="shared" si="1040"/>
        <v>17</v>
      </c>
      <c r="GV129" s="133"/>
      <c r="GW129" s="14">
        <f t="shared" si="929"/>
        <v>9146</v>
      </c>
      <c r="GX129" s="46">
        <f t="shared" si="973"/>
        <v>9146</v>
      </c>
      <c r="GY129" s="134"/>
      <c r="GZ129" s="135"/>
      <c r="HA129" s="135"/>
      <c r="HB129" s="31">
        <f t="shared" si="692"/>
        <v>0</v>
      </c>
      <c r="HC129" s="14">
        <f t="shared" si="884"/>
        <v>36</v>
      </c>
      <c r="HD129" s="14">
        <f t="shared" si="597"/>
        <v>0.16</v>
      </c>
      <c r="HE129" s="47">
        <f t="shared" si="796"/>
        <v>0</v>
      </c>
      <c r="HF129" s="35">
        <f t="shared" si="598"/>
        <v>4.3200000000000012</v>
      </c>
      <c r="HG129" s="157">
        <f t="shared" si="803"/>
        <v>0.3920714441298192</v>
      </c>
      <c r="HH129" s="134"/>
      <c r="HI129" s="14">
        <f t="shared" si="599"/>
        <v>75</v>
      </c>
      <c r="HJ129" s="442">
        <f t="shared" si="798"/>
        <v>0</v>
      </c>
      <c r="HK129" s="68">
        <f t="shared" si="678"/>
        <v>2261.5830127780196</v>
      </c>
      <c r="HL129" s="51">
        <f t="shared" si="600"/>
        <v>1207</v>
      </c>
      <c r="HM129" s="103">
        <f t="shared" si="1041"/>
        <v>0</v>
      </c>
      <c r="HN129" s="104">
        <f t="shared" si="743"/>
        <v>1207</v>
      </c>
      <c r="HO129" s="50">
        <f t="shared" si="601"/>
        <v>86</v>
      </c>
      <c r="HP129" s="103">
        <f t="shared" si="1042"/>
        <v>0</v>
      </c>
      <c r="HQ129" s="46">
        <f t="shared" si="658"/>
        <v>86</v>
      </c>
    </row>
    <row r="130" spans="2:225" ht="17.25" thickBot="1" x14ac:dyDescent="0.3">
      <c r="B130" s="120">
        <f t="shared" si="1043"/>
        <v>27</v>
      </c>
      <c r="C130" s="570">
        <f t="shared" si="1010"/>
        <v>17</v>
      </c>
      <c r="D130" s="133"/>
      <c r="E130" s="408">
        <f t="shared" si="696"/>
        <v>68543</v>
      </c>
      <c r="F130" s="562">
        <f t="shared" si="555"/>
        <v>68543</v>
      </c>
      <c r="G130" s="134"/>
      <c r="H130" s="135"/>
      <c r="I130" s="135"/>
      <c r="J130" s="14">
        <f t="shared" si="679"/>
        <v>0</v>
      </c>
      <c r="K130" s="14">
        <f t="shared" si="604"/>
        <v>5542</v>
      </c>
      <c r="L130" s="14">
        <f t="shared" si="556"/>
        <v>0.16</v>
      </c>
      <c r="M130" s="47">
        <f t="shared" si="605"/>
        <v>0</v>
      </c>
      <c r="N130" s="35">
        <f t="shared" si="557"/>
        <v>4.3200000000000012</v>
      </c>
      <c r="O130" s="132">
        <f t="shared" si="606"/>
        <v>4.1090507366188938</v>
      </c>
      <c r="P130" s="142"/>
      <c r="Q130" s="14">
        <f t="shared" si="558"/>
        <v>75</v>
      </c>
      <c r="R130" s="482">
        <f t="shared" si="877"/>
        <v>0</v>
      </c>
      <c r="S130" s="470">
        <f t="shared" si="650"/>
        <v>3520.2686172807612</v>
      </c>
      <c r="T130" s="51">
        <f t="shared" si="560"/>
        <v>1207</v>
      </c>
      <c r="U130" s="103">
        <f t="shared" si="1011"/>
        <v>0</v>
      </c>
      <c r="V130" s="46">
        <f t="shared" si="608"/>
        <v>1207</v>
      </c>
      <c r="W130" s="50">
        <f t="shared" si="878"/>
        <v>86</v>
      </c>
      <c r="X130" s="103">
        <f t="shared" si="1012"/>
        <v>0</v>
      </c>
      <c r="Y130" s="62">
        <f t="shared" si="610"/>
        <v>86</v>
      </c>
      <c r="Z130" s="487"/>
      <c r="AA130" s="120">
        <f t="shared" si="1044"/>
        <v>27</v>
      </c>
      <c r="AB130" s="7">
        <f t="shared" si="1013"/>
        <v>17</v>
      </c>
      <c r="AC130" s="133"/>
      <c r="AD130" s="48">
        <f t="shared" si="879"/>
        <v>59287</v>
      </c>
      <c r="AE130" s="447">
        <f t="shared" si="966"/>
        <v>59287</v>
      </c>
      <c r="AF130" s="134"/>
      <c r="AG130" s="135"/>
      <c r="AH130" s="135"/>
      <c r="AI130" s="14">
        <f t="shared" si="889"/>
        <v>0</v>
      </c>
      <c r="AJ130" s="14">
        <f t="shared" si="910"/>
        <v>6432</v>
      </c>
      <c r="AK130" s="14">
        <f t="shared" si="562"/>
        <v>0.16</v>
      </c>
      <c r="AL130" s="47">
        <f t="shared" si="613"/>
        <v>0</v>
      </c>
      <c r="AM130" s="35">
        <f t="shared" si="563"/>
        <v>4.3200000000000012</v>
      </c>
      <c r="AN130" s="157">
        <f t="shared" si="659"/>
        <v>4.1990912414477464</v>
      </c>
      <c r="AO130" s="134"/>
      <c r="AP130" s="14">
        <f t="shared" si="564"/>
        <v>75</v>
      </c>
      <c r="AQ130" s="482">
        <f t="shared" si="614"/>
        <v>0</v>
      </c>
      <c r="AR130" s="470">
        <f t="shared" si="799"/>
        <v>3681.7427283987504</v>
      </c>
      <c r="AS130" s="51">
        <f t="shared" si="565"/>
        <v>1207</v>
      </c>
      <c r="AT130" s="103">
        <f t="shared" si="1014"/>
        <v>0</v>
      </c>
      <c r="AU130" s="46">
        <f t="shared" si="736"/>
        <v>1207</v>
      </c>
      <c r="AV130" s="50">
        <f t="shared" si="566"/>
        <v>86</v>
      </c>
      <c r="AW130" s="103">
        <f t="shared" si="1015"/>
        <v>0</v>
      </c>
      <c r="AX130" s="62">
        <f t="shared" si="660"/>
        <v>86</v>
      </c>
      <c r="AZ130" s="120">
        <f t="shared" si="1045"/>
        <v>27</v>
      </c>
      <c r="BA130" s="7">
        <f t="shared" si="1016"/>
        <v>17</v>
      </c>
      <c r="BB130" s="133"/>
      <c r="BC130" s="48">
        <f t="shared" si="967"/>
        <v>65336</v>
      </c>
      <c r="BD130" s="447">
        <f t="shared" si="968"/>
        <v>65336</v>
      </c>
      <c r="BE130" s="134"/>
      <c r="BF130" s="135"/>
      <c r="BG130" s="135"/>
      <c r="BH130" s="14">
        <f t="shared" si="893"/>
        <v>0</v>
      </c>
      <c r="BI130" s="14">
        <f t="shared" si="912"/>
        <v>1255</v>
      </c>
      <c r="BJ130" s="14">
        <f t="shared" si="567"/>
        <v>0.16</v>
      </c>
      <c r="BK130" s="47">
        <f t="shared" si="646"/>
        <v>0</v>
      </c>
      <c r="BL130" s="35">
        <f t="shared" si="568"/>
        <v>4.3200000000000012</v>
      </c>
      <c r="BM130" s="132">
        <f t="shared" si="840"/>
        <v>1.757703081232493</v>
      </c>
      <c r="BN130" s="134"/>
      <c r="BO130" s="14">
        <f t="shared" si="569"/>
        <v>75</v>
      </c>
      <c r="BP130" s="442">
        <f t="shared" si="647"/>
        <v>0</v>
      </c>
      <c r="BQ130" s="747">
        <f t="shared" si="651"/>
        <v>3487.7310117165239</v>
      </c>
      <c r="BR130" s="51">
        <f t="shared" si="570"/>
        <v>1207</v>
      </c>
      <c r="BS130" s="103">
        <f t="shared" si="1017"/>
        <v>0</v>
      </c>
      <c r="BT130" s="46">
        <f t="shared" si="737"/>
        <v>1207</v>
      </c>
      <c r="BU130" s="50">
        <f t="shared" si="571"/>
        <v>86</v>
      </c>
      <c r="BV130" s="103">
        <f t="shared" si="1018"/>
        <v>0</v>
      </c>
      <c r="BW130" s="62">
        <f t="shared" si="661"/>
        <v>86</v>
      </c>
      <c r="BY130" s="120">
        <f t="shared" si="1019"/>
        <v>27</v>
      </c>
      <c r="BZ130" s="7">
        <f t="shared" si="1020"/>
        <v>17</v>
      </c>
      <c r="CA130" s="133"/>
      <c r="CB130" s="14">
        <f t="shared" si="662"/>
        <v>14583</v>
      </c>
      <c r="CC130" s="62">
        <f t="shared" si="682"/>
        <v>14583</v>
      </c>
      <c r="CD130" s="134"/>
      <c r="CE130" s="135"/>
      <c r="CF130" s="135"/>
      <c r="CG130" s="14">
        <f t="shared" si="683"/>
        <v>0</v>
      </c>
      <c r="CH130" s="14">
        <f>CH129+CG130</f>
        <v>73</v>
      </c>
      <c r="CI130" s="14">
        <f t="shared" si="572"/>
        <v>0.16</v>
      </c>
      <c r="CJ130" s="47">
        <f t="shared" si="782"/>
        <v>0</v>
      </c>
      <c r="CK130" s="35">
        <f t="shared" si="573"/>
        <v>4.3200000000000012</v>
      </c>
      <c r="CL130" s="157">
        <f t="shared" si="783"/>
        <v>0.49808951965065501</v>
      </c>
      <c r="CM130" s="134"/>
      <c r="CN130" s="14">
        <f t="shared" si="574"/>
        <v>75</v>
      </c>
      <c r="CO130" s="442">
        <f t="shared" si="784"/>
        <v>0</v>
      </c>
      <c r="CP130" s="68">
        <f t="shared" si="649"/>
        <v>1975.2862203652064</v>
      </c>
      <c r="CQ130" s="51">
        <f t="shared" si="575"/>
        <v>1207</v>
      </c>
      <c r="CR130" s="103">
        <f t="shared" si="1021"/>
        <v>0</v>
      </c>
      <c r="CS130" s="104">
        <f t="shared" si="738"/>
        <v>1207</v>
      </c>
      <c r="CT130" s="51">
        <f t="shared" si="576"/>
        <v>86</v>
      </c>
      <c r="CU130" s="103">
        <f t="shared" si="1022"/>
        <v>0</v>
      </c>
      <c r="CV130" s="62">
        <f t="shared" si="625"/>
        <v>86</v>
      </c>
      <c r="CX130" s="120">
        <f t="shared" si="1023"/>
        <v>27</v>
      </c>
      <c r="CY130" s="7">
        <f t="shared" si="1024"/>
        <v>17</v>
      </c>
      <c r="CZ130" s="133"/>
      <c r="DA130" s="14">
        <f t="shared" si="925"/>
        <v>14671</v>
      </c>
      <c r="DB130" s="62">
        <f t="shared" si="969"/>
        <v>14671</v>
      </c>
      <c r="DC130" s="134"/>
      <c r="DD130" s="135"/>
      <c r="DE130" s="135"/>
      <c r="DF130" s="14">
        <f t="shared" si="684"/>
        <v>0</v>
      </c>
      <c r="DG130" s="14">
        <f>DG129+DF130</f>
        <v>56</v>
      </c>
      <c r="DH130" s="14">
        <f t="shared" si="577"/>
        <v>0.16</v>
      </c>
      <c r="DI130" s="47">
        <f t="shared" si="785"/>
        <v>0</v>
      </c>
      <c r="DJ130" s="35">
        <f t="shared" si="578"/>
        <v>4.3200000000000012</v>
      </c>
      <c r="DK130" s="157">
        <f t="shared" si="786"/>
        <v>0.38035726414453574</v>
      </c>
      <c r="DL130" s="134"/>
      <c r="DM130" s="14">
        <f t="shared" si="579"/>
        <v>75</v>
      </c>
      <c r="DN130" s="442">
        <f t="shared" si="787"/>
        <v>0</v>
      </c>
      <c r="DO130" s="68">
        <f t="shared" si="666"/>
        <v>2052.9886076744156</v>
      </c>
      <c r="DP130" s="51">
        <f t="shared" si="580"/>
        <v>1207</v>
      </c>
      <c r="DQ130" s="103">
        <f t="shared" si="1025"/>
        <v>0</v>
      </c>
      <c r="DR130" s="104">
        <f t="shared" si="739"/>
        <v>1207</v>
      </c>
      <c r="DS130" s="51">
        <f t="shared" si="581"/>
        <v>86</v>
      </c>
      <c r="DT130" s="103">
        <f t="shared" si="1026"/>
        <v>0</v>
      </c>
      <c r="DU130" s="62">
        <f t="shared" si="654"/>
        <v>86</v>
      </c>
      <c r="DW130" s="120">
        <f t="shared" si="1027"/>
        <v>27</v>
      </c>
      <c r="DX130" s="7">
        <f t="shared" si="1028"/>
        <v>17</v>
      </c>
      <c r="DY130" s="133"/>
      <c r="DZ130" s="14">
        <f t="shared" si="926"/>
        <v>14466</v>
      </c>
      <c r="EA130" s="62">
        <f t="shared" si="970"/>
        <v>14466</v>
      </c>
      <c r="EB130" s="134"/>
      <c r="EC130" s="135"/>
      <c r="ED130" s="135"/>
      <c r="EE130" s="14">
        <f t="shared" si="686"/>
        <v>0</v>
      </c>
      <c r="EF130" s="14">
        <f>EF129+EE130</f>
        <v>81</v>
      </c>
      <c r="EG130" s="14">
        <f t="shared" si="582"/>
        <v>0.16</v>
      </c>
      <c r="EH130" s="47">
        <f t="shared" si="788"/>
        <v>0</v>
      </c>
      <c r="EI130" s="35">
        <f t="shared" si="583"/>
        <v>4.3200000000000012</v>
      </c>
      <c r="EJ130" s="157">
        <f t="shared" si="800"/>
        <v>0.55708390646492434</v>
      </c>
      <c r="EK130" s="134"/>
      <c r="EL130" s="14">
        <f t="shared" si="584"/>
        <v>75</v>
      </c>
      <c r="EM130" s="442">
        <f t="shared" si="789"/>
        <v>0</v>
      </c>
      <c r="EN130" s="68">
        <f t="shared" si="669"/>
        <v>2297.0468525697056</v>
      </c>
      <c r="EO130" s="51">
        <f t="shared" si="585"/>
        <v>1207</v>
      </c>
      <c r="EP130" s="103">
        <f t="shared" si="1029"/>
        <v>0</v>
      </c>
      <c r="EQ130" s="104">
        <f t="shared" si="740"/>
        <v>1207</v>
      </c>
      <c r="ER130" s="51">
        <f t="shared" si="586"/>
        <v>86</v>
      </c>
      <c r="ES130" s="103">
        <f t="shared" si="1030"/>
        <v>0</v>
      </c>
      <c r="ET130" s="62">
        <f t="shared" si="655"/>
        <v>86</v>
      </c>
      <c r="EV130" s="120">
        <f t="shared" si="1031"/>
        <v>27</v>
      </c>
      <c r="EW130" s="7">
        <f t="shared" si="1032"/>
        <v>17</v>
      </c>
      <c r="EX130" s="133"/>
      <c r="EY130" s="14">
        <f t="shared" si="927"/>
        <v>14167</v>
      </c>
      <c r="EZ130" s="62">
        <f t="shared" si="971"/>
        <v>14167</v>
      </c>
      <c r="FA130" s="134"/>
      <c r="FB130" s="135"/>
      <c r="FC130" s="135"/>
      <c r="FD130" s="14">
        <f t="shared" si="688"/>
        <v>0</v>
      </c>
      <c r="FE130" s="14">
        <f>FE129+FD130</f>
        <v>71</v>
      </c>
      <c r="FF130" s="14">
        <f t="shared" si="587"/>
        <v>0.16</v>
      </c>
      <c r="FG130" s="47">
        <f t="shared" si="790"/>
        <v>0</v>
      </c>
      <c r="FH130" s="35">
        <f t="shared" si="588"/>
        <v>4.3200000000000012</v>
      </c>
      <c r="FI130" s="157">
        <f t="shared" si="801"/>
        <v>0.49877063575693714</v>
      </c>
      <c r="FJ130" s="134"/>
      <c r="FK130" s="14">
        <f t="shared" si="589"/>
        <v>75</v>
      </c>
      <c r="FL130" s="442">
        <f t="shared" si="792"/>
        <v>0</v>
      </c>
      <c r="FM130" s="68">
        <f t="shared" si="672"/>
        <v>2437.1380235191186</v>
      </c>
      <c r="FN130" s="51">
        <f t="shared" si="590"/>
        <v>1207</v>
      </c>
      <c r="FO130" s="103">
        <f t="shared" si="1033"/>
        <v>0</v>
      </c>
      <c r="FP130" s="104">
        <f t="shared" si="741"/>
        <v>1207</v>
      </c>
      <c r="FQ130" s="51">
        <f t="shared" si="591"/>
        <v>86</v>
      </c>
      <c r="FR130" s="103">
        <f t="shared" si="1034"/>
        <v>0</v>
      </c>
      <c r="FS130" s="62">
        <f t="shared" si="656"/>
        <v>86</v>
      </c>
      <c r="FU130" s="120">
        <f t="shared" si="1035"/>
        <v>27</v>
      </c>
      <c r="FV130" s="7">
        <f t="shared" si="1036"/>
        <v>17</v>
      </c>
      <c r="FW130" s="133"/>
      <c r="FX130" s="14">
        <f t="shared" si="928"/>
        <v>14147</v>
      </c>
      <c r="FY130" s="62">
        <f t="shared" si="972"/>
        <v>14147</v>
      </c>
      <c r="FZ130" s="134"/>
      <c r="GA130" s="135"/>
      <c r="GB130" s="135"/>
      <c r="GC130" s="14">
        <f t="shared" si="690"/>
        <v>0</v>
      </c>
      <c r="GD130" s="14">
        <f>GD129+GC130</f>
        <v>44</v>
      </c>
      <c r="GE130" s="14">
        <f t="shared" si="592"/>
        <v>0.16</v>
      </c>
      <c r="GF130" s="47">
        <f t="shared" si="793"/>
        <v>0</v>
      </c>
      <c r="GG130" s="35">
        <f t="shared" si="593"/>
        <v>4.3200000000000012</v>
      </c>
      <c r="GH130" s="157">
        <f t="shared" si="802"/>
        <v>0.31009937275354149</v>
      </c>
      <c r="GI130" s="134"/>
      <c r="GJ130" s="14">
        <f t="shared" si="594"/>
        <v>75</v>
      </c>
      <c r="GK130" s="442">
        <f t="shared" si="795"/>
        <v>0</v>
      </c>
      <c r="GL130" s="68">
        <f t="shared" si="675"/>
        <v>2115.7658400333685</v>
      </c>
      <c r="GM130" s="51">
        <f t="shared" si="595"/>
        <v>1207</v>
      </c>
      <c r="GN130" s="103">
        <f t="shared" si="1037"/>
        <v>0</v>
      </c>
      <c r="GO130" s="104">
        <f t="shared" si="742"/>
        <v>1207</v>
      </c>
      <c r="GP130" s="51">
        <f t="shared" si="596"/>
        <v>86</v>
      </c>
      <c r="GQ130" s="103">
        <f t="shared" si="1038"/>
        <v>0</v>
      </c>
      <c r="GR130" s="62">
        <f t="shared" si="657"/>
        <v>86</v>
      </c>
      <c r="GT130" s="120">
        <f t="shared" si="1039"/>
        <v>27</v>
      </c>
      <c r="GU130" s="7">
        <f t="shared" si="1040"/>
        <v>17</v>
      </c>
      <c r="GV130" s="133"/>
      <c r="GW130" s="14">
        <f t="shared" si="929"/>
        <v>9146</v>
      </c>
      <c r="GX130" s="62">
        <f t="shared" si="973"/>
        <v>9146</v>
      </c>
      <c r="GY130" s="134"/>
      <c r="GZ130" s="135"/>
      <c r="HA130" s="135"/>
      <c r="HB130" s="14">
        <f t="shared" si="692"/>
        <v>0</v>
      </c>
      <c r="HC130" s="14">
        <f>HC129+HB130</f>
        <v>36</v>
      </c>
      <c r="HD130" s="14">
        <f t="shared" si="597"/>
        <v>0.16</v>
      </c>
      <c r="HE130" s="47">
        <f t="shared" si="796"/>
        <v>0</v>
      </c>
      <c r="HF130" s="35">
        <f t="shared" si="598"/>
        <v>4.3200000000000012</v>
      </c>
      <c r="HG130" s="157">
        <f t="shared" si="803"/>
        <v>0.3920714441298192</v>
      </c>
      <c r="HH130" s="134"/>
      <c r="HI130" s="14">
        <f t="shared" si="599"/>
        <v>75</v>
      </c>
      <c r="HJ130" s="442">
        <f t="shared" si="798"/>
        <v>0</v>
      </c>
      <c r="HK130" s="68">
        <f t="shared" si="678"/>
        <v>2261.5830127780196</v>
      </c>
      <c r="HL130" s="51">
        <f t="shared" si="600"/>
        <v>1207</v>
      </c>
      <c r="HM130" s="103">
        <f t="shared" si="1041"/>
        <v>0</v>
      </c>
      <c r="HN130" s="104">
        <f t="shared" si="743"/>
        <v>1207</v>
      </c>
      <c r="HO130" s="51">
        <f t="shared" si="601"/>
        <v>86</v>
      </c>
      <c r="HP130" s="103">
        <f t="shared" si="1042"/>
        <v>0</v>
      </c>
      <c r="HQ130" s="62">
        <f t="shared" si="658"/>
        <v>86</v>
      </c>
    </row>
    <row r="131" spans="2:225" ht="17.25" thickBot="1" x14ac:dyDescent="0.3">
      <c r="B131" s="120">
        <f t="shared" si="1043"/>
        <v>28</v>
      </c>
      <c r="C131" s="574">
        <f t="shared" si="1010"/>
        <v>17</v>
      </c>
      <c r="D131" s="136"/>
      <c r="E131" s="436">
        <f t="shared" si="696"/>
        <v>68543</v>
      </c>
      <c r="F131" s="451">
        <f t="shared" si="555"/>
        <v>68543</v>
      </c>
      <c r="G131" s="137"/>
      <c r="H131" s="138"/>
      <c r="I131" s="138"/>
      <c r="J131" s="34">
        <f t="shared" si="679"/>
        <v>0</v>
      </c>
      <c r="K131" s="32">
        <f t="shared" si="604"/>
        <v>5542</v>
      </c>
      <c r="L131" s="32">
        <f t="shared" si="556"/>
        <v>0.16</v>
      </c>
      <c r="M131" s="166">
        <f t="shared" si="605"/>
        <v>0</v>
      </c>
      <c r="N131" s="36">
        <f t="shared" si="557"/>
        <v>4.3200000000000012</v>
      </c>
      <c r="O131" s="132">
        <f t="shared" si="606"/>
        <v>4.1090507366188938</v>
      </c>
      <c r="P131" s="139"/>
      <c r="Q131" s="32">
        <f t="shared" si="558"/>
        <v>75</v>
      </c>
      <c r="R131" s="443">
        <f t="shared" si="877"/>
        <v>0</v>
      </c>
      <c r="S131" s="471">
        <f t="shared" si="650"/>
        <v>3520.2686172807612</v>
      </c>
      <c r="T131" s="56">
        <f t="shared" si="560"/>
        <v>1207</v>
      </c>
      <c r="U131" s="109">
        <f t="shared" si="1011"/>
        <v>0</v>
      </c>
      <c r="V131" s="53">
        <f t="shared" si="608"/>
        <v>1207</v>
      </c>
      <c r="W131" s="56">
        <f t="shared" si="878"/>
        <v>86</v>
      </c>
      <c r="X131" s="109">
        <f t="shared" si="1012"/>
        <v>0</v>
      </c>
      <c r="Y131" s="53">
        <f t="shared" si="610"/>
        <v>86</v>
      </c>
      <c r="Z131" s="487"/>
      <c r="AA131" s="120">
        <f t="shared" si="1044"/>
        <v>28</v>
      </c>
      <c r="AB131" s="8">
        <f t="shared" si="1013"/>
        <v>17</v>
      </c>
      <c r="AC131" s="136"/>
      <c r="AD131" s="54">
        <f t="shared" si="879"/>
        <v>59287</v>
      </c>
      <c r="AE131" s="55">
        <f t="shared" si="966"/>
        <v>59287</v>
      </c>
      <c r="AF131" s="137"/>
      <c r="AG131" s="138"/>
      <c r="AH131" s="138"/>
      <c r="AI131" s="34">
        <f t="shared" si="889"/>
        <v>0</v>
      </c>
      <c r="AJ131" s="32">
        <f t="shared" si="910"/>
        <v>6432</v>
      </c>
      <c r="AK131" s="32">
        <f t="shared" si="562"/>
        <v>0.16</v>
      </c>
      <c r="AL131" s="231">
        <f t="shared" si="613"/>
        <v>0</v>
      </c>
      <c r="AM131" s="36">
        <f t="shared" si="563"/>
        <v>4.3200000000000012</v>
      </c>
      <c r="AN131" s="157">
        <f t="shared" si="659"/>
        <v>4.1990912414477464</v>
      </c>
      <c r="AO131" s="137"/>
      <c r="AP131" s="32">
        <f t="shared" si="564"/>
        <v>75</v>
      </c>
      <c r="AQ131" s="443">
        <f t="shared" si="614"/>
        <v>0</v>
      </c>
      <c r="AR131" s="471">
        <f t="shared" si="799"/>
        <v>3681.7427283987504</v>
      </c>
      <c r="AS131" s="56">
        <f t="shared" si="565"/>
        <v>1207</v>
      </c>
      <c r="AT131" s="109">
        <f t="shared" si="1014"/>
        <v>0</v>
      </c>
      <c r="AU131" s="53">
        <f t="shared" si="736"/>
        <v>1207</v>
      </c>
      <c r="AV131" s="56">
        <f t="shared" si="566"/>
        <v>86</v>
      </c>
      <c r="AW131" s="109">
        <f t="shared" si="1015"/>
        <v>0</v>
      </c>
      <c r="AX131" s="53">
        <f t="shared" si="660"/>
        <v>86</v>
      </c>
      <c r="AZ131" s="197">
        <f t="shared" si="1045"/>
        <v>28</v>
      </c>
      <c r="BA131" s="8">
        <f t="shared" si="1016"/>
        <v>17</v>
      </c>
      <c r="BB131" s="136"/>
      <c r="BC131" s="54">
        <f t="shared" si="967"/>
        <v>65336</v>
      </c>
      <c r="BD131" s="55">
        <f t="shared" si="968"/>
        <v>65336</v>
      </c>
      <c r="BE131" s="137"/>
      <c r="BF131" s="138"/>
      <c r="BG131" s="138"/>
      <c r="BH131" s="34">
        <f t="shared" si="893"/>
        <v>0</v>
      </c>
      <c r="BI131" s="32">
        <f t="shared" si="912"/>
        <v>1255</v>
      </c>
      <c r="BJ131" s="32">
        <f t="shared" si="567"/>
        <v>0.16</v>
      </c>
      <c r="BK131" s="96">
        <f t="shared" si="646"/>
        <v>0</v>
      </c>
      <c r="BL131" s="36">
        <f t="shared" si="568"/>
        <v>4.3200000000000012</v>
      </c>
      <c r="BM131" s="132">
        <f t="shared" si="840"/>
        <v>1.757703081232493</v>
      </c>
      <c r="BN131" s="137"/>
      <c r="BO131" s="32">
        <f t="shared" si="569"/>
        <v>75</v>
      </c>
      <c r="BP131" s="443">
        <f t="shared" si="647"/>
        <v>0</v>
      </c>
      <c r="BQ131" s="750">
        <f t="shared" si="651"/>
        <v>3487.7310117165239</v>
      </c>
      <c r="BR131" s="56">
        <f t="shared" si="570"/>
        <v>1207</v>
      </c>
      <c r="BS131" s="109">
        <f t="shared" si="1017"/>
        <v>0</v>
      </c>
      <c r="BT131" s="53">
        <f t="shared" si="737"/>
        <v>1207</v>
      </c>
      <c r="BU131" s="56">
        <f t="shared" si="571"/>
        <v>86</v>
      </c>
      <c r="BV131" s="109">
        <f t="shared" si="1018"/>
        <v>0</v>
      </c>
      <c r="BW131" s="53">
        <f t="shared" si="661"/>
        <v>86</v>
      </c>
      <c r="BY131" s="197">
        <f>BY130+1</f>
        <v>28</v>
      </c>
      <c r="BZ131" s="8">
        <f t="shared" si="1020"/>
        <v>17</v>
      </c>
      <c r="CA131" s="136"/>
      <c r="CB131" s="32">
        <f t="shared" si="662"/>
        <v>14583</v>
      </c>
      <c r="CC131" s="53">
        <f t="shared" si="682"/>
        <v>14583</v>
      </c>
      <c r="CD131" s="137"/>
      <c r="CE131" s="138"/>
      <c r="CF131" s="138"/>
      <c r="CG131" s="34">
        <f t="shared" si="683"/>
        <v>0</v>
      </c>
      <c r="CH131" s="32">
        <f t="shared" si="663"/>
        <v>73</v>
      </c>
      <c r="CI131" s="32">
        <f t="shared" si="572"/>
        <v>0.16</v>
      </c>
      <c r="CJ131" s="47">
        <f t="shared" si="782"/>
        <v>0</v>
      </c>
      <c r="CK131" s="36">
        <f t="shared" si="573"/>
        <v>4.3200000000000012</v>
      </c>
      <c r="CL131" s="157">
        <f t="shared" si="783"/>
        <v>0.49808951965065501</v>
      </c>
      <c r="CM131" s="137"/>
      <c r="CN131" s="32">
        <f t="shared" si="574"/>
        <v>75</v>
      </c>
      <c r="CO131" s="442">
        <f t="shared" si="784"/>
        <v>0</v>
      </c>
      <c r="CP131" s="70">
        <f t="shared" si="649"/>
        <v>1975.2862203652064</v>
      </c>
      <c r="CQ131" s="56">
        <f t="shared" si="575"/>
        <v>1207</v>
      </c>
      <c r="CR131" s="109">
        <f t="shared" si="1021"/>
        <v>0</v>
      </c>
      <c r="CS131" s="105">
        <f t="shared" si="738"/>
        <v>1207</v>
      </c>
      <c r="CT131" s="163">
        <f t="shared" si="576"/>
        <v>86</v>
      </c>
      <c r="CU131" s="109">
        <f t="shared" si="1022"/>
        <v>0</v>
      </c>
      <c r="CV131" s="53">
        <f t="shared" si="625"/>
        <v>86</v>
      </c>
      <c r="CX131" s="197">
        <f>CX130+1</f>
        <v>28</v>
      </c>
      <c r="CY131" s="8">
        <f t="shared" si="1024"/>
        <v>17</v>
      </c>
      <c r="CZ131" s="136"/>
      <c r="DA131" s="32">
        <f t="shared" si="925"/>
        <v>14671</v>
      </c>
      <c r="DB131" s="53">
        <f t="shared" si="969"/>
        <v>14671</v>
      </c>
      <c r="DC131" s="137"/>
      <c r="DD131" s="138"/>
      <c r="DE131" s="138"/>
      <c r="DF131" s="34">
        <f t="shared" si="684"/>
        <v>0</v>
      </c>
      <c r="DG131" s="32">
        <f t="shared" ref="DG131:DG138" si="1046">DG130+DF131</f>
        <v>56</v>
      </c>
      <c r="DH131" s="32">
        <f t="shared" si="577"/>
        <v>0.16</v>
      </c>
      <c r="DI131" s="47">
        <f t="shared" si="785"/>
        <v>0</v>
      </c>
      <c r="DJ131" s="36">
        <f t="shared" si="578"/>
        <v>4.3200000000000012</v>
      </c>
      <c r="DK131" s="157">
        <f t="shared" si="786"/>
        <v>0.38035726414453574</v>
      </c>
      <c r="DL131" s="137"/>
      <c r="DM131" s="32">
        <f t="shared" si="579"/>
        <v>75</v>
      </c>
      <c r="DN131" s="442">
        <f t="shared" si="787"/>
        <v>0</v>
      </c>
      <c r="DO131" s="70">
        <f t="shared" si="666"/>
        <v>2052.9886076744156</v>
      </c>
      <c r="DP131" s="56">
        <f t="shared" si="580"/>
        <v>1207</v>
      </c>
      <c r="DQ131" s="109">
        <f t="shared" si="1025"/>
        <v>0</v>
      </c>
      <c r="DR131" s="105">
        <f t="shared" si="739"/>
        <v>1207</v>
      </c>
      <c r="DS131" s="163">
        <f t="shared" si="581"/>
        <v>86</v>
      </c>
      <c r="DT131" s="109">
        <f t="shared" si="1026"/>
        <v>0</v>
      </c>
      <c r="DU131" s="53">
        <f t="shared" si="654"/>
        <v>86</v>
      </c>
      <c r="DW131" s="197">
        <f>DW130+1</f>
        <v>28</v>
      </c>
      <c r="DX131" s="8">
        <f t="shared" si="1028"/>
        <v>17</v>
      </c>
      <c r="DY131" s="136"/>
      <c r="DZ131" s="32">
        <f t="shared" si="926"/>
        <v>14466</v>
      </c>
      <c r="EA131" s="53">
        <f t="shared" si="970"/>
        <v>14466</v>
      </c>
      <c r="EB131" s="137"/>
      <c r="EC131" s="138"/>
      <c r="ED131" s="138"/>
      <c r="EE131" s="34">
        <f t="shared" si="686"/>
        <v>0</v>
      </c>
      <c r="EF131" s="32">
        <f t="shared" ref="EF131:EF138" si="1047">EF130+EE131</f>
        <v>81</v>
      </c>
      <c r="EG131" s="32">
        <f t="shared" si="582"/>
        <v>0.16</v>
      </c>
      <c r="EH131" s="47">
        <f t="shared" si="788"/>
        <v>0</v>
      </c>
      <c r="EI131" s="36">
        <f t="shared" si="583"/>
        <v>4.3200000000000012</v>
      </c>
      <c r="EJ131" s="157">
        <f t="shared" si="800"/>
        <v>0.55708390646492434</v>
      </c>
      <c r="EK131" s="137"/>
      <c r="EL131" s="32">
        <f t="shared" si="584"/>
        <v>75</v>
      </c>
      <c r="EM131" s="442">
        <f t="shared" si="789"/>
        <v>0</v>
      </c>
      <c r="EN131" s="70">
        <f t="shared" si="669"/>
        <v>2297.0468525697056</v>
      </c>
      <c r="EO131" s="56">
        <f t="shared" si="585"/>
        <v>1207</v>
      </c>
      <c r="EP131" s="109">
        <f t="shared" si="1029"/>
        <v>0</v>
      </c>
      <c r="EQ131" s="105">
        <f t="shared" si="740"/>
        <v>1207</v>
      </c>
      <c r="ER131" s="163">
        <f t="shared" si="586"/>
        <v>86</v>
      </c>
      <c r="ES131" s="109">
        <f t="shared" si="1030"/>
        <v>0</v>
      </c>
      <c r="ET131" s="53">
        <f t="shared" si="655"/>
        <v>86</v>
      </c>
      <c r="EV131" s="197">
        <f>EV130+1</f>
        <v>28</v>
      </c>
      <c r="EW131" s="8">
        <f t="shared" si="1032"/>
        <v>17</v>
      </c>
      <c r="EX131" s="136"/>
      <c r="EY131" s="32">
        <f t="shared" si="927"/>
        <v>14167</v>
      </c>
      <c r="EZ131" s="53">
        <f t="shared" si="971"/>
        <v>14167</v>
      </c>
      <c r="FA131" s="137"/>
      <c r="FB131" s="138"/>
      <c r="FC131" s="138"/>
      <c r="FD131" s="34">
        <f t="shared" si="688"/>
        <v>0</v>
      </c>
      <c r="FE131" s="32">
        <f t="shared" ref="FE131:FE138" si="1048">FE130+FD131</f>
        <v>71</v>
      </c>
      <c r="FF131" s="32">
        <f t="shared" si="587"/>
        <v>0.16</v>
      </c>
      <c r="FG131" s="47">
        <f t="shared" si="790"/>
        <v>0</v>
      </c>
      <c r="FH131" s="36">
        <f t="shared" si="588"/>
        <v>4.3200000000000012</v>
      </c>
      <c r="FI131" s="157">
        <f t="shared" si="801"/>
        <v>0.49877063575693714</v>
      </c>
      <c r="FJ131" s="137"/>
      <c r="FK131" s="32">
        <f t="shared" si="589"/>
        <v>75</v>
      </c>
      <c r="FL131" s="442">
        <f t="shared" si="792"/>
        <v>0</v>
      </c>
      <c r="FM131" s="70">
        <f t="shared" si="672"/>
        <v>2437.1380235191186</v>
      </c>
      <c r="FN131" s="56">
        <f t="shared" si="590"/>
        <v>1207</v>
      </c>
      <c r="FO131" s="109">
        <f t="shared" si="1033"/>
        <v>0</v>
      </c>
      <c r="FP131" s="105">
        <f t="shared" si="741"/>
        <v>1207</v>
      </c>
      <c r="FQ131" s="163">
        <f t="shared" si="591"/>
        <v>86</v>
      </c>
      <c r="FR131" s="109">
        <f t="shared" si="1034"/>
        <v>0</v>
      </c>
      <c r="FS131" s="53">
        <f t="shared" si="656"/>
        <v>86</v>
      </c>
      <c r="FU131" s="197">
        <f>FU130+1</f>
        <v>28</v>
      </c>
      <c r="FV131" s="8">
        <f t="shared" si="1036"/>
        <v>17</v>
      </c>
      <c r="FW131" s="136"/>
      <c r="FX131" s="32">
        <f t="shared" si="928"/>
        <v>14147</v>
      </c>
      <c r="FY131" s="53">
        <f t="shared" si="972"/>
        <v>14147</v>
      </c>
      <c r="FZ131" s="137"/>
      <c r="GA131" s="138"/>
      <c r="GB131" s="138"/>
      <c r="GC131" s="34">
        <f t="shared" si="690"/>
        <v>0</v>
      </c>
      <c r="GD131" s="32">
        <f t="shared" ref="GD131:GD138" si="1049">GD130+GC131</f>
        <v>44</v>
      </c>
      <c r="GE131" s="32">
        <f t="shared" si="592"/>
        <v>0.16</v>
      </c>
      <c r="GF131" s="47">
        <f t="shared" si="793"/>
        <v>0</v>
      </c>
      <c r="GG131" s="36">
        <f t="shared" si="593"/>
        <v>4.3200000000000012</v>
      </c>
      <c r="GH131" s="157">
        <f t="shared" si="802"/>
        <v>0.31009937275354149</v>
      </c>
      <c r="GI131" s="137"/>
      <c r="GJ131" s="32">
        <f t="shared" si="594"/>
        <v>75</v>
      </c>
      <c r="GK131" s="442">
        <f t="shared" si="795"/>
        <v>0</v>
      </c>
      <c r="GL131" s="70">
        <f t="shared" si="675"/>
        <v>2115.7658400333685</v>
      </c>
      <c r="GM131" s="56">
        <f t="shared" si="595"/>
        <v>1207</v>
      </c>
      <c r="GN131" s="109">
        <f t="shared" si="1037"/>
        <v>0</v>
      </c>
      <c r="GO131" s="105">
        <f t="shared" si="742"/>
        <v>1207</v>
      </c>
      <c r="GP131" s="163">
        <f t="shared" si="596"/>
        <v>86</v>
      </c>
      <c r="GQ131" s="109">
        <f t="shared" si="1038"/>
        <v>0</v>
      </c>
      <c r="GR131" s="53">
        <f t="shared" si="657"/>
        <v>86</v>
      </c>
      <c r="GT131" s="197">
        <f>GT130+1</f>
        <v>28</v>
      </c>
      <c r="GU131" s="8">
        <f t="shared" si="1040"/>
        <v>17</v>
      </c>
      <c r="GV131" s="136"/>
      <c r="GW131" s="32">
        <f t="shared" si="929"/>
        <v>9146</v>
      </c>
      <c r="GX131" s="53">
        <f t="shared" si="973"/>
        <v>9146</v>
      </c>
      <c r="GY131" s="137"/>
      <c r="GZ131" s="138"/>
      <c r="HA131" s="138"/>
      <c r="HB131" s="34">
        <f t="shared" si="692"/>
        <v>0</v>
      </c>
      <c r="HC131" s="32">
        <f t="shared" ref="HC131:HC138" si="1050">HC130+HB131</f>
        <v>36</v>
      </c>
      <c r="HD131" s="32">
        <f t="shared" si="597"/>
        <v>0.16</v>
      </c>
      <c r="HE131" s="47">
        <f t="shared" si="796"/>
        <v>0</v>
      </c>
      <c r="HF131" s="36">
        <f t="shared" si="598"/>
        <v>4.3200000000000012</v>
      </c>
      <c r="HG131" s="157">
        <f t="shared" si="803"/>
        <v>0.3920714441298192</v>
      </c>
      <c r="HH131" s="137"/>
      <c r="HI131" s="32">
        <f t="shared" si="599"/>
        <v>75</v>
      </c>
      <c r="HJ131" s="442">
        <f t="shared" si="798"/>
        <v>0</v>
      </c>
      <c r="HK131" s="70">
        <f t="shared" si="678"/>
        <v>2261.5830127780196</v>
      </c>
      <c r="HL131" s="56">
        <f t="shared" si="600"/>
        <v>1207</v>
      </c>
      <c r="HM131" s="109">
        <f t="shared" si="1041"/>
        <v>0</v>
      </c>
      <c r="HN131" s="105">
        <f t="shared" si="743"/>
        <v>1207</v>
      </c>
      <c r="HO131" s="163">
        <f t="shared" si="601"/>
        <v>86</v>
      </c>
      <c r="HP131" s="109">
        <f t="shared" si="1042"/>
        <v>0</v>
      </c>
      <c r="HQ131" s="53">
        <f t="shared" si="658"/>
        <v>86</v>
      </c>
    </row>
    <row r="132" spans="2:225" ht="17.25" thickBot="1" x14ac:dyDescent="0.3">
      <c r="B132" s="118">
        <v>29</v>
      </c>
      <c r="C132" s="575">
        <v>18</v>
      </c>
      <c r="D132" s="143"/>
      <c r="E132" s="430">
        <f t="shared" si="696"/>
        <v>68543</v>
      </c>
      <c r="F132" s="583">
        <f t="shared" si="555"/>
        <v>68543</v>
      </c>
      <c r="G132" s="144"/>
      <c r="H132" s="141"/>
      <c r="I132" s="141"/>
      <c r="J132" s="17">
        <f t="shared" ref="J132:J138" si="1051">SUM(G132:I132)</f>
        <v>0</v>
      </c>
      <c r="K132" s="17">
        <f t="shared" si="604"/>
        <v>5542</v>
      </c>
      <c r="L132" s="17">
        <f t="shared" si="556"/>
        <v>0.16</v>
      </c>
      <c r="M132" s="231">
        <f t="shared" si="605"/>
        <v>0</v>
      </c>
      <c r="N132" s="33">
        <f t="shared" si="557"/>
        <v>4.4800000000000013</v>
      </c>
      <c r="O132" s="132">
        <f t="shared" si="606"/>
        <v>4.1090507366188938</v>
      </c>
      <c r="P132" s="158"/>
      <c r="Q132" s="17">
        <f t="shared" si="558"/>
        <v>79</v>
      </c>
      <c r="R132" s="481">
        <f t="shared" si="877"/>
        <v>0</v>
      </c>
      <c r="S132" s="469">
        <f t="shared" si="650"/>
        <v>3520.2686172807612</v>
      </c>
      <c r="T132" s="61">
        <f t="shared" si="560"/>
        <v>1257</v>
      </c>
      <c r="U132" s="131"/>
      <c r="V132" s="41">
        <f t="shared" si="608"/>
        <v>1257</v>
      </c>
      <c r="W132" s="18">
        <f t="shared" si="878"/>
        <v>86</v>
      </c>
      <c r="X132" s="131"/>
      <c r="Y132" s="41">
        <f t="shared" si="610"/>
        <v>86</v>
      </c>
      <c r="Z132" s="487"/>
      <c r="AA132" s="118">
        <v>29</v>
      </c>
      <c r="AB132" s="9">
        <v>18</v>
      </c>
      <c r="AC132" s="129"/>
      <c r="AD132" s="43">
        <f t="shared" si="879"/>
        <v>59287</v>
      </c>
      <c r="AE132" s="449">
        <f t="shared" si="966"/>
        <v>59287</v>
      </c>
      <c r="AF132" s="130"/>
      <c r="AG132" s="131"/>
      <c r="AH132" s="131"/>
      <c r="AI132" s="11">
        <f t="shared" si="889"/>
        <v>0</v>
      </c>
      <c r="AJ132" s="11">
        <f t="shared" si="910"/>
        <v>6432</v>
      </c>
      <c r="AK132" s="17">
        <f t="shared" si="562"/>
        <v>0.16</v>
      </c>
      <c r="AL132" s="153">
        <f t="shared" si="613"/>
        <v>0</v>
      </c>
      <c r="AM132" s="33">
        <f t="shared" si="563"/>
        <v>4.4800000000000013</v>
      </c>
      <c r="AN132" s="157">
        <f t="shared" si="659"/>
        <v>4.1990912414477464</v>
      </c>
      <c r="AO132" s="130"/>
      <c r="AP132" s="17">
        <f t="shared" si="564"/>
        <v>79</v>
      </c>
      <c r="AQ132" s="481">
        <f t="shared" si="614"/>
        <v>0</v>
      </c>
      <c r="AR132" s="469">
        <f t="shared" si="799"/>
        <v>3681.7427283987504</v>
      </c>
      <c r="AS132" s="61">
        <f t="shared" si="565"/>
        <v>1257</v>
      </c>
      <c r="AT132" s="131"/>
      <c r="AU132" s="41">
        <f t="shared" si="736"/>
        <v>1257</v>
      </c>
      <c r="AV132" s="18">
        <f t="shared" si="566"/>
        <v>86</v>
      </c>
      <c r="AW132" s="131"/>
      <c r="AX132" s="41">
        <f t="shared" si="660"/>
        <v>86</v>
      </c>
      <c r="AZ132" s="118">
        <v>29</v>
      </c>
      <c r="BA132" s="9">
        <v>18</v>
      </c>
      <c r="BB132" s="129"/>
      <c r="BC132" s="43">
        <f t="shared" si="967"/>
        <v>65336</v>
      </c>
      <c r="BD132" s="449">
        <f t="shared" si="968"/>
        <v>65336</v>
      </c>
      <c r="BE132" s="130"/>
      <c r="BF132" s="131"/>
      <c r="BG132" s="131"/>
      <c r="BH132" s="11">
        <f t="shared" si="893"/>
        <v>0</v>
      </c>
      <c r="BI132" s="11">
        <f t="shared" si="912"/>
        <v>1255</v>
      </c>
      <c r="BJ132" s="11">
        <f t="shared" si="567"/>
        <v>0.16</v>
      </c>
      <c r="BK132" s="42">
        <f t="shared" si="646"/>
        <v>0</v>
      </c>
      <c r="BL132" s="21">
        <f t="shared" si="568"/>
        <v>4.4800000000000013</v>
      </c>
      <c r="BM132" s="132">
        <f t="shared" si="840"/>
        <v>1.757703081232493</v>
      </c>
      <c r="BN132" s="130"/>
      <c r="BO132" s="11">
        <f t="shared" si="569"/>
        <v>79</v>
      </c>
      <c r="BP132" s="441">
        <f t="shared" si="647"/>
        <v>0</v>
      </c>
      <c r="BQ132" s="746">
        <f t="shared" si="651"/>
        <v>3487.7310117165239</v>
      </c>
      <c r="BR132" s="58">
        <f t="shared" si="570"/>
        <v>1257</v>
      </c>
      <c r="BS132" s="131"/>
      <c r="BT132" s="41">
        <f t="shared" si="737"/>
        <v>1257</v>
      </c>
      <c r="BU132" s="18">
        <f t="shared" si="571"/>
        <v>86</v>
      </c>
      <c r="BV132" s="131"/>
      <c r="BW132" s="41">
        <f t="shared" si="661"/>
        <v>86</v>
      </c>
      <c r="BY132" s="118">
        <v>29</v>
      </c>
      <c r="BZ132" s="9">
        <v>18</v>
      </c>
      <c r="CA132" s="129"/>
      <c r="CB132" s="43">
        <f t="shared" si="662"/>
        <v>14583</v>
      </c>
      <c r="CC132" s="449">
        <f t="shared" si="682"/>
        <v>14583</v>
      </c>
      <c r="CD132" s="130"/>
      <c r="CE132" s="131"/>
      <c r="CF132" s="131"/>
      <c r="CG132" s="11">
        <f t="shared" si="683"/>
        <v>0</v>
      </c>
      <c r="CH132" s="11">
        <f t="shared" si="663"/>
        <v>73</v>
      </c>
      <c r="CI132" s="17">
        <f t="shared" si="572"/>
        <v>0.16</v>
      </c>
      <c r="CJ132" s="47">
        <f t="shared" si="782"/>
        <v>0</v>
      </c>
      <c r="CK132" s="33">
        <f t="shared" si="573"/>
        <v>4.4800000000000013</v>
      </c>
      <c r="CL132" s="157">
        <f t="shared" si="783"/>
        <v>0.49808951965065501</v>
      </c>
      <c r="CM132" s="130"/>
      <c r="CN132" s="17">
        <f t="shared" si="574"/>
        <v>79</v>
      </c>
      <c r="CO132" s="442">
        <f t="shared" si="784"/>
        <v>0</v>
      </c>
      <c r="CP132" s="377">
        <f t="shared" si="649"/>
        <v>1975.2862203652064</v>
      </c>
      <c r="CQ132" s="61">
        <f t="shared" si="575"/>
        <v>1257</v>
      </c>
      <c r="CR132" s="131"/>
      <c r="CS132" s="41">
        <f t="shared" si="738"/>
        <v>1257</v>
      </c>
      <c r="CT132" s="18">
        <f t="shared" si="576"/>
        <v>86</v>
      </c>
      <c r="CU132" s="131"/>
      <c r="CV132" s="41">
        <f t="shared" si="625"/>
        <v>86</v>
      </c>
      <c r="CX132" s="118">
        <v>29</v>
      </c>
      <c r="CY132" s="9">
        <v>18</v>
      </c>
      <c r="CZ132" s="129"/>
      <c r="DA132" s="43">
        <f t="shared" si="925"/>
        <v>14671</v>
      </c>
      <c r="DB132" s="449">
        <f t="shared" si="969"/>
        <v>14671</v>
      </c>
      <c r="DC132" s="130"/>
      <c r="DD132" s="131"/>
      <c r="DE132" s="131"/>
      <c r="DF132" s="11">
        <f t="shared" si="684"/>
        <v>0</v>
      </c>
      <c r="DG132" s="11">
        <f t="shared" si="1046"/>
        <v>56</v>
      </c>
      <c r="DH132" s="17">
        <f t="shared" si="577"/>
        <v>0.16</v>
      </c>
      <c r="DI132" s="47">
        <f t="shared" si="785"/>
        <v>0</v>
      </c>
      <c r="DJ132" s="33">
        <f t="shared" si="578"/>
        <v>4.4800000000000013</v>
      </c>
      <c r="DK132" s="157">
        <f t="shared" si="786"/>
        <v>0.38035726414453574</v>
      </c>
      <c r="DL132" s="130"/>
      <c r="DM132" s="17">
        <f t="shared" si="579"/>
        <v>79</v>
      </c>
      <c r="DN132" s="442">
        <f t="shared" si="787"/>
        <v>0</v>
      </c>
      <c r="DO132" s="377">
        <f t="shared" si="666"/>
        <v>2052.9886076744156</v>
      </c>
      <c r="DP132" s="61">
        <f t="shared" si="580"/>
        <v>1257</v>
      </c>
      <c r="DQ132" s="131"/>
      <c r="DR132" s="41">
        <f t="shared" si="739"/>
        <v>1257</v>
      </c>
      <c r="DS132" s="18">
        <f t="shared" si="581"/>
        <v>86</v>
      </c>
      <c r="DT132" s="131"/>
      <c r="DU132" s="41">
        <f t="shared" si="654"/>
        <v>86</v>
      </c>
      <c r="DW132" s="118">
        <v>29</v>
      </c>
      <c r="DX132" s="9">
        <v>18</v>
      </c>
      <c r="DY132" s="129"/>
      <c r="DZ132" s="43">
        <f t="shared" si="926"/>
        <v>14466</v>
      </c>
      <c r="EA132" s="449">
        <f t="shared" si="970"/>
        <v>14466</v>
      </c>
      <c r="EB132" s="130"/>
      <c r="EC132" s="131"/>
      <c r="ED132" s="131"/>
      <c r="EE132" s="11">
        <f t="shared" si="686"/>
        <v>0</v>
      </c>
      <c r="EF132" s="11">
        <f t="shared" si="1047"/>
        <v>81</v>
      </c>
      <c r="EG132" s="17">
        <f t="shared" si="582"/>
        <v>0.16</v>
      </c>
      <c r="EH132" s="47">
        <f t="shared" si="788"/>
        <v>0</v>
      </c>
      <c r="EI132" s="33">
        <f t="shared" si="583"/>
        <v>4.4800000000000013</v>
      </c>
      <c r="EJ132" s="157">
        <f t="shared" si="800"/>
        <v>0.55708390646492434</v>
      </c>
      <c r="EK132" s="130"/>
      <c r="EL132" s="17">
        <f t="shared" si="584"/>
        <v>79</v>
      </c>
      <c r="EM132" s="442">
        <f t="shared" si="789"/>
        <v>0</v>
      </c>
      <c r="EN132" s="377">
        <f t="shared" si="669"/>
        <v>2297.0468525697056</v>
      </c>
      <c r="EO132" s="61">
        <f t="shared" si="585"/>
        <v>1257</v>
      </c>
      <c r="EP132" s="131"/>
      <c r="EQ132" s="41">
        <f t="shared" si="740"/>
        <v>1257</v>
      </c>
      <c r="ER132" s="18">
        <f t="shared" si="586"/>
        <v>86</v>
      </c>
      <c r="ES132" s="131"/>
      <c r="ET132" s="41">
        <f t="shared" si="655"/>
        <v>86</v>
      </c>
      <c r="EV132" s="118">
        <v>29</v>
      </c>
      <c r="EW132" s="9">
        <v>18</v>
      </c>
      <c r="EX132" s="129"/>
      <c r="EY132" s="43">
        <f t="shared" si="927"/>
        <v>14167</v>
      </c>
      <c r="EZ132" s="449">
        <f t="shared" si="971"/>
        <v>14167</v>
      </c>
      <c r="FA132" s="130"/>
      <c r="FB132" s="131"/>
      <c r="FC132" s="131"/>
      <c r="FD132" s="11">
        <f t="shared" si="688"/>
        <v>0</v>
      </c>
      <c r="FE132" s="11">
        <f t="shared" si="1048"/>
        <v>71</v>
      </c>
      <c r="FF132" s="17">
        <f t="shared" si="587"/>
        <v>0.16</v>
      </c>
      <c r="FG132" s="47">
        <f t="shared" si="790"/>
        <v>0</v>
      </c>
      <c r="FH132" s="33">
        <f t="shared" si="588"/>
        <v>4.4800000000000013</v>
      </c>
      <c r="FI132" s="157">
        <f t="shared" si="801"/>
        <v>0.49877063575693714</v>
      </c>
      <c r="FJ132" s="130"/>
      <c r="FK132" s="17">
        <f t="shared" si="589"/>
        <v>79</v>
      </c>
      <c r="FL132" s="442">
        <f t="shared" si="792"/>
        <v>0</v>
      </c>
      <c r="FM132" s="377">
        <f t="shared" si="672"/>
        <v>2437.1380235191186</v>
      </c>
      <c r="FN132" s="61">
        <f t="shared" si="590"/>
        <v>1257</v>
      </c>
      <c r="FO132" s="131"/>
      <c r="FP132" s="41">
        <f t="shared" si="741"/>
        <v>1257</v>
      </c>
      <c r="FQ132" s="18">
        <f t="shared" si="591"/>
        <v>86</v>
      </c>
      <c r="FR132" s="131"/>
      <c r="FS132" s="41">
        <f t="shared" si="656"/>
        <v>86</v>
      </c>
      <c r="FU132" s="118">
        <v>29</v>
      </c>
      <c r="FV132" s="9">
        <v>18</v>
      </c>
      <c r="FW132" s="129"/>
      <c r="FX132" s="43">
        <f t="shared" si="928"/>
        <v>14147</v>
      </c>
      <c r="FY132" s="449">
        <f t="shared" si="972"/>
        <v>14147</v>
      </c>
      <c r="FZ132" s="130"/>
      <c r="GA132" s="131"/>
      <c r="GB132" s="131"/>
      <c r="GC132" s="11">
        <f t="shared" si="690"/>
        <v>0</v>
      </c>
      <c r="GD132" s="11">
        <f t="shared" si="1049"/>
        <v>44</v>
      </c>
      <c r="GE132" s="17">
        <f t="shared" si="592"/>
        <v>0.16</v>
      </c>
      <c r="GF132" s="47">
        <f t="shared" si="793"/>
        <v>0</v>
      </c>
      <c r="GG132" s="33">
        <f t="shared" si="593"/>
        <v>4.4800000000000013</v>
      </c>
      <c r="GH132" s="157">
        <f t="shared" si="802"/>
        <v>0.31009937275354149</v>
      </c>
      <c r="GI132" s="130"/>
      <c r="GJ132" s="17">
        <f t="shared" si="594"/>
        <v>79</v>
      </c>
      <c r="GK132" s="442">
        <f t="shared" si="795"/>
        <v>0</v>
      </c>
      <c r="GL132" s="377">
        <f t="shared" si="675"/>
        <v>2115.7658400333685</v>
      </c>
      <c r="GM132" s="61">
        <f t="shared" si="595"/>
        <v>1257</v>
      </c>
      <c r="GN132" s="131"/>
      <c r="GO132" s="41">
        <f t="shared" si="742"/>
        <v>1257</v>
      </c>
      <c r="GP132" s="18">
        <f t="shared" si="596"/>
        <v>86</v>
      </c>
      <c r="GQ132" s="131"/>
      <c r="GR132" s="41">
        <f t="shared" si="657"/>
        <v>86</v>
      </c>
      <c r="GT132" s="118">
        <v>29</v>
      </c>
      <c r="GU132" s="9">
        <v>18</v>
      </c>
      <c r="GV132" s="129"/>
      <c r="GW132" s="43">
        <f t="shared" si="929"/>
        <v>9146</v>
      </c>
      <c r="GX132" s="449">
        <f t="shared" si="973"/>
        <v>9146</v>
      </c>
      <c r="GY132" s="130"/>
      <c r="GZ132" s="131"/>
      <c r="HA132" s="131"/>
      <c r="HB132" s="11">
        <f t="shared" si="692"/>
        <v>0</v>
      </c>
      <c r="HC132" s="11">
        <f t="shared" si="1050"/>
        <v>36</v>
      </c>
      <c r="HD132" s="17">
        <f t="shared" si="597"/>
        <v>0.16</v>
      </c>
      <c r="HE132" s="47">
        <f t="shared" si="796"/>
        <v>0</v>
      </c>
      <c r="HF132" s="33">
        <f t="shared" si="598"/>
        <v>4.4800000000000013</v>
      </c>
      <c r="HG132" s="157">
        <f t="shared" si="803"/>
        <v>0.3920714441298192</v>
      </c>
      <c r="HH132" s="130"/>
      <c r="HI132" s="17">
        <f t="shared" si="599"/>
        <v>79</v>
      </c>
      <c r="HJ132" s="442">
        <f t="shared" si="798"/>
        <v>0</v>
      </c>
      <c r="HK132" s="377">
        <f t="shared" si="678"/>
        <v>2261.5830127780196</v>
      </c>
      <c r="HL132" s="61">
        <f t="shared" si="600"/>
        <v>1257</v>
      </c>
      <c r="HM132" s="131"/>
      <c r="HN132" s="41">
        <f t="shared" si="743"/>
        <v>1257</v>
      </c>
      <c r="HO132" s="18">
        <f t="shared" si="601"/>
        <v>86</v>
      </c>
      <c r="HP132" s="131"/>
      <c r="HQ132" s="41">
        <f t="shared" si="658"/>
        <v>86</v>
      </c>
    </row>
    <row r="133" spans="2:225" ht="17.25" thickBot="1" x14ac:dyDescent="0.3">
      <c r="B133" s="120">
        <f>B132+1</f>
        <v>30</v>
      </c>
      <c r="C133" s="570">
        <f>C132</f>
        <v>18</v>
      </c>
      <c r="D133" s="133"/>
      <c r="E133" s="408">
        <f t="shared" si="696"/>
        <v>68543</v>
      </c>
      <c r="F133" s="562">
        <f t="shared" si="555"/>
        <v>68543</v>
      </c>
      <c r="G133" s="134"/>
      <c r="H133" s="135"/>
      <c r="I133" s="135"/>
      <c r="J133" s="31">
        <f t="shared" si="1051"/>
        <v>0</v>
      </c>
      <c r="K133" s="14">
        <f t="shared" si="604"/>
        <v>5542</v>
      </c>
      <c r="L133" s="14">
        <f t="shared" si="556"/>
        <v>0.16</v>
      </c>
      <c r="M133" s="230">
        <f t="shared" si="605"/>
        <v>0</v>
      </c>
      <c r="N133" s="35">
        <f t="shared" si="557"/>
        <v>4.4800000000000013</v>
      </c>
      <c r="O133" s="132">
        <f t="shared" si="606"/>
        <v>4.1090507366188938</v>
      </c>
      <c r="P133" s="142"/>
      <c r="Q133" s="14">
        <f t="shared" si="558"/>
        <v>79</v>
      </c>
      <c r="R133" s="442">
        <f t="shared" si="877"/>
        <v>0</v>
      </c>
      <c r="S133" s="470">
        <f t="shared" si="650"/>
        <v>3520.2686172807612</v>
      </c>
      <c r="T133" s="51">
        <f t="shared" si="560"/>
        <v>1257</v>
      </c>
      <c r="U133" s="103">
        <f>U132</f>
        <v>0</v>
      </c>
      <c r="V133" s="46">
        <f t="shared" si="608"/>
        <v>1257</v>
      </c>
      <c r="W133" s="51">
        <f t="shared" si="878"/>
        <v>86</v>
      </c>
      <c r="X133" s="103">
        <f>X132</f>
        <v>0</v>
      </c>
      <c r="Y133" s="46">
        <f t="shared" si="610"/>
        <v>86</v>
      </c>
      <c r="Z133" s="487"/>
      <c r="AA133" s="120">
        <f>AA132+1</f>
        <v>30</v>
      </c>
      <c r="AB133" s="7">
        <f>AB132</f>
        <v>18</v>
      </c>
      <c r="AC133" s="133"/>
      <c r="AD133" s="48">
        <f t="shared" si="879"/>
        <v>59287</v>
      </c>
      <c r="AE133" s="196">
        <f t="shared" si="966"/>
        <v>59287</v>
      </c>
      <c r="AF133" s="134"/>
      <c r="AG133" s="135"/>
      <c r="AH133" s="135"/>
      <c r="AI133" s="31">
        <f t="shared" si="889"/>
        <v>0</v>
      </c>
      <c r="AJ133" s="14">
        <f t="shared" si="910"/>
        <v>6432</v>
      </c>
      <c r="AK133" s="14">
        <f t="shared" si="562"/>
        <v>0.16</v>
      </c>
      <c r="AL133" s="230">
        <f t="shared" si="613"/>
        <v>0</v>
      </c>
      <c r="AM133" s="35">
        <f t="shared" si="563"/>
        <v>4.4800000000000013</v>
      </c>
      <c r="AN133" s="157">
        <f t="shared" si="659"/>
        <v>4.1990912414477464</v>
      </c>
      <c r="AO133" s="134"/>
      <c r="AP133" s="14">
        <f t="shared" si="564"/>
        <v>79</v>
      </c>
      <c r="AQ133" s="442">
        <f t="shared" si="614"/>
        <v>0</v>
      </c>
      <c r="AR133" s="470">
        <f t="shared" si="799"/>
        <v>3681.7427283987504</v>
      </c>
      <c r="AS133" s="51">
        <f t="shared" si="565"/>
        <v>1257</v>
      </c>
      <c r="AT133" s="103">
        <f>AT132</f>
        <v>0</v>
      </c>
      <c r="AU133" s="46">
        <f t="shared" si="736"/>
        <v>1257</v>
      </c>
      <c r="AV133" s="51">
        <f t="shared" si="566"/>
        <v>86</v>
      </c>
      <c r="AW133" s="103">
        <f>AW132</f>
        <v>0</v>
      </c>
      <c r="AX133" s="46">
        <f t="shared" si="660"/>
        <v>86</v>
      </c>
      <c r="AZ133" s="120">
        <f>AZ132+1</f>
        <v>30</v>
      </c>
      <c r="BA133" s="7">
        <f>BA132</f>
        <v>18</v>
      </c>
      <c r="BB133" s="133"/>
      <c r="BC133" s="48">
        <f t="shared" si="967"/>
        <v>65336</v>
      </c>
      <c r="BD133" s="196">
        <f t="shared" si="968"/>
        <v>65336</v>
      </c>
      <c r="BE133" s="134"/>
      <c r="BF133" s="135"/>
      <c r="BG133" s="135"/>
      <c r="BH133" s="31">
        <f t="shared" si="893"/>
        <v>0</v>
      </c>
      <c r="BI133" s="14">
        <f t="shared" si="912"/>
        <v>1255</v>
      </c>
      <c r="BJ133" s="14">
        <f t="shared" si="567"/>
        <v>0.16</v>
      </c>
      <c r="BK133" s="47">
        <f t="shared" si="646"/>
        <v>0</v>
      </c>
      <c r="BL133" s="35">
        <f t="shared" si="568"/>
        <v>4.4800000000000013</v>
      </c>
      <c r="BM133" s="132">
        <f t="shared" si="840"/>
        <v>1.757703081232493</v>
      </c>
      <c r="BN133" s="134"/>
      <c r="BO133" s="14">
        <f t="shared" si="569"/>
        <v>79</v>
      </c>
      <c r="BP133" s="442">
        <f t="shared" si="647"/>
        <v>0</v>
      </c>
      <c r="BQ133" s="747">
        <f t="shared" si="651"/>
        <v>3487.7310117165239</v>
      </c>
      <c r="BR133" s="51">
        <f t="shared" si="570"/>
        <v>1257</v>
      </c>
      <c r="BS133" s="103">
        <f>BS132</f>
        <v>0</v>
      </c>
      <c r="BT133" s="46">
        <f t="shared" si="737"/>
        <v>1257</v>
      </c>
      <c r="BU133" s="51">
        <f t="shared" si="571"/>
        <v>86</v>
      </c>
      <c r="BV133" s="103">
        <f>BV132</f>
        <v>0</v>
      </c>
      <c r="BW133" s="46">
        <f t="shared" si="661"/>
        <v>86</v>
      </c>
      <c r="BY133" s="120">
        <f>BY132+1</f>
        <v>30</v>
      </c>
      <c r="BZ133" s="7">
        <f>BZ132</f>
        <v>18</v>
      </c>
      <c r="CA133" s="133"/>
      <c r="CB133" s="48">
        <f t="shared" si="662"/>
        <v>14583</v>
      </c>
      <c r="CC133" s="196">
        <f t="shared" si="682"/>
        <v>14583</v>
      </c>
      <c r="CD133" s="134"/>
      <c r="CE133" s="135"/>
      <c r="CF133" s="135"/>
      <c r="CG133" s="31">
        <f t="shared" si="683"/>
        <v>0</v>
      </c>
      <c r="CH133" s="14">
        <f t="shared" si="663"/>
        <v>73</v>
      </c>
      <c r="CI133" s="14">
        <f t="shared" si="572"/>
        <v>0.16</v>
      </c>
      <c r="CJ133" s="47">
        <f t="shared" si="782"/>
        <v>0</v>
      </c>
      <c r="CK133" s="35">
        <f t="shared" si="573"/>
        <v>4.4800000000000013</v>
      </c>
      <c r="CL133" s="157">
        <f t="shared" si="783"/>
        <v>0.49808951965065501</v>
      </c>
      <c r="CM133" s="134"/>
      <c r="CN133" s="14">
        <f t="shared" si="574"/>
        <v>79</v>
      </c>
      <c r="CO133" s="442">
        <f t="shared" si="784"/>
        <v>0</v>
      </c>
      <c r="CP133" s="68">
        <f t="shared" si="649"/>
        <v>1975.2862203652064</v>
      </c>
      <c r="CQ133" s="51">
        <f t="shared" si="575"/>
        <v>1257</v>
      </c>
      <c r="CR133" s="103">
        <f>CR132</f>
        <v>0</v>
      </c>
      <c r="CS133" s="46">
        <f t="shared" si="738"/>
        <v>1257</v>
      </c>
      <c r="CT133" s="51">
        <f t="shared" si="576"/>
        <v>86</v>
      </c>
      <c r="CU133" s="103">
        <f>CU132</f>
        <v>0</v>
      </c>
      <c r="CV133" s="46">
        <f t="shared" si="625"/>
        <v>86</v>
      </c>
      <c r="CX133" s="120">
        <f>CX132+1</f>
        <v>30</v>
      </c>
      <c r="CY133" s="7">
        <f>CY132</f>
        <v>18</v>
      </c>
      <c r="CZ133" s="133"/>
      <c r="DA133" s="48">
        <f t="shared" si="925"/>
        <v>14671</v>
      </c>
      <c r="DB133" s="196">
        <f t="shared" si="969"/>
        <v>14671</v>
      </c>
      <c r="DC133" s="134"/>
      <c r="DD133" s="135"/>
      <c r="DE133" s="135"/>
      <c r="DF133" s="31">
        <f t="shared" si="684"/>
        <v>0</v>
      </c>
      <c r="DG133" s="14">
        <f t="shared" si="1046"/>
        <v>56</v>
      </c>
      <c r="DH133" s="14">
        <f t="shared" si="577"/>
        <v>0.16</v>
      </c>
      <c r="DI133" s="47">
        <f t="shared" si="785"/>
        <v>0</v>
      </c>
      <c r="DJ133" s="35">
        <f t="shared" si="578"/>
        <v>4.4800000000000013</v>
      </c>
      <c r="DK133" s="157">
        <f t="shared" si="786"/>
        <v>0.38035726414453574</v>
      </c>
      <c r="DL133" s="134"/>
      <c r="DM133" s="14">
        <f t="shared" si="579"/>
        <v>79</v>
      </c>
      <c r="DN133" s="442">
        <f t="shared" si="787"/>
        <v>0</v>
      </c>
      <c r="DO133" s="68">
        <f t="shared" si="666"/>
        <v>2052.9886076744156</v>
      </c>
      <c r="DP133" s="51">
        <f t="shared" si="580"/>
        <v>1257</v>
      </c>
      <c r="DQ133" s="103">
        <f>DQ132</f>
        <v>0</v>
      </c>
      <c r="DR133" s="46">
        <f t="shared" si="739"/>
        <v>1257</v>
      </c>
      <c r="DS133" s="51">
        <f t="shared" si="581"/>
        <v>86</v>
      </c>
      <c r="DT133" s="103">
        <f>DT132</f>
        <v>0</v>
      </c>
      <c r="DU133" s="46">
        <f t="shared" si="654"/>
        <v>86</v>
      </c>
      <c r="DW133" s="120">
        <f>DW132+1</f>
        <v>30</v>
      </c>
      <c r="DX133" s="7">
        <f>DX132</f>
        <v>18</v>
      </c>
      <c r="DY133" s="133"/>
      <c r="DZ133" s="48">
        <f t="shared" si="926"/>
        <v>14466</v>
      </c>
      <c r="EA133" s="196">
        <f t="shared" si="970"/>
        <v>14466</v>
      </c>
      <c r="EB133" s="134"/>
      <c r="EC133" s="135"/>
      <c r="ED133" s="135"/>
      <c r="EE133" s="31">
        <f t="shared" si="686"/>
        <v>0</v>
      </c>
      <c r="EF133" s="14">
        <f t="shared" si="1047"/>
        <v>81</v>
      </c>
      <c r="EG133" s="14">
        <f t="shared" si="582"/>
        <v>0.16</v>
      </c>
      <c r="EH133" s="47">
        <f t="shared" si="788"/>
        <v>0</v>
      </c>
      <c r="EI133" s="35">
        <f t="shared" si="583"/>
        <v>4.4800000000000013</v>
      </c>
      <c r="EJ133" s="157">
        <f t="shared" si="800"/>
        <v>0.55708390646492434</v>
      </c>
      <c r="EK133" s="134"/>
      <c r="EL133" s="14">
        <f t="shared" si="584"/>
        <v>79</v>
      </c>
      <c r="EM133" s="442">
        <f t="shared" si="789"/>
        <v>0</v>
      </c>
      <c r="EN133" s="68">
        <f t="shared" si="669"/>
        <v>2297.0468525697056</v>
      </c>
      <c r="EO133" s="51">
        <f t="shared" si="585"/>
        <v>1257</v>
      </c>
      <c r="EP133" s="103">
        <f>EP132</f>
        <v>0</v>
      </c>
      <c r="EQ133" s="46">
        <f t="shared" si="740"/>
        <v>1257</v>
      </c>
      <c r="ER133" s="51">
        <f t="shared" si="586"/>
        <v>86</v>
      </c>
      <c r="ES133" s="103">
        <f>ES132</f>
        <v>0</v>
      </c>
      <c r="ET133" s="46">
        <f t="shared" si="655"/>
        <v>86</v>
      </c>
      <c r="EV133" s="120">
        <f>EV132+1</f>
        <v>30</v>
      </c>
      <c r="EW133" s="7">
        <f>EW132</f>
        <v>18</v>
      </c>
      <c r="EX133" s="133"/>
      <c r="EY133" s="48">
        <f t="shared" si="927"/>
        <v>14167</v>
      </c>
      <c r="EZ133" s="196">
        <f t="shared" si="971"/>
        <v>14167</v>
      </c>
      <c r="FA133" s="134"/>
      <c r="FB133" s="135"/>
      <c r="FC133" s="135"/>
      <c r="FD133" s="31">
        <f t="shared" si="688"/>
        <v>0</v>
      </c>
      <c r="FE133" s="14">
        <f t="shared" si="1048"/>
        <v>71</v>
      </c>
      <c r="FF133" s="14">
        <f t="shared" si="587"/>
        <v>0.16</v>
      </c>
      <c r="FG133" s="47">
        <f t="shared" si="790"/>
        <v>0</v>
      </c>
      <c r="FH133" s="35">
        <f t="shared" si="588"/>
        <v>4.4800000000000013</v>
      </c>
      <c r="FI133" s="157">
        <f t="shared" si="801"/>
        <v>0.49877063575693714</v>
      </c>
      <c r="FJ133" s="134"/>
      <c r="FK133" s="14">
        <f t="shared" si="589"/>
        <v>79</v>
      </c>
      <c r="FL133" s="442">
        <f t="shared" si="792"/>
        <v>0</v>
      </c>
      <c r="FM133" s="68">
        <f t="shared" si="672"/>
        <v>2437.1380235191186</v>
      </c>
      <c r="FN133" s="51">
        <f t="shared" si="590"/>
        <v>1257</v>
      </c>
      <c r="FO133" s="103">
        <f>FO132</f>
        <v>0</v>
      </c>
      <c r="FP133" s="46">
        <f t="shared" si="741"/>
        <v>1257</v>
      </c>
      <c r="FQ133" s="51">
        <f t="shared" si="591"/>
        <v>86</v>
      </c>
      <c r="FR133" s="103">
        <f>FR132</f>
        <v>0</v>
      </c>
      <c r="FS133" s="46">
        <f t="shared" si="656"/>
        <v>86</v>
      </c>
      <c r="FU133" s="120">
        <f>FU132+1</f>
        <v>30</v>
      </c>
      <c r="FV133" s="7">
        <f>FV132</f>
        <v>18</v>
      </c>
      <c r="FW133" s="133"/>
      <c r="FX133" s="48">
        <f t="shared" si="928"/>
        <v>14147</v>
      </c>
      <c r="FY133" s="196">
        <f t="shared" si="972"/>
        <v>14147</v>
      </c>
      <c r="FZ133" s="134"/>
      <c r="GA133" s="135"/>
      <c r="GB133" s="135"/>
      <c r="GC133" s="31">
        <f t="shared" si="690"/>
        <v>0</v>
      </c>
      <c r="GD133" s="14">
        <f t="shared" si="1049"/>
        <v>44</v>
      </c>
      <c r="GE133" s="14">
        <f t="shared" si="592"/>
        <v>0.16</v>
      </c>
      <c r="GF133" s="47">
        <f t="shared" si="793"/>
        <v>0</v>
      </c>
      <c r="GG133" s="35">
        <f t="shared" si="593"/>
        <v>4.4800000000000013</v>
      </c>
      <c r="GH133" s="157">
        <f t="shared" si="802"/>
        <v>0.31009937275354149</v>
      </c>
      <c r="GI133" s="134"/>
      <c r="GJ133" s="14">
        <f t="shared" si="594"/>
        <v>79</v>
      </c>
      <c r="GK133" s="442">
        <f t="shared" si="795"/>
        <v>0</v>
      </c>
      <c r="GL133" s="68">
        <f t="shared" si="675"/>
        <v>2115.7658400333685</v>
      </c>
      <c r="GM133" s="51">
        <f t="shared" si="595"/>
        <v>1257</v>
      </c>
      <c r="GN133" s="103">
        <f>GN132</f>
        <v>0</v>
      </c>
      <c r="GO133" s="46">
        <f t="shared" si="742"/>
        <v>1257</v>
      </c>
      <c r="GP133" s="51">
        <f t="shared" si="596"/>
        <v>86</v>
      </c>
      <c r="GQ133" s="103">
        <f>GQ132</f>
        <v>0</v>
      </c>
      <c r="GR133" s="46">
        <f t="shared" si="657"/>
        <v>86</v>
      </c>
      <c r="GT133" s="120">
        <f>GT132+1</f>
        <v>30</v>
      </c>
      <c r="GU133" s="7">
        <f>GU132</f>
        <v>18</v>
      </c>
      <c r="GV133" s="133"/>
      <c r="GW133" s="48">
        <f t="shared" si="929"/>
        <v>9146</v>
      </c>
      <c r="GX133" s="196">
        <f t="shared" si="973"/>
        <v>9146</v>
      </c>
      <c r="GY133" s="134"/>
      <c r="GZ133" s="135"/>
      <c r="HA133" s="135"/>
      <c r="HB133" s="31">
        <f t="shared" si="692"/>
        <v>0</v>
      </c>
      <c r="HC133" s="14">
        <f t="shared" si="1050"/>
        <v>36</v>
      </c>
      <c r="HD133" s="14">
        <f t="shared" si="597"/>
        <v>0.16</v>
      </c>
      <c r="HE133" s="47">
        <f t="shared" si="796"/>
        <v>0</v>
      </c>
      <c r="HF133" s="35">
        <f t="shared" si="598"/>
        <v>4.4800000000000013</v>
      </c>
      <c r="HG133" s="157">
        <f t="shared" si="803"/>
        <v>0.3920714441298192</v>
      </c>
      <c r="HH133" s="134"/>
      <c r="HI133" s="14">
        <f t="shared" si="599"/>
        <v>79</v>
      </c>
      <c r="HJ133" s="442">
        <f t="shared" si="798"/>
        <v>0</v>
      </c>
      <c r="HK133" s="68">
        <f t="shared" si="678"/>
        <v>2261.5830127780196</v>
      </c>
      <c r="HL133" s="51">
        <f t="shared" si="600"/>
        <v>1257</v>
      </c>
      <c r="HM133" s="103">
        <f>HM132</f>
        <v>0</v>
      </c>
      <c r="HN133" s="46">
        <f t="shared" si="743"/>
        <v>1257</v>
      </c>
      <c r="HO133" s="51">
        <f t="shared" si="601"/>
        <v>86</v>
      </c>
      <c r="HP133" s="103">
        <f>HP132</f>
        <v>0</v>
      </c>
      <c r="HQ133" s="46">
        <f t="shared" si="658"/>
        <v>86</v>
      </c>
    </row>
    <row r="134" spans="2:225" ht="17.25" thickBot="1" x14ac:dyDescent="0.3">
      <c r="B134" s="120">
        <v>1</v>
      </c>
      <c r="C134" s="570">
        <f t="shared" ref="C134:C138" si="1052">C133</f>
        <v>18</v>
      </c>
      <c r="D134" s="133"/>
      <c r="E134" s="408">
        <f t="shared" si="696"/>
        <v>68543</v>
      </c>
      <c r="F134" s="562">
        <f t="shared" ref="F134:F138" si="1053">IFERROR(E134-J134,0)</f>
        <v>68543</v>
      </c>
      <c r="G134" s="134"/>
      <c r="H134" s="135"/>
      <c r="I134" s="135"/>
      <c r="J134" s="13">
        <f t="shared" si="1051"/>
        <v>0</v>
      </c>
      <c r="K134" s="14">
        <f t="shared" si="604"/>
        <v>5542</v>
      </c>
      <c r="L134" s="14">
        <f t="shared" ref="L134:L138" si="1054">VLOOKUP($C134,LOHMANN,4,FALSE)</f>
        <v>0.16</v>
      </c>
      <c r="M134" s="47">
        <f t="shared" si="605"/>
        <v>0</v>
      </c>
      <c r="N134" s="35">
        <f t="shared" ref="N134:N138" si="1055">VLOOKUP($C134,LOHMANN,5,FALSE)</f>
        <v>4.4800000000000013</v>
      </c>
      <c r="O134" s="132">
        <f t="shared" si="606"/>
        <v>4.1090507366188938</v>
      </c>
      <c r="P134" s="142"/>
      <c r="Q134" s="14">
        <f t="shared" ref="Q134:Q138" si="1056">VLOOKUP($C134,LOHMANN,6,FALSE)</f>
        <v>79</v>
      </c>
      <c r="R134" s="442">
        <f t="shared" si="877"/>
        <v>0</v>
      </c>
      <c r="S134" s="470">
        <f t="shared" si="650"/>
        <v>3520.2686172807612</v>
      </c>
      <c r="T134" s="51">
        <f t="shared" ref="T134:T138" si="1057">VLOOKUP($C134,LOHMANN,2,FALSE)</f>
        <v>1257</v>
      </c>
      <c r="U134" s="103">
        <f t="shared" ref="U134:U138" si="1058">U133</f>
        <v>0</v>
      </c>
      <c r="V134" s="46">
        <f t="shared" si="608"/>
        <v>1257</v>
      </c>
      <c r="W134" s="51">
        <f t="shared" si="878"/>
        <v>86</v>
      </c>
      <c r="X134" s="103">
        <f t="shared" ref="X134:X138" si="1059">X133</f>
        <v>0</v>
      </c>
      <c r="Y134" s="46">
        <f t="shared" si="610"/>
        <v>86</v>
      </c>
      <c r="Z134" s="487"/>
      <c r="AA134" s="120">
        <v>1</v>
      </c>
      <c r="AB134" s="7">
        <f t="shared" ref="AB134:AB138" si="1060">AB133</f>
        <v>18</v>
      </c>
      <c r="AC134" s="133"/>
      <c r="AD134" s="48">
        <f t="shared" si="879"/>
        <v>59287</v>
      </c>
      <c r="AE134" s="196">
        <f t="shared" si="966"/>
        <v>59287</v>
      </c>
      <c r="AF134" s="134"/>
      <c r="AG134" s="135"/>
      <c r="AH134" s="135"/>
      <c r="AI134" s="13">
        <f t="shared" si="889"/>
        <v>0</v>
      </c>
      <c r="AJ134" s="14">
        <f t="shared" si="910"/>
        <v>6432</v>
      </c>
      <c r="AK134" s="14">
        <f t="shared" ref="AK134:AK138" si="1061">VLOOKUP($C134,LOHMANN,4,FALSE)</f>
        <v>0.16</v>
      </c>
      <c r="AL134" s="47">
        <f t="shared" si="613"/>
        <v>0</v>
      </c>
      <c r="AM134" s="35">
        <f t="shared" ref="AM134:AM138" si="1062">VLOOKUP($C134,LOHMANN,5,FALSE)</f>
        <v>4.4800000000000013</v>
      </c>
      <c r="AN134" s="157">
        <f t="shared" si="659"/>
        <v>4.1990912414477464</v>
      </c>
      <c r="AO134" s="134"/>
      <c r="AP134" s="14">
        <f t="shared" ref="AP134:AP138" si="1063">VLOOKUP($C134,LOHMANN,6,FALSE)</f>
        <v>79</v>
      </c>
      <c r="AQ134" s="442">
        <f t="shared" si="614"/>
        <v>0</v>
      </c>
      <c r="AR134" s="470">
        <f t="shared" si="799"/>
        <v>3681.7427283987504</v>
      </c>
      <c r="AS134" s="51">
        <f t="shared" ref="AS134:AS138" si="1064">VLOOKUP($C134,LOHMANN,2,FALSE)</f>
        <v>1257</v>
      </c>
      <c r="AT134" s="103">
        <f t="shared" ref="AT134:AT138" si="1065">AT133</f>
        <v>0</v>
      </c>
      <c r="AU134" s="46">
        <f t="shared" si="736"/>
        <v>1257</v>
      </c>
      <c r="AV134" s="51">
        <f t="shared" ref="AV134:AV138" si="1066">VLOOKUP(AB134,LOHMANN,3,FALSE)</f>
        <v>86</v>
      </c>
      <c r="AW134" s="103">
        <f t="shared" ref="AW134:AW138" si="1067">AW133</f>
        <v>0</v>
      </c>
      <c r="AX134" s="46">
        <f t="shared" si="660"/>
        <v>86</v>
      </c>
      <c r="AZ134" s="120">
        <v>1</v>
      </c>
      <c r="BA134" s="7">
        <f t="shared" ref="BA134:BA138" si="1068">BA133</f>
        <v>18</v>
      </c>
      <c r="BB134" s="133"/>
      <c r="BC134" s="48">
        <f t="shared" si="967"/>
        <v>65336</v>
      </c>
      <c r="BD134" s="196">
        <f t="shared" si="968"/>
        <v>65336</v>
      </c>
      <c r="BE134" s="134"/>
      <c r="BF134" s="135"/>
      <c r="BG134" s="135"/>
      <c r="BH134" s="13">
        <f t="shared" si="893"/>
        <v>0</v>
      </c>
      <c r="BI134" s="14">
        <f t="shared" si="912"/>
        <v>1255</v>
      </c>
      <c r="BJ134" s="14">
        <f t="shared" ref="BJ134:BJ138" si="1069">VLOOKUP($C134,LOHMANN,4,FALSE)</f>
        <v>0.16</v>
      </c>
      <c r="BK134" s="47">
        <f t="shared" si="646"/>
        <v>0</v>
      </c>
      <c r="BL134" s="35">
        <f t="shared" ref="BL134:BL138" si="1070">VLOOKUP($C134,LOHMANN,5,FALSE)</f>
        <v>4.4800000000000013</v>
      </c>
      <c r="BM134" s="132">
        <f t="shared" si="840"/>
        <v>1.757703081232493</v>
      </c>
      <c r="BN134" s="134"/>
      <c r="BO134" s="14">
        <f t="shared" ref="BO134:BO138" si="1071">VLOOKUP($C134,LOHMANN,6,FALSE)</f>
        <v>79</v>
      </c>
      <c r="BP134" s="442">
        <f t="shared" si="647"/>
        <v>0</v>
      </c>
      <c r="BQ134" s="747">
        <f t="shared" si="651"/>
        <v>3487.7310117165239</v>
      </c>
      <c r="BR134" s="51">
        <f t="shared" ref="BR134:BR138" si="1072">VLOOKUP($C134,LOHMANN,2,FALSE)</f>
        <v>1257</v>
      </c>
      <c r="BS134" s="103">
        <f t="shared" ref="BS134:BS138" si="1073">BS133</f>
        <v>0</v>
      </c>
      <c r="BT134" s="46">
        <f t="shared" si="737"/>
        <v>1257</v>
      </c>
      <c r="BU134" s="51">
        <f t="shared" ref="BU134:BU138" si="1074">VLOOKUP(BA134,LOHMANN,3,FALSE)</f>
        <v>86</v>
      </c>
      <c r="BV134" s="103">
        <f t="shared" ref="BV134:BV138" si="1075">BV133</f>
        <v>0</v>
      </c>
      <c r="BW134" s="46">
        <f t="shared" si="661"/>
        <v>86</v>
      </c>
      <c r="BY134" s="120">
        <v>1</v>
      </c>
      <c r="BZ134" s="7">
        <f t="shared" ref="BZ134:BZ138" si="1076">BZ133</f>
        <v>18</v>
      </c>
      <c r="CA134" s="133"/>
      <c r="CB134" s="48">
        <f t="shared" si="662"/>
        <v>14583</v>
      </c>
      <c r="CC134" s="196">
        <f t="shared" si="682"/>
        <v>14583</v>
      </c>
      <c r="CD134" s="134"/>
      <c r="CE134" s="135"/>
      <c r="CF134" s="135"/>
      <c r="CG134" s="13">
        <f t="shared" si="683"/>
        <v>0</v>
      </c>
      <c r="CH134" s="14">
        <f t="shared" si="663"/>
        <v>73</v>
      </c>
      <c r="CI134" s="14">
        <f t="shared" ref="CI134:CI138" si="1077">VLOOKUP($C134,LOHMANN,4,FALSE)</f>
        <v>0.16</v>
      </c>
      <c r="CJ134" s="47">
        <f t="shared" si="782"/>
        <v>0</v>
      </c>
      <c r="CK134" s="35">
        <f t="shared" ref="CK134:CK138" si="1078">VLOOKUP($C134,LOHMANN,5,FALSE)</f>
        <v>4.4800000000000013</v>
      </c>
      <c r="CL134" s="157">
        <f t="shared" si="783"/>
        <v>0.49808951965065501</v>
      </c>
      <c r="CM134" s="134"/>
      <c r="CN134" s="14">
        <f t="shared" ref="CN134:CN138" si="1079">VLOOKUP($C134,LOHMANN,6,FALSE)</f>
        <v>79</v>
      </c>
      <c r="CO134" s="442">
        <f t="shared" si="784"/>
        <v>0</v>
      </c>
      <c r="CP134" s="68">
        <f t="shared" si="649"/>
        <v>1975.2862203652064</v>
      </c>
      <c r="CQ134" s="51">
        <f t="shared" ref="CQ134:CQ138" si="1080">VLOOKUP($C134,LOHMANN,2,FALSE)</f>
        <v>1257</v>
      </c>
      <c r="CR134" s="103">
        <f t="shared" ref="CR134:CR138" si="1081">CR133</f>
        <v>0</v>
      </c>
      <c r="CS134" s="46">
        <f t="shared" si="738"/>
        <v>1257</v>
      </c>
      <c r="CT134" s="51">
        <f t="shared" ref="CT134:CT138" si="1082">VLOOKUP(BZ134,LOHMANN,3,FALSE)</f>
        <v>86</v>
      </c>
      <c r="CU134" s="103">
        <f t="shared" ref="CU134:CU138" si="1083">CU133</f>
        <v>0</v>
      </c>
      <c r="CV134" s="46">
        <f t="shared" si="625"/>
        <v>86</v>
      </c>
      <c r="CX134" s="120">
        <v>1</v>
      </c>
      <c r="CY134" s="7">
        <f t="shared" ref="CY134:CY138" si="1084">CY133</f>
        <v>18</v>
      </c>
      <c r="CZ134" s="133"/>
      <c r="DA134" s="48">
        <f t="shared" si="925"/>
        <v>14671</v>
      </c>
      <c r="DB134" s="196">
        <f t="shared" si="969"/>
        <v>14671</v>
      </c>
      <c r="DC134" s="134"/>
      <c r="DD134" s="135"/>
      <c r="DE134" s="135"/>
      <c r="DF134" s="13">
        <f t="shared" si="684"/>
        <v>0</v>
      </c>
      <c r="DG134" s="14">
        <f t="shared" si="1046"/>
        <v>56</v>
      </c>
      <c r="DH134" s="14">
        <f t="shared" ref="DH134:DH138" si="1085">VLOOKUP($C134,LOHMANN,4,FALSE)</f>
        <v>0.16</v>
      </c>
      <c r="DI134" s="47">
        <f t="shared" si="785"/>
        <v>0</v>
      </c>
      <c r="DJ134" s="35">
        <f t="shared" ref="DJ134:DJ138" si="1086">VLOOKUP($C134,LOHMANN,5,FALSE)</f>
        <v>4.4800000000000013</v>
      </c>
      <c r="DK134" s="157">
        <f t="shared" si="786"/>
        <v>0.38035726414453574</v>
      </c>
      <c r="DL134" s="134"/>
      <c r="DM134" s="14">
        <f t="shared" ref="DM134:DM138" si="1087">VLOOKUP($C134,LOHMANN,6,FALSE)</f>
        <v>79</v>
      </c>
      <c r="DN134" s="442">
        <f t="shared" si="787"/>
        <v>0</v>
      </c>
      <c r="DO134" s="68">
        <f t="shared" si="666"/>
        <v>2052.9886076744156</v>
      </c>
      <c r="DP134" s="51">
        <f t="shared" ref="DP134:DP138" si="1088">VLOOKUP($C134,LOHMANN,2,FALSE)</f>
        <v>1257</v>
      </c>
      <c r="DQ134" s="103">
        <f t="shared" ref="DQ134:DQ138" si="1089">DQ133</f>
        <v>0</v>
      </c>
      <c r="DR134" s="46">
        <f t="shared" si="739"/>
        <v>1257</v>
      </c>
      <c r="DS134" s="51">
        <f t="shared" ref="DS134:DS138" si="1090">VLOOKUP(CY134,LOHMANN,3,FALSE)</f>
        <v>86</v>
      </c>
      <c r="DT134" s="103">
        <f t="shared" ref="DT134:DT138" si="1091">DT133</f>
        <v>0</v>
      </c>
      <c r="DU134" s="46">
        <f t="shared" si="654"/>
        <v>86</v>
      </c>
      <c r="DW134" s="120">
        <v>1</v>
      </c>
      <c r="DX134" s="7">
        <f t="shared" ref="DX134:DX138" si="1092">DX133</f>
        <v>18</v>
      </c>
      <c r="DY134" s="133"/>
      <c r="DZ134" s="48">
        <f t="shared" si="926"/>
        <v>14466</v>
      </c>
      <c r="EA134" s="196">
        <f t="shared" si="970"/>
        <v>14466</v>
      </c>
      <c r="EB134" s="134"/>
      <c r="EC134" s="135"/>
      <c r="ED134" s="135"/>
      <c r="EE134" s="13">
        <f t="shared" si="686"/>
        <v>0</v>
      </c>
      <c r="EF134" s="14">
        <f t="shared" si="1047"/>
        <v>81</v>
      </c>
      <c r="EG134" s="14">
        <f t="shared" ref="EG134:EG138" si="1093">VLOOKUP($C134,LOHMANN,4,FALSE)</f>
        <v>0.16</v>
      </c>
      <c r="EH134" s="47">
        <f t="shared" si="788"/>
        <v>0</v>
      </c>
      <c r="EI134" s="35">
        <f t="shared" ref="EI134:EI138" si="1094">VLOOKUP($C134,LOHMANN,5,FALSE)</f>
        <v>4.4800000000000013</v>
      </c>
      <c r="EJ134" s="157">
        <f t="shared" si="800"/>
        <v>0.55708390646492434</v>
      </c>
      <c r="EK134" s="134"/>
      <c r="EL134" s="14">
        <f t="shared" ref="EL134:EL138" si="1095">VLOOKUP($C134,LOHMANN,6,FALSE)</f>
        <v>79</v>
      </c>
      <c r="EM134" s="442">
        <f t="shared" si="789"/>
        <v>0</v>
      </c>
      <c r="EN134" s="68">
        <f t="shared" si="669"/>
        <v>2297.0468525697056</v>
      </c>
      <c r="EO134" s="51">
        <f t="shared" ref="EO134:EO138" si="1096">VLOOKUP($C134,LOHMANN,2,FALSE)</f>
        <v>1257</v>
      </c>
      <c r="EP134" s="103">
        <f t="shared" ref="EP134:EP138" si="1097">EP133</f>
        <v>0</v>
      </c>
      <c r="EQ134" s="46">
        <f t="shared" si="740"/>
        <v>1257</v>
      </c>
      <c r="ER134" s="51">
        <f t="shared" ref="ER134:ER138" si="1098">VLOOKUP(DX134,LOHMANN,3,FALSE)</f>
        <v>86</v>
      </c>
      <c r="ES134" s="103">
        <f t="shared" ref="ES134:ES138" si="1099">ES133</f>
        <v>0</v>
      </c>
      <c r="ET134" s="46">
        <f t="shared" si="655"/>
        <v>86</v>
      </c>
      <c r="EV134" s="120">
        <v>1</v>
      </c>
      <c r="EW134" s="7">
        <f t="shared" ref="EW134:EW138" si="1100">EW133</f>
        <v>18</v>
      </c>
      <c r="EX134" s="133"/>
      <c r="EY134" s="48">
        <f t="shared" si="927"/>
        <v>14167</v>
      </c>
      <c r="EZ134" s="196">
        <f t="shared" si="971"/>
        <v>14167</v>
      </c>
      <c r="FA134" s="134"/>
      <c r="FB134" s="135"/>
      <c r="FC134" s="135"/>
      <c r="FD134" s="13">
        <f t="shared" si="688"/>
        <v>0</v>
      </c>
      <c r="FE134" s="14">
        <f t="shared" si="1048"/>
        <v>71</v>
      </c>
      <c r="FF134" s="14">
        <f t="shared" ref="FF134:FF138" si="1101">VLOOKUP($C134,LOHMANN,4,FALSE)</f>
        <v>0.16</v>
      </c>
      <c r="FG134" s="47">
        <f t="shared" si="790"/>
        <v>0</v>
      </c>
      <c r="FH134" s="35">
        <f t="shared" ref="FH134:FH138" si="1102">VLOOKUP($C134,LOHMANN,5,FALSE)</f>
        <v>4.4800000000000013</v>
      </c>
      <c r="FI134" s="157">
        <f t="shared" si="801"/>
        <v>0.49877063575693714</v>
      </c>
      <c r="FJ134" s="134"/>
      <c r="FK134" s="14">
        <f t="shared" ref="FK134:FK138" si="1103">VLOOKUP($C134,LOHMANN,6,FALSE)</f>
        <v>79</v>
      </c>
      <c r="FL134" s="442">
        <f t="shared" si="792"/>
        <v>0</v>
      </c>
      <c r="FM134" s="68">
        <f t="shared" si="672"/>
        <v>2437.1380235191186</v>
      </c>
      <c r="FN134" s="51">
        <f t="shared" ref="FN134:FN138" si="1104">VLOOKUP($C134,LOHMANN,2,FALSE)</f>
        <v>1257</v>
      </c>
      <c r="FO134" s="103">
        <f t="shared" ref="FO134:FO138" si="1105">FO133</f>
        <v>0</v>
      </c>
      <c r="FP134" s="46">
        <f t="shared" si="741"/>
        <v>1257</v>
      </c>
      <c r="FQ134" s="51">
        <f t="shared" ref="FQ134:FQ138" si="1106">VLOOKUP(EW134,LOHMANN,3,FALSE)</f>
        <v>86</v>
      </c>
      <c r="FR134" s="103">
        <f t="shared" ref="FR134:FR138" si="1107">FR133</f>
        <v>0</v>
      </c>
      <c r="FS134" s="46">
        <f t="shared" si="656"/>
        <v>86</v>
      </c>
      <c r="FU134" s="120">
        <v>1</v>
      </c>
      <c r="FV134" s="7">
        <f t="shared" ref="FV134:FV138" si="1108">FV133</f>
        <v>18</v>
      </c>
      <c r="FW134" s="133"/>
      <c r="FX134" s="48">
        <f t="shared" si="928"/>
        <v>14147</v>
      </c>
      <c r="FY134" s="196">
        <f t="shared" si="972"/>
        <v>14147</v>
      </c>
      <c r="FZ134" s="134"/>
      <c r="GA134" s="135"/>
      <c r="GB134" s="135"/>
      <c r="GC134" s="13">
        <f t="shared" si="690"/>
        <v>0</v>
      </c>
      <c r="GD134" s="14">
        <f t="shared" si="1049"/>
        <v>44</v>
      </c>
      <c r="GE134" s="14">
        <f t="shared" ref="GE134:GE138" si="1109">VLOOKUP($C134,LOHMANN,4,FALSE)</f>
        <v>0.16</v>
      </c>
      <c r="GF134" s="47">
        <f t="shared" si="793"/>
        <v>0</v>
      </c>
      <c r="GG134" s="35">
        <f t="shared" ref="GG134:GG138" si="1110">VLOOKUP($C134,LOHMANN,5,FALSE)</f>
        <v>4.4800000000000013</v>
      </c>
      <c r="GH134" s="157">
        <f t="shared" si="802"/>
        <v>0.31009937275354149</v>
      </c>
      <c r="GI134" s="134"/>
      <c r="GJ134" s="14">
        <f t="shared" ref="GJ134:GJ138" si="1111">VLOOKUP($C134,LOHMANN,6,FALSE)</f>
        <v>79</v>
      </c>
      <c r="GK134" s="442">
        <f t="shared" si="795"/>
        <v>0</v>
      </c>
      <c r="GL134" s="68">
        <f t="shared" si="675"/>
        <v>2115.7658400333685</v>
      </c>
      <c r="GM134" s="51">
        <f t="shared" ref="GM134:GM138" si="1112">VLOOKUP($C134,LOHMANN,2,FALSE)</f>
        <v>1257</v>
      </c>
      <c r="GN134" s="103">
        <f t="shared" ref="GN134:GN138" si="1113">GN133</f>
        <v>0</v>
      </c>
      <c r="GO134" s="46">
        <f t="shared" si="742"/>
        <v>1257</v>
      </c>
      <c r="GP134" s="51">
        <f t="shared" ref="GP134:GP138" si="1114">VLOOKUP(FV134,LOHMANN,3,FALSE)</f>
        <v>86</v>
      </c>
      <c r="GQ134" s="103">
        <f t="shared" ref="GQ134:GQ138" si="1115">GQ133</f>
        <v>0</v>
      </c>
      <c r="GR134" s="46">
        <f t="shared" si="657"/>
        <v>86</v>
      </c>
      <c r="GT134" s="120">
        <v>1</v>
      </c>
      <c r="GU134" s="7">
        <f t="shared" ref="GU134:GU138" si="1116">GU133</f>
        <v>18</v>
      </c>
      <c r="GV134" s="133"/>
      <c r="GW134" s="48">
        <f t="shared" si="929"/>
        <v>9146</v>
      </c>
      <c r="GX134" s="196">
        <f t="shared" si="973"/>
        <v>9146</v>
      </c>
      <c r="GY134" s="134"/>
      <c r="GZ134" s="135"/>
      <c r="HA134" s="135"/>
      <c r="HB134" s="13">
        <f t="shared" si="692"/>
        <v>0</v>
      </c>
      <c r="HC134" s="14">
        <f t="shared" si="1050"/>
        <v>36</v>
      </c>
      <c r="HD134" s="14">
        <f t="shared" ref="HD134:HD138" si="1117">VLOOKUP($C134,LOHMANN,4,FALSE)</f>
        <v>0.16</v>
      </c>
      <c r="HE134" s="47">
        <f t="shared" si="796"/>
        <v>0</v>
      </c>
      <c r="HF134" s="35">
        <f t="shared" ref="HF134:HF138" si="1118">VLOOKUP($C134,LOHMANN,5,FALSE)</f>
        <v>4.4800000000000013</v>
      </c>
      <c r="HG134" s="157">
        <f t="shared" si="803"/>
        <v>0.3920714441298192</v>
      </c>
      <c r="HH134" s="134"/>
      <c r="HI134" s="14">
        <f t="shared" ref="HI134:HI138" si="1119">VLOOKUP($C134,LOHMANN,6,FALSE)</f>
        <v>79</v>
      </c>
      <c r="HJ134" s="442">
        <f t="shared" si="798"/>
        <v>0</v>
      </c>
      <c r="HK134" s="68">
        <f t="shared" si="678"/>
        <v>2261.5830127780196</v>
      </c>
      <c r="HL134" s="51">
        <f t="shared" ref="HL134:HL138" si="1120">VLOOKUP($C134,LOHMANN,2,FALSE)</f>
        <v>1257</v>
      </c>
      <c r="HM134" s="103">
        <f t="shared" ref="HM134:HM138" si="1121">HM133</f>
        <v>0</v>
      </c>
      <c r="HN134" s="46">
        <f t="shared" si="743"/>
        <v>1257</v>
      </c>
      <c r="HO134" s="51">
        <f t="shared" ref="HO134:HO138" si="1122">VLOOKUP(GU134,LOHMANN,3,FALSE)</f>
        <v>86</v>
      </c>
      <c r="HP134" s="103">
        <f t="shared" ref="HP134:HP138" si="1123">HP133</f>
        <v>0</v>
      </c>
      <c r="HQ134" s="46">
        <f t="shared" si="658"/>
        <v>86</v>
      </c>
    </row>
    <row r="135" spans="2:225" ht="17.25" thickBot="1" x14ac:dyDescent="0.3">
      <c r="B135" s="120">
        <f>B134+1</f>
        <v>2</v>
      </c>
      <c r="C135" s="570">
        <f t="shared" si="1052"/>
        <v>18</v>
      </c>
      <c r="D135" s="133"/>
      <c r="E135" s="408">
        <f t="shared" si="696"/>
        <v>68543</v>
      </c>
      <c r="F135" s="562">
        <f t="shared" si="1053"/>
        <v>68543</v>
      </c>
      <c r="G135" s="134"/>
      <c r="H135" s="135"/>
      <c r="I135" s="135"/>
      <c r="J135" s="14">
        <f t="shared" si="1051"/>
        <v>0</v>
      </c>
      <c r="K135" s="14">
        <f t="shared" ref="K135:K138" si="1124">K134+J135</f>
        <v>5542</v>
      </c>
      <c r="L135" s="14">
        <f t="shared" si="1054"/>
        <v>0.16</v>
      </c>
      <c r="M135" s="47">
        <f t="shared" ref="M135:M138" si="1125">IFERROR((J135*100)/E135,0)</f>
        <v>0</v>
      </c>
      <c r="N135" s="35">
        <f t="shared" si="1055"/>
        <v>4.4800000000000013</v>
      </c>
      <c r="O135" s="132">
        <f t="shared" ref="O135:O137" si="1126">IFERROR((K135*100)/$D$12,0)</f>
        <v>4.1090507366188938</v>
      </c>
      <c r="P135" s="142"/>
      <c r="Q135" s="14">
        <f t="shared" si="1056"/>
        <v>79</v>
      </c>
      <c r="R135" s="442">
        <f t="shared" si="877"/>
        <v>0</v>
      </c>
      <c r="S135" s="470">
        <f t="shared" si="650"/>
        <v>3520.2686172807612</v>
      </c>
      <c r="T135" s="51">
        <f t="shared" si="1057"/>
        <v>1257</v>
      </c>
      <c r="U135" s="103">
        <f t="shared" si="1058"/>
        <v>0</v>
      </c>
      <c r="V135" s="46">
        <f t="shared" ref="V135:V138" si="1127">T135-U135</f>
        <v>1257</v>
      </c>
      <c r="W135" s="51">
        <f t="shared" si="878"/>
        <v>86</v>
      </c>
      <c r="X135" s="103">
        <f t="shared" si="1059"/>
        <v>0</v>
      </c>
      <c r="Y135" s="46">
        <f t="shared" ref="Y135:Y138" si="1128">W135-X135</f>
        <v>86</v>
      </c>
      <c r="Z135" s="487"/>
      <c r="AA135" s="120">
        <f t="shared" ref="AA135:AA138" si="1129">AA134+1</f>
        <v>2</v>
      </c>
      <c r="AB135" s="7">
        <f t="shared" si="1060"/>
        <v>18</v>
      </c>
      <c r="AC135" s="133"/>
      <c r="AD135" s="48">
        <f t="shared" si="879"/>
        <v>59287</v>
      </c>
      <c r="AE135" s="196">
        <f t="shared" si="966"/>
        <v>59287</v>
      </c>
      <c r="AF135" s="134"/>
      <c r="AG135" s="135"/>
      <c r="AH135" s="135"/>
      <c r="AI135" s="14">
        <f t="shared" si="889"/>
        <v>0</v>
      </c>
      <c r="AJ135" s="14">
        <f t="shared" si="910"/>
        <v>6432</v>
      </c>
      <c r="AK135" s="14">
        <f t="shared" si="1061"/>
        <v>0.16</v>
      </c>
      <c r="AL135" s="47">
        <f t="shared" ref="AL135:AL138" si="1130">IFERROR((AI135*100)/AD135,0)</f>
        <v>0</v>
      </c>
      <c r="AM135" s="35">
        <f t="shared" si="1062"/>
        <v>4.4800000000000013</v>
      </c>
      <c r="AN135" s="157">
        <f t="shared" si="659"/>
        <v>4.1990912414477464</v>
      </c>
      <c r="AO135" s="134"/>
      <c r="AP135" s="14">
        <f t="shared" si="1063"/>
        <v>79</v>
      </c>
      <c r="AQ135" s="442">
        <f t="shared" ref="AQ135:AQ138" si="1131">IFERROR((AO135/AD135)*1000,0)</f>
        <v>0</v>
      </c>
      <c r="AR135" s="470">
        <f t="shared" si="799"/>
        <v>3681.7427283987504</v>
      </c>
      <c r="AS135" s="51">
        <f t="shared" si="1064"/>
        <v>1257</v>
      </c>
      <c r="AT135" s="103">
        <f t="shared" si="1065"/>
        <v>0</v>
      </c>
      <c r="AU135" s="46">
        <f t="shared" si="736"/>
        <v>1257</v>
      </c>
      <c r="AV135" s="51">
        <f t="shared" si="1066"/>
        <v>86</v>
      </c>
      <c r="AW135" s="103">
        <f t="shared" si="1067"/>
        <v>0</v>
      </c>
      <c r="AX135" s="46">
        <f t="shared" si="660"/>
        <v>86</v>
      </c>
      <c r="AZ135" s="120">
        <f t="shared" ref="AZ135:AZ138" si="1132">AZ134+1</f>
        <v>2</v>
      </c>
      <c r="BA135" s="7">
        <f t="shared" si="1068"/>
        <v>18</v>
      </c>
      <c r="BB135" s="133"/>
      <c r="BC135" s="48">
        <f t="shared" si="967"/>
        <v>65336</v>
      </c>
      <c r="BD135" s="196">
        <f t="shared" si="968"/>
        <v>65336</v>
      </c>
      <c r="BE135" s="134"/>
      <c r="BF135" s="135"/>
      <c r="BG135" s="135"/>
      <c r="BH135" s="14">
        <f t="shared" si="893"/>
        <v>0</v>
      </c>
      <c r="BI135" s="14">
        <f t="shared" si="912"/>
        <v>1255</v>
      </c>
      <c r="BJ135" s="14">
        <f t="shared" si="1069"/>
        <v>0.16</v>
      </c>
      <c r="BK135" s="47">
        <f t="shared" si="646"/>
        <v>0</v>
      </c>
      <c r="BL135" s="35">
        <f t="shared" si="1070"/>
        <v>4.4800000000000013</v>
      </c>
      <c r="BM135" s="132">
        <f t="shared" si="840"/>
        <v>1.757703081232493</v>
      </c>
      <c r="BN135" s="134"/>
      <c r="BO135" s="14">
        <f t="shared" si="1071"/>
        <v>79</v>
      </c>
      <c r="BP135" s="442">
        <f t="shared" si="647"/>
        <v>0</v>
      </c>
      <c r="BQ135" s="747">
        <f t="shared" si="651"/>
        <v>3487.7310117165239</v>
      </c>
      <c r="BR135" s="51">
        <f t="shared" si="1072"/>
        <v>1257</v>
      </c>
      <c r="BS135" s="103">
        <f t="shared" si="1073"/>
        <v>0</v>
      </c>
      <c r="BT135" s="46">
        <f t="shared" si="737"/>
        <v>1257</v>
      </c>
      <c r="BU135" s="51">
        <f t="shared" si="1074"/>
        <v>86</v>
      </c>
      <c r="BV135" s="103">
        <f t="shared" si="1075"/>
        <v>0</v>
      </c>
      <c r="BW135" s="46">
        <f t="shared" si="661"/>
        <v>86</v>
      </c>
      <c r="BY135" s="120">
        <f t="shared" ref="BY135:BY138" si="1133">BY134+1</f>
        <v>2</v>
      </c>
      <c r="BZ135" s="7">
        <f t="shared" si="1076"/>
        <v>18</v>
      </c>
      <c r="CA135" s="133"/>
      <c r="CB135" s="48">
        <f t="shared" si="662"/>
        <v>14583</v>
      </c>
      <c r="CC135" s="196">
        <f t="shared" si="682"/>
        <v>14583</v>
      </c>
      <c r="CD135" s="134"/>
      <c r="CE135" s="135"/>
      <c r="CF135" s="135"/>
      <c r="CG135" s="14">
        <f t="shared" si="683"/>
        <v>0</v>
      </c>
      <c r="CH135" s="14">
        <f t="shared" si="663"/>
        <v>73</v>
      </c>
      <c r="CI135" s="14">
        <f t="shared" si="1077"/>
        <v>0.16</v>
      </c>
      <c r="CJ135" s="47">
        <f t="shared" si="782"/>
        <v>0</v>
      </c>
      <c r="CK135" s="35">
        <f t="shared" si="1078"/>
        <v>4.4800000000000013</v>
      </c>
      <c r="CL135" s="157">
        <f t="shared" si="783"/>
        <v>0.49808951965065501</v>
      </c>
      <c r="CM135" s="134"/>
      <c r="CN135" s="14">
        <f t="shared" si="1079"/>
        <v>79</v>
      </c>
      <c r="CO135" s="442">
        <f t="shared" si="784"/>
        <v>0</v>
      </c>
      <c r="CP135" s="68">
        <f t="shared" si="649"/>
        <v>1975.2862203652064</v>
      </c>
      <c r="CQ135" s="51">
        <f t="shared" si="1080"/>
        <v>1257</v>
      </c>
      <c r="CR135" s="103">
        <f t="shared" si="1081"/>
        <v>0</v>
      </c>
      <c r="CS135" s="46">
        <f t="shared" si="738"/>
        <v>1257</v>
      </c>
      <c r="CT135" s="51">
        <f t="shared" si="1082"/>
        <v>86</v>
      </c>
      <c r="CU135" s="103">
        <f t="shared" si="1083"/>
        <v>0</v>
      </c>
      <c r="CV135" s="46">
        <f t="shared" ref="CV135:CV138" si="1134">CT135-CU135</f>
        <v>86</v>
      </c>
      <c r="CX135" s="120">
        <f t="shared" ref="CX135:CX138" si="1135">CX134+1</f>
        <v>2</v>
      </c>
      <c r="CY135" s="7">
        <f t="shared" si="1084"/>
        <v>18</v>
      </c>
      <c r="CZ135" s="133"/>
      <c r="DA135" s="48">
        <f t="shared" si="925"/>
        <v>14671</v>
      </c>
      <c r="DB135" s="196">
        <f t="shared" si="969"/>
        <v>14671</v>
      </c>
      <c r="DC135" s="134"/>
      <c r="DD135" s="135"/>
      <c r="DE135" s="135"/>
      <c r="DF135" s="14">
        <f t="shared" si="684"/>
        <v>0</v>
      </c>
      <c r="DG135" s="14">
        <f t="shared" si="1046"/>
        <v>56</v>
      </c>
      <c r="DH135" s="14">
        <f t="shared" si="1085"/>
        <v>0.16</v>
      </c>
      <c r="DI135" s="47">
        <f t="shared" si="785"/>
        <v>0</v>
      </c>
      <c r="DJ135" s="35">
        <f t="shared" si="1086"/>
        <v>4.4800000000000013</v>
      </c>
      <c r="DK135" s="157">
        <f t="shared" si="786"/>
        <v>0.38035726414453574</v>
      </c>
      <c r="DL135" s="134"/>
      <c r="DM135" s="14">
        <f t="shared" si="1087"/>
        <v>79</v>
      </c>
      <c r="DN135" s="442">
        <f t="shared" si="787"/>
        <v>0</v>
      </c>
      <c r="DO135" s="68">
        <f t="shared" si="666"/>
        <v>2052.9886076744156</v>
      </c>
      <c r="DP135" s="51">
        <f t="shared" si="1088"/>
        <v>1257</v>
      </c>
      <c r="DQ135" s="103">
        <f t="shared" si="1089"/>
        <v>0</v>
      </c>
      <c r="DR135" s="46">
        <f t="shared" si="739"/>
        <v>1257</v>
      </c>
      <c r="DS135" s="51">
        <f t="shared" si="1090"/>
        <v>86</v>
      </c>
      <c r="DT135" s="103">
        <f t="shared" si="1091"/>
        <v>0</v>
      </c>
      <c r="DU135" s="46">
        <f t="shared" si="654"/>
        <v>86</v>
      </c>
      <c r="DW135" s="120">
        <f t="shared" ref="DW135:DW138" si="1136">DW134+1</f>
        <v>2</v>
      </c>
      <c r="DX135" s="7">
        <f t="shared" si="1092"/>
        <v>18</v>
      </c>
      <c r="DY135" s="133"/>
      <c r="DZ135" s="48">
        <f t="shared" si="926"/>
        <v>14466</v>
      </c>
      <c r="EA135" s="196">
        <f t="shared" si="970"/>
        <v>14466</v>
      </c>
      <c r="EB135" s="134"/>
      <c r="EC135" s="135"/>
      <c r="ED135" s="135"/>
      <c r="EE135" s="14">
        <f t="shared" si="686"/>
        <v>0</v>
      </c>
      <c r="EF135" s="14">
        <f t="shared" si="1047"/>
        <v>81</v>
      </c>
      <c r="EG135" s="14">
        <f t="shared" si="1093"/>
        <v>0.16</v>
      </c>
      <c r="EH135" s="47">
        <f t="shared" si="788"/>
        <v>0</v>
      </c>
      <c r="EI135" s="35">
        <f t="shared" si="1094"/>
        <v>4.4800000000000013</v>
      </c>
      <c r="EJ135" s="157">
        <f t="shared" si="800"/>
        <v>0.55708390646492434</v>
      </c>
      <c r="EK135" s="134"/>
      <c r="EL135" s="14">
        <f t="shared" si="1095"/>
        <v>79</v>
      </c>
      <c r="EM135" s="442">
        <f t="shared" si="789"/>
        <v>0</v>
      </c>
      <c r="EN135" s="68">
        <f t="shared" si="669"/>
        <v>2297.0468525697056</v>
      </c>
      <c r="EO135" s="51">
        <f t="shared" si="1096"/>
        <v>1257</v>
      </c>
      <c r="EP135" s="103">
        <f t="shared" si="1097"/>
        <v>0</v>
      </c>
      <c r="EQ135" s="46">
        <f t="shared" si="740"/>
        <v>1257</v>
      </c>
      <c r="ER135" s="51">
        <f t="shared" si="1098"/>
        <v>86</v>
      </c>
      <c r="ES135" s="103">
        <f t="shared" si="1099"/>
        <v>0</v>
      </c>
      <c r="ET135" s="46">
        <f t="shared" si="655"/>
        <v>86</v>
      </c>
      <c r="EV135" s="120">
        <f t="shared" ref="EV135:EV138" si="1137">EV134+1</f>
        <v>2</v>
      </c>
      <c r="EW135" s="7">
        <f t="shared" si="1100"/>
        <v>18</v>
      </c>
      <c r="EX135" s="133"/>
      <c r="EY135" s="48">
        <f t="shared" si="927"/>
        <v>14167</v>
      </c>
      <c r="EZ135" s="196">
        <f t="shared" si="971"/>
        <v>14167</v>
      </c>
      <c r="FA135" s="134"/>
      <c r="FB135" s="135"/>
      <c r="FC135" s="135"/>
      <c r="FD135" s="14">
        <f t="shared" si="688"/>
        <v>0</v>
      </c>
      <c r="FE135" s="14">
        <f t="shared" si="1048"/>
        <v>71</v>
      </c>
      <c r="FF135" s="14">
        <f t="shared" si="1101"/>
        <v>0.16</v>
      </c>
      <c r="FG135" s="47">
        <f t="shared" si="790"/>
        <v>0</v>
      </c>
      <c r="FH135" s="35">
        <f t="shared" si="1102"/>
        <v>4.4800000000000013</v>
      </c>
      <c r="FI135" s="157">
        <f t="shared" si="801"/>
        <v>0.49877063575693714</v>
      </c>
      <c r="FJ135" s="134"/>
      <c r="FK135" s="14">
        <f t="shared" si="1103"/>
        <v>79</v>
      </c>
      <c r="FL135" s="442">
        <f t="shared" si="792"/>
        <v>0</v>
      </c>
      <c r="FM135" s="68">
        <f t="shared" si="672"/>
        <v>2437.1380235191186</v>
      </c>
      <c r="FN135" s="51">
        <f t="shared" si="1104"/>
        <v>1257</v>
      </c>
      <c r="FO135" s="103">
        <f t="shared" si="1105"/>
        <v>0</v>
      </c>
      <c r="FP135" s="46">
        <f t="shared" si="741"/>
        <v>1257</v>
      </c>
      <c r="FQ135" s="51">
        <f t="shared" si="1106"/>
        <v>86</v>
      </c>
      <c r="FR135" s="103">
        <f t="shared" si="1107"/>
        <v>0</v>
      </c>
      <c r="FS135" s="46">
        <f t="shared" si="656"/>
        <v>86</v>
      </c>
      <c r="FU135" s="120">
        <f t="shared" ref="FU135:FU138" si="1138">FU134+1</f>
        <v>2</v>
      </c>
      <c r="FV135" s="7">
        <f t="shared" si="1108"/>
        <v>18</v>
      </c>
      <c r="FW135" s="133"/>
      <c r="FX135" s="48">
        <f t="shared" si="928"/>
        <v>14147</v>
      </c>
      <c r="FY135" s="196">
        <f t="shared" si="972"/>
        <v>14147</v>
      </c>
      <c r="FZ135" s="134"/>
      <c r="GA135" s="135"/>
      <c r="GB135" s="135"/>
      <c r="GC135" s="14">
        <f t="shared" si="690"/>
        <v>0</v>
      </c>
      <c r="GD135" s="14">
        <f t="shared" si="1049"/>
        <v>44</v>
      </c>
      <c r="GE135" s="14">
        <f t="shared" si="1109"/>
        <v>0.16</v>
      </c>
      <c r="GF135" s="47">
        <f t="shared" si="793"/>
        <v>0</v>
      </c>
      <c r="GG135" s="35">
        <f t="shared" si="1110"/>
        <v>4.4800000000000013</v>
      </c>
      <c r="GH135" s="157">
        <f t="shared" si="802"/>
        <v>0.31009937275354149</v>
      </c>
      <c r="GI135" s="134"/>
      <c r="GJ135" s="14">
        <f t="shared" si="1111"/>
        <v>79</v>
      </c>
      <c r="GK135" s="442">
        <f t="shared" si="795"/>
        <v>0</v>
      </c>
      <c r="GL135" s="68">
        <f t="shared" si="675"/>
        <v>2115.7658400333685</v>
      </c>
      <c r="GM135" s="51">
        <f t="shared" si="1112"/>
        <v>1257</v>
      </c>
      <c r="GN135" s="103">
        <f t="shared" si="1113"/>
        <v>0</v>
      </c>
      <c r="GO135" s="46">
        <f t="shared" si="742"/>
        <v>1257</v>
      </c>
      <c r="GP135" s="51">
        <f t="shared" si="1114"/>
        <v>86</v>
      </c>
      <c r="GQ135" s="103">
        <f t="shared" si="1115"/>
        <v>0</v>
      </c>
      <c r="GR135" s="46">
        <f t="shared" si="657"/>
        <v>86</v>
      </c>
      <c r="GT135" s="120">
        <f t="shared" ref="GT135:GT138" si="1139">GT134+1</f>
        <v>2</v>
      </c>
      <c r="GU135" s="7">
        <f t="shared" si="1116"/>
        <v>18</v>
      </c>
      <c r="GV135" s="133"/>
      <c r="GW135" s="48">
        <f t="shared" si="929"/>
        <v>9146</v>
      </c>
      <c r="GX135" s="196">
        <f t="shared" si="973"/>
        <v>9146</v>
      </c>
      <c r="GY135" s="134"/>
      <c r="GZ135" s="135"/>
      <c r="HA135" s="135"/>
      <c r="HB135" s="14">
        <f t="shared" si="692"/>
        <v>0</v>
      </c>
      <c r="HC135" s="14">
        <f t="shared" si="1050"/>
        <v>36</v>
      </c>
      <c r="HD135" s="14">
        <f t="shared" si="1117"/>
        <v>0.16</v>
      </c>
      <c r="HE135" s="47">
        <f t="shared" si="796"/>
        <v>0</v>
      </c>
      <c r="HF135" s="35">
        <f t="shared" si="1118"/>
        <v>4.4800000000000013</v>
      </c>
      <c r="HG135" s="157">
        <f t="shared" si="803"/>
        <v>0.3920714441298192</v>
      </c>
      <c r="HH135" s="134"/>
      <c r="HI135" s="14">
        <f t="shared" si="1119"/>
        <v>79</v>
      </c>
      <c r="HJ135" s="442">
        <f t="shared" si="798"/>
        <v>0</v>
      </c>
      <c r="HK135" s="68">
        <f t="shared" si="678"/>
        <v>2261.5830127780196</v>
      </c>
      <c r="HL135" s="51">
        <f t="shared" si="1120"/>
        <v>1257</v>
      </c>
      <c r="HM135" s="103">
        <f t="shared" si="1121"/>
        <v>0</v>
      </c>
      <c r="HN135" s="46">
        <f t="shared" si="743"/>
        <v>1257</v>
      </c>
      <c r="HO135" s="51">
        <f t="shared" si="1122"/>
        <v>86</v>
      </c>
      <c r="HP135" s="103">
        <f t="shared" si="1123"/>
        <v>0</v>
      </c>
      <c r="HQ135" s="46">
        <f t="shared" si="658"/>
        <v>86</v>
      </c>
    </row>
    <row r="136" spans="2:225" ht="17.25" thickBot="1" x14ac:dyDescent="0.3">
      <c r="B136" s="120">
        <f t="shared" ref="B136:B138" si="1140">B135+1</f>
        <v>3</v>
      </c>
      <c r="C136" s="570">
        <f t="shared" si="1052"/>
        <v>18</v>
      </c>
      <c r="D136" s="133"/>
      <c r="E136" s="408">
        <f t="shared" si="696"/>
        <v>68543</v>
      </c>
      <c r="F136" s="562">
        <f t="shared" si="1053"/>
        <v>68543</v>
      </c>
      <c r="G136" s="134"/>
      <c r="H136" s="135"/>
      <c r="I136" s="135"/>
      <c r="J136" s="31">
        <f t="shared" si="1051"/>
        <v>0</v>
      </c>
      <c r="K136" s="14">
        <f t="shared" si="1124"/>
        <v>5542</v>
      </c>
      <c r="L136" s="14">
        <f t="shared" si="1054"/>
        <v>0.16</v>
      </c>
      <c r="M136" s="47">
        <f t="shared" si="1125"/>
        <v>0</v>
      </c>
      <c r="N136" s="35">
        <f t="shared" si="1055"/>
        <v>4.4800000000000013</v>
      </c>
      <c r="O136" s="132">
        <f t="shared" si="1126"/>
        <v>4.1090507366188938</v>
      </c>
      <c r="P136" s="142"/>
      <c r="Q136" s="14">
        <f t="shared" si="1056"/>
        <v>79</v>
      </c>
      <c r="R136" s="442">
        <f t="shared" si="877"/>
        <v>0</v>
      </c>
      <c r="S136" s="470">
        <f t="shared" si="650"/>
        <v>3520.2686172807612</v>
      </c>
      <c r="T136" s="51">
        <f t="shared" si="1057"/>
        <v>1257</v>
      </c>
      <c r="U136" s="103">
        <f t="shared" si="1058"/>
        <v>0</v>
      </c>
      <c r="V136" s="46">
        <f t="shared" si="1127"/>
        <v>1257</v>
      </c>
      <c r="W136" s="12">
        <f t="shared" si="878"/>
        <v>86</v>
      </c>
      <c r="X136" s="103">
        <f t="shared" si="1059"/>
        <v>0</v>
      </c>
      <c r="Y136" s="46">
        <f t="shared" si="1128"/>
        <v>86</v>
      </c>
      <c r="Z136" s="487"/>
      <c r="AA136" s="120">
        <f t="shared" si="1129"/>
        <v>3</v>
      </c>
      <c r="AB136" s="7">
        <f t="shared" si="1060"/>
        <v>18</v>
      </c>
      <c r="AC136" s="133"/>
      <c r="AD136" s="48">
        <f t="shared" si="879"/>
        <v>59287</v>
      </c>
      <c r="AE136" s="49">
        <f t="shared" si="966"/>
        <v>59287</v>
      </c>
      <c r="AF136" s="134"/>
      <c r="AG136" s="135"/>
      <c r="AH136" s="135"/>
      <c r="AI136" s="31">
        <f t="shared" si="889"/>
        <v>0</v>
      </c>
      <c r="AJ136" s="14">
        <f t="shared" si="910"/>
        <v>6432</v>
      </c>
      <c r="AK136" s="14">
        <f t="shared" si="1061"/>
        <v>0.16</v>
      </c>
      <c r="AL136" s="47">
        <f t="shared" si="1130"/>
        <v>0</v>
      </c>
      <c r="AM136" s="35">
        <f t="shared" si="1062"/>
        <v>4.4800000000000013</v>
      </c>
      <c r="AN136" s="157">
        <f t="shared" si="659"/>
        <v>4.1990912414477464</v>
      </c>
      <c r="AO136" s="134"/>
      <c r="AP136" s="14">
        <f t="shared" si="1063"/>
        <v>79</v>
      </c>
      <c r="AQ136" s="442">
        <f t="shared" si="1131"/>
        <v>0</v>
      </c>
      <c r="AR136" s="470">
        <f t="shared" si="799"/>
        <v>3681.7427283987504</v>
      </c>
      <c r="AS136" s="51">
        <f t="shared" si="1064"/>
        <v>1257</v>
      </c>
      <c r="AT136" s="103">
        <f t="shared" si="1065"/>
        <v>0</v>
      </c>
      <c r="AU136" s="46">
        <f t="shared" si="736"/>
        <v>1257</v>
      </c>
      <c r="AV136" s="12">
        <f t="shared" si="1066"/>
        <v>86</v>
      </c>
      <c r="AW136" s="103">
        <f t="shared" si="1067"/>
        <v>0</v>
      </c>
      <c r="AX136" s="46">
        <f t="shared" si="660"/>
        <v>86</v>
      </c>
      <c r="AZ136" s="120">
        <f t="shared" si="1132"/>
        <v>3</v>
      </c>
      <c r="BA136" s="7">
        <f t="shared" si="1068"/>
        <v>18</v>
      </c>
      <c r="BB136" s="133"/>
      <c r="BC136" s="48">
        <f t="shared" si="967"/>
        <v>65336</v>
      </c>
      <c r="BD136" s="49">
        <f t="shared" si="968"/>
        <v>65336</v>
      </c>
      <c r="BE136" s="134"/>
      <c r="BF136" s="135"/>
      <c r="BG136" s="135"/>
      <c r="BH136" s="31">
        <f t="shared" si="893"/>
        <v>0</v>
      </c>
      <c r="BI136" s="14">
        <f t="shared" si="912"/>
        <v>1255</v>
      </c>
      <c r="BJ136" s="14">
        <f t="shared" si="1069"/>
        <v>0.16</v>
      </c>
      <c r="BK136" s="47">
        <f t="shared" ref="BK136:BK138" si="1141">IFERROR((BH136*100)/BC136,0)</f>
        <v>0</v>
      </c>
      <c r="BL136" s="35">
        <f t="shared" si="1070"/>
        <v>4.4800000000000013</v>
      </c>
      <c r="BM136" s="132">
        <f t="shared" si="840"/>
        <v>1.757703081232493</v>
      </c>
      <c r="BN136" s="134"/>
      <c r="BO136" s="14">
        <f t="shared" si="1071"/>
        <v>79</v>
      </c>
      <c r="BP136" s="442">
        <f t="shared" ref="BP136:BP138" si="1142">IFERROR((BN136/BC136)*1000,0)</f>
        <v>0</v>
      </c>
      <c r="BQ136" s="747">
        <f t="shared" si="651"/>
        <v>3487.7310117165239</v>
      </c>
      <c r="BR136" s="51">
        <f t="shared" si="1072"/>
        <v>1257</v>
      </c>
      <c r="BS136" s="103">
        <f t="shared" si="1073"/>
        <v>0</v>
      </c>
      <c r="BT136" s="46">
        <f t="shared" si="737"/>
        <v>1257</v>
      </c>
      <c r="BU136" s="12">
        <f t="shared" si="1074"/>
        <v>86</v>
      </c>
      <c r="BV136" s="103">
        <f t="shared" si="1075"/>
        <v>0</v>
      </c>
      <c r="BW136" s="46">
        <f t="shared" si="661"/>
        <v>86</v>
      </c>
      <c r="BY136" s="120">
        <f t="shared" si="1133"/>
        <v>3</v>
      </c>
      <c r="BZ136" s="7">
        <f t="shared" si="1076"/>
        <v>18</v>
      </c>
      <c r="CA136" s="133"/>
      <c r="CB136" s="48">
        <f t="shared" si="662"/>
        <v>14583</v>
      </c>
      <c r="CC136" s="49">
        <f t="shared" si="682"/>
        <v>14583</v>
      </c>
      <c r="CD136" s="134"/>
      <c r="CE136" s="135"/>
      <c r="CF136" s="135"/>
      <c r="CG136" s="31">
        <f t="shared" si="683"/>
        <v>0</v>
      </c>
      <c r="CH136" s="14">
        <f t="shared" si="663"/>
        <v>73</v>
      </c>
      <c r="CI136" s="14">
        <f t="shared" si="1077"/>
        <v>0.16</v>
      </c>
      <c r="CJ136" s="47">
        <f t="shared" si="782"/>
        <v>0</v>
      </c>
      <c r="CK136" s="35">
        <f t="shared" si="1078"/>
        <v>4.4800000000000013</v>
      </c>
      <c r="CL136" s="157">
        <f t="shared" si="783"/>
        <v>0.49808951965065501</v>
      </c>
      <c r="CM136" s="134"/>
      <c r="CN136" s="14">
        <f t="shared" si="1079"/>
        <v>79</v>
      </c>
      <c r="CO136" s="442">
        <f t="shared" si="784"/>
        <v>0</v>
      </c>
      <c r="CP136" s="68">
        <f t="shared" ref="CP136:CP138" si="1143">CP135+CO136</f>
        <v>1975.2862203652064</v>
      </c>
      <c r="CQ136" s="51">
        <f t="shared" si="1080"/>
        <v>1257</v>
      </c>
      <c r="CR136" s="103">
        <f t="shared" si="1081"/>
        <v>0</v>
      </c>
      <c r="CS136" s="46">
        <f t="shared" si="738"/>
        <v>1257</v>
      </c>
      <c r="CT136" s="12">
        <f t="shared" si="1082"/>
        <v>86</v>
      </c>
      <c r="CU136" s="103">
        <f t="shared" si="1083"/>
        <v>0</v>
      </c>
      <c r="CV136" s="46">
        <f t="shared" si="1134"/>
        <v>86</v>
      </c>
      <c r="CX136" s="120">
        <f t="shared" si="1135"/>
        <v>3</v>
      </c>
      <c r="CY136" s="7">
        <f t="shared" si="1084"/>
        <v>18</v>
      </c>
      <c r="CZ136" s="133"/>
      <c r="DA136" s="48">
        <f t="shared" si="925"/>
        <v>14671</v>
      </c>
      <c r="DB136" s="49">
        <f t="shared" si="969"/>
        <v>14671</v>
      </c>
      <c r="DC136" s="134"/>
      <c r="DD136" s="135"/>
      <c r="DE136" s="135"/>
      <c r="DF136" s="31">
        <f t="shared" si="684"/>
        <v>0</v>
      </c>
      <c r="DG136" s="14">
        <f t="shared" si="1046"/>
        <v>56</v>
      </c>
      <c r="DH136" s="14">
        <f t="shared" si="1085"/>
        <v>0.16</v>
      </c>
      <c r="DI136" s="47">
        <f t="shared" si="785"/>
        <v>0</v>
      </c>
      <c r="DJ136" s="35">
        <f t="shared" si="1086"/>
        <v>4.4800000000000013</v>
      </c>
      <c r="DK136" s="157">
        <f t="shared" si="786"/>
        <v>0.38035726414453574</v>
      </c>
      <c r="DL136" s="134"/>
      <c r="DM136" s="14">
        <f t="shared" si="1087"/>
        <v>79</v>
      </c>
      <c r="DN136" s="442">
        <f t="shared" si="787"/>
        <v>0</v>
      </c>
      <c r="DO136" s="68">
        <f t="shared" si="666"/>
        <v>2052.9886076744156</v>
      </c>
      <c r="DP136" s="51">
        <f t="shared" si="1088"/>
        <v>1257</v>
      </c>
      <c r="DQ136" s="103">
        <f t="shared" si="1089"/>
        <v>0</v>
      </c>
      <c r="DR136" s="46">
        <f t="shared" si="739"/>
        <v>1257</v>
      </c>
      <c r="DS136" s="12">
        <f t="shared" si="1090"/>
        <v>86</v>
      </c>
      <c r="DT136" s="103">
        <f t="shared" si="1091"/>
        <v>0</v>
      </c>
      <c r="DU136" s="46">
        <f t="shared" si="654"/>
        <v>86</v>
      </c>
      <c r="DW136" s="120">
        <f t="shared" si="1136"/>
        <v>3</v>
      </c>
      <c r="DX136" s="7">
        <f t="shared" si="1092"/>
        <v>18</v>
      </c>
      <c r="DY136" s="133"/>
      <c r="DZ136" s="48">
        <f t="shared" si="926"/>
        <v>14466</v>
      </c>
      <c r="EA136" s="49">
        <f t="shared" si="970"/>
        <v>14466</v>
      </c>
      <c r="EB136" s="134"/>
      <c r="EC136" s="135"/>
      <c r="ED136" s="135"/>
      <c r="EE136" s="31">
        <f t="shared" si="686"/>
        <v>0</v>
      </c>
      <c r="EF136" s="14">
        <f t="shared" si="1047"/>
        <v>81</v>
      </c>
      <c r="EG136" s="14">
        <f t="shared" si="1093"/>
        <v>0.16</v>
      </c>
      <c r="EH136" s="47">
        <f t="shared" si="788"/>
        <v>0</v>
      </c>
      <c r="EI136" s="35">
        <f t="shared" si="1094"/>
        <v>4.4800000000000013</v>
      </c>
      <c r="EJ136" s="157">
        <f t="shared" si="800"/>
        <v>0.55708390646492434</v>
      </c>
      <c r="EK136" s="134"/>
      <c r="EL136" s="14">
        <f t="shared" si="1095"/>
        <v>79</v>
      </c>
      <c r="EM136" s="442">
        <f t="shared" si="789"/>
        <v>0</v>
      </c>
      <c r="EN136" s="68">
        <f t="shared" si="669"/>
        <v>2297.0468525697056</v>
      </c>
      <c r="EO136" s="51">
        <f t="shared" si="1096"/>
        <v>1257</v>
      </c>
      <c r="EP136" s="103">
        <f t="shared" si="1097"/>
        <v>0</v>
      </c>
      <c r="EQ136" s="46">
        <f t="shared" si="740"/>
        <v>1257</v>
      </c>
      <c r="ER136" s="12">
        <f t="shared" si="1098"/>
        <v>86</v>
      </c>
      <c r="ES136" s="103">
        <f t="shared" si="1099"/>
        <v>0</v>
      </c>
      <c r="ET136" s="46">
        <f t="shared" si="655"/>
        <v>86</v>
      </c>
      <c r="EV136" s="120">
        <f t="shared" si="1137"/>
        <v>3</v>
      </c>
      <c r="EW136" s="7">
        <f t="shared" si="1100"/>
        <v>18</v>
      </c>
      <c r="EX136" s="133"/>
      <c r="EY136" s="48">
        <f t="shared" si="927"/>
        <v>14167</v>
      </c>
      <c r="EZ136" s="49">
        <f t="shared" si="971"/>
        <v>14167</v>
      </c>
      <c r="FA136" s="134"/>
      <c r="FB136" s="135"/>
      <c r="FC136" s="135"/>
      <c r="FD136" s="31">
        <f t="shared" si="688"/>
        <v>0</v>
      </c>
      <c r="FE136" s="14">
        <f t="shared" si="1048"/>
        <v>71</v>
      </c>
      <c r="FF136" s="14">
        <f t="shared" si="1101"/>
        <v>0.16</v>
      </c>
      <c r="FG136" s="47">
        <f t="shared" si="790"/>
        <v>0</v>
      </c>
      <c r="FH136" s="35">
        <f t="shared" si="1102"/>
        <v>4.4800000000000013</v>
      </c>
      <c r="FI136" s="157">
        <f t="shared" si="801"/>
        <v>0.49877063575693714</v>
      </c>
      <c r="FJ136" s="134"/>
      <c r="FK136" s="14">
        <f t="shared" si="1103"/>
        <v>79</v>
      </c>
      <c r="FL136" s="442">
        <f t="shared" si="792"/>
        <v>0</v>
      </c>
      <c r="FM136" s="68">
        <f t="shared" si="672"/>
        <v>2437.1380235191186</v>
      </c>
      <c r="FN136" s="51">
        <f t="shared" si="1104"/>
        <v>1257</v>
      </c>
      <c r="FO136" s="103">
        <f t="shared" si="1105"/>
        <v>0</v>
      </c>
      <c r="FP136" s="46">
        <f t="shared" si="741"/>
        <v>1257</v>
      </c>
      <c r="FQ136" s="12">
        <f t="shared" si="1106"/>
        <v>86</v>
      </c>
      <c r="FR136" s="103">
        <f t="shared" si="1107"/>
        <v>0</v>
      </c>
      <c r="FS136" s="46">
        <f t="shared" si="656"/>
        <v>86</v>
      </c>
      <c r="FU136" s="120">
        <f t="shared" si="1138"/>
        <v>3</v>
      </c>
      <c r="FV136" s="7">
        <f t="shared" si="1108"/>
        <v>18</v>
      </c>
      <c r="FW136" s="133"/>
      <c r="FX136" s="48">
        <f t="shared" si="928"/>
        <v>14147</v>
      </c>
      <c r="FY136" s="49">
        <f t="shared" si="972"/>
        <v>14147</v>
      </c>
      <c r="FZ136" s="134"/>
      <c r="GA136" s="135"/>
      <c r="GB136" s="135"/>
      <c r="GC136" s="31">
        <f t="shared" si="690"/>
        <v>0</v>
      </c>
      <c r="GD136" s="14">
        <f t="shared" si="1049"/>
        <v>44</v>
      </c>
      <c r="GE136" s="14">
        <f t="shared" si="1109"/>
        <v>0.16</v>
      </c>
      <c r="GF136" s="47">
        <f t="shared" si="793"/>
        <v>0</v>
      </c>
      <c r="GG136" s="35">
        <f t="shared" si="1110"/>
        <v>4.4800000000000013</v>
      </c>
      <c r="GH136" s="157">
        <f t="shared" si="802"/>
        <v>0.31009937275354149</v>
      </c>
      <c r="GI136" s="134"/>
      <c r="GJ136" s="14">
        <f t="shared" si="1111"/>
        <v>79</v>
      </c>
      <c r="GK136" s="442">
        <f t="shared" si="795"/>
        <v>0</v>
      </c>
      <c r="GL136" s="68">
        <f t="shared" si="675"/>
        <v>2115.7658400333685</v>
      </c>
      <c r="GM136" s="51">
        <f t="shared" si="1112"/>
        <v>1257</v>
      </c>
      <c r="GN136" s="103">
        <f t="shared" si="1113"/>
        <v>0</v>
      </c>
      <c r="GO136" s="46">
        <f t="shared" si="742"/>
        <v>1257</v>
      </c>
      <c r="GP136" s="12">
        <f t="shared" si="1114"/>
        <v>86</v>
      </c>
      <c r="GQ136" s="103">
        <f t="shared" si="1115"/>
        <v>0</v>
      </c>
      <c r="GR136" s="46">
        <f t="shared" si="657"/>
        <v>86</v>
      </c>
      <c r="GT136" s="120">
        <f t="shared" si="1139"/>
        <v>3</v>
      </c>
      <c r="GU136" s="7">
        <f t="shared" si="1116"/>
        <v>18</v>
      </c>
      <c r="GV136" s="133"/>
      <c r="GW136" s="48">
        <f t="shared" si="929"/>
        <v>9146</v>
      </c>
      <c r="GX136" s="49">
        <f t="shared" si="973"/>
        <v>9146</v>
      </c>
      <c r="GY136" s="134"/>
      <c r="GZ136" s="135"/>
      <c r="HA136" s="135"/>
      <c r="HB136" s="31">
        <f t="shared" si="692"/>
        <v>0</v>
      </c>
      <c r="HC136" s="14">
        <f t="shared" si="1050"/>
        <v>36</v>
      </c>
      <c r="HD136" s="14">
        <f t="shared" si="1117"/>
        <v>0.16</v>
      </c>
      <c r="HE136" s="47">
        <f t="shared" si="796"/>
        <v>0</v>
      </c>
      <c r="HF136" s="35">
        <f t="shared" si="1118"/>
        <v>4.4800000000000013</v>
      </c>
      <c r="HG136" s="157">
        <f t="shared" si="803"/>
        <v>0.3920714441298192</v>
      </c>
      <c r="HH136" s="134"/>
      <c r="HI136" s="14">
        <f t="shared" si="1119"/>
        <v>79</v>
      </c>
      <c r="HJ136" s="442">
        <f t="shared" si="798"/>
        <v>0</v>
      </c>
      <c r="HK136" s="68">
        <f t="shared" si="678"/>
        <v>2261.5830127780196</v>
      </c>
      <c r="HL136" s="51">
        <f t="shared" si="1120"/>
        <v>1257</v>
      </c>
      <c r="HM136" s="103">
        <f t="shared" si="1121"/>
        <v>0</v>
      </c>
      <c r="HN136" s="46">
        <f t="shared" si="743"/>
        <v>1257</v>
      </c>
      <c r="HO136" s="12">
        <f t="shared" si="1122"/>
        <v>86</v>
      </c>
      <c r="HP136" s="103">
        <f t="shared" si="1123"/>
        <v>0</v>
      </c>
      <c r="HQ136" s="46">
        <f t="shared" si="658"/>
        <v>86</v>
      </c>
    </row>
    <row r="137" spans="2:225" ht="17.25" thickBot="1" x14ac:dyDescent="0.3">
      <c r="B137" s="120">
        <f t="shared" si="1140"/>
        <v>4</v>
      </c>
      <c r="C137" s="570">
        <f t="shared" si="1052"/>
        <v>18</v>
      </c>
      <c r="D137" s="133"/>
      <c r="E137" s="408">
        <f t="shared" si="696"/>
        <v>68543</v>
      </c>
      <c r="F137" s="562">
        <f t="shared" si="1053"/>
        <v>68543</v>
      </c>
      <c r="G137" s="134"/>
      <c r="H137" s="135"/>
      <c r="I137" s="135"/>
      <c r="J137" s="14">
        <f t="shared" si="1051"/>
        <v>0</v>
      </c>
      <c r="K137" s="14">
        <f t="shared" si="1124"/>
        <v>5542</v>
      </c>
      <c r="L137" s="14">
        <f t="shared" si="1054"/>
        <v>0.16</v>
      </c>
      <c r="M137" s="47">
        <f t="shared" si="1125"/>
        <v>0</v>
      </c>
      <c r="N137" s="35">
        <f t="shared" si="1055"/>
        <v>4.4800000000000013</v>
      </c>
      <c r="O137" s="132">
        <f t="shared" si="1126"/>
        <v>4.1090507366188938</v>
      </c>
      <c r="P137" s="142"/>
      <c r="Q137" s="14">
        <f t="shared" si="1056"/>
        <v>79</v>
      </c>
      <c r="R137" s="480">
        <f t="shared" si="877"/>
        <v>0</v>
      </c>
      <c r="S137" s="470">
        <f t="shared" ref="S137:S138" si="1144">S136+R137</f>
        <v>3520.2686172807612</v>
      </c>
      <c r="T137" s="51">
        <f t="shared" si="1057"/>
        <v>1257</v>
      </c>
      <c r="U137" s="103">
        <f t="shared" si="1058"/>
        <v>0</v>
      </c>
      <c r="V137" s="46">
        <f t="shared" si="1127"/>
        <v>1257</v>
      </c>
      <c r="W137" s="50">
        <f t="shared" si="878"/>
        <v>86</v>
      </c>
      <c r="X137" s="103">
        <f t="shared" si="1059"/>
        <v>0</v>
      </c>
      <c r="Y137" s="62">
        <f t="shared" si="1128"/>
        <v>86</v>
      </c>
      <c r="Z137" s="487"/>
      <c r="AA137" s="120">
        <f t="shared" si="1129"/>
        <v>4</v>
      </c>
      <c r="AB137" s="7">
        <f t="shared" si="1060"/>
        <v>18</v>
      </c>
      <c r="AC137" s="133"/>
      <c r="AD137" s="48">
        <f t="shared" si="879"/>
        <v>59287</v>
      </c>
      <c r="AE137" s="447">
        <f t="shared" si="966"/>
        <v>59287</v>
      </c>
      <c r="AF137" s="134"/>
      <c r="AG137" s="135"/>
      <c r="AH137" s="135"/>
      <c r="AI137" s="14">
        <f t="shared" si="889"/>
        <v>0</v>
      </c>
      <c r="AJ137" s="14">
        <f t="shared" si="910"/>
        <v>6432</v>
      </c>
      <c r="AK137" s="14">
        <f t="shared" si="1061"/>
        <v>0.16</v>
      </c>
      <c r="AL137" s="47">
        <f t="shared" si="1130"/>
        <v>0</v>
      </c>
      <c r="AM137" s="35">
        <f t="shared" si="1062"/>
        <v>4.4800000000000013</v>
      </c>
      <c r="AN137" s="157">
        <f t="shared" si="659"/>
        <v>4.1990912414477464</v>
      </c>
      <c r="AO137" s="134"/>
      <c r="AP137" s="14">
        <f t="shared" si="1063"/>
        <v>79</v>
      </c>
      <c r="AQ137" s="480">
        <f t="shared" si="1131"/>
        <v>0</v>
      </c>
      <c r="AR137" s="470">
        <f t="shared" si="799"/>
        <v>3681.7427283987504</v>
      </c>
      <c r="AS137" s="51">
        <f t="shared" si="1064"/>
        <v>1257</v>
      </c>
      <c r="AT137" s="103">
        <f t="shared" si="1065"/>
        <v>0</v>
      </c>
      <c r="AU137" s="46">
        <f t="shared" si="736"/>
        <v>1257</v>
      </c>
      <c r="AV137" s="50">
        <f t="shared" si="1066"/>
        <v>86</v>
      </c>
      <c r="AW137" s="103">
        <f t="shared" si="1067"/>
        <v>0</v>
      </c>
      <c r="AX137" s="62">
        <f t="shared" si="660"/>
        <v>86</v>
      </c>
      <c r="AZ137" s="120">
        <f t="shared" si="1132"/>
        <v>4</v>
      </c>
      <c r="BA137" s="7">
        <f t="shared" si="1068"/>
        <v>18</v>
      </c>
      <c r="BB137" s="133"/>
      <c r="BC137" s="48">
        <f t="shared" si="967"/>
        <v>65336</v>
      </c>
      <c r="BD137" s="447">
        <f t="shared" si="968"/>
        <v>65336</v>
      </c>
      <c r="BE137" s="134"/>
      <c r="BF137" s="135"/>
      <c r="BG137" s="135"/>
      <c r="BH137" s="14">
        <f t="shared" si="893"/>
        <v>0</v>
      </c>
      <c r="BI137" s="14">
        <f t="shared" si="912"/>
        <v>1255</v>
      </c>
      <c r="BJ137" s="14">
        <f t="shared" si="1069"/>
        <v>0.16</v>
      </c>
      <c r="BK137" s="47">
        <f t="shared" si="1141"/>
        <v>0</v>
      </c>
      <c r="BL137" s="35">
        <f t="shared" si="1070"/>
        <v>4.4800000000000013</v>
      </c>
      <c r="BM137" s="132">
        <f t="shared" si="840"/>
        <v>1.757703081232493</v>
      </c>
      <c r="BN137" s="134"/>
      <c r="BO137" s="14">
        <f t="shared" si="1071"/>
        <v>79</v>
      </c>
      <c r="BP137" s="442">
        <f t="shared" si="1142"/>
        <v>0</v>
      </c>
      <c r="BQ137" s="747">
        <f t="shared" ref="BQ137:BQ138" si="1145">BQ136+BP137</f>
        <v>3487.7310117165239</v>
      </c>
      <c r="BR137" s="51">
        <f t="shared" si="1072"/>
        <v>1257</v>
      </c>
      <c r="BS137" s="103">
        <f t="shared" si="1073"/>
        <v>0</v>
      </c>
      <c r="BT137" s="46">
        <f t="shared" si="737"/>
        <v>1257</v>
      </c>
      <c r="BU137" s="50">
        <f t="shared" si="1074"/>
        <v>86</v>
      </c>
      <c r="BV137" s="103">
        <f t="shared" si="1075"/>
        <v>0</v>
      </c>
      <c r="BW137" s="62">
        <f t="shared" si="661"/>
        <v>86</v>
      </c>
      <c r="BY137" s="120">
        <f t="shared" si="1133"/>
        <v>4</v>
      </c>
      <c r="BZ137" s="7">
        <f t="shared" si="1076"/>
        <v>18</v>
      </c>
      <c r="CA137" s="133"/>
      <c r="CB137" s="48">
        <f t="shared" si="662"/>
        <v>14583</v>
      </c>
      <c r="CC137" s="447">
        <f t="shared" si="682"/>
        <v>14583</v>
      </c>
      <c r="CD137" s="134"/>
      <c r="CE137" s="135"/>
      <c r="CF137" s="135"/>
      <c r="CG137" s="14">
        <f t="shared" si="683"/>
        <v>0</v>
      </c>
      <c r="CH137" s="14">
        <f t="shared" si="663"/>
        <v>73</v>
      </c>
      <c r="CI137" s="14">
        <f t="shared" si="1077"/>
        <v>0.16</v>
      </c>
      <c r="CJ137" s="47">
        <f t="shared" si="782"/>
        <v>0</v>
      </c>
      <c r="CK137" s="35">
        <f t="shared" si="1078"/>
        <v>4.4800000000000013</v>
      </c>
      <c r="CL137" s="157">
        <f t="shared" si="783"/>
        <v>0.49808951965065501</v>
      </c>
      <c r="CM137" s="134"/>
      <c r="CN137" s="14">
        <f t="shared" si="1079"/>
        <v>79</v>
      </c>
      <c r="CO137" s="442">
        <f t="shared" si="784"/>
        <v>0</v>
      </c>
      <c r="CP137" s="68">
        <f t="shared" si="1143"/>
        <v>1975.2862203652064</v>
      </c>
      <c r="CQ137" s="51">
        <f t="shared" si="1080"/>
        <v>1257</v>
      </c>
      <c r="CR137" s="103">
        <f t="shared" si="1081"/>
        <v>0</v>
      </c>
      <c r="CS137" s="46">
        <f t="shared" si="738"/>
        <v>1257</v>
      </c>
      <c r="CT137" s="50">
        <f t="shared" si="1082"/>
        <v>86</v>
      </c>
      <c r="CU137" s="103">
        <f t="shared" si="1083"/>
        <v>0</v>
      </c>
      <c r="CV137" s="62">
        <f t="shared" si="1134"/>
        <v>86</v>
      </c>
      <c r="CX137" s="120">
        <f t="shared" si="1135"/>
        <v>4</v>
      </c>
      <c r="CY137" s="7">
        <f t="shared" si="1084"/>
        <v>18</v>
      </c>
      <c r="CZ137" s="133"/>
      <c r="DA137" s="48">
        <f t="shared" si="925"/>
        <v>14671</v>
      </c>
      <c r="DB137" s="447">
        <f t="shared" si="969"/>
        <v>14671</v>
      </c>
      <c r="DC137" s="134"/>
      <c r="DD137" s="135"/>
      <c r="DE137" s="135"/>
      <c r="DF137" s="14">
        <f t="shared" si="684"/>
        <v>0</v>
      </c>
      <c r="DG137" s="14">
        <f t="shared" si="1046"/>
        <v>56</v>
      </c>
      <c r="DH137" s="14">
        <f t="shared" si="1085"/>
        <v>0.16</v>
      </c>
      <c r="DI137" s="47">
        <f t="shared" si="785"/>
        <v>0</v>
      </c>
      <c r="DJ137" s="35">
        <f t="shared" si="1086"/>
        <v>4.4800000000000013</v>
      </c>
      <c r="DK137" s="157">
        <f t="shared" si="786"/>
        <v>0.38035726414453574</v>
      </c>
      <c r="DL137" s="134"/>
      <c r="DM137" s="14">
        <f t="shared" si="1087"/>
        <v>79</v>
      </c>
      <c r="DN137" s="442">
        <f t="shared" si="787"/>
        <v>0</v>
      </c>
      <c r="DO137" s="68">
        <f t="shared" si="666"/>
        <v>2052.9886076744156</v>
      </c>
      <c r="DP137" s="51">
        <f t="shared" si="1088"/>
        <v>1257</v>
      </c>
      <c r="DQ137" s="103">
        <f t="shared" si="1089"/>
        <v>0</v>
      </c>
      <c r="DR137" s="46">
        <f t="shared" si="739"/>
        <v>1257</v>
      </c>
      <c r="DS137" s="50">
        <f t="shared" si="1090"/>
        <v>86</v>
      </c>
      <c r="DT137" s="103">
        <f t="shared" si="1091"/>
        <v>0</v>
      </c>
      <c r="DU137" s="62">
        <f t="shared" si="654"/>
        <v>86</v>
      </c>
      <c r="DW137" s="120">
        <f t="shared" si="1136"/>
        <v>4</v>
      </c>
      <c r="DX137" s="7">
        <f t="shared" si="1092"/>
        <v>18</v>
      </c>
      <c r="DY137" s="133"/>
      <c r="DZ137" s="48">
        <f t="shared" si="926"/>
        <v>14466</v>
      </c>
      <c r="EA137" s="447">
        <f t="shared" si="970"/>
        <v>14466</v>
      </c>
      <c r="EB137" s="134"/>
      <c r="EC137" s="135"/>
      <c r="ED137" s="135"/>
      <c r="EE137" s="14">
        <f t="shared" si="686"/>
        <v>0</v>
      </c>
      <c r="EF137" s="14">
        <f t="shared" si="1047"/>
        <v>81</v>
      </c>
      <c r="EG137" s="14">
        <f t="shared" si="1093"/>
        <v>0.16</v>
      </c>
      <c r="EH137" s="47">
        <f t="shared" si="788"/>
        <v>0</v>
      </c>
      <c r="EI137" s="35">
        <f t="shared" si="1094"/>
        <v>4.4800000000000013</v>
      </c>
      <c r="EJ137" s="157">
        <f t="shared" si="800"/>
        <v>0.55708390646492434</v>
      </c>
      <c r="EK137" s="134"/>
      <c r="EL137" s="14">
        <f t="shared" si="1095"/>
        <v>79</v>
      </c>
      <c r="EM137" s="442">
        <f t="shared" si="789"/>
        <v>0</v>
      </c>
      <c r="EN137" s="68">
        <f t="shared" si="669"/>
        <v>2297.0468525697056</v>
      </c>
      <c r="EO137" s="51">
        <f t="shared" si="1096"/>
        <v>1257</v>
      </c>
      <c r="EP137" s="103">
        <f t="shared" si="1097"/>
        <v>0</v>
      </c>
      <c r="EQ137" s="46">
        <f t="shared" si="740"/>
        <v>1257</v>
      </c>
      <c r="ER137" s="50">
        <f t="shared" si="1098"/>
        <v>86</v>
      </c>
      <c r="ES137" s="103">
        <f t="shared" si="1099"/>
        <v>0</v>
      </c>
      <c r="ET137" s="62">
        <f t="shared" si="655"/>
        <v>86</v>
      </c>
      <c r="EV137" s="120">
        <f t="shared" si="1137"/>
        <v>4</v>
      </c>
      <c r="EW137" s="7">
        <f t="shared" si="1100"/>
        <v>18</v>
      </c>
      <c r="EX137" s="133"/>
      <c r="EY137" s="48">
        <f t="shared" si="927"/>
        <v>14167</v>
      </c>
      <c r="EZ137" s="447">
        <f t="shared" si="971"/>
        <v>14167</v>
      </c>
      <c r="FA137" s="134"/>
      <c r="FB137" s="135"/>
      <c r="FC137" s="135"/>
      <c r="FD137" s="14">
        <f t="shared" si="688"/>
        <v>0</v>
      </c>
      <c r="FE137" s="14">
        <f t="shared" si="1048"/>
        <v>71</v>
      </c>
      <c r="FF137" s="14">
        <f t="shared" si="1101"/>
        <v>0.16</v>
      </c>
      <c r="FG137" s="47">
        <f t="shared" si="790"/>
        <v>0</v>
      </c>
      <c r="FH137" s="35">
        <f t="shared" si="1102"/>
        <v>4.4800000000000013</v>
      </c>
      <c r="FI137" s="157">
        <f t="shared" si="801"/>
        <v>0.49877063575693714</v>
      </c>
      <c r="FJ137" s="134"/>
      <c r="FK137" s="14">
        <f t="shared" si="1103"/>
        <v>79</v>
      </c>
      <c r="FL137" s="442">
        <f t="shared" si="792"/>
        <v>0</v>
      </c>
      <c r="FM137" s="68">
        <f t="shared" si="672"/>
        <v>2437.1380235191186</v>
      </c>
      <c r="FN137" s="51">
        <f t="shared" si="1104"/>
        <v>1257</v>
      </c>
      <c r="FO137" s="103">
        <f t="shared" si="1105"/>
        <v>0</v>
      </c>
      <c r="FP137" s="46">
        <f t="shared" si="741"/>
        <v>1257</v>
      </c>
      <c r="FQ137" s="50">
        <f t="shared" si="1106"/>
        <v>86</v>
      </c>
      <c r="FR137" s="103">
        <f t="shared" si="1107"/>
        <v>0</v>
      </c>
      <c r="FS137" s="62">
        <f t="shared" si="656"/>
        <v>86</v>
      </c>
      <c r="FU137" s="120">
        <f t="shared" si="1138"/>
        <v>4</v>
      </c>
      <c r="FV137" s="7">
        <f t="shared" si="1108"/>
        <v>18</v>
      </c>
      <c r="FW137" s="133"/>
      <c r="FX137" s="48">
        <f t="shared" si="928"/>
        <v>14147</v>
      </c>
      <c r="FY137" s="447">
        <f t="shared" si="972"/>
        <v>14147</v>
      </c>
      <c r="FZ137" s="134"/>
      <c r="GA137" s="135"/>
      <c r="GB137" s="135"/>
      <c r="GC137" s="14">
        <f t="shared" si="690"/>
        <v>0</v>
      </c>
      <c r="GD137" s="14">
        <f t="shared" si="1049"/>
        <v>44</v>
      </c>
      <c r="GE137" s="14">
        <f t="shared" si="1109"/>
        <v>0.16</v>
      </c>
      <c r="GF137" s="47">
        <f t="shared" si="793"/>
        <v>0</v>
      </c>
      <c r="GG137" s="35">
        <f t="shared" si="1110"/>
        <v>4.4800000000000013</v>
      </c>
      <c r="GH137" s="157">
        <f t="shared" si="802"/>
        <v>0.31009937275354149</v>
      </c>
      <c r="GI137" s="134"/>
      <c r="GJ137" s="14">
        <f t="shared" si="1111"/>
        <v>79</v>
      </c>
      <c r="GK137" s="442">
        <f t="shared" si="795"/>
        <v>0</v>
      </c>
      <c r="GL137" s="68">
        <f t="shared" si="675"/>
        <v>2115.7658400333685</v>
      </c>
      <c r="GM137" s="51">
        <f t="shared" si="1112"/>
        <v>1257</v>
      </c>
      <c r="GN137" s="103">
        <f t="shared" si="1113"/>
        <v>0</v>
      </c>
      <c r="GO137" s="46">
        <f t="shared" si="742"/>
        <v>1257</v>
      </c>
      <c r="GP137" s="50">
        <f t="shared" si="1114"/>
        <v>86</v>
      </c>
      <c r="GQ137" s="103">
        <f t="shared" si="1115"/>
        <v>0</v>
      </c>
      <c r="GR137" s="62">
        <f t="shared" si="657"/>
        <v>86</v>
      </c>
      <c r="GT137" s="120">
        <f t="shared" si="1139"/>
        <v>4</v>
      </c>
      <c r="GU137" s="7">
        <f t="shared" si="1116"/>
        <v>18</v>
      </c>
      <c r="GV137" s="133"/>
      <c r="GW137" s="48">
        <f t="shared" si="929"/>
        <v>9146</v>
      </c>
      <c r="GX137" s="447">
        <f t="shared" si="973"/>
        <v>9146</v>
      </c>
      <c r="GY137" s="134"/>
      <c r="GZ137" s="135"/>
      <c r="HA137" s="135"/>
      <c r="HB137" s="14">
        <f t="shared" si="692"/>
        <v>0</v>
      </c>
      <c r="HC137" s="14">
        <f t="shared" si="1050"/>
        <v>36</v>
      </c>
      <c r="HD137" s="14">
        <f t="shared" si="1117"/>
        <v>0.16</v>
      </c>
      <c r="HE137" s="47">
        <f t="shared" si="796"/>
        <v>0</v>
      </c>
      <c r="HF137" s="35">
        <f t="shared" si="1118"/>
        <v>4.4800000000000013</v>
      </c>
      <c r="HG137" s="157">
        <f t="shared" si="803"/>
        <v>0.3920714441298192</v>
      </c>
      <c r="HH137" s="134"/>
      <c r="HI137" s="14">
        <f t="shared" si="1119"/>
        <v>79</v>
      </c>
      <c r="HJ137" s="442">
        <f t="shared" si="798"/>
        <v>0</v>
      </c>
      <c r="HK137" s="68">
        <f t="shared" si="678"/>
        <v>2261.5830127780196</v>
      </c>
      <c r="HL137" s="51">
        <f t="shared" si="1120"/>
        <v>1257</v>
      </c>
      <c r="HM137" s="103">
        <f t="shared" si="1121"/>
        <v>0</v>
      </c>
      <c r="HN137" s="46">
        <f t="shared" si="743"/>
        <v>1257</v>
      </c>
      <c r="HO137" s="50">
        <f t="shared" si="1122"/>
        <v>86</v>
      </c>
      <c r="HP137" s="103">
        <f t="shared" si="1123"/>
        <v>0</v>
      </c>
      <c r="HQ137" s="62">
        <f t="shared" si="658"/>
        <v>86</v>
      </c>
    </row>
    <row r="138" spans="2:225" ht="17.25" thickBot="1" x14ac:dyDescent="0.3">
      <c r="B138" s="197">
        <f t="shared" si="1140"/>
        <v>5</v>
      </c>
      <c r="C138" s="574">
        <f t="shared" si="1052"/>
        <v>18</v>
      </c>
      <c r="D138" s="136"/>
      <c r="E138" s="568">
        <f t="shared" si="696"/>
        <v>68543</v>
      </c>
      <c r="F138" s="451">
        <f t="shared" si="1053"/>
        <v>68543</v>
      </c>
      <c r="G138" s="137"/>
      <c r="H138" s="138"/>
      <c r="I138" s="138"/>
      <c r="J138" s="34">
        <f t="shared" si="1051"/>
        <v>0</v>
      </c>
      <c r="K138" s="32">
        <f t="shared" si="1124"/>
        <v>5542</v>
      </c>
      <c r="L138" s="32">
        <f t="shared" si="1054"/>
        <v>0.16</v>
      </c>
      <c r="M138" s="96">
        <f t="shared" si="1125"/>
        <v>0</v>
      </c>
      <c r="N138" s="36">
        <f t="shared" si="1055"/>
        <v>4.4800000000000013</v>
      </c>
      <c r="O138" s="132">
        <f>IFERROR((K138*100)/$D$12,0)</f>
        <v>4.1090507366188938</v>
      </c>
      <c r="P138" s="139"/>
      <c r="Q138" s="32">
        <f t="shared" si="1056"/>
        <v>79</v>
      </c>
      <c r="R138" s="443">
        <f t="shared" si="877"/>
        <v>0</v>
      </c>
      <c r="S138" s="471">
        <f t="shared" si="1144"/>
        <v>3520.2686172807612</v>
      </c>
      <c r="T138" s="56">
        <f t="shared" si="1057"/>
        <v>1257</v>
      </c>
      <c r="U138" s="109">
        <f t="shared" si="1058"/>
        <v>0</v>
      </c>
      <c r="V138" s="53">
        <f t="shared" si="1127"/>
        <v>1257</v>
      </c>
      <c r="W138" s="56">
        <f t="shared" si="878"/>
        <v>86</v>
      </c>
      <c r="X138" s="109">
        <f t="shared" si="1059"/>
        <v>0</v>
      </c>
      <c r="Y138" s="53">
        <f t="shared" si="1128"/>
        <v>86</v>
      </c>
      <c r="Z138" s="487"/>
      <c r="AA138" s="197">
        <f t="shared" si="1129"/>
        <v>5</v>
      </c>
      <c r="AB138" s="8">
        <f t="shared" si="1060"/>
        <v>18</v>
      </c>
      <c r="AC138" s="136"/>
      <c r="AD138" s="54">
        <f t="shared" si="879"/>
        <v>59287</v>
      </c>
      <c r="AE138" s="55">
        <f t="shared" si="966"/>
        <v>59287</v>
      </c>
      <c r="AF138" s="137"/>
      <c r="AG138" s="138"/>
      <c r="AH138" s="138"/>
      <c r="AI138" s="34">
        <f t="shared" si="889"/>
        <v>0</v>
      </c>
      <c r="AJ138" s="32">
        <f t="shared" si="910"/>
        <v>6432</v>
      </c>
      <c r="AK138" s="32">
        <f t="shared" si="1061"/>
        <v>0.16</v>
      </c>
      <c r="AL138" s="96">
        <f t="shared" si="1130"/>
        <v>0</v>
      </c>
      <c r="AM138" s="36">
        <f t="shared" si="1062"/>
        <v>4.4800000000000013</v>
      </c>
      <c r="AN138" s="157">
        <f t="shared" si="659"/>
        <v>4.1990912414477464</v>
      </c>
      <c r="AO138" s="137"/>
      <c r="AP138" s="32">
        <f t="shared" si="1063"/>
        <v>79</v>
      </c>
      <c r="AQ138" s="443">
        <f t="shared" si="1131"/>
        <v>0</v>
      </c>
      <c r="AR138" s="471">
        <f t="shared" si="799"/>
        <v>3681.7427283987504</v>
      </c>
      <c r="AS138" s="56">
        <f t="shared" si="1064"/>
        <v>1257</v>
      </c>
      <c r="AT138" s="109">
        <f t="shared" si="1065"/>
        <v>0</v>
      </c>
      <c r="AU138" s="53">
        <f t="shared" si="736"/>
        <v>1257</v>
      </c>
      <c r="AV138" s="56">
        <f t="shared" si="1066"/>
        <v>86</v>
      </c>
      <c r="AW138" s="109">
        <f t="shared" si="1067"/>
        <v>0</v>
      </c>
      <c r="AX138" s="53">
        <f t="shared" si="660"/>
        <v>86</v>
      </c>
      <c r="AZ138" s="197">
        <f t="shared" si="1132"/>
        <v>5</v>
      </c>
      <c r="BA138" s="8">
        <f t="shared" si="1068"/>
        <v>18</v>
      </c>
      <c r="BB138" s="136"/>
      <c r="BC138" s="54">
        <f t="shared" si="967"/>
        <v>65336</v>
      </c>
      <c r="BD138" s="55">
        <f t="shared" si="968"/>
        <v>65336</v>
      </c>
      <c r="BE138" s="137"/>
      <c r="BF138" s="138"/>
      <c r="BG138" s="138"/>
      <c r="BH138" s="34">
        <f t="shared" si="893"/>
        <v>0</v>
      </c>
      <c r="BI138" s="32">
        <f t="shared" si="912"/>
        <v>1255</v>
      </c>
      <c r="BJ138" s="32">
        <f t="shared" si="1069"/>
        <v>0.16</v>
      </c>
      <c r="BK138" s="96">
        <f t="shared" si="1141"/>
        <v>0</v>
      </c>
      <c r="BL138" s="36">
        <f t="shared" si="1070"/>
        <v>4.4800000000000013</v>
      </c>
      <c r="BM138" s="132">
        <f t="shared" si="840"/>
        <v>1.757703081232493</v>
      </c>
      <c r="BN138" s="137"/>
      <c r="BO138" s="32">
        <f t="shared" si="1071"/>
        <v>79</v>
      </c>
      <c r="BP138" s="443">
        <f t="shared" si="1142"/>
        <v>0</v>
      </c>
      <c r="BQ138" s="750">
        <f t="shared" si="1145"/>
        <v>3487.7310117165239</v>
      </c>
      <c r="BR138" s="56">
        <f t="shared" si="1072"/>
        <v>1257</v>
      </c>
      <c r="BS138" s="109">
        <f t="shared" si="1073"/>
        <v>0</v>
      </c>
      <c r="BT138" s="53">
        <f t="shared" si="737"/>
        <v>1257</v>
      </c>
      <c r="BU138" s="56">
        <f t="shared" si="1074"/>
        <v>86</v>
      </c>
      <c r="BV138" s="109">
        <f t="shared" si="1075"/>
        <v>0</v>
      </c>
      <c r="BW138" s="53">
        <f t="shared" si="661"/>
        <v>86</v>
      </c>
      <c r="BY138" s="197">
        <f t="shared" si="1133"/>
        <v>5</v>
      </c>
      <c r="BZ138" s="8">
        <f t="shared" si="1076"/>
        <v>18</v>
      </c>
      <c r="CA138" s="136"/>
      <c r="CB138" s="54">
        <f t="shared" si="662"/>
        <v>14583</v>
      </c>
      <c r="CC138" s="55">
        <f t="shared" si="682"/>
        <v>14583</v>
      </c>
      <c r="CD138" s="137"/>
      <c r="CE138" s="138"/>
      <c r="CF138" s="138"/>
      <c r="CG138" s="34">
        <f t="shared" si="683"/>
        <v>0</v>
      </c>
      <c r="CH138" s="32">
        <f t="shared" si="663"/>
        <v>73</v>
      </c>
      <c r="CI138" s="32">
        <f t="shared" si="1077"/>
        <v>0.16</v>
      </c>
      <c r="CJ138" s="47">
        <f t="shared" si="782"/>
        <v>0</v>
      </c>
      <c r="CK138" s="36">
        <f t="shared" si="1078"/>
        <v>4.4800000000000013</v>
      </c>
      <c r="CL138" s="157">
        <f t="shared" si="783"/>
        <v>0.49808951965065501</v>
      </c>
      <c r="CM138" s="137"/>
      <c r="CN138" s="32">
        <f t="shared" si="1079"/>
        <v>79</v>
      </c>
      <c r="CO138" s="442">
        <f t="shared" si="784"/>
        <v>0</v>
      </c>
      <c r="CP138" s="70">
        <f t="shared" si="1143"/>
        <v>1975.2862203652064</v>
      </c>
      <c r="CQ138" s="56">
        <f t="shared" si="1080"/>
        <v>1257</v>
      </c>
      <c r="CR138" s="109">
        <f t="shared" si="1081"/>
        <v>0</v>
      </c>
      <c r="CS138" s="53">
        <f t="shared" si="738"/>
        <v>1257</v>
      </c>
      <c r="CT138" s="56">
        <f t="shared" si="1082"/>
        <v>86</v>
      </c>
      <c r="CU138" s="109">
        <f t="shared" si="1083"/>
        <v>0</v>
      </c>
      <c r="CV138" s="53">
        <f t="shared" si="1134"/>
        <v>86</v>
      </c>
      <c r="CX138" s="197">
        <f t="shared" si="1135"/>
        <v>5</v>
      </c>
      <c r="CY138" s="8">
        <f t="shared" si="1084"/>
        <v>18</v>
      </c>
      <c r="CZ138" s="136"/>
      <c r="DA138" s="54">
        <f t="shared" si="925"/>
        <v>14671</v>
      </c>
      <c r="DB138" s="55">
        <f t="shared" si="969"/>
        <v>14671</v>
      </c>
      <c r="DC138" s="137"/>
      <c r="DD138" s="138"/>
      <c r="DE138" s="138"/>
      <c r="DF138" s="34">
        <f t="shared" si="684"/>
        <v>0</v>
      </c>
      <c r="DG138" s="32">
        <f t="shared" si="1046"/>
        <v>56</v>
      </c>
      <c r="DH138" s="32">
        <f t="shared" si="1085"/>
        <v>0.16</v>
      </c>
      <c r="DI138" s="47">
        <f t="shared" si="785"/>
        <v>0</v>
      </c>
      <c r="DJ138" s="36">
        <f t="shared" si="1086"/>
        <v>4.4800000000000013</v>
      </c>
      <c r="DK138" s="157">
        <f t="shared" si="786"/>
        <v>0.38035726414453574</v>
      </c>
      <c r="DL138" s="137"/>
      <c r="DM138" s="32">
        <f t="shared" si="1087"/>
        <v>79</v>
      </c>
      <c r="DN138" s="442">
        <f t="shared" si="787"/>
        <v>0</v>
      </c>
      <c r="DO138" s="70">
        <f t="shared" si="666"/>
        <v>2052.9886076744156</v>
      </c>
      <c r="DP138" s="56">
        <f t="shared" si="1088"/>
        <v>1257</v>
      </c>
      <c r="DQ138" s="109">
        <f t="shared" si="1089"/>
        <v>0</v>
      </c>
      <c r="DR138" s="53">
        <f t="shared" si="739"/>
        <v>1257</v>
      </c>
      <c r="DS138" s="56">
        <f t="shared" si="1090"/>
        <v>86</v>
      </c>
      <c r="DT138" s="109">
        <f t="shared" si="1091"/>
        <v>0</v>
      </c>
      <c r="DU138" s="53">
        <f t="shared" ref="DU138" si="1146">DS138-DT138</f>
        <v>86</v>
      </c>
      <c r="DW138" s="197">
        <f t="shared" si="1136"/>
        <v>5</v>
      </c>
      <c r="DX138" s="8">
        <f t="shared" si="1092"/>
        <v>18</v>
      </c>
      <c r="DY138" s="136"/>
      <c r="DZ138" s="54">
        <f t="shared" si="926"/>
        <v>14466</v>
      </c>
      <c r="EA138" s="55">
        <f t="shared" si="970"/>
        <v>14466</v>
      </c>
      <c r="EB138" s="137"/>
      <c r="EC138" s="138"/>
      <c r="ED138" s="138"/>
      <c r="EE138" s="34">
        <f t="shared" si="686"/>
        <v>0</v>
      </c>
      <c r="EF138" s="32">
        <f t="shared" si="1047"/>
        <v>81</v>
      </c>
      <c r="EG138" s="32">
        <f t="shared" si="1093"/>
        <v>0.16</v>
      </c>
      <c r="EH138" s="47">
        <f t="shared" si="788"/>
        <v>0</v>
      </c>
      <c r="EI138" s="36">
        <f t="shared" si="1094"/>
        <v>4.4800000000000013</v>
      </c>
      <c r="EJ138" s="157">
        <f t="shared" si="800"/>
        <v>0.55708390646492434</v>
      </c>
      <c r="EK138" s="137"/>
      <c r="EL138" s="32">
        <f t="shared" si="1095"/>
        <v>79</v>
      </c>
      <c r="EM138" s="442">
        <f t="shared" si="789"/>
        <v>0</v>
      </c>
      <c r="EN138" s="70">
        <f t="shared" si="669"/>
        <v>2297.0468525697056</v>
      </c>
      <c r="EO138" s="56">
        <f t="shared" si="1096"/>
        <v>1257</v>
      </c>
      <c r="EP138" s="109">
        <f t="shared" si="1097"/>
        <v>0</v>
      </c>
      <c r="EQ138" s="53">
        <f t="shared" si="740"/>
        <v>1257</v>
      </c>
      <c r="ER138" s="56">
        <f t="shared" si="1098"/>
        <v>86</v>
      </c>
      <c r="ES138" s="109">
        <f t="shared" si="1099"/>
        <v>0</v>
      </c>
      <c r="ET138" s="53">
        <f t="shared" ref="ET138" si="1147">ER138-ES138</f>
        <v>86</v>
      </c>
      <c r="EV138" s="197">
        <f t="shared" si="1137"/>
        <v>5</v>
      </c>
      <c r="EW138" s="8">
        <f t="shared" si="1100"/>
        <v>18</v>
      </c>
      <c r="EX138" s="136"/>
      <c r="EY138" s="54">
        <f t="shared" si="927"/>
        <v>14167</v>
      </c>
      <c r="EZ138" s="55">
        <f t="shared" si="971"/>
        <v>14167</v>
      </c>
      <c r="FA138" s="137"/>
      <c r="FB138" s="138"/>
      <c r="FC138" s="138"/>
      <c r="FD138" s="34">
        <f t="shared" si="688"/>
        <v>0</v>
      </c>
      <c r="FE138" s="32">
        <f t="shared" si="1048"/>
        <v>71</v>
      </c>
      <c r="FF138" s="32">
        <f t="shared" si="1101"/>
        <v>0.16</v>
      </c>
      <c r="FG138" s="47">
        <f t="shared" si="790"/>
        <v>0</v>
      </c>
      <c r="FH138" s="36">
        <f t="shared" si="1102"/>
        <v>4.4800000000000013</v>
      </c>
      <c r="FI138" s="157">
        <f t="shared" si="801"/>
        <v>0.49877063575693714</v>
      </c>
      <c r="FJ138" s="137"/>
      <c r="FK138" s="32">
        <f t="shared" si="1103"/>
        <v>79</v>
      </c>
      <c r="FL138" s="442">
        <f t="shared" si="792"/>
        <v>0</v>
      </c>
      <c r="FM138" s="70">
        <f t="shared" si="672"/>
        <v>2437.1380235191186</v>
      </c>
      <c r="FN138" s="56">
        <f t="shared" si="1104"/>
        <v>1257</v>
      </c>
      <c r="FO138" s="109">
        <f t="shared" si="1105"/>
        <v>0</v>
      </c>
      <c r="FP138" s="53">
        <f t="shared" si="741"/>
        <v>1257</v>
      </c>
      <c r="FQ138" s="56">
        <f t="shared" si="1106"/>
        <v>86</v>
      </c>
      <c r="FR138" s="109">
        <f t="shared" si="1107"/>
        <v>0</v>
      </c>
      <c r="FS138" s="53">
        <f t="shared" ref="FS138" si="1148">FQ138-FR138</f>
        <v>86</v>
      </c>
      <c r="FU138" s="197">
        <f t="shared" si="1138"/>
        <v>5</v>
      </c>
      <c r="FV138" s="8">
        <f t="shared" si="1108"/>
        <v>18</v>
      </c>
      <c r="FW138" s="136"/>
      <c r="FX138" s="54">
        <f t="shared" si="928"/>
        <v>14147</v>
      </c>
      <c r="FY138" s="55">
        <f t="shared" si="972"/>
        <v>14147</v>
      </c>
      <c r="FZ138" s="137"/>
      <c r="GA138" s="138"/>
      <c r="GB138" s="138"/>
      <c r="GC138" s="34">
        <f t="shared" si="690"/>
        <v>0</v>
      </c>
      <c r="GD138" s="32">
        <f t="shared" si="1049"/>
        <v>44</v>
      </c>
      <c r="GE138" s="32">
        <f t="shared" si="1109"/>
        <v>0.16</v>
      </c>
      <c r="GF138" s="47">
        <f t="shared" si="793"/>
        <v>0</v>
      </c>
      <c r="GG138" s="36">
        <f t="shared" si="1110"/>
        <v>4.4800000000000013</v>
      </c>
      <c r="GH138" s="157">
        <f t="shared" si="802"/>
        <v>0.31009937275354149</v>
      </c>
      <c r="GI138" s="137"/>
      <c r="GJ138" s="32">
        <f t="shared" si="1111"/>
        <v>79</v>
      </c>
      <c r="GK138" s="442">
        <f t="shared" si="795"/>
        <v>0</v>
      </c>
      <c r="GL138" s="70">
        <f t="shared" si="675"/>
        <v>2115.7658400333685</v>
      </c>
      <c r="GM138" s="56">
        <f t="shared" si="1112"/>
        <v>1257</v>
      </c>
      <c r="GN138" s="109">
        <f t="shared" si="1113"/>
        <v>0</v>
      </c>
      <c r="GO138" s="53">
        <f t="shared" si="742"/>
        <v>1257</v>
      </c>
      <c r="GP138" s="56">
        <f t="shared" si="1114"/>
        <v>86</v>
      </c>
      <c r="GQ138" s="109">
        <f t="shared" si="1115"/>
        <v>0</v>
      </c>
      <c r="GR138" s="53">
        <f t="shared" ref="GR138" si="1149">GP138-GQ138</f>
        <v>86</v>
      </c>
      <c r="GT138" s="197">
        <f t="shared" si="1139"/>
        <v>5</v>
      </c>
      <c r="GU138" s="8">
        <f t="shared" si="1116"/>
        <v>18</v>
      </c>
      <c r="GV138" s="136"/>
      <c r="GW138" s="54">
        <f t="shared" si="929"/>
        <v>9146</v>
      </c>
      <c r="GX138" s="55">
        <f t="shared" si="973"/>
        <v>9146</v>
      </c>
      <c r="GY138" s="137"/>
      <c r="GZ138" s="138"/>
      <c r="HA138" s="138"/>
      <c r="HB138" s="34">
        <f t="shared" si="692"/>
        <v>0</v>
      </c>
      <c r="HC138" s="32">
        <f t="shared" si="1050"/>
        <v>36</v>
      </c>
      <c r="HD138" s="32">
        <f t="shared" si="1117"/>
        <v>0.16</v>
      </c>
      <c r="HE138" s="47">
        <f t="shared" si="796"/>
        <v>0</v>
      </c>
      <c r="HF138" s="36">
        <f t="shared" si="1118"/>
        <v>4.4800000000000013</v>
      </c>
      <c r="HG138" s="157">
        <f t="shared" si="803"/>
        <v>0.3920714441298192</v>
      </c>
      <c r="HH138" s="137"/>
      <c r="HI138" s="32">
        <f t="shared" si="1119"/>
        <v>79</v>
      </c>
      <c r="HJ138" s="442">
        <f t="shared" si="798"/>
        <v>0</v>
      </c>
      <c r="HK138" s="70">
        <f t="shared" si="678"/>
        <v>2261.5830127780196</v>
      </c>
      <c r="HL138" s="56">
        <f t="shared" si="1120"/>
        <v>1257</v>
      </c>
      <c r="HM138" s="109">
        <f t="shared" si="1121"/>
        <v>0</v>
      </c>
      <c r="HN138" s="53">
        <f t="shared" si="743"/>
        <v>1257</v>
      </c>
      <c r="HO138" s="56">
        <f t="shared" si="1122"/>
        <v>86</v>
      </c>
      <c r="HP138" s="109">
        <f t="shared" si="1123"/>
        <v>0</v>
      </c>
      <c r="HQ138" s="53">
        <f t="shared" ref="HQ138" si="1150">HO138-HP138</f>
        <v>86</v>
      </c>
    </row>
    <row r="139" spans="2:225" x14ac:dyDescent="0.25">
      <c r="B139" s="455"/>
      <c r="C139" s="456"/>
      <c r="D139" s="455"/>
      <c r="E139" s="457"/>
      <c r="F139" s="457"/>
      <c r="G139" s="458"/>
      <c r="H139" s="458"/>
      <c r="I139" s="458"/>
      <c r="J139" s="459"/>
      <c r="K139" s="459"/>
      <c r="L139" s="459"/>
      <c r="M139" s="460"/>
      <c r="N139" s="461"/>
      <c r="O139" s="460"/>
      <c r="P139" s="458"/>
      <c r="Q139" s="459"/>
      <c r="R139" s="462"/>
      <c r="S139" s="457"/>
      <c r="T139" s="459"/>
      <c r="U139" s="463"/>
      <c r="V139" s="459"/>
      <c r="W139" s="459"/>
      <c r="X139" s="463"/>
      <c r="Y139" s="459"/>
      <c r="Z139" s="487"/>
      <c r="AA139" s="455"/>
      <c r="AB139" s="456"/>
      <c r="AC139" s="455"/>
      <c r="AD139" s="457"/>
      <c r="AE139" s="457"/>
      <c r="AF139" s="458"/>
      <c r="AG139" s="458"/>
      <c r="AH139" s="458"/>
      <c r="AI139" s="459"/>
      <c r="AJ139" s="459"/>
      <c r="AK139" s="459"/>
      <c r="AL139" s="460"/>
      <c r="AM139" s="461"/>
      <c r="AN139" s="460"/>
      <c r="AO139" s="458"/>
      <c r="AP139" s="459"/>
      <c r="AQ139" s="462"/>
      <c r="AR139" s="457"/>
      <c r="AS139" s="459"/>
      <c r="AT139" s="463"/>
      <c r="AU139" s="459"/>
      <c r="AV139" s="459"/>
      <c r="AW139" s="463"/>
      <c r="AX139" s="459"/>
      <c r="AZ139" s="455"/>
      <c r="BA139" s="456"/>
      <c r="BB139" s="455"/>
      <c r="BC139" s="459"/>
      <c r="BD139" s="459"/>
      <c r="BE139" s="458"/>
      <c r="BF139" s="458"/>
      <c r="BG139" s="458"/>
      <c r="BH139" s="459"/>
      <c r="BI139" s="459"/>
      <c r="BJ139" s="459"/>
      <c r="BK139" s="460"/>
      <c r="BL139" s="461"/>
      <c r="BM139" s="460"/>
      <c r="BN139" s="458"/>
      <c r="BO139" s="459"/>
      <c r="BP139" s="457"/>
      <c r="BQ139" s="457"/>
      <c r="BR139" s="459"/>
      <c r="BS139" s="463"/>
      <c r="BT139" s="459"/>
      <c r="BU139" s="459"/>
      <c r="BV139" s="463"/>
      <c r="BW139" s="459"/>
      <c r="BY139" s="455"/>
      <c r="BZ139" s="456"/>
      <c r="CA139" s="455"/>
      <c r="CB139" s="459"/>
      <c r="CC139" s="459"/>
      <c r="CD139" s="458"/>
      <c r="CE139" s="458"/>
      <c r="CF139" s="458"/>
      <c r="CG139" s="459"/>
      <c r="CH139" s="459"/>
      <c r="CI139" s="459"/>
      <c r="CJ139" s="460"/>
      <c r="CK139" s="461"/>
      <c r="CL139" s="460"/>
      <c r="CM139" s="458"/>
      <c r="CN139" s="459"/>
      <c r="CO139" s="457"/>
      <c r="CP139" s="457"/>
      <c r="CQ139" s="459"/>
      <c r="CR139" s="463"/>
      <c r="CS139" s="463"/>
      <c r="CT139" s="459"/>
      <c r="CU139" s="463"/>
      <c r="CV139" s="459"/>
    </row>
    <row r="140" spans="2:225" x14ac:dyDescent="0.25">
      <c r="B140" s="455"/>
      <c r="C140" s="456"/>
      <c r="D140" s="455"/>
      <c r="E140" s="457"/>
      <c r="F140" s="457"/>
      <c r="G140" s="458"/>
      <c r="H140" s="458"/>
      <c r="I140" s="458"/>
      <c r="J140" s="459"/>
      <c r="K140" s="459"/>
      <c r="L140" s="459"/>
      <c r="M140" s="460"/>
      <c r="N140" s="461"/>
      <c r="O140" s="460"/>
      <c r="P140" s="458"/>
      <c r="Q140" s="459"/>
      <c r="R140" s="462"/>
      <c r="S140" s="457"/>
      <c r="T140" s="459"/>
      <c r="U140" s="463"/>
      <c r="V140" s="459"/>
      <c r="W140" s="459"/>
      <c r="X140" s="463"/>
      <c r="Y140" s="459"/>
      <c r="Z140" s="487"/>
      <c r="AA140" s="455"/>
      <c r="AB140" s="456"/>
      <c r="AC140" s="455"/>
      <c r="AD140" s="457"/>
      <c r="AE140" s="457"/>
      <c r="AF140" s="458"/>
      <c r="AG140" s="458"/>
      <c r="AH140" s="458"/>
      <c r="AI140" s="459"/>
      <c r="AJ140" s="459"/>
      <c r="AK140" s="459"/>
      <c r="AL140" s="460"/>
      <c r="AM140" s="461"/>
      <c r="AN140" s="460"/>
      <c r="AO140" s="458"/>
      <c r="AP140" s="459"/>
      <c r="AQ140" s="462"/>
      <c r="AR140" s="457"/>
      <c r="AS140" s="459"/>
      <c r="AT140" s="463"/>
      <c r="AU140" s="459"/>
      <c r="AV140" s="459"/>
      <c r="AW140" s="463"/>
      <c r="AX140" s="459"/>
      <c r="AZ140" s="455"/>
      <c r="BA140" s="456"/>
      <c r="BB140" s="455"/>
      <c r="BC140" s="459"/>
      <c r="BD140" s="459"/>
      <c r="BE140" s="458"/>
      <c r="BF140" s="458"/>
      <c r="BG140" s="458"/>
      <c r="BH140" s="459"/>
      <c r="BI140" s="459"/>
      <c r="BJ140" s="459"/>
      <c r="BK140" s="460"/>
      <c r="BL140" s="461"/>
      <c r="BM140" s="460"/>
      <c r="BN140" s="458"/>
      <c r="BO140" s="459"/>
      <c r="BP140" s="457"/>
      <c r="BQ140" s="457"/>
      <c r="BR140" s="459"/>
      <c r="BS140" s="463"/>
      <c r="BT140" s="459"/>
      <c r="BU140" s="459"/>
      <c r="BV140" s="463"/>
      <c r="BW140" s="459"/>
      <c r="BY140" s="455"/>
      <c r="BZ140" s="456"/>
      <c r="CA140" s="455"/>
      <c r="CB140" s="459"/>
      <c r="CC140" s="459"/>
      <c r="CD140" s="458"/>
      <c r="CE140" s="458"/>
      <c r="CF140" s="458"/>
      <c r="CG140" s="459"/>
      <c r="CH140" s="459"/>
      <c r="CI140" s="459"/>
      <c r="CJ140" s="460"/>
      <c r="CK140" s="461"/>
      <c r="CL140" s="460"/>
      <c r="CM140" s="458"/>
      <c r="CN140" s="459"/>
      <c r="CO140" s="457"/>
      <c r="CP140" s="457"/>
      <c r="CQ140" s="459"/>
      <c r="CR140" s="463"/>
      <c r="CS140" s="463"/>
      <c r="CT140" s="459"/>
      <c r="CU140" s="463"/>
      <c r="CV140" s="459"/>
    </row>
    <row r="141" spans="2:225" s="4" customFormat="1" x14ac:dyDescent="0.25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74"/>
      <c r="Z141" s="492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460"/>
      <c r="AO141" s="3"/>
      <c r="AP141" s="3"/>
      <c r="AQ141" s="3"/>
      <c r="AR141" s="3"/>
      <c r="AS141" s="3"/>
      <c r="AT141" s="3"/>
      <c r="AU141" s="3"/>
      <c r="AV141" s="3"/>
      <c r="AW141" s="3"/>
      <c r="AX141" s="74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74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74"/>
    </row>
    <row r="142" spans="2:225" s="4" customFormat="1" x14ac:dyDescent="0.25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74"/>
      <c r="Z142" s="492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460"/>
      <c r="AO142" s="3"/>
      <c r="AP142" s="3"/>
      <c r="AQ142" s="3"/>
      <c r="AR142" s="3"/>
      <c r="AS142" s="3"/>
      <c r="AT142" s="3"/>
      <c r="AU142" s="3"/>
      <c r="AV142" s="3"/>
      <c r="AW142" s="3"/>
      <c r="AX142" s="74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74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74"/>
    </row>
    <row r="143" spans="2:225" x14ac:dyDescent="0.25"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454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 t="s">
        <v>140</v>
      </c>
      <c r="AM143" s="1"/>
      <c r="AN143" s="460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2:225" ht="37.5" customHeight="1" x14ac:dyDescent="0.25">
      <c r="C144" s="89" t="s">
        <v>43</v>
      </c>
      <c r="D144" s="90" t="s">
        <v>58</v>
      </c>
      <c r="E144" s="86" t="s">
        <v>67</v>
      </c>
      <c r="F144" s="86" t="s">
        <v>34</v>
      </c>
      <c r="G144" s="88" t="s">
        <v>27</v>
      </c>
      <c r="H144" s="88" t="s">
        <v>16</v>
      </c>
      <c r="I144" s="88" t="s">
        <v>17</v>
      </c>
      <c r="J144" s="88" t="s">
        <v>18</v>
      </c>
      <c r="K144" s="88" t="s">
        <v>48</v>
      </c>
      <c r="L144" s="86" t="s">
        <v>72</v>
      </c>
      <c r="M144" s="86" t="s">
        <v>74</v>
      </c>
      <c r="N144" s="87" t="s">
        <v>49</v>
      </c>
      <c r="O144" s="87" t="s">
        <v>73</v>
      </c>
      <c r="P144" s="88" t="s">
        <v>9</v>
      </c>
      <c r="Q144" s="86" t="s">
        <v>75</v>
      </c>
      <c r="R144" s="86" t="s">
        <v>62</v>
      </c>
      <c r="S144" s="86" t="s">
        <v>50</v>
      </c>
      <c r="T144" s="86" t="s">
        <v>63</v>
      </c>
      <c r="U144" s="86" t="s">
        <v>64</v>
      </c>
      <c r="V144" s="88" t="s">
        <v>15</v>
      </c>
      <c r="W144" s="86" t="s">
        <v>65</v>
      </c>
      <c r="X144" s="86" t="s">
        <v>66</v>
      </c>
      <c r="Y144" s="88" t="s">
        <v>15</v>
      </c>
      <c r="Z144" s="488"/>
      <c r="AA144" s="1"/>
      <c r="AB144" s="89" t="s">
        <v>43</v>
      </c>
      <c r="AC144" s="90" t="s">
        <v>58</v>
      </c>
      <c r="AD144" s="86" t="s">
        <v>67</v>
      </c>
      <c r="AE144" s="86" t="s">
        <v>34</v>
      </c>
      <c r="AF144" s="88" t="s">
        <v>27</v>
      </c>
      <c r="AG144" s="88" t="s">
        <v>16</v>
      </c>
      <c r="AH144" s="88" t="s">
        <v>17</v>
      </c>
      <c r="AI144" s="88" t="s">
        <v>18</v>
      </c>
      <c r="AJ144" s="88" t="s">
        <v>48</v>
      </c>
      <c r="AK144" s="86" t="s">
        <v>72</v>
      </c>
      <c r="AL144" s="86" t="s">
        <v>74</v>
      </c>
      <c r="AM144" s="87" t="s">
        <v>49</v>
      </c>
      <c r="AN144" s="155"/>
      <c r="AO144" s="88" t="s">
        <v>9</v>
      </c>
      <c r="AP144" s="86" t="s">
        <v>75</v>
      </c>
      <c r="AQ144" s="86" t="s">
        <v>62</v>
      </c>
      <c r="AR144" s="86" t="s">
        <v>50</v>
      </c>
      <c r="AS144" s="86" t="s">
        <v>63</v>
      </c>
      <c r="AT144" s="86" t="s">
        <v>64</v>
      </c>
      <c r="AU144" s="88" t="s">
        <v>15</v>
      </c>
      <c r="AV144" s="86" t="s">
        <v>65</v>
      </c>
      <c r="AW144" s="86" t="s">
        <v>66</v>
      </c>
      <c r="AX144" s="88" t="s">
        <v>15</v>
      </c>
      <c r="AZ144" s="1"/>
      <c r="BA144" s="89" t="s">
        <v>43</v>
      </c>
      <c r="BB144" s="90" t="s">
        <v>58</v>
      </c>
      <c r="BC144" s="86" t="s">
        <v>67</v>
      </c>
      <c r="BD144" s="86" t="s">
        <v>34</v>
      </c>
      <c r="BE144" s="88" t="s">
        <v>27</v>
      </c>
      <c r="BF144" s="88" t="s">
        <v>16</v>
      </c>
      <c r="BG144" s="88" t="s">
        <v>17</v>
      </c>
      <c r="BH144" s="88" t="s">
        <v>18</v>
      </c>
      <c r="BI144" s="88" t="s">
        <v>48</v>
      </c>
      <c r="BJ144" s="86" t="s">
        <v>72</v>
      </c>
      <c r="BK144" s="86" t="s">
        <v>74</v>
      </c>
      <c r="BL144" s="87" t="s">
        <v>49</v>
      </c>
      <c r="BM144" s="87" t="s">
        <v>73</v>
      </c>
      <c r="BN144" s="88" t="s">
        <v>9</v>
      </c>
      <c r="BO144" s="86" t="s">
        <v>75</v>
      </c>
      <c r="BP144" s="86" t="s">
        <v>62</v>
      </c>
      <c r="BQ144" s="86" t="s">
        <v>50</v>
      </c>
      <c r="BR144" s="86" t="s">
        <v>63</v>
      </c>
      <c r="BS144" s="86" t="s">
        <v>64</v>
      </c>
      <c r="BT144" s="88" t="s">
        <v>15</v>
      </c>
      <c r="BU144" s="86" t="s">
        <v>65</v>
      </c>
      <c r="BV144" s="86" t="s">
        <v>66</v>
      </c>
      <c r="BW144" s="88" t="s">
        <v>15</v>
      </c>
      <c r="BY144" s="1"/>
      <c r="BZ144" s="89" t="s">
        <v>43</v>
      </c>
      <c r="CA144" s="90" t="s">
        <v>58</v>
      </c>
      <c r="CB144" s="86" t="s">
        <v>67</v>
      </c>
      <c r="CC144" s="86" t="s">
        <v>34</v>
      </c>
      <c r="CD144" s="88" t="s">
        <v>27</v>
      </c>
      <c r="CE144" s="88" t="s">
        <v>16</v>
      </c>
      <c r="CF144" s="88" t="s">
        <v>17</v>
      </c>
      <c r="CG144" s="88" t="s">
        <v>18</v>
      </c>
      <c r="CH144" s="88" t="s">
        <v>48</v>
      </c>
      <c r="CI144" s="86" t="s">
        <v>72</v>
      </c>
      <c r="CJ144" s="86" t="s">
        <v>74</v>
      </c>
      <c r="CK144" s="87" t="s">
        <v>49</v>
      </c>
      <c r="CL144" s="87" t="s">
        <v>73</v>
      </c>
      <c r="CM144" s="88" t="s">
        <v>9</v>
      </c>
      <c r="CN144" s="86" t="s">
        <v>75</v>
      </c>
      <c r="CO144" s="86" t="s">
        <v>62</v>
      </c>
      <c r="CP144" s="86" t="s">
        <v>50</v>
      </c>
      <c r="CQ144" s="86" t="s">
        <v>63</v>
      </c>
      <c r="CR144" s="86" t="s">
        <v>64</v>
      </c>
      <c r="CS144" s="88" t="s">
        <v>15</v>
      </c>
      <c r="CT144" s="86" t="s">
        <v>65</v>
      </c>
      <c r="CU144" s="86" t="s">
        <v>66</v>
      </c>
      <c r="CV144" s="88" t="s">
        <v>15</v>
      </c>
      <c r="CY144" s="89" t="s">
        <v>43</v>
      </c>
      <c r="CZ144" s="90" t="s">
        <v>58</v>
      </c>
      <c r="DA144" s="86" t="s">
        <v>67</v>
      </c>
      <c r="DB144" s="86" t="s">
        <v>34</v>
      </c>
      <c r="DC144" s="88" t="s">
        <v>27</v>
      </c>
      <c r="DD144" s="88" t="s">
        <v>16</v>
      </c>
      <c r="DE144" s="88" t="s">
        <v>17</v>
      </c>
      <c r="DF144" s="88" t="s">
        <v>18</v>
      </c>
      <c r="DG144" s="88" t="s">
        <v>48</v>
      </c>
      <c r="DH144" s="86" t="s">
        <v>72</v>
      </c>
      <c r="DI144" s="86" t="s">
        <v>74</v>
      </c>
      <c r="DJ144" s="87" t="s">
        <v>49</v>
      </c>
      <c r="DK144" s="87" t="s">
        <v>73</v>
      </c>
      <c r="DL144" s="88" t="s">
        <v>9</v>
      </c>
      <c r="DM144" s="86" t="s">
        <v>75</v>
      </c>
      <c r="DN144" s="86" t="s">
        <v>62</v>
      </c>
      <c r="DO144" s="86" t="s">
        <v>50</v>
      </c>
      <c r="DP144" s="86" t="s">
        <v>63</v>
      </c>
      <c r="DQ144" s="86" t="s">
        <v>64</v>
      </c>
      <c r="DR144" s="88" t="s">
        <v>15</v>
      </c>
      <c r="DS144" s="86" t="s">
        <v>65</v>
      </c>
      <c r="DT144" s="86" t="s">
        <v>66</v>
      </c>
      <c r="DU144" s="88" t="s">
        <v>15</v>
      </c>
      <c r="DX144" s="89" t="s">
        <v>43</v>
      </c>
      <c r="DY144" s="90" t="s">
        <v>58</v>
      </c>
      <c r="DZ144" s="86" t="s">
        <v>67</v>
      </c>
      <c r="EA144" s="86" t="s">
        <v>34</v>
      </c>
      <c r="EB144" s="88" t="s">
        <v>27</v>
      </c>
      <c r="EC144" s="88" t="s">
        <v>16</v>
      </c>
      <c r="ED144" s="88" t="s">
        <v>17</v>
      </c>
      <c r="EE144" s="88" t="s">
        <v>18</v>
      </c>
      <c r="EF144" s="88" t="s">
        <v>48</v>
      </c>
      <c r="EG144" s="86" t="s">
        <v>72</v>
      </c>
      <c r="EH144" s="86" t="s">
        <v>74</v>
      </c>
      <c r="EI144" s="87" t="s">
        <v>49</v>
      </c>
      <c r="EJ144" s="87" t="s">
        <v>73</v>
      </c>
      <c r="EK144" s="88" t="s">
        <v>9</v>
      </c>
      <c r="EL144" s="86" t="s">
        <v>75</v>
      </c>
      <c r="EM144" s="86" t="s">
        <v>62</v>
      </c>
      <c r="EN144" s="86" t="s">
        <v>50</v>
      </c>
      <c r="EO144" s="86" t="s">
        <v>63</v>
      </c>
      <c r="EP144" s="86" t="s">
        <v>64</v>
      </c>
      <c r="EQ144" s="88" t="s">
        <v>15</v>
      </c>
      <c r="ER144" s="86" t="s">
        <v>65</v>
      </c>
      <c r="ES144" s="86" t="s">
        <v>66</v>
      </c>
      <c r="ET144" s="88" t="s">
        <v>15</v>
      </c>
      <c r="EW144" s="89" t="s">
        <v>43</v>
      </c>
      <c r="EX144" s="90" t="s">
        <v>58</v>
      </c>
      <c r="EY144" s="86" t="s">
        <v>67</v>
      </c>
      <c r="EZ144" s="86" t="s">
        <v>34</v>
      </c>
      <c r="FA144" s="88" t="s">
        <v>27</v>
      </c>
      <c r="FB144" s="88" t="s">
        <v>16</v>
      </c>
      <c r="FC144" s="88" t="s">
        <v>17</v>
      </c>
      <c r="FD144" s="88" t="s">
        <v>18</v>
      </c>
      <c r="FE144" s="88" t="s">
        <v>48</v>
      </c>
      <c r="FF144" s="86" t="s">
        <v>72</v>
      </c>
      <c r="FG144" s="86" t="s">
        <v>74</v>
      </c>
      <c r="FH144" s="87" t="s">
        <v>49</v>
      </c>
      <c r="FI144" s="87" t="s">
        <v>73</v>
      </c>
      <c r="FJ144" s="88" t="s">
        <v>9</v>
      </c>
      <c r="FK144" s="86" t="s">
        <v>75</v>
      </c>
      <c r="FL144" s="86" t="s">
        <v>62</v>
      </c>
      <c r="FM144" s="86" t="s">
        <v>50</v>
      </c>
      <c r="FN144" s="86" t="s">
        <v>63</v>
      </c>
      <c r="FO144" s="86" t="s">
        <v>64</v>
      </c>
      <c r="FP144" s="88" t="s">
        <v>15</v>
      </c>
      <c r="FQ144" s="86" t="s">
        <v>65</v>
      </c>
      <c r="FR144" s="86" t="s">
        <v>66</v>
      </c>
      <c r="FS144" s="88" t="s">
        <v>15</v>
      </c>
      <c r="FV144" s="89" t="s">
        <v>43</v>
      </c>
      <c r="FW144" s="90" t="s">
        <v>58</v>
      </c>
      <c r="FX144" s="86" t="s">
        <v>67</v>
      </c>
      <c r="FY144" s="86" t="s">
        <v>34</v>
      </c>
      <c r="FZ144" s="88" t="s">
        <v>27</v>
      </c>
      <c r="GA144" s="88" t="s">
        <v>16</v>
      </c>
      <c r="GB144" s="88" t="s">
        <v>17</v>
      </c>
      <c r="GC144" s="88" t="s">
        <v>18</v>
      </c>
      <c r="GD144" s="88" t="s">
        <v>48</v>
      </c>
      <c r="GE144" s="86" t="s">
        <v>72</v>
      </c>
      <c r="GF144" s="86" t="s">
        <v>74</v>
      </c>
      <c r="GG144" s="87" t="s">
        <v>49</v>
      </c>
      <c r="GH144" s="87" t="s">
        <v>73</v>
      </c>
      <c r="GI144" s="88" t="s">
        <v>9</v>
      </c>
      <c r="GJ144" s="86" t="s">
        <v>75</v>
      </c>
      <c r="GK144" s="86" t="s">
        <v>62</v>
      </c>
      <c r="GL144" s="86" t="s">
        <v>50</v>
      </c>
      <c r="GM144" s="86" t="s">
        <v>63</v>
      </c>
      <c r="GN144" s="86" t="s">
        <v>64</v>
      </c>
      <c r="GO144" s="88" t="s">
        <v>15</v>
      </c>
      <c r="GP144" s="86" t="s">
        <v>65</v>
      </c>
      <c r="GQ144" s="86" t="s">
        <v>66</v>
      </c>
      <c r="GR144" s="88" t="s">
        <v>15</v>
      </c>
      <c r="GU144" s="89" t="s">
        <v>43</v>
      </c>
      <c r="GV144" s="90" t="s">
        <v>58</v>
      </c>
      <c r="GW144" s="86" t="s">
        <v>67</v>
      </c>
      <c r="GX144" s="86" t="s">
        <v>34</v>
      </c>
      <c r="GY144" s="88" t="s">
        <v>27</v>
      </c>
      <c r="GZ144" s="88" t="s">
        <v>16</v>
      </c>
      <c r="HA144" s="88" t="s">
        <v>17</v>
      </c>
      <c r="HB144" s="88" t="s">
        <v>18</v>
      </c>
      <c r="HC144" s="88" t="s">
        <v>48</v>
      </c>
      <c r="HD144" s="86" t="s">
        <v>72</v>
      </c>
      <c r="HE144" s="86" t="s">
        <v>74</v>
      </c>
      <c r="HF144" s="87" t="s">
        <v>49</v>
      </c>
      <c r="HG144" s="87" t="s">
        <v>73</v>
      </c>
      <c r="HH144" s="88" t="s">
        <v>9</v>
      </c>
      <c r="HI144" s="86" t="s">
        <v>75</v>
      </c>
      <c r="HJ144" s="86" t="s">
        <v>62</v>
      </c>
      <c r="HK144" s="86" t="s">
        <v>50</v>
      </c>
      <c r="HL144" s="86" t="s">
        <v>63</v>
      </c>
      <c r="HM144" s="86" t="s">
        <v>64</v>
      </c>
      <c r="HN144" s="88" t="s">
        <v>15</v>
      </c>
      <c r="HO144" s="86" t="s">
        <v>65</v>
      </c>
      <c r="HP144" s="86" t="s">
        <v>66</v>
      </c>
      <c r="HQ144" s="88" t="s">
        <v>15</v>
      </c>
    </row>
    <row r="145" spans="3:225" ht="21" customHeight="1" x14ac:dyDescent="0.25">
      <c r="C145" s="90">
        <v>0</v>
      </c>
      <c r="D145" s="369" t="s">
        <v>52</v>
      </c>
      <c r="E145" s="26">
        <f>INDEX($C$6:$Y$138,7,2)</f>
        <v>134873</v>
      </c>
      <c r="F145" s="26">
        <f>INDEX($C$6:$Y$138,7,4)</f>
        <v>133882</v>
      </c>
      <c r="G145" s="23">
        <f>SUMIFS($G$6:$G$138,$C$6:$C$138,$C145)</f>
        <v>0</v>
      </c>
      <c r="H145" s="23">
        <f>SUMIFS($H$6:$H$138,$C$6:$C$138,$C145)</f>
        <v>991</v>
      </c>
      <c r="I145" s="23">
        <f>SUMIFS($I$6:$I$138,$C$6:$C$138,$C145)</f>
        <v>0</v>
      </c>
      <c r="J145" s="88">
        <f>SUM(G145:I145)</f>
        <v>991</v>
      </c>
      <c r="K145" s="26">
        <f>INDEX($C$6:$Y$138,7,9)</f>
        <v>991</v>
      </c>
      <c r="L145" s="47">
        <f t="shared" ref="L145:L163" si="1151">VLOOKUP($C145,LOHMANN,4,FALSE)</f>
        <v>0.7</v>
      </c>
      <c r="M145" s="28">
        <f>(J145*100)/E145</f>
        <v>0.73476529772452603</v>
      </c>
      <c r="N145" s="47">
        <f>VLOOKUP($C145,LOHMANN,5,FALSE)</f>
        <v>0.7</v>
      </c>
      <c r="O145" s="47">
        <f>IFERROR((K145*100)/E145,0)</f>
        <v>0.73476529772452603</v>
      </c>
      <c r="P145" s="464">
        <f>SUMIFS($P$6:$P$138,$C$6:$C$138,$C145)</f>
        <v>6840</v>
      </c>
      <c r="Q145" s="14">
        <f>VLOOKUP($C145,LOHMANN,6,FALSE)</f>
        <v>10</v>
      </c>
      <c r="R145" s="742">
        <f>IFERROR((P145/7/E145)*1000,0)</f>
        <v>7.2449108208674611</v>
      </c>
      <c r="S145" s="30">
        <f>INDEX($C$6:$Y$138,7,17)</f>
        <v>63.871862762436976</v>
      </c>
      <c r="T145" s="14">
        <f>VLOOKUP($C145,LOHMANN,2,FALSE)</f>
        <v>40</v>
      </c>
      <c r="U145" s="349">
        <f>INDEX($C$6:$Y$138,7,19)</f>
        <v>39</v>
      </c>
      <c r="V145" s="415">
        <f t="shared" ref="V145:V163" si="1152">T145-U145</f>
        <v>1</v>
      </c>
      <c r="W145" s="14">
        <f t="shared" ref="W145:W163" si="1153">VLOOKUP(C145,LOHMANN,3,FALSE)</f>
        <v>77</v>
      </c>
      <c r="X145" s="75">
        <f>INDEX($C$6:$Y$138,7,22)</f>
        <v>80</v>
      </c>
      <c r="Y145" s="609">
        <f t="shared" ref="Y145:Y163" si="1154">W145-X145</f>
        <v>-3</v>
      </c>
      <c r="Z145" s="489"/>
      <c r="AA145" s="1"/>
      <c r="AB145" s="90">
        <v>0</v>
      </c>
      <c r="AC145" s="369" t="s">
        <v>53</v>
      </c>
      <c r="AD145" s="26">
        <f>INDEX($AB$6:$AX$138,5,3)</f>
        <v>55260</v>
      </c>
      <c r="AE145" s="26">
        <f>INDEX($AB$6:$AX$138,7,4)</f>
        <v>55196</v>
      </c>
      <c r="AF145" s="23">
        <f>SUMIFS($AF$6:$AF$138,$AB$6:$AB$138,$AB145)</f>
        <v>0</v>
      </c>
      <c r="AG145" s="23">
        <f>SUMIFS($AG$6:$AG$138,$AB$6:$AB$138,$AB145)</f>
        <v>64</v>
      </c>
      <c r="AH145" s="23">
        <f>SUMIFS($AH$6:$AH$138,$AB$6:$AB$138,$AB145)</f>
        <v>0</v>
      </c>
      <c r="AI145" s="88">
        <f>SUM(AF145:AH145)</f>
        <v>64</v>
      </c>
      <c r="AJ145" s="26">
        <f>INDEX($AB$6:$AX$138,7,9)</f>
        <v>64</v>
      </c>
      <c r="AK145" s="47">
        <f>VLOOKUP($C145,LOHMANN,4,FALSE)</f>
        <v>0.7</v>
      </c>
      <c r="AL145" s="28">
        <f>AVERAGEIFS($AL$6:$AL$138,$AB$6:$AB$138,$AB145)</f>
        <v>1.6549956393056325E-2</v>
      </c>
      <c r="AM145" s="47">
        <f>VLOOKUP($C145,LOHMANN,5,FALSE)</f>
        <v>0.7</v>
      </c>
      <c r="AN145" s="47">
        <f>IFERROR((AJ145*100)/AD145,0)</f>
        <v>0.11581614187477379</v>
      </c>
      <c r="AO145" s="464">
        <f>SUMIFS($AO$6:$AO$138,$AB$6:$AB$138,$AB145)</f>
        <v>5000</v>
      </c>
      <c r="AP145" s="14">
        <f>VLOOKUP($C145,LOHMANN,6,FALSE)</f>
        <v>10</v>
      </c>
      <c r="AQ145" s="23">
        <f>IFERROR(((AO145/7)/AD145)*1000,0)</f>
        <v>12.925908691381004</v>
      </c>
      <c r="AR145" s="30">
        <f>INDEX($AB$6:$AX$138,7,17)</f>
        <v>90.487652004033365</v>
      </c>
      <c r="AS145" s="14">
        <f>VLOOKUP($C145,LOHMANN,2,FALSE)</f>
        <v>40</v>
      </c>
      <c r="AT145" s="349">
        <f>INDEX($AB$6:$AX$138,7,19)</f>
        <v>39</v>
      </c>
      <c r="AU145" s="415">
        <f>AS145-AT145</f>
        <v>1</v>
      </c>
      <c r="AV145" s="14">
        <f>VLOOKUP(AB145,LOHMANN,3,FALSE)</f>
        <v>77</v>
      </c>
      <c r="AW145" s="75">
        <f>INDEX($AB$6:$AX$138,7,22)</f>
        <v>80</v>
      </c>
      <c r="AX145" s="609">
        <f t="shared" ref="AX145:AX163" si="1155">AV145-AW145</f>
        <v>-3</v>
      </c>
      <c r="AZ145" s="1"/>
      <c r="BA145" s="90">
        <v>0</v>
      </c>
      <c r="BB145" s="348" t="s">
        <v>54</v>
      </c>
      <c r="BC145" s="26">
        <f>INDEX($BA$6:$BW$138,1,3)</f>
        <v>0</v>
      </c>
      <c r="BD145" s="26">
        <f>INDEX($BA$6:$BW$138,7,4)</f>
        <v>0</v>
      </c>
      <c r="BE145" s="23">
        <f>SUMIFS($BE$6:$BE$138,$BA$6:$BA$138,$BA145)</f>
        <v>0</v>
      </c>
      <c r="BF145" s="23">
        <f>SUMIFS($BF$6:$BF$138,$BA$6:$BA$138,$BA145)</f>
        <v>0</v>
      </c>
      <c r="BG145" s="23">
        <f>SUMIFS($BG$6:$BG$138,$BA$6:$BA$138,$BA145)</f>
        <v>0</v>
      </c>
      <c r="BH145" s="88">
        <f>SUM(BE145:BG145)</f>
        <v>0</v>
      </c>
      <c r="BI145" s="26">
        <f>INDEX($BA$6:$BW$138,7,9)</f>
        <v>0</v>
      </c>
      <c r="BJ145" s="47">
        <f t="shared" ref="BJ145:BJ163" si="1156">VLOOKUP($BA145,LOHMANN,4,FALSE)</f>
        <v>0.7</v>
      </c>
      <c r="BK145" s="28">
        <f>AVERAGEIFS($BK$6:$BK$138,$BA$6:$BA$138,$BA145)</f>
        <v>0</v>
      </c>
      <c r="BL145" s="47">
        <f t="shared" ref="BL145:BL163" si="1157">VLOOKUP($BA145,LOHMANN,5,FALSE)</f>
        <v>0.7</v>
      </c>
      <c r="BM145" s="27">
        <f>INDEX($BA$6:$BW$138,7,13)</f>
        <v>0</v>
      </c>
      <c r="BN145" s="23">
        <f>SUMIFS($BN$6:$BN$138,$BA$6:$BA$138,$BA145)</f>
        <v>0</v>
      </c>
      <c r="BO145" s="14">
        <f t="shared" ref="BO145:BO163" si="1158">VLOOKUP($BA145,LOHMANN,6,FALSE)</f>
        <v>10</v>
      </c>
      <c r="BP145" s="23">
        <f>IFERROR(((BN145/7)/BC145)*1000,0)</f>
        <v>0</v>
      </c>
      <c r="BQ145" s="27">
        <f>INDEX($BA$6:$BW$138,7,17)</f>
        <v>0</v>
      </c>
      <c r="BR145" s="14">
        <f t="shared" ref="BR145:BR163" si="1159">VLOOKUP($BA145,LOHMANN,2,FALSE)</f>
        <v>40</v>
      </c>
      <c r="BS145" s="350">
        <f>INDEX($BA$6:$BW$138,7,19)</f>
        <v>0</v>
      </c>
      <c r="BT145" s="26">
        <f>BR145-BS145</f>
        <v>40</v>
      </c>
      <c r="BU145" s="14">
        <f t="shared" ref="BU145:BU163" si="1160">VLOOKUP(BA145,LOHMANN,3,FALSE)</f>
        <v>77</v>
      </c>
      <c r="BV145" s="26">
        <f>INDEX($BA$6:$BW$138,7,22)</f>
        <v>0</v>
      </c>
      <c r="BW145" s="26">
        <f>BU145-BV145</f>
        <v>77</v>
      </c>
      <c r="BY145" s="1"/>
      <c r="BZ145" s="90">
        <v>0</v>
      </c>
      <c r="CA145" s="348" t="s">
        <v>181</v>
      </c>
      <c r="CB145" s="26">
        <f>INDEX($BZ$6:$CV$138,1,3)</f>
        <v>0</v>
      </c>
      <c r="CC145" s="26">
        <f>INDEX($BZ$6:$CV$138,7,4)</f>
        <v>0</v>
      </c>
      <c r="CD145" s="23">
        <f>SUMIFS($CD$6:$CD$138,$BZ$6:$BZ$138,$BZ145)</f>
        <v>0</v>
      </c>
      <c r="CE145" s="23">
        <f>SUMIFS($CE$6:$CE$138,$BZ$6:$BZ$138,$BZ145)</f>
        <v>0</v>
      </c>
      <c r="CF145" s="23">
        <f>SUMIFS($CF$6:$CF$138,$BZ$6:$BZ$138,$BZ145)</f>
        <v>0</v>
      </c>
      <c r="CG145" s="88">
        <f>SUM(CD145:CF145)</f>
        <v>0</v>
      </c>
      <c r="CH145" s="26">
        <f>INDEX($BZ$6:$CV$138,7,9)</f>
        <v>0</v>
      </c>
      <c r="CI145" s="47">
        <f>VLOOKUP($BZ145,LOHMANN,4,FALSE)</f>
        <v>0.7</v>
      </c>
      <c r="CJ145" s="23">
        <f>AVERAGEIFS($CJ$6:$CJ$138,$BZ$6:$BZ$138,$BZ145)</f>
        <v>0</v>
      </c>
      <c r="CK145" s="47">
        <f>VLOOKUP($BZ145,LOHMANN,5,FALSE)</f>
        <v>0.7</v>
      </c>
      <c r="CL145" s="27">
        <f>INDEX($BZ$6:$CV$138,7,13)</f>
        <v>0</v>
      </c>
      <c r="CM145" s="23">
        <f>SUMIFS($CM$6:$CM$138,$BZ$6:$BZ$138,$BZ145)</f>
        <v>0</v>
      </c>
      <c r="CN145" s="14">
        <f>VLOOKUP($BZ145,LOHMANN,6,FALSE)</f>
        <v>10</v>
      </c>
      <c r="CO145" s="23">
        <f>AVERAGEIFS($CO$6:$CO$131,$BZ$6:$BZ$131,$BZ145)</f>
        <v>0</v>
      </c>
      <c r="CP145" s="27">
        <f>INDEX($BZ$6:$CV$138,7,17)</f>
        <v>0</v>
      </c>
      <c r="CQ145" s="14">
        <f t="shared" ref="CQ145:CQ162" si="1161">VLOOKUP($BZ145,LOHMANN,2,FALSE)</f>
        <v>40</v>
      </c>
      <c r="CR145" s="351">
        <f>INDEX($BZ$6:$CV$138,7,19)</f>
        <v>0</v>
      </c>
      <c r="CS145" s="416">
        <f>CQ145-CR145</f>
        <v>40</v>
      </c>
      <c r="CT145" s="14">
        <f>VLOOKUP(BZ145,LOHMANN,3,FALSE)</f>
        <v>77</v>
      </c>
      <c r="CU145" s="29">
        <f>INDEX($BZ$6:$CV$138,7,22)</f>
        <v>0</v>
      </c>
      <c r="CV145" s="417">
        <f>CT145-CU145</f>
        <v>77</v>
      </c>
      <c r="CY145" s="90">
        <v>0</v>
      </c>
      <c r="CZ145" s="348" t="s">
        <v>182</v>
      </c>
      <c r="DA145" s="26">
        <f>INDEX($BZ$6:$CV$138,1,3)</f>
        <v>0</v>
      </c>
      <c r="DB145" s="26">
        <f>INDEX($BZ$6:$CV$138,7,4)</f>
        <v>0</v>
      </c>
      <c r="DC145" s="23">
        <f>SUMIFS($CD$6:$CD$138,$BZ$6:$BZ$138,$BZ145)</f>
        <v>0</v>
      </c>
      <c r="DD145" s="23">
        <f>SUMIFS($CE$6:$CE$138,$BZ$6:$BZ$138,$BZ145)</f>
        <v>0</v>
      </c>
      <c r="DE145" s="23">
        <f>SUMIFS($CF$6:$CF$138,$BZ$6:$BZ$138,$BZ145)</f>
        <v>0</v>
      </c>
      <c r="DF145" s="88">
        <f>SUM(DC145:DE145)</f>
        <v>0</v>
      </c>
      <c r="DG145" s="26">
        <f>INDEX($BZ$6:$CV$138,7,9)</f>
        <v>0</v>
      </c>
      <c r="DH145" s="47">
        <f>VLOOKUP($BZ145,LOHMANN,4,FALSE)</f>
        <v>0.7</v>
      </c>
      <c r="DI145" s="23">
        <f>AVERAGEIFS($CJ$6:$CJ$138,$BZ$6:$BZ$138,$BZ145)</f>
        <v>0</v>
      </c>
      <c r="DJ145" s="47">
        <f>VLOOKUP($BZ145,LOHMANN,5,FALSE)</f>
        <v>0.7</v>
      </c>
      <c r="DK145" s="27">
        <f>INDEX($BZ$6:$CV$138,7,13)</f>
        <v>0</v>
      </c>
      <c r="DL145" s="23">
        <f>SUMIFS($CM$6:$CM$138,$BZ$6:$BZ$138,$BZ145)</f>
        <v>0</v>
      </c>
      <c r="DM145" s="14">
        <f>VLOOKUP($BZ145,LOHMANN,6,FALSE)</f>
        <v>10</v>
      </c>
      <c r="DN145" s="23">
        <f>AVERAGEIFS($CO$6:$CO$131,$BZ$6:$BZ$131,$BZ145)</f>
        <v>0</v>
      </c>
      <c r="DO145" s="27">
        <f>INDEX($BZ$6:$CV$138,7,17)</f>
        <v>0</v>
      </c>
      <c r="DP145" s="14">
        <f t="shared" ref="DP145:DP162" si="1162">VLOOKUP($BZ145,LOHMANN,2,FALSE)</f>
        <v>40</v>
      </c>
      <c r="DQ145" s="351">
        <f>INDEX($BZ$6:$CV$138,7,19)</f>
        <v>0</v>
      </c>
      <c r="DR145" s="416">
        <f>DP145-DQ145</f>
        <v>40</v>
      </c>
      <c r="DS145" s="14">
        <f>VLOOKUP(CY145,LOHMANN,3,FALSE)</f>
        <v>77</v>
      </c>
      <c r="DT145" s="29">
        <f>INDEX($BZ$6:$CV$138,7,22)</f>
        <v>0</v>
      </c>
      <c r="DU145" s="417">
        <f>DS145-DT145</f>
        <v>77</v>
      </c>
      <c r="DX145" s="90">
        <v>0</v>
      </c>
      <c r="DY145" s="348" t="s">
        <v>183</v>
      </c>
      <c r="DZ145" s="26">
        <f>INDEX($BZ$6:$CV$138,1,3)</f>
        <v>0</v>
      </c>
      <c r="EA145" s="26">
        <f>INDEX($BZ$6:$CV$138,7,4)</f>
        <v>0</v>
      </c>
      <c r="EB145" s="23">
        <f>SUMIFS($CD$6:$CD$138,$BZ$6:$BZ$138,$BZ145)</f>
        <v>0</v>
      </c>
      <c r="EC145" s="23">
        <f>SUMIFS($CE$6:$CE$138,$BZ$6:$BZ$138,$BZ145)</f>
        <v>0</v>
      </c>
      <c r="ED145" s="23">
        <f>SUMIFS($CF$6:$CF$138,$BZ$6:$BZ$138,$BZ145)</f>
        <v>0</v>
      </c>
      <c r="EE145" s="88">
        <f>SUM(EB145:ED145)</f>
        <v>0</v>
      </c>
      <c r="EF145" s="26">
        <f>INDEX($BZ$6:$CV$138,7,9)</f>
        <v>0</v>
      </c>
      <c r="EG145" s="47">
        <f>VLOOKUP($BZ145,LOHMANN,4,FALSE)</f>
        <v>0.7</v>
      </c>
      <c r="EH145" s="23">
        <f>AVERAGEIFS($CJ$6:$CJ$138,$BZ$6:$BZ$138,$BZ145)</f>
        <v>0</v>
      </c>
      <c r="EI145" s="47">
        <f>VLOOKUP($BZ145,LOHMANN,5,FALSE)</f>
        <v>0.7</v>
      </c>
      <c r="EJ145" s="27">
        <f>INDEX($BZ$6:$CV$138,7,13)</f>
        <v>0</v>
      </c>
      <c r="EK145" s="23">
        <f>SUMIFS($CM$6:$CM$138,$BZ$6:$BZ$138,$BZ145)</f>
        <v>0</v>
      </c>
      <c r="EL145" s="14">
        <f>VLOOKUP($BZ145,LOHMANN,6,FALSE)</f>
        <v>10</v>
      </c>
      <c r="EM145" s="23">
        <f>AVERAGEIFS($CO$6:$CO$131,$BZ$6:$BZ$131,$BZ145)</f>
        <v>0</v>
      </c>
      <c r="EN145" s="27">
        <f>INDEX($BZ$6:$CV$138,7,17)</f>
        <v>0</v>
      </c>
      <c r="EO145" s="14">
        <f t="shared" ref="EO145:EO162" si="1163">VLOOKUP($BZ145,LOHMANN,2,FALSE)</f>
        <v>40</v>
      </c>
      <c r="EP145" s="351">
        <f>INDEX($BZ$6:$CV$138,7,19)</f>
        <v>0</v>
      </c>
      <c r="EQ145" s="416">
        <f>EO145-EP145</f>
        <v>40</v>
      </c>
      <c r="ER145" s="14">
        <f>VLOOKUP(DX145,LOHMANN,3,FALSE)</f>
        <v>77</v>
      </c>
      <c r="ES145" s="29">
        <f>INDEX($BZ$6:$CV$138,7,22)</f>
        <v>0</v>
      </c>
      <c r="ET145" s="417">
        <f>ER145-ES145</f>
        <v>77</v>
      </c>
      <c r="EW145" s="90">
        <v>0</v>
      </c>
      <c r="EX145" s="348" t="s">
        <v>184</v>
      </c>
      <c r="EY145" s="26">
        <f>INDEX($BZ$6:$CV$138,1,3)</f>
        <v>0</v>
      </c>
      <c r="EZ145" s="26">
        <f>INDEX($BZ$6:$CV$138,7,4)</f>
        <v>0</v>
      </c>
      <c r="FA145" s="23">
        <f>SUMIFS($CD$6:$CD$138,$BZ$6:$BZ$138,$BZ145)</f>
        <v>0</v>
      </c>
      <c r="FB145" s="23">
        <f>SUMIFS($CE$6:$CE$138,$BZ$6:$BZ$138,$BZ145)</f>
        <v>0</v>
      </c>
      <c r="FC145" s="23">
        <f>SUMIFS($CF$6:$CF$138,$BZ$6:$BZ$138,$BZ145)</f>
        <v>0</v>
      </c>
      <c r="FD145" s="88">
        <f>SUM(FA145:FC145)</f>
        <v>0</v>
      </c>
      <c r="FE145" s="26">
        <f>INDEX($BZ$6:$CV$138,7,9)</f>
        <v>0</v>
      </c>
      <c r="FF145" s="47">
        <f>VLOOKUP($BZ145,LOHMANN,4,FALSE)</f>
        <v>0.7</v>
      </c>
      <c r="FG145" s="23">
        <f>AVERAGEIFS($CJ$6:$CJ$138,$BZ$6:$BZ$138,$BZ145)</f>
        <v>0</v>
      </c>
      <c r="FH145" s="47">
        <f>VLOOKUP($BZ145,LOHMANN,5,FALSE)</f>
        <v>0.7</v>
      </c>
      <c r="FI145" s="27">
        <f>INDEX($BZ$6:$CV$138,7,13)</f>
        <v>0</v>
      </c>
      <c r="FJ145" s="23">
        <f>SUMIFS($CM$6:$CM$138,$BZ$6:$BZ$138,$BZ145)</f>
        <v>0</v>
      </c>
      <c r="FK145" s="14">
        <f>VLOOKUP($BZ145,LOHMANN,6,FALSE)</f>
        <v>10</v>
      </c>
      <c r="FL145" s="23">
        <f>AVERAGEIFS($CO$6:$CO$131,$BZ$6:$BZ$131,$BZ145)</f>
        <v>0</v>
      </c>
      <c r="FM145" s="27">
        <f>INDEX($BZ$6:$CV$138,7,17)</f>
        <v>0</v>
      </c>
      <c r="FN145" s="14">
        <f>VLOOKUP($BZ145,LOHMANN,2,FALSE)</f>
        <v>40</v>
      </c>
      <c r="FO145" s="351">
        <f>INDEX($BZ$6:$CV$138,7,19)</f>
        <v>0</v>
      </c>
      <c r="FP145" s="416">
        <f t="shared" ref="FP145:FP150" si="1164">FN145-FO145</f>
        <v>40</v>
      </c>
      <c r="FQ145" s="14">
        <f>VLOOKUP(EW145,LOHMANN,3,FALSE)</f>
        <v>77</v>
      </c>
      <c r="FR145" s="29">
        <f>INDEX($BZ$6:$CV$138,7,22)</f>
        <v>0</v>
      </c>
      <c r="FS145" s="417">
        <f>FQ145-FR145</f>
        <v>77</v>
      </c>
      <c r="FV145" s="90">
        <v>0</v>
      </c>
      <c r="FW145" s="348" t="s">
        <v>185</v>
      </c>
      <c r="FX145" s="26">
        <f>INDEX($BZ$6:$CV$138,1,3)</f>
        <v>0</v>
      </c>
      <c r="FY145" s="26">
        <f>INDEX($BZ$6:$CV$138,7,4)</f>
        <v>0</v>
      </c>
      <c r="FZ145" s="23">
        <f>SUMIFS($CD$6:$CD$138,$BZ$6:$BZ$138,$BZ145)</f>
        <v>0</v>
      </c>
      <c r="GA145" s="23">
        <f>SUMIFS($CE$6:$CE$138,$BZ$6:$BZ$138,$BZ145)</f>
        <v>0</v>
      </c>
      <c r="GB145" s="23">
        <f>SUMIFS($CF$6:$CF$138,$BZ$6:$BZ$138,$BZ145)</f>
        <v>0</v>
      </c>
      <c r="GC145" s="88">
        <f>SUM(FZ145:GB145)</f>
        <v>0</v>
      </c>
      <c r="GD145" s="26">
        <f>INDEX($BZ$6:$CV$138,7,9)</f>
        <v>0</v>
      </c>
      <c r="GE145" s="47">
        <f>VLOOKUP($BZ145,LOHMANN,4,FALSE)</f>
        <v>0.7</v>
      </c>
      <c r="GF145" s="23">
        <f>AVERAGEIFS($CJ$6:$CJ$138,$BZ$6:$BZ$138,$BZ145)</f>
        <v>0</v>
      </c>
      <c r="GG145" s="47">
        <f>VLOOKUP($BZ145,LOHMANN,5,FALSE)</f>
        <v>0.7</v>
      </c>
      <c r="GH145" s="27">
        <f>INDEX($BZ$6:$CV$138,7,13)</f>
        <v>0</v>
      </c>
      <c r="GI145" s="23">
        <f>SUMIFS($CM$6:$CM$138,$BZ$6:$BZ$138,$BZ145)</f>
        <v>0</v>
      </c>
      <c r="GJ145" s="14">
        <f>VLOOKUP($BZ145,LOHMANN,6,FALSE)</f>
        <v>10</v>
      </c>
      <c r="GK145" s="23">
        <f>AVERAGEIFS($CO$6:$CO$131,$BZ$6:$BZ$131,$BZ145)</f>
        <v>0</v>
      </c>
      <c r="GL145" s="27">
        <f>INDEX($BZ$6:$CV$138,7,17)</f>
        <v>0</v>
      </c>
      <c r="GM145" s="14">
        <f>VLOOKUP($BZ145,LOHMANN,2,FALSE)</f>
        <v>40</v>
      </c>
      <c r="GN145" s="351">
        <f>INDEX($BZ$6:$CV$138,7,19)</f>
        <v>0</v>
      </c>
      <c r="GO145" s="416">
        <f t="shared" ref="GO145:GO150" si="1165">GM145-GN145</f>
        <v>40</v>
      </c>
      <c r="GP145" s="14">
        <f>VLOOKUP(FV145,LOHMANN,3,FALSE)</f>
        <v>77</v>
      </c>
      <c r="GQ145" s="29">
        <f>INDEX($BZ$6:$CV$138,7,22)</f>
        <v>0</v>
      </c>
      <c r="GR145" s="417">
        <f>GP145-GQ145</f>
        <v>77</v>
      </c>
      <c r="GU145" s="90">
        <v>0</v>
      </c>
      <c r="GV145" s="348" t="s">
        <v>186</v>
      </c>
      <c r="GW145" s="26">
        <f>INDEX($BZ$6:$CV$138,1,3)</f>
        <v>0</v>
      </c>
      <c r="GX145" s="26">
        <f>INDEX($BZ$6:$CV$138,7,4)</f>
        <v>0</v>
      </c>
      <c r="GY145" s="23">
        <f>SUMIFS($CD$6:$CD$138,$BZ$6:$BZ$138,$BZ145)</f>
        <v>0</v>
      </c>
      <c r="GZ145" s="23">
        <f>SUMIFS($CE$6:$CE$138,$BZ$6:$BZ$138,$BZ145)</f>
        <v>0</v>
      </c>
      <c r="HA145" s="23">
        <f>SUMIFS($CF$6:$CF$138,$BZ$6:$BZ$138,$BZ145)</f>
        <v>0</v>
      </c>
      <c r="HB145" s="88">
        <f>SUM(GY145:HA145)</f>
        <v>0</v>
      </c>
      <c r="HC145" s="26">
        <f>INDEX($BZ$6:$CV$138,7,9)</f>
        <v>0</v>
      </c>
      <c r="HD145" s="47">
        <f>VLOOKUP($BZ145,LOHMANN,4,FALSE)</f>
        <v>0.7</v>
      </c>
      <c r="HE145" s="23">
        <f>AVERAGEIFS($CJ$6:$CJ$138,$BZ$6:$BZ$138,$BZ145)</f>
        <v>0</v>
      </c>
      <c r="HF145" s="47">
        <f>VLOOKUP($BZ145,LOHMANN,5,FALSE)</f>
        <v>0.7</v>
      </c>
      <c r="HG145" s="27">
        <f>INDEX($BZ$6:$CV$138,7,13)</f>
        <v>0</v>
      </c>
      <c r="HH145" s="23">
        <f>SUMIFS($CM$6:$CM$138,$BZ$6:$BZ$138,$BZ145)</f>
        <v>0</v>
      </c>
      <c r="HI145" s="14">
        <f>VLOOKUP($BZ145,LOHMANN,6,FALSE)</f>
        <v>10</v>
      </c>
      <c r="HJ145" s="23">
        <f>AVERAGEIFS($CO$6:$CO$131,$BZ$6:$BZ$131,$BZ145)</f>
        <v>0</v>
      </c>
      <c r="HK145" s="27">
        <f>INDEX($BZ$6:$CV$138,7,17)</f>
        <v>0</v>
      </c>
      <c r="HL145" s="14">
        <f>VLOOKUP($BZ145,LOHMANN,2,FALSE)</f>
        <v>40</v>
      </c>
      <c r="HM145" s="351">
        <f>INDEX($BZ$6:$CV$138,7,19)</f>
        <v>0</v>
      </c>
      <c r="HN145" s="416">
        <f t="shared" ref="HN145:HN150" si="1166">HL145-HM145</f>
        <v>40</v>
      </c>
      <c r="HO145" s="14">
        <f>VLOOKUP(GU145,LOHMANN,3,FALSE)</f>
        <v>77</v>
      </c>
      <c r="HP145" s="29">
        <f>INDEX($BZ$6:$CV$138,7,22)</f>
        <v>0</v>
      </c>
      <c r="HQ145" s="417">
        <f>HO145-HP145</f>
        <v>77</v>
      </c>
    </row>
    <row r="146" spans="3:225" x14ac:dyDescent="0.25">
      <c r="C146" s="25">
        <v>1</v>
      </c>
      <c r="D146" s="23" t="str">
        <f>D145</f>
        <v>CASETA 1</v>
      </c>
      <c r="E146" s="26">
        <f>INDEX($C$6:$Y$138,8,3)</f>
        <v>133882</v>
      </c>
      <c r="F146" s="26">
        <f>INDEX($C$6:$Y$138,14,4)</f>
        <v>132126</v>
      </c>
      <c r="G146" s="23">
        <f>SUMIFS($G$6:$G$138,$C$6:$C$138,$C146)</f>
        <v>97</v>
      </c>
      <c r="H146" s="23">
        <f>SUMIFS($H$6:$H$138,$C$6:$C$138,$C146)</f>
        <v>1659</v>
      </c>
      <c r="I146" s="23">
        <f>SUMIFS($I$6:$I$138,$C$6:$C$138,$C146)</f>
        <v>0</v>
      </c>
      <c r="J146" s="88">
        <f>SUM(G146:I146)</f>
        <v>1756</v>
      </c>
      <c r="K146" s="26">
        <f>INDEX($C$6:$Y$138,14,9)</f>
        <v>2747</v>
      </c>
      <c r="L146" s="47">
        <f t="shared" si="1151"/>
        <v>0.7</v>
      </c>
      <c r="M146" s="28">
        <f>(J146*100)/E146</f>
        <v>1.3116027546645554</v>
      </c>
      <c r="N146" s="47">
        <f t="shared" ref="N146:N163" si="1167">VLOOKUP($C146,LOHMANN,5,FALSE)</f>
        <v>0.7</v>
      </c>
      <c r="O146" s="47">
        <f>IFERROR((K146*100)/E146,0)</f>
        <v>2.0518068149564543</v>
      </c>
      <c r="P146" s="464">
        <f>SUMIFS($P$6:$P$138,$C$6:$C$138,$C146)</f>
        <v>14200</v>
      </c>
      <c r="Q146" s="14">
        <f t="shared" ref="Q146:Q163" si="1168">VLOOKUP($C146,LOHMANN,6,FALSE)</f>
        <v>10</v>
      </c>
      <c r="R146" s="23">
        <f>IFERROR(((P146/7)/E146)*1000,0)</f>
        <v>15.151935499704431</v>
      </c>
      <c r="S146" s="30">
        <f>INDEX($C$6:$Y$138,14,17)</f>
        <v>170.66332686540704</v>
      </c>
      <c r="T146" s="14">
        <f t="shared" ref="T146:T163" si="1169">VLOOKUP($C146,LOHMANN,2,FALSE)</f>
        <v>70</v>
      </c>
      <c r="U146" s="349">
        <f>INDEX($C$6:$Y$138,14,19)</f>
        <v>69</v>
      </c>
      <c r="V146" s="415">
        <f t="shared" si="1152"/>
        <v>1</v>
      </c>
      <c r="W146" s="14">
        <f t="shared" si="1153"/>
        <v>77</v>
      </c>
      <c r="X146" s="75">
        <f>INDEX($C$6:$Y$138,14,22)</f>
        <v>63</v>
      </c>
      <c r="Y146" s="609">
        <f t="shared" si="1154"/>
        <v>14</v>
      </c>
      <c r="Z146" s="489"/>
      <c r="AA146" s="1"/>
      <c r="AB146" s="25">
        <v>1</v>
      </c>
      <c r="AC146" s="23" t="str">
        <f>AC145</f>
        <v>CASETA 2</v>
      </c>
      <c r="AD146" s="26">
        <f>INDEX($AB$6:$AX$138,14,2)</f>
        <v>153176</v>
      </c>
      <c r="AE146" s="26">
        <f>INDEX($AB$6:$AX$138,14,4)</f>
        <v>152670</v>
      </c>
      <c r="AF146" s="23">
        <f t="shared" ref="AF146:AF163" si="1170">SUMIFS($AF$6:$AF$138,$AB$6:$AB$138,$AB146)</f>
        <v>0</v>
      </c>
      <c r="AG146" s="23">
        <f t="shared" ref="AG146:AG163" si="1171">SUMIFS($AG$6:$AG$138,$AB$6:$AB$138,$AB146)</f>
        <v>442</v>
      </c>
      <c r="AH146" s="23">
        <f t="shared" ref="AH146:AH163" si="1172">SUMIFS($AH$6:$AH$138,$AB$6:$AB$138,$AB146)</f>
        <v>0</v>
      </c>
      <c r="AI146" s="88">
        <f t="shared" ref="AI146:AI163" si="1173">SUM(AF146:AH146)</f>
        <v>442</v>
      </c>
      <c r="AJ146" s="26">
        <f>INDEX($AB$6:$AX$138,14,9)</f>
        <v>506</v>
      </c>
      <c r="AK146" s="47">
        <f t="shared" ref="AK146:AK163" si="1174">VLOOKUP($C146,LOHMANN,4,FALSE)</f>
        <v>0.7</v>
      </c>
      <c r="AL146" s="28">
        <f t="shared" ref="AL146:AL163" si="1175">AVERAGEIFS($AL$6:$AL$138,$AB$6:$AB$138,$AB146)</f>
        <v>7.99345439040232E-2</v>
      </c>
      <c r="AM146" s="47">
        <f t="shared" ref="AM146:AM163" si="1176">VLOOKUP($C146,LOHMANN,5,FALSE)</f>
        <v>0.7</v>
      </c>
      <c r="AN146" s="47">
        <f t="shared" ref="AN146:AN163" si="1177">IFERROR((AJ146*100)/AD146,0)</f>
        <v>0.33033895649449002</v>
      </c>
      <c r="AO146" s="464">
        <f t="shared" ref="AO146:AO163" si="1178">SUMIFS($AO$6:$AO$138,$AB$6:$AB$138,$AB146)</f>
        <v>10400</v>
      </c>
      <c r="AP146" s="14">
        <f t="shared" ref="AP146:AP163" si="1179">VLOOKUP($C146,LOHMANN,6,FALSE)</f>
        <v>10</v>
      </c>
      <c r="AQ146" s="23">
        <f t="shared" ref="AQ146:AQ163" si="1180">IFERROR(((AO146/7)/AD146)*1000,0)</f>
        <v>9.6993934148579779</v>
      </c>
      <c r="AR146" s="30">
        <f>INDEX($AB$6:$AX$138,14,17)</f>
        <v>230.42407090264774</v>
      </c>
      <c r="AS146" s="14">
        <f t="shared" ref="AS146:AS163" si="1181">VLOOKUP($C146,LOHMANN,2,FALSE)</f>
        <v>70</v>
      </c>
      <c r="AT146" s="349">
        <f>INDEX($AB$6:$AX$138,14,19)</f>
        <v>63</v>
      </c>
      <c r="AU146" s="415">
        <f t="shared" ref="AU146:AU163" si="1182">AS146-AT146</f>
        <v>7</v>
      </c>
      <c r="AV146" s="14">
        <f t="shared" ref="AV146:AV163" si="1183">VLOOKUP(AB146,LOHMANN,3,FALSE)</f>
        <v>77</v>
      </c>
      <c r="AW146" s="75">
        <f>INDEX($AB$6:$AX$138,14,22)</f>
        <v>47</v>
      </c>
      <c r="AX146" s="609">
        <f t="shared" si="1155"/>
        <v>30</v>
      </c>
      <c r="AZ146" s="1"/>
      <c r="BA146" s="25">
        <v>1</v>
      </c>
      <c r="BB146" s="348" t="str">
        <f>BB145</f>
        <v>CASETA 3</v>
      </c>
      <c r="BC146" s="26">
        <f>INDEX($BA$6:$BW$138,8,3)</f>
        <v>0</v>
      </c>
      <c r="BD146" s="26">
        <f>INDEX($BA$6:$BW$138,14,4)</f>
        <v>0</v>
      </c>
      <c r="BE146" s="23">
        <f t="shared" ref="BE146:BE163" si="1184">SUMIFS($BE$6:$BE$138,$BA$6:$BA$138,$BA146)</f>
        <v>0</v>
      </c>
      <c r="BF146" s="23">
        <f t="shared" ref="BF146:BF163" si="1185">SUMIFS($BF$6:$BF$138,$BA$6:$BA$138,$BA146)</f>
        <v>0</v>
      </c>
      <c r="BG146" s="23">
        <f t="shared" ref="BG146:BG163" si="1186">SUMIFS($BG$6:$BG$138,$BA$6:$BA$138,$BA146)</f>
        <v>0</v>
      </c>
      <c r="BH146" s="88">
        <f t="shared" ref="BH146:BH163" si="1187">SUM(BE146:BG146)</f>
        <v>0</v>
      </c>
      <c r="BI146" s="26">
        <f>INDEX($BA$6:$BW$138,14,9)</f>
        <v>0</v>
      </c>
      <c r="BJ146" s="47">
        <f t="shared" si="1156"/>
        <v>0.7</v>
      </c>
      <c r="BK146" s="28">
        <f t="shared" ref="BK146:BK163" si="1188">AVERAGEIFS($BK$6:$BK$138,$BA$6:$BA$138,$BA146)</f>
        <v>0</v>
      </c>
      <c r="BL146" s="47">
        <f t="shared" si="1157"/>
        <v>0.7</v>
      </c>
      <c r="BM146" s="27">
        <f>INDEX($BA$6:$BW$138,14,13)</f>
        <v>0</v>
      </c>
      <c r="BN146" s="23">
        <f t="shared" ref="BN146:BN163" si="1189">SUMIFS($BN$6:$BN$138,$BA$6:$BA$138,$BA146)</f>
        <v>0</v>
      </c>
      <c r="BO146" s="14">
        <f t="shared" si="1158"/>
        <v>10</v>
      </c>
      <c r="BP146" s="23">
        <f t="shared" ref="BP146:BP163" si="1190">IFERROR(((BN146/7)/BC146)*1000,0)</f>
        <v>0</v>
      </c>
      <c r="BQ146" s="27">
        <f>INDEX($BA$6:$BW$138,14,17)</f>
        <v>0</v>
      </c>
      <c r="BR146" s="14">
        <f t="shared" si="1159"/>
        <v>70</v>
      </c>
      <c r="BS146" s="350">
        <f>INDEX($BA$6:$BW$138,14,19)</f>
        <v>0</v>
      </c>
      <c r="BT146" s="26">
        <f>BR146-BS146</f>
        <v>70</v>
      </c>
      <c r="BU146" s="14">
        <f t="shared" si="1160"/>
        <v>77</v>
      </c>
      <c r="BV146" s="26">
        <f>INDEX($BA$6:$BW$138,14,22)</f>
        <v>0</v>
      </c>
      <c r="BW146" s="26">
        <f>BU146-BV146</f>
        <v>77</v>
      </c>
      <c r="BY146" s="1"/>
      <c r="BZ146" s="25">
        <v>1</v>
      </c>
      <c r="CA146" s="348" t="str">
        <f>CA145</f>
        <v>CASETA G1</v>
      </c>
      <c r="CB146" s="26">
        <f>INDEX($BZ$6:$CV$138,8,3)</f>
        <v>0</v>
      </c>
      <c r="CC146" s="26">
        <f>INDEX($BZ$6:$CV$138,14,4)</f>
        <v>0</v>
      </c>
      <c r="CD146" s="23">
        <f t="shared" ref="CD146:CD162" si="1191">SUMIFS($CD$6:$CD$138,$BZ$6:$BZ$138,$BZ146)</f>
        <v>0</v>
      </c>
      <c r="CE146" s="23">
        <f t="shared" ref="CE146:CE163" si="1192">SUMIFS($CE$6:$CE$138,$BZ$6:$BZ$138,$BZ146)</f>
        <v>0</v>
      </c>
      <c r="CF146" s="23">
        <f t="shared" ref="CF146:CF163" si="1193">SUMIFS($CF$6:$CF$138,$BZ$6:$BZ$138,$BZ146)</f>
        <v>0</v>
      </c>
      <c r="CG146" s="88">
        <f t="shared" ref="CG146:CG163" si="1194">SUM(CD146:CF146)</f>
        <v>0</v>
      </c>
      <c r="CH146" s="26">
        <f>INDEX($BZ$6:$CV$138,14,9)</f>
        <v>0</v>
      </c>
      <c r="CI146" s="47">
        <f t="shared" ref="CI146:CI163" si="1195">VLOOKUP($BZ146,LOHMANN,4,FALSE)</f>
        <v>0.7</v>
      </c>
      <c r="CJ146" s="23">
        <f>AVERAGEIFS($CJ$6:$CJ$138,$BZ$6:$BZ$138,$BZ146)</f>
        <v>0</v>
      </c>
      <c r="CK146" s="47">
        <f t="shared" ref="CK146:CK163" si="1196">VLOOKUP($BZ146,LOHMANN,5,FALSE)</f>
        <v>0.7</v>
      </c>
      <c r="CL146" s="27">
        <f>INDEX($BZ$6:$CV$138,14,13)</f>
        <v>0</v>
      </c>
      <c r="CM146" s="23">
        <f t="shared" ref="CM146:CM163" si="1197">SUMIFS($CM$6:$CM$138,$BZ$6:$BZ$138,$BZ146)</f>
        <v>0</v>
      </c>
      <c r="CN146" s="14">
        <f t="shared" ref="CN146:CN163" si="1198">VLOOKUP($BZ146,LOHMANN,6,FALSE)</f>
        <v>10</v>
      </c>
      <c r="CO146" s="23">
        <f>AVERAGEIFS($CO$6:$CO$131,$BZ$6:$BZ$131,$BZ146)</f>
        <v>0</v>
      </c>
      <c r="CP146" s="27">
        <f>INDEX($BZ$6:$CV$138,14,17)</f>
        <v>0</v>
      </c>
      <c r="CQ146" s="14">
        <f t="shared" si="1161"/>
        <v>70</v>
      </c>
      <c r="CR146" s="351">
        <f>INDEX($BZ$6:$CV$138,14,19)</f>
        <v>0</v>
      </c>
      <c r="CS146" s="416">
        <f t="shared" ref="CS146:CS163" si="1199">CQ146-CR146</f>
        <v>70</v>
      </c>
      <c r="CT146" s="14">
        <f t="shared" ref="CT146:CT162" si="1200">VLOOKUP(BZ146,LOHMANN,3,FALSE)</f>
        <v>77</v>
      </c>
      <c r="CU146" s="29">
        <f>INDEX($BZ$6:$CV$138,14,22)</f>
        <v>0</v>
      </c>
      <c r="CV146" s="417">
        <f t="shared" ref="CV146:CV163" si="1201">CT146-CU146</f>
        <v>77</v>
      </c>
      <c r="CY146" s="25">
        <v>1</v>
      </c>
      <c r="CZ146" s="348" t="str">
        <f>CZ145</f>
        <v>CASETA G2</v>
      </c>
      <c r="DA146" s="26">
        <f>INDEX($BZ$6:$CV$138,8,3)</f>
        <v>0</v>
      </c>
      <c r="DB146" s="26">
        <f>INDEX($BZ$6:$CV$138,14,4)</f>
        <v>0</v>
      </c>
      <c r="DC146" s="23">
        <f t="shared" ref="DC146:DC155" si="1202">SUMIFS($CD$6:$CD$138,$BZ$6:$BZ$138,$BZ146)</f>
        <v>0</v>
      </c>
      <c r="DD146" s="23">
        <f t="shared" ref="DD146:DD155" si="1203">SUMIFS($CE$6:$CE$138,$BZ$6:$BZ$138,$BZ146)</f>
        <v>0</v>
      </c>
      <c r="DE146" s="23">
        <f t="shared" ref="DE146:DE155" si="1204">SUMIFS($CF$6:$CF$138,$BZ$6:$BZ$138,$BZ146)</f>
        <v>0</v>
      </c>
      <c r="DF146" s="88">
        <f t="shared" ref="DF146:DF148" si="1205">SUM(DC146:DE146)</f>
        <v>0</v>
      </c>
      <c r="DG146" s="26">
        <f>INDEX($BZ$6:$CV$138,14,9)</f>
        <v>0</v>
      </c>
      <c r="DH146" s="47">
        <f t="shared" ref="DH146:DH163" si="1206">VLOOKUP($BZ146,LOHMANN,4,FALSE)</f>
        <v>0.7</v>
      </c>
      <c r="DI146" s="23">
        <f>AVERAGEIFS($CJ$6:$CJ$138,$BZ$6:$BZ$138,$BZ146)</f>
        <v>0</v>
      </c>
      <c r="DJ146" s="47">
        <f t="shared" ref="DJ146:DJ163" si="1207">VLOOKUP($BZ146,LOHMANN,5,FALSE)</f>
        <v>0.7</v>
      </c>
      <c r="DK146" s="27">
        <f>INDEX($BZ$6:$CV$138,14,13)</f>
        <v>0</v>
      </c>
      <c r="DL146" s="23">
        <f t="shared" ref="DL146:DL155" si="1208">SUMIFS($CM$6:$CM$138,$BZ$6:$BZ$138,$BZ146)</f>
        <v>0</v>
      </c>
      <c r="DM146" s="14">
        <f t="shared" ref="DM146:DM163" si="1209">VLOOKUP($BZ146,LOHMANN,6,FALSE)</f>
        <v>10</v>
      </c>
      <c r="DN146" s="23">
        <f>AVERAGEIFS($CO$6:$CO$131,$BZ$6:$BZ$131,$BZ146)</f>
        <v>0</v>
      </c>
      <c r="DO146" s="27">
        <f>INDEX($BZ$6:$CV$138,14,17)</f>
        <v>0</v>
      </c>
      <c r="DP146" s="14">
        <f t="shared" si="1162"/>
        <v>70</v>
      </c>
      <c r="DQ146" s="351">
        <f>INDEX($BZ$6:$CV$138,14,19)</f>
        <v>0</v>
      </c>
      <c r="DR146" s="416">
        <f t="shared" ref="DR146:DR162" si="1210">DP146-DQ146</f>
        <v>70</v>
      </c>
      <c r="DS146" s="14">
        <f t="shared" ref="DS146:DS162" si="1211">VLOOKUP(CY146,LOHMANN,3,FALSE)</f>
        <v>77</v>
      </c>
      <c r="DT146" s="29">
        <f>INDEX($BZ$6:$CV$138,14,22)</f>
        <v>0</v>
      </c>
      <c r="DU146" s="417">
        <f t="shared" ref="DU146:DU162" si="1212">DS146-DT146</f>
        <v>77</v>
      </c>
      <c r="DX146" s="25">
        <v>1</v>
      </c>
      <c r="DY146" s="348" t="str">
        <f>DY145</f>
        <v>CASETA G3</v>
      </c>
      <c r="DZ146" s="26">
        <f>INDEX($BZ$6:$CV$138,8,3)</f>
        <v>0</v>
      </c>
      <c r="EA146" s="26">
        <f>INDEX($BZ$6:$CV$138,14,4)</f>
        <v>0</v>
      </c>
      <c r="EB146" s="23">
        <f t="shared" ref="EB146:EB155" si="1213">SUMIFS($CD$6:$CD$138,$BZ$6:$BZ$138,$BZ146)</f>
        <v>0</v>
      </c>
      <c r="EC146" s="23">
        <f t="shared" ref="EC146:EC155" si="1214">SUMIFS($CE$6:$CE$138,$BZ$6:$BZ$138,$BZ146)</f>
        <v>0</v>
      </c>
      <c r="ED146" s="23">
        <f t="shared" ref="ED146:ED155" si="1215">SUMIFS($CF$6:$CF$138,$BZ$6:$BZ$138,$BZ146)</f>
        <v>0</v>
      </c>
      <c r="EE146" s="88">
        <f t="shared" ref="EE146:EE148" si="1216">SUM(EB146:ED146)</f>
        <v>0</v>
      </c>
      <c r="EF146" s="26">
        <f>INDEX($BZ$6:$CV$138,14,9)</f>
        <v>0</v>
      </c>
      <c r="EG146" s="47">
        <f t="shared" ref="EG146:EG163" si="1217">VLOOKUP($BZ146,LOHMANN,4,FALSE)</f>
        <v>0.7</v>
      </c>
      <c r="EH146" s="23">
        <f>AVERAGEIFS($CJ$6:$CJ$138,$BZ$6:$BZ$138,$BZ146)</f>
        <v>0</v>
      </c>
      <c r="EI146" s="47">
        <f t="shared" ref="EI146:EI163" si="1218">VLOOKUP($BZ146,LOHMANN,5,FALSE)</f>
        <v>0.7</v>
      </c>
      <c r="EJ146" s="27">
        <f>INDEX($BZ$6:$CV$138,14,13)</f>
        <v>0</v>
      </c>
      <c r="EK146" s="23">
        <f t="shared" ref="EK146:EK155" si="1219">SUMIFS($CM$6:$CM$138,$BZ$6:$BZ$138,$BZ146)</f>
        <v>0</v>
      </c>
      <c r="EL146" s="14">
        <f t="shared" ref="EL146:EL163" si="1220">VLOOKUP($BZ146,LOHMANN,6,FALSE)</f>
        <v>10</v>
      </c>
      <c r="EM146" s="23">
        <f>AVERAGEIFS($CO$6:$CO$131,$BZ$6:$BZ$131,$BZ146)</f>
        <v>0</v>
      </c>
      <c r="EN146" s="27">
        <f>INDEX($BZ$6:$CV$138,14,17)</f>
        <v>0</v>
      </c>
      <c r="EO146" s="14">
        <f t="shared" si="1163"/>
        <v>70</v>
      </c>
      <c r="EP146" s="351">
        <f>INDEX($BZ$6:$CV$138,14,19)</f>
        <v>0</v>
      </c>
      <c r="EQ146" s="416">
        <f t="shared" ref="EQ146:EQ155" si="1221">EO146-EP146</f>
        <v>70</v>
      </c>
      <c r="ER146" s="14">
        <f t="shared" ref="ER146:ER162" si="1222">VLOOKUP(DX146,LOHMANN,3,FALSE)</f>
        <v>77</v>
      </c>
      <c r="ES146" s="29">
        <f>INDEX($BZ$6:$CV$138,14,22)</f>
        <v>0</v>
      </c>
      <c r="ET146" s="417">
        <f t="shared" ref="ET146:ET155" si="1223">ER146-ES146</f>
        <v>77</v>
      </c>
      <c r="EW146" s="25">
        <v>1</v>
      </c>
      <c r="EX146" s="348" t="str">
        <f>EX145</f>
        <v>CASETA G4</v>
      </c>
      <c r="EY146" s="26">
        <f>INDEX($BZ$6:$CV$138,8,3)</f>
        <v>0</v>
      </c>
      <c r="EZ146" s="26">
        <f>INDEX($BZ$6:$CV$138,14,4)</f>
        <v>0</v>
      </c>
      <c r="FA146" s="23">
        <f t="shared" ref="FA146:FA155" si="1224">SUMIFS($CD$6:$CD$138,$BZ$6:$BZ$138,$BZ146)</f>
        <v>0</v>
      </c>
      <c r="FB146" s="23">
        <f t="shared" ref="FB146:FB155" si="1225">SUMIFS($CE$6:$CE$138,$BZ$6:$BZ$138,$BZ146)</f>
        <v>0</v>
      </c>
      <c r="FC146" s="23">
        <f t="shared" ref="FC146:FC155" si="1226">SUMIFS($CF$6:$CF$138,$BZ$6:$BZ$138,$BZ146)</f>
        <v>0</v>
      </c>
      <c r="FD146" s="88">
        <f t="shared" ref="FD146:FD148" si="1227">SUM(FA146:FC146)</f>
        <v>0</v>
      </c>
      <c r="FE146" s="26">
        <f>INDEX($BZ$6:$CV$138,14,9)</f>
        <v>0</v>
      </c>
      <c r="FF146" s="47">
        <f t="shared" ref="FF146:FF163" si="1228">VLOOKUP($BZ146,LOHMANN,4,FALSE)</f>
        <v>0.7</v>
      </c>
      <c r="FG146" s="23">
        <f>AVERAGEIFS($CJ$6:$CJ$138,$BZ$6:$BZ$138,$BZ146)</f>
        <v>0</v>
      </c>
      <c r="FH146" s="47">
        <f t="shared" ref="FH146:FH163" si="1229">VLOOKUP($BZ146,LOHMANN,5,FALSE)</f>
        <v>0.7</v>
      </c>
      <c r="FI146" s="27">
        <f>INDEX($BZ$6:$CV$138,14,13)</f>
        <v>0</v>
      </c>
      <c r="FJ146" s="23">
        <f t="shared" ref="FJ146:FJ155" si="1230">SUMIFS($CM$6:$CM$138,$BZ$6:$BZ$138,$BZ146)</f>
        <v>0</v>
      </c>
      <c r="FK146" s="14">
        <f t="shared" ref="FK146:FK163" si="1231">VLOOKUP($BZ146,LOHMANN,6,FALSE)</f>
        <v>10</v>
      </c>
      <c r="FL146" s="23">
        <f>AVERAGEIFS($CO$6:$CO$131,$BZ$6:$BZ$131,$BZ146)</f>
        <v>0</v>
      </c>
      <c r="FM146" s="27">
        <f>INDEX($BZ$6:$CV$138,14,17)</f>
        <v>0</v>
      </c>
      <c r="FN146" s="14">
        <f t="shared" ref="FN146:FN162" si="1232">VLOOKUP($BZ146,LOHMANN,2,FALSE)</f>
        <v>70</v>
      </c>
      <c r="FO146" s="351">
        <f>INDEX($BZ$6:$CV$138,14,19)</f>
        <v>0</v>
      </c>
      <c r="FP146" s="416">
        <f t="shared" si="1164"/>
        <v>70</v>
      </c>
      <c r="FQ146" s="14">
        <f t="shared" ref="FQ146:FQ162" si="1233">VLOOKUP(EW146,LOHMANN,3,FALSE)</f>
        <v>77</v>
      </c>
      <c r="FR146" s="29">
        <f>INDEX($BZ$6:$CV$138,14,22)</f>
        <v>0</v>
      </c>
      <c r="FS146" s="417">
        <f t="shared" ref="FS146:FS155" si="1234">FQ146-FR146</f>
        <v>77</v>
      </c>
      <c r="FV146" s="25">
        <v>1</v>
      </c>
      <c r="FW146" s="348" t="str">
        <f>FW145</f>
        <v>CASETA G5</v>
      </c>
      <c r="FX146" s="26">
        <f>INDEX($BZ$6:$CV$138,8,3)</f>
        <v>0</v>
      </c>
      <c r="FY146" s="26">
        <f>INDEX($BZ$6:$CV$138,14,4)</f>
        <v>0</v>
      </c>
      <c r="FZ146" s="23">
        <f t="shared" ref="FZ146:FZ155" si="1235">SUMIFS($CD$6:$CD$138,$BZ$6:$BZ$138,$BZ146)</f>
        <v>0</v>
      </c>
      <c r="GA146" s="23">
        <f t="shared" ref="GA146:GA154" si="1236">SUMIFS($CE$6:$CE$138,$BZ$6:$BZ$138,$BZ146)</f>
        <v>0</v>
      </c>
      <c r="GB146" s="23">
        <f t="shared" ref="GB146:GB155" si="1237">SUMIFS($CF$6:$CF$138,$BZ$6:$BZ$138,$BZ146)</f>
        <v>0</v>
      </c>
      <c r="GC146" s="88">
        <f t="shared" ref="GC146:GC148" si="1238">SUM(FZ146:GB146)</f>
        <v>0</v>
      </c>
      <c r="GD146" s="26">
        <f>INDEX($BZ$6:$CV$138,14,9)</f>
        <v>0</v>
      </c>
      <c r="GE146" s="47">
        <f t="shared" ref="GE146:GE163" si="1239">VLOOKUP($BZ146,LOHMANN,4,FALSE)</f>
        <v>0.7</v>
      </c>
      <c r="GF146" s="23">
        <f>AVERAGEIFS($CJ$6:$CJ$138,$BZ$6:$BZ$138,$BZ146)</f>
        <v>0</v>
      </c>
      <c r="GG146" s="47">
        <f t="shared" ref="GG146:GG163" si="1240">VLOOKUP($BZ146,LOHMANN,5,FALSE)</f>
        <v>0.7</v>
      </c>
      <c r="GH146" s="27">
        <f>INDEX($BZ$6:$CV$138,14,13)</f>
        <v>0</v>
      </c>
      <c r="GI146" s="23">
        <f t="shared" ref="GI146:GI155" si="1241">SUMIFS($CM$6:$CM$138,$BZ$6:$BZ$138,$BZ146)</f>
        <v>0</v>
      </c>
      <c r="GJ146" s="14">
        <f t="shared" ref="GJ146:GJ163" si="1242">VLOOKUP($BZ146,LOHMANN,6,FALSE)</f>
        <v>10</v>
      </c>
      <c r="GK146" s="23">
        <f>AVERAGEIFS($CO$6:$CO$131,$BZ$6:$BZ$131,$BZ146)</f>
        <v>0</v>
      </c>
      <c r="GL146" s="27">
        <f>INDEX($BZ$6:$CV$138,14,17)</f>
        <v>0</v>
      </c>
      <c r="GM146" s="14">
        <f t="shared" ref="GM146:GM162" si="1243">VLOOKUP($BZ146,LOHMANN,2,FALSE)</f>
        <v>70</v>
      </c>
      <c r="GN146" s="351">
        <f>INDEX($BZ$6:$CV$138,14,19)</f>
        <v>0</v>
      </c>
      <c r="GO146" s="416">
        <f t="shared" si="1165"/>
        <v>70</v>
      </c>
      <c r="GP146" s="14">
        <f t="shared" ref="GP146:GP162" si="1244">VLOOKUP(FV146,LOHMANN,3,FALSE)</f>
        <v>77</v>
      </c>
      <c r="GQ146" s="29">
        <f>INDEX($BZ$6:$CV$138,14,22)</f>
        <v>0</v>
      </c>
      <c r="GR146" s="417">
        <f t="shared" ref="GR146:GR155" si="1245">GP146-GQ146</f>
        <v>77</v>
      </c>
      <c r="GU146" s="25">
        <v>1</v>
      </c>
      <c r="GV146" s="348" t="str">
        <f>GV145</f>
        <v>CASETA G6</v>
      </c>
      <c r="GW146" s="26">
        <f>INDEX($BZ$6:$CV$138,8,3)</f>
        <v>0</v>
      </c>
      <c r="GX146" s="26">
        <f>INDEX($BZ$6:$CV$138,14,4)</f>
        <v>0</v>
      </c>
      <c r="GY146" s="23">
        <f t="shared" ref="GY146:GY155" si="1246">SUMIFS($CD$6:$CD$138,$BZ$6:$BZ$138,$BZ146)</f>
        <v>0</v>
      </c>
      <c r="GZ146" s="23">
        <f t="shared" ref="GZ146:GZ154" si="1247">SUMIFS($CE$6:$CE$138,$BZ$6:$BZ$138,$BZ146)</f>
        <v>0</v>
      </c>
      <c r="HA146" s="23">
        <f t="shared" ref="HA146:HA155" si="1248">SUMIFS($CF$6:$CF$138,$BZ$6:$BZ$138,$BZ146)</f>
        <v>0</v>
      </c>
      <c r="HB146" s="88">
        <f t="shared" ref="HB146:HB148" si="1249">SUM(GY146:HA146)</f>
        <v>0</v>
      </c>
      <c r="HC146" s="26">
        <f>INDEX($BZ$6:$CV$138,14,9)</f>
        <v>0</v>
      </c>
      <c r="HD146" s="47">
        <f t="shared" ref="HD146:HD155" si="1250">VLOOKUP($BZ146,LOHMANN,4,FALSE)</f>
        <v>0.7</v>
      </c>
      <c r="HE146" s="23">
        <f>AVERAGEIFS($CJ$6:$CJ$138,$BZ$6:$BZ$138,$BZ146)</f>
        <v>0</v>
      </c>
      <c r="HF146" s="47">
        <f t="shared" ref="HF146:HF163" si="1251">VLOOKUP($BZ146,LOHMANN,5,FALSE)</f>
        <v>0.7</v>
      </c>
      <c r="HG146" s="27">
        <f>INDEX($BZ$6:$CV$138,14,13)</f>
        <v>0</v>
      </c>
      <c r="HH146" s="23">
        <f t="shared" ref="HH146:HH155" si="1252">SUMIFS($CM$6:$CM$138,$BZ$6:$BZ$138,$BZ146)</f>
        <v>0</v>
      </c>
      <c r="HI146" s="14">
        <f t="shared" ref="HI146:HI163" si="1253">VLOOKUP($BZ146,LOHMANN,6,FALSE)</f>
        <v>10</v>
      </c>
      <c r="HJ146" s="23">
        <f>AVERAGEIFS($CO$6:$CO$131,$BZ$6:$BZ$131,$BZ146)</f>
        <v>0</v>
      </c>
      <c r="HK146" s="27">
        <f>INDEX($BZ$6:$CV$138,14,17)</f>
        <v>0</v>
      </c>
      <c r="HL146" s="14">
        <f t="shared" ref="HL146:HL162" si="1254">VLOOKUP($BZ146,LOHMANN,2,FALSE)</f>
        <v>70</v>
      </c>
      <c r="HM146" s="351">
        <f>INDEX($BZ$6:$CV$138,14,19)</f>
        <v>0</v>
      </c>
      <c r="HN146" s="416">
        <f t="shared" si="1166"/>
        <v>70</v>
      </c>
      <c r="HO146" s="14">
        <f t="shared" ref="HO146:HO162" si="1255">VLOOKUP(GU146,LOHMANN,3,FALSE)</f>
        <v>77</v>
      </c>
      <c r="HP146" s="29">
        <f>INDEX($BZ$6:$CV$138,14,22)</f>
        <v>0</v>
      </c>
      <c r="HQ146" s="417">
        <f t="shared" ref="HQ146:HQ155" si="1256">HO146-HP146</f>
        <v>77</v>
      </c>
    </row>
    <row r="147" spans="3:225" x14ac:dyDescent="0.25">
      <c r="C147" s="25">
        <v>2</v>
      </c>
      <c r="D147" s="23" t="str">
        <f t="shared" ref="D147:D163" si="1257">D146</f>
        <v>CASETA 1</v>
      </c>
      <c r="E147" s="26">
        <f>INDEX($C$6:$Y$138,15,3)</f>
        <v>132126</v>
      </c>
      <c r="F147" s="26">
        <f>INDEX($C$6:$Y$138,21,4)</f>
        <v>131297</v>
      </c>
      <c r="G147" s="23">
        <f t="shared" ref="G147:G163" si="1258">SUMIFS($G$6:$G$138,$C$6:$C$138,$C147)</f>
        <v>0</v>
      </c>
      <c r="H147" s="23">
        <f t="shared" ref="H147:H163" si="1259">SUMIFS($H$6:$H$138,$C$6:$C$138,$C147)</f>
        <v>829</v>
      </c>
      <c r="I147" s="23">
        <f t="shared" ref="I147:I163" si="1260">SUMIFS($I$6:$I$138,$C$6:$C$138,$C147)</f>
        <v>0</v>
      </c>
      <c r="J147" s="88">
        <f t="shared" ref="J147:J162" si="1261">SUM(G147:I147)</f>
        <v>829</v>
      </c>
      <c r="K147" s="26">
        <f>INDEX($C$6:$Y$138,21,9)</f>
        <v>3576</v>
      </c>
      <c r="L147" s="47">
        <f t="shared" si="1151"/>
        <v>0.7</v>
      </c>
      <c r="M147" s="28">
        <f t="shared" ref="M147:M163" si="1262">(J147*100)/E147</f>
        <v>0.62743139124774838</v>
      </c>
      <c r="N147" s="47">
        <f t="shared" si="1167"/>
        <v>1.4</v>
      </c>
      <c r="O147" s="47">
        <f t="shared" ref="O147:O163" si="1263">IFERROR((K147*100)/E147,0)</f>
        <v>2.7065074247309386</v>
      </c>
      <c r="P147" s="464">
        <f t="shared" ref="P147:P163" si="1264">SUMIFS($P$6:$P$138,$C$6:$C$138,$C147)</f>
        <v>18600</v>
      </c>
      <c r="Q147" s="14">
        <f t="shared" si="1168"/>
        <v>17</v>
      </c>
      <c r="R147" s="23">
        <f t="shared" ref="R147:R163" si="1265">IFERROR(((P147/7)/E147)*1000,0)</f>
        <v>20.110673577818577</v>
      </c>
      <c r="S147" s="30">
        <f>INDEX($C$6:$Y$138,21,17)</f>
        <v>311.91419071338413</v>
      </c>
      <c r="T147" s="14">
        <f t="shared" si="1169"/>
        <v>120</v>
      </c>
      <c r="U147" s="349">
        <f>INDEX($C$6:$Y$138,21,19)</f>
        <v>124</v>
      </c>
      <c r="V147" s="415">
        <f t="shared" si="1152"/>
        <v>-4</v>
      </c>
      <c r="W147" s="14">
        <f t="shared" si="1153"/>
        <v>77</v>
      </c>
      <c r="X147" s="75">
        <f>INDEX($C$6:$Y$138,21,22)</f>
        <v>72</v>
      </c>
      <c r="Y147" s="609">
        <f t="shared" si="1154"/>
        <v>5</v>
      </c>
      <c r="Z147" s="489"/>
      <c r="AA147" s="1"/>
      <c r="AB147" s="25">
        <v>2</v>
      </c>
      <c r="AC147" s="23" t="str">
        <f t="shared" ref="AC147:AC163" si="1266">AC146</f>
        <v>CASETA 2</v>
      </c>
      <c r="AD147" s="26">
        <f>INDEX($AB$6:$AX$138,15,3)</f>
        <v>152670</v>
      </c>
      <c r="AE147" s="26">
        <f>INDEX($AB$6:$AX$138,21,4)</f>
        <v>150013</v>
      </c>
      <c r="AF147" s="23">
        <f t="shared" si="1170"/>
        <v>0</v>
      </c>
      <c r="AG147" s="23">
        <f t="shared" si="1171"/>
        <v>2657</v>
      </c>
      <c r="AH147" s="23">
        <f t="shared" si="1172"/>
        <v>0</v>
      </c>
      <c r="AI147" s="88">
        <f t="shared" si="1173"/>
        <v>2657</v>
      </c>
      <c r="AJ147" s="26">
        <f>INDEX($AB$6:$AX$138,21,9)</f>
        <v>3163</v>
      </c>
      <c r="AK147" s="47">
        <f t="shared" si="1174"/>
        <v>0.7</v>
      </c>
      <c r="AL147" s="28">
        <f t="shared" si="1175"/>
        <v>0.25045767997179208</v>
      </c>
      <c r="AM147" s="47">
        <f t="shared" si="1176"/>
        <v>1.4</v>
      </c>
      <c r="AN147" s="47">
        <f t="shared" si="1177"/>
        <v>2.071788825571494</v>
      </c>
      <c r="AO147" s="464">
        <f t="shared" si="1178"/>
        <v>14400</v>
      </c>
      <c r="AP147" s="14">
        <f t="shared" si="1179"/>
        <v>17</v>
      </c>
      <c r="AQ147" s="23">
        <f>IFERROR(((AO147/7)/AD147)*1000,0)</f>
        <v>13.474440670353424</v>
      </c>
      <c r="AR147" s="30">
        <f>INDEX($AB$6:$AX$138,21,17)</f>
        <v>325.6510668760431</v>
      </c>
      <c r="AS147" s="14">
        <f t="shared" si="1181"/>
        <v>120</v>
      </c>
      <c r="AT147" s="349">
        <f>INDEX($AB$6:$AX$138,21,19)</f>
        <v>112</v>
      </c>
      <c r="AU147" s="415">
        <f t="shared" si="1182"/>
        <v>8</v>
      </c>
      <c r="AV147" s="14">
        <f t="shared" si="1183"/>
        <v>77</v>
      </c>
      <c r="AW147" s="75">
        <f>INDEX($AB$6:$AX$138,21,22)</f>
        <v>74</v>
      </c>
      <c r="AX147" s="609">
        <f t="shared" si="1155"/>
        <v>3</v>
      </c>
      <c r="AZ147" s="1"/>
      <c r="BA147" s="25">
        <v>2</v>
      </c>
      <c r="BB147" s="25" t="str">
        <f>BB146</f>
        <v>CASETA 3</v>
      </c>
      <c r="BC147" s="26">
        <f>INDEX($BA$6:$BW$138,15,3)</f>
        <v>0</v>
      </c>
      <c r="BD147" s="26">
        <f>INDEX($BA$6:$BW$138,21,4)</f>
        <v>0</v>
      </c>
      <c r="BE147" s="23">
        <f t="shared" si="1184"/>
        <v>0</v>
      </c>
      <c r="BF147" s="23">
        <f>SUMIFS($BF$6:$BF$138,$BA$6:$BA$138,$BA147)</f>
        <v>0</v>
      </c>
      <c r="BG147" s="23">
        <f t="shared" si="1186"/>
        <v>0</v>
      </c>
      <c r="BH147" s="88">
        <f t="shared" si="1187"/>
        <v>0</v>
      </c>
      <c r="BI147" s="26">
        <f>INDEX($BA$6:$BW$138,21,9)</f>
        <v>0</v>
      </c>
      <c r="BJ147" s="47">
        <f t="shared" si="1156"/>
        <v>0.7</v>
      </c>
      <c r="BK147" s="28">
        <f t="shared" si="1188"/>
        <v>0</v>
      </c>
      <c r="BL147" s="47">
        <f t="shared" si="1157"/>
        <v>1.4</v>
      </c>
      <c r="BM147" s="27">
        <f>INDEX($BA$6:$BW$138,21,13)</f>
        <v>0</v>
      </c>
      <c r="BN147" s="23">
        <f t="shared" si="1189"/>
        <v>0</v>
      </c>
      <c r="BO147" s="14">
        <f t="shared" si="1158"/>
        <v>17</v>
      </c>
      <c r="BP147" s="23">
        <f t="shared" si="1190"/>
        <v>0</v>
      </c>
      <c r="BQ147" s="27">
        <f>INDEX($BA$6:$BW$138,21,17)</f>
        <v>0</v>
      </c>
      <c r="BR147" s="14">
        <f t="shared" si="1159"/>
        <v>120</v>
      </c>
      <c r="BS147" s="350">
        <f>INDEX($BA$6:$BW$138,21,19)</f>
        <v>0</v>
      </c>
      <c r="BT147" s="26">
        <f t="shared" ref="BT147:BT163" si="1267">BR147-BS147</f>
        <v>120</v>
      </c>
      <c r="BU147" s="14">
        <f t="shared" si="1160"/>
        <v>77</v>
      </c>
      <c r="BV147" s="26">
        <f>INDEX($BA$6:$BW$138,21,22)</f>
        <v>0</v>
      </c>
      <c r="BW147" s="26">
        <f>BU147-BV147</f>
        <v>77</v>
      </c>
      <c r="BY147" s="1"/>
      <c r="BZ147" s="25">
        <v>2</v>
      </c>
      <c r="CA147" s="25" t="str">
        <f>CA146</f>
        <v>CASETA G1</v>
      </c>
      <c r="CB147" s="26">
        <f>INDEX($BZ$6:$CV$138,15,3)</f>
        <v>0</v>
      </c>
      <c r="CC147" s="26">
        <f>INDEX($BZ$6:$CV$138,21,4)</f>
        <v>0</v>
      </c>
      <c r="CD147" s="23">
        <f t="shared" si="1191"/>
        <v>0</v>
      </c>
      <c r="CE147" s="23">
        <f t="shared" si="1192"/>
        <v>0</v>
      </c>
      <c r="CF147" s="23">
        <f t="shared" si="1193"/>
        <v>0</v>
      </c>
      <c r="CG147" s="88">
        <f t="shared" si="1194"/>
        <v>0</v>
      </c>
      <c r="CH147" s="26">
        <f>INDEX($BZ$6:$CV$138,21,9)</f>
        <v>0</v>
      </c>
      <c r="CI147" s="47">
        <f t="shared" si="1195"/>
        <v>0.7</v>
      </c>
      <c r="CJ147" s="23">
        <f t="shared" ref="CJ147:CJ163" si="1268">AVERAGEIFS($CJ$6:$CJ$138,$BZ$6:$BZ$138,$BZ147)</f>
        <v>0</v>
      </c>
      <c r="CK147" s="47">
        <f t="shared" si="1196"/>
        <v>1.4</v>
      </c>
      <c r="CL147" s="27">
        <f>INDEX($BZ$6:$CV$138,21,13)</f>
        <v>0</v>
      </c>
      <c r="CM147" s="23">
        <f t="shared" si="1197"/>
        <v>0</v>
      </c>
      <c r="CN147" s="14">
        <f t="shared" si="1198"/>
        <v>17</v>
      </c>
      <c r="CO147" s="23">
        <f t="shared" ref="CO147:CO154" si="1269">AVERAGEIFS($CO$6:$CO$131,$BZ$6:$BZ$131,$BZ147)</f>
        <v>0</v>
      </c>
      <c r="CP147" s="27">
        <f>INDEX($BZ$6:$CV$138,21,17)</f>
        <v>0</v>
      </c>
      <c r="CQ147" s="14">
        <f t="shared" si="1161"/>
        <v>120</v>
      </c>
      <c r="CR147" s="351">
        <f>INDEX($BZ$6:$CV$138,21,19)</f>
        <v>0</v>
      </c>
      <c r="CS147" s="416">
        <f t="shared" si="1199"/>
        <v>120</v>
      </c>
      <c r="CT147" s="14">
        <f t="shared" si="1200"/>
        <v>77</v>
      </c>
      <c r="CU147" s="29">
        <f>INDEX($BZ$6:$CV$138,21,22)</f>
        <v>0</v>
      </c>
      <c r="CV147" s="417">
        <f t="shared" si="1201"/>
        <v>77</v>
      </c>
      <c r="CY147" s="25">
        <v>2</v>
      </c>
      <c r="CZ147" s="25" t="str">
        <f>CZ146</f>
        <v>CASETA G2</v>
      </c>
      <c r="DA147" s="26">
        <f>INDEX($BZ$6:$CV$138,15,3)</f>
        <v>0</v>
      </c>
      <c r="DB147" s="26">
        <f>INDEX($BZ$6:$CV$138,21,4)</f>
        <v>0</v>
      </c>
      <c r="DC147" s="23">
        <f t="shared" si="1202"/>
        <v>0</v>
      </c>
      <c r="DD147" s="23">
        <f t="shared" si="1203"/>
        <v>0</v>
      </c>
      <c r="DE147" s="23">
        <f t="shared" si="1204"/>
        <v>0</v>
      </c>
      <c r="DF147" s="88">
        <f t="shared" si="1205"/>
        <v>0</v>
      </c>
      <c r="DG147" s="26">
        <f>INDEX($BZ$6:$CV$138,21,9)</f>
        <v>0</v>
      </c>
      <c r="DH147" s="47">
        <f t="shared" si="1206"/>
        <v>0.7</v>
      </c>
      <c r="DI147" s="23">
        <f t="shared" ref="DI147:DI155" si="1270">AVERAGEIFS($CJ$6:$CJ$138,$BZ$6:$BZ$138,$BZ147)</f>
        <v>0</v>
      </c>
      <c r="DJ147" s="47">
        <f t="shared" si="1207"/>
        <v>1.4</v>
      </c>
      <c r="DK147" s="27">
        <f>INDEX($BZ$6:$CV$138,21,13)</f>
        <v>0</v>
      </c>
      <c r="DL147" s="23">
        <f t="shared" si="1208"/>
        <v>0</v>
      </c>
      <c r="DM147" s="14">
        <f t="shared" si="1209"/>
        <v>17</v>
      </c>
      <c r="DN147" s="23">
        <f t="shared" ref="DN147:DN155" si="1271">AVERAGEIFS($CO$6:$CO$131,$BZ$6:$BZ$131,$BZ147)</f>
        <v>0</v>
      </c>
      <c r="DO147" s="27">
        <f>INDEX($BZ$6:$CV$138,21,17)</f>
        <v>0</v>
      </c>
      <c r="DP147" s="14">
        <f t="shared" si="1162"/>
        <v>120</v>
      </c>
      <c r="DQ147" s="351">
        <f>INDEX($BZ$6:$CV$138,21,19)</f>
        <v>0</v>
      </c>
      <c r="DR147" s="416">
        <f t="shared" si="1210"/>
        <v>120</v>
      </c>
      <c r="DS147" s="14">
        <f t="shared" si="1211"/>
        <v>77</v>
      </c>
      <c r="DT147" s="29">
        <f>INDEX($BZ$6:$CV$138,21,22)</f>
        <v>0</v>
      </c>
      <c r="DU147" s="417">
        <f t="shared" si="1212"/>
        <v>77</v>
      </c>
      <c r="DX147" s="25">
        <v>2</v>
      </c>
      <c r="DY147" s="25" t="str">
        <f>DY146</f>
        <v>CASETA G3</v>
      </c>
      <c r="DZ147" s="26">
        <f>INDEX($BZ$6:$CV$138,15,3)</f>
        <v>0</v>
      </c>
      <c r="EA147" s="26">
        <f>INDEX($BZ$6:$CV$138,21,4)</f>
        <v>0</v>
      </c>
      <c r="EB147" s="23">
        <f t="shared" si="1213"/>
        <v>0</v>
      </c>
      <c r="EC147" s="23">
        <f t="shared" si="1214"/>
        <v>0</v>
      </c>
      <c r="ED147" s="23">
        <f t="shared" si="1215"/>
        <v>0</v>
      </c>
      <c r="EE147" s="88">
        <f t="shared" si="1216"/>
        <v>0</v>
      </c>
      <c r="EF147" s="26">
        <f>INDEX($BZ$6:$CV$138,21,9)</f>
        <v>0</v>
      </c>
      <c r="EG147" s="47">
        <f t="shared" si="1217"/>
        <v>0.7</v>
      </c>
      <c r="EH147" s="23">
        <f t="shared" ref="EH147:EH155" si="1272">AVERAGEIFS($CJ$6:$CJ$138,$BZ$6:$BZ$138,$BZ147)</f>
        <v>0</v>
      </c>
      <c r="EI147" s="47">
        <f t="shared" si="1218"/>
        <v>1.4</v>
      </c>
      <c r="EJ147" s="27">
        <f>INDEX($BZ$6:$CV$138,21,13)</f>
        <v>0</v>
      </c>
      <c r="EK147" s="23">
        <f t="shared" si="1219"/>
        <v>0</v>
      </c>
      <c r="EL147" s="14">
        <f t="shared" si="1220"/>
        <v>17</v>
      </c>
      <c r="EM147" s="23">
        <f t="shared" ref="EM147:EM155" si="1273">AVERAGEIFS($CO$6:$CO$131,$BZ$6:$BZ$131,$BZ147)</f>
        <v>0</v>
      </c>
      <c r="EN147" s="27">
        <f>INDEX($BZ$6:$CV$138,21,17)</f>
        <v>0</v>
      </c>
      <c r="EO147" s="14">
        <f t="shared" si="1163"/>
        <v>120</v>
      </c>
      <c r="EP147" s="351">
        <f>INDEX($BZ$6:$CV$138,21,19)</f>
        <v>0</v>
      </c>
      <c r="EQ147" s="416">
        <f t="shared" si="1221"/>
        <v>120</v>
      </c>
      <c r="ER147" s="14">
        <f t="shared" si="1222"/>
        <v>77</v>
      </c>
      <c r="ES147" s="29">
        <f>INDEX($BZ$6:$CV$138,21,22)</f>
        <v>0</v>
      </c>
      <c r="ET147" s="417">
        <f t="shared" si="1223"/>
        <v>77</v>
      </c>
      <c r="EW147" s="25">
        <v>2</v>
      </c>
      <c r="EX147" s="25" t="str">
        <f>EX146</f>
        <v>CASETA G4</v>
      </c>
      <c r="EY147" s="26">
        <f>INDEX($BZ$6:$CV$138,15,3)</f>
        <v>0</v>
      </c>
      <c r="EZ147" s="26">
        <f>INDEX($BZ$6:$CV$138,21,4)</f>
        <v>0</v>
      </c>
      <c r="FA147" s="23">
        <f t="shared" si="1224"/>
        <v>0</v>
      </c>
      <c r="FB147" s="23">
        <f t="shared" si="1225"/>
        <v>0</v>
      </c>
      <c r="FC147" s="23">
        <f t="shared" si="1226"/>
        <v>0</v>
      </c>
      <c r="FD147" s="88">
        <f t="shared" si="1227"/>
        <v>0</v>
      </c>
      <c r="FE147" s="26">
        <f>INDEX($BZ$6:$CV$138,21,9)</f>
        <v>0</v>
      </c>
      <c r="FF147" s="47">
        <f t="shared" si="1228"/>
        <v>0.7</v>
      </c>
      <c r="FG147" s="23">
        <f t="shared" ref="FG147:FG155" si="1274">AVERAGEIFS($CJ$6:$CJ$138,$BZ$6:$BZ$138,$BZ147)</f>
        <v>0</v>
      </c>
      <c r="FH147" s="47">
        <f t="shared" si="1229"/>
        <v>1.4</v>
      </c>
      <c r="FI147" s="27">
        <f>INDEX($BZ$6:$CV$138,21,13)</f>
        <v>0</v>
      </c>
      <c r="FJ147" s="23">
        <f t="shared" si="1230"/>
        <v>0</v>
      </c>
      <c r="FK147" s="14">
        <f t="shared" si="1231"/>
        <v>17</v>
      </c>
      <c r="FL147" s="23">
        <f t="shared" ref="FL147:FL155" si="1275">AVERAGEIFS($CO$6:$CO$131,$BZ$6:$BZ$131,$BZ147)</f>
        <v>0</v>
      </c>
      <c r="FM147" s="27">
        <f>INDEX($BZ$6:$CV$138,21,17)</f>
        <v>0</v>
      </c>
      <c r="FN147" s="14">
        <f t="shared" si="1232"/>
        <v>120</v>
      </c>
      <c r="FO147" s="351">
        <f>INDEX($BZ$6:$CV$138,21,19)</f>
        <v>0</v>
      </c>
      <c r="FP147" s="416">
        <f t="shared" si="1164"/>
        <v>120</v>
      </c>
      <c r="FQ147" s="14">
        <f t="shared" si="1233"/>
        <v>77</v>
      </c>
      <c r="FR147" s="29">
        <f>INDEX($BZ$6:$CV$138,21,22)</f>
        <v>0</v>
      </c>
      <c r="FS147" s="417">
        <f t="shared" si="1234"/>
        <v>77</v>
      </c>
      <c r="FV147" s="25">
        <v>2</v>
      </c>
      <c r="FW147" s="25" t="str">
        <f>FW146</f>
        <v>CASETA G5</v>
      </c>
      <c r="FX147" s="26">
        <f>INDEX($BZ$6:$CV$138,15,3)</f>
        <v>0</v>
      </c>
      <c r="FY147" s="26">
        <f>INDEX($BZ$6:$CV$138,21,4)</f>
        <v>0</v>
      </c>
      <c r="FZ147" s="23">
        <f t="shared" si="1235"/>
        <v>0</v>
      </c>
      <c r="GA147" s="23">
        <f t="shared" si="1236"/>
        <v>0</v>
      </c>
      <c r="GB147" s="23">
        <f t="shared" si="1237"/>
        <v>0</v>
      </c>
      <c r="GC147" s="88">
        <f t="shared" si="1238"/>
        <v>0</v>
      </c>
      <c r="GD147" s="26">
        <f>INDEX($BZ$6:$CV$138,21,9)</f>
        <v>0</v>
      </c>
      <c r="GE147" s="47">
        <f t="shared" si="1239"/>
        <v>0.7</v>
      </c>
      <c r="GF147" s="23">
        <f t="shared" ref="GF147:GF155" si="1276">AVERAGEIFS($CJ$6:$CJ$138,$BZ$6:$BZ$138,$BZ147)</f>
        <v>0</v>
      </c>
      <c r="GG147" s="47">
        <f t="shared" si="1240"/>
        <v>1.4</v>
      </c>
      <c r="GH147" s="27">
        <f>INDEX($BZ$6:$CV$138,21,13)</f>
        <v>0</v>
      </c>
      <c r="GI147" s="23">
        <f t="shared" si="1241"/>
        <v>0</v>
      </c>
      <c r="GJ147" s="14">
        <f t="shared" si="1242"/>
        <v>17</v>
      </c>
      <c r="GK147" s="23">
        <f t="shared" ref="GK147:GK155" si="1277">AVERAGEIFS($CO$6:$CO$131,$BZ$6:$BZ$131,$BZ147)</f>
        <v>0</v>
      </c>
      <c r="GL147" s="27">
        <f>INDEX($BZ$6:$CV$138,21,17)</f>
        <v>0</v>
      </c>
      <c r="GM147" s="14">
        <f t="shared" si="1243"/>
        <v>120</v>
      </c>
      <c r="GN147" s="351">
        <f>INDEX($BZ$6:$CV$138,21,19)</f>
        <v>0</v>
      </c>
      <c r="GO147" s="416">
        <f t="shared" si="1165"/>
        <v>120</v>
      </c>
      <c r="GP147" s="14">
        <f t="shared" si="1244"/>
        <v>77</v>
      </c>
      <c r="GQ147" s="29">
        <f>INDEX($BZ$6:$CV$138,21,22)</f>
        <v>0</v>
      </c>
      <c r="GR147" s="417">
        <f t="shared" si="1245"/>
        <v>77</v>
      </c>
      <c r="GU147" s="25">
        <v>2</v>
      </c>
      <c r="GV147" s="25" t="str">
        <f>GV146</f>
        <v>CASETA G6</v>
      </c>
      <c r="GW147" s="26">
        <f>INDEX($BZ$6:$CV$138,15,3)</f>
        <v>0</v>
      </c>
      <c r="GX147" s="26">
        <f>INDEX($BZ$6:$CV$138,21,4)</f>
        <v>0</v>
      </c>
      <c r="GY147" s="23">
        <f t="shared" si="1246"/>
        <v>0</v>
      </c>
      <c r="GZ147" s="23">
        <f t="shared" si="1247"/>
        <v>0</v>
      </c>
      <c r="HA147" s="23">
        <f t="shared" si="1248"/>
        <v>0</v>
      </c>
      <c r="HB147" s="88">
        <f t="shared" si="1249"/>
        <v>0</v>
      </c>
      <c r="HC147" s="26">
        <f>INDEX($BZ$6:$CV$138,21,9)</f>
        <v>0</v>
      </c>
      <c r="HD147" s="47">
        <f t="shared" si="1250"/>
        <v>0.7</v>
      </c>
      <c r="HE147" s="23">
        <f t="shared" ref="HE147:HE155" si="1278">AVERAGEIFS($CJ$6:$CJ$138,$BZ$6:$BZ$138,$BZ147)</f>
        <v>0</v>
      </c>
      <c r="HF147" s="47">
        <f t="shared" si="1251"/>
        <v>1.4</v>
      </c>
      <c r="HG147" s="27">
        <f>INDEX($BZ$6:$CV$138,21,13)</f>
        <v>0</v>
      </c>
      <c r="HH147" s="23">
        <f t="shared" si="1252"/>
        <v>0</v>
      </c>
      <c r="HI147" s="14">
        <f t="shared" si="1253"/>
        <v>17</v>
      </c>
      <c r="HJ147" s="23">
        <f t="shared" ref="HJ147:HJ155" si="1279">AVERAGEIFS($CO$6:$CO$131,$BZ$6:$BZ$131,$BZ147)</f>
        <v>0</v>
      </c>
      <c r="HK147" s="27">
        <f>INDEX($BZ$6:$CV$138,21,17)</f>
        <v>0</v>
      </c>
      <c r="HL147" s="14">
        <f t="shared" si="1254"/>
        <v>120</v>
      </c>
      <c r="HM147" s="351">
        <f>INDEX($BZ$6:$CV$138,21,19)</f>
        <v>0</v>
      </c>
      <c r="HN147" s="416">
        <f t="shared" si="1166"/>
        <v>120</v>
      </c>
      <c r="HO147" s="14">
        <f t="shared" si="1255"/>
        <v>77</v>
      </c>
      <c r="HP147" s="29">
        <f>INDEX($BZ$6:$CV$138,21,22)</f>
        <v>0</v>
      </c>
      <c r="HQ147" s="417">
        <f t="shared" si="1256"/>
        <v>77</v>
      </c>
    </row>
    <row r="148" spans="3:225" x14ac:dyDescent="0.25">
      <c r="C148" s="25">
        <v>3</v>
      </c>
      <c r="D148" s="23" t="str">
        <f t="shared" si="1257"/>
        <v>CASETA 1</v>
      </c>
      <c r="E148" s="26">
        <f>INDEX($C$6:$Y$138,25,3)</f>
        <v>66216</v>
      </c>
      <c r="F148" s="26">
        <f>INDEX($C$6:$Y$138,28,4)</f>
        <v>89329</v>
      </c>
      <c r="G148" s="23">
        <f t="shared" si="1258"/>
        <v>0</v>
      </c>
      <c r="H148" s="23">
        <f t="shared" si="1259"/>
        <v>318</v>
      </c>
      <c r="I148" s="23">
        <f t="shared" si="1260"/>
        <v>0</v>
      </c>
      <c r="J148" s="88">
        <f t="shared" si="1261"/>
        <v>318</v>
      </c>
      <c r="K148" s="26">
        <f>INDEX($C$6:$Y$138,28,9)</f>
        <v>3894</v>
      </c>
      <c r="L148" s="47">
        <f t="shared" si="1151"/>
        <v>0.5</v>
      </c>
      <c r="M148" s="28">
        <f t="shared" si="1262"/>
        <v>0.48024646611090976</v>
      </c>
      <c r="N148" s="47">
        <f t="shared" si="1167"/>
        <v>1.9</v>
      </c>
      <c r="O148" s="47">
        <f t="shared" si="1263"/>
        <v>5.8807538963392529</v>
      </c>
      <c r="P148" s="464">
        <f t="shared" si="1264"/>
        <v>13600</v>
      </c>
      <c r="Q148" s="14">
        <f t="shared" si="1168"/>
        <v>23</v>
      </c>
      <c r="R148" s="23">
        <f t="shared" si="1265"/>
        <v>29.341203679732132</v>
      </c>
      <c r="S148" s="30">
        <f>INDEX($C$6:$Y$138,28,17)</f>
        <v>480.08783331582617</v>
      </c>
      <c r="T148" s="14">
        <f t="shared" si="1169"/>
        <v>185</v>
      </c>
      <c r="U148" s="349">
        <f>INDEX($C$6:$Y$138,28,19)</f>
        <v>170</v>
      </c>
      <c r="V148" s="415">
        <f t="shared" si="1152"/>
        <v>15</v>
      </c>
      <c r="W148" s="14">
        <f t="shared" si="1153"/>
        <v>77</v>
      </c>
      <c r="X148" s="75">
        <f>INDEX($C$6:$Y$138,28,22)</f>
        <v>54</v>
      </c>
      <c r="Y148" s="609">
        <f t="shared" si="1154"/>
        <v>23</v>
      </c>
      <c r="Z148" s="489"/>
      <c r="AA148" s="1"/>
      <c r="AB148" s="25">
        <v>3</v>
      </c>
      <c r="AC148" s="23" t="str">
        <f t="shared" si="1266"/>
        <v>CASETA 2</v>
      </c>
      <c r="AD148" s="26">
        <f>INDEX($AB$6:$AX$138,22,3)</f>
        <v>150013</v>
      </c>
      <c r="AE148" s="26">
        <f>INDEX($AB$6:$AX$138,28,4)</f>
        <v>118966</v>
      </c>
      <c r="AF148" s="23">
        <f t="shared" si="1170"/>
        <v>0</v>
      </c>
      <c r="AG148" s="23">
        <f t="shared" si="1171"/>
        <v>1297</v>
      </c>
      <c r="AH148" s="23">
        <f t="shared" si="1172"/>
        <v>0</v>
      </c>
      <c r="AI148" s="88">
        <f t="shared" si="1173"/>
        <v>1297</v>
      </c>
      <c r="AJ148" s="26">
        <f>INDEX($AB$6:$AX$138,28,9)</f>
        <v>4460</v>
      </c>
      <c r="AK148" s="47">
        <f t="shared" si="1174"/>
        <v>0.5</v>
      </c>
      <c r="AL148" s="28">
        <f t="shared" si="1175"/>
        <v>0.12701809503219669</v>
      </c>
      <c r="AM148" s="47">
        <f t="shared" si="1176"/>
        <v>1.9</v>
      </c>
      <c r="AN148" s="47">
        <f t="shared" si="1177"/>
        <v>2.973075666775546</v>
      </c>
      <c r="AO148" s="464">
        <f t="shared" si="1178"/>
        <v>20200</v>
      </c>
      <c r="AP148" s="14">
        <f t="shared" si="1179"/>
        <v>23</v>
      </c>
      <c r="AQ148" s="23">
        <f>IFERROR(((AO148/7)/AD148)*1000,0)</f>
        <v>19.236428080994884</v>
      </c>
      <c r="AR148" s="30">
        <f>INDEX($AB$6:$AX$138,28,17)</f>
        <v>469.38924575607939</v>
      </c>
      <c r="AS148" s="14">
        <f>VLOOKUP($C148,LOHMANN,2,FALSE)</f>
        <v>185</v>
      </c>
      <c r="AT148" s="349">
        <f>INDEX($AB$6:$AX$138,28,19)</f>
        <v>179</v>
      </c>
      <c r="AU148" s="415">
        <f t="shared" si="1182"/>
        <v>6</v>
      </c>
      <c r="AV148" s="14">
        <f t="shared" si="1183"/>
        <v>77</v>
      </c>
      <c r="AW148" s="75">
        <f>INDEX($AB$6:$AX$138,28,22)</f>
        <v>67</v>
      </c>
      <c r="AX148" s="609">
        <f t="shared" si="1155"/>
        <v>10</v>
      </c>
      <c r="AZ148" s="1"/>
      <c r="BA148" s="25">
        <v>3</v>
      </c>
      <c r="BB148" s="25" t="str">
        <f t="shared" ref="BB148:BB163" si="1280">BB147</f>
        <v>CASETA 3</v>
      </c>
      <c r="BC148" s="26">
        <f>INDEX($BA$6:$BW$138,28,2)</f>
        <v>71400</v>
      </c>
      <c r="BD148" s="26">
        <f>INDEX($BA$6:$BW$138,28,4)</f>
        <v>71351</v>
      </c>
      <c r="BE148" s="23">
        <f t="shared" si="1184"/>
        <v>0</v>
      </c>
      <c r="BF148" s="23">
        <f t="shared" si="1185"/>
        <v>49</v>
      </c>
      <c r="BG148" s="23">
        <f t="shared" si="1186"/>
        <v>0</v>
      </c>
      <c r="BH148" s="88">
        <f t="shared" si="1187"/>
        <v>49</v>
      </c>
      <c r="BI148" s="26">
        <f>INDEX($BA$6:$BW$138,28,9)</f>
        <v>49</v>
      </c>
      <c r="BJ148" s="47">
        <f t="shared" si="1156"/>
        <v>0.5</v>
      </c>
      <c r="BK148" s="28">
        <f t="shared" si="1188"/>
        <v>1.046265045166107E-2</v>
      </c>
      <c r="BL148" s="47">
        <f t="shared" si="1157"/>
        <v>1.9</v>
      </c>
      <c r="BM148" s="27">
        <f>INDEX($BA$6:$BW$138,28,13)</f>
        <v>6.8627450980392163E-2</v>
      </c>
      <c r="BN148" s="23">
        <f t="shared" si="1189"/>
        <v>14400</v>
      </c>
      <c r="BO148" s="14">
        <f t="shared" si="1158"/>
        <v>23</v>
      </c>
      <c r="BP148" s="23">
        <f t="shared" si="1190"/>
        <v>28.811524609843939</v>
      </c>
      <c r="BQ148" s="27">
        <f>INDEX($BA$6:$BW$138,28,17)</f>
        <v>402.89747195999928</v>
      </c>
      <c r="BR148" s="14">
        <f t="shared" si="1159"/>
        <v>185</v>
      </c>
      <c r="BS148" s="350">
        <f>INDEX($BA$6:$BW$138,28,19)</f>
        <v>185</v>
      </c>
      <c r="BT148" s="26">
        <f t="shared" si="1267"/>
        <v>0</v>
      </c>
      <c r="BU148" s="14">
        <f t="shared" si="1160"/>
        <v>77</v>
      </c>
      <c r="BV148" s="26">
        <f>INDEX($BA$6:$BW$138,28,22)</f>
        <v>62</v>
      </c>
      <c r="BW148" s="26">
        <f>BU148-BV148</f>
        <v>15</v>
      </c>
      <c r="BY148" s="1"/>
      <c r="BZ148" s="25">
        <v>3</v>
      </c>
      <c r="CA148" s="25" t="str">
        <f t="shared" ref="CA148:CA163" si="1281">CA147</f>
        <v>CASETA G1</v>
      </c>
      <c r="CB148" s="26">
        <f>INDEX($BZ$6:$CV$138,22,3)</f>
        <v>0</v>
      </c>
      <c r="CC148" s="26">
        <f>INDEX($BZ$6:$CV$138,28,4)</f>
        <v>0</v>
      </c>
      <c r="CD148" s="23">
        <f t="shared" si="1191"/>
        <v>0</v>
      </c>
      <c r="CE148" s="23">
        <f t="shared" si="1192"/>
        <v>0</v>
      </c>
      <c r="CF148" s="23">
        <f t="shared" si="1193"/>
        <v>0</v>
      </c>
      <c r="CG148" s="88">
        <f t="shared" si="1194"/>
        <v>0</v>
      </c>
      <c r="CH148" s="26">
        <f>INDEX($BZ$6:$CV$138,28,9)</f>
        <v>0</v>
      </c>
      <c r="CI148" s="47">
        <f t="shared" si="1195"/>
        <v>0.5</v>
      </c>
      <c r="CJ148" s="23">
        <f t="shared" si="1268"/>
        <v>0</v>
      </c>
      <c r="CK148" s="47">
        <f t="shared" si="1196"/>
        <v>1.9</v>
      </c>
      <c r="CL148" s="27">
        <f>INDEX($BZ$6:$CV$138,28,13)</f>
        <v>0</v>
      </c>
      <c r="CM148" s="23">
        <f t="shared" si="1197"/>
        <v>0</v>
      </c>
      <c r="CN148" s="14">
        <f t="shared" si="1198"/>
        <v>23</v>
      </c>
      <c r="CO148" s="23">
        <f t="shared" si="1269"/>
        <v>0</v>
      </c>
      <c r="CP148" s="27">
        <f>INDEX($BZ$6:$CV$138,28,17)</f>
        <v>0</v>
      </c>
      <c r="CQ148" s="14">
        <f t="shared" si="1161"/>
        <v>185</v>
      </c>
      <c r="CR148" s="351">
        <f>INDEX($BZ$6:$CV$138,28,19)</f>
        <v>0</v>
      </c>
      <c r="CS148" s="416">
        <f t="shared" si="1199"/>
        <v>185</v>
      </c>
      <c r="CT148" s="14">
        <f t="shared" si="1200"/>
        <v>77</v>
      </c>
      <c r="CU148" s="29">
        <f>INDEX($BZ$6:$CV$138,28,22)</f>
        <v>0</v>
      </c>
      <c r="CV148" s="417">
        <f t="shared" si="1201"/>
        <v>77</v>
      </c>
      <c r="CY148" s="25">
        <v>3</v>
      </c>
      <c r="CZ148" s="25" t="str">
        <f t="shared" ref="CZ148:CZ163" si="1282">CZ147</f>
        <v>CASETA G2</v>
      </c>
      <c r="DA148" s="26">
        <f>INDEX($BZ$6:$CV$138,22,3)</f>
        <v>0</v>
      </c>
      <c r="DB148" s="26">
        <f>INDEX($BZ$6:$CV$138,28,4)</f>
        <v>0</v>
      </c>
      <c r="DC148" s="23">
        <f t="shared" si="1202"/>
        <v>0</v>
      </c>
      <c r="DD148" s="23">
        <f t="shared" si="1203"/>
        <v>0</v>
      </c>
      <c r="DE148" s="23">
        <f t="shared" si="1204"/>
        <v>0</v>
      </c>
      <c r="DF148" s="88">
        <f t="shared" si="1205"/>
        <v>0</v>
      </c>
      <c r="DG148" s="26">
        <f>INDEX($BZ$6:$CV$138,28,9)</f>
        <v>0</v>
      </c>
      <c r="DH148" s="47">
        <f t="shared" si="1206"/>
        <v>0.5</v>
      </c>
      <c r="DI148" s="23">
        <f t="shared" si="1270"/>
        <v>0</v>
      </c>
      <c r="DJ148" s="47">
        <f t="shared" si="1207"/>
        <v>1.9</v>
      </c>
      <c r="DK148" s="27">
        <f>INDEX($BZ$6:$CV$138,28,13)</f>
        <v>0</v>
      </c>
      <c r="DL148" s="23">
        <f t="shared" si="1208"/>
        <v>0</v>
      </c>
      <c r="DM148" s="14">
        <f t="shared" si="1209"/>
        <v>23</v>
      </c>
      <c r="DN148" s="23">
        <f t="shared" si="1271"/>
        <v>0</v>
      </c>
      <c r="DO148" s="27">
        <f>INDEX($BZ$6:$CV$138,28,17)</f>
        <v>0</v>
      </c>
      <c r="DP148" s="14">
        <f t="shared" si="1162"/>
        <v>185</v>
      </c>
      <c r="DQ148" s="351">
        <f>INDEX($BZ$6:$CV$138,28,19)</f>
        <v>0</v>
      </c>
      <c r="DR148" s="416">
        <f t="shared" si="1210"/>
        <v>185</v>
      </c>
      <c r="DS148" s="14">
        <f t="shared" si="1211"/>
        <v>77</v>
      </c>
      <c r="DT148" s="29">
        <f>INDEX($BZ$6:$CV$138,28,22)</f>
        <v>0</v>
      </c>
      <c r="DU148" s="417">
        <f t="shared" si="1212"/>
        <v>77</v>
      </c>
      <c r="DX148" s="25">
        <v>3</v>
      </c>
      <c r="DY148" s="25" t="str">
        <f t="shared" ref="DY148:DY163" si="1283">DY147</f>
        <v>CASETA G3</v>
      </c>
      <c r="DZ148" s="26">
        <f>INDEX($BZ$6:$CV$138,22,3)</f>
        <v>0</v>
      </c>
      <c r="EA148" s="26">
        <f>INDEX($BZ$6:$CV$138,28,4)</f>
        <v>0</v>
      </c>
      <c r="EB148" s="23">
        <f t="shared" si="1213"/>
        <v>0</v>
      </c>
      <c r="EC148" s="23">
        <f t="shared" si="1214"/>
        <v>0</v>
      </c>
      <c r="ED148" s="23">
        <f t="shared" si="1215"/>
        <v>0</v>
      </c>
      <c r="EE148" s="88">
        <f t="shared" si="1216"/>
        <v>0</v>
      </c>
      <c r="EF148" s="26">
        <f>INDEX($BZ$6:$CV$138,28,9)</f>
        <v>0</v>
      </c>
      <c r="EG148" s="47">
        <f t="shared" si="1217"/>
        <v>0.5</v>
      </c>
      <c r="EH148" s="23">
        <f t="shared" si="1272"/>
        <v>0</v>
      </c>
      <c r="EI148" s="47">
        <f t="shared" si="1218"/>
        <v>1.9</v>
      </c>
      <c r="EJ148" s="27">
        <f>INDEX($BZ$6:$CV$138,28,13)</f>
        <v>0</v>
      </c>
      <c r="EK148" s="23">
        <f t="shared" si="1219"/>
        <v>0</v>
      </c>
      <c r="EL148" s="14">
        <f t="shared" si="1220"/>
        <v>23</v>
      </c>
      <c r="EM148" s="23">
        <f t="shared" si="1273"/>
        <v>0</v>
      </c>
      <c r="EN148" s="27">
        <f>INDEX($BZ$6:$CV$138,28,17)</f>
        <v>0</v>
      </c>
      <c r="EO148" s="14">
        <f t="shared" si="1163"/>
        <v>185</v>
      </c>
      <c r="EP148" s="351">
        <f>INDEX($BZ$6:$CV$138,28,19)</f>
        <v>0</v>
      </c>
      <c r="EQ148" s="416">
        <f t="shared" si="1221"/>
        <v>185</v>
      </c>
      <c r="ER148" s="14">
        <f t="shared" si="1222"/>
        <v>77</v>
      </c>
      <c r="ES148" s="29">
        <f>INDEX($BZ$6:$CV$138,28,22)</f>
        <v>0</v>
      </c>
      <c r="ET148" s="417">
        <f t="shared" si="1223"/>
        <v>77</v>
      </c>
      <c r="EW148" s="25">
        <v>3</v>
      </c>
      <c r="EX148" s="25" t="str">
        <f t="shared" ref="EX148:EX163" si="1284">EX147</f>
        <v>CASETA G4</v>
      </c>
      <c r="EY148" s="26">
        <f>INDEX($BZ$6:$CV$138,22,3)</f>
        <v>0</v>
      </c>
      <c r="EZ148" s="26">
        <f>INDEX($BZ$6:$CV$138,28,4)</f>
        <v>0</v>
      </c>
      <c r="FA148" s="23">
        <f t="shared" si="1224"/>
        <v>0</v>
      </c>
      <c r="FB148" s="23">
        <f t="shared" si="1225"/>
        <v>0</v>
      </c>
      <c r="FC148" s="23">
        <f t="shared" si="1226"/>
        <v>0</v>
      </c>
      <c r="FD148" s="88">
        <f t="shared" si="1227"/>
        <v>0</v>
      </c>
      <c r="FE148" s="26">
        <f>INDEX($BZ$6:$CV$138,28,9)</f>
        <v>0</v>
      </c>
      <c r="FF148" s="47">
        <f t="shared" si="1228"/>
        <v>0.5</v>
      </c>
      <c r="FG148" s="23">
        <f t="shared" si="1274"/>
        <v>0</v>
      </c>
      <c r="FH148" s="47">
        <f t="shared" si="1229"/>
        <v>1.9</v>
      </c>
      <c r="FI148" s="27">
        <f>INDEX($BZ$6:$CV$138,28,13)</f>
        <v>0</v>
      </c>
      <c r="FJ148" s="23">
        <f t="shared" si="1230"/>
        <v>0</v>
      </c>
      <c r="FK148" s="14">
        <f t="shared" si="1231"/>
        <v>23</v>
      </c>
      <c r="FL148" s="23">
        <f t="shared" si="1275"/>
        <v>0</v>
      </c>
      <c r="FM148" s="27">
        <f>INDEX($BZ$6:$CV$138,28,17)</f>
        <v>0</v>
      </c>
      <c r="FN148" s="14">
        <f t="shared" si="1232"/>
        <v>185</v>
      </c>
      <c r="FO148" s="351">
        <f>INDEX($BZ$6:$CV$138,28,19)</f>
        <v>0</v>
      </c>
      <c r="FP148" s="416">
        <f t="shared" si="1164"/>
        <v>185</v>
      </c>
      <c r="FQ148" s="14">
        <f t="shared" si="1233"/>
        <v>77</v>
      </c>
      <c r="FR148" s="29">
        <f>INDEX($BZ$6:$CV$138,28,22)</f>
        <v>0</v>
      </c>
      <c r="FS148" s="417">
        <f t="shared" si="1234"/>
        <v>77</v>
      </c>
      <c r="FV148" s="25">
        <v>3</v>
      </c>
      <c r="FW148" s="25" t="str">
        <f t="shared" ref="FW148:FW163" si="1285">FW147</f>
        <v>CASETA G5</v>
      </c>
      <c r="FX148" s="26">
        <f>INDEX($BZ$6:$CV$138,22,3)</f>
        <v>0</v>
      </c>
      <c r="FY148" s="26">
        <f>INDEX($BZ$6:$CV$138,28,4)</f>
        <v>0</v>
      </c>
      <c r="FZ148" s="23">
        <f t="shared" si="1235"/>
        <v>0</v>
      </c>
      <c r="GA148" s="23">
        <f t="shared" si="1236"/>
        <v>0</v>
      </c>
      <c r="GB148" s="23">
        <f t="shared" si="1237"/>
        <v>0</v>
      </c>
      <c r="GC148" s="88">
        <f t="shared" si="1238"/>
        <v>0</v>
      </c>
      <c r="GD148" s="26">
        <f>INDEX($BZ$6:$CV$138,28,9)</f>
        <v>0</v>
      </c>
      <c r="GE148" s="47">
        <f t="shared" si="1239"/>
        <v>0.5</v>
      </c>
      <c r="GF148" s="23">
        <f t="shared" si="1276"/>
        <v>0</v>
      </c>
      <c r="GG148" s="47">
        <f t="shared" si="1240"/>
        <v>1.9</v>
      </c>
      <c r="GH148" s="27">
        <f>INDEX($BZ$6:$CV$138,28,13)</f>
        <v>0</v>
      </c>
      <c r="GI148" s="23">
        <f t="shared" si="1241"/>
        <v>0</v>
      </c>
      <c r="GJ148" s="14">
        <f t="shared" si="1242"/>
        <v>23</v>
      </c>
      <c r="GK148" s="23">
        <f t="shared" si="1277"/>
        <v>0</v>
      </c>
      <c r="GL148" s="27">
        <f>INDEX($BZ$6:$CV$138,28,17)</f>
        <v>0</v>
      </c>
      <c r="GM148" s="14">
        <f t="shared" si="1243"/>
        <v>185</v>
      </c>
      <c r="GN148" s="351">
        <f>INDEX($BZ$6:$CV$138,28,19)</f>
        <v>0</v>
      </c>
      <c r="GO148" s="416">
        <f t="shared" si="1165"/>
        <v>185</v>
      </c>
      <c r="GP148" s="14">
        <f t="shared" si="1244"/>
        <v>77</v>
      </c>
      <c r="GQ148" s="29">
        <f>INDEX($BZ$6:$CV$138,28,22)</f>
        <v>0</v>
      </c>
      <c r="GR148" s="417">
        <f t="shared" si="1245"/>
        <v>77</v>
      </c>
      <c r="GU148" s="25">
        <v>3</v>
      </c>
      <c r="GV148" s="25" t="str">
        <f t="shared" ref="GV148:GV163" si="1286">GV147</f>
        <v>CASETA G6</v>
      </c>
      <c r="GW148" s="26">
        <f>INDEX($BZ$6:$CV$138,22,3)</f>
        <v>0</v>
      </c>
      <c r="GX148" s="26">
        <f>INDEX($BZ$6:$CV$138,28,4)</f>
        <v>0</v>
      </c>
      <c r="GY148" s="23">
        <f t="shared" si="1246"/>
        <v>0</v>
      </c>
      <c r="GZ148" s="23">
        <f t="shared" si="1247"/>
        <v>0</v>
      </c>
      <c r="HA148" s="23">
        <f t="shared" si="1248"/>
        <v>0</v>
      </c>
      <c r="HB148" s="88">
        <f t="shared" si="1249"/>
        <v>0</v>
      </c>
      <c r="HC148" s="26">
        <f>INDEX($BZ$6:$CV$138,28,9)</f>
        <v>0</v>
      </c>
      <c r="HD148" s="47">
        <f t="shared" si="1250"/>
        <v>0.5</v>
      </c>
      <c r="HE148" s="23">
        <f t="shared" si="1278"/>
        <v>0</v>
      </c>
      <c r="HF148" s="47">
        <f t="shared" si="1251"/>
        <v>1.9</v>
      </c>
      <c r="HG148" s="27">
        <f>INDEX($BZ$6:$CV$138,28,13)</f>
        <v>0</v>
      </c>
      <c r="HH148" s="23">
        <f t="shared" si="1252"/>
        <v>0</v>
      </c>
      <c r="HI148" s="14">
        <f t="shared" si="1253"/>
        <v>23</v>
      </c>
      <c r="HJ148" s="23">
        <f t="shared" si="1279"/>
        <v>0</v>
      </c>
      <c r="HK148" s="27">
        <f>INDEX($BZ$6:$CV$138,28,17)</f>
        <v>0</v>
      </c>
      <c r="HL148" s="14">
        <f t="shared" si="1254"/>
        <v>185</v>
      </c>
      <c r="HM148" s="351">
        <f>INDEX($BZ$6:$CV$138,28,19)</f>
        <v>0</v>
      </c>
      <c r="HN148" s="416">
        <f t="shared" si="1166"/>
        <v>185</v>
      </c>
      <c r="HO148" s="14">
        <f t="shared" si="1255"/>
        <v>77</v>
      </c>
      <c r="HP148" s="29">
        <f>INDEX($BZ$6:$CV$138,28,22)</f>
        <v>0</v>
      </c>
      <c r="HQ148" s="417">
        <f t="shared" si="1256"/>
        <v>77</v>
      </c>
    </row>
    <row r="149" spans="3:225" x14ac:dyDescent="0.25">
      <c r="C149" s="25">
        <v>4</v>
      </c>
      <c r="D149" s="23" t="str">
        <f t="shared" si="1257"/>
        <v>CASETA 1</v>
      </c>
      <c r="E149" s="26">
        <f>INDEX($C$6:$Y$138,29,3)</f>
        <v>96629</v>
      </c>
      <c r="F149" s="26">
        <f>INDEX($C$6:$Y$138,35,4)</f>
        <v>97155</v>
      </c>
      <c r="G149" s="23">
        <f t="shared" si="1258"/>
        <v>0</v>
      </c>
      <c r="H149" s="23">
        <f t="shared" si="1259"/>
        <v>216</v>
      </c>
      <c r="I149" s="23">
        <f t="shared" si="1260"/>
        <v>0</v>
      </c>
      <c r="J149" s="88">
        <f t="shared" si="1261"/>
        <v>216</v>
      </c>
      <c r="K149" s="26">
        <f>INDEX($C$6:$Y$138,35,9)</f>
        <v>4110</v>
      </c>
      <c r="L149" s="47">
        <f t="shared" si="1151"/>
        <v>0.3</v>
      </c>
      <c r="M149" s="28">
        <f t="shared" si="1262"/>
        <v>0.22353537757815978</v>
      </c>
      <c r="N149" s="47">
        <f t="shared" si="1167"/>
        <v>2.1999999999999997</v>
      </c>
      <c r="O149" s="47">
        <f t="shared" si="1263"/>
        <v>4.2533814900288736</v>
      </c>
      <c r="P149" s="464">
        <f t="shared" si="1264"/>
        <v>12225</v>
      </c>
      <c r="Q149" s="14">
        <f t="shared" si="1168"/>
        <v>29</v>
      </c>
      <c r="R149" s="23">
        <f>IFERROR(((P149/7)/E149)*1000,0)</f>
        <v>18.073544913313512</v>
      </c>
      <c r="S149" s="30">
        <f>INDEX($C$6:$Y$138,35,17)</f>
        <v>609.37400251469649</v>
      </c>
      <c r="T149" s="14">
        <f t="shared" si="1169"/>
        <v>255</v>
      </c>
      <c r="U149" s="349">
        <f>INDEX($C$6:$Y$138,35,19)</f>
        <v>235</v>
      </c>
      <c r="V149" s="415">
        <f t="shared" si="1152"/>
        <v>20</v>
      </c>
      <c r="W149" s="14">
        <f t="shared" si="1153"/>
        <v>79</v>
      </c>
      <c r="X149" s="75">
        <f>INDEX($C$6:$Y$138,35,22)</f>
        <v>55</v>
      </c>
      <c r="Y149" s="609">
        <f t="shared" si="1154"/>
        <v>24</v>
      </c>
      <c r="Z149" s="489"/>
      <c r="AA149" s="1"/>
      <c r="AB149" s="25">
        <v>4</v>
      </c>
      <c r="AC149" s="23" t="str">
        <f t="shared" si="1266"/>
        <v>CASETA 2</v>
      </c>
      <c r="AD149" s="26">
        <f>INDEX($AB$6:$AX$138,29,3)</f>
        <v>111666</v>
      </c>
      <c r="AE149" s="26">
        <f>INDEX($AB$6:$AX$138,35,4)</f>
        <v>88118</v>
      </c>
      <c r="AF149" s="23">
        <f t="shared" si="1170"/>
        <v>0</v>
      </c>
      <c r="AG149" s="23">
        <f t="shared" si="1171"/>
        <v>321</v>
      </c>
      <c r="AH149" s="23">
        <f t="shared" si="1172"/>
        <v>0</v>
      </c>
      <c r="AI149" s="88">
        <f t="shared" si="1173"/>
        <v>321</v>
      </c>
      <c r="AJ149" s="26">
        <f>INDEX($AB$6:$AX$138,35,9)</f>
        <v>4781</v>
      </c>
      <c r="AK149" s="47">
        <f t="shared" si="1174"/>
        <v>0.3</v>
      </c>
      <c r="AL149" s="28">
        <f t="shared" si="1175"/>
        <v>4.3441016631179344E-2</v>
      </c>
      <c r="AM149" s="47">
        <f t="shared" si="1176"/>
        <v>2.1999999999999997</v>
      </c>
      <c r="AN149" s="47">
        <f t="shared" si="1177"/>
        <v>4.2815180986155141</v>
      </c>
      <c r="AO149" s="464">
        <f t="shared" si="1178"/>
        <v>13901</v>
      </c>
      <c r="AP149" s="14">
        <f t="shared" si="1179"/>
        <v>29</v>
      </c>
      <c r="AQ149" s="23">
        <f t="shared" si="1180"/>
        <v>17.783901481714604</v>
      </c>
      <c r="AR149" s="30">
        <f>INDEX($AB$6:$AX$138,35,17)</f>
        <v>606.35126699351099</v>
      </c>
      <c r="AS149" s="14">
        <f t="shared" si="1181"/>
        <v>255</v>
      </c>
      <c r="AT149" s="349">
        <f>INDEX($AB$6:$AX$138,35,19)</f>
        <v>246</v>
      </c>
      <c r="AU149" s="415">
        <f t="shared" si="1182"/>
        <v>9</v>
      </c>
      <c r="AV149" s="14">
        <f t="shared" si="1183"/>
        <v>79</v>
      </c>
      <c r="AW149" s="75">
        <f>INDEX($AB$6:$AX$138,35,22)</f>
        <v>63</v>
      </c>
      <c r="AX149" s="609">
        <f t="shared" si="1155"/>
        <v>16</v>
      </c>
      <c r="AZ149" s="1"/>
      <c r="BA149" s="25">
        <v>4</v>
      </c>
      <c r="BB149" s="25" t="str">
        <f t="shared" si="1280"/>
        <v>CASETA 3</v>
      </c>
      <c r="BC149" s="26">
        <f>INDEX($BA$6:$BW$138,29,3)</f>
        <v>71351</v>
      </c>
      <c r="BD149" s="26">
        <f>INDEX($BA$6:$BW$138,35,4)</f>
        <v>93665</v>
      </c>
      <c r="BE149" s="23">
        <f t="shared" si="1184"/>
        <v>0</v>
      </c>
      <c r="BF149" s="23">
        <f t="shared" si="1185"/>
        <v>158</v>
      </c>
      <c r="BG149" s="23">
        <f t="shared" si="1186"/>
        <v>0</v>
      </c>
      <c r="BH149" s="88">
        <f>SUM(BE149:BG149)</f>
        <v>158</v>
      </c>
      <c r="BI149" s="26">
        <f>INDEX($BA$6:$BW$138,35,9)</f>
        <v>207</v>
      </c>
      <c r="BJ149" s="47">
        <f t="shared" si="1156"/>
        <v>0.3</v>
      </c>
      <c r="BK149" s="28">
        <f>AVERAGEIFS($BK$6:$BK$138,$BA$6:$BA$138,$BA149)</f>
        <v>2.831123244593416E-2</v>
      </c>
      <c r="BL149" s="47">
        <f t="shared" si="1157"/>
        <v>2.1999999999999997</v>
      </c>
      <c r="BM149" s="27">
        <f>INDEX($BA$6:$BW$138,35,13)</f>
        <v>0.28991596638655465</v>
      </c>
      <c r="BN149" s="23">
        <f t="shared" si="1189"/>
        <v>11555</v>
      </c>
      <c r="BO149" s="14">
        <f t="shared" si="1158"/>
        <v>29</v>
      </c>
      <c r="BP149" s="23">
        <f t="shared" si="1190"/>
        <v>23.135124745473586</v>
      </c>
      <c r="BQ149" s="27">
        <f>INDEX($BA$6:$BW$138,35,17)</f>
        <v>532.89339618132033</v>
      </c>
      <c r="BR149" s="14">
        <f t="shared" si="1159"/>
        <v>255</v>
      </c>
      <c r="BS149" s="350">
        <f>INDEX($BA$6:$BW$138,35,19)</f>
        <v>231</v>
      </c>
      <c r="BT149" s="26">
        <f t="shared" si="1267"/>
        <v>24</v>
      </c>
      <c r="BU149" s="14">
        <f t="shared" si="1160"/>
        <v>79</v>
      </c>
      <c r="BV149" s="26">
        <f>INDEX($BA$6:$BW$138,35,22)</f>
        <v>65</v>
      </c>
      <c r="BW149" s="26">
        <f>BU149-BV149</f>
        <v>14</v>
      </c>
      <c r="BY149" s="1"/>
      <c r="BZ149" s="25">
        <v>4</v>
      </c>
      <c r="CA149" s="25" t="str">
        <f t="shared" si="1281"/>
        <v>CASETA G1</v>
      </c>
      <c r="CB149" s="26">
        <f>INDEX($BZ$6:$CV$138,35,3)</f>
        <v>0</v>
      </c>
      <c r="CC149" s="26">
        <f>INDEX($BZ$6:$CV$138,35,4)</f>
        <v>0</v>
      </c>
      <c r="CD149" s="23">
        <f>SUMIFS($CD$6:$CD$138,$BZ$6:$BZ$138,$BZ149)</f>
        <v>0</v>
      </c>
      <c r="CE149" s="23">
        <f>SUMIFS($CE$6:$CE$138,$BZ$6:$BZ$138,$BZ149)</f>
        <v>0</v>
      </c>
      <c r="CF149" s="23">
        <f>SUMIFS($CF$6:$CF$138,$BZ$6:$BZ$138,$BZ149)</f>
        <v>0</v>
      </c>
      <c r="CG149" s="88">
        <f>SUM(CD149:CF149)</f>
        <v>0</v>
      </c>
      <c r="CH149" s="26">
        <f>INDEX($BZ$6:$CV$138,35,9)</f>
        <v>0</v>
      </c>
      <c r="CI149" s="47">
        <f t="shared" si="1195"/>
        <v>0.3</v>
      </c>
      <c r="CJ149" s="23">
        <f t="shared" si="1268"/>
        <v>0</v>
      </c>
      <c r="CK149" s="47">
        <f t="shared" si="1196"/>
        <v>2.1999999999999997</v>
      </c>
      <c r="CL149" s="27">
        <f>INDEX($BZ$6:$CV$138,35,13)</f>
        <v>0</v>
      </c>
      <c r="CM149" s="23">
        <f>SUMIFS($CM$6:$CM$138,$BZ$6:$BZ$138,$BZ149)</f>
        <v>0</v>
      </c>
      <c r="CN149" s="14">
        <f>VLOOKUP($BZ149,LOHMANN,6,FALSE)</f>
        <v>29</v>
      </c>
      <c r="CO149" s="23">
        <f>AVERAGEIFS($CO$6:$CO$131,$BZ$6:$BZ$131,$BZ149)</f>
        <v>0</v>
      </c>
      <c r="CP149" s="27">
        <f>INDEX($BZ$6:$CV$138,35,17)</f>
        <v>0</v>
      </c>
      <c r="CQ149" s="14">
        <f t="shared" si="1161"/>
        <v>255</v>
      </c>
      <c r="CR149" s="351">
        <f>INDEX($BZ$6:$CV$138,35,19)</f>
        <v>0</v>
      </c>
      <c r="CS149" s="416">
        <f t="shared" si="1199"/>
        <v>255</v>
      </c>
      <c r="CT149" s="14">
        <f t="shared" si="1200"/>
        <v>79</v>
      </c>
      <c r="CU149" s="29">
        <f>INDEX($BZ$6:$CV$138,35,22)</f>
        <v>0</v>
      </c>
      <c r="CV149" s="417">
        <f t="shared" si="1201"/>
        <v>79</v>
      </c>
      <c r="CY149" s="25">
        <v>4</v>
      </c>
      <c r="CZ149" s="25" t="str">
        <f t="shared" si="1282"/>
        <v>CASETA G2</v>
      </c>
      <c r="DA149" s="26">
        <f>INDEX($BZ$6:$CV$138,35,3)</f>
        <v>0</v>
      </c>
      <c r="DB149" s="26">
        <f>INDEX($BZ$6:$CV$138,35,4)</f>
        <v>0</v>
      </c>
      <c r="DC149" s="23">
        <f>SUMIFS($CD$6:$CD$138,$BZ$6:$BZ$138,$BZ149)</f>
        <v>0</v>
      </c>
      <c r="DD149" s="23">
        <f>SUMIFS($CE$6:$CE$138,$BZ$6:$BZ$138,$BZ149)</f>
        <v>0</v>
      </c>
      <c r="DE149" s="23">
        <f>SUMIFS($CF$6:$CF$138,$BZ$6:$BZ$138,$BZ149)</f>
        <v>0</v>
      </c>
      <c r="DF149" s="88">
        <f>SUM(DC149:DE149)</f>
        <v>0</v>
      </c>
      <c r="DG149" s="26">
        <f>INDEX($BZ$6:$CV$138,35,9)</f>
        <v>0</v>
      </c>
      <c r="DH149" s="47">
        <f t="shared" si="1206"/>
        <v>0.3</v>
      </c>
      <c r="DI149" s="23">
        <f t="shared" si="1270"/>
        <v>0</v>
      </c>
      <c r="DJ149" s="47">
        <f t="shared" si="1207"/>
        <v>2.1999999999999997</v>
      </c>
      <c r="DK149" s="27">
        <f>INDEX($BZ$6:$CV$138,35,13)</f>
        <v>0</v>
      </c>
      <c r="DL149" s="23">
        <f>SUMIFS($CM$6:$CM$138,$BZ$6:$BZ$138,$BZ149)</f>
        <v>0</v>
      </c>
      <c r="DM149" s="14">
        <f>VLOOKUP($BZ149,LOHMANN,6,FALSE)</f>
        <v>29</v>
      </c>
      <c r="DN149" s="23">
        <f>AVERAGEIFS($CO$6:$CO$131,$BZ$6:$BZ$131,$BZ149)</f>
        <v>0</v>
      </c>
      <c r="DO149" s="27">
        <f>INDEX($BZ$6:$CV$138,35,17)</f>
        <v>0</v>
      </c>
      <c r="DP149" s="14">
        <f t="shared" si="1162"/>
        <v>255</v>
      </c>
      <c r="DQ149" s="351">
        <f>INDEX($BZ$6:$CV$138,35,19)</f>
        <v>0</v>
      </c>
      <c r="DR149" s="416">
        <f t="shared" si="1210"/>
        <v>255</v>
      </c>
      <c r="DS149" s="14">
        <f t="shared" si="1211"/>
        <v>79</v>
      </c>
      <c r="DT149" s="29">
        <f>INDEX($BZ$6:$CV$138,35,22)</f>
        <v>0</v>
      </c>
      <c r="DU149" s="417">
        <f t="shared" si="1212"/>
        <v>79</v>
      </c>
      <c r="DX149" s="25">
        <v>4</v>
      </c>
      <c r="DY149" s="25" t="str">
        <f t="shared" si="1283"/>
        <v>CASETA G3</v>
      </c>
      <c r="DZ149" s="26">
        <f>INDEX($BZ$6:$CV$138,35,3)</f>
        <v>0</v>
      </c>
      <c r="EA149" s="26">
        <f>INDEX($BZ$6:$CV$138,35,4)</f>
        <v>0</v>
      </c>
      <c r="EB149" s="23">
        <f>SUMIFS($CD$6:$CD$138,$BZ$6:$BZ$138,$BZ149)</f>
        <v>0</v>
      </c>
      <c r="EC149" s="23">
        <f>SUMIFS($CE$6:$CE$138,$BZ$6:$BZ$138,$BZ149)</f>
        <v>0</v>
      </c>
      <c r="ED149" s="23">
        <f>SUMIFS($CF$6:$CF$138,$BZ$6:$BZ$138,$BZ149)</f>
        <v>0</v>
      </c>
      <c r="EE149" s="88">
        <f>SUM(EB149:ED149)</f>
        <v>0</v>
      </c>
      <c r="EF149" s="26">
        <f>INDEX($BZ$6:$CV$138,35,9)</f>
        <v>0</v>
      </c>
      <c r="EG149" s="47">
        <f t="shared" si="1217"/>
        <v>0.3</v>
      </c>
      <c r="EH149" s="23">
        <f t="shared" si="1272"/>
        <v>0</v>
      </c>
      <c r="EI149" s="47">
        <f t="shared" si="1218"/>
        <v>2.1999999999999997</v>
      </c>
      <c r="EJ149" s="27">
        <f>INDEX($BZ$6:$CV$138,35,13)</f>
        <v>0</v>
      </c>
      <c r="EK149" s="23">
        <f>SUMIFS($CM$6:$CM$138,$BZ$6:$BZ$138,$BZ149)</f>
        <v>0</v>
      </c>
      <c r="EL149" s="14">
        <f>VLOOKUP($BZ149,LOHMANN,6,FALSE)</f>
        <v>29</v>
      </c>
      <c r="EM149" s="23">
        <f>AVERAGEIFS($CO$6:$CO$131,$BZ$6:$BZ$131,$BZ149)</f>
        <v>0</v>
      </c>
      <c r="EN149" s="27">
        <f>INDEX($BZ$6:$CV$138,35,17)</f>
        <v>0</v>
      </c>
      <c r="EO149" s="14">
        <f t="shared" si="1163"/>
        <v>255</v>
      </c>
      <c r="EP149" s="351">
        <f>INDEX($BZ$6:$CV$138,35,19)</f>
        <v>0</v>
      </c>
      <c r="EQ149" s="416">
        <f t="shared" si="1221"/>
        <v>255</v>
      </c>
      <c r="ER149" s="14">
        <f t="shared" si="1222"/>
        <v>79</v>
      </c>
      <c r="ES149" s="29">
        <f>INDEX($BZ$6:$CV$138,35,22)</f>
        <v>0</v>
      </c>
      <c r="ET149" s="417">
        <f t="shared" si="1223"/>
        <v>79</v>
      </c>
      <c r="EW149" s="25">
        <v>4</v>
      </c>
      <c r="EX149" s="25" t="str">
        <f t="shared" si="1284"/>
        <v>CASETA G4</v>
      </c>
      <c r="EY149" s="26">
        <f>INDEX($BZ$6:$CV$138,35,3)</f>
        <v>0</v>
      </c>
      <c r="EZ149" s="26">
        <f>INDEX($BZ$6:$CV$138,35,4)</f>
        <v>0</v>
      </c>
      <c r="FA149" s="23">
        <f>SUMIFS($CD$6:$CD$138,$BZ$6:$BZ$138,$BZ149)</f>
        <v>0</v>
      </c>
      <c r="FB149" s="23">
        <f>SUMIFS($CE$6:$CE$138,$BZ$6:$BZ$138,$BZ149)</f>
        <v>0</v>
      </c>
      <c r="FC149" s="23">
        <f>SUMIFS($CF$6:$CF$138,$BZ$6:$BZ$138,$BZ149)</f>
        <v>0</v>
      </c>
      <c r="FD149" s="88">
        <f>SUM(FA149:FC149)</f>
        <v>0</v>
      </c>
      <c r="FE149" s="26">
        <f>INDEX($BZ$6:$CV$138,35,9)</f>
        <v>0</v>
      </c>
      <c r="FF149" s="47">
        <f t="shared" si="1228"/>
        <v>0.3</v>
      </c>
      <c r="FG149" s="23">
        <f t="shared" si="1274"/>
        <v>0</v>
      </c>
      <c r="FH149" s="47">
        <f t="shared" si="1229"/>
        <v>2.1999999999999997</v>
      </c>
      <c r="FI149" s="27">
        <f>INDEX($BZ$6:$CV$138,35,13)</f>
        <v>0</v>
      </c>
      <c r="FJ149" s="23">
        <f>SUMIFS($CM$6:$CM$138,$BZ$6:$BZ$138,$BZ149)</f>
        <v>0</v>
      </c>
      <c r="FK149" s="14">
        <f>VLOOKUP($BZ149,LOHMANN,6,FALSE)</f>
        <v>29</v>
      </c>
      <c r="FL149" s="23">
        <f>AVERAGEIFS($CO$6:$CO$131,$BZ$6:$BZ$131,$BZ149)</f>
        <v>0</v>
      </c>
      <c r="FM149" s="27">
        <f>INDEX($BZ$6:$CV$138,35,17)</f>
        <v>0</v>
      </c>
      <c r="FN149" s="14">
        <f t="shared" si="1232"/>
        <v>255</v>
      </c>
      <c r="FO149" s="351">
        <f>INDEX($BZ$6:$CV$138,35,19)</f>
        <v>0</v>
      </c>
      <c r="FP149" s="416">
        <f t="shared" si="1164"/>
        <v>255</v>
      </c>
      <c r="FQ149" s="14">
        <f t="shared" si="1233"/>
        <v>79</v>
      </c>
      <c r="FR149" s="29">
        <f>INDEX($BZ$6:$CV$138,35,22)</f>
        <v>0</v>
      </c>
      <c r="FS149" s="417">
        <f t="shared" si="1234"/>
        <v>79</v>
      </c>
      <c r="FV149" s="25">
        <v>4</v>
      </c>
      <c r="FW149" s="25" t="str">
        <f t="shared" si="1285"/>
        <v>CASETA G5</v>
      </c>
      <c r="FX149" s="26">
        <f>INDEX($BZ$6:$CV$138,35,3)</f>
        <v>0</v>
      </c>
      <c r="FY149" s="26">
        <f>INDEX($BZ$6:$CV$138,35,4)</f>
        <v>0</v>
      </c>
      <c r="FZ149" s="23">
        <f>SUMIFS($CD$6:$CD$138,$BZ$6:$BZ$138,$BZ149)</f>
        <v>0</v>
      </c>
      <c r="GA149" s="23">
        <f>SUMIFS($CE$6:$CE$138,$BZ$6:$BZ$138,$BZ149)</f>
        <v>0</v>
      </c>
      <c r="GB149" s="23">
        <f>SUMIFS($CF$6:$CF$138,$BZ$6:$BZ$138,$BZ149)</f>
        <v>0</v>
      </c>
      <c r="GC149" s="88">
        <f>SUM(FZ149:GB149)</f>
        <v>0</v>
      </c>
      <c r="GD149" s="26">
        <f>INDEX($BZ$6:$CV$138,35,9)</f>
        <v>0</v>
      </c>
      <c r="GE149" s="47">
        <f t="shared" si="1239"/>
        <v>0.3</v>
      </c>
      <c r="GF149" s="23">
        <f t="shared" si="1276"/>
        <v>0</v>
      </c>
      <c r="GG149" s="47">
        <f t="shared" si="1240"/>
        <v>2.1999999999999997</v>
      </c>
      <c r="GH149" s="27">
        <f>INDEX($BZ$6:$CV$138,35,13)</f>
        <v>0</v>
      </c>
      <c r="GI149" s="23">
        <f>SUMIFS($CM$6:$CM$138,$BZ$6:$BZ$138,$BZ149)</f>
        <v>0</v>
      </c>
      <c r="GJ149" s="14">
        <f>VLOOKUP($BZ149,LOHMANN,6,FALSE)</f>
        <v>29</v>
      </c>
      <c r="GK149" s="23">
        <f>AVERAGEIFS($CO$6:$CO$131,$BZ$6:$BZ$131,$BZ149)</f>
        <v>0</v>
      </c>
      <c r="GL149" s="27">
        <f>INDEX($BZ$6:$CV$138,35,17)</f>
        <v>0</v>
      </c>
      <c r="GM149" s="14">
        <f t="shared" si="1243"/>
        <v>255</v>
      </c>
      <c r="GN149" s="351">
        <f>INDEX($BZ$6:$CV$138,35,19)</f>
        <v>0</v>
      </c>
      <c r="GO149" s="416">
        <f t="shared" si="1165"/>
        <v>255</v>
      </c>
      <c r="GP149" s="14">
        <f t="shared" si="1244"/>
        <v>79</v>
      </c>
      <c r="GQ149" s="29">
        <f>INDEX($BZ$6:$CV$138,35,22)</f>
        <v>0</v>
      </c>
      <c r="GR149" s="417">
        <f t="shared" si="1245"/>
        <v>79</v>
      </c>
      <c r="GU149" s="25">
        <v>4</v>
      </c>
      <c r="GV149" s="25" t="str">
        <f t="shared" si="1286"/>
        <v>CASETA G6</v>
      </c>
      <c r="GW149" s="26">
        <f>INDEX($BZ$6:$CV$138,35,3)</f>
        <v>0</v>
      </c>
      <c r="GX149" s="26">
        <f>INDEX($BZ$6:$CV$138,35,4)</f>
        <v>0</v>
      </c>
      <c r="GY149" s="23">
        <f>SUMIFS($CD$6:$CD$138,$BZ$6:$BZ$138,$BZ149)</f>
        <v>0</v>
      </c>
      <c r="GZ149" s="23">
        <f>SUMIFS($CE$6:$CE$138,$BZ$6:$BZ$138,$BZ149)</f>
        <v>0</v>
      </c>
      <c r="HA149" s="23">
        <f>SUMIFS($CF$6:$CF$138,$BZ$6:$BZ$138,$BZ149)</f>
        <v>0</v>
      </c>
      <c r="HB149" s="88">
        <f>SUM(GY149:HA149)</f>
        <v>0</v>
      </c>
      <c r="HC149" s="26">
        <f>INDEX($BZ$6:$CV$138,35,9)</f>
        <v>0</v>
      </c>
      <c r="HD149" s="47">
        <f t="shared" si="1250"/>
        <v>0.3</v>
      </c>
      <c r="HE149" s="23">
        <f t="shared" si="1278"/>
        <v>0</v>
      </c>
      <c r="HF149" s="47">
        <f t="shared" si="1251"/>
        <v>2.1999999999999997</v>
      </c>
      <c r="HG149" s="27">
        <f>INDEX($BZ$6:$CV$138,35,13)</f>
        <v>0</v>
      </c>
      <c r="HH149" s="23">
        <f>SUMIFS($CM$6:$CM$138,$BZ$6:$BZ$138,$BZ149)</f>
        <v>0</v>
      </c>
      <c r="HI149" s="14">
        <f>VLOOKUP($BZ149,LOHMANN,6,FALSE)</f>
        <v>29</v>
      </c>
      <c r="HJ149" s="23">
        <f>AVERAGEIFS($CO$6:$CO$131,$BZ$6:$BZ$131,$BZ149)</f>
        <v>0</v>
      </c>
      <c r="HK149" s="27">
        <f>INDEX($BZ$6:$CV$138,35,17)</f>
        <v>0</v>
      </c>
      <c r="HL149" s="14">
        <f t="shared" si="1254"/>
        <v>255</v>
      </c>
      <c r="HM149" s="351">
        <f>INDEX($BZ$6:$CV$138,35,19)</f>
        <v>0</v>
      </c>
      <c r="HN149" s="416">
        <f t="shared" si="1166"/>
        <v>255</v>
      </c>
      <c r="HO149" s="14">
        <f t="shared" si="1255"/>
        <v>79</v>
      </c>
      <c r="HP149" s="29">
        <f>INDEX($BZ$6:$CV$138,35,22)</f>
        <v>0</v>
      </c>
      <c r="HQ149" s="417">
        <f t="shared" si="1256"/>
        <v>79</v>
      </c>
    </row>
    <row r="150" spans="3:225" x14ac:dyDescent="0.25">
      <c r="C150" s="25">
        <v>5</v>
      </c>
      <c r="D150" s="23" t="str">
        <f t="shared" si="1257"/>
        <v>CASETA 1</v>
      </c>
      <c r="E150" s="26">
        <f>INDEX($C$6:$Y$138,36,3)</f>
        <v>97155</v>
      </c>
      <c r="F150" s="26">
        <f>INDEX($C$6:$Y$138,42,4)</f>
        <v>96885</v>
      </c>
      <c r="G150" s="23">
        <f t="shared" si="1258"/>
        <v>0</v>
      </c>
      <c r="H150" s="23">
        <f>SUMIFS($H$6:$H$138,$C$6:$C$138,$C150)</f>
        <v>270</v>
      </c>
      <c r="I150" s="23">
        <f>SUMIFS($I$6:$I$138,$C$6:$C$138,$C150)</f>
        <v>0</v>
      </c>
      <c r="J150" s="88">
        <f t="shared" si="1261"/>
        <v>270</v>
      </c>
      <c r="K150" s="26">
        <f>INDEX($C$6:$Y$138,42,9)</f>
        <v>4380</v>
      </c>
      <c r="L150" s="47">
        <f t="shared" si="1151"/>
        <v>0.18</v>
      </c>
      <c r="M150" s="28">
        <f t="shared" si="1262"/>
        <v>0.2779064381658175</v>
      </c>
      <c r="N150" s="47">
        <f t="shared" si="1167"/>
        <v>2.38</v>
      </c>
      <c r="O150" s="47">
        <f t="shared" si="1263"/>
        <v>4.5082599969121508</v>
      </c>
      <c r="P150" s="464">
        <f t="shared" si="1264"/>
        <v>20202</v>
      </c>
      <c r="Q150" s="14">
        <f t="shared" si="1168"/>
        <v>34</v>
      </c>
      <c r="R150" s="23">
        <f t="shared" si="1265"/>
        <v>29.705110390612937</v>
      </c>
      <c r="S150" s="30">
        <f>INDEX($C$6:$Y$138,42,17)</f>
        <v>817.54368777334821</v>
      </c>
      <c r="T150" s="14">
        <f t="shared" si="1169"/>
        <v>334</v>
      </c>
      <c r="U150" s="349">
        <f>INDEX($C$6:$Y$138,42,19)</f>
        <v>316</v>
      </c>
      <c r="V150" s="415">
        <f t="shared" si="1152"/>
        <v>18</v>
      </c>
      <c r="W150" s="14">
        <f t="shared" si="1153"/>
        <v>79</v>
      </c>
      <c r="X150" s="75">
        <f>INDEX($C$6:$Y$138,42,22)</f>
        <v>62</v>
      </c>
      <c r="Y150" s="609">
        <f t="shared" si="1154"/>
        <v>17</v>
      </c>
      <c r="Z150" s="489"/>
      <c r="AA150" s="1"/>
      <c r="AB150" s="25">
        <v>5</v>
      </c>
      <c r="AC150" s="23" t="str">
        <f t="shared" si="1266"/>
        <v>CASETA 2</v>
      </c>
      <c r="AD150" s="26">
        <f>INDEX($AB$6:$AX$138,36,3)</f>
        <v>88118</v>
      </c>
      <c r="AE150" s="26">
        <f>INDEX($AB$6:$AX$138,42,4)</f>
        <v>87821</v>
      </c>
      <c r="AF150" s="23">
        <f t="shared" si="1170"/>
        <v>0</v>
      </c>
      <c r="AG150" s="23">
        <f t="shared" si="1171"/>
        <v>297</v>
      </c>
      <c r="AH150" s="23">
        <f t="shared" si="1172"/>
        <v>0</v>
      </c>
      <c r="AI150" s="88">
        <f>SUM(AF150:AH150)</f>
        <v>297</v>
      </c>
      <c r="AJ150" s="26">
        <f>INDEX($AB$6:$AX$138,42,9)</f>
        <v>5078</v>
      </c>
      <c r="AK150" s="47">
        <f t="shared" si="1174"/>
        <v>0.18</v>
      </c>
      <c r="AL150" s="28">
        <f t="shared" si="1175"/>
        <v>4.8215142430994604E-2</v>
      </c>
      <c r="AM150" s="47">
        <f t="shared" si="1176"/>
        <v>2.38</v>
      </c>
      <c r="AN150" s="47">
        <f t="shared" si="1177"/>
        <v>5.7627272520937831</v>
      </c>
      <c r="AO150" s="464">
        <f t="shared" si="1178"/>
        <v>18291</v>
      </c>
      <c r="AP150" s="14">
        <f t="shared" si="1179"/>
        <v>34</v>
      </c>
      <c r="AQ150" s="23">
        <f t="shared" si="1180"/>
        <v>29.653419278694479</v>
      </c>
      <c r="AR150" s="30">
        <f>INDEX($AB$6:$AX$138,42,17)</f>
        <v>814.15215583910549</v>
      </c>
      <c r="AS150" s="14">
        <f t="shared" si="1181"/>
        <v>334</v>
      </c>
      <c r="AT150" s="349">
        <f>INDEX($AB$6:$AX$138,42,19)</f>
        <v>319</v>
      </c>
      <c r="AU150" s="415">
        <f t="shared" si="1182"/>
        <v>15</v>
      </c>
      <c r="AV150" s="14">
        <f t="shared" si="1183"/>
        <v>79</v>
      </c>
      <c r="AW150" s="75">
        <f>INDEX($AB$6:$AX$138,42,22)</f>
        <v>60</v>
      </c>
      <c r="AX150" s="609">
        <f>AV150-AW150</f>
        <v>19</v>
      </c>
      <c r="AZ150" s="1"/>
      <c r="BA150" s="25">
        <v>5</v>
      </c>
      <c r="BB150" s="25" t="str">
        <f t="shared" si="1280"/>
        <v>CASETA 3</v>
      </c>
      <c r="BC150" s="26">
        <f>INDEX($BA$6:$BW$138,36,3)</f>
        <v>93665</v>
      </c>
      <c r="BD150" s="26">
        <f>INDEX($BA$6:$BW$138,42,4)</f>
        <v>93506</v>
      </c>
      <c r="BE150" s="23">
        <f t="shared" si="1184"/>
        <v>0</v>
      </c>
      <c r="BF150" s="23">
        <f t="shared" si="1185"/>
        <v>159</v>
      </c>
      <c r="BG150" s="23">
        <f t="shared" si="1186"/>
        <v>0</v>
      </c>
      <c r="BH150" s="88">
        <f t="shared" si="1187"/>
        <v>159</v>
      </c>
      <c r="BI150" s="26">
        <f>INDEX($BA$6:$BW$138,42,9)</f>
        <v>366</v>
      </c>
      <c r="BJ150" s="47">
        <f t="shared" si="1156"/>
        <v>0.18</v>
      </c>
      <c r="BK150" s="28">
        <f t="shared" si="1188"/>
        <v>2.426738245940897E-2</v>
      </c>
      <c r="BL150" s="47">
        <f t="shared" si="1157"/>
        <v>2.38</v>
      </c>
      <c r="BM150" s="27">
        <f>INDEX($BA$6:$BW$138,42,13)</f>
        <v>0.51260504201680668</v>
      </c>
      <c r="BN150" s="23">
        <f t="shared" si="1189"/>
        <v>19383</v>
      </c>
      <c r="BO150" s="14">
        <f t="shared" si="1158"/>
        <v>34</v>
      </c>
      <c r="BP150" s="23">
        <f t="shared" si="1190"/>
        <v>29.562803608605133</v>
      </c>
      <c r="BQ150" s="27">
        <f>INDEX($BA$6:$BW$138,42,17)</f>
        <v>740.01824285321152</v>
      </c>
      <c r="BR150" s="14">
        <f t="shared" si="1159"/>
        <v>334</v>
      </c>
      <c r="BS150" s="350">
        <f>INDEX($BA$6:$BW$138,42,19)</f>
        <v>298</v>
      </c>
      <c r="BT150" s="26">
        <f t="shared" si="1267"/>
        <v>36</v>
      </c>
      <c r="BU150" s="14">
        <f t="shared" si="1160"/>
        <v>79</v>
      </c>
      <c r="BV150" s="26">
        <f>INDEX($BA$6:$BW$138,42,22)</f>
        <v>68</v>
      </c>
      <c r="BW150" s="26">
        <f t="shared" ref="BW150:BW163" si="1287">BU150-BV150</f>
        <v>11</v>
      </c>
      <c r="BY150" s="1"/>
      <c r="BZ150" s="25">
        <v>5</v>
      </c>
      <c r="CA150" s="25" t="str">
        <f t="shared" si="1281"/>
        <v>CASETA G1</v>
      </c>
      <c r="CB150" s="26">
        <f>INDEX($BZ$6:$CV$138,36,3)</f>
        <v>0</v>
      </c>
      <c r="CC150" s="26">
        <f>INDEX($BZ$6:$CV$138,42,4)</f>
        <v>0</v>
      </c>
      <c r="CD150" s="23">
        <f t="shared" si="1191"/>
        <v>0</v>
      </c>
      <c r="CE150" s="23">
        <f t="shared" si="1192"/>
        <v>0</v>
      </c>
      <c r="CF150" s="23">
        <f t="shared" si="1193"/>
        <v>0</v>
      </c>
      <c r="CG150" s="88">
        <f t="shared" si="1194"/>
        <v>0</v>
      </c>
      <c r="CH150" s="26">
        <f>INDEX($BZ$6:$CV$138,42,9)</f>
        <v>0</v>
      </c>
      <c r="CI150" s="47">
        <f t="shared" si="1195"/>
        <v>0.18</v>
      </c>
      <c r="CJ150" s="23">
        <f>AVERAGEIFS($CJ$6:$CJ$138,$BZ$6:$BZ$138,$BZ150)</f>
        <v>0</v>
      </c>
      <c r="CK150" s="47">
        <f t="shared" si="1196"/>
        <v>2.38</v>
      </c>
      <c r="CL150" s="27">
        <f>INDEX($BZ$6:$CV$138,42,13)</f>
        <v>0</v>
      </c>
      <c r="CM150" s="23">
        <f t="shared" si="1197"/>
        <v>0</v>
      </c>
      <c r="CN150" s="14">
        <f t="shared" si="1198"/>
        <v>34</v>
      </c>
      <c r="CO150" s="23">
        <f t="shared" si="1269"/>
        <v>0</v>
      </c>
      <c r="CP150" s="27">
        <f>INDEX($BZ$6:$CV$138,42,17)</f>
        <v>0</v>
      </c>
      <c r="CQ150" s="14">
        <f t="shared" si="1161"/>
        <v>334</v>
      </c>
      <c r="CR150" s="351">
        <f>INDEX($BZ$6:$CV$138,42,19)</f>
        <v>0</v>
      </c>
      <c r="CS150" s="416">
        <f t="shared" si="1199"/>
        <v>334</v>
      </c>
      <c r="CT150" s="14">
        <f t="shared" si="1200"/>
        <v>79</v>
      </c>
      <c r="CU150" s="29">
        <f>INDEX($BZ$6:$CV$138,42,22)</f>
        <v>0</v>
      </c>
      <c r="CV150" s="417">
        <f t="shared" si="1201"/>
        <v>79</v>
      </c>
      <c r="CY150" s="25">
        <v>5</v>
      </c>
      <c r="CZ150" s="25" t="str">
        <f t="shared" si="1282"/>
        <v>CASETA G2</v>
      </c>
      <c r="DA150" s="26">
        <f>INDEX($BZ$6:$CV$138,36,3)</f>
        <v>0</v>
      </c>
      <c r="DB150" s="26">
        <f>INDEX($BZ$6:$CV$138,42,4)</f>
        <v>0</v>
      </c>
      <c r="DC150" s="23">
        <f t="shared" si="1202"/>
        <v>0</v>
      </c>
      <c r="DD150" s="23">
        <f t="shared" si="1203"/>
        <v>0</v>
      </c>
      <c r="DE150" s="23">
        <f t="shared" si="1204"/>
        <v>0</v>
      </c>
      <c r="DF150" s="88">
        <f t="shared" ref="DF150:DF163" si="1288">SUM(DC150:DE150)</f>
        <v>0</v>
      </c>
      <c r="DG150" s="26">
        <f>INDEX($BZ$6:$CV$138,42,9)</f>
        <v>0</v>
      </c>
      <c r="DH150" s="47">
        <f t="shared" si="1206"/>
        <v>0.18</v>
      </c>
      <c r="DI150" s="23">
        <f>AVERAGEIFS($CJ$6:$CJ$138,$BZ$6:$BZ$138,$BZ150)</f>
        <v>0</v>
      </c>
      <c r="DJ150" s="47">
        <f t="shared" si="1207"/>
        <v>2.38</v>
      </c>
      <c r="DK150" s="27">
        <f>INDEX($BZ$6:$CV$138,42,13)</f>
        <v>0</v>
      </c>
      <c r="DL150" s="23">
        <f t="shared" si="1208"/>
        <v>0</v>
      </c>
      <c r="DM150" s="14">
        <f t="shared" si="1209"/>
        <v>34</v>
      </c>
      <c r="DN150" s="23">
        <f t="shared" si="1271"/>
        <v>0</v>
      </c>
      <c r="DO150" s="27">
        <f>INDEX($BZ$6:$CV$138,42,17)</f>
        <v>0</v>
      </c>
      <c r="DP150" s="14">
        <f t="shared" si="1162"/>
        <v>334</v>
      </c>
      <c r="DQ150" s="351">
        <f>INDEX($BZ$6:$CV$138,42,19)</f>
        <v>0</v>
      </c>
      <c r="DR150" s="416">
        <f t="shared" si="1210"/>
        <v>334</v>
      </c>
      <c r="DS150" s="14">
        <f t="shared" si="1211"/>
        <v>79</v>
      </c>
      <c r="DT150" s="29">
        <f>INDEX($BZ$6:$CV$138,42,22)</f>
        <v>0</v>
      </c>
      <c r="DU150" s="417">
        <f t="shared" si="1212"/>
        <v>79</v>
      </c>
      <c r="DX150" s="25">
        <v>5</v>
      </c>
      <c r="DY150" s="25" t="str">
        <f t="shared" si="1283"/>
        <v>CASETA G3</v>
      </c>
      <c r="DZ150" s="26">
        <f>INDEX($BZ$6:$CV$138,36,3)</f>
        <v>0</v>
      </c>
      <c r="EA150" s="26">
        <f>INDEX($BZ$6:$CV$138,42,4)</f>
        <v>0</v>
      </c>
      <c r="EB150" s="23">
        <f t="shared" si="1213"/>
        <v>0</v>
      </c>
      <c r="EC150" s="23">
        <f t="shared" si="1214"/>
        <v>0</v>
      </c>
      <c r="ED150" s="23">
        <f t="shared" si="1215"/>
        <v>0</v>
      </c>
      <c r="EE150" s="88">
        <f t="shared" ref="EE150:EE155" si="1289">SUM(EB150:ED150)</f>
        <v>0</v>
      </c>
      <c r="EF150" s="26">
        <f>INDEX($BZ$6:$CV$138,42,9)</f>
        <v>0</v>
      </c>
      <c r="EG150" s="47">
        <f t="shared" si="1217"/>
        <v>0.18</v>
      </c>
      <c r="EH150" s="23">
        <f>AVERAGEIFS($CJ$6:$CJ$138,$BZ$6:$BZ$138,$BZ150)</f>
        <v>0</v>
      </c>
      <c r="EI150" s="47">
        <f t="shared" si="1218"/>
        <v>2.38</v>
      </c>
      <c r="EJ150" s="27">
        <f>INDEX($BZ$6:$CV$138,42,13)</f>
        <v>0</v>
      </c>
      <c r="EK150" s="23">
        <f t="shared" si="1219"/>
        <v>0</v>
      </c>
      <c r="EL150" s="14">
        <f t="shared" si="1220"/>
        <v>34</v>
      </c>
      <c r="EM150" s="23">
        <f t="shared" si="1273"/>
        <v>0</v>
      </c>
      <c r="EN150" s="27">
        <f>INDEX($BZ$6:$CV$138,42,17)</f>
        <v>0</v>
      </c>
      <c r="EO150" s="14">
        <f t="shared" si="1163"/>
        <v>334</v>
      </c>
      <c r="EP150" s="351">
        <f>INDEX($BZ$6:$CV$138,42,19)</f>
        <v>0</v>
      </c>
      <c r="EQ150" s="416">
        <f t="shared" si="1221"/>
        <v>334</v>
      </c>
      <c r="ER150" s="14">
        <f t="shared" si="1222"/>
        <v>79</v>
      </c>
      <c r="ES150" s="29">
        <f>INDEX($BZ$6:$CV$138,42,22)</f>
        <v>0</v>
      </c>
      <c r="ET150" s="417">
        <f t="shared" si="1223"/>
        <v>79</v>
      </c>
      <c r="EW150" s="25">
        <v>5</v>
      </c>
      <c r="EX150" s="25" t="str">
        <f t="shared" si="1284"/>
        <v>CASETA G4</v>
      </c>
      <c r="EY150" s="26">
        <f>INDEX($BZ$6:$CV$138,36,3)</f>
        <v>0</v>
      </c>
      <c r="EZ150" s="26">
        <f>INDEX($BZ$6:$CV$138,42,4)</f>
        <v>0</v>
      </c>
      <c r="FA150" s="23">
        <f t="shared" si="1224"/>
        <v>0</v>
      </c>
      <c r="FB150" s="23">
        <f t="shared" si="1225"/>
        <v>0</v>
      </c>
      <c r="FC150" s="23">
        <f t="shared" si="1226"/>
        <v>0</v>
      </c>
      <c r="FD150" s="88">
        <f t="shared" ref="FD150:FD155" si="1290">SUM(FA150:FC150)</f>
        <v>0</v>
      </c>
      <c r="FE150" s="26">
        <f>INDEX($BZ$6:$CV$138,42,9)</f>
        <v>0</v>
      </c>
      <c r="FF150" s="47">
        <f t="shared" si="1228"/>
        <v>0.18</v>
      </c>
      <c r="FG150" s="23">
        <f>AVERAGEIFS($CJ$6:$CJ$138,$BZ$6:$BZ$138,$BZ150)</f>
        <v>0</v>
      </c>
      <c r="FH150" s="47">
        <f t="shared" si="1229"/>
        <v>2.38</v>
      </c>
      <c r="FI150" s="27">
        <f>INDEX($BZ$6:$CV$138,42,13)</f>
        <v>0</v>
      </c>
      <c r="FJ150" s="23">
        <f t="shared" si="1230"/>
        <v>0</v>
      </c>
      <c r="FK150" s="14">
        <f t="shared" si="1231"/>
        <v>34</v>
      </c>
      <c r="FL150" s="23">
        <f t="shared" si="1275"/>
        <v>0</v>
      </c>
      <c r="FM150" s="27">
        <f>INDEX($BZ$6:$CV$138,42,17)</f>
        <v>0</v>
      </c>
      <c r="FN150" s="14">
        <f t="shared" si="1232"/>
        <v>334</v>
      </c>
      <c r="FO150" s="351">
        <f>INDEX($BZ$6:$CV$138,42,19)</f>
        <v>0</v>
      </c>
      <c r="FP150" s="416">
        <f t="shared" si="1164"/>
        <v>334</v>
      </c>
      <c r="FQ150" s="14">
        <f t="shared" si="1233"/>
        <v>79</v>
      </c>
      <c r="FR150" s="29">
        <f>INDEX($BZ$6:$CV$138,42,22)</f>
        <v>0</v>
      </c>
      <c r="FS150" s="417">
        <f t="shared" si="1234"/>
        <v>79</v>
      </c>
      <c r="FV150" s="25">
        <v>5</v>
      </c>
      <c r="FW150" s="25" t="str">
        <f t="shared" si="1285"/>
        <v>CASETA G5</v>
      </c>
      <c r="FX150" s="26">
        <f>INDEX($BZ$6:$CV$138,36,3)</f>
        <v>0</v>
      </c>
      <c r="FY150" s="26">
        <f>INDEX($BZ$6:$CV$138,42,4)</f>
        <v>0</v>
      </c>
      <c r="FZ150" s="23">
        <f t="shared" si="1235"/>
        <v>0</v>
      </c>
      <c r="GA150" s="23">
        <f t="shared" si="1236"/>
        <v>0</v>
      </c>
      <c r="GB150" s="23">
        <f t="shared" si="1237"/>
        <v>0</v>
      </c>
      <c r="GC150" s="88">
        <f t="shared" ref="GC150:GC155" si="1291">SUM(FZ150:GB150)</f>
        <v>0</v>
      </c>
      <c r="GD150" s="26">
        <f>INDEX($BZ$6:$CV$138,42,9)</f>
        <v>0</v>
      </c>
      <c r="GE150" s="47">
        <f t="shared" si="1239"/>
        <v>0.18</v>
      </c>
      <c r="GF150" s="23">
        <f>AVERAGEIFS($CJ$6:$CJ$138,$BZ$6:$BZ$138,$BZ150)</f>
        <v>0</v>
      </c>
      <c r="GG150" s="47">
        <f t="shared" si="1240"/>
        <v>2.38</v>
      </c>
      <c r="GH150" s="27">
        <f>INDEX($BZ$6:$CV$138,42,13)</f>
        <v>0</v>
      </c>
      <c r="GI150" s="23">
        <f t="shared" si="1241"/>
        <v>0</v>
      </c>
      <c r="GJ150" s="14">
        <f t="shared" si="1242"/>
        <v>34</v>
      </c>
      <c r="GK150" s="23">
        <f t="shared" si="1277"/>
        <v>0</v>
      </c>
      <c r="GL150" s="27">
        <f>INDEX($BZ$6:$CV$138,42,17)</f>
        <v>0</v>
      </c>
      <c r="GM150" s="14">
        <f t="shared" si="1243"/>
        <v>334</v>
      </c>
      <c r="GN150" s="351">
        <f>INDEX($BZ$6:$CV$138,42,19)</f>
        <v>0</v>
      </c>
      <c r="GO150" s="416">
        <f t="shared" si="1165"/>
        <v>334</v>
      </c>
      <c r="GP150" s="14">
        <f t="shared" si="1244"/>
        <v>79</v>
      </c>
      <c r="GQ150" s="29">
        <f>INDEX($BZ$6:$CV$138,42,22)</f>
        <v>0</v>
      </c>
      <c r="GR150" s="417">
        <f t="shared" si="1245"/>
        <v>79</v>
      </c>
      <c r="GU150" s="25">
        <v>5</v>
      </c>
      <c r="GV150" s="25" t="str">
        <f t="shared" si="1286"/>
        <v>CASETA G6</v>
      </c>
      <c r="GW150" s="26">
        <f>INDEX($BZ$6:$CV$138,36,3)</f>
        <v>0</v>
      </c>
      <c r="GX150" s="26">
        <f>INDEX($BZ$6:$CV$138,42,4)</f>
        <v>0</v>
      </c>
      <c r="GY150" s="23">
        <f t="shared" si="1246"/>
        <v>0</v>
      </c>
      <c r="GZ150" s="23">
        <f t="shared" si="1247"/>
        <v>0</v>
      </c>
      <c r="HA150" s="23">
        <f t="shared" si="1248"/>
        <v>0</v>
      </c>
      <c r="HB150" s="88">
        <f t="shared" ref="HB150:HB155" si="1292">SUM(GY150:HA150)</f>
        <v>0</v>
      </c>
      <c r="HC150" s="26">
        <f>INDEX($BZ$6:$CV$138,42,9)</f>
        <v>0</v>
      </c>
      <c r="HD150" s="47">
        <f t="shared" si="1250"/>
        <v>0.18</v>
      </c>
      <c r="HE150" s="23">
        <f>AVERAGEIFS($CJ$6:$CJ$138,$BZ$6:$BZ$138,$BZ150)</f>
        <v>0</v>
      </c>
      <c r="HF150" s="47">
        <f t="shared" si="1251"/>
        <v>2.38</v>
      </c>
      <c r="HG150" s="27">
        <f>INDEX($BZ$6:$CV$138,42,13)</f>
        <v>0</v>
      </c>
      <c r="HH150" s="23">
        <f t="shared" si="1252"/>
        <v>0</v>
      </c>
      <c r="HI150" s="14">
        <f t="shared" si="1253"/>
        <v>34</v>
      </c>
      <c r="HJ150" s="23">
        <f t="shared" si="1279"/>
        <v>0</v>
      </c>
      <c r="HK150" s="27">
        <f>INDEX($BZ$6:$CV$138,42,17)</f>
        <v>0</v>
      </c>
      <c r="HL150" s="14">
        <f t="shared" si="1254"/>
        <v>334</v>
      </c>
      <c r="HM150" s="351">
        <f>INDEX($BZ$6:$CV$138,42,19)</f>
        <v>0</v>
      </c>
      <c r="HN150" s="416">
        <f t="shared" si="1166"/>
        <v>334</v>
      </c>
      <c r="HO150" s="14">
        <f t="shared" si="1255"/>
        <v>79</v>
      </c>
      <c r="HP150" s="29">
        <f>INDEX($BZ$6:$CV$138,42,22)</f>
        <v>0</v>
      </c>
      <c r="HQ150" s="417">
        <f t="shared" si="1256"/>
        <v>79</v>
      </c>
    </row>
    <row r="151" spans="3:225" x14ac:dyDescent="0.25">
      <c r="C151" s="25">
        <v>6</v>
      </c>
      <c r="D151" s="23" t="str">
        <f t="shared" si="1257"/>
        <v>CASETA 1</v>
      </c>
      <c r="E151" s="26">
        <f>INDEX($C$6:$Y$138,43,3)</f>
        <v>96885</v>
      </c>
      <c r="F151" s="26">
        <f>INDEX($C$6:$Y$138,49,4)</f>
        <v>96383</v>
      </c>
      <c r="G151" s="23">
        <f t="shared" si="1258"/>
        <v>0</v>
      </c>
      <c r="H151" s="23">
        <f t="shared" si="1259"/>
        <v>502</v>
      </c>
      <c r="I151" s="23">
        <f t="shared" si="1260"/>
        <v>0</v>
      </c>
      <c r="J151" s="88">
        <f t="shared" si="1261"/>
        <v>502</v>
      </c>
      <c r="K151" s="26">
        <f>INDEX($C$6:$Y$138,49,9)</f>
        <v>4882</v>
      </c>
      <c r="L151" s="47">
        <f t="shared" si="1151"/>
        <v>0.18</v>
      </c>
      <c r="M151" s="28">
        <f t="shared" si="1262"/>
        <v>0.51814006296124271</v>
      </c>
      <c r="N151" s="47">
        <f t="shared" si="1167"/>
        <v>2.56</v>
      </c>
      <c r="O151" s="47">
        <f t="shared" si="1263"/>
        <v>5.0389637198740775</v>
      </c>
      <c r="P151" s="464">
        <f t="shared" si="1264"/>
        <v>21021</v>
      </c>
      <c r="Q151" s="14">
        <f t="shared" si="1168"/>
        <v>38</v>
      </c>
      <c r="R151" s="23">
        <f t="shared" si="1265"/>
        <v>30.995510140888683</v>
      </c>
      <c r="S151" s="30">
        <f>INDEX($C$6:$Y$138,49,17)</f>
        <v>1035.1103803143819</v>
      </c>
      <c r="T151" s="14">
        <f t="shared" si="1169"/>
        <v>425</v>
      </c>
      <c r="U151" s="349">
        <f>INDEX($C$6:$Y$138,49,19)</f>
        <v>450</v>
      </c>
      <c r="V151" s="415">
        <f t="shared" si="1152"/>
        <v>-25</v>
      </c>
      <c r="W151" s="14">
        <f t="shared" si="1153"/>
        <v>79</v>
      </c>
      <c r="X151" s="75">
        <f>INDEX($C$6:$Y$138,49,22)</f>
        <v>49</v>
      </c>
      <c r="Y151" s="609">
        <f t="shared" si="1154"/>
        <v>30</v>
      </c>
      <c r="Z151" s="489"/>
      <c r="AA151" s="1"/>
      <c r="AB151" s="25">
        <v>6</v>
      </c>
      <c r="AC151" s="23" t="str">
        <f t="shared" si="1266"/>
        <v>CASETA 2</v>
      </c>
      <c r="AD151" s="26">
        <f>INDEX($AB$6:$AX$138,43,3)</f>
        <v>87821</v>
      </c>
      <c r="AE151" s="26">
        <f>INDEX($AB$6:$AX$138,49,4)</f>
        <v>87266</v>
      </c>
      <c r="AF151" s="23">
        <f t="shared" si="1170"/>
        <v>0</v>
      </c>
      <c r="AG151" s="23">
        <f t="shared" si="1171"/>
        <v>555</v>
      </c>
      <c r="AH151" s="23">
        <f t="shared" si="1172"/>
        <v>0</v>
      </c>
      <c r="AI151" s="88">
        <f t="shared" si="1173"/>
        <v>555</v>
      </c>
      <c r="AJ151" s="26">
        <f>INDEX($AB$6:$AX$138,49,9)</f>
        <v>5633</v>
      </c>
      <c r="AK151" s="47">
        <f t="shared" si="1174"/>
        <v>0.18</v>
      </c>
      <c r="AL151" s="28">
        <f t="shared" si="1175"/>
        <v>9.0512772069854322E-2</v>
      </c>
      <c r="AM151" s="47">
        <f t="shared" si="1176"/>
        <v>2.56</v>
      </c>
      <c r="AN151" s="47">
        <f t="shared" si="1177"/>
        <v>6.4141833957709435</v>
      </c>
      <c r="AO151" s="464">
        <f t="shared" si="1178"/>
        <v>20475</v>
      </c>
      <c r="AP151" s="14">
        <f t="shared" si="1179"/>
        <v>38</v>
      </c>
      <c r="AQ151" s="23">
        <f t="shared" si="1180"/>
        <v>33.306384577720586</v>
      </c>
      <c r="AR151" s="30">
        <f>INDEX($AB$6:$AX$138,49,17)</f>
        <v>1047.8565758097659</v>
      </c>
      <c r="AS151" s="14">
        <f t="shared" si="1181"/>
        <v>425</v>
      </c>
      <c r="AT151" s="349">
        <f>INDEX($AB$6:$AX$138,49,19)</f>
        <v>403</v>
      </c>
      <c r="AU151" s="415">
        <f t="shared" si="1182"/>
        <v>22</v>
      </c>
      <c r="AV151" s="14">
        <f t="shared" si="1183"/>
        <v>79</v>
      </c>
      <c r="AW151" s="75">
        <f>INDEX($AB$6:$AX$138,49,22)</f>
        <v>66</v>
      </c>
      <c r="AX151" s="609">
        <f t="shared" si="1155"/>
        <v>13</v>
      </c>
      <c r="AZ151" s="1"/>
      <c r="BA151" s="25">
        <v>6</v>
      </c>
      <c r="BB151" s="25" t="str">
        <f t="shared" si="1280"/>
        <v>CASETA 3</v>
      </c>
      <c r="BC151" s="26">
        <f>INDEX($BA$6:$BW$138,43,3)</f>
        <v>93506</v>
      </c>
      <c r="BD151" s="26">
        <f>INDEX($BA$6:$BW$138,49,4)</f>
        <v>93193</v>
      </c>
      <c r="BE151" s="23">
        <f t="shared" si="1184"/>
        <v>0</v>
      </c>
      <c r="BF151" s="23">
        <f t="shared" si="1185"/>
        <v>313</v>
      </c>
      <c r="BG151" s="23">
        <f t="shared" si="1186"/>
        <v>0</v>
      </c>
      <c r="BH151" s="88">
        <f t="shared" si="1187"/>
        <v>313</v>
      </c>
      <c r="BI151" s="26">
        <f>INDEX($BA$6:$BW$138,49,9)</f>
        <v>679</v>
      </c>
      <c r="BJ151" s="47">
        <f t="shared" si="1156"/>
        <v>0.18</v>
      </c>
      <c r="BK151" s="28">
        <f t="shared" si="1188"/>
        <v>4.7886909156531279E-2</v>
      </c>
      <c r="BL151" s="47">
        <f t="shared" si="1157"/>
        <v>2.56</v>
      </c>
      <c r="BM151" s="27">
        <f>INDEX($BA$6:$BW$138,49,13)</f>
        <v>0.9509803921568627</v>
      </c>
      <c r="BN151" s="23">
        <f t="shared" si="1189"/>
        <v>21567</v>
      </c>
      <c r="BO151" s="14">
        <f t="shared" si="1158"/>
        <v>38</v>
      </c>
      <c r="BP151" s="23">
        <f t="shared" si="1190"/>
        <v>32.949757234829853</v>
      </c>
      <c r="BQ151" s="27">
        <f>INDEX($BA$6:$BW$138,49,17)</f>
        <v>971.01777342850778</v>
      </c>
      <c r="BR151" s="14">
        <f t="shared" si="1159"/>
        <v>425</v>
      </c>
      <c r="BS151" s="350">
        <f>INDEX($BA$6:$BW$138,49,19)</f>
        <v>400</v>
      </c>
      <c r="BT151" s="26">
        <f t="shared" si="1267"/>
        <v>25</v>
      </c>
      <c r="BU151" s="14">
        <f t="shared" si="1160"/>
        <v>79</v>
      </c>
      <c r="BV151" s="26">
        <f>INDEX($BA$6:$BW$138,49,22)</f>
        <v>58</v>
      </c>
      <c r="BW151" s="26">
        <f t="shared" si="1287"/>
        <v>21</v>
      </c>
      <c r="BY151" s="1"/>
      <c r="BZ151" s="25">
        <v>6</v>
      </c>
      <c r="CA151" s="25" t="str">
        <f t="shared" si="1281"/>
        <v>CASETA G1</v>
      </c>
      <c r="CB151" s="26">
        <f>INDEX($BZ$6:$CV$138,43,3)</f>
        <v>0</v>
      </c>
      <c r="CC151" s="26">
        <f>INDEX($BZ$6:$CV$138,49,4)</f>
        <v>0</v>
      </c>
      <c r="CD151" s="23">
        <f t="shared" si="1191"/>
        <v>0</v>
      </c>
      <c r="CE151" s="23">
        <f t="shared" si="1192"/>
        <v>0</v>
      </c>
      <c r="CF151" s="23">
        <f t="shared" si="1193"/>
        <v>0</v>
      </c>
      <c r="CG151" s="88">
        <f t="shared" si="1194"/>
        <v>0</v>
      </c>
      <c r="CH151" s="26">
        <f>INDEX($BZ$6:$CV$138,49,9)</f>
        <v>0</v>
      </c>
      <c r="CI151" s="47">
        <f t="shared" si="1195"/>
        <v>0.18</v>
      </c>
      <c r="CJ151" s="23">
        <f t="shared" si="1268"/>
        <v>0</v>
      </c>
      <c r="CK151" s="47">
        <f t="shared" si="1196"/>
        <v>2.56</v>
      </c>
      <c r="CL151" s="27">
        <f>INDEX($BZ$6:$CV$138,49,13)</f>
        <v>0</v>
      </c>
      <c r="CM151" s="23">
        <f t="shared" si="1197"/>
        <v>0</v>
      </c>
      <c r="CN151" s="14">
        <f t="shared" si="1198"/>
        <v>38</v>
      </c>
      <c r="CO151" s="23">
        <f t="shared" si="1269"/>
        <v>0</v>
      </c>
      <c r="CP151" s="27">
        <f>INDEX($BZ$6:$CV$138,49,17)</f>
        <v>0</v>
      </c>
      <c r="CQ151" s="14">
        <f t="shared" si="1161"/>
        <v>425</v>
      </c>
      <c r="CR151" s="351">
        <f>INDEX($BZ$6:$CV$138,49,19)</f>
        <v>0</v>
      </c>
      <c r="CS151" s="416">
        <f t="shared" si="1199"/>
        <v>425</v>
      </c>
      <c r="CT151" s="14">
        <f t="shared" si="1200"/>
        <v>79</v>
      </c>
      <c r="CU151" s="29">
        <f>INDEX($BZ$6:$CV$138,49,22)</f>
        <v>0</v>
      </c>
      <c r="CV151" s="417">
        <f t="shared" si="1201"/>
        <v>79</v>
      </c>
      <c r="CY151" s="25">
        <v>6</v>
      </c>
      <c r="CZ151" s="25" t="str">
        <f t="shared" si="1282"/>
        <v>CASETA G2</v>
      </c>
      <c r="DA151" s="26">
        <f>INDEX($BZ$6:$CV$138,43,3)</f>
        <v>0</v>
      </c>
      <c r="DB151" s="26">
        <f>INDEX($BZ$6:$CV$138,49,4)</f>
        <v>0</v>
      </c>
      <c r="DC151" s="23">
        <f t="shared" si="1202"/>
        <v>0</v>
      </c>
      <c r="DD151" s="23">
        <f t="shared" si="1203"/>
        <v>0</v>
      </c>
      <c r="DE151" s="23">
        <f t="shared" si="1204"/>
        <v>0</v>
      </c>
      <c r="DF151" s="88">
        <f t="shared" si="1288"/>
        <v>0</v>
      </c>
      <c r="DG151" s="26">
        <f>INDEX($BZ$6:$CV$138,49,9)</f>
        <v>0</v>
      </c>
      <c r="DH151" s="47">
        <f t="shared" si="1206"/>
        <v>0.18</v>
      </c>
      <c r="DI151" s="23">
        <f t="shared" si="1270"/>
        <v>0</v>
      </c>
      <c r="DJ151" s="47">
        <f t="shared" si="1207"/>
        <v>2.56</v>
      </c>
      <c r="DK151" s="27">
        <f>INDEX($BZ$6:$CV$138,49,13)</f>
        <v>0</v>
      </c>
      <c r="DL151" s="23">
        <f t="shared" si="1208"/>
        <v>0</v>
      </c>
      <c r="DM151" s="14">
        <f t="shared" si="1209"/>
        <v>38</v>
      </c>
      <c r="DN151" s="23">
        <f t="shared" si="1271"/>
        <v>0</v>
      </c>
      <c r="DO151" s="27">
        <f>INDEX($BZ$6:$CV$138,49,17)</f>
        <v>0</v>
      </c>
      <c r="DP151" s="14">
        <f t="shared" si="1162"/>
        <v>425</v>
      </c>
      <c r="DQ151" s="351">
        <f>INDEX($BZ$6:$CV$138,49,19)</f>
        <v>0</v>
      </c>
      <c r="DR151" s="416">
        <f t="shared" si="1210"/>
        <v>425</v>
      </c>
      <c r="DS151" s="14">
        <f t="shared" si="1211"/>
        <v>79</v>
      </c>
      <c r="DT151" s="29">
        <f>INDEX($BZ$6:$CV$138,49,22)</f>
        <v>0</v>
      </c>
      <c r="DU151" s="417">
        <f t="shared" si="1212"/>
        <v>79</v>
      </c>
      <c r="DX151" s="25">
        <v>6</v>
      </c>
      <c r="DY151" s="25" t="str">
        <f t="shared" si="1283"/>
        <v>CASETA G3</v>
      </c>
      <c r="DZ151" s="26">
        <f>INDEX($BZ$6:$CV$138,43,3)</f>
        <v>0</v>
      </c>
      <c r="EA151" s="26">
        <f>INDEX($BZ$6:$CV$138,49,4)</f>
        <v>0</v>
      </c>
      <c r="EB151" s="23">
        <f t="shared" si="1213"/>
        <v>0</v>
      </c>
      <c r="EC151" s="23">
        <f t="shared" si="1214"/>
        <v>0</v>
      </c>
      <c r="ED151" s="23">
        <f t="shared" si="1215"/>
        <v>0</v>
      </c>
      <c r="EE151" s="88">
        <f t="shared" si="1289"/>
        <v>0</v>
      </c>
      <c r="EF151" s="26">
        <f>INDEX($BZ$6:$CV$138,49,9)</f>
        <v>0</v>
      </c>
      <c r="EG151" s="47">
        <f t="shared" si="1217"/>
        <v>0.18</v>
      </c>
      <c r="EH151" s="23">
        <f t="shared" si="1272"/>
        <v>0</v>
      </c>
      <c r="EI151" s="47">
        <f t="shared" si="1218"/>
        <v>2.56</v>
      </c>
      <c r="EJ151" s="27">
        <f>INDEX($BZ$6:$CV$138,49,13)</f>
        <v>0</v>
      </c>
      <c r="EK151" s="23">
        <f t="shared" si="1219"/>
        <v>0</v>
      </c>
      <c r="EL151" s="14">
        <f t="shared" si="1220"/>
        <v>38</v>
      </c>
      <c r="EM151" s="23">
        <f t="shared" si="1273"/>
        <v>0</v>
      </c>
      <c r="EN151" s="27">
        <f>INDEX($BZ$6:$CV$138,49,17)</f>
        <v>0</v>
      </c>
      <c r="EO151" s="14">
        <f t="shared" si="1163"/>
        <v>425</v>
      </c>
      <c r="EP151" s="351">
        <f>INDEX($BZ$6:$CV$138,49,19)</f>
        <v>0</v>
      </c>
      <c r="EQ151" s="416">
        <f t="shared" si="1221"/>
        <v>425</v>
      </c>
      <c r="ER151" s="14">
        <f t="shared" si="1222"/>
        <v>79</v>
      </c>
      <c r="ES151" s="29">
        <f>INDEX($BZ$6:$CV$138,49,22)</f>
        <v>0</v>
      </c>
      <c r="ET151" s="417">
        <f t="shared" si="1223"/>
        <v>79</v>
      </c>
      <c r="EW151" s="25">
        <v>6</v>
      </c>
      <c r="EX151" s="25" t="str">
        <f t="shared" si="1284"/>
        <v>CASETA G4</v>
      </c>
      <c r="EY151" s="26">
        <f>INDEX($BZ$6:$CV$138,43,3)</f>
        <v>0</v>
      </c>
      <c r="EZ151" s="26">
        <f>INDEX($BZ$6:$CV$138,49,4)</f>
        <v>0</v>
      </c>
      <c r="FA151" s="23">
        <f t="shared" si="1224"/>
        <v>0</v>
      </c>
      <c r="FB151" s="23">
        <f t="shared" si="1225"/>
        <v>0</v>
      </c>
      <c r="FC151" s="23">
        <f t="shared" si="1226"/>
        <v>0</v>
      </c>
      <c r="FD151" s="88">
        <f t="shared" si="1290"/>
        <v>0</v>
      </c>
      <c r="FE151" s="26">
        <f>INDEX($BZ$6:$CV$138,49,9)</f>
        <v>0</v>
      </c>
      <c r="FF151" s="47">
        <f t="shared" si="1228"/>
        <v>0.18</v>
      </c>
      <c r="FG151" s="23">
        <f t="shared" si="1274"/>
        <v>0</v>
      </c>
      <c r="FH151" s="47">
        <f t="shared" si="1229"/>
        <v>2.56</v>
      </c>
      <c r="FI151" s="27">
        <f>INDEX($BZ$6:$CV$138,49,13)</f>
        <v>0</v>
      </c>
      <c r="FJ151" s="23">
        <f t="shared" si="1230"/>
        <v>0</v>
      </c>
      <c r="FK151" s="14">
        <f t="shared" si="1231"/>
        <v>38</v>
      </c>
      <c r="FL151" s="23">
        <f t="shared" si="1275"/>
        <v>0</v>
      </c>
      <c r="FM151" s="27">
        <f>INDEX($BZ$6:$CV$138,49,17)</f>
        <v>0</v>
      </c>
      <c r="FN151" s="14">
        <f t="shared" si="1232"/>
        <v>425</v>
      </c>
      <c r="FO151" s="351">
        <f>INDEX($BZ$6:$CV$138,49,19)</f>
        <v>0</v>
      </c>
      <c r="FP151" s="416">
        <f t="shared" ref="FP151:FP155" si="1293">FN151-FO151</f>
        <v>425</v>
      </c>
      <c r="FQ151" s="14">
        <f t="shared" si="1233"/>
        <v>79</v>
      </c>
      <c r="FR151" s="29">
        <f>INDEX($BZ$6:$CV$138,49,22)</f>
        <v>0</v>
      </c>
      <c r="FS151" s="417">
        <f t="shared" si="1234"/>
        <v>79</v>
      </c>
      <c r="FV151" s="25">
        <v>6</v>
      </c>
      <c r="FW151" s="25" t="str">
        <f t="shared" si="1285"/>
        <v>CASETA G5</v>
      </c>
      <c r="FX151" s="26">
        <f>INDEX($BZ$6:$CV$138,43,3)</f>
        <v>0</v>
      </c>
      <c r="FY151" s="26">
        <f>INDEX($BZ$6:$CV$138,49,4)</f>
        <v>0</v>
      </c>
      <c r="FZ151" s="23">
        <f t="shared" si="1235"/>
        <v>0</v>
      </c>
      <c r="GA151" s="23">
        <f t="shared" si="1236"/>
        <v>0</v>
      </c>
      <c r="GB151" s="23">
        <f t="shared" si="1237"/>
        <v>0</v>
      </c>
      <c r="GC151" s="88">
        <f t="shared" si="1291"/>
        <v>0</v>
      </c>
      <c r="GD151" s="26">
        <f>INDEX($BZ$6:$CV$138,49,9)</f>
        <v>0</v>
      </c>
      <c r="GE151" s="47">
        <f t="shared" si="1239"/>
        <v>0.18</v>
      </c>
      <c r="GF151" s="23">
        <f t="shared" si="1276"/>
        <v>0</v>
      </c>
      <c r="GG151" s="47">
        <f t="shared" si="1240"/>
        <v>2.56</v>
      </c>
      <c r="GH151" s="27">
        <f>INDEX($BZ$6:$CV$138,49,13)</f>
        <v>0</v>
      </c>
      <c r="GI151" s="23">
        <f t="shared" si="1241"/>
        <v>0</v>
      </c>
      <c r="GJ151" s="14">
        <f t="shared" si="1242"/>
        <v>38</v>
      </c>
      <c r="GK151" s="23">
        <f t="shared" si="1277"/>
        <v>0</v>
      </c>
      <c r="GL151" s="27">
        <f>INDEX($BZ$6:$CV$138,49,17)</f>
        <v>0</v>
      </c>
      <c r="GM151" s="14">
        <f t="shared" si="1243"/>
        <v>425</v>
      </c>
      <c r="GN151" s="351">
        <f>INDEX($BZ$6:$CV$138,49,19)</f>
        <v>0</v>
      </c>
      <c r="GO151" s="416">
        <f t="shared" ref="GO151:GO155" si="1294">GM151-GN151</f>
        <v>425</v>
      </c>
      <c r="GP151" s="14">
        <f t="shared" si="1244"/>
        <v>79</v>
      </c>
      <c r="GQ151" s="29">
        <f>INDEX($BZ$6:$CV$138,49,22)</f>
        <v>0</v>
      </c>
      <c r="GR151" s="417">
        <f t="shared" si="1245"/>
        <v>79</v>
      </c>
      <c r="GU151" s="25">
        <v>6</v>
      </c>
      <c r="GV151" s="25" t="str">
        <f t="shared" si="1286"/>
        <v>CASETA G6</v>
      </c>
      <c r="GW151" s="26">
        <f>INDEX($BZ$6:$CV$138,43,3)</f>
        <v>0</v>
      </c>
      <c r="GX151" s="26">
        <f>INDEX($BZ$6:$CV$138,49,4)</f>
        <v>0</v>
      </c>
      <c r="GY151" s="23">
        <f t="shared" si="1246"/>
        <v>0</v>
      </c>
      <c r="GZ151" s="23">
        <f t="shared" si="1247"/>
        <v>0</v>
      </c>
      <c r="HA151" s="23">
        <f t="shared" si="1248"/>
        <v>0</v>
      </c>
      <c r="HB151" s="88">
        <f t="shared" si="1292"/>
        <v>0</v>
      </c>
      <c r="HC151" s="26">
        <f>INDEX($BZ$6:$CV$138,49,9)</f>
        <v>0</v>
      </c>
      <c r="HD151" s="47">
        <f t="shared" si="1250"/>
        <v>0.18</v>
      </c>
      <c r="HE151" s="23">
        <f t="shared" si="1278"/>
        <v>0</v>
      </c>
      <c r="HF151" s="47">
        <f t="shared" si="1251"/>
        <v>2.56</v>
      </c>
      <c r="HG151" s="27">
        <f>INDEX($BZ$6:$CV$138,49,13)</f>
        <v>0</v>
      </c>
      <c r="HH151" s="23">
        <f t="shared" si="1252"/>
        <v>0</v>
      </c>
      <c r="HI151" s="14">
        <f t="shared" si="1253"/>
        <v>38</v>
      </c>
      <c r="HJ151" s="23">
        <f t="shared" si="1279"/>
        <v>0</v>
      </c>
      <c r="HK151" s="27">
        <f>INDEX($BZ$6:$CV$138,49,17)</f>
        <v>0</v>
      </c>
      <c r="HL151" s="14">
        <f t="shared" si="1254"/>
        <v>425</v>
      </c>
      <c r="HM151" s="351">
        <f>INDEX($BZ$6:$CV$138,49,19)</f>
        <v>0</v>
      </c>
      <c r="HN151" s="416">
        <f t="shared" ref="HN151:HN155" si="1295">HL151-HM151</f>
        <v>425</v>
      </c>
      <c r="HO151" s="14">
        <f t="shared" si="1255"/>
        <v>79</v>
      </c>
      <c r="HP151" s="29">
        <f>INDEX($BZ$6:$CV$138,49,22)</f>
        <v>0</v>
      </c>
      <c r="HQ151" s="417">
        <f t="shared" si="1256"/>
        <v>79</v>
      </c>
    </row>
    <row r="152" spans="3:225" x14ac:dyDescent="0.25">
      <c r="C152" s="25">
        <v>7</v>
      </c>
      <c r="D152" s="23" t="str">
        <f t="shared" si="1257"/>
        <v>CASETA 1</v>
      </c>
      <c r="E152" s="26">
        <f>INDEX($C$6:$Y$138,50,3)</f>
        <v>96383</v>
      </c>
      <c r="F152" s="26">
        <f>INDEX($C$6:$Y$138,56,4)</f>
        <v>96296</v>
      </c>
      <c r="G152" s="23">
        <f t="shared" si="1258"/>
        <v>0</v>
      </c>
      <c r="H152" s="23">
        <f t="shared" si="1259"/>
        <v>87</v>
      </c>
      <c r="I152" s="23">
        <f t="shared" si="1260"/>
        <v>0</v>
      </c>
      <c r="J152" s="88">
        <f t="shared" si="1261"/>
        <v>87</v>
      </c>
      <c r="K152" s="26">
        <f>INDEX($C$6:$Y$138,56,9)</f>
        <v>4969</v>
      </c>
      <c r="L152" s="47">
        <f t="shared" si="1151"/>
        <v>0.16</v>
      </c>
      <c r="M152" s="28">
        <f t="shared" si="1262"/>
        <v>9.0264880736229416E-2</v>
      </c>
      <c r="N152" s="47">
        <f t="shared" si="1167"/>
        <v>2.72</v>
      </c>
      <c r="O152" s="47">
        <f t="shared" si="1263"/>
        <v>5.1554734756129195</v>
      </c>
      <c r="P152" s="464">
        <f t="shared" si="1264"/>
        <v>23478</v>
      </c>
      <c r="Q152" s="14">
        <f t="shared" si="1168"/>
        <v>42</v>
      </c>
      <c r="R152" s="23">
        <f t="shared" si="1265"/>
        <v>34.79866781486362</v>
      </c>
      <c r="S152" s="30">
        <f>INDEX($C$6:$Y$138,56,17)</f>
        <v>1278.8189148398308</v>
      </c>
      <c r="T152" s="14">
        <f t="shared" si="1169"/>
        <v>524</v>
      </c>
      <c r="U152" s="349">
        <f>INDEX($C$6:$Y$138,56,19)</f>
        <v>504</v>
      </c>
      <c r="V152" s="415">
        <f t="shared" si="1152"/>
        <v>20</v>
      </c>
      <c r="W152" s="14">
        <f t="shared" si="1153"/>
        <v>79</v>
      </c>
      <c r="X152" s="75">
        <f>INDEX($C$6:$Y$138,56,22)</f>
        <v>68</v>
      </c>
      <c r="Y152" s="609">
        <f t="shared" si="1154"/>
        <v>11</v>
      </c>
      <c r="Z152" s="489"/>
      <c r="AA152" s="1"/>
      <c r="AB152" s="25">
        <v>7</v>
      </c>
      <c r="AC152" s="23" t="str">
        <f t="shared" si="1266"/>
        <v>CASETA 2</v>
      </c>
      <c r="AD152" s="26">
        <f>INDEX($AB$6:$AX$138,50,3)</f>
        <v>87266</v>
      </c>
      <c r="AE152" s="26">
        <f>INDEX($AB$6:$AX$138,56,4)</f>
        <v>86844</v>
      </c>
      <c r="AF152" s="23">
        <f t="shared" si="1170"/>
        <v>225</v>
      </c>
      <c r="AG152" s="23">
        <f t="shared" si="1171"/>
        <v>197</v>
      </c>
      <c r="AH152" s="23">
        <f t="shared" si="1172"/>
        <v>0</v>
      </c>
      <c r="AI152" s="88">
        <f t="shared" si="1173"/>
        <v>422</v>
      </c>
      <c r="AJ152" s="26">
        <f>INDEX($AB$6:$AX$138,56,9)</f>
        <v>6055</v>
      </c>
      <c r="AK152" s="47">
        <f t="shared" si="1174"/>
        <v>0.16</v>
      </c>
      <c r="AL152" s="28">
        <f t="shared" si="1175"/>
        <v>6.9188061457184633E-2</v>
      </c>
      <c r="AM152" s="47">
        <f t="shared" si="1176"/>
        <v>2.72</v>
      </c>
      <c r="AN152" s="47">
        <f t="shared" si="1177"/>
        <v>6.9385556803336925</v>
      </c>
      <c r="AO152" s="464">
        <f>SUMIFS($AO$6:$AO$138,$AB$6:$AB$138,$AB152)</f>
        <v>19929</v>
      </c>
      <c r="AP152" s="14">
        <f t="shared" si="1179"/>
        <v>42</v>
      </c>
      <c r="AQ152" s="23">
        <f t="shared" si="1180"/>
        <v>32.624389796713494</v>
      </c>
      <c r="AR152" s="30">
        <f>INDEX($AB$6:$AX$138,56,17)</f>
        <v>1276.6319573881326</v>
      </c>
      <c r="AS152" s="14">
        <f t="shared" si="1181"/>
        <v>524</v>
      </c>
      <c r="AT152" s="349">
        <f>INDEX($AB$6:$AX$138,56,19)</f>
        <v>439</v>
      </c>
      <c r="AU152" s="415">
        <f t="shared" si="1182"/>
        <v>85</v>
      </c>
      <c r="AV152" s="14">
        <f t="shared" si="1183"/>
        <v>79</v>
      </c>
      <c r="AW152" s="75">
        <f>INDEX($AB$6:$AX$138,56,22)</f>
        <v>35</v>
      </c>
      <c r="AX152" s="609">
        <f t="shared" si="1155"/>
        <v>44</v>
      </c>
      <c r="AZ152" s="1"/>
      <c r="BA152" s="25">
        <v>7</v>
      </c>
      <c r="BB152" s="25" t="str">
        <f t="shared" si="1280"/>
        <v>CASETA 3</v>
      </c>
      <c r="BC152" s="26">
        <f>INDEX($BA$6:$BW$138,50,3)</f>
        <v>93193</v>
      </c>
      <c r="BD152" s="26">
        <f>INDEX($BA$6:$BW$138,56,4)</f>
        <v>93127</v>
      </c>
      <c r="BE152" s="23">
        <f t="shared" si="1184"/>
        <v>0</v>
      </c>
      <c r="BF152" s="23">
        <f t="shared" si="1185"/>
        <v>66</v>
      </c>
      <c r="BG152" s="23">
        <f t="shared" si="1186"/>
        <v>0</v>
      </c>
      <c r="BH152" s="88">
        <f t="shared" si="1187"/>
        <v>66</v>
      </c>
      <c r="BI152" s="26">
        <f>INDEX($BA$6:$BW$138,56,9)</f>
        <v>745</v>
      </c>
      <c r="BJ152" s="47">
        <f t="shared" si="1156"/>
        <v>0.16</v>
      </c>
      <c r="BK152" s="28">
        <f t="shared" si="1188"/>
        <v>1.0120165631970926E-2</v>
      </c>
      <c r="BL152" s="47">
        <f t="shared" si="1157"/>
        <v>2.72</v>
      </c>
      <c r="BM152" s="27">
        <f>INDEX($BA$6:$BW$138,56,13)</f>
        <v>1.0434173669467788</v>
      </c>
      <c r="BN152" s="23">
        <f t="shared" si="1189"/>
        <v>23205</v>
      </c>
      <c r="BO152" s="14">
        <f t="shared" si="1158"/>
        <v>42</v>
      </c>
      <c r="BP152" s="23">
        <f t="shared" si="1190"/>
        <v>35.57134119515414</v>
      </c>
      <c r="BQ152" s="27">
        <f>INDEX($BA$6:$BW$138,56,17)</f>
        <v>1220.1262019713197</v>
      </c>
      <c r="BR152" s="14">
        <f t="shared" si="1159"/>
        <v>524</v>
      </c>
      <c r="BS152" s="350">
        <f>INDEX($BA$6:$BW$138,56,19)</f>
        <v>492</v>
      </c>
      <c r="BT152" s="26">
        <f t="shared" si="1267"/>
        <v>32</v>
      </c>
      <c r="BU152" s="14">
        <f t="shared" si="1160"/>
        <v>79</v>
      </c>
      <c r="BV152" s="26">
        <f>INDEX($BA$6:$BW$138,56,22)</f>
        <v>54</v>
      </c>
      <c r="BW152" s="26">
        <f t="shared" si="1287"/>
        <v>25</v>
      </c>
      <c r="BY152" s="1"/>
      <c r="BZ152" s="25">
        <v>7</v>
      </c>
      <c r="CA152" s="25" t="str">
        <f t="shared" si="1281"/>
        <v>CASETA G1</v>
      </c>
      <c r="CB152" s="26">
        <f>INDEX($BZ$6:$CV$138,50,3)</f>
        <v>0</v>
      </c>
      <c r="CC152" s="26">
        <f>INDEX($BZ$6:$CV$138,56,4)</f>
        <v>0</v>
      </c>
      <c r="CD152" s="23">
        <f t="shared" si="1191"/>
        <v>0</v>
      </c>
      <c r="CE152" s="23">
        <f t="shared" si="1192"/>
        <v>0</v>
      </c>
      <c r="CF152" s="23">
        <f t="shared" si="1193"/>
        <v>0</v>
      </c>
      <c r="CG152" s="88">
        <f t="shared" si="1194"/>
        <v>0</v>
      </c>
      <c r="CH152" s="26">
        <f>INDEX($BZ$6:$CV$138,56,9)</f>
        <v>0</v>
      </c>
      <c r="CI152" s="47">
        <f t="shared" si="1195"/>
        <v>0.16</v>
      </c>
      <c r="CJ152" s="23">
        <f t="shared" si="1268"/>
        <v>0</v>
      </c>
      <c r="CK152" s="47">
        <f t="shared" si="1196"/>
        <v>2.72</v>
      </c>
      <c r="CL152" s="27">
        <f>INDEX($BZ$6:$CV$138,56,13)</f>
        <v>0</v>
      </c>
      <c r="CM152" s="23">
        <f t="shared" si="1197"/>
        <v>0</v>
      </c>
      <c r="CN152" s="14">
        <f t="shared" si="1198"/>
        <v>42</v>
      </c>
      <c r="CO152" s="23">
        <f t="shared" si="1269"/>
        <v>0</v>
      </c>
      <c r="CP152" s="27">
        <f>INDEX($BZ$6:$CV$138,56,17)</f>
        <v>0</v>
      </c>
      <c r="CQ152" s="14">
        <f t="shared" si="1161"/>
        <v>524</v>
      </c>
      <c r="CR152" s="351">
        <f>INDEX($BZ$6:$CV$138,56,19)</f>
        <v>0</v>
      </c>
      <c r="CS152" s="416">
        <f t="shared" si="1199"/>
        <v>524</v>
      </c>
      <c r="CT152" s="14">
        <f t="shared" si="1200"/>
        <v>79</v>
      </c>
      <c r="CU152" s="29">
        <f>INDEX($BZ$6:$CV$138,56,22)</f>
        <v>0</v>
      </c>
      <c r="CV152" s="417">
        <f t="shared" si="1201"/>
        <v>79</v>
      </c>
      <c r="CY152" s="25">
        <v>7</v>
      </c>
      <c r="CZ152" s="25" t="str">
        <f t="shared" si="1282"/>
        <v>CASETA G2</v>
      </c>
      <c r="DA152" s="26">
        <f>INDEX($BZ$6:$CV$138,50,3)</f>
        <v>0</v>
      </c>
      <c r="DB152" s="26">
        <f>INDEX($BZ$6:$CV$138,56,4)</f>
        <v>0</v>
      </c>
      <c r="DC152" s="23">
        <f t="shared" si="1202"/>
        <v>0</v>
      </c>
      <c r="DD152" s="23">
        <f t="shared" si="1203"/>
        <v>0</v>
      </c>
      <c r="DE152" s="23">
        <f t="shared" si="1204"/>
        <v>0</v>
      </c>
      <c r="DF152" s="88">
        <f t="shared" si="1288"/>
        <v>0</v>
      </c>
      <c r="DG152" s="26">
        <f>INDEX($BZ$6:$CV$138,56,9)</f>
        <v>0</v>
      </c>
      <c r="DH152" s="47">
        <f t="shared" si="1206"/>
        <v>0.16</v>
      </c>
      <c r="DI152" s="23">
        <f t="shared" si="1270"/>
        <v>0</v>
      </c>
      <c r="DJ152" s="47">
        <f t="shared" si="1207"/>
        <v>2.72</v>
      </c>
      <c r="DK152" s="27">
        <f>INDEX($BZ$6:$CV$138,56,13)</f>
        <v>0</v>
      </c>
      <c r="DL152" s="23">
        <f t="shared" si="1208"/>
        <v>0</v>
      </c>
      <c r="DM152" s="14">
        <f t="shared" si="1209"/>
        <v>42</v>
      </c>
      <c r="DN152" s="23">
        <f t="shared" si="1271"/>
        <v>0</v>
      </c>
      <c r="DO152" s="27">
        <f>INDEX($BZ$6:$CV$138,56,17)</f>
        <v>0</v>
      </c>
      <c r="DP152" s="14">
        <f t="shared" si="1162"/>
        <v>524</v>
      </c>
      <c r="DQ152" s="351">
        <f>INDEX($BZ$6:$CV$138,56,19)</f>
        <v>0</v>
      </c>
      <c r="DR152" s="416">
        <f t="shared" si="1210"/>
        <v>524</v>
      </c>
      <c r="DS152" s="14">
        <f t="shared" si="1211"/>
        <v>79</v>
      </c>
      <c r="DT152" s="29">
        <f>INDEX($BZ$6:$CV$138,56,22)</f>
        <v>0</v>
      </c>
      <c r="DU152" s="417">
        <f t="shared" si="1212"/>
        <v>79</v>
      </c>
      <c r="DX152" s="25">
        <v>7</v>
      </c>
      <c r="DY152" s="25" t="str">
        <f t="shared" si="1283"/>
        <v>CASETA G3</v>
      </c>
      <c r="DZ152" s="26">
        <f>INDEX($BZ$6:$CV$138,50,3)</f>
        <v>0</v>
      </c>
      <c r="EA152" s="26">
        <f>INDEX($BZ$6:$CV$138,56,4)</f>
        <v>0</v>
      </c>
      <c r="EB152" s="23">
        <f t="shared" si="1213"/>
        <v>0</v>
      </c>
      <c r="EC152" s="23">
        <f t="shared" si="1214"/>
        <v>0</v>
      </c>
      <c r="ED152" s="23">
        <f t="shared" si="1215"/>
        <v>0</v>
      </c>
      <c r="EE152" s="88">
        <f t="shared" si="1289"/>
        <v>0</v>
      </c>
      <c r="EF152" s="26">
        <f>INDEX($BZ$6:$CV$138,56,9)</f>
        <v>0</v>
      </c>
      <c r="EG152" s="47">
        <f t="shared" si="1217"/>
        <v>0.16</v>
      </c>
      <c r="EH152" s="23">
        <f t="shared" si="1272"/>
        <v>0</v>
      </c>
      <c r="EI152" s="47">
        <f t="shared" si="1218"/>
        <v>2.72</v>
      </c>
      <c r="EJ152" s="27">
        <f>INDEX($BZ$6:$CV$138,56,13)</f>
        <v>0</v>
      </c>
      <c r="EK152" s="23">
        <f t="shared" si="1219"/>
        <v>0</v>
      </c>
      <c r="EL152" s="14">
        <f t="shared" si="1220"/>
        <v>42</v>
      </c>
      <c r="EM152" s="23">
        <f t="shared" si="1273"/>
        <v>0</v>
      </c>
      <c r="EN152" s="27">
        <f>INDEX($BZ$6:$CV$138,56,17)</f>
        <v>0</v>
      </c>
      <c r="EO152" s="14">
        <f t="shared" si="1163"/>
        <v>524</v>
      </c>
      <c r="EP152" s="351">
        <f>INDEX($BZ$6:$CV$138,56,19)</f>
        <v>0</v>
      </c>
      <c r="EQ152" s="416">
        <f t="shared" si="1221"/>
        <v>524</v>
      </c>
      <c r="ER152" s="14">
        <f t="shared" si="1222"/>
        <v>79</v>
      </c>
      <c r="ES152" s="29">
        <f>INDEX($BZ$6:$CV$138,56,22)</f>
        <v>0</v>
      </c>
      <c r="ET152" s="417">
        <f t="shared" si="1223"/>
        <v>79</v>
      </c>
      <c r="EW152" s="25">
        <v>7</v>
      </c>
      <c r="EX152" s="25" t="str">
        <f t="shared" si="1284"/>
        <v>CASETA G4</v>
      </c>
      <c r="EY152" s="26">
        <f>INDEX($BZ$6:$CV$138,50,3)</f>
        <v>0</v>
      </c>
      <c r="EZ152" s="26">
        <f>INDEX($BZ$6:$CV$138,56,4)</f>
        <v>0</v>
      </c>
      <c r="FA152" s="23">
        <f t="shared" si="1224"/>
        <v>0</v>
      </c>
      <c r="FB152" s="23">
        <f t="shared" si="1225"/>
        <v>0</v>
      </c>
      <c r="FC152" s="23">
        <f t="shared" si="1226"/>
        <v>0</v>
      </c>
      <c r="FD152" s="88">
        <f t="shared" si="1290"/>
        <v>0</v>
      </c>
      <c r="FE152" s="26">
        <f>INDEX($BZ$6:$CV$138,56,9)</f>
        <v>0</v>
      </c>
      <c r="FF152" s="47">
        <f t="shared" si="1228"/>
        <v>0.16</v>
      </c>
      <c r="FG152" s="23">
        <f t="shared" si="1274"/>
        <v>0</v>
      </c>
      <c r="FH152" s="47">
        <f t="shared" si="1229"/>
        <v>2.72</v>
      </c>
      <c r="FI152" s="27">
        <f>INDEX($BZ$6:$CV$138,56,13)</f>
        <v>0</v>
      </c>
      <c r="FJ152" s="23">
        <f t="shared" si="1230"/>
        <v>0</v>
      </c>
      <c r="FK152" s="14">
        <f t="shared" si="1231"/>
        <v>42</v>
      </c>
      <c r="FL152" s="23">
        <f t="shared" si="1275"/>
        <v>0</v>
      </c>
      <c r="FM152" s="27">
        <f>INDEX($BZ$6:$CV$138,56,17)</f>
        <v>0</v>
      </c>
      <c r="FN152" s="14">
        <f t="shared" si="1232"/>
        <v>524</v>
      </c>
      <c r="FO152" s="351">
        <f>INDEX($BZ$6:$CV$138,56,19)</f>
        <v>0</v>
      </c>
      <c r="FP152" s="416">
        <f t="shared" si="1293"/>
        <v>524</v>
      </c>
      <c r="FQ152" s="14">
        <f t="shared" si="1233"/>
        <v>79</v>
      </c>
      <c r="FR152" s="29">
        <f>INDEX($BZ$6:$CV$138,56,22)</f>
        <v>0</v>
      </c>
      <c r="FS152" s="417">
        <f t="shared" si="1234"/>
        <v>79</v>
      </c>
      <c r="FV152" s="25">
        <v>7</v>
      </c>
      <c r="FW152" s="25" t="str">
        <f t="shared" si="1285"/>
        <v>CASETA G5</v>
      </c>
      <c r="FX152" s="26">
        <f>INDEX($BZ$6:$CV$138,50,3)</f>
        <v>0</v>
      </c>
      <c r="FY152" s="26">
        <f>INDEX($BZ$6:$CV$138,56,4)</f>
        <v>0</v>
      </c>
      <c r="FZ152" s="23">
        <f t="shared" si="1235"/>
        <v>0</v>
      </c>
      <c r="GA152" s="23">
        <f t="shared" si="1236"/>
        <v>0</v>
      </c>
      <c r="GB152" s="23">
        <f t="shared" si="1237"/>
        <v>0</v>
      </c>
      <c r="GC152" s="88">
        <f t="shared" si="1291"/>
        <v>0</v>
      </c>
      <c r="GD152" s="26">
        <f>INDEX($BZ$6:$CV$138,56,9)</f>
        <v>0</v>
      </c>
      <c r="GE152" s="47">
        <f t="shared" si="1239"/>
        <v>0.16</v>
      </c>
      <c r="GF152" s="23">
        <f t="shared" si="1276"/>
        <v>0</v>
      </c>
      <c r="GG152" s="47">
        <f t="shared" si="1240"/>
        <v>2.72</v>
      </c>
      <c r="GH152" s="27">
        <f>INDEX($BZ$6:$CV$138,56,13)</f>
        <v>0</v>
      </c>
      <c r="GI152" s="23">
        <f t="shared" si="1241"/>
        <v>0</v>
      </c>
      <c r="GJ152" s="14">
        <f t="shared" si="1242"/>
        <v>42</v>
      </c>
      <c r="GK152" s="23">
        <f t="shared" si="1277"/>
        <v>0</v>
      </c>
      <c r="GL152" s="27">
        <f>INDEX($BZ$6:$CV$138,56,17)</f>
        <v>0</v>
      </c>
      <c r="GM152" s="14">
        <f t="shared" si="1243"/>
        <v>524</v>
      </c>
      <c r="GN152" s="351">
        <f>INDEX($BZ$6:$CV$138,56,19)</f>
        <v>0</v>
      </c>
      <c r="GO152" s="416">
        <f t="shared" si="1294"/>
        <v>524</v>
      </c>
      <c r="GP152" s="14">
        <f t="shared" si="1244"/>
        <v>79</v>
      </c>
      <c r="GQ152" s="29">
        <f>INDEX($BZ$6:$CV$138,56,22)</f>
        <v>0</v>
      </c>
      <c r="GR152" s="417">
        <f t="shared" si="1245"/>
        <v>79</v>
      </c>
      <c r="GU152" s="25">
        <v>7</v>
      </c>
      <c r="GV152" s="25" t="str">
        <f t="shared" si="1286"/>
        <v>CASETA G6</v>
      </c>
      <c r="GW152" s="26">
        <f>INDEX($BZ$6:$CV$138,50,3)</f>
        <v>0</v>
      </c>
      <c r="GX152" s="26">
        <f>INDEX($BZ$6:$CV$138,56,4)</f>
        <v>0</v>
      </c>
      <c r="GY152" s="23">
        <f t="shared" si="1246"/>
        <v>0</v>
      </c>
      <c r="GZ152" s="23">
        <f t="shared" si="1247"/>
        <v>0</v>
      </c>
      <c r="HA152" s="23">
        <f t="shared" si="1248"/>
        <v>0</v>
      </c>
      <c r="HB152" s="88">
        <f t="shared" si="1292"/>
        <v>0</v>
      </c>
      <c r="HC152" s="26">
        <f>INDEX($BZ$6:$CV$138,56,9)</f>
        <v>0</v>
      </c>
      <c r="HD152" s="47">
        <f t="shared" si="1250"/>
        <v>0.16</v>
      </c>
      <c r="HE152" s="23">
        <f t="shared" si="1278"/>
        <v>0</v>
      </c>
      <c r="HF152" s="47">
        <f t="shared" si="1251"/>
        <v>2.72</v>
      </c>
      <c r="HG152" s="27">
        <f>INDEX($BZ$6:$CV$138,56,13)</f>
        <v>0</v>
      </c>
      <c r="HH152" s="23">
        <f t="shared" si="1252"/>
        <v>0</v>
      </c>
      <c r="HI152" s="14">
        <f t="shared" si="1253"/>
        <v>42</v>
      </c>
      <c r="HJ152" s="23">
        <f t="shared" si="1279"/>
        <v>0</v>
      </c>
      <c r="HK152" s="27">
        <f>INDEX($BZ$6:$CV$138,56,17)</f>
        <v>0</v>
      </c>
      <c r="HL152" s="14">
        <f t="shared" si="1254"/>
        <v>524</v>
      </c>
      <c r="HM152" s="351">
        <f>INDEX($BZ$6:$CV$138,56,19)</f>
        <v>0</v>
      </c>
      <c r="HN152" s="416">
        <f t="shared" si="1295"/>
        <v>524</v>
      </c>
      <c r="HO152" s="14">
        <f t="shared" si="1255"/>
        <v>79</v>
      </c>
      <c r="HP152" s="29">
        <f>INDEX($BZ$6:$CV$138,56,22)</f>
        <v>0</v>
      </c>
      <c r="HQ152" s="417">
        <f t="shared" si="1256"/>
        <v>79</v>
      </c>
    </row>
    <row r="153" spans="3:225" x14ac:dyDescent="0.25">
      <c r="C153" s="25">
        <v>8</v>
      </c>
      <c r="D153" s="23" t="str">
        <f t="shared" si="1257"/>
        <v>CASETA 1</v>
      </c>
      <c r="E153" s="26">
        <f>INDEX($C$6:$Y$138,57,3)</f>
        <v>96296</v>
      </c>
      <c r="F153" s="26">
        <f>INDEX($C$6:$Y$138,63,4)</f>
        <v>96110</v>
      </c>
      <c r="G153" s="23">
        <f t="shared" si="1258"/>
        <v>135</v>
      </c>
      <c r="H153" s="23">
        <f t="shared" si="1259"/>
        <v>51</v>
      </c>
      <c r="I153" s="23">
        <f t="shared" si="1260"/>
        <v>0</v>
      </c>
      <c r="J153" s="88">
        <f t="shared" si="1261"/>
        <v>186</v>
      </c>
      <c r="K153" s="26">
        <f>INDEX($C$6:$Y$138,63,9)</f>
        <v>5155</v>
      </c>
      <c r="L153" s="47">
        <f t="shared" si="1151"/>
        <v>0.16</v>
      </c>
      <c r="M153" s="28">
        <f t="shared" si="1262"/>
        <v>0.19315444047520147</v>
      </c>
      <c r="N153" s="47">
        <f t="shared" si="1167"/>
        <v>2.8800000000000003</v>
      </c>
      <c r="O153" s="47">
        <f t="shared" si="1263"/>
        <v>5.353285702417546</v>
      </c>
      <c r="P153" s="464">
        <f t="shared" si="1264"/>
        <v>27573</v>
      </c>
      <c r="Q153" s="14">
        <f t="shared" si="1168"/>
        <v>46</v>
      </c>
      <c r="R153" s="23">
        <f t="shared" si="1265"/>
        <v>40.905125861925725</v>
      </c>
      <c r="S153" s="30">
        <f>INDEX($C$6:$Y$138,63,17)</f>
        <v>1565.5853814898201</v>
      </c>
      <c r="T153" s="14">
        <f t="shared" si="1169"/>
        <v>618</v>
      </c>
      <c r="U153" s="349">
        <f>INDEX($C$6:$Y$138,63,19)</f>
        <v>628</v>
      </c>
      <c r="V153" s="415">
        <f t="shared" si="1152"/>
        <v>-10</v>
      </c>
      <c r="W153" s="14">
        <f t="shared" si="1153"/>
        <v>79</v>
      </c>
      <c r="X153" s="75">
        <f>INDEX($C$6:$Y$138,63,22)</f>
        <v>94</v>
      </c>
      <c r="Y153" s="609">
        <f t="shared" si="1154"/>
        <v>-15</v>
      </c>
      <c r="Z153" s="489"/>
      <c r="AA153" s="1"/>
      <c r="AB153" s="25">
        <v>8</v>
      </c>
      <c r="AC153" s="23" t="str">
        <f t="shared" si="1266"/>
        <v>CASETA 2</v>
      </c>
      <c r="AD153" s="26">
        <f>INDEX($AB$6:$AX$138,57,3)</f>
        <v>86844</v>
      </c>
      <c r="AE153" s="26">
        <f>INDEX($AB$6:$AX$138,63,4)</f>
        <v>86787</v>
      </c>
      <c r="AF153" s="23">
        <f t="shared" si="1170"/>
        <v>0</v>
      </c>
      <c r="AG153" s="23">
        <f t="shared" si="1171"/>
        <v>57</v>
      </c>
      <c r="AH153" s="23">
        <f t="shared" si="1172"/>
        <v>0</v>
      </c>
      <c r="AI153" s="88">
        <f t="shared" si="1173"/>
        <v>57</v>
      </c>
      <c r="AJ153" s="26">
        <f>INDEX($AB$6:$AX$138,63,9)</f>
        <v>6112</v>
      </c>
      <c r="AK153" s="47">
        <f t="shared" si="1174"/>
        <v>0.16</v>
      </c>
      <c r="AL153" s="28">
        <f t="shared" si="1175"/>
        <v>9.3790338188408495E-3</v>
      </c>
      <c r="AM153" s="47">
        <f t="shared" si="1176"/>
        <v>2.8800000000000003</v>
      </c>
      <c r="AN153" s="47">
        <f t="shared" si="1177"/>
        <v>7.0379070517249325</v>
      </c>
      <c r="AO153" s="464">
        <f t="shared" si="1178"/>
        <v>24024</v>
      </c>
      <c r="AP153" s="14">
        <f t="shared" si="1179"/>
        <v>46</v>
      </c>
      <c r="AQ153" s="23">
        <f t="shared" si="1180"/>
        <v>39.519137764266958</v>
      </c>
      <c r="AR153" s="30">
        <f>INDEX($AB$6:$AX$138,63,17)</f>
        <v>1553.3410641581295</v>
      </c>
      <c r="AS153" s="14">
        <f t="shared" si="1181"/>
        <v>618</v>
      </c>
      <c r="AT153" s="349">
        <f>INDEX($AB$6:$AX$138,63,19)</f>
        <v>561</v>
      </c>
      <c r="AU153" s="415">
        <f t="shared" si="1182"/>
        <v>57</v>
      </c>
      <c r="AV153" s="14">
        <f t="shared" si="1183"/>
        <v>79</v>
      </c>
      <c r="AW153" s="75">
        <f>INDEX($AB$6:$AX$138,63,22)</f>
        <v>81</v>
      </c>
      <c r="AX153" s="609">
        <f t="shared" si="1155"/>
        <v>-2</v>
      </c>
      <c r="AZ153" s="1"/>
      <c r="BA153" s="25">
        <v>8</v>
      </c>
      <c r="BB153" s="25" t="str">
        <f t="shared" si="1280"/>
        <v>CASETA 3</v>
      </c>
      <c r="BC153" s="26">
        <f>INDEX($BA$6:$BW$138,57,3)</f>
        <v>93127</v>
      </c>
      <c r="BD153" s="26">
        <f>INDEX($BA$6:$BW$138,63,4)</f>
        <v>92969</v>
      </c>
      <c r="BE153" s="23">
        <f t="shared" si="1184"/>
        <v>129</v>
      </c>
      <c r="BF153" s="23">
        <f t="shared" si="1185"/>
        <v>29</v>
      </c>
      <c r="BG153" s="23">
        <f t="shared" si="1186"/>
        <v>0</v>
      </c>
      <c r="BH153" s="88">
        <f t="shared" si="1187"/>
        <v>158</v>
      </c>
      <c r="BI153" s="26">
        <f>INDEX($BA$6:$BW$138,63,9)</f>
        <v>903</v>
      </c>
      <c r="BJ153" s="47">
        <f t="shared" si="1156"/>
        <v>0.16</v>
      </c>
      <c r="BK153" s="28">
        <f t="shared" si="1188"/>
        <v>2.4251076032994562E-2</v>
      </c>
      <c r="BL153" s="47">
        <f t="shared" si="1157"/>
        <v>2.8800000000000003</v>
      </c>
      <c r="BM153" s="27">
        <f>INDEX($BA$6:$BW$138,63,13)</f>
        <v>1.2647058823529411</v>
      </c>
      <c r="BN153" s="23">
        <f t="shared" si="1189"/>
        <v>28119</v>
      </c>
      <c r="BO153" s="14">
        <f t="shared" si="1158"/>
        <v>46</v>
      </c>
      <c r="BP153" s="23">
        <f t="shared" si="1190"/>
        <v>43.134644088180657</v>
      </c>
      <c r="BQ153" s="27">
        <f>INDEX($BA$6:$BW$138,63,17)</f>
        <v>1522.3242252498878</v>
      </c>
      <c r="BR153" s="14">
        <f t="shared" si="1159"/>
        <v>618</v>
      </c>
      <c r="BS153" s="350">
        <f>INDEX($BA$6:$BW$138,63,19)</f>
        <v>615</v>
      </c>
      <c r="BT153" s="26">
        <f t="shared" si="1267"/>
        <v>3</v>
      </c>
      <c r="BU153" s="14">
        <f t="shared" si="1160"/>
        <v>79</v>
      </c>
      <c r="BV153" s="26">
        <f>INDEX($BA$6:$BW$138,63,22)</f>
        <v>66</v>
      </c>
      <c r="BW153" s="26">
        <f t="shared" si="1287"/>
        <v>13</v>
      </c>
      <c r="BY153" s="1"/>
      <c r="BZ153" s="25">
        <v>8</v>
      </c>
      <c r="CA153" s="25" t="str">
        <f t="shared" si="1281"/>
        <v>CASETA G1</v>
      </c>
      <c r="CB153" s="26">
        <f>INDEX($BZ$6:$CV$138,57,3)</f>
        <v>0</v>
      </c>
      <c r="CC153" s="26">
        <f>INDEX($BZ$6:$CV$138,63,4)</f>
        <v>0</v>
      </c>
      <c r="CD153" s="23">
        <f t="shared" si="1191"/>
        <v>0</v>
      </c>
      <c r="CE153" s="23">
        <f t="shared" si="1192"/>
        <v>0</v>
      </c>
      <c r="CF153" s="23">
        <f t="shared" si="1193"/>
        <v>0</v>
      </c>
      <c r="CG153" s="88">
        <f t="shared" si="1194"/>
        <v>0</v>
      </c>
      <c r="CH153" s="26">
        <f>INDEX($BZ$6:$CV$138,63,9)</f>
        <v>0</v>
      </c>
      <c r="CI153" s="47">
        <f t="shared" si="1195"/>
        <v>0.16</v>
      </c>
      <c r="CJ153" s="23">
        <f t="shared" si="1268"/>
        <v>0</v>
      </c>
      <c r="CK153" s="47">
        <f t="shared" si="1196"/>
        <v>2.8800000000000003</v>
      </c>
      <c r="CL153" s="27">
        <f>INDEX($BZ$6:$CV$138,63,13)</f>
        <v>0</v>
      </c>
      <c r="CM153" s="23">
        <f t="shared" si="1197"/>
        <v>0</v>
      </c>
      <c r="CN153" s="14">
        <f t="shared" si="1198"/>
        <v>46</v>
      </c>
      <c r="CO153" s="23">
        <f t="shared" si="1269"/>
        <v>0</v>
      </c>
      <c r="CP153" s="27">
        <f>INDEX($BZ$6:$CV$138,63,17)</f>
        <v>0</v>
      </c>
      <c r="CQ153" s="14">
        <f t="shared" si="1161"/>
        <v>618</v>
      </c>
      <c r="CR153" s="351">
        <f>INDEX($BZ$6:$CV$138,63,19)</f>
        <v>0</v>
      </c>
      <c r="CS153" s="416">
        <f t="shared" si="1199"/>
        <v>618</v>
      </c>
      <c r="CT153" s="14">
        <f t="shared" si="1200"/>
        <v>79</v>
      </c>
      <c r="CU153" s="29">
        <f>INDEX($BZ$6:$CV$138,63,22)</f>
        <v>0</v>
      </c>
      <c r="CV153" s="417">
        <f t="shared" si="1201"/>
        <v>79</v>
      </c>
      <c r="CY153" s="25">
        <v>8</v>
      </c>
      <c r="CZ153" s="25" t="str">
        <f t="shared" si="1282"/>
        <v>CASETA G2</v>
      </c>
      <c r="DA153" s="26">
        <f>INDEX($BZ$6:$CV$138,57,3)</f>
        <v>0</v>
      </c>
      <c r="DB153" s="26">
        <f>INDEX($BZ$6:$CV$138,63,4)</f>
        <v>0</v>
      </c>
      <c r="DC153" s="23">
        <f t="shared" si="1202"/>
        <v>0</v>
      </c>
      <c r="DD153" s="23">
        <f t="shared" si="1203"/>
        <v>0</v>
      </c>
      <c r="DE153" s="23">
        <f t="shared" si="1204"/>
        <v>0</v>
      </c>
      <c r="DF153" s="88">
        <f t="shared" si="1288"/>
        <v>0</v>
      </c>
      <c r="DG153" s="26">
        <f>INDEX($BZ$6:$CV$138,63,9)</f>
        <v>0</v>
      </c>
      <c r="DH153" s="47">
        <f t="shared" si="1206"/>
        <v>0.16</v>
      </c>
      <c r="DI153" s="23">
        <f t="shared" si="1270"/>
        <v>0</v>
      </c>
      <c r="DJ153" s="47">
        <f t="shared" si="1207"/>
        <v>2.8800000000000003</v>
      </c>
      <c r="DK153" s="27">
        <f>INDEX($BZ$6:$CV$138,63,13)</f>
        <v>0</v>
      </c>
      <c r="DL153" s="23">
        <f t="shared" si="1208"/>
        <v>0</v>
      </c>
      <c r="DM153" s="14">
        <f t="shared" si="1209"/>
        <v>46</v>
      </c>
      <c r="DN153" s="23">
        <f t="shared" si="1271"/>
        <v>0</v>
      </c>
      <c r="DO153" s="27">
        <f>INDEX($BZ$6:$CV$138,63,17)</f>
        <v>0</v>
      </c>
      <c r="DP153" s="14">
        <f t="shared" si="1162"/>
        <v>618</v>
      </c>
      <c r="DQ153" s="351">
        <f>INDEX($BZ$6:$CV$138,63,19)</f>
        <v>0</v>
      </c>
      <c r="DR153" s="416">
        <f t="shared" si="1210"/>
        <v>618</v>
      </c>
      <c r="DS153" s="14">
        <f t="shared" si="1211"/>
        <v>79</v>
      </c>
      <c r="DT153" s="29">
        <f>INDEX($BZ$6:$CV$138,63,22)</f>
        <v>0</v>
      </c>
      <c r="DU153" s="417">
        <f t="shared" si="1212"/>
        <v>79</v>
      </c>
      <c r="DX153" s="25">
        <v>8</v>
      </c>
      <c r="DY153" s="25" t="str">
        <f t="shared" si="1283"/>
        <v>CASETA G3</v>
      </c>
      <c r="DZ153" s="26">
        <f>INDEX($BZ$6:$CV$138,57,3)</f>
        <v>0</v>
      </c>
      <c r="EA153" s="26">
        <f>INDEX($BZ$6:$CV$138,63,4)</f>
        <v>0</v>
      </c>
      <c r="EB153" s="23">
        <f t="shared" si="1213"/>
        <v>0</v>
      </c>
      <c r="EC153" s="23">
        <f t="shared" si="1214"/>
        <v>0</v>
      </c>
      <c r="ED153" s="23">
        <f t="shared" si="1215"/>
        <v>0</v>
      </c>
      <c r="EE153" s="88">
        <f t="shared" si="1289"/>
        <v>0</v>
      </c>
      <c r="EF153" s="26">
        <f>INDEX($BZ$6:$CV$138,63,9)</f>
        <v>0</v>
      </c>
      <c r="EG153" s="47">
        <f t="shared" si="1217"/>
        <v>0.16</v>
      </c>
      <c r="EH153" s="23">
        <f t="shared" si="1272"/>
        <v>0</v>
      </c>
      <c r="EI153" s="47">
        <f t="shared" si="1218"/>
        <v>2.8800000000000003</v>
      </c>
      <c r="EJ153" s="27">
        <f>INDEX($BZ$6:$CV$138,63,13)</f>
        <v>0</v>
      </c>
      <c r="EK153" s="23">
        <f t="shared" si="1219"/>
        <v>0</v>
      </c>
      <c r="EL153" s="14">
        <f t="shared" si="1220"/>
        <v>46</v>
      </c>
      <c r="EM153" s="23">
        <f t="shared" si="1273"/>
        <v>0</v>
      </c>
      <c r="EN153" s="27">
        <f>INDEX($BZ$6:$CV$138,63,17)</f>
        <v>0</v>
      </c>
      <c r="EO153" s="14">
        <f t="shared" si="1163"/>
        <v>618</v>
      </c>
      <c r="EP153" s="351">
        <f>INDEX($BZ$6:$CV$138,63,19)</f>
        <v>0</v>
      </c>
      <c r="EQ153" s="416">
        <f t="shared" si="1221"/>
        <v>618</v>
      </c>
      <c r="ER153" s="14">
        <f t="shared" si="1222"/>
        <v>79</v>
      </c>
      <c r="ES153" s="29">
        <f>INDEX($BZ$6:$CV$138,63,22)</f>
        <v>0</v>
      </c>
      <c r="ET153" s="417">
        <f t="shared" si="1223"/>
        <v>79</v>
      </c>
      <c r="EW153" s="25">
        <v>8</v>
      </c>
      <c r="EX153" s="25" t="str">
        <f t="shared" si="1284"/>
        <v>CASETA G4</v>
      </c>
      <c r="EY153" s="26">
        <f>INDEX($BZ$6:$CV$138,57,3)</f>
        <v>0</v>
      </c>
      <c r="EZ153" s="26">
        <f>INDEX($BZ$6:$CV$138,63,4)</f>
        <v>0</v>
      </c>
      <c r="FA153" s="23">
        <f t="shared" si="1224"/>
        <v>0</v>
      </c>
      <c r="FB153" s="23">
        <f t="shared" si="1225"/>
        <v>0</v>
      </c>
      <c r="FC153" s="23">
        <f t="shared" si="1226"/>
        <v>0</v>
      </c>
      <c r="FD153" s="88">
        <f t="shared" si="1290"/>
        <v>0</v>
      </c>
      <c r="FE153" s="26">
        <f>INDEX($BZ$6:$CV$138,63,9)</f>
        <v>0</v>
      </c>
      <c r="FF153" s="47">
        <f t="shared" si="1228"/>
        <v>0.16</v>
      </c>
      <c r="FG153" s="23">
        <f t="shared" si="1274"/>
        <v>0</v>
      </c>
      <c r="FH153" s="47">
        <f t="shared" si="1229"/>
        <v>2.8800000000000003</v>
      </c>
      <c r="FI153" s="27">
        <f>INDEX($BZ$6:$CV$138,63,13)</f>
        <v>0</v>
      </c>
      <c r="FJ153" s="23">
        <f t="shared" si="1230"/>
        <v>0</v>
      </c>
      <c r="FK153" s="14">
        <f t="shared" si="1231"/>
        <v>46</v>
      </c>
      <c r="FL153" s="23">
        <f t="shared" si="1275"/>
        <v>0</v>
      </c>
      <c r="FM153" s="27">
        <f>INDEX($BZ$6:$CV$138,63,17)</f>
        <v>0</v>
      </c>
      <c r="FN153" s="14">
        <f t="shared" si="1232"/>
        <v>618</v>
      </c>
      <c r="FO153" s="351">
        <f>INDEX($BZ$6:$CV$138,63,19)</f>
        <v>0</v>
      </c>
      <c r="FP153" s="416">
        <f t="shared" si="1293"/>
        <v>618</v>
      </c>
      <c r="FQ153" s="14">
        <f t="shared" si="1233"/>
        <v>79</v>
      </c>
      <c r="FR153" s="29">
        <f>INDEX($BZ$6:$CV$138,63,22)</f>
        <v>0</v>
      </c>
      <c r="FS153" s="417">
        <f t="shared" si="1234"/>
        <v>79</v>
      </c>
      <c r="FV153" s="25">
        <v>8</v>
      </c>
      <c r="FW153" s="25" t="str">
        <f t="shared" si="1285"/>
        <v>CASETA G5</v>
      </c>
      <c r="FX153" s="26">
        <f>INDEX($BZ$6:$CV$138,57,3)</f>
        <v>0</v>
      </c>
      <c r="FY153" s="26">
        <f>INDEX($BZ$6:$CV$138,63,4)</f>
        <v>0</v>
      </c>
      <c r="FZ153" s="23">
        <f t="shared" si="1235"/>
        <v>0</v>
      </c>
      <c r="GA153" s="23">
        <f t="shared" si="1236"/>
        <v>0</v>
      </c>
      <c r="GB153" s="23">
        <f t="shared" si="1237"/>
        <v>0</v>
      </c>
      <c r="GC153" s="88">
        <f t="shared" si="1291"/>
        <v>0</v>
      </c>
      <c r="GD153" s="26">
        <f>INDEX($BZ$6:$CV$138,63,9)</f>
        <v>0</v>
      </c>
      <c r="GE153" s="47">
        <f t="shared" si="1239"/>
        <v>0.16</v>
      </c>
      <c r="GF153" s="23">
        <f t="shared" si="1276"/>
        <v>0</v>
      </c>
      <c r="GG153" s="47">
        <f t="shared" si="1240"/>
        <v>2.8800000000000003</v>
      </c>
      <c r="GH153" s="27">
        <f>INDEX($BZ$6:$CV$138,63,13)</f>
        <v>0</v>
      </c>
      <c r="GI153" s="23">
        <f t="shared" si="1241"/>
        <v>0</v>
      </c>
      <c r="GJ153" s="14">
        <f t="shared" si="1242"/>
        <v>46</v>
      </c>
      <c r="GK153" s="23">
        <f t="shared" si="1277"/>
        <v>0</v>
      </c>
      <c r="GL153" s="27">
        <f>INDEX($BZ$6:$CV$138,63,17)</f>
        <v>0</v>
      </c>
      <c r="GM153" s="14">
        <f t="shared" si="1243"/>
        <v>618</v>
      </c>
      <c r="GN153" s="351">
        <f>INDEX($BZ$6:$CV$138,63,19)</f>
        <v>0</v>
      </c>
      <c r="GO153" s="416">
        <f t="shared" si="1294"/>
        <v>618</v>
      </c>
      <c r="GP153" s="14">
        <f t="shared" si="1244"/>
        <v>79</v>
      </c>
      <c r="GQ153" s="29">
        <f>INDEX($BZ$6:$CV$138,63,22)</f>
        <v>0</v>
      </c>
      <c r="GR153" s="417">
        <f t="shared" si="1245"/>
        <v>79</v>
      </c>
      <c r="GU153" s="25">
        <v>8</v>
      </c>
      <c r="GV153" s="25" t="str">
        <f t="shared" si="1286"/>
        <v>CASETA G6</v>
      </c>
      <c r="GW153" s="26">
        <f>INDEX($BZ$6:$CV$138,57,3)</f>
        <v>0</v>
      </c>
      <c r="GX153" s="26">
        <f>INDEX($BZ$6:$CV$138,63,4)</f>
        <v>0</v>
      </c>
      <c r="GY153" s="23">
        <f t="shared" si="1246"/>
        <v>0</v>
      </c>
      <c r="GZ153" s="23">
        <f t="shared" si="1247"/>
        <v>0</v>
      </c>
      <c r="HA153" s="23">
        <f t="shared" si="1248"/>
        <v>0</v>
      </c>
      <c r="HB153" s="88">
        <f t="shared" si="1292"/>
        <v>0</v>
      </c>
      <c r="HC153" s="26">
        <f>INDEX($BZ$6:$CV$138,63,9)</f>
        <v>0</v>
      </c>
      <c r="HD153" s="47">
        <f t="shared" si="1250"/>
        <v>0.16</v>
      </c>
      <c r="HE153" s="23">
        <f t="shared" si="1278"/>
        <v>0</v>
      </c>
      <c r="HF153" s="47">
        <f t="shared" si="1251"/>
        <v>2.8800000000000003</v>
      </c>
      <c r="HG153" s="27">
        <f>INDEX($BZ$6:$CV$138,63,13)</f>
        <v>0</v>
      </c>
      <c r="HH153" s="23">
        <f t="shared" si="1252"/>
        <v>0</v>
      </c>
      <c r="HI153" s="14">
        <f t="shared" si="1253"/>
        <v>46</v>
      </c>
      <c r="HJ153" s="23">
        <f t="shared" si="1279"/>
        <v>0</v>
      </c>
      <c r="HK153" s="27">
        <f>INDEX($BZ$6:$CV$138,63,17)</f>
        <v>0</v>
      </c>
      <c r="HL153" s="14">
        <f t="shared" si="1254"/>
        <v>618</v>
      </c>
      <c r="HM153" s="351">
        <f>INDEX($BZ$6:$CV$138,63,19)</f>
        <v>0</v>
      </c>
      <c r="HN153" s="416">
        <f t="shared" si="1295"/>
        <v>618</v>
      </c>
      <c r="HO153" s="14">
        <f t="shared" si="1255"/>
        <v>79</v>
      </c>
      <c r="HP153" s="29">
        <f>INDEX($BZ$6:$CV$138,63,22)</f>
        <v>0</v>
      </c>
      <c r="HQ153" s="417">
        <f t="shared" si="1256"/>
        <v>79</v>
      </c>
    </row>
    <row r="154" spans="3:225" x14ac:dyDescent="0.25">
      <c r="C154" s="25">
        <v>9</v>
      </c>
      <c r="D154" s="23" t="str">
        <f t="shared" si="1257"/>
        <v>CASETA 1</v>
      </c>
      <c r="E154" s="26">
        <f>INDEX($C$6:$Y$138,64,3)</f>
        <v>96110</v>
      </c>
      <c r="F154" s="26">
        <f>INDEX($C$6:$Y$138,70,4)</f>
        <v>96078</v>
      </c>
      <c r="G154" s="23">
        <f t="shared" si="1258"/>
        <v>0</v>
      </c>
      <c r="H154" s="23">
        <f t="shared" si="1259"/>
        <v>32</v>
      </c>
      <c r="I154" s="23">
        <f t="shared" si="1260"/>
        <v>0</v>
      </c>
      <c r="J154" s="88">
        <f t="shared" si="1261"/>
        <v>32</v>
      </c>
      <c r="K154" s="26">
        <f>INDEX($C$6:$Y$138,70,9)</f>
        <v>5187</v>
      </c>
      <c r="L154" s="47">
        <f t="shared" si="1151"/>
        <v>0.16</v>
      </c>
      <c r="M154" s="28">
        <f t="shared" si="1262"/>
        <v>3.3295182603267089E-2</v>
      </c>
      <c r="N154" s="47">
        <f t="shared" si="1167"/>
        <v>3.0400000000000005</v>
      </c>
      <c r="O154" s="47">
        <f t="shared" si="1263"/>
        <v>5.3969410050983244</v>
      </c>
      <c r="P154" s="464">
        <f t="shared" si="1264"/>
        <v>19110</v>
      </c>
      <c r="Q154" s="14">
        <f t="shared" si="1168"/>
        <v>49</v>
      </c>
      <c r="R154" s="23">
        <f t="shared" si="1265"/>
        <v>28.404952658412235</v>
      </c>
      <c r="S154" s="30">
        <f>INDEX($C$6:$Y$138,70,17)</f>
        <v>1764.4560859730022</v>
      </c>
      <c r="T154" s="14">
        <f t="shared" si="1169"/>
        <v>712</v>
      </c>
      <c r="U154" s="349">
        <f>INDEX($C$6:$Y$138,70,19)</f>
        <v>614</v>
      </c>
      <c r="V154" s="415">
        <f t="shared" si="1152"/>
        <v>98</v>
      </c>
      <c r="W154" s="14">
        <f t="shared" si="1153"/>
        <v>79</v>
      </c>
      <c r="X154" s="75">
        <f>INDEX($C$6:$Y$138,70,22)</f>
        <v>66</v>
      </c>
      <c r="Y154" s="609">
        <f t="shared" si="1154"/>
        <v>13</v>
      </c>
      <c r="Z154" s="489"/>
      <c r="AA154" s="1"/>
      <c r="AB154" s="25">
        <v>9</v>
      </c>
      <c r="AC154" s="23" t="str">
        <f t="shared" si="1266"/>
        <v>CASETA 2</v>
      </c>
      <c r="AD154" s="26">
        <f>INDEX($AB$6:$AX$138,64,3)</f>
        <v>86787</v>
      </c>
      <c r="AE154" s="26">
        <f>INDEX($AB$6:$AX$138,70,4)</f>
        <v>86715</v>
      </c>
      <c r="AF154" s="23">
        <f t="shared" si="1170"/>
        <v>7</v>
      </c>
      <c r="AG154" s="23">
        <f t="shared" si="1171"/>
        <v>65</v>
      </c>
      <c r="AH154" s="23">
        <f t="shared" si="1172"/>
        <v>0</v>
      </c>
      <c r="AI154" s="88">
        <f t="shared" si="1173"/>
        <v>72</v>
      </c>
      <c r="AJ154" s="26">
        <f>INDEX($AB$6:$AX$138,70,9)</f>
        <v>6184</v>
      </c>
      <c r="AK154" s="47">
        <f t="shared" si="1174"/>
        <v>0.16</v>
      </c>
      <c r="AL154" s="28">
        <f t="shared" si="1175"/>
        <v>1.1855788501483642E-2</v>
      </c>
      <c r="AM154" s="47">
        <f t="shared" si="1176"/>
        <v>3.0400000000000005</v>
      </c>
      <c r="AN154" s="47">
        <f t="shared" si="1177"/>
        <v>7.1254911449871523</v>
      </c>
      <c r="AO154" s="464">
        <f t="shared" si="1178"/>
        <v>17472</v>
      </c>
      <c r="AP154" s="14">
        <f t="shared" si="1179"/>
        <v>49</v>
      </c>
      <c r="AQ154" s="23">
        <f t="shared" si="1180"/>
        <v>28.760067752082684</v>
      </c>
      <c r="AR154" s="30">
        <f>INDEX($AB$6:$AX$138,70,17)</f>
        <v>1754.7500610315392</v>
      </c>
      <c r="AS154" s="14">
        <f t="shared" si="1181"/>
        <v>712</v>
      </c>
      <c r="AT154" s="349">
        <f>INDEX($AB$6:$AX$138,70,19)</f>
        <v>679</v>
      </c>
      <c r="AU154" s="415">
        <f t="shared" si="1182"/>
        <v>33</v>
      </c>
      <c r="AV154" s="14">
        <f t="shared" si="1183"/>
        <v>79</v>
      </c>
      <c r="AW154" s="75">
        <f>INDEX($AB$6:$AX$138,70,22)</f>
        <v>90</v>
      </c>
      <c r="AX154" s="609">
        <f t="shared" si="1155"/>
        <v>-11</v>
      </c>
      <c r="AZ154" s="1"/>
      <c r="BA154" s="25">
        <v>9</v>
      </c>
      <c r="BB154" s="25" t="str">
        <f t="shared" si="1280"/>
        <v>CASETA 3</v>
      </c>
      <c r="BC154" s="26">
        <f>INDEX($BA$6:$BW$138,64,3)</f>
        <v>92969</v>
      </c>
      <c r="BD154" s="26">
        <f>INDEX($BA$6:$BW$138,70,4)</f>
        <v>92885</v>
      </c>
      <c r="BE154" s="23">
        <f t="shared" si="1184"/>
        <v>33</v>
      </c>
      <c r="BF154" s="23">
        <f t="shared" si="1185"/>
        <v>51</v>
      </c>
      <c r="BG154" s="23">
        <f t="shared" si="1186"/>
        <v>0</v>
      </c>
      <c r="BH154" s="88">
        <f t="shared" si="1187"/>
        <v>84</v>
      </c>
      <c r="BI154" s="26">
        <f>INDEX($BA$6:$BW$138,70,9)</f>
        <v>987</v>
      </c>
      <c r="BJ154" s="47">
        <f t="shared" si="1156"/>
        <v>0.16</v>
      </c>
      <c r="BK154" s="28">
        <f t="shared" si="1188"/>
        <v>1.2912155614259469E-2</v>
      </c>
      <c r="BL154" s="47">
        <f t="shared" si="1157"/>
        <v>3.0400000000000005</v>
      </c>
      <c r="BM154" s="27">
        <f>INDEX($BA$6:$BW$138,70,13)</f>
        <v>1.3823529411764706</v>
      </c>
      <c r="BN154" s="23">
        <f t="shared" si="1189"/>
        <v>21840</v>
      </c>
      <c r="BO154" s="14">
        <f t="shared" si="1158"/>
        <v>49</v>
      </c>
      <c r="BP154" s="23">
        <f t="shared" si="1190"/>
        <v>33.559573621314634</v>
      </c>
      <c r="BQ154" s="27">
        <f>INDEX($BA$6:$BW$138,70,17)</f>
        <v>1757.3654574957704</v>
      </c>
      <c r="BR154" s="14">
        <f t="shared" si="1159"/>
        <v>712</v>
      </c>
      <c r="BS154" s="350">
        <f>INDEX($BA$6:$BW$138,70,19)</f>
        <v>680</v>
      </c>
      <c r="BT154" s="26">
        <f t="shared" si="1267"/>
        <v>32</v>
      </c>
      <c r="BU154" s="14">
        <f t="shared" si="1160"/>
        <v>79</v>
      </c>
      <c r="BV154" s="26">
        <f>INDEX($BA$6:$BW$138,70,22)</f>
        <v>76</v>
      </c>
      <c r="BW154" s="26">
        <f t="shared" si="1287"/>
        <v>3</v>
      </c>
      <c r="BY154" s="1"/>
      <c r="BZ154" s="25">
        <v>9</v>
      </c>
      <c r="CA154" s="25" t="str">
        <f t="shared" si="1281"/>
        <v>CASETA G1</v>
      </c>
      <c r="CB154" s="26">
        <f>INDEX($BZ$6:$CV$138,64,3)</f>
        <v>0</v>
      </c>
      <c r="CC154" s="26">
        <f>INDEX($BZ$6:$CV$138,70,4)</f>
        <v>0</v>
      </c>
      <c r="CD154" s="23">
        <f t="shared" si="1191"/>
        <v>0</v>
      </c>
      <c r="CE154" s="23">
        <f t="shared" si="1192"/>
        <v>0</v>
      </c>
      <c r="CF154" s="23">
        <f t="shared" si="1193"/>
        <v>0</v>
      </c>
      <c r="CG154" s="88">
        <f t="shared" si="1194"/>
        <v>0</v>
      </c>
      <c r="CH154" s="26">
        <f>INDEX($BZ$6:$CV$138,70,9)</f>
        <v>0</v>
      </c>
      <c r="CI154" s="47">
        <f t="shared" si="1195"/>
        <v>0.16</v>
      </c>
      <c r="CJ154" s="23">
        <f t="shared" si="1268"/>
        <v>0</v>
      </c>
      <c r="CK154" s="47">
        <f t="shared" si="1196"/>
        <v>3.0400000000000005</v>
      </c>
      <c r="CL154" s="27">
        <f>INDEX($BZ$6:$CV$138,70,13)</f>
        <v>0</v>
      </c>
      <c r="CM154" s="23">
        <f t="shared" si="1197"/>
        <v>0</v>
      </c>
      <c r="CN154" s="14">
        <f t="shared" si="1198"/>
        <v>49</v>
      </c>
      <c r="CO154" s="23">
        <f t="shared" si="1269"/>
        <v>0</v>
      </c>
      <c r="CP154" s="27">
        <f>INDEX($BZ$6:$CV$138,70,17)</f>
        <v>0</v>
      </c>
      <c r="CQ154" s="14">
        <f t="shared" si="1161"/>
        <v>712</v>
      </c>
      <c r="CR154" s="351">
        <f>INDEX($BZ$6:$CV$138,70,19)</f>
        <v>0</v>
      </c>
      <c r="CS154" s="416">
        <f t="shared" si="1199"/>
        <v>712</v>
      </c>
      <c r="CT154" s="14">
        <f t="shared" si="1200"/>
        <v>79</v>
      </c>
      <c r="CU154" s="29">
        <f>INDEX($BZ$6:$CV$138,70,22)</f>
        <v>0</v>
      </c>
      <c r="CV154" s="417">
        <f t="shared" si="1201"/>
        <v>79</v>
      </c>
      <c r="CY154" s="25">
        <v>9</v>
      </c>
      <c r="CZ154" s="25" t="str">
        <f t="shared" si="1282"/>
        <v>CASETA G2</v>
      </c>
      <c r="DA154" s="26">
        <f>INDEX($BZ$6:$CV$138,64,3)</f>
        <v>0</v>
      </c>
      <c r="DB154" s="26">
        <f>INDEX($BZ$6:$CV$138,70,4)</f>
        <v>0</v>
      </c>
      <c r="DC154" s="23">
        <f t="shared" si="1202"/>
        <v>0</v>
      </c>
      <c r="DD154" s="23">
        <f t="shared" si="1203"/>
        <v>0</v>
      </c>
      <c r="DE154" s="23">
        <f t="shared" si="1204"/>
        <v>0</v>
      </c>
      <c r="DF154" s="88">
        <f t="shared" si="1288"/>
        <v>0</v>
      </c>
      <c r="DG154" s="26">
        <f>INDEX($BZ$6:$CV$138,70,9)</f>
        <v>0</v>
      </c>
      <c r="DH154" s="47">
        <f t="shared" si="1206"/>
        <v>0.16</v>
      </c>
      <c r="DI154" s="23">
        <f t="shared" si="1270"/>
        <v>0</v>
      </c>
      <c r="DJ154" s="47">
        <f t="shared" si="1207"/>
        <v>3.0400000000000005</v>
      </c>
      <c r="DK154" s="27">
        <f>INDEX($BZ$6:$CV$138,70,13)</f>
        <v>0</v>
      </c>
      <c r="DL154" s="23">
        <f t="shared" si="1208"/>
        <v>0</v>
      </c>
      <c r="DM154" s="14">
        <f t="shared" si="1209"/>
        <v>49</v>
      </c>
      <c r="DN154" s="23">
        <f t="shared" si="1271"/>
        <v>0</v>
      </c>
      <c r="DO154" s="27">
        <f>INDEX($BZ$6:$CV$138,70,17)</f>
        <v>0</v>
      </c>
      <c r="DP154" s="14">
        <f t="shared" si="1162"/>
        <v>712</v>
      </c>
      <c r="DQ154" s="351">
        <f>INDEX($BZ$6:$CV$138,70,19)</f>
        <v>0</v>
      </c>
      <c r="DR154" s="416">
        <f t="shared" si="1210"/>
        <v>712</v>
      </c>
      <c r="DS154" s="14">
        <f t="shared" si="1211"/>
        <v>79</v>
      </c>
      <c r="DT154" s="29">
        <f>INDEX($BZ$6:$CV$138,70,22)</f>
        <v>0</v>
      </c>
      <c r="DU154" s="417">
        <f t="shared" si="1212"/>
        <v>79</v>
      </c>
      <c r="DX154" s="25">
        <v>9</v>
      </c>
      <c r="DY154" s="25" t="str">
        <f t="shared" si="1283"/>
        <v>CASETA G3</v>
      </c>
      <c r="DZ154" s="26">
        <f>INDEX($BZ$6:$CV$138,64,3)</f>
        <v>0</v>
      </c>
      <c r="EA154" s="26">
        <f>INDEX($BZ$6:$CV$138,70,4)</f>
        <v>0</v>
      </c>
      <c r="EB154" s="23">
        <f t="shared" si="1213"/>
        <v>0</v>
      </c>
      <c r="EC154" s="23">
        <f t="shared" si="1214"/>
        <v>0</v>
      </c>
      <c r="ED154" s="23">
        <f t="shared" si="1215"/>
        <v>0</v>
      </c>
      <c r="EE154" s="88">
        <f t="shared" si="1289"/>
        <v>0</v>
      </c>
      <c r="EF154" s="26">
        <f>INDEX($BZ$6:$CV$138,70,9)</f>
        <v>0</v>
      </c>
      <c r="EG154" s="47">
        <f t="shared" si="1217"/>
        <v>0.16</v>
      </c>
      <c r="EH154" s="23">
        <f t="shared" si="1272"/>
        <v>0</v>
      </c>
      <c r="EI154" s="47">
        <f t="shared" si="1218"/>
        <v>3.0400000000000005</v>
      </c>
      <c r="EJ154" s="27">
        <f>INDEX($BZ$6:$CV$138,70,13)</f>
        <v>0</v>
      </c>
      <c r="EK154" s="23">
        <f t="shared" si="1219"/>
        <v>0</v>
      </c>
      <c r="EL154" s="14">
        <f t="shared" si="1220"/>
        <v>49</v>
      </c>
      <c r="EM154" s="23">
        <f t="shared" si="1273"/>
        <v>0</v>
      </c>
      <c r="EN154" s="27">
        <f>INDEX($BZ$6:$CV$138,70,17)</f>
        <v>0</v>
      </c>
      <c r="EO154" s="14">
        <f t="shared" si="1163"/>
        <v>712</v>
      </c>
      <c r="EP154" s="351">
        <f>INDEX($BZ$6:$CV$138,70,19)</f>
        <v>0</v>
      </c>
      <c r="EQ154" s="416">
        <f t="shared" si="1221"/>
        <v>712</v>
      </c>
      <c r="ER154" s="14">
        <f t="shared" si="1222"/>
        <v>79</v>
      </c>
      <c r="ES154" s="29">
        <f>INDEX($BZ$6:$CV$138,70,22)</f>
        <v>0</v>
      </c>
      <c r="ET154" s="417">
        <f t="shared" si="1223"/>
        <v>79</v>
      </c>
      <c r="EW154" s="25">
        <v>9</v>
      </c>
      <c r="EX154" s="25" t="str">
        <f t="shared" si="1284"/>
        <v>CASETA G4</v>
      </c>
      <c r="EY154" s="26">
        <f>INDEX($BZ$6:$CV$138,64,3)</f>
        <v>0</v>
      </c>
      <c r="EZ154" s="26">
        <f>INDEX($BZ$6:$CV$138,70,4)</f>
        <v>0</v>
      </c>
      <c r="FA154" s="23">
        <f t="shared" si="1224"/>
        <v>0</v>
      </c>
      <c r="FB154" s="23">
        <f t="shared" si="1225"/>
        <v>0</v>
      </c>
      <c r="FC154" s="23">
        <f t="shared" si="1226"/>
        <v>0</v>
      </c>
      <c r="FD154" s="88">
        <f t="shared" si="1290"/>
        <v>0</v>
      </c>
      <c r="FE154" s="26">
        <f>INDEX($BZ$6:$CV$138,70,9)</f>
        <v>0</v>
      </c>
      <c r="FF154" s="47">
        <f t="shared" si="1228"/>
        <v>0.16</v>
      </c>
      <c r="FG154" s="23">
        <f t="shared" si="1274"/>
        <v>0</v>
      </c>
      <c r="FH154" s="47">
        <f t="shared" si="1229"/>
        <v>3.0400000000000005</v>
      </c>
      <c r="FI154" s="27">
        <f>INDEX($BZ$6:$CV$138,70,13)</f>
        <v>0</v>
      </c>
      <c r="FJ154" s="23">
        <f t="shared" si="1230"/>
        <v>0</v>
      </c>
      <c r="FK154" s="14">
        <f t="shared" si="1231"/>
        <v>49</v>
      </c>
      <c r="FL154" s="23">
        <f t="shared" si="1275"/>
        <v>0</v>
      </c>
      <c r="FM154" s="27">
        <f>INDEX($BZ$6:$CV$138,70,17)</f>
        <v>0</v>
      </c>
      <c r="FN154" s="14">
        <f t="shared" si="1232"/>
        <v>712</v>
      </c>
      <c r="FO154" s="351">
        <f>INDEX($BZ$6:$CV$138,70,19)</f>
        <v>0</v>
      </c>
      <c r="FP154" s="416">
        <f t="shared" si="1293"/>
        <v>712</v>
      </c>
      <c r="FQ154" s="14">
        <f t="shared" si="1233"/>
        <v>79</v>
      </c>
      <c r="FR154" s="29">
        <f>INDEX($BZ$6:$CV$138,70,22)</f>
        <v>0</v>
      </c>
      <c r="FS154" s="417">
        <f t="shared" si="1234"/>
        <v>79</v>
      </c>
      <c r="FV154" s="25">
        <v>9</v>
      </c>
      <c r="FW154" s="25" t="str">
        <f t="shared" si="1285"/>
        <v>CASETA G5</v>
      </c>
      <c r="FX154" s="26">
        <f>INDEX($BZ$6:$CV$138,64,3)</f>
        <v>0</v>
      </c>
      <c r="FY154" s="26">
        <f>INDEX($BZ$6:$CV$138,70,4)</f>
        <v>0</v>
      </c>
      <c r="FZ154" s="23">
        <f t="shared" si="1235"/>
        <v>0</v>
      </c>
      <c r="GA154" s="23">
        <f t="shared" si="1236"/>
        <v>0</v>
      </c>
      <c r="GB154" s="23">
        <f t="shared" si="1237"/>
        <v>0</v>
      </c>
      <c r="GC154" s="88">
        <f t="shared" si="1291"/>
        <v>0</v>
      </c>
      <c r="GD154" s="26">
        <f>INDEX($BZ$6:$CV$138,70,9)</f>
        <v>0</v>
      </c>
      <c r="GE154" s="47">
        <f t="shared" si="1239"/>
        <v>0.16</v>
      </c>
      <c r="GF154" s="23">
        <f t="shared" si="1276"/>
        <v>0</v>
      </c>
      <c r="GG154" s="47">
        <f t="shared" si="1240"/>
        <v>3.0400000000000005</v>
      </c>
      <c r="GH154" s="27">
        <f>INDEX($BZ$6:$CV$138,70,13)</f>
        <v>0</v>
      </c>
      <c r="GI154" s="23">
        <f t="shared" si="1241"/>
        <v>0</v>
      </c>
      <c r="GJ154" s="14">
        <f t="shared" si="1242"/>
        <v>49</v>
      </c>
      <c r="GK154" s="23">
        <f t="shared" si="1277"/>
        <v>0</v>
      </c>
      <c r="GL154" s="27">
        <f>INDEX($BZ$6:$CV$138,70,17)</f>
        <v>0</v>
      </c>
      <c r="GM154" s="14">
        <f t="shared" si="1243"/>
        <v>712</v>
      </c>
      <c r="GN154" s="351">
        <f>INDEX($BZ$6:$CV$138,70,19)</f>
        <v>0</v>
      </c>
      <c r="GO154" s="416">
        <f t="shared" si="1294"/>
        <v>712</v>
      </c>
      <c r="GP154" s="14">
        <f t="shared" si="1244"/>
        <v>79</v>
      </c>
      <c r="GQ154" s="29">
        <f>INDEX($BZ$6:$CV$138,70,22)</f>
        <v>0</v>
      </c>
      <c r="GR154" s="417">
        <f t="shared" si="1245"/>
        <v>79</v>
      </c>
      <c r="GU154" s="25">
        <v>9</v>
      </c>
      <c r="GV154" s="25" t="str">
        <f t="shared" si="1286"/>
        <v>CASETA G6</v>
      </c>
      <c r="GW154" s="26">
        <f>INDEX($BZ$6:$CV$138,64,3)</f>
        <v>0</v>
      </c>
      <c r="GX154" s="26">
        <f>INDEX($BZ$6:$CV$138,70,4)</f>
        <v>0</v>
      </c>
      <c r="GY154" s="23">
        <f t="shared" si="1246"/>
        <v>0</v>
      </c>
      <c r="GZ154" s="23">
        <f t="shared" si="1247"/>
        <v>0</v>
      </c>
      <c r="HA154" s="23">
        <f t="shared" si="1248"/>
        <v>0</v>
      </c>
      <c r="HB154" s="88">
        <f t="shared" si="1292"/>
        <v>0</v>
      </c>
      <c r="HC154" s="26">
        <f>INDEX($BZ$6:$CV$138,70,9)</f>
        <v>0</v>
      </c>
      <c r="HD154" s="47">
        <f t="shared" si="1250"/>
        <v>0.16</v>
      </c>
      <c r="HE154" s="23">
        <f t="shared" si="1278"/>
        <v>0</v>
      </c>
      <c r="HF154" s="47">
        <f t="shared" si="1251"/>
        <v>3.0400000000000005</v>
      </c>
      <c r="HG154" s="27">
        <f>INDEX($BZ$6:$CV$138,70,13)</f>
        <v>0</v>
      </c>
      <c r="HH154" s="23">
        <f t="shared" si="1252"/>
        <v>0</v>
      </c>
      <c r="HI154" s="14">
        <f t="shared" si="1253"/>
        <v>49</v>
      </c>
      <c r="HJ154" s="23">
        <f t="shared" si="1279"/>
        <v>0</v>
      </c>
      <c r="HK154" s="27">
        <f>INDEX($BZ$6:$CV$138,70,17)</f>
        <v>0</v>
      </c>
      <c r="HL154" s="14">
        <f t="shared" si="1254"/>
        <v>712</v>
      </c>
      <c r="HM154" s="351">
        <f>INDEX($BZ$6:$CV$138,70,19)</f>
        <v>0</v>
      </c>
      <c r="HN154" s="416">
        <f t="shared" si="1295"/>
        <v>712</v>
      </c>
      <c r="HO154" s="14">
        <f t="shared" si="1255"/>
        <v>79</v>
      </c>
      <c r="HP154" s="29">
        <f>INDEX($BZ$6:$CV$138,70,22)</f>
        <v>0</v>
      </c>
      <c r="HQ154" s="417">
        <f t="shared" si="1256"/>
        <v>79</v>
      </c>
    </row>
    <row r="155" spans="3:225" x14ac:dyDescent="0.25">
      <c r="C155" s="25">
        <v>10</v>
      </c>
      <c r="D155" s="23" t="str">
        <f t="shared" si="1257"/>
        <v>CASETA 1</v>
      </c>
      <c r="E155" s="26">
        <f>INDEX($C$6:$Y$138,71,3)</f>
        <v>96078</v>
      </c>
      <c r="F155" s="26">
        <f>INDEX($C$6:$Y$138,77,4)</f>
        <v>95862</v>
      </c>
      <c r="G155" s="23">
        <f t="shared" si="1258"/>
        <v>0</v>
      </c>
      <c r="H155" s="23">
        <f t="shared" si="1259"/>
        <v>216</v>
      </c>
      <c r="I155" s="23">
        <f>SUMIFS($I$6:$I$138,$C$6:$C$138,$C155)</f>
        <v>0</v>
      </c>
      <c r="J155" s="88">
        <f t="shared" si="1261"/>
        <v>216</v>
      </c>
      <c r="K155" s="26">
        <f>INDEX($C$6:$Y$138,77,9)</f>
        <v>5403</v>
      </c>
      <c r="L155" s="47">
        <f t="shared" si="1151"/>
        <v>0.16</v>
      </c>
      <c r="M155" s="28">
        <f t="shared" si="1262"/>
        <v>0.2248173359145694</v>
      </c>
      <c r="N155" s="47">
        <f t="shared" si="1167"/>
        <v>3.2000000000000006</v>
      </c>
      <c r="O155" s="47">
        <f t="shared" si="1263"/>
        <v>5.6235558608630489</v>
      </c>
      <c r="P155" s="464">
        <f t="shared" si="1264"/>
        <v>29211</v>
      </c>
      <c r="Q155" s="14">
        <f t="shared" si="1168"/>
        <v>52</v>
      </c>
      <c r="R155" s="23">
        <f t="shared" si="1265"/>
        <v>43.433460313495289</v>
      </c>
      <c r="S155" s="30">
        <f>INDEX($C$6:$Y$138,77,17)</f>
        <v>2068.8101467921683</v>
      </c>
      <c r="T155" s="14">
        <f t="shared" si="1169"/>
        <v>802</v>
      </c>
      <c r="U155" s="349">
        <f>INDEX($C$6:$Y$138,77,19)</f>
        <v>749</v>
      </c>
      <c r="V155" s="415">
        <f t="shared" si="1152"/>
        <v>53</v>
      </c>
      <c r="W155" s="14">
        <f t="shared" si="1153"/>
        <v>80</v>
      </c>
      <c r="X155" s="75">
        <f>INDEX($C$6:$Y$138,77,22)</f>
        <v>78</v>
      </c>
      <c r="Y155" s="609">
        <f t="shared" si="1154"/>
        <v>2</v>
      </c>
      <c r="Z155" s="489"/>
      <c r="AA155" s="1"/>
      <c r="AB155" s="25">
        <v>10</v>
      </c>
      <c r="AC155" s="23" t="str">
        <f t="shared" si="1266"/>
        <v>CASETA 2</v>
      </c>
      <c r="AD155" s="26">
        <f>INDEX($AB$6:$AX$138,71,3)</f>
        <v>86715</v>
      </c>
      <c r="AE155" s="26">
        <f>INDEX($AB$6:$AX$138,77,4)</f>
        <v>86640</v>
      </c>
      <c r="AF155" s="23">
        <f t="shared" si="1170"/>
        <v>0</v>
      </c>
      <c r="AG155" s="23">
        <f t="shared" si="1171"/>
        <v>75</v>
      </c>
      <c r="AH155" s="23">
        <f t="shared" si="1172"/>
        <v>0</v>
      </c>
      <c r="AI155" s="88">
        <f t="shared" si="1173"/>
        <v>75</v>
      </c>
      <c r="AJ155" s="26">
        <f>INDEX($AB$6:$AX$138,77,9)</f>
        <v>6259</v>
      </c>
      <c r="AK155" s="47">
        <f t="shared" si="1174"/>
        <v>0.16</v>
      </c>
      <c r="AL155" s="28">
        <f t="shared" si="1175"/>
        <v>1.2360255486317471E-2</v>
      </c>
      <c r="AM155" s="47">
        <f t="shared" si="1176"/>
        <v>3.2000000000000006</v>
      </c>
      <c r="AN155" s="47">
        <f t="shared" si="1177"/>
        <v>7.2178977108920028</v>
      </c>
      <c r="AO155" s="464">
        <f t="shared" si="1178"/>
        <v>25389</v>
      </c>
      <c r="AP155" s="14">
        <f t="shared" si="1179"/>
        <v>52</v>
      </c>
      <c r="AQ155" s="23">
        <f t="shared" si="1180"/>
        <v>41.826673585884791</v>
      </c>
      <c r="AR155" s="30">
        <f>INDEX($AB$6:$AX$138,77,17)</f>
        <v>2047.6659577396626</v>
      </c>
      <c r="AS155" s="14">
        <f t="shared" si="1181"/>
        <v>802</v>
      </c>
      <c r="AT155" s="349">
        <f>INDEX($AB$6:$AX$138,77,19)</f>
        <v>705</v>
      </c>
      <c r="AU155" s="415">
        <f t="shared" si="1182"/>
        <v>97</v>
      </c>
      <c r="AV155" s="14">
        <f t="shared" si="1183"/>
        <v>80</v>
      </c>
      <c r="AW155" s="75">
        <f>INDEX($AB$6:$AX$138,77,22)</f>
        <v>71</v>
      </c>
      <c r="AX155" s="609">
        <f t="shared" si="1155"/>
        <v>9</v>
      </c>
      <c r="AZ155" s="1"/>
      <c r="BA155" s="25">
        <v>10</v>
      </c>
      <c r="BB155" s="25" t="str">
        <f t="shared" si="1280"/>
        <v>CASETA 3</v>
      </c>
      <c r="BC155" s="26">
        <f>INDEX($BA$6:$BW$138,71,3)</f>
        <v>92885</v>
      </c>
      <c r="BD155" s="26">
        <f>INDEX($BA$6:$BW$138,77,4)</f>
        <v>92841</v>
      </c>
      <c r="BE155" s="23">
        <f t="shared" si="1184"/>
        <v>0</v>
      </c>
      <c r="BF155" s="23">
        <f t="shared" si="1185"/>
        <v>44</v>
      </c>
      <c r="BG155" s="23">
        <f t="shared" si="1186"/>
        <v>0</v>
      </c>
      <c r="BH155" s="88">
        <f t="shared" si="1187"/>
        <v>44</v>
      </c>
      <c r="BI155" s="26">
        <f>INDEX($BA$6:$BW$138,77,9)</f>
        <v>1031</v>
      </c>
      <c r="BJ155" s="47">
        <f t="shared" si="1156"/>
        <v>0.16</v>
      </c>
      <c r="BK155" s="28">
        <f t="shared" si="1188"/>
        <v>6.7685554479518023E-3</v>
      </c>
      <c r="BL155" s="47">
        <f t="shared" si="1157"/>
        <v>3.2000000000000006</v>
      </c>
      <c r="BM155" s="27">
        <f>INDEX($BA$6:$BW$138,77,13)</f>
        <v>1.4439775910364145</v>
      </c>
      <c r="BN155" s="23">
        <f t="shared" si="1189"/>
        <v>31122</v>
      </c>
      <c r="BO155" s="14">
        <f t="shared" si="1158"/>
        <v>52</v>
      </c>
      <c r="BP155" s="23">
        <f t="shared" si="1190"/>
        <v>47.865640307907633</v>
      </c>
      <c r="BQ155" s="27">
        <f>INDEX($BA$6:$BW$138,77,17)</f>
        <v>2092.4920726081345</v>
      </c>
      <c r="BR155" s="14">
        <f t="shared" si="1159"/>
        <v>802</v>
      </c>
      <c r="BS155" s="350">
        <f>INDEX($BA$6:$BW$138,77,19)</f>
        <v>825</v>
      </c>
      <c r="BT155" s="26">
        <f t="shared" si="1267"/>
        <v>-23</v>
      </c>
      <c r="BU155" s="14">
        <f t="shared" si="1160"/>
        <v>80</v>
      </c>
      <c r="BV155" s="26">
        <f>INDEX($BA$6:$BW$138,77,22)</f>
        <v>96</v>
      </c>
      <c r="BW155" s="26">
        <f t="shared" si="1287"/>
        <v>-16</v>
      </c>
      <c r="BY155" s="1"/>
      <c r="BZ155" s="25">
        <v>10</v>
      </c>
      <c r="CA155" s="25" t="str">
        <f t="shared" si="1281"/>
        <v>CASETA G1</v>
      </c>
      <c r="CB155" s="26">
        <f>INDEX($BZ$6:$CV$138,71,3)</f>
        <v>0</v>
      </c>
      <c r="CC155" s="26">
        <f>INDEX($BZ$6:$CV$138,77,4)</f>
        <v>0</v>
      </c>
      <c r="CD155" s="23">
        <f t="shared" si="1191"/>
        <v>0</v>
      </c>
      <c r="CE155" s="23">
        <f t="shared" si="1192"/>
        <v>0</v>
      </c>
      <c r="CF155" s="23">
        <f t="shared" si="1193"/>
        <v>0</v>
      </c>
      <c r="CG155" s="88">
        <f t="shared" si="1194"/>
        <v>0</v>
      </c>
      <c r="CH155" s="26">
        <f>INDEX($BZ$6:$CV$138,77,9)</f>
        <v>0</v>
      </c>
      <c r="CI155" s="47">
        <f t="shared" si="1195"/>
        <v>0.16</v>
      </c>
      <c r="CJ155" s="23">
        <f t="shared" si="1268"/>
        <v>0</v>
      </c>
      <c r="CK155" s="47">
        <f t="shared" si="1196"/>
        <v>3.2000000000000006</v>
      </c>
      <c r="CL155" s="27">
        <f>INDEX($BZ$6:$CV$138,77,13)</f>
        <v>0</v>
      </c>
      <c r="CM155" s="23">
        <f t="shared" si="1197"/>
        <v>0</v>
      </c>
      <c r="CN155" s="14">
        <f t="shared" si="1198"/>
        <v>52</v>
      </c>
      <c r="CO155" s="23">
        <f>AVERAGEIFS($CO$6:$CO$138,$BZ$6:$BZ$138,$BZ155)</f>
        <v>0</v>
      </c>
      <c r="CP155" s="27">
        <f>INDEX($BZ$6:$CV$138,77,17)</f>
        <v>0</v>
      </c>
      <c r="CQ155" s="14">
        <f t="shared" si="1161"/>
        <v>802</v>
      </c>
      <c r="CR155" s="351">
        <f>INDEX($BZ$6:$CV$138,77,19)</f>
        <v>0</v>
      </c>
      <c r="CS155" s="416">
        <f t="shared" si="1199"/>
        <v>802</v>
      </c>
      <c r="CT155" s="14">
        <f t="shared" si="1200"/>
        <v>80</v>
      </c>
      <c r="CU155" s="29">
        <f>INDEX($BZ$6:$CV$138,77,22)</f>
        <v>0</v>
      </c>
      <c r="CV155" s="417">
        <f t="shared" si="1201"/>
        <v>80</v>
      </c>
      <c r="CY155" s="25">
        <v>10</v>
      </c>
      <c r="CZ155" s="25" t="str">
        <f t="shared" si="1282"/>
        <v>CASETA G2</v>
      </c>
      <c r="DA155" s="26">
        <f>INDEX($BZ$6:$CV$138,71,3)</f>
        <v>0</v>
      </c>
      <c r="DB155" s="26">
        <f>INDEX($BZ$6:$CV$138,77,4)</f>
        <v>0</v>
      </c>
      <c r="DC155" s="23">
        <f t="shared" si="1202"/>
        <v>0</v>
      </c>
      <c r="DD155" s="23">
        <f t="shared" si="1203"/>
        <v>0</v>
      </c>
      <c r="DE155" s="23">
        <f t="shared" si="1204"/>
        <v>0</v>
      </c>
      <c r="DF155" s="88">
        <f t="shared" si="1288"/>
        <v>0</v>
      </c>
      <c r="DG155" s="26">
        <f>INDEX($BZ$6:$CV$138,77,9)</f>
        <v>0</v>
      </c>
      <c r="DH155" s="47">
        <f t="shared" si="1206"/>
        <v>0.16</v>
      </c>
      <c r="DI155" s="23">
        <f t="shared" si="1270"/>
        <v>0</v>
      </c>
      <c r="DJ155" s="47">
        <f t="shared" si="1207"/>
        <v>3.2000000000000006</v>
      </c>
      <c r="DK155" s="27">
        <f>INDEX($BZ$6:$CV$138,77,13)</f>
        <v>0</v>
      </c>
      <c r="DL155" s="23">
        <f t="shared" si="1208"/>
        <v>0</v>
      </c>
      <c r="DM155" s="14">
        <f t="shared" si="1209"/>
        <v>52</v>
      </c>
      <c r="DN155" s="23">
        <f t="shared" si="1271"/>
        <v>0</v>
      </c>
      <c r="DO155" s="27">
        <f>INDEX($BZ$6:$CV$138,77,17)</f>
        <v>0</v>
      </c>
      <c r="DP155" s="14">
        <f t="shared" si="1162"/>
        <v>802</v>
      </c>
      <c r="DQ155" s="351">
        <f>INDEX($BZ$6:$CV$138,77,19)</f>
        <v>0</v>
      </c>
      <c r="DR155" s="416">
        <f t="shared" si="1210"/>
        <v>802</v>
      </c>
      <c r="DS155" s="14">
        <f t="shared" si="1211"/>
        <v>80</v>
      </c>
      <c r="DT155" s="29">
        <f>INDEX($BZ$6:$CV$138,77,22)</f>
        <v>0</v>
      </c>
      <c r="DU155" s="417">
        <f t="shared" si="1212"/>
        <v>80</v>
      </c>
      <c r="DX155" s="25">
        <v>10</v>
      </c>
      <c r="DY155" s="25" t="str">
        <f t="shared" si="1283"/>
        <v>CASETA G3</v>
      </c>
      <c r="DZ155" s="26">
        <f>INDEX($BZ$6:$CV$138,71,3)</f>
        <v>0</v>
      </c>
      <c r="EA155" s="26">
        <f>INDEX($BZ$6:$CV$138,77,4)</f>
        <v>0</v>
      </c>
      <c r="EB155" s="23">
        <f t="shared" si="1213"/>
        <v>0</v>
      </c>
      <c r="EC155" s="23">
        <f t="shared" si="1214"/>
        <v>0</v>
      </c>
      <c r="ED155" s="23">
        <f t="shared" si="1215"/>
        <v>0</v>
      </c>
      <c r="EE155" s="88">
        <f t="shared" si="1289"/>
        <v>0</v>
      </c>
      <c r="EF155" s="26">
        <f>INDEX($BZ$6:$CV$138,77,9)</f>
        <v>0</v>
      </c>
      <c r="EG155" s="47">
        <f t="shared" si="1217"/>
        <v>0.16</v>
      </c>
      <c r="EH155" s="23">
        <f t="shared" si="1272"/>
        <v>0</v>
      </c>
      <c r="EI155" s="47">
        <f t="shared" si="1218"/>
        <v>3.2000000000000006</v>
      </c>
      <c r="EJ155" s="27">
        <f>INDEX($BZ$6:$CV$138,77,13)</f>
        <v>0</v>
      </c>
      <c r="EK155" s="23">
        <f t="shared" si="1219"/>
        <v>0</v>
      </c>
      <c r="EL155" s="14">
        <f t="shared" si="1220"/>
        <v>52</v>
      </c>
      <c r="EM155" s="23">
        <f t="shared" si="1273"/>
        <v>0</v>
      </c>
      <c r="EN155" s="27">
        <f>INDEX($BZ$6:$CV$138,77,17)</f>
        <v>0</v>
      </c>
      <c r="EO155" s="14">
        <f t="shared" si="1163"/>
        <v>802</v>
      </c>
      <c r="EP155" s="351">
        <f>INDEX($BZ$6:$CV$138,77,19)</f>
        <v>0</v>
      </c>
      <c r="EQ155" s="416">
        <f t="shared" si="1221"/>
        <v>802</v>
      </c>
      <c r="ER155" s="14">
        <f t="shared" si="1222"/>
        <v>80</v>
      </c>
      <c r="ES155" s="29">
        <f>INDEX($BZ$6:$CV$138,77,22)</f>
        <v>0</v>
      </c>
      <c r="ET155" s="417">
        <f t="shared" si="1223"/>
        <v>80</v>
      </c>
      <c r="EW155" s="25">
        <v>10</v>
      </c>
      <c r="EX155" s="25" t="str">
        <f t="shared" si="1284"/>
        <v>CASETA G4</v>
      </c>
      <c r="EY155" s="26">
        <f>INDEX($EW$6:$FS$138,71,3)</f>
        <v>0</v>
      </c>
      <c r="EZ155" s="26">
        <f>INDEX($EW$6:$FS$138,77,4)</f>
        <v>0</v>
      </c>
      <c r="FA155" s="23">
        <f t="shared" si="1224"/>
        <v>0</v>
      </c>
      <c r="FB155" s="23">
        <f t="shared" si="1225"/>
        <v>0</v>
      </c>
      <c r="FC155" s="23">
        <f t="shared" si="1226"/>
        <v>0</v>
      </c>
      <c r="FD155" s="88">
        <f t="shared" si="1290"/>
        <v>0</v>
      </c>
      <c r="FE155" s="26">
        <f>INDEX($BZ$6:$CV$138,77,9)</f>
        <v>0</v>
      </c>
      <c r="FF155" s="47">
        <f t="shared" si="1228"/>
        <v>0.16</v>
      </c>
      <c r="FG155" s="23">
        <f t="shared" si="1274"/>
        <v>0</v>
      </c>
      <c r="FH155" s="47">
        <f t="shared" si="1229"/>
        <v>3.2000000000000006</v>
      </c>
      <c r="FI155" s="27">
        <f>INDEX($BZ$6:$CV$138,77,13)</f>
        <v>0</v>
      </c>
      <c r="FJ155" s="23">
        <f t="shared" si="1230"/>
        <v>0</v>
      </c>
      <c r="FK155" s="14">
        <f t="shared" si="1231"/>
        <v>52</v>
      </c>
      <c r="FL155" s="23">
        <f t="shared" si="1275"/>
        <v>0</v>
      </c>
      <c r="FM155" s="27">
        <f>INDEX($BZ$6:$CV$138,77,17)</f>
        <v>0</v>
      </c>
      <c r="FN155" s="14">
        <f t="shared" si="1232"/>
        <v>802</v>
      </c>
      <c r="FO155" s="351">
        <f>INDEX($EW$6:$FS$138,77,19)</f>
        <v>0</v>
      </c>
      <c r="FP155" s="416">
        <f t="shared" si="1293"/>
        <v>802</v>
      </c>
      <c r="FQ155" s="14">
        <f t="shared" si="1233"/>
        <v>80</v>
      </c>
      <c r="FR155" s="29">
        <f>INDEX($EW$6:$FS$138,77,22)</f>
        <v>0</v>
      </c>
      <c r="FS155" s="417">
        <f t="shared" si="1234"/>
        <v>80</v>
      </c>
      <c r="FV155" s="25">
        <v>10</v>
      </c>
      <c r="FW155" s="25" t="str">
        <f t="shared" si="1285"/>
        <v>CASETA G5</v>
      </c>
      <c r="FX155" s="26">
        <f>INDEX($FV$6:$GR$138,71,3)</f>
        <v>0</v>
      </c>
      <c r="FY155" s="26">
        <f>INDEX($FV$6:$GR$138,77,4)</f>
        <v>0</v>
      </c>
      <c r="FZ155" s="23">
        <f t="shared" si="1235"/>
        <v>0</v>
      </c>
      <c r="GA155" s="23">
        <f>SUMIFS($CE$6:$CE$138,$BZ$6:$BZ$138,$BZ155)</f>
        <v>0</v>
      </c>
      <c r="GB155" s="23">
        <f t="shared" si="1237"/>
        <v>0</v>
      </c>
      <c r="GC155" s="88">
        <f t="shared" si="1291"/>
        <v>0</v>
      </c>
      <c r="GD155" s="26">
        <f>INDEX($BZ$6:$CV$138,77,9)</f>
        <v>0</v>
      </c>
      <c r="GE155" s="47">
        <f t="shared" si="1239"/>
        <v>0.16</v>
      </c>
      <c r="GF155" s="23">
        <f t="shared" si="1276"/>
        <v>0</v>
      </c>
      <c r="GG155" s="47">
        <f t="shared" si="1240"/>
        <v>3.2000000000000006</v>
      </c>
      <c r="GH155" s="27">
        <f>INDEX($BZ$6:$CV$138,77,13)</f>
        <v>0</v>
      </c>
      <c r="GI155" s="23">
        <f t="shared" si="1241"/>
        <v>0</v>
      </c>
      <c r="GJ155" s="14">
        <f t="shared" si="1242"/>
        <v>52</v>
      </c>
      <c r="GK155" s="23">
        <f t="shared" si="1277"/>
        <v>0</v>
      </c>
      <c r="GL155" s="27">
        <f>INDEX($FV$6:$GR$138,77,17)</f>
        <v>0</v>
      </c>
      <c r="GM155" s="14">
        <f t="shared" si="1243"/>
        <v>802</v>
      </c>
      <c r="GN155" s="351">
        <f>INDEX($FV$6:$GR$138,77,19)</f>
        <v>0</v>
      </c>
      <c r="GO155" s="416">
        <f t="shared" si="1294"/>
        <v>802</v>
      </c>
      <c r="GP155" s="14">
        <f t="shared" si="1244"/>
        <v>80</v>
      </c>
      <c r="GQ155" s="29">
        <f>INDEX($FV$6:$GR$138,77,22)</f>
        <v>0</v>
      </c>
      <c r="GR155" s="417">
        <f t="shared" si="1245"/>
        <v>80</v>
      </c>
      <c r="GU155" s="25">
        <v>10</v>
      </c>
      <c r="GV155" s="25" t="str">
        <f t="shared" si="1286"/>
        <v>CASETA G6</v>
      </c>
      <c r="GW155" s="26">
        <f>INDEX($FV$6:$GR$138,71,3)</f>
        <v>0</v>
      </c>
      <c r="GX155" s="26">
        <f>INDEX($FV$6:$GR$138,77,4)</f>
        <v>0</v>
      </c>
      <c r="GY155" s="23">
        <f t="shared" si="1246"/>
        <v>0</v>
      </c>
      <c r="GZ155" s="23">
        <f>SUMIFS($CE$6:$CE$138,$BZ$6:$BZ$138,$BZ155)</f>
        <v>0</v>
      </c>
      <c r="HA155" s="23">
        <f t="shared" si="1248"/>
        <v>0</v>
      </c>
      <c r="HB155" s="88">
        <f t="shared" si="1292"/>
        <v>0</v>
      </c>
      <c r="HC155" s="26">
        <f>INDEX($BZ$6:$CV$138,77,9)</f>
        <v>0</v>
      </c>
      <c r="HD155" s="47">
        <f t="shared" si="1250"/>
        <v>0.16</v>
      </c>
      <c r="HE155" s="23">
        <f t="shared" si="1278"/>
        <v>0</v>
      </c>
      <c r="HF155" s="47">
        <f t="shared" si="1251"/>
        <v>3.2000000000000006</v>
      </c>
      <c r="HG155" s="27">
        <f>INDEX($BZ$6:$CV$138,77,13)</f>
        <v>0</v>
      </c>
      <c r="HH155" s="23">
        <f t="shared" si="1252"/>
        <v>0</v>
      </c>
      <c r="HI155" s="14">
        <f t="shared" si="1253"/>
        <v>52</v>
      </c>
      <c r="HJ155" s="23">
        <f t="shared" si="1279"/>
        <v>0</v>
      </c>
      <c r="HK155" s="27">
        <f>INDEX($FV$6:$GR$138,77,17)</f>
        <v>0</v>
      </c>
      <c r="HL155" s="14">
        <f t="shared" si="1254"/>
        <v>802</v>
      </c>
      <c r="HM155" s="351">
        <f>INDEX($FV$6:$GR$138,77,19)</f>
        <v>0</v>
      </c>
      <c r="HN155" s="416">
        <f t="shared" si="1295"/>
        <v>802</v>
      </c>
      <c r="HO155" s="14">
        <f t="shared" si="1255"/>
        <v>80</v>
      </c>
      <c r="HP155" s="29">
        <f>INDEX($FV$6:$GR$138,77,22)</f>
        <v>0</v>
      </c>
      <c r="HQ155" s="417">
        <f t="shared" si="1256"/>
        <v>80</v>
      </c>
    </row>
    <row r="156" spans="3:225" x14ac:dyDescent="0.25">
      <c r="C156" s="25">
        <v>11</v>
      </c>
      <c r="D156" s="23" t="str">
        <f t="shared" si="1257"/>
        <v>CASETA 1</v>
      </c>
      <c r="E156" s="26">
        <f>INDEX($C$6:$Y$138,82,3)</f>
        <v>68656</v>
      </c>
      <c r="F156" s="26">
        <f>INDEX($C$6:$Y$138,84,4)</f>
        <v>68634</v>
      </c>
      <c r="G156" s="23">
        <f t="shared" si="1258"/>
        <v>0</v>
      </c>
      <c r="H156" s="23">
        <f t="shared" si="1259"/>
        <v>48</v>
      </c>
      <c r="I156" s="23">
        <f t="shared" si="1260"/>
        <v>0</v>
      </c>
      <c r="J156" s="88">
        <f t="shared" si="1261"/>
        <v>48</v>
      </c>
      <c r="K156" s="26">
        <f>INDEX($C$6:$Y$138,84,9)</f>
        <v>5451</v>
      </c>
      <c r="L156" s="47">
        <f t="shared" si="1151"/>
        <v>0.16</v>
      </c>
      <c r="M156" s="28">
        <f t="shared" si="1262"/>
        <v>6.9913773013283623E-2</v>
      </c>
      <c r="N156" s="47">
        <f t="shared" si="1167"/>
        <v>3.3600000000000008</v>
      </c>
      <c r="O156" s="47">
        <f t="shared" si="1263"/>
        <v>7.9395828478210211</v>
      </c>
      <c r="P156" s="464">
        <f t="shared" si="1264"/>
        <v>26208</v>
      </c>
      <c r="Q156" s="14">
        <f t="shared" si="1168"/>
        <v>55</v>
      </c>
      <c r="R156" s="23">
        <f t="shared" si="1265"/>
        <v>54.532742950361225</v>
      </c>
      <c r="S156" s="30">
        <f>INDEX($C$6:$Y$138,84,17)</f>
        <v>2385.8661362196235</v>
      </c>
      <c r="T156" s="14">
        <f t="shared" si="1169"/>
        <v>880</v>
      </c>
      <c r="U156" s="349">
        <f>INDEX($C$6:$Y$138,84,19)</f>
        <v>869</v>
      </c>
      <c r="V156" s="415">
        <f t="shared" si="1152"/>
        <v>11</v>
      </c>
      <c r="W156" s="14">
        <f t="shared" si="1153"/>
        <v>80</v>
      </c>
      <c r="X156" s="75">
        <f>INDEX($C$6:$Y$138,84,22)</f>
        <v>63</v>
      </c>
      <c r="Y156" s="609">
        <f t="shared" si="1154"/>
        <v>17</v>
      </c>
      <c r="Z156" s="489"/>
      <c r="AA156" s="1"/>
      <c r="AB156" s="25">
        <v>11</v>
      </c>
      <c r="AC156" s="23" t="str">
        <f t="shared" si="1266"/>
        <v>CASETA 2</v>
      </c>
      <c r="AD156" s="26">
        <f>INDEX($AB$6:$AX$138,83,3)</f>
        <v>59427</v>
      </c>
      <c r="AE156" s="26">
        <f>INDEX($AB$6:$AX$138,84,4)</f>
        <v>59413</v>
      </c>
      <c r="AF156" s="23">
        <f t="shared" si="1170"/>
        <v>0</v>
      </c>
      <c r="AG156" s="23">
        <f t="shared" si="1171"/>
        <v>47</v>
      </c>
      <c r="AH156" s="23">
        <f t="shared" si="1172"/>
        <v>0</v>
      </c>
      <c r="AI156" s="88">
        <f t="shared" si="1173"/>
        <v>47</v>
      </c>
      <c r="AJ156" s="26">
        <f>INDEX($AB$6:$AX$138,84,9)</f>
        <v>6306</v>
      </c>
      <c r="AK156" s="47">
        <f t="shared" si="1174"/>
        <v>0.16</v>
      </c>
      <c r="AL156" s="28">
        <f t="shared" si="1175"/>
        <v>9.143784622938203E-3</v>
      </c>
      <c r="AM156" s="47">
        <f t="shared" si="1176"/>
        <v>3.3600000000000008</v>
      </c>
      <c r="AN156" s="47">
        <f t="shared" si="1177"/>
        <v>10.611338280579535</v>
      </c>
      <c r="AO156" s="464">
        <f t="shared" si="1178"/>
        <v>26208</v>
      </c>
      <c r="AP156" s="14">
        <f t="shared" si="1179"/>
        <v>55</v>
      </c>
      <c r="AQ156" s="23">
        <f t="shared" si="1180"/>
        <v>63.001665909435111</v>
      </c>
      <c r="AR156" s="30">
        <f>INDEX($AB$6:$AX$138,84,17)</f>
        <v>2398.4607370087879</v>
      </c>
      <c r="AS156" s="14">
        <f t="shared" si="1181"/>
        <v>880</v>
      </c>
      <c r="AT156" s="349">
        <f>INDEX($AB$6:$AX$138,84,19)</f>
        <v>865</v>
      </c>
      <c r="AU156" s="415">
        <f t="shared" si="1182"/>
        <v>15</v>
      </c>
      <c r="AV156" s="14">
        <f t="shared" si="1183"/>
        <v>80</v>
      </c>
      <c r="AW156" s="75">
        <f>INDEX($AB$6:$AX$138,84,22)</f>
        <v>80</v>
      </c>
      <c r="AX156" s="609">
        <f t="shared" si="1155"/>
        <v>0</v>
      </c>
      <c r="AZ156" s="1"/>
      <c r="BA156" s="25">
        <v>11</v>
      </c>
      <c r="BB156" s="25" t="str">
        <f t="shared" si="1280"/>
        <v>CASETA 3</v>
      </c>
      <c r="BC156" s="26">
        <f>INDEX($BA$6:$BW$138,84,3)</f>
        <v>78479</v>
      </c>
      <c r="BD156" s="26">
        <f>INDEX($BA$6:$BW$138,84,4)</f>
        <v>78473</v>
      </c>
      <c r="BE156" s="23">
        <f t="shared" si="1184"/>
        <v>0</v>
      </c>
      <c r="BF156" s="23">
        <f t="shared" si="1185"/>
        <v>37</v>
      </c>
      <c r="BG156" s="23">
        <f t="shared" si="1186"/>
        <v>0</v>
      </c>
      <c r="BH156" s="88">
        <f t="shared" si="1187"/>
        <v>37</v>
      </c>
      <c r="BI156" s="26">
        <f>INDEX($BA$6:$BW$138,84,9)</f>
        <v>1068</v>
      </c>
      <c r="BJ156" s="47">
        <f t="shared" si="1156"/>
        <v>0.16</v>
      </c>
      <c r="BK156" s="28">
        <f>AVERAGEIFS($BK$6:$BK$138,$BA$6:$BA$138,$BA156)</f>
        <v>5.8769760375560701E-3</v>
      </c>
      <c r="BL156" s="47">
        <f t="shared" si="1157"/>
        <v>3.3600000000000008</v>
      </c>
      <c r="BM156" s="27">
        <f>INDEX($BA$6:$BW$138,84,13)</f>
        <v>1.4957983193277311</v>
      </c>
      <c r="BN156" s="23">
        <f t="shared" si="1189"/>
        <v>33852</v>
      </c>
      <c r="BO156" s="14">
        <f t="shared" si="1158"/>
        <v>55</v>
      </c>
      <c r="BP156" s="23">
        <f t="shared" si="1190"/>
        <v>61.621580295365639</v>
      </c>
      <c r="BQ156" s="27">
        <f>INDEX($BA$6:$BW$138,84,17)</f>
        <v>2469.567067523677</v>
      </c>
      <c r="BR156" s="14">
        <f t="shared" si="1159"/>
        <v>880</v>
      </c>
      <c r="BS156" s="350">
        <f>INDEX($BA$6:$BW$138,84,19)</f>
        <v>906</v>
      </c>
      <c r="BT156" s="26">
        <f t="shared" si="1267"/>
        <v>-26</v>
      </c>
      <c r="BU156" s="14">
        <f t="shared" si="1160"/>
        <v>80</v>
      </c>
      <c r="BV156" s="26">
        <f>INDEX($BA$6:$BW$138,84,22)</f>
        <v>95</v>
      </c>
      <c r="BW156" s="26">
        <f t="shared" si="1287"/>
        <v>-15</v>
      </c>
      <c r="BY156" s="1"/>
      <c r="BZ156" s="25">
        <v>11</v>
      </c>
      <c r="CA156" s="25" t="str">
        <f t="shared" si="1281"/>
        <v>CASETA G1</v>
      </c>
      <c r="CB156" s="26">
        <f>INDEX($BZ$6:$CV$138,81,3)</f>
        <v>14656</v>
      </c>
      <c r="CC156" s="26">
        <f>INDEX($BZ$6:$CV$138,84,4)</f>
        <v>14647</v>
      </c>
      <c r="CD156" s="23">
        <f>SUMIFS($CD$6:$CD$138,$BZ$6:$BZ$138,$BZ156)</f>
        <v>0</v>
      </c>
      <c r="CE156" s="23">
        <f>SUMIFS($CE$6:$CE$138,$BZ$6:$BZ$138,$BZ156)</f>
        <v>9</v>
      </c>
      <c r="CF156" s="23">
        <f>SUMIFS($CF$6:$CF$138,$BZ$6:$BZ$138,$BZ156)</f>
        <v>0</v>
      </c>
      <c r="CG156" s="88">
        <f>SUM(CD156:CF156)</f>
        <v>9</v>
      </c>
      <c r="CH156" s="26">
        <f>INDEX($BZ$6:$CV$138,84,9)</f>
        <v>9</v>
      </c>
      <c r="CI156" s="47">
        <f>VLOOKUP($BZ156,LOHMANN,4,FALSE)</f>
        <v>0.16</v>
      </c>
      <c r="CJ156" s="23">
        <f>AVERAGEIFS($CJ$6:$CJ$138,$BZ$6:$BZ$138,$BZ156)</f>
        <v>8.7735450820212984E-3</v>
      </c>
      <c r="CK156" s="47">
        <f>VLOOKUP($BZ156,LOHMANN,5,FALSE)</f>
        <v>3.3600000000000008</v>
      </c>
      <c r="CL156" s="27">
        <f>INDEX($BZ$6:$CV$138,84,13)</f>
        <v>6.1408296943231439E-2</v>
      </c>
      <c r="CM156" s="23">
        <f>SUMIFS($CM$6:$CM$138,$BZ$6:$BZ$138,$BZ156)</f>
        <v>0</v>
      </c>
      <c r="CN156" s="14">
        <f>VLOOKUP($BZ156,LOHMANN,6,FALSE)</f>
        <v>55</v>
      </c>
      <c r="CO156" s="23">
        <f t="shared" ref="CO156:CO163" si="1296">IFERROR(((CM156/7)/CB156)*1000,0)</f>
        <v>0</v>
      </c>
      <c r="CP156" s="27">
        <f>INDEX($BZ$6:$CV$138,84,17)</f>
        <v>0</v>
      </c>
      <c r="CQ156" s="14">
        <f t="shared" si="1161"/>
        <v>880</v>
      </c>
      <c r="CR156" s="351">
        <f>INDEX($BZ$6:$CV$138,84,19)</f>
        <v>0</v>
      </c>
      <c r="CS156" s="416">
        <f t="shared" si="1199"/>
        <v>880</v>
      </c>
      <c r="CT156" s="14">
        <f t="shared" si="1200"/>
        <v>80</v>
      </c>
      <c r="CU156" s="29">
        <f>INDEX($BZ$6:$CV$138,84,22)</f>
        <v>0</v>
      </c>
      <c r="CV156" s="417">
        <f t="shared" si="1201"/>
        <v>80</v>
      </c>
      <c r="CY156" s="25">
        <v>11</v>
      </c>
      <c r="CZ156" s="25" t="str">
        <f t="shared" si="1282"/>
        <v>CASETA G2</v>
      </c>
      <c r="DA156" s="26">
        <f>INDEX($CY$6:$DU$138,82,3)</f>
        <v>14723</v>
      </c>
      <c r="DB156" s="26">
        <f>INDEX($CY$6:$DU$138,84,4)</f>
        <v>14709</v>
      </c>
      <c r="DC156" s="23">
        <f>SUMIFS($DC$6:$DC$138,$CY$6:$CY$138,$CY156)</f>
        <v>1</v>
      </c>
      <c r="DD156" s="23">
        <f>SUMIFS($DD$6:$DD$138,$CY$6:$CY$138,$CY156)</f>
        <v>17</v>
      </c>
      <c r="DE156" s="23">
        <f>SUMIFS($DE$6:$DE$138,$CY$6:$CY$138,$CY156)</f>
        <v>0</v>
      </c>
      <c r="DF156" s="88">
        <f t="shared" ref="DF156:DF161" si="1297">SUM(DC156:DE156)</f>
        <v>18</v>
      </c>
      <c r="DG156" s="26">
        <f>INDEX($CY$6:$DU$138,84,9)</f>
        <v>18</v>
      </c>
      <c r="DH156" s="47">
        <f>VLOOKUP($BZ156,LOHMANN,4,FALSE)</f>
        <v>0.16</v>
      </c>
      <c r="DI156" s="23">
        <f>AVERAGEIFS($DI$6:$DI$138,$CY$6:$CY$138,$CY156)</f>
        <v>2.186336174362289E-2</v>
      </c>
      <c r="DJ156" s="47">
        <f>VLOOKUP($BZ156,LOHMANN,5,FALSE)</f>
        <v>3.3600000000000008</v>
      </c>
      <c r="DK156" s="27">
        <f>INDEX($CY$6:$DU$138,84,13)</f>
        <v>0.12225769204645792</v>
      </c>
      <c r="DL156" s="23">
        <f>SUMIFS($DL$6:$DL$138,$CY$6:$CY$138,$CY156)</f>
        <v>0</v>
      </c>
      <c r="DM156" s="14">
        <f t="shared" si="1209"/>
        <v>55</v>
      </c>
      <c r="DN156" s="23">
        <f>IFERROR(((DL156/7)/DA156)*1000,0)</f>
        <v>0</v>
      </c>
      <c r="DO156" s="27">
        <f>INDEX($CY$6:$DU$138,84,17)</f>
        <v>0</v>
      </c>
      <c r="DP156" s="14">
        <f t="shared" si="1162"/>
        <v>880</v>
      </c>
      <c r="DQ156" s="351">
        <f>INDEX($BZ$6:$CV$138,84,19)</f>
        <v>0</v>
      </c>
      <c r="DR156" s="416">
        <f t="shared" si="1210"/>
        <v>880</v>
      </c>
      <c r="DS156" s="14">
        <f t="shared" si="1211"/>
        <v>80</v>
      </c>
      <c r="DT156" s="29">
        <f>INDEX($CY$6:$DU$138,84,22)</f>
        <v>0</v>
      </c>
      <c r="DU156" s="417">
        <f t="shared" si="1212"/>
        <v>80</v>
      </c>
      <c r="DX156" s="25">
        <v>11</v>
      </c>
      <c r="DY156" s="25" t="str">
        <f t="shared" si="1283"/>
        <v>CASETA G3</v>
      </c>
      <c r="DZ156" s="26">
        <f>INDEX($DX$6:$ET$138,83,3)</f>
        <v>14540</v>
      </c>
      <c r="EA156" s="26">
        <f>INDEX($DX$6:$ET$138,84,4)</f>
        <v>14537</v>
      </c>
      <c r="EB156" s="23">
        <f>SUMIFS($EB$6:$EB$138,$DX$6:$DX$138,$DX156)</f>
        <v>0</v>
      </c>
      <c r="EC156" s="23">
        <f>SUMIFS($EC$6:$EC$138,$DX$6:$DX$138,$DX156)</f>
        <v>10</v>
      </c>
      <c r="ED156" s="23">
        <f>SUMIFS($ED$6:$ED$138,$DX$6:$DX$138,$DX156)</f>
        <v>0</v>
      </c>
      <c r="EE156" s="88">
        <f>SUM(EB156:ED156)</f>
        <v>10</v>
      </c>
      <c r="EF156" s="26">
        <f>INDEX($DX$6:$ET$138,84,9)</f>
        <v>10</v>
      </c>
      <c r="EG156" s="47">
        <f>VLOOKUP($BZ156,LOHMANN,4,FALSE)</f>
        <v>0.16</v>
      </c>
      <c r="EH156" s="23">
        <f>AVERAGEIFS($EH$6:$EH$138,$DX$6:$DX$138,$DX156)</f>
        <v>1.0973860247069219E-2</v>
      </c>
      <c r="EI156" s="47">
        <f>VLOOKUP($BZ156,LOHMANN,5,FALSE)</f>
        <v>3.3600000000000008</v>
      </c>
      <c r="EJ156" s="27">
        <f>INDEX($DX$6:$ET$138,84,13)</f>
        <v>6.8775790921595595E-2</v>
      </c>
      <c r="EK156" s="23">
        <f>SUMIFS($EK$6:$EK$138,$DX$6:$DX$138,$DX156)</f>
        <v>0</v>
      </c>
      <c r="EL156" s="14">
        <f t="shared" si="1220"/>
        <v>55</v>
      </c>
      <c r="EM156" s="23">
        <f t="shared" ref="EM156:EM161" si="1298">IFERROR(((EK156/7)/DZ156)*1000,0)</f>
        <v>0</v>
      </c>
      <c r="EN156" s="27">
        <f>INDEX($CY$6:$DU$138,84,17)</f>
        <v>0</v>
      </c>
      <c r="EO156" s="14">
        <f t="shared" si="1163"/>
        <v>880</v>
      </c>
      <c r="EP156" s="351">
        <f>INDEX($DX$6:$ET$138,84,19)</f>
        <v>0</v>
      </c>
      <c r="EQ156" s="416">
        <f t="shared" ref="EQ156:EQ163" si="1299">EO156-EP156</f>
        <v>880</v>
      </c>
      <c r="ER156" s="14">
        <f t="shared" si="1222"/>
        <v>80</v>
      </c>
      <c r="ES156" s="29">
        <f>INDEX($DX$6:$ET$138,84,22)</f>
        <v>0</v>
      </c>
      <c r="ET156" s="417">
        <f t="shared" ref="ET156:ET163" si="1300">ER156-ES156</f>
        <v>80</v>
      </c>
      <c r="EW156" s="25">
        <v>11</v>
      </c>
      <c r="EX156" s="25" t="str">
        <f t="shared" si="1284"/>
        <v>CASETA G4</v>
      </c>
      <c r="EY156" s="26">
        <f>INDEX($EW$6:$FS$138,84,3)</f>
        <v>14238</v>
      </c>
      <c r="EZ156" s="26">
        <f>INDEX($EW$6:$FS$138,84,4)</f>
        <v>14235</v>
      </c>
      <c r="FA156" s="23">
        <f>SUMIFS($FA$6:$FA$138,$EW$6:$EW$138,$EW156)</f>
        <v>0</v>
      </c>
      <c r="FB156" s="23">
        <f>SUMIFS($FB$6:$FB$138,$EW$6:$EW$138,$EW156)</f>
        <v>3</v>
      </c>
      <c r="FC156" s="23">
        <f>SUMIFS($FC$6:$FC$138,$EW$6:$EW$138,$EW156)</f>
        <v>0</v>
      </c>
      <c r="FD156" s="88">
        <f>SUM(FA156:FC156)</f>
        <v>3</v>
      </c>
      <c r="FE156" s="26">
        <f>INDEX($EW$6:$FS$138,84,9)</f>
        <v>3</v>
      </c>
      <c r="FF156" s="47">
        <f>VLOOKUP($BZ156,LOHMANN,4,FALSE)</f>
        <v>0.16</v>
      </c>
      <c r="FG156" s="23">
        <f>AVERAGEIFS($FG$6:$FG$138,$EW$6:$EW$138,$EW156)</f>
        <v>3.0100535789537057E-3</v>
      </c>
      <c r="FH156" s="47">
        <f>VLOOKUP($BZ156,LOHMANN,5,FALSE)</f>
        <v>3.3600000000000008</v>
      </c>
      <c r="FI156" s="27">
        <f>INDEX($EW$6:$FS$138,84,13)</f>
        <v>2.1070375052675939E-2</v>
      </c>
      <c r="FJ156" s="23">
        <f>SUMIFS($FJ$6:$FJ$138,$EW$6:$EW$138,$EW156)</f>
        <v>0</v>
      </c>
      <c r="FK156" s="14">
        <f t="shared" si="1231"/>
        <v>55</v>
      </c>
      <c r="FL156" s="23">
        <f t="shared" ref="FL156:FL161" si="1301">IFERROR(((FJ156/7)/EY156)*1000,0)</f>
        <v>0</v>
      </c>
      <c r="FM156" s="27">
        <f>INDEX($CY$6:$DU$138,84,17)</f>
        <v>0</v>
      </c>
      <c r="FN156" s="14">
        <f t="shared" si="1232"/>
        <v>880</v>
      </c>
      <c r="FO156" s="351">
        <f>INDEX($EW$6:$FS$138,84,19)</f>
        <v>0</v>
      </c>
      <c r="FP156" s="416">
        <f t="shared" ref="FP156:FP163" si="1302">FN156-FO156</f>
        <v>880</v>
      </c>
      <c r="FQ156" s="14">
        <f t="shared" si="1233"/>
        <v>80</v>
      </c>
      <c r="FR156" s="29">
        <f>INDEX($EW$6:$FS$138,84,22)</f>
        <v>0</v>
      </c>
      <c r="FS156" s="417">
        <f t="shared" ref="FS156:FS163" si="1303">FQ156-FR156</f>
        <v>80</v>
      </c>
      <c r="FV156" s="25">
        <v>11</v>
      </c>
      <c r="FW156" s="25" t="str">
        <f t="shared" si="1285"/>
        <v>CASETA G5</v>
      </c>
      <c r="FX156" s="26">
        <f>INDEX($FV$6:$GR$138,84,3)</f>
        <v>10423</v>
      </c>
      <c r="FY156" s="26">
        <f>INDEX($FV$6:$GR$138,84,4)</f>
        <v>10421</v>
      </c>
      <c r="FZ156" s="23">
        <f>SUMIFS($FZ$6:$FZ$138,$FV$6:$FV$138,$FV156)</f>
        <v>0</v>
      </c>
      <c r="GA156" s="23">
        <f>SUMIFS($GA$6:$GA$138,$FV$6:$FV$138,$FV156)</f>
        <v>2</v>
      </c>
      <c r="GB156" s="23">
        <f>SUMIFS($GB$6:$GB$138,$FV$6:$FV$138,$FV156)</f>
        <v>0</v>
      </c>
      <c r="GC156" s="88">
        <f>SUM(FZ156:GB156)</f>
        <v>2</v>
      </c>
      <c r="GD156" s="26">
        <f>INDEX($FV$6:$GR$138,84,9)</f>
        <v>2</v>
      </c>
      <c r="GE156" s="47">
        <f>VLOOKUP($BZ156,LOHMANN,4,FALSE)</f>
        <v>0.16</v>
      </c>
      <c r="GF156" s="23">
        <f>AVERAGEIFS($GF$6:$GF$138,$FV$6:$FV$138,$EW156)</f>
        <v>2.7411904990337307E-3</v>
      </c>
      <c r="GG156" s="47">
        <f>VLOOKUP($BZ156,LOHMANN,5,FALSE)</f>
        <v>3.3600000000000008</v>
      </c>
      <c r="GH156" s="27">
        <f>INDEX($FV$6:$GR$138,84,13)</f>
        <v>1.3646288209606987E-2</v>
      </c>
      <c r="GI156" s="23">
        <f>SUMIFS($GI$6:$GI$138,$FV$6:$FV$138,$FV156)</f>
        <v>0</v>
      </c>
      <c r="GJ156" s="14">
        <f t="shared" si="1242"/>
        <v>55</v>
      </c>
      <c r="GK156" s="23">
        <f t="shared" ref="GK156:GK161" si="1304">IFERROR(((GI156/7)/FX156)*1000,0)</f>
        <v>0</v>
      </c>
      <c r="GL156" s="27">
        <f>INDEX($FV$6:$GR$138,84,17)</f>
        <v>0</v>
      </c>
      <c r="GM156" s="14">
        <f t="shared" si="1243"/>
        <v>880</v>
      </c>
      <c r="GN156" s="351">
        <f>INDEX($FV$6:$GR$138,84,19)</f>
        <v>0</v>
      </c>
      <c r="GO156" s="416">
        <f t="shared" ref="GO156:GO163" si="1305">GM156-GN156</f>
        <v>880</v>
      </c>
      <c r="GP156" s="14">
        <f t="shared" si="1244"/>
        <v>80</v>
      </c>
      <c r="GQ156" s="29">
        <f>INDEX($FV$6:$GR$138,84,22)</f>
        <v>0</v>
      </c>
      <c r="GR156" s="417">
        <f t="shared" ref="GR156:GR163" si="1306">GP156-GQ156</f>
        <v>80</v>
      </c>
      <c r="GU156" s="25">
        <v>11</v>
      </c>
      <c r="GV156" s="25" t="str">
        <f t="shared" si="1286"/>
        <v>CASETA G6</v>
      </c>
      <c r="GW156" s="26">
        <f>INDEX($GU$6:$HQ$138,84,3)</f>
        <v>0</v>
      </c>
      <c r="GX156" s="26">
        <f>INDEX($GU$6:$HQ$138,84,4)</f>
        <v>0</v>
      </c>
      <c r="GY156" s="23">
        <f>SUMIFS($GY$6:$GY$138,$GU$6:$GU$138,$GU156)</f>
        <v>0</v>
      </c>
      <c r="GZ156" s="23">
        <f>SUMIFS($GZ$6:$GZ$138,$GU$6:$GU$138,$GU156)</f>
        <v>0</v>
      </c>
      <c r="HA156" s="23">
        <f>SUMIFS($HA$6:$HA$138,$GU$6:$GU$138,$GU156)</f>
        <v>0</v>
      </c>
      <c r="HB156" s="88">
        <f t="shared" ref="HB156:HB163" si="1307">SUM(GY156:HA156)</f>
        <v>0</v>
      </c>
      <c r="HC156" s="26">
        <f>INDEX($GU$6:$HQ$138,84,9)</f>
        <v>0</v>
      </c>
      <c r="HD156" s="47">
        <f t="shared" ref="HD156:HD163" si="1308">VLOOKUP($BZ156,LOHMANN,4,FALSE)</f>
        <v>0.16</v>
      </c>
      <c r="HE156" s="23">
        <f>AVERAGEIFS($HE$6:$HE$138,$GU$6:$GU$138,$FV156)</f>
        <v>0</v>
      </c>
      <c r="HF156" s="47">
        <f>VLOOKUP($BZ156,LOHMANN,5,FALSE)</f>
        <v>3.3600000000000008</v>
      </c>
      <c r="HG156" s="27">
        <f>INDEX($FV$6:$GR$138,84,13)</f>
        <v>1.3646288209606987E-2</v>
      </c>
      <c r="HH156" s="23">
        <f>SUMIFS($GI$6:$GI$138,$FV$6:$FV$138,$FV156)</f>
        <v>0</v>
      </c>
      <c r="HI156" s="14">
        <f t="shared" si="1253"/>
        <v>55</v>
      </c>
      <c r="HJ156" s="23">
        <f t="shared" ref="HJ156:HJ163" si="1309">IFERROR(((HH156/7)/GW156)*1000,0)</f>
        <v>0</v>
      </c>
      <c r="HK156" s="27">
        <f>INDEX($FV$6:$GR$138,84,17)</f>
        <v>0</v>
      </c>
      <c r="HL156" s="14">
        <f t="shared" si="1254"/>
        <v>880</v>
      </c>
      <c r="HM156" s="351">
        <f>INDEX($FV$6:$GR$138,84,19)</f>
        <v>0</v>
      </c>
      <c r="HN156" s="416">
        <f t="shared" ref="HN156:HN163" si="1310">HL156-HM156</f>
        <v>880</v>
      </c>
      <c r="HO156" s="14">
        <f t="shared" si="1255"/>
        <v>80</v>
      </c>
      <c r="HP156" s="29">
        <f>INDEX($GU$6:$HQ$138,84,22)</f>
        <v>0</v>
      </c>
      <c r="HQ156" s="417">
        <f t="shared" ref="HQ156:HQ163" si="1311">HO156-HP156</f>
        <v>80</v>
      </c>
    </row>
    <row r="157" spans="3:225" x14ac:dyDescent="0.25">
      <c r="C157" s="25">
        <v>12</v>
      </c>
      <c r="D157" s="23" t="str">
        <f t="shared" si="1257"/>
        <v>CASETA 1</v>
      </c>
      <c r="E157" s="26">
        <f>INDEX($C$6:$Y$138,85,3)</f>
        <v>68634</v>
      </c>
      <c r="F157" s="26">
        <f>INDEX($C$6:$Y$138,91,4)</f>
        <v>68602</v>
      </c>
      <c r="G157" s="23">
        <f t="shared" si="1258"/>
        <v>0</v>
      </c>
      <c r="H157" s="23">
        <f t="shared" si="1259"/>
        <v>32</v>
      </c>
      <c r="I157" s="23">
        <f t="shared" si="1260"/>
        <v>0</v>
      </c>
      <c r="J157" s="88">
        <f t="shared" si="1261"/>
        <v>32</v>
      </c>
      <c r="K157" s="26">
        <f>INDEX($C$6:$Y$138,91,9)</f>
        <v>5483</v>
      </c>
      <c r="L157" s="47">
        <f t="shared" si="1151"/>
        <v>0.16</v>
      </c>
      <c r="M157" s="28">
        <f t="shared" si="1262"/>
        <v>4.6624122155200044E-2</v>
      </c>
      <c r="N157" s="47">
        <f t="shared" si="1167"/>
        <v>3.5200000000000009</v>
      </c>
      <c r="O157" s="47">
        <f t="shared" si="1263"/>
        <v>7.9887519305300581</v>
      </c>
      <c r="P157" s="464">
        <f t="shared" si="1264"/>
        <v>24024</v>
      </c>
      <c r="Q157" s="14">
        <f t="shared" si="1168"/>
        <v>58</v>
      </c>
      <c r="R157" s="23">
        <f>IFERROR(((P157/7)/E157)*1000,0)</f>
        <v>50.004371011452051</v>
      </c>
      <c r="S157" s="30">
        <f>INDEX($C$6:$Y$138,91,17)</f>
        <v>2735.9669354025123</v>
      </c>
      <c r="T157" s="14">
        <f t="shared" si="1169"/>
        <v>950</v>
      </c>
      <c r="U157" s="349">
        <f>INDEX($C$6:$Y$138,91,19)</f>
        <v>909</v>
      </c>
      <c r="V157" s="415">
        <f t="shared" si="1152"/>
        <v>41</v>
      </c>
      <c r="W157" s="14">
        <f t="shared" si="1153"/>
        <v>82</v>
      </c>
      <c r="X157" s="75">
        <f>INDEX($C$6:$Y$138,91,22)</f>
        <v>71</v>
      </c>
      <c r="Y157" s="609">
        <f t="shared" si="1154"/>
        <v>11</v>
      </c>
      <c r="Z157" s="489"/>
      <c r="AA157" s="1"/>
      <c r="AB157" s="25">
        <v>12</v>
      </c>
      <c r="AC157" s="23" t="str">
        <f t="shared" si="1266"/>
        <v>CASETA 2</v>
      </c>
      <c r="AD157" s="26">
        <f>INDEX($AB$6:$AX$138,85,3)</f>
        <v>59413</v>
      </c>
      <c r="AE157" s="26">
        <f>INDEX($AB$6:$AX$138,91,4)</f>
        <v>59379</v>
      </c>
      <c r="AF157" s="23">
        <f t="shared" si="1170"/>
        <v>0</v>
      </c>
      <c r="AG157" s="23">
        <f t="shared" si="1171"/>
        <v>34</v>
      </c>
      <c r="AH157" s="23">
        <f t="shared" si="1172"/>
        <v>0</v>
      </c>
      <c r="AI157" s="88">
        <f t="shared" si="1173"/>
        <v>34</v>
      </c>
      <c r="AJ157" s="26">
        <f>INDEX($AB$6:$AX$138,91,9)</f>
        <v>6340</v>
      </c>
      <c r="AK157" s="47">
        <f t="shared" si="1174"/>
        <v>0.16</v>
      </c>
      <c r="AL157" s="28">
        <f t="shared" si="1175"/>
        <v>8.1772067924390113E-3</v>
      </c>
      <c r="AM157" s="47">
        <f t="shared" si="1176"/>
        <v>3.5200000000000009</v>
      </c>
      <c r="AN157" s="47">
        <f t="shared" si="1177"/>
        <v>10.671065255078855</v>
      </c>
      <c r="AO157" s="464">
        <f t="shared" si="1178"/>
        <v>24297</v>
      </c>
      <c r="AP157" s="14">
        <f t="shared" si="1179"/>
        <v>58</v>
      </c>
      <c r="AQ157" s="23">
        <f>IFERROR(((AO157/7)/AD157)*1000,0)</f>
        <v>58.421557571575242</v>
      </c>
      <c r="AR157" s="30">
        <f>INDEX($AB$6:$AX$138,91,17)</f>
        <v>2807.5021608882407</v>
      </c>
      <c r="AS157" s="14">
        <f t="shared" si="1181"/>
        <v>950</v>
      </c>
      <c r="AT157" s="349">
        <f>INDEX($AB$6:$AX$138,91,19)</f>
        <v>842</v>
      </c>
      <c r="AU157" s="415">
        <f t="shared" si="1182"/>
        <v>108</v>
      </c>
      <c r="AV157" s="14">
        <f t="shared" si="1183"/>
        <v>82</v>
      </c>
      <c r="AW157" s="75">
        <f>INDEX($AB$6:$AX$138,91,22)</f>
        <v>78</v>
      </c>
      <c r="AX157" s="609">
        <f t="shared" si="1155"/>
        <v>4</v>
      </c>
      <c r="AZ157" s="1"/>
      <c r="BA157" s="25">
        <v>12</v>
      </c>
      <c r="BB157" s="25" t="str">
        <f t="shared" si="1280"/>
        <v>CASETA 3</v>
      </c>
      <c r="BC157" s="26">
        <f>INDEX($BA$6:$BW$138,85,3)</f>
        <v>65523</v>
      </c>
      <c r="BD157" s="26">
        <f>INDEX($BA$6:$BW$138,91,4)</f>
        <v>65463</v>
      </c>
      <c r="BE157" s="23">
        <f t="shared" si="1184"/>
        <v>0</v>
      </c>
      <c r="BF157" s="23">
        <f t="shared" si="1185"/>
        <v>60</v>
      </c>
      <c r="BG157" s="23">
        <f t="shared" si="1186"/>
        <v>0</v>
      </c>
      <c r="BH157" s="88">
        <f t="shared" si="1187"/>
        <v>60</v>
      </c>
      <c r="BI157" s="26">
        <f>INDEX($BA$6:$BW$138,91,9)</f>
        <v>1128</v>
      </c>
      <c r="BJ157" s="47">
        <f t="shared" si="1156"/>
        <v>0.16</v>
      </c>
      <c r="BK157" s="28">
        <f t="shared" si="1188"/>
        <v>1.3086647591572877E-2</v>
      </c>
      <c r="BL157" s="47">
        <f t="shared" si="1157"/>
        <v>3.5200000000000009</v>
      </c>
      <c r="BM157" s="27">
        <f>INDEX($BA$6:$BW$138,91,13)</f>
        <v>1.5798319327731092</v>
      </c>
      <c r="BN157" s="23">
        <f t="shared" si="1189"/>
        <v>21021</v>
      </c>
      <c r="BO157" s="14">
        <f t="shared" si="1158"/>
        <v>58</v>
      </c>
      <c r="BP157" s="23">
        <f>IFERROR(((BN157/7)/BC157)*1000,0)</f>
        <v>45.831234833569894</v>
      </c>
      <c r="BQ157" s="27">
        <f>INDEX($BA$6:$BW$138,91,17)</f>
        <v>2790.5287450159176</v>
      </c>
      <c r="BR157" s="14">
        <f t="shared" si="1159"/>
        <v>950</v>
      </c>
      <c r="BS157" s="350">
        <f>INDEX($BA$6:$BW$138,91,19)</f>
        <v>863</v>
      </c>
      <c r="BT157" s="26">
        <f t="shared" si="1267"/>
        <v>87</v>
      </c>
      <c r="BU157" s="14">
        <f t="shared" si="1160"/>
        <v>82</v>
      </c>
      <c r="BV157" s="26">
        <f>INDEX($BA$6:$BW$138,91,22)</f>
        <v>74</v>
      </c>
      <c r="BW157" s="26">
        <f t="shared" si="1287"/>
        <v>8</v>
      </c>
      <c r="BY157" s="1"/>
      <c r="BZ157" s="25">
        <v>12</v>
      </c>
      <c r="CA157" s="25" t="str">
        <f t="shared" si="1281"/>
        <v>CASETA G1</v>
      </c>
      <c r="CB157" s="26">
        <f>INDEX($BZ$6:$CV$138,85,3)</f>
        <v>14647</v>
      </c>
      <c r="CC157" s="26">
        <f>INDEX($BZ$6:$CV$138,91,4)</f>
        <v>14628</v>
      </c>
      <c r="CD157" s="23">
        <f t="shared" si="1191"/>
        <v>0</v>
      </c>
      <c r="CE157" s="23">
        <f t="shared" si="1192"/>
        <v>19</v>
      </c>
      <c r="CF157" s="23">
        <f t="shared" si="1193"/>
        <v>0</v>
      </c>
      <c r="CG157" s="88">
        <f>SUM(CD157:CF157)</f>
        <v>19</v>
      </c>
      <c r="CH157" s="26">
        <f>INDEX($BZ$6:$CV$138,91,9)</f>
        <v>28</v>
      </c>
      <c r="CI157" s="47">
        <f t="shared" si="1195"/>
        <v>0.16</v>
      </c>
      <c r="CJ157" s="23">
        <f>AVERAGEIFS($CJ$6:$CJ$138,$BZ$6:$BZ$138,$BZ157)</f>
        <v>1.8540338330526145E-2</v>
      </c>
      <c r="CK157" s="47">
        <f t="shared" si="1196"/>
        <v>3.5200000000000009</v>
      </c>
      <c r="CL157" s="27">
        <f>INDEX($BZ$6:$CV$138,91,13)</f>
        <v>0.19104803493449782</v>
      </c>
      <c r="CM157" s="23">
        <f t="shared" si="1197"/>
        <v>5735</v>
      </c>
      <c r="CN157" s="14">
        <f t="shared" si="1198"/>
        <v>58</v>
      </c>
      <c r="CO157" s="23">
        <f>IFERROR(((CM157/7)/CB157)*1000,0)</f>
        <v>55.935393888558366</v>
      </c>
      <c r="CP157" s="27">
        <f>INDEX($BZ$6:$CV$138,91,17)</f>
        <v>391.73328127392165</v>
      </c>
      <c r="CQ157" s="14">
        <f t="shared" si="1161"/>
        <v>950</v>
      </c>
      <c r="CR157" s="351">
        <f>INDEX($BZ$6:$CV$138,91,19)</f>
        <v>877</v>
      </c>
      <c r="CS157" s="416">
        <f t="shared" si="1199"/>
        <v>73</v>
      </c>
      <c r="CT157" s="14">
        <f t="shared" si="1200"/>
        <v>82</v>
      </c>
      <c r="CU157" s="29">
        <f>INDEX($BZ$6:$CV$138,91,22)</f>
        <v>73</v>
      </c>
      <c r="CV157" s="417">
        <f t="shared" si="1201"/>
        <v>9</v>
      </c>
      <c r="CY157" s="25">
        <v>12</v>
      </c>
      <c r="CZ157" s="25" t="str">
        <f t="shared" si="1282"/>
        <v>CASETA G2</v>
      </c>
      <c r="DA157" s="26">
        <f>INDEX($CY$6:$DU$138,86,3)</f>
        <v>14708</v>
      </c>
      <c r="DB157" s="26">
        <f>INDEX($CY$6:$DU$138,91,4)</f>
        <v>14698</v>
      </c>
      <c r="DC157" s="23">
        <f>SUMIFS($DC$6:$DC$138,$CY$6:$CY$138,$CY157)</f>
        <v>0</v>
      </c>
      <c r="DD157" s="23">
        <f>SUMIFS($DD$6:$DD$138,$CY$6:$CY$138,$CY157)</f>
        <v>11</v>
      </c>
      <c r="DE157" s="23">
        <f t="shared" ref="DE157:DE163" si="1312">SUMIFS($DE$6:$DE$138,$CY$6:$CY$138,$CY157)</f>
        <v>0</v>
      </c>
      <c r="DF157" s="88">
        <f t="shared" si="1297"/>
        <v>11</v>
      </c>
      <c r="DG157" s="26">
        <f>INDEX($CY$6:$DU$138,91,9)</f>
        <v>29</v>
      </c>
      <c r="DH157" s="47">
        <f t="shared" si="1206"/>
        <v>0.16</v>
      </c>
      <c r="DI157" s="23">
        <f t="shared" ref="DI157:DI163" si="1313">AVERAGEIFS($DI$6:$DI$138,$CY$6:$CY$138,$CY157)</f>
        <v>1.0686818421288881E-2</v>
      </c>
      <c r="DJ157" s="47">
        <f t="shared" si="1207"/>
        <v>3.5200000000000009</v>
      </c>
      <c r="DK157" s="27">
        <f>INDEX($CY$6:$DU$138,91,13)</f>
        <v>0.19697072607484889</v>
      </c>
      <c r="DL157" s="23">
        <f t="shared" ref="DL157:DL163" si="1314">SUMIFS($DL$6:$DL$138,$CY$6:$CY$138,$CY157)</f>
        <v>6845</v>
      </c>
      <c r="DM157" s="14">
        <f t="shared" si="1209"/>
        <v>58</v>
      </c>
      <c r="DN157" s="23">
        <f>IFERROR(((DL157/7)/DA157)*1000,0)</f>
        <v>66.48471191576985</v>
      </c>
      <c r="DO157" s="27">
        <f>INDEX($CY$6:$DU$138,91,17)</f>
        <v>465.5854872117859</v>
      </c>
      <c r="DP157" s="14">
        <f t="shared" si="1162"/>
        <v>950</v>
      </c>
      <c r="DQ157" s="351">
        <f>INDEX($CY$6:$DU$138,91,19)</f>
        <v>851</v>
      </c>
      <c r="DR157" s="416">
        <f t="shared" si="1210"/>
        <v>99</v>
      </c>
      <c r="DS157" s="14">
        <f t="shared" si="1211"/>
        <v>82</v>
      </c>
      <c r="DT157" s="29">
        <f>INDEX($CY$6:$DU$138,91,22)</f>
        <v>65</v>
      </c>
      <c r="DU157" s="417">
        <f t="shared" si="1212"/>
        <v>17</v>
      </c>
      <c r="DX157" s="25">
        <v>12</v>
      </c>
      <c r="DY157" s="25" t="str">
        <f t="shared" si="1283"/>
        <v>CASETA G3</v>
      </c>
      <c r="DZ157" s="26">
        <f>INDEX($DX$6:$ET$138,86,3)</f>
        <v>14534</v>
      </c>
      <c r="EA157" s="26">
        <f>INDEX($DX$6:$ET$138,91,4)</f>
        <v>14518</v>
      </c>
      <c r="EB157" s="23">
        <f t="shared" ref="EB157:EB163" si="1315">SUMIFS($EB$6:$EB$138,$DX$6:$DX$138,$DX157)</f>
        <v>0</v>
      </c>
      <c r="EC157" s="23">
        <f t="shared" ref="EC157:EC163" si="1316">SUMIFS($EC$6:$EC$138,$DX$6:$DX$138,$DX157)</f>
        <v>19</v>
      </c>
      <c r="ED157" s="23">
        <f t="shared" ref="ED157:ED163" si="1317">SUMIFS($ED$6:$ED$138,$DX$6:$DX$138,$DX157)</f>
        <v>0</v>
      </c>
      <c r="EE157" s="88">
        <f>SUM(EB157:ED157)</f>
        <v>19</v>
      </c>
      <c r="EF157" s="26">
        <f>INDEX($DX$6:$ET$138,91,9)</f>
        <v>29</v>
      </c>
      <c r="EG157" s="47">
        <f t="shared" si="1217"/>
        <v>0.16</v>
      </c>
      <c r="EH157" s="23">
        <f t="shared" ref="EH157:EH163" si="1318">AVERAGEIFS($EH$6:$EH$138,$DX$6:$DX$138,$DX157)</f>
        <v>1.8681850613737599E-2</v>
      </c>
      <c r="EI157" s="47">
        <f t="shared" si="1218"/>
        <v>3.5200000000000009</v>
      </c>
      <c r="EJ157" s="27">
        <f>INDEX($DX$6:$ET$138,91,13)</f>
        <v>0.19944979367262725</v>
      </c>
      <c r="EK157" s="23">
        <f t="shared" ref="EK157:EK163" si="1319">SUMIFS($EK$6:$EK$138,$DX$6:$DX$138,$DX157)</f>
        <v>7030</v>
      </c>
      <c r="EL157" s="14">
        <f t="shared" si="1220"/>
        <v>58</v>
      </c>
      <c r="EM157" s="23">
        <f>IFERROR(((EK157/7)/DZ157)*1000,0)</f>
        <v>69.099058365605771</v>
      </c>
      <c r="EN157" s="27">
        <f>INDEX($DX$6:$ET$138,91,17)</f>
        <v>483.97734949430406</v>
      </c>
      <c r="EO157" s="14">
        <f t="shared" si="1163"/>
        <v>950</v>
      </c>
      <c r="EP157" s="351">
        <f>INDEX($DX$6:$ET$138,91,19)</f>
        <v>851</v>
      </c>
      <c r="EQ157" s="416">
        <f t="shared" si="1299"/>
        <v>99</v>
      </c>
      <c r="ER157" s="14">
        <f t="shared" si="1222"/>
        <v>82</v>
      </c>
      <c r="ES157" s="29">
        <f>INDEX($DX$6:$ET$138,91,22)</f>
        <v>65</v>
      </c>
      <c r="ET157" s="417">
        <f t="shared" si="1300"/>
        <v>17</v>
      </c>
      <c r="EW157" s="25">
        <v>12</v>
      </c>
      <c r="EX157" s="25" t="str">
        <f t="shared" si="1284"/>
        <v>CASETA G4</v>
      </c>
      <c r="EY157" s="26">
        <f>INDEX($EW$6:$FS$138,86,3)</f>
        <v>14234</v>
      </c>
      <c r="EZ157" s="26">
        <f>INDEX($EW$6:$FS$138,91,4)</f>
        <v>14224</v>
      </c>
      <c r="FA157" s="23">
        <f>SUMIFS($FA$6:$FA$138,$EW$6:$EW$138,$EW157)</f>
        <v>0</v>
      </c>
      <c r="FB157" s="23">
        <f t="shared" ref="FB157:FB163" si="1320">SUMIFS($FB$6:$FB$138,$EW$6:$EW$138,$EW157)</f>
        <v>11</v>
      </c>
      <c r="FC157" s="23">
        <f t="shared" ref="FC157:FC163" si="1321">SUMIFS($FC$6:$FC$138,$EW$6:$EW$138,$EW157)</f>
        <v>0</v>
      </c>
      <c r="FD157" s="88">
        <f>SUM(FA157:FC157)</f>
        <v>11</v>
      </c>
      <c r="FE157" s="26">
        <f>INDEX($EW$6:$FS$138,91,9)</f>
        <v>14</v>
      </c>
      <c r="FF157" s="47">
        <f t="shared" si="1228"/>
        <v>0.16</v>
      </c>
      <c r="FG157" s="23">
        <f t="shared" ref="FG157:FG163" si="1322">AVERAGEIFS($FG$6:$FG$138,$EW$6:$EW$138,$EW157)</f>
        <v>1.1042715729638544E-2</v>
      </c>
      <c r="FH157" s="47">
        <f t="shared" si="1229"/>
        <v>3.5200000000000009</v>
      </c>
      <c r="FI157" s="27">
        <f>INDEX($EW$6:$FS$138,91,13)</f>
        <v>9.8349139445029862E-2</v>
      </c>
      <c r="FJ157" s="23">
        <f t="shared" ref="FJ157:FJ163" si="1323">SUMIFS($FJ$6:$FJ$138,$EW$6:$EW$138,$EW157)</f>
        <v>5920</v>
      </c>
      <c r="FK157" s="14">
        <f t="shared" si="1231"/>
        <v>58</v>
      </c>
      <c r="FL157" s="23">
        <f>IFERROR(((FJ157/7)/EY157)*1000,0)</f>
        <v>59.415082599008407</v>
      </c>
      <c r="FM157" s="27">
        <f>INDEX($EW$6:$FS$138,91,17)</f>
        <v>416.07549738041178</v>
      </c>
      <c r="FN157" s="14">
        <f t="shared" si="1232"/>
        <v>950</v>
      </c>
      <c r="FO157" s="351">
        <f>INDEX($EW$6:$FS$138,91,19)</f>
        <v>851</v>
      </c>
      <c r="FP157" s="416">
        <f t="shared" si="1302"/>
        <v>99</v>
      </c>
      <c r="FQ157" s="14">
        <f t="shared" si="1233"/>
        <v>82</v>
      </c>
      <c r="FR157" s="29">
        <f>INDEX($EW$6:$FS$138,91,22)</f>
        <v>65</v>
      </c>
      <c r="FS157" s="417">
        <f t="shared" si="1303"/>
        <v>17</v>
      </c>
      <c r="FV157" s="25">
        <v>12</v>
      </c>
      <c r="FW157" s="25" t="str">
        <f t="shared" si="1285"/>
        <v>CASETA G5</v>
      </c>
      <c r="FX157" s="26">
        <f>INDEX($FV$6:$GR$138,85,3)</f>
        <v>14189</v>
      </c>
      <c r="FY157" s="26">
        <f>INDEX($FV$6:$GR$138,91,4)</f>
        <v>14177</v>
      </c>
      <c r="FZ157" s="23">
        <f t="shared" ref="FZ157:FZ163" si="1324">SUMIFS($FZ$6:$FZ$138,$FV$6:$FV$138,$FV157)</f>
        <v>0</v>
      </c>
      <c r="GA157" s="23">
        <f t="shared" ref="GA157:GA163" si="1325">SUMIFS($GA$6:$GA$138,$FV$6:$FV$138,$FV157)</f>
        <v>12</v>
      </c>
      <c r="GB157" s="23">
        <f t="shared" ref="GB157:GB163" si="1326">SUMIFS($GB$6:$GB$138,$FV$6:$FV$138,$FV157)</f>
        <v>0</v>
      </c>
      <c r="GC157" s="88">
        <f>SUM(FZ157:GB157)</f>
        <v>12</v>
      </c>
      <c r="GD157" s="26">
        <f>INDEX($FV$6:$GR$138,91,9)</f>
        <v>14</v>
      </c>
      <c r="GE157" s="47">
        <f t="shared" si="1239"/>
        <v>0.16</v>
      </c>
      <c r="GF157" s="23">
        <f>AVERAGEIFS($GF$6:$GF$138,$FV$6:$FV$138,$EW157)</f>
        <v>1.2086053325971758E-2</v>
      </c>
      <c r="GG157" s="47">
        <f t="shared" si="1240"/>
        <v>3.5200000000000009</v>
      </c>
      <c r="GH157" s="27">
        <f>INDEX($FV$6:$GR$138,91,13)</f>
        <v>9.8667982239763197E-2</v>
      </c>
      <c r="GI157" s="23">
        <f>SUMIFS($GI$6:$GI$138,$FV$6:$FV$138,$FV157)</f>
        <v>4810</v>
      </c>
      <c r="GJ157" s="14">
        <f t="shared" si="1242"/>
        <v>58</v>
      </c>
      <c r="GK157" s="23">
        <f>IFERROR(((GI157/7)/FX157)*1000,0)</f>
        <v>48.427856589108259</v>
      </c>
      <c r="GL157" s="27">
        <f>INDEX($FV$6:$GR$138,91,17)</f>
        <v>339.14852930209503</v>
      </c>
      <c r="GM157" s="14">
        <f t="shared" si="1243"/>
        <v>950</v>
      </c>
      <c r="GN157" s="351">
        <f>INDEX($FV$6:$GR$138,91,19)</f>
        <v>851</v>
      </c>
      <c r="GO157" s="416">
        <f t="shared" si="1305"/>
        <v>99</v>
      </c>
      <c r="GP157" s="14">
        <f t="shared" si="1244"/>
        <v>82</v>
      </c>
      <c r="GQ157" s="29">
        <f>INDEX($FV$6:$GR$138,91,22)</f>
        <v>65</v>
      </c>
      <c r="GR157" s="417">
        <f t="shared" si="1306"/>
        <v>17</v>
      </c>
      <c r="GU157" s="25">
        <v>12</v>
      </c>
      <c r="GV157" s="25" t="str">
        <f t="shared" si="1286"/>
        <v>CASETA G6</v>
      </c>
      <c r="GW157" s="26">
        <f>INDEX($GU$6:$HQ$138,85,3)</f>
        <v>9182</v>
      </c>
      <c r="GX157" s="26">
        <f>INDEX($GU$6:$HQ$138,91,4)</f>
        <v>9170</v>
      </c>
      <c r="GY157" s="23">
        <f>SUMIFS($GY$6:$GY$138,$GU$6:$GU$138,$GU157)</f>
        <v>0</v>
      </c>
      <c r="GZ157" s="23">
        <f>SUMIFS($GZ$6:$GZ$138,$GU$6:$GU$138,$GU157)</f>
        <v>12</v>
      </c>
      <c r="HA157" s="23">
        <f>SUMIFS($HA$6:$HA$138,$GU$6:$GU$138,$GU157)</f>
        <v>0</v>
      </c>
      <c r="HB157" s="88">
        <f t="shared" si="1307"/>
        <v>12</v>
      </c>
      <c r="HC157" s="26">
        <f>INDEX($GU$6:$HQ$138,91,9)</f>
        <v>12</v>
      </c>
      <c r="HD157" s="47">
        <f t="shared" si="1308"/>
        <v>0.16</v>
      </c>
      <c r="HE157" s="23">
        <f>AVERAGEIFS($HE$6:$HE$138,$GU$6:$GU$138,$GU157)</f>
        <v>1.8679394659248054E-2</v>
      </c>
      <c r="HF157" s="47">
        <f>VLOOKUP($BZ157,LOHMANN,5,FALSE)</f>
        <v>3.5200000000000009</v>
      </c>
      <c r="HG157" s="27">
        <f>INDEX($GU$6:$HQ$138,91,13)</f>
        <v>0.13069048137660641</v>
      </c>
      <c r="HH157" s="23">
        <f>SUMIFS($HH$6:$HH$138,$GU$6:$GU$138,$GU157)</f>
        <v>3700</v>
      </c>
      <c r="HI157" s="14">
        <f t="shared" si="1253"/>
        <v>58</v>
      </c>
      <c r="HJ157" s="23">
        <f>IFERROR(((HH157/7)/GW157)*1000,0)</f>
        <v>57.566045368267105</v>
      </c>
      <c r="HK157" s="27">
        <f>INDEX($GU$6:$HQ$138,91,17)</f>
        <v>403.2412266873539</v>
      </c>
      <c r="HL157" s="14">
        <f t="shared" si="1254"/>
        <v>950</v>
      </c>
      <c r="HM157" s="351">
        <f>INDEX($GU$6:$HQ$138,91,19)</f>
        <v>851</v>
      </c>
      <c r="HN157" s="416">
        <f t="shared" si="1310"/>
        <v>99</v>
      </c>
      <c r="HO157" s="14">
        <f t="shared" si="1255"/>
        <v>82</v>
      </c>
      <c r="HP157" s="29">
        <f>INDEX($GU$6:$HQ$138,91,22)</f>
        <v>65</v>
      </c>
      <c r="HQ157" s="417">
        <f t="shared" si="1311"/>
        <v>17</v>
      </c>
    </row>
    <row r="158" spans="3:225" x14ac:dyDescent="0.25">
      <c r="C158" s="25">
        <v>13</v>
      </c>
      <c r="D158" s="23" t="str">
        <f t="shared" si="1257"/>
        <v>CASETA 1</v>
      </c>
      <c r="E158" s="26">
        <f>INDEX($C$6:$Y$138,92,3)</f>
        <v>68602</v>
      </c>
      <c r="F158" s="26">
        <f>INDEX($C$6:$Y$138,98,4)</f>
        <v>68577</v>
      </c>
      <c r="G158" s="23">
        <f t="shared" si="1258"/>
        <v>0</v>
      </c>
      <c r="H158" s="23">
        <f t="shared" si="1259"/>
        <v>25</v>
      </c>
      <c r="I158" s="23">
        <f t="shared" si="1260"/>
        <v>0</v>
      </c>
      <c r="J158" s="88">
        <f>SUM(G158:I158)</f>
        <v>25</v>
      </c>
      <c r="K158" s="26">
        <f>INDEX($C$6:$Y$138,98,9)</f>
        <v>5508</v>
      </c>
      <c r="L158" s="47">
        <f t="shared" si="1151"/>
        <v>0.16</v>
      </c>
      <c r="M158" s="28">
        <f t="shared" si="1262"/>
        <v>3.6442086236552873E-2</v>
      </c>
      <c r="N158" s="47">
        <f t="shared" si="1167"/>
        <v>3.680000000000001</v>
      </c>
      <c r="O158" s="47">
        <f t="shared" si="1263"/>
        <v>8.0289204396373286</v>
      </c>
      <c r="P158" s="464">
        <f t="shared" si="1264"/>
        <v>19929</v>
      </c>
      <c r="Q158" s="14">
        <f t="shared" si="1168"/>
        <v>61</v>
      </c>
      <c r="R158" s="23">
        <f t="shared" si="1265"/>
        <v>41.500247806186408</v>
      </c>
      <c r="S158" s="30">
        <f>INDEX($C$6:$Y$138,98,17)</f>
        <v>3026.5131136644368</v>
      </c>
      <c r="T158" s="14">
        <f t="shared" si="1169"/>
        <v>1010</v>
      </c>
      <c r="U158" s="349">
        <f>INDEX($C$6:$Y$138,98,19)</f>
        <v>973</v>
      </c>
      <c r="V158" s="415">
        <f t="shared" si="1152"/>
        <v>37</v>
      </c>
      <c r="W158" s="14">
        <f t="shared" si="1153"/>
        <v>82</v>
      </c>
      <c r="X158" s="75">
        <f>INDEX($C$6:$Y$138,98,22)</f>
        <v>74</v>
      </c>
      <c r="Y158" s="609">
        <f t="shared" si="1154"/>
        <v>8</v>
      </c>
      <c r="Z158" s="489"/>
      <c r="AA158" s="1"/>
      <c r="AB158" s="25">
        <v>13</v>
      </c>
      <c r="AC158" s="23" t="str">
        <f t="shared" si="1266"/>
        <v>CASETA 2</v>
      </c>
      <c r="AD158" s="26">
        <f>INDEX($AB$6:$AX$138,92,3)</f>
        <v>59379</v>
      </c>
      <c r="AE158" s="26">
        <f>INDEX($AB$6:$AX$138,98,4)</f>
        <v>59335</v>
      </c>
      <c r="AF158" s="23">
        <f t="shared" si="1170"/>
        <v>0</v>
      </c>
      <c r="AG158" s="23">
        <f t="shared" si="1171"/>
        <v>44</v>
      </c>
      <c r="AH158" s="23">
        <f t="shared" si="1172"/>
        <v>0</v>
      </c>
      <c r="AI158" s="88">
        <f t="shared" si="1173"/>
        <v>44</v>
      </c>
      <c r="AJ158" s="26">
        <f>INDEX($AB$6:$AX$138,98,9)</f>
        <v>6384</v>
      </c>
      <c r="AK158" s="47">
        <f t="shared" si="1174"/>
        <v>0.16</v>
      </c>
      <c r="AL158" s="28">
        <f t="shared" si="1175"/>
        <v>1.0589044452416893E-2</v>
      </c>
      <c r="AM158" s="47">
        <f t="shared" si="1176"/>
        <v>3.680000000000001</v>
      </c>
      <c r="AN158" s="47">
        <f t="shared" si="1177"/>
        <v>10.751275703531551</v>
      </c>
      <c r="AO158" s="464">
        <f t="shared" si="1178"/>
        <v>22932</v>
      </c>
      <c r="AP158" s="14">
        <f t="shared" si="1179"/>
        <v>61</v>
      </c>
      <c r="AQ158" s="23">
        <f t="shared" si="1180"/>
        <v>55.171020057596117</v>
      </c>
      <c r="AR158" s="30">
        <f>INDEX($AB$6:$AX$138,98,17)</f>
        <v>3193.8088287145811</v>
      </c>
      <c r="AS158" s="14">
        <f t="shared" si="1181"/>
        <v>1010</v>
      </c>
      <c r="AT158" s="349">
        <f>INDEX($AB$6:$AX$138,98,19)</f>
        <v>938</v>
      </c>
      <c r="AU158" s="415">
        <f t="shared" si="1182"/>
        <v>72</v>
      </c>
      <c r="AV158" s="14">
        <f t="shared" si="1183"/>
        <v>82</v>
      </c>
      <c r="AW158" s="75">
        <f>INDEX($AB$6:$AX$138,98,22)</f>
        <v>84</v>
      </c>
      <c r="AX158" s="609">
        <f t="shared" si="1155"/>
        <v>-2</v>
      </c>
      <c r="AZ158" s="1"/>
      <c r="BA158" s="25">
        <v>13</v>
      </c>
      <c r="BB158" s="25" t="str">
        <f t="shared" si="1280"/>
        <v>CASETA 3</v>
      </c>
      <c r="BC158" s="26">
        <f>INDEX($BA$6:$BW$138,92,3)</f>
        <v>65463</v>
      </c>
      <c r="BD158" s="26">
        <f>INDEX($BA$6:$BW$138,98,4)</f>
        <v>65428</v>
      </c>
      <c r="BE158" s="23">
        <f t="shared" si="1184"/>
        <v>0</v>
      </c>
      <c r="BF158" s="23">
        <f t="shared" si="1185"/>
        <v>35</v>
      </c>
      <c r="BG158" s="23">
        <f t="shared" si="1186"/>
        <v>0</v>
      </c>
      <c r="BH158" s="88">
        <f t="shared" si="1187"/>
        <v>35</v>
      </c>
      <c r="BI158" s="26">
        <f>INDEX($BA$6:$BW$138,98,9)</f>
        <v>1163</v>
      </c>
      <c r="BJ158" s="47">
        <f t="shared" si="1156"/>
        <v>0.16</v>
      </c>
      <c r="BK158" s="28">
        <f t="shared" si="1188"/>
        <v>7.6396230186866216E-3</v>
      </c>
      <c r="BL158" s="47">
        <f t="shared" si="1157"/>
        <v>3.680000000000001</v>
      </c>
      <c r="BM158" s="27">
        <f>INDEX($BA$6:$BW$138,98,13)</f>
        <v>1.6288515406162465</v>
      </c>
      <c r="BN158" s="23">
        <f t="shared" si="1189"/>
        <v>19929</v>
      </c>
      <c r="BO158" s="14">
        <f t="shared" si="1158"/>
        <v>61</v>
      </c>
      <c r="BP158" s="23">
        <f t="shared" si="1190"/>
        <v>43.49021584711975</v>
      </c>
      <c r="BQ158" s="27">
        <f>INDEX($BA$6:$BW$138,98,17)</f>
        <v>3095.0293325150601</v>
      </c>
      <c r="BR158" s="14">
        <f t="shared" si="1159"/>
        <v>1010</v>
      </c>
      <c r="BS158" s="350">
        <f>INDEX($BA$6:$BW$138,98,19)</f>
        <v>960</v>
      </c>
      <c r="BT158" s="26">
        <f t="shared" si="1267"/>
        <v>50</v>
      </c>
      <c r="BU158" s="14">
        <f t="shared" si="1160"/>
        <v>82</v>
      </c>
      <c r="BV158" s="26">
        <f>INDEX($BA$6:$BW$138,98,22)</f>
        <v>85</v>
      </c>
      <c r="BW158" s="26">
        <f t="shared" si="1287"/>
        <v>-3</v>
      </c>
      <c r="BY158" s="1"/>
      <c r="BZ158" s="25">
        <v>13</v>
      </c>
      <c r="CA158" s="25" t="str">
        <f t="shared" si="1281"/>
        <v>CASETA G1</v>
      </c>
      <c r="CB158" s="26">
        <f>INDEX($BZ$6:$CV$138,92,3)</f>
        <v>14628</v>
      </c>
      <c r="CC158" s="26">
        <f>INDEX($BZ$6:$CV$138,98,4)</f>
        <v>14607</v>
      </c>
      <c r="CD158" s="23">
        <f t="shared" si="1191"/>
        <v>0</v>
      </c>
      <c r="CE158" s="23">
        <f t="shared" si="1192"/>
        <v>21</v>
      </c>
      <c r="CF158" s="23">
        <f t="shared" si="1193"/>
        <v>0</v>
      </c>
      <c r="CG158" s="88">
        <f t="shared" si="1194"/>
        <v>21</v>
      </c>
      <c r="CH158" s="26">
        <f>INDEX($BZ$6:$CV$138,98,9)</f>
        <v>49</v>
      </c>
      <c r="CI158" s="47">
        <f t="shared" si="1195"/>
        <v>0.16</v>
      </c>
      <c r="CJ158" s="23">
        <f t="shared" si="1268"/>
        <v>2.052090886738735E-2</v>
      </c>
      <c r="CK158" s="47">
        <f t="shared" si="1196"/>
        <v>3.680000000000001</v>
      </c>
      <c r="CL158" s="27">
        <f>INDEX($BZ$6:$CV$138,98,13)</f>
        <v>0.33433406113537117</v>
      </c>
      <c r="CM158" s="23">
        <f t="shared" si="1197"/>
        <v>8510</v>
      </c>
      <c r="CN158" s="14">
        <f t="shared" si="1198"/>
        <v>61</v>
      </c>
      <c r="CO158" s="23">
        <f t="shared" si="1296"/>
        <v>83.108715184186892</v>
      </c>
      <c r="CP158" s="27">
        <f>INDEX($BZ$6:$CV$138,98,17)</f>
        <v>973.94781665200128</v>
      </c>
      <c r="CQ158" s="14">
        <f t="shared" si="1161"/>
        <v>1010</v>
      </c>
      <c r="CR158" s="351">
        <f>INDEX($BZ$6:$CV$138,98,19)</f>
        <v>949</v>
      </c>
      <c r="CS158" s="416">
        <f t="shared" si="1199"/>
        <v>61</v>
      </c>
      <c r="CT158" s="14">
        <f t="shared" si="1200"/>
        <v>82</v>
      </c>
      <c r="CU158" s="29">
        <f>INDEX($BZ$6:$CV$138,98,22)</f>
        <v>77</v>
      </c>
      <c r="CV158" s="417">
        <f t="shared" si="1201"/>
        <v>5</v>
      </c>
      <c r="CY158" s="25">
        <v>13</v>
      </c>
      <c r="CZ158" s="25" t="str">
        <f t="shared" si="1282"/>
        <v>CASETA G2</v>
      </c>
      <c r="DA158" s="26">
        <f>INDEX($CY$6:$DU$138,92,3)</f>
        <v>14698</v>
      </c>
      <c r="DB158" s="26">
        <f>INDEX($CY$6:$DU$138,98,4)</f>
        <v>14689</v>
      </c>
      <c r="DC158" s="23">
        <f t="shared" ref="DC158:DC163" si="1327">SUMIFS($DC$6:$DC$138,$CY$6:$CY$138,$CY158)</f>
        <v>0</v>
      </c>
      <c r="DD158" s="23">
        <f t="shared" ref="DD158:DD163" si="1328">SUMIFS($DD$6:$DD$138,$CY$6:$CY$138,$CY158)</f>
        <v>9</v>
      </c>
      <c r="DE158" s="23">
        <f t="shared" si="1312"/>
        <v>0</v>
      </c>
      <c r="DF158" s="88">
        <f t="shared" si="1297"/>
        <v>9</v>
      </c>
      <c r="DG158" s="26">
        <f>INDEX($CY$6:$DU$138,98,9)</f>
        <v>38</v>
      </c>
      <c r="DH158" s="47">
        <f t="shared" si="1206"/>
        <v>0.16</v>
      </c>
      <c r="DI158" s="23">
        <f t="shared" si="1313"/>
        <v>8.7497288845409821E-3</v>
      </c>
      <c r="DJ158" s="47">
        <f t="shared" si="1207"/>
        <v>3.680000000000001</v>
      </c>
      <c r="DK158" s="27">
        <f>INDEX($CY$6:$DU$138,98,13)</f>
        <v>0.25809957209807782</v>
      </c>
      <c r="DL158" s="23">
        <f t="shared" si="1314"/>
        <v>8140</v>
      </c>
      <c r="DM158" s="14">
        <f t="shared" si="1209"/>
        <v>61</v>
      </c>
      <c r="DN158" s="23">
        <f t="shared" ref="DN158:DN163" si="1329">IFERROR(((DL158/7)/DA158)*1000,0)</f>
        <v>79.116692261337789</v>
      </c>
      <c r="DO158" s="27">
        <f>INDEX($CY$6:$DU$138,98,17)</f>
        <v>1019.5813857846216</v>
      </c>
      <c r="DP158" s="14">
        <f t="shared" si="1162"/>
        <v>1010</v>
      </c>
      <c r="DQ158" s="351">
        <f>INDEX($CY$6:$DU$138,98,19)</f>
        <v>946</v>
      </c>
      <c r="DR158" s="416">
        <f t="shared" si="1210"/>
        <v>64</v>
      </c>
      <c r="DS158" s="14">
        <f t="shared" si="1211"/>
        <v>82</v>
      </c>
      <c r="DT158" s="29">
        <f>INDEX($CY$6:$DU$138,98,22)</f>
        <v>75</v>
      </c>
      <c r="DU158" s="417">
        <f t="shared" si="1212"/>
        <v>7</v>
      </c>
      <c r="DX158" s="25">
        <v>13</v>
      </c>
      <c r="DY158" s="25" t="str">
        <f t="shared" si="1283"/>
        <v>CASETA G3</v>
      </c>
      <c r="DZ158" s="26">
        <f>INDEX($DX$6:$ET$138,92,3)</f>
        <v>14518</v>
      </c>
      <c r="EA158" s="26">
        <f>INDEX($DX$6:$ET$138,98,4)</f>
        <v>14492</v>
      </c>
      <c r="EB158" s="23">
        <f t="shared" si="1315"/>
        <v>0</v>
      </c>
      <c r="EC158" s="23">
        <f t="shared" si="1316"/>
        <v>26</v>
      </c>
      <c r="ED158" s="23">
        <f t="shared" si="1317"/>
        <v>0</v>
      </c>
      <c r="EE158" s="88">
        <f>SUM(EB158:ED158)</f>
        <v>26</v>
      </c>
      <c r="EF158" s="26">
        <f>INDEX($DX$6:$ET$138,98,9)</f>
        <v>55</v>
      </c>
      <c r="EG158" s="47">
        <f t="shared" si="1217"/>
        <v>0.16</v>
      </c>
      <c r="EH158" s="23">
        <f t="shared" si="1318"/>
        <v>2.5602597032486598E-2</v>
      </c>
      <c r="EI158" s="47">
        <f t="shared" si="1218"/>
        <v>3.680000000000001</v>
      </c>
      <c r="EJ158" s="27">
        <f>INDEX($DX$6:$ET$138,98,13)</f>
        <v>0.37826685006877581</v>
      </c>
      <c r="EK158" s="23">
        <f t="shared" si="1319"/>
        <v>10545</v>
      </c>
      <c r="EL158" s="14">
        <f t="shared" si="1220"/>
        <v>61</v>
      </c>
      <c r="EM158" s="23">
        <f t="shared" si="1298"/>
        <v>103.76281660205065</v>
      </c>
      <c r="EN158" s="27">
        <f>INDEX($DX$6:$ET$138,98,17)</f>
        <v>1211.0253570882844</v>
      </c>
      <c r="EO158" s="14">
        <f t="shared" si="1163"/>
        <v>1010</v>
      </c>
      <c r="EP158" s="351">
        <f>INDEX($DX$6:$ET$138,98,19)</f>
        <v>946</v>
      </c>
      <c r="EQ158" s="416">
        <f t="shared" si="1299"/>
        <v>64</v>
      </c>
      <c r="ER158" s="14">
        <f t="shared" si="1222"/>
        <v>82</v>
      </c>
      <c r="ES158" s="29">
        <f>INDEX($DX$6:$ET$138,98,22)</f>
        <v>75</v>
      </c>
      <c r="ET158" s="417">
        <f t="shared" si="1300"/>
        <v>7</v>
      </c>
      <c r="EW158" s="25">
        <v>13</v>
      </c>
      <c r="EX158" s="25" t="str">
        <f t="shared" si="1284"/>
        <v>CASETA G4</v>
      </c>
      <c r="EY158" s="26">
        <f>INDEX($EW$6:$FS$138,92,3)</f>
        <v>14224</v>
      </c>
      <c r="EZ158" s="26">
        <f>INDEX($EW$6:$FS$138,98,4)</f>
        <v>14191</v>
      </c>
      <c r="FA158" s="23">
        <f t="shared" ref="FA158:FA163" si="1330">SUMIFS($FA$6:$FA$138,$EW$6:$EW$138,$EW158)</f>
        <v>0</v>
      </c>
      <c r="FB158" s="23">
        <f t="shared" si="1320"/>
        <v>33</v>
      </c>
      <c r="FC158" s="23">
        <f t="shared" si="1321"/>
        <v>0</v>
      </c>
      <c r="FD158" s="88">
        <f>SUM(FA158:FC158)</f>
        <v>33</v>
      </c>
      <c r="FE158" s="26">
        <f>INDEX($EW$6:$FS$138,98,9)</f>
        <v>47</v>
      </c>
      <c r="FF158" s="47">
        <f t="shared" si="1228"/>
        <v>0.16</v>
      </c>
      <c r="FG158" s="23">
        <f t="shared" si="1322"/>
        <v>3.3174082262555145E-2</v>
      </c>
      <c r="FH158" s="47">
        <f t="shared" si="1229"/>
        <v>3.680000000000001</v>
      </c>
      <c r="FI158" s="27">
        <f>INDEX($EW$6:$FS$138,98,13)</f>
        <v>0.33017211099402882</v>
      </c>
      <c r="FJ158" s="23">
        <f t="shared" si="1323"/>
        <v>10915</v>
      </c>
      <c r="FK158" s="14">
        <f t="shared" si="1231"/>
        <v>61</v>
      </c>
      <c r="FL158" s="23">
        <f t="shared" si="1301"/>
        <v>109.62357383898441</v>
      </c>
      <c r="FM158" s="27">
        <f>INDEX($EW$6:$FS$138,98,17)</f>
        <v>1184.5314695610687</v>
      </c>
      <c r="FN158" s="14">
        <f t="shared" si="1232"/>
        <v>1010</v>
      </c>
      <c r="FO158" s="351">
        <f>INDEX($EW$6:$FS$138,98,19)</f>
        <v>946</v>
      </c>
      <c r="FP158" s="416">
        <f t="shared" si="1302"/>
        <v>64</v>
      </c>
      <c r="FQ158" s="14">
        <f t="shared" si="1233"/>
        <v>82</v>
      </c>
      <c r="FR158" s="29">
        <f>INDEX($EW$6:$FS$138,98,22)</f>
        <v>75</v>
      </c>
      <c r="FS158" s="417">
        <f t="shared" si="1303"/>
        <v>7</v>
      </c>
      <c r="FV158" s="25">
        <v>13</v>
      </c>
      <c r="FW158" s="25" t="str">
        <f t="shared" si="1285"/>
        <v>CASETA G5</v>
      </c>
      <c r="FX158" s="26">
        <f>INDEX($FV$6:$GR$138,92,3)</f>
        <v>14177</v>
      </c>
      <c r="FY158" s="26">
        <f>INDEX($FV$6:$GR$138,98,4)</f>
        <v>14162</v>
      </c>
      <c r="FZ158" s="23">
        <f t="shared" si="1324"/>
        <v>0</v>
      </c>
      <c r="GA158" s="23">
        <f t="shared" si="1325"/>
        <v>15</v>
      </c>
      <c r="GB158" s="23">
        <f t="shared" si="1326"/>
        <v>0</v>
      </c>
      <c r="GC158" s="88">
        <f>SUM(FZ158:GB158)</f>
        <v>15</v>
      </c>
      <c r="GD158" s="26">
        <f>INDEX($FV$6:$GR$138,98,9)</f>
        <v>29</v>
      </c>
      <c r="GE158" s="47">
        <f t="shared" si="1239"/>
        <v>0.16</v>
      </c>
      <c r="GF158" s="23">
        <f t="shared" ref="GF158:GF163" si="1331">AVERAGEIFS($GF$6:$GF$138,$FV$6:$FV$138,$EW158)</f>
        <v>1.5121639656530602E-2</v>
      </c>
      <c r="GG158" s="47">
        <f t="shared" si="1240"/>
        <v>3.680000000000001</v>
      </c>
      <c r="GH158" s="27">
        <f>INDEX($FV$6:$GR$138,98,13)</f>
        <v>0.20438367749665234</v>
      </c>
      <c r="GI158" s="23">
        <f t="shared" ref="GI158:GI163" si="1332">SUMIFS($GI$6:$GI$138,$FV$6:$FV$138,$FV158)</f>
        <v>10360</v>
      </c>
      <c r="GJ158" s="14">
        <f t="shared" si="1242"/>
        <v>61</v>
      </c>
      <c r="GK158" s="23">
        <f t="shared" si="1304"/>
        <v>104.39444170134725</v>
      </c>
      <c r="GL158" s="27">
        <f>INDEX($FV$6:$GR$138,98,17)</f>
        <v>1070.1932818816697</v>
      </c>
      <c r="GM158" s="14">
        <f t="shared" si="1243"/>
        <v>1010</v>
      </c>
      <c r="GN158" s="351">
        <f>INDEX($FV$6:$GR$138,98,19)</f>
        <v>946</v>
      </c>
      <c r="GO158" s="416">
        <f t="shared" si="1305"/>
        <v>64</v>
      </c>
      <c r="GP158" s="14">
        <f t="shared" si="1244"/>
        <v>82</v>
      </c>
      <c r="GQ158" s="29">
        <f>INDEX($FV$6:$GR$138,98,22)</f>
        <v>75</v>
      </c>
      <c r="GR158" s="417">
        <f t="shared" si="1306"/>
        <v>7</v>
      </c>
      <c r="GU158" s="25">
        <v>13</v>
      </c>
      <c r="GV158" s="25" t="str">
        <f t="shared" si="1286"/>
        <v>CASETA G6</v>
      </c>
      <c r="GW158" s="26">
        <f>INDEX($GU$6:$HQ$138,92,3)</f>
        <v>9170</v>
      </c>
      <c r="GX158" s="26">
        <f>INDEX($GU$6:$HQ$138,98,4)</f>
        <v>9160</v>
      </c>
      <c r="GY158" s="23">
        <f t="shared" ref="GY158:GY163" si="1333">SUMIFS($GY$6:$GY$138,$GU$6:$GU$138,$GU158)</f>
        <v>0</v>
      </c>
      <c r="GZ158" s="23">
        <f t="shared" ref="GZ158:GZ163" si="1334">SUMIFS($GZ$6:$GZ$138,$GU$6:$GU$138,$GU158)</f>
        <v>10</v>
      </c>
      <c r="HA158" s="23">
        <f t="shared" ref="HA158:HA163" si="1335">SUMIFS($HA$6:$HA$138,$GU$6:$GU$138,$GU158)</f>
        <v>0</v>
      </c>
      <c r="HB158" s="88">
        <f t="shared" si="1307"/>
        <v>10</v>
      </c>
      <c r="HC158" s="26">
        <f>INDEX($GU$6:$HQ$138,98,9)</f>
        <v>22</v>
      </c>
      <c r="HD158" s="47">
        <f t="shared" si="1308"/>
        <v>0.16</v>
      </c>
      <c r="HE158" s="23">
        <f>AVERAGEIFS($HE$6:$HE$138,$GU$6:$GU$138,$GU158)</f>
        <v>1.5585550451677038E-2</v>
      </c>
      <c r="HF158" s="47">
        <f t="shared" si="1251"/>
        <v>3.680000000000001</v>
      </c>
      <c r="HG158" s="27">
        <f>INDEX($GU$6:$HQ$138,98,13)</f>
        <v>0.23959921585711175</v>
      </c>
      <c r="HH158" s="23">
        <f t="shared" ref="HH158:HH163" si="1336">SUMIFS($HH$6:$HH$138,$GU$6:$GU$138,$GU158)</f>
        <v>5920</v>
      </c>
      <c r="HI158" s="14">
        <f t="shared" si="1253"/>
        <v>61</v>
      </c>
      <c r="HJ158" s="23">
        <f t="shared" si="1309"/>
        <v>92.226203458482615</v>
      </c>
      <c r="HK158" s="27">
        <f>INDEX($GU$6:$HQ$138,98,17)</f>
        <v>1049.126267709976</v>
      </c>
      <c r="HL158" s="14">
        <f t="shared" si="1254"/>
        <v>1010</v>
      </c>
      <c r="HM158" s="351">
        <f>INDEX($GU$6:$HQ$138,98,19)</f>
        <v>946</v>
      </c>
      <c r="HN158" s="416">
        <f t="shared" si="1310"/>
        <v>64</v>
      </c>
      <c r="HO158" s="14">
        <f t="shared" si="1255"/>
        <v>82</v>
      </c>
      <c r="HP158" s="29">
        <f>INDEX($GU$6:$HQ$138,98,22)</f>
        <v>75</v>
      </c>
      <c r="HQ158" s="417">
        <f t="shared" si="1311"/>
        <v>7</v>
      </c>
    </row>
    <row r="159" spans="3:225" x14ac:dyDescent="0.25">
      <c r="C159" s="25">
        <v>14</v>
      </c>
      <c r="D159" s="23" t="str">
        <f t="shared" si="1257"/>
        <v>CASETA 1</v>
      </c>
      <c r="E159" s="26">
        <f>INDEX($C$6:$Y$138,99,3)</f>
        <v>68577</v>
      </c>
      <c r="F159" s="26">
        <f>INDEX($C$6:$Y$138,105,4)</f>
        <v>68548</v>
      </c>
      <c r="G159" s="23">
        <f t="shared" si="1258"/>
        <v>0</v>
      </c>
      <c r="H159" s="23">
        <f t="shared" si="1259"/>
        <v>29</v>
      </c>
      <c r="I159" s="23">
        <f t="shared" si="1260"/>
        <v>0</v>
      </c>
      <c r="J159" s="88">
        <f t="shared" si="1261"/>
        <v>29</v>
      </c>
      <c r="K159" s="26">
        <f>INDEX($C$6:$Y$138,105,9)</f>
        <v>5537</v>
      </c>
      <c r="L159" s="47">
        <f t="shared" si="1151"/>
        <v>0.16</v>
      </c>
      <c r="M159" s="28">
        <f t="shared" si="1262"/>
        <v>4.2288230747918397E-2</v>
      </c>
      <c r="N159" s="47">
        <f t="shared" si="1167"/>
        <v>3.8400000000000012</v>
      </c>
      <c r="O159" s="47">
        <f t="shared" si="1263"/>
        <v>8.0741356431456612</v>
      </c>
      <c r="P159" s="464">
        <f t="shared" si="1264"/>
        <v>25662</v>
      </c>
      <c r="Q159" s="14">
        <f t="shared" si="1168"/>
        <v>64</v>
      </c>
      <c r="R159" s="23">
        <f t="shared" si="1265"/>
        <v>53.45815652478236</v>
      </c>
      <c r="S159" s="30">
        <f>INDEX($C$6:$Y$138,105,17)</f>
        <v>3400.7876809350009</v>
      </c>
      <c r="T159" s="14">
        <f t="shared" si="1169"/>
        <v>1065</v>
      </c>
      <c r="U159" s="349">
        <f>INDEX($C$6:$Y$138,105,19)</f>
        <v>1009</v>
      </c>
      <c r="V159" s="415">
        <f t="shared" si="1152"/>
        <v>56</v>
      </c>
      <c r="W159" s="14">
        <f t="shared" si="1153"/>
        <v>84</v>
      </c>
      <c r="X159" s="75">
        <f>INDEX($C$6:$Y$138,105,22)</f>
        <v>73</v>
      </c>
      <c r="Y159" s="609">
        <f t="shared" si="1154"/>
        <v>11</v>
      </c>
      <c r="Z159" s="489"/>
      <c r="AA159" s="1"/>
      <c r="AB159" s="25">
        <v>14</v>
      </c>
      <c r="AC159" s="23" t="str">
        <f t="shared" si="1266"/>
        <v>CASETA 2</v>
      </c>
      <c r="AD159" s="26">
        <f>INDEX($AB$6:$AX$138,99,3)</f>
        <v>59335</v>
      </c>
      <c r="AE159" s="26">
        <f>INDEX($AB$6:$AX$138,105,4)</f>
        <v>59295</v>
      </c>
      <c r="AF159" s="23">
        <f t="shared" si="1170"/>
        <v>0</v>
      </c>
      <c r="AG159" s="23">
        <f t="shared" si="1171"/>
        <v>40</v>
      </c>
      <c r="AH159" s="23">
        <f t="shared" si="1172"/>
        <v>0</v>
      </c>
      <c r="AI159" s="88">
        <f t="shared" si="1173"/>
        <v>40</v>
      </c>
      <c r="AJ159" s="26">
        <f>INDEX($AB$6:$AX$138,105,9)</f>
        <v>6424</v>
      </c>
      <c r="AK159" s="47">
        <f t="shared" si="1174"/>
        <v>0.16</v>
      </c>
      <c r="AL159" s="28">
        <f t="shared" si="1175"/>
        <v>9.6332557680604818E-3</v>
      </c>
      <c r="AM159" s="47">
        <f t="shared" si="1176"/>
        <v>3.8400000000000012</v>
      </c>
      <c r="AN159" s="47">
        <f t="shared" si="1177"/>
        <v>10.826662172410888</v>
      </c>
      <c r="AO159" s="464">
        <f t="shared" si="1178"/>
        <v>20202</v>
      </c>
      <c r="AP159" s="14">
        <f t="shared" si="1179"/>
        <v>64</v>
      </c>
      <c r="AQ159" s="23">
        <f t="shared" si="1180"/>
        <v>48.639083171821014</v>
      </c>
      <c r="AR159" s="30">
        <f>INDEX($AB$6:$AX$138,105,17)</f>
        <v>3534.4061516957722</v>
      </c>
      <c r="AS159" s="14">
        <f t="shared" si="1181"/>
        <v>1065</v>
      </c>
      <c r="AT159" s="349">
        <f>INDEX($AB$6:$AX$138,105,19)</f>
        <v>1013</v>
      </c>
      <c r="AU159" s="415">
        <f t="shared" si="1182"/>
        <v>52</v>
      </c>
      <c r="AV159" s="14">
        <f t="shared" si="1183"/>
        <v>84</v>
      </c>
      <c r="AW159" s="75">
        <f>INDEX($AB$6:$AX$138,105,22)</f>
        <v>83</v>
      </c>
      <c r="AX159" s="609">
        <f t="shared" si="1155"/>
        <v>1</v>
      </c>
      <c r="AZ159" s="1"/>
      <c r="BA159" s="25">
        <v>14</v>
      </c>
      <c r="BB159" s="25" t="str">
        <f t="shared" si="1280"/>
        <v>CASETA 3</v>
      </c>
      <c r="BC159" s="26">
        <f>INDEX($BA$6:$BW$138,99,3)</f>
        <v>65428</v>
      </c>
      <c r="BD159" s="26">
        <f>INDEX($BA$6:$BW$138,105,4)</f>
        <v>65369</v>
      </c>
      <c r="BE159" s="23">
        <f t="shared" si="1184"/>
        <v>0</v>
      </c>
      <c r="BF159" s="23">
        <f t="shared" si="1185"/>
        <v>59</v>
      </c>
      <c r="BG159" s="23">
        <f t="shared" si="1186"/>
        <v>0</v>
      </c>
      <c r="BH159" s="88">
        <f t="shared" si="1187"/>
        <v>59</v>
      </c>
      <c r="BI159" s="26">
        <f>INDEX($BA$6:$BW$138,105,9)</f>
        <v>1222</v>
      </c>
      <c r="BJ159" s="47">
        <f t="shared" si="1156"/>
        <v>0.16</v>
      </c>
      <c r="BK159" s="28">
        <f t="shared" si="1188"/>
        <v>1.2887033320882176E-2</v>
      </c>
      <c r="BL159" s="47">
        <f t="shared" si="1157"/>
        <v>3.8400000000000012</v>
      </c>
      <c r="BM159" s="27">
        <f>INDEX($BA$6:$BW$138,105,13)</f>
        <v>1.7114845938375349</v>
      </c>
      <c r="BN159" s="23">
        <f t="shared" si="1189"/>
        <v>19128</v>
      </c>
      <c r="BO159" s="14">
        <f t="shared" si="1158"/>
        <v>64</v>
      </c>
      <c r="BP159" s="23">
        <f t="shared" si="1190"/>
        <v>41.76455689569341</v>
      </c>
      <c r="BQ159" s="27">
        <f>INDEX($BA$6:$BW$138,105,17)</f>
        <v>3387.4782852954181</v>
      </c>
      <c r="BR159" s="14">
        <f t="shared" si="1159"/>
        <v>1065</v>
      </c>
      <c r="BS159" s="350">
        <f>INDEX($BA$6:$BW$138,105,19)</f>
        <v>980</v>
      </c>
      <c r="BT159" s="26">
        <f t="shared" si="1267"/>
        <v>85</v>
      </c>
      <c r="BU159" s="14">
        <f t="shared" si="1160"/>
        <v>84</v>
      </c>
      <c r="BV159" s="26">
        <f>INDEX($BA$6:$BW$138,105,22)</f>
        <v>74</v>
      </c>
      <c r="BW159" s="26">
        <f t="shared" si="1287"/>
        <v>10</v>
      </c>
      <c r="BY159" s="1"/>
      <c r="BZ159" s="25">
        <v>14</v>
      </c>
      <c r="CA159" s="25" t="str">
        <f t="shared" si="1281"/>
        <v>CASETA G1</v>
      </c>
      <c r="CB159" s="26">
        <f>INDEX($BZ$6:$CV$138,99,3)</f>
        <v>14607</v>
      </c>
      <c r="CC159" s="26">
        <f>INDEX($BZ$6:$CV$138,105,4)</f>
        <v>14591</v>
      </c>
      <c r="CD159" s="23">
        <f t="shared" si="1191"/>
        <v>0</v>
      </c>
      <c r="CE159" s="23">
        <f t="shared" si="1192"/>
        <v>16</v>
      </c>
      <c r="CF159" s="23">
        <f t="shared" si="1193"/>
        <v>0</v>
      </c>
      <c r="CG159" s="88">
        <f t="shared" si="1194"/>
        <v>16</v>
      </c>
      <c r="CH159" s="26">
        <f>INDEX($BZ$6:$CV$138,105,9)</f>
        <v>65</v>
      </c>
      <c r="CI159" s="47">
        <f t="shared" si="1195"/>
        <v>0.16</v>
      </c>
      <c r="CJ159" s="23">
        <f t="shared" si="1268"/>
        <v>1.5655243770912562E-2</v>
      </c>
      <c r="CK159" s="47">
        <f t="shared" si="1196"/>
        <v>3.8400000000000012</v>
      </c>
      <c r="CL159" s="27">
        <f>INDEX($BZ$6:$CV$138,105,13)</f>
        <v>0.44350436681222705</v>
      </c>
      <c r="CM159" s="23">
        <f t="shared" si="1197"/>
        <v>9435</v>
      </c>
      <c r="CN159" s="14">
        <f t="shared" si="1198"/>
        <v>64</v>
      </c>
      <c r="CO159" s="23">
        <f t="shared" si="1296"/>
        <v>92.274741073262334</v>
      </c>
      <c r="CP159" s="27">
        <f>INDEX($BZ$6:$CV$138,105,17)</f>
        <v>1620.2033180191377</v>
      </c>
      <c r="CQ159" s="14">
        <f t="shared" si="1161"/>
        <v>1065</v>
      </c>
      <c r="CR159" s="351">
        <f>INDEX($BZ$6:$CV$138,105,19)</f>
        <v>1116</v>
      </c>
      <c r="CS159" s="416">
        <f t="shared" si="1199"/>
        <v>-51</v>
      </c>
      <c r="CT159" s="14">
        <f t="shared" si="1200"/>
        <v>84</v>
      </c>
      <c r="CU159" s="29">
        <f>INDEX($BZ$6:$CV$138,105,22)</f>
        <v>78</v>
      </c>
      <c r="CV159" s="417">
        <f t="shared" si="1201"/>
        <v>6</v>
      </c>
      <c r="CY159" s="25">
        <v>14</v>
      </c>
      <c r="CZ159" s="25" t="str">
        <f t="shared" si="1282"/>
        <v>CASETA G2</v>
      </c>
      <c r="DA159" s="26">
        <f>INDEX($CY$6:$DU$138,99,3)</f>
        <v>14689</v>
      </c>
      <c r="DB159" s="26">
        <f>INDEX($CY$6:$DU$138,105,4)</f>
        <v>14676</v>
      </c>
      <c r="DC159" s="23">
        <f t="shared" si="1327"/>
        <v>0</v>
      </c>
      <c r="DD159" s="23">
        <f t="shared" si="1328"/>
        <v>13</v>
      </c>
      <c r="DE159" s="23">
        <f t="shared" si="1312"/>
        <v>0</v>
      </c>
      <c r="DF159" s="88">
        <f t="shared" si="1297"/>
        <v>13</v>
      </c>
      <c r="DG159" s="26">
        <f>INDEX($CY$6:$DU$138,105,9)</f>
        <v>51</v>
      </c>
      <c r="DH159" s="47">
        <f t="shared" si="1206"/>
        <v>0.16</v>
      </c>
      <c r="DI159" s="23">
        <f t="shared" si="1313"/>
        <v>1.264772276136235E-2</v>
      </c>
      <c r="DJ159" s="47">
        <f t="shared" si="1207"/>
        <v>3.8400000000000012</v>
      </c>
      <c r="DK159" s="27">
        <f>INDEX($CY$6:$DU$138,105,13)</f>
        <v>0.34639679413163077</v>
      </c>
      <c r="DL159" s="23">
        <f t="shared" si="1314"/>
        <v>9250</v>
      </c>
      <c r="DM159" s="14">
        <f t="shared" si="1209"/>
        <v>64</v>
      </c>
      <c r="DN159" s="23">
        <f t="shared" si="1329"/>
        <v>89.960417416336796</v>
      </c>
      <c r="DO159" s="27">
        <f>INDEX($CY$6:$DU$138,105,17)</f>
        <v>1649.542787755988</v>
      </c>
      <c r="DP159" s="14">
        <f t="shared" si="1162"/>
        <v>1065</v>
      </c>
      <c r="DQ159" s="351">
        <f>INDEX($CY$6:$DU$138,105,19)</f>
        <v>1000</v>
      </c>
      <c r="DR159" s="416">
        <f t="shared" si="1210"/>
        <v>65</v>
      </c>
      <c r="DS159" s="14">
        <f t="shared" si="1211"/>
        <v>84</v>
      </c>
      <c r="DT159" s="29">
        <f>INDEX($CY$6:$DU$138,105,22)</f>
        <v>72</v>
      </c>
      <c r="DU159" s="417">
        <f t="shared" si="1212"/>
        <v>12</v>
      </c>
      <c r="DX159" s="25">
        <v>14</v>
      </c>
      <c r="DY159" s="25" t="str">
        <f t="shared" si="1283"/>
        <v>CASETA G3</v>
      </c>
      <c r="DZ159" s="26">
        <f>INDEX($DX$6:$ET$138,99,3)</f>
        <v>14492</v>
      </c>
      <c r="EA159" s="26">
        <f>INDEX($DX$6:$ET$138,105,4)</f>
        <v>14478</v>
      </c>
      <c r="EB159" s="23">
        <f t="shared" si="1315"/>
        <v>0</v>
      </c>
      <c r="EC159" s="23">
        <f t="shared" si="1316"/>
        <v>14</v>
      </c>
      <c r="ED159" s="23">
        <f t="shared" si="1317"/>
        <v>0</v>
      </c>
      <c r="EE159" s="88">
        <f t="shared" ref="EE159:EE161" si="1337">SUM(EB159:ED159)</f>
        <v>14</v>
      </c>
      <c r="EF159" s="26">
        <f>INDEX($DX$6:$ET$138,105,9)</f>
        <v>69</v>
      </c>
      <c r="EG159" s="47">
        <f t="shared" si="1217"/>
        <v>0.16</v>
      </c>
      <c r="EH159" s="23">
        <f t="shared" si="1318"/>
        <v>1.3805958461778579E-2</v>
      </c>
      <c r="EI159" s="47">
        <f t="shared" si="1218"/>
        <v>3.8400000000000012</v>
      </c>
      <c r="EJ159" s="27">
        <f>INDEX($DX$6:$ET$138,105,13)</f>
        <v>0.47455295735900965</v>
      </c>
      <c r="EK159" s="23">
        <f t="shared" si="1319"/>
        <v>8695</v>
      </c>
      <c r="EL159" s="14">
        <f t="shared" si="1220"/>
        <v>64</v>
      </c>
      <c r="EM159" s="23">
        <f t="shared" si="1298"/>
        <v>85.712314183194664</v>
      </c>
      <c r="EN159" s="27">
        <f>INDEX($DX$6:$ET$138,105,17)</f>
        <v>1811.327126499225</v>
      </c>
      <c r="EO159" s="14">
        <f t="shared" si="1163"/>
        <v>1065</v>
      </c>
      <c r="EP159" s="351">
        <f>INDEX($DX$6:$ET$138,105,19)</f>
        <v>1000</v>
      </c>
      <c r="EQ159" s="416">
        <f t="shared" si="1299"/>
        <v>65</v>
      </c>
      <c r="ER159" s="14">
        <f t="shared" si="1222"/>
        <v>84</v>
      </c>
      <c r="ES159" s="29">
        <f>INDEX($DX$6:$ET$138,105,22)</f>
        <v>72</v>
      </c>
      <c r="ET159" s="417">
        <f t="shared" si="1300"/>
        <v>12</v>
      </c>
      <c r="EW159" s="25">
        <v>14</v>
      </c>
      <c r="EX159" s="25" t="str">
        <f t="shared" si="1284"/>
        <v>CASETA G4</v>
      </c>
      <c r="EY159" s="26">
        <f>INDEX($EW$6:$FS$138,99,3)</f>
        <v>14191</v>
      </c>
      <c r="EZ159" s="26">
        <f>INDEX($EW$6:$FS$138,105,4)</f>
        <v>14177</v>
      </c>
      <c r="FA159" s="23">
        <f t="shared" si="1330"/>
        <v>0</v>
      </c>
      <c r="FB159" s="23">
        <f t="shared" si="1320"/>
        <v>14</v>
      </c>
      <c r="FC159" s="23">
        <f t="shared" si="1321"/>
        <v>0</v>
      </c>
      <c r="FD159" s="88">
        <f t="shared" ref="FD159:FD161" si="1338">SUM(FA159:FC159)</f>
        <v>14</v>
      </c>
      <c r="FE159" s="26">
        <f>INDEX($EW$6:$FS$138,105,9)</f>
        <v>61</v>
      </c>
      <c r="FF159" s="47">
        <f t="shared" si="1228"/>
        <v>0.16</v>
      </c>
      <c r="FG159" s="23">
        <f t="shared" si="1322"/>
        <v>1.4098833866145929E-2</v>
      </c>
      <c r="FH159" s="47">
        <f t="shared" si="1229"/>
        <v>3.8400000000000012</v>
      </c>
      <c r="FI159" s="27">
        <f>INDEX($EW$6:$FS$138,105,13)</f>
        <v>0.42852125043905864</v>
      </c>
      <c r="FJ159" s="23">
        <f t="shared" si="1323"/>
        <v>10730</v>
      </c>
      <c r="FK159" s="14">
        <f t="shared" si="1231"/>
        <v>64</v>
      </c>
      <c r="FL159" s="23">
        <f t="shared" si="1301"/>
        <v>108.01614705497448</v>
      </c>
      <c r="FM159" s="27">
        <f>INDEX($EW$6:$FS$138,105,17)</f>
        <v>1941.0995854015148</v>
      </c>
      <c r="FN159" s="14">
        <f t="shared" si="1232"/>
        <v>1065</v>
      </c>
      <c r="FO159" s="351">
        <f>INDEX($EW$6:$FS$138,105,19)</f>
        <v>1000</v>
      </c>
      <c r="FP159" s="416">
        <f t="shared" si="1302"/>
        <v>65</v>
      </c>
      <c r="FQ159" s="14">
        <f t="shared" si="1233"/>
        <v>84</v>
      </c>
      <c r="FR159" s="29">
        <f>INDEX($EW$6:$FS$138,105,22)</f>
        <v>72</v>
      </c>
      <c r="FS159" s="417">
        <f t="shared" si="1303"/>
        <v>12</v>
      </c>
      <c r="FV159" s="25">
        <v>14</v>
      </c>
      <c r="FW159" s="25" t="str">
        <f t="shared" si="1285"/>
        <v>CASETA G5</v>
      </c>
      <c r="FX159" s="26">
        <f>INDEX($FV$6:$GR$138,99,3)</f>
        <v>14162</v>
      </c>
      <c r="FY159" s="26">
        <f>INDEX($FV$6:$GR$138,105,4)</f>
        <v>14152</v>
      </c>
      <c r="FZ159" s="23">
        <f t="shared" si="1324"/>
        <v>0</v>
      </c>
      <c r="GA159" s="23">
        <f t="shared" si="1325"/>
        <v>10</v>
      </c>
      <c r="GB159" s="23">
        <f t="shared" si="1326"/>
        <v>0</v>
      </c>
      <c r="GC159" s="88">
        <f>SUM(FZ159:GB159)</f>
        <v>10</v>
      </c>
      <c r="GD159" s="26">
        <f>INDEX($FV$6:$GR$138,105,9)</f>
        <v>39</v>
      </c>
      <c r="GE159" s="47">
        <f t="shared" si="1239"/>
        <v>0.16</v>
      </c>
      <c r="GF159" s="23">
        <f t="shared" si="1331"/>
        <v>1.0090135584739063E-2</v>
      </c>
      <c r="GG159" s="47">
        <f t="shared" si="1240"/>
        <v>3.8400000000000012</v>
      </c>
      <c r="GH159" s="27">
        <f>INDEX($FV$6:$GR$138,105,13)</f>
        <v>0.27486080766791177</v>
      </c>
      <c r="GI159" s="23">
        <f t="shared" si="1332"/>
        <v>9250</v>
      </c>
      <c r="GJ159" s="14">
        <f t="shared" si="1242"/>
        <v>64</v>
      </c>
      <c r="GK159" s="23">
        <f t="shared" si="1304"/>
        <v>93.308047693021564</v>
      </c>
      <c r="GL159" s="27">
        <f>INDEX($FV$6:$GR$138,105,17)</f>
        <v>1723.5498525087528</v>
      </c>
      <c r="GM159" s="14">
        <f t="shared" si="1243"/>
        <v>1065</v>
      </c>
      <c r="GN159" s="351">
        <f>INDEX($FV$6:$GR$138,105,19)</f>
        <v>1000</v>
      </c>
      <c r="GO159" s="416">
        <f t="shared" si="1305"/>
        <v>65</v>
      </c>
      <c r="GP159" s="14">
        <f t="shared" si="1244"/>
        <v>84</v>
      </c>
      <c r="GQ159" s="29">
        <f>INDEX($FV$6:$GR$138,105,22)</f>
        <v>72</v>
      </c>
      <c r="GR159" s="417">
        <f t="shared" si="1306"/>
        <v>12</v>
      </c>
      <c r="GU159" s="25">
        <v>14</v>
      </c>
      <c r="GV159" s="25" t="str">
        <f t="shared" si="1286"/>
        <v>CASETA G6</v>
      </c>
      <c r="GW159" s="26">
        <f>INDEX($GU$6:$HQ$138,99,3)</f>
        <v>9160</v>
      </c>
      <c r="GX159" s="26">
        <f>INDEX($GU$6:$HQ$138,105,4)</f>
        <v>9154</v>
      </c>
      <c r="GY159" s="23">
        <f t="shared" si="1333"/>
        <v>0</v>
      </c>
      <c r="GZ159" s="23">
        <f t="shared" si="1334"/>
        <v>6</v>
      </c>
      <c r="HA159" s="23">
        <f t="shared" si="1335"/>
        <v>0</v>
      </c>
      <c r="HB159" s="88">
        <f t="shared" si="1307"/>
        <v>6</v>
      </c>
      <c r="HC159" s="26">
        <f>INDEX($GU$6:$HQ$138,105,9)</f>
        <v>28</v>
      </c>
      <c r="HD159" s="47">
        <f t="shared" si="1308"/>
        <v>0.16</v>
      </c>
      <c r="HE159" s="23">
        <f t="shared" ref="HE159:HE163" si="1339">AVERAGEIFS($HE$6:$HE$138,$GU$6:$GU$138,$GU159)</f>
        <v>9.3598394075974228E-3</v>
      </c>
      <c r="HF159" s="47">
        <f t="shared" si="1251"/>
        <v>3.8400000000000012</v>
      </c>
      <c r="HG159" s="27">
        <f>INDEX($GU$6:$HQ$138,105,13)</f>
        <v>0.30494445654541497</v>
      </c>
      <c r="HH159" s="23">
        <f t="shared" si="1336"/>
        <v>6660</v>
      </c>
      <c r="HI159" s="14">
        <f t="shared" si="1253"/>
        <v>64</v>
      </c>
      <c r="HJ159" s="23">
        <f t="shared" si="1309"/>
        <v>103.86774797255147</v>
      </c>
      <c r="HK159" s="27">
        <f>INDEX($GU$6:$HQ$138,105,17)</f>
        <v>1776.4431405717892</v>
      </c>
      <c r="HL159" s="14">
        <f t="shared" si="1254"/>
        <v>1065</v>
      </c>
      <c r="HM159" s="351">
        <f>INDEX($GU$6:$HQ$138,105,19)</f>
        <v>1000</v>
      </c>
      <c r="HN159" s="416">
        <f t="shared" si="1310"/>
        <v>65</v>
      </c>
      <c r="HO159" s="14">
        <f t="shared" si="1255"/>
        <v>84</v>
      </c>
      <c r="HP159" s="29">
        <f>INDEX($GU$6:$HQ$138,105,22)</f>
        <v>72</v>
      </c>
      <c r="HQ159" s="417">
        <f t="shared" si="1311"/>
        <v>12</v>
      </c>
    </row>
    <row r="160" spans="3:225" x14ac:dyDescent="0.25">
      <c r="C160" s="25">
        <v>15</v>
      </c>
      <c r="D160" s="23" t="str">
        <f t="shared" si="1257"/>
        <v>CASETA 1</v>
      </c>
      <c r="E160" s="26">
        <f>INDEX($C$6:$Y$138,106,3)</f>
        <v>68548</v>
      </c>
      <c r="F160" s="26">
        <f>INDEX($C$6:$Y$138,112,4)</f>
        <v>68543</v>
      </c>
      <c r="G160" s="23">
        <f t="shared" si="1258"/>
        <v>0</v>
      </c>
      <c r="H160" s="23">
        <f t="shared" si="1259"/>
        <v>5</v>
      </c>
      <c r="I160" s="23">
        <f t="shared" si="1260"/>
        <v>0</v>
      </c>
      <c r="J160" s="88">
        <f>SUM(G160:I160)</f>
        <v>5</v>
      </c>
      <c r="K160" s="26">
        <f>INDEX($C$6:$Y$138,112,9)</f>
        <v>5542</v>
      </c>
      <c r="L160" s="47">
        <f t="shared" si="1151"/>
        <v>0.16</v>
      </c>
      <c r="M160" s="28">
        <f t="shared" si="1262"/>
        <v>7.2941588376028476E-3</v>
      </c>
      <c r="N160" s="47">
        <f t="shared" si="1167"/>
        <v>4.0000000000000009</v>
      </c>
      <c r="O160" s="47">
        <f t="shared" si="1263"/>
        <v>8.0848456555989969</v>
      </c>
      <c r="P160" s="464">
        <f t="shared" si="1264"/>
        <v>8190</v>
      </c>
      <c r="Q160" s="14">
        <f t="shared" si="1168"/>
        <v>67</v>
      </c>
      <c r="R160" s="23">
        <f t="shared" si="1265"/>
        <v>17.068331679990663</v>
      </c>
      <c r="S160" s="30">
        <f>INDEX($C$6:$Y$138,112,17)</f>
        <v>3520.2686172807612</v>
      </c>
      <c r="T160" s="14">
        <f t="shared" si="1169"/>
        <v>1115</v>
      </c>
      <c r="U160" s="349">
        <f>INDEX($C$6:$Y$138,112,19)</f>
        <v>0</v>
      </c>
      <c r="V160" s="415">
        <f t="shared" si="1152"/>
        <v>1115</v>
      </c>
      <c r="W160" s="14">
        <f t="shared" si="1153"/>
        <v>86</v>
      </c>
      <c r="X160" s="75">
        <f>INDEX($C$6:$Y$138,112,22)</f>
        <v>0</v>
      </c>
      <c r="Y160" s="609">
        <f t="shared" si="1154"/>
        <v>86</v>
      </c>
      <c r="Z160" s="489"/>
      <c r="AA160" s="1"/>
      <c r="AB160" s="25">
        <v>15</v>
      </c>
      <c r="AC160" s="23" t="str">
        <f t="shared" si="1266"/>
        <v>CASETA 2</v>
      </c>
      <c r="AD160" s="26">
        <f>INDEX($AB$6:$AX$138,106,3)</f>
        <v>59295</v>
      </c>
      <c r="AE160" s="26">
        <f>INDEX($AB$6:$AX$138,112,4)</f>
        <v>59287</v>
      </c>
      <c r="AF160" s="23">
        <f t="shared" si="1170"/>
        <v>0</v>
      </c>
      <c r="AG160" s="23">
        <f t="shared" si="1171"/>
        <v>8</v>
      </c>
      <c r="AH160" s="23">
        <f t="shared" si="1172"/>
        <v>0</v>
      </c>
      <c r="AI160" s="88">
        <f t="shared" si="1173"/>
        <v>8</v>
      </c>
      <c r="AJ160" s="26">
        <f>INDEX($AB$6:$AX$138,112,9)</f>
        <v>6432</v>
      </c>
      <c r="AK160" s="47">
        <f t="shared" si="1174"/>
        <v>0.16</v>
      </c>
      <c r="AL160" s="28">
        <f t="shared" si="1175"/>
        <v>1.9274780393397251E-3</v>
      </c>
      <c r="AM160" s="47">
        <f t="shared" si="1176"/>
        <v>4.0000000000000009</v>
      </c>
      <c r="AN160" s="47">
        <f t="shared" si="1177"/>
        <v>10.847457627118644</v>
      </c>
      <c r="AO160" s="464">
        <f t="shared" si="1178"/>
        <v>8736</v>
      </c>
      <c r="AP160" s="14">
        <f t="shared" si="1179"/>
        <v>67</v>
      </c>
      <c r="AQ160" s="23">
        <f t="shared" si="1180"/>
        <v>21.04730584366304</v>
      </c>
      <c r="AR160" s="30">
        <f>INDEX($AB$6:$AX$138,112,17)</f>
        <v>3681.7427283987504</v>
      </c>
      <c r="AS160" s="14">
        <f t="shared" si="1181"/>
        <v>1115</v>
      </c>
      <c r="AT160" s="349">
        <f>INDEX($AB$6:$AX$138,112,19)</f>
        <v>1066</v>
      </c>
      <c r="AU160" s="415">
        <f t="shared" si="1182"/>
        <v>49</v>
      </c>
      <c r="AV160" s="14">
        <f t="shared" si="1183"/>
        <v>86</v>
      </c>
      <c r="AW160" s="75">
        <f>INDEX($AB$6:$AX$138,112,22)</f>
        <v>81</v>
      </c>
      <c r="AX160" s="609">
        <f t="shared" si="1155"/>
        <v>5</v>
      </c>
      <c r="AZ160" s="1"/>
      <c r="BA160" s="25">
        <v>15</v>
      </c>
      <c r="BB160" s="25" t="str">
        <f t="shared" si="1280"/>
        <v>CASETA 3</v>
      </c>
      <c r="BC160" s="26">
        <f>INDEX($BA$6:$BW$138,106,3)</f>
        <v>65369</v>
      </c>
      <c r="BD160" s="26">
        <f>INDEX($BA$6:$BW$138,112,4)</f>
        <v>65336</v>
      </c>
      <c r="BE160" s="23">
        <f>SUMIFS($BE$6:$BE$138,$BA$6:$BA$138,$BA160)</f>
        <v>0</v>
      </c>
      <c r="BF160" s="23">
        <f t="shared" si="1185"/>
        <v>33</v>
      </c>
      <c r="BG160" s="23">
        <f t="shared" si="1186"/>
        <v>0</v>
      </c>
      <c r="BH160" s="88">
        <f t="shared" si="1187"/>
        <v>33</v>
      </c>
      <c r="BI160" s="26">
        <f>INDEX($BA$6:$BW$138,112,9)</f>
        <v>1255</v>
      </c>
      <c r="BJ160" s="47">
        <f t="shared" si="1156"/>
        <v>0.16</v>
      </c>
      <c r="BK160" s="28">
        <f t="shared" si="1188"/>
        <v>7.2128163844663506E-3</v>
      </c>
      <c r="BL160" s="47">
        <f t="shared" si="1157"/>
        <v>4.0000000000000009</v>
      </c>
      <c r="BM160" s="27">
        <f>INDEX($BA$6:$BW$138,112,13)</f>
        <v>1.757703081232493</v>
      </c>
      <c r="BN160" s="23">
        <f t="shared" si="1189"/>
        <v>6552</v>
      </c>
      <c r="BO160" s="14">
        <f t="shared" si="1158"/>
        <v>67</v>
      </c>
      <c r="BP160" s="23">
        <f t="shared" si="1190"/>
        <v>14.318713763404672</v>
      </c>
      <c r="BQ160" s="27">
        <f>INDEX($BA$6:$BW$138,112,17)</f>
        <v>3487.7310117165239</v>
      </c>
      <c r="BR160" s="14">
        <f t="shared" si="1159"/>
        <v>1115</v>
      </c>
      <c r="BS160" s="350">
        <f>INDEX($BA$6:$BW$138,112,19)</f>
        <v>1047</v>
      </c>
      <c r="BT160" s="26">
        <f t="shared" si="1267"/>
        <v>68</v>
      </c>
      <c r="BU160" s="14">
        <f t="shared" si="1160"/>
        <v>86</v>
      </c>
      <c r="BV160" s="26">
        <f>INDEX($BA$6:$BW$138,112,22)</f>
        <v>77</v>
      </c>
      <c r="BW160" s="26">
        <f t="shared" si="1287"/>
        <v>9</v>
      </c>
      <c r="BY160" s="1"/>
      <c r="BZ160" s="25">
        <v>15</v>
      </c>
      <c r="CA160" s="25" t="str">
        <f t="shared" si="1281"/>
        <v>CASETA G1</v>
      </c>
      <c r="CB160" s="26">
        <f>INDEX($BZ$6:$CV$138,106,3)</f>
        <v>14591</v>
      </c>
      <c r="CC160" s="26">
        <f>INDEX($BZ$6:$CV$138,112,4)</f>
        <v>14583</v>
      </c>
      <c r="CD160" s="23">
        <f t="shared" si="1191"/>
        <v>0</v>
      </c>
      <c r="CE160" s="23">
        <f t="shared" si="1192"/>
        <v>8</v>
      </c>
      <c r="CF160" s="23">
        <f t="shared" si="1193"/>
        <v>0</v>
      </c>
      <c r="CG160" s="88">
        <f t="shared" si="1194"/>
        <v>8</v>
      </c>
      <c r="CH160" s="26">
        <f>INDEX($BZ$6:$CV$138,112,9)</f>
        <v>73</v>
      </c>
      <c r="CI160" s="47">
        <f t="shared" si="1195"/>
        <v>0.16</v>
      </c>
      <c r="CJ160" s="23">
        <f t="shared" si="1268"/>
        <v>7.8341607638032947E-3</v>
      </c>
      <c r="CK160" s="47">
        <f t="shared" si="1196"/>
        <v>4.0000000000000009</v>
      </c>
      <c r="CL160" s="27">
        <f>INDEX($BZ$6:$CV$138,112,13)</f>
        <v>0.49808951965065501</v>
      </c>
      <c r="CM160" s="23">
        <f t="shared" si="1197"/>
        <v>5180</v>
      </c>
      <c r="CN160" s="14">
        <f t="shared" si="1198"/>
        <v>67</v>
      </c>
      <c r="CO160" s="23">
        <f t="shared" si="1296"/>
        <v>50.716194914673423</v>
      </c>
      <c r="CP160" s="27">
        <f>INDEX($BZ$6:$CV$138,112,17)</f>
        <v>1975.2862203652064</v>
      </c>
      <c r="CQ160" s="14">
        <f t="shared" si="1161"/>
        <v>1115</v>
      </c>
      <c r="CR160" s="351">
        <f>INDEX($BZ$6:$CV$138,112,19)</f>
        <v>0</v>
      </c>
      <c r="CS160" s="416">
        <f t="shared" si="1199"/>
        <v>1115</v>
      </c>
      <c r="CT160" s="14">
        <f t="shared" si="1200"/>
        <v>86</v>
      </c>
      <c r="CU160" s="29">
        <f>INDEX($BZ$6:$CV$138,112,22)</f>
        <v>0</v>
      </c>
      <c r="CV160" s="417">
        <f t="shared" si="1201"/>
        <v>86</v>
      </c>
      <c r="CY160" s="25">
        <v>15</v>
      </c>
      <c r="CZ160" s="25" t="str">
        <f t="shared" si="1282"/>
        <v>CASETA G2</v>
      </c>
      <c r="DA160" s="26">
        <f>INDEX($CY$6:$DU$138,106,3)</f>
        <v>14676</v>
      </c>
      <c r="DB160" s="26">
        <f>INDEX($CY$6:$DU$138,112,4)</f>
        <v>14671</v>
      </c>
      <c r="DC160" s="23">
        <f t="shared" si="1327"/>
        <v>0</v>
      </c>
      <c r="DD160" s="23">
        <f t="shared" si="1328"/>
        <v>5</v>
      </c>
      <c r="DE160" s="23">
        <f t="shared" si="1312"/>
        <v>0</v>
      </c>
      <c r="DF160" s="88">
        <f t="shared" si="1297"/>
        <v>5</v>
      </c>
      <c r="DG160" s="26">
        <f>INDEX($CY$6:$DU$138,112,9)</f>
        <v>56</v>
      </c>
      <c r="DH160" s="47">
        <f t="shared" si="1206"/>
        <v>0.16</v>
      </c>
      <c r="DI160" s="23">
        <f t="shared" si="1313"/>
        <v>4.867629727351234E-3</v>
      </c>
      <c r="DJ160" s="47">
        <f t="shared" si="1207"/>
        <v>4.0000000000000009</v>
      </c>
      <c r="DK160" s="27">
        <f>INDEX($CY$6:$DU$138,112,13)</f>
        <v>0.38035726414453574</v>
      </c>
      <c r="DL160" s="23">
        <f t="shared" si="1314"/>
        <v>5920</v>
      </c>
      <c r="DM160" s="14">
        <f t="shared" si="1209"/>
        <v>67</v>
      </c>
      <c r="DN160" s="23">
        <f t="shared" si="1329"/>
        <v>57.625666783475452</v>
      </c>
      <c r="DO160" s="27">
        <f>INDEX($CY$6:$DU$138,112,17)</f>
        <v>2052.9886076744156</v>
      </c>
      <c r="DP160" s="14">
        <f t="shared" si="1162"/>
        <v>1115</v>
      </c>
      <c r="DQ160" s="351">
        <f>INDEX($CY$6:$DU$138,112,19)</f>
        <v>1100</v>
      </c>
      <c r="DR160" s="416">
        <f t="shared" si="1210"/>
        <v>15</v>
      </c>
      <c r="DS160" s="14">
        <f t="shared" si="1211"/>
        <v>86</v>
      </c>
      <c r="DT160" s="29">
        <f>INDEX($CY$6:$DU$138,112,22)</f>
        <v>78</v>
      </c>
      <c r="DU160" s="417">
        <f t="shared" si="1212"/>
        <v>8</v>
      </c>
      <c r="DX160" s="25">
        <v>15</v>
      </c>
      <c r="DY160" s="25" t="str">
        <f t="shared" si="1283"/>
        <v>CASETA G3</v>
      </c>
      <c r="DZ160" s="26">
        <f>INDEX($DX$6:$ET$138,106,3)</f>
        <v>14478</v>
      </c>
      <c r="EA160" s="26">
        <f>INDEX($DX$6:$ET$138,112,4)</f>
        <v>14466</v>
      </c>
      <c r="EB160" s="23">
        <f t="shared" si="1315"/>
        <v>0</v>
      </c>
      <c r="EC160" s="23">
        <f t="shared" si="1316"/>
        <v>12</v>
      </c>
      <c r="ED160" s="23">
        <f t="shared" si="1317"/>
        <v>0</v>
      </c>
      <c r="EE160" s="88">
        <f t="shared" si="1337"/>
        <v>12</v>
      </c>
      <c r="EF160" s="26">
        <f>INDEX($DX$6:$ET$138,112,9)</f>
        <v>81</v>
      </c>
      <c r="EG160" s="47">
        <f t="shared" si="1217"/>
        <v>0.16</v>
      </c>
      <c r="EH160" s="23">
        <f t="shared" si="1318"/>
        <v>1.1844102715306332E-2</v>
      </c>
      <c r="EI160" s="47">
        <f t="shared" si="1218"/>
        <v>4.0000000000000009</v>
      </c>
      <c r="EJ160" s="27">
        <f>INDEX($DX$6:$ET$138,112,13)</f>
        <v>0.55708390646492434</v>
      </c>
      <c r="EK160" s="23">
        <f t="shared" si="1319"/>
        <v>7030</v>
      </c>
      <c r="EL160" s="14">
        <f t="shared" si="1220"/>
        <v>67</v>
      </c>
      <c r="EM160" s="23">
        <f t="shared" si="1298"/>
        <v>69.366329208848896</v>
      </c>
      <c r="EN160" s="27">
        <f>INDEX($DX$6:$ET$138,112,17)</f>
        <v>2297.0468525697056</v>
      </c>
      <c r="EO160" s="14">
        <f t="shared" si="1163"/>
        <v>1115</v>
      </c>
      <c r="EP160" s="351">
        <f>INDEX($DX$6:$ET$138,112,19)</f>
        <v>1100</v>
      </c>
      <c r="EQ160" s="416">
        <f t="shared" si="1299"/>
        <v>15</v>
      </c>
      <c r="ER160" s="14">
        <f t="shared" si="1222"/>
        <v>86</v>
      </c>
      <c r="ES160" s="29">
        <f>INDEX($DX$6:$ET$138,112,22)</f>
        <v>78</v>
      </c>
      <c r="ET160" s="417">
        <f t="shared" si="1300"/>
        <v>8</v>
      </c>
      <c r="EW160" s="25">
        <v>15</v>
      </c>
      <c r="EX160" s="25" t="str">
        <f t="shared" si="1284"/>
        <v>CASETA G4</v>
      </c>
      <c r="EY160" s="26">
        <f>INDEX($EW$6:$FS$138,106,3)</f>
        <v>14177</v>
      </c>
      <c r="EZ160" s="26">
        <f>INDEX($EW$6:$FS$138,112,4)</f>
        <v>14167</v>
      </c>
      <c r="FA160" s="23">
        <f t="shared" si="1330"/>
        <v>0</v>
      </c>
      <c r="FB160" s="23">
        <f t="shared" si="1320"/>
        <v>10</v>
      </c>
      <c r="FC160" s="23">
        <f t="shared" si="1321"/>
        <v>0</v>
      </c>
      <c r="FD160" s="88">
        <f t="shared" si="1338"/>
        <v>10</v>
      </c>
      <c r="FE160" s="26">
        <f>INDEX($EW$6:$FS$138,112,9)</f>
        <v>71</v>
      </c>
      <c r="FF160" s="47">
        <f t="shared" si="1228"/>
        <v>0.16</v>
      </c>
      <c r="FG160" s="23">
        <f t="shared" si="1322"/>
        <v>1.0079314544810532E-2</v>
      </c>
      <c r="FH160" s="47">
        <f t="shared" si="1229"/>
        <v>4.0000000000000009</v>
      </c>
      <c r="FI160" s="27">
        <f>INDEX($EW$6:$FS$138,112,13)</f>
        <v>0.49877063575693714</v>
      </c>
      <c r="FJ160" s="23">
        <f t="shared" si="1323"/>
        <v>7030</v>
      </c>
      <c r="FK160" s="14">
        <f t="shared" si="1231"/>
        <v>67</v>
      </c>
      <c r="FL160" s="23">
        <f t="shared" si="1301"/>
        <v>70.839085440199923</v>
      </c>
      <c r="FM160" s="27">
        <f>INDEX($EW$6:$FS$138,112,17)</f>
        <v>2437.1380235191186</v>
      </c>
      <c r="FN160" s="14">
        <f t="shared" si="1232"/>
        <v>1115</v>
      </c>
      <c r="FO160" s="351">
        <f>INDEX($EW$6:$FS$138,112,19)</f>
        <v>1100</v>
      </c>
      <c r="FP160" s="416">
        <f t="shared" si="1302"/>
        <v>15</v>
      </c>
      <c r="FQ160" s="14">
        <f t="shared" si="1233"/>
        <v>86</v>
      </c>
      <c r="FR160" s="29">
        <f>INDEX($EW$6:$FS$138,112,22)</f>
        <v>78</v>
      </c>
      <c r="FS160" s="417">
        <f t="shared" si="1303"/>
        <v>8</v>
      </c>
      <c r="FV160" s="25">
        <v>15</v>
      </c>
      <c r="FW160" s="25" t="str">
        <f t="shared" si="1285"/>
        <v>CASETA G5</v>
      </c>
      <c r="FX160" s="26">
        <f>INDEX($FV$6:$GR$138,106,3)</f>
        <v>14152</v>
      </c>
      <c r="FY160" s="26">
        <f>INDEX($FV$6:$GR$138,112,4)</f>
        <v>14147</v>
      </c>
      <c r="FZ160" s="23">
        <f t="shared" si="1324"/>
        <v>0</v>
      </c>
      <c r="GA160" s="23">
        <f t="shared" si="1325"/>
        <v>5</v>
      </c>
      <c r="GB160" s="23">
        <f t="shared" si="1326"/>
        <v>0</v>
      </c>
      <c r="GC160" s="88">
        <f t="shared" ref="GC160:GC161" si="1340">SUM(FZ160:GB160)</f>
        <v>5</v>
      </c>
      <c r="GD160" s="26">
        <f>INDEX($FV$6:$GR$138,112,9)</f>
        <v>44</v>
      </c>
      <c r="GE160" s="47">
        <f t="shared" si="1239"/>
        <v>0.16</v>
      </c>
      <c r="GF160" s="23">
        <f t="shared" si="1331"/>
        <v>5.0478842640893935E-3</v>
      </c>
      <c r="GG160" s="47">
        <f t="shared" si="1240"/>
        <v>4.0000000000000009</v>
      </c>
      <c r="GH160" s="27">
        <f>INDEX($FV$6:$GR$138,112,13)</f>
        <v>0.31009937275354149</v>
      </c>
      <c r="GI160" s="23">
        <f t="shared" si="1332"/>
        <v>5550</v>
      </c>
      <c r="GJ160" s="14">
        <f t="shared" si="1242"/>
        <v>67</v>
      </c>
      <c r="GK160" s="23">
        <f t="shared" si="1304"/>
        <v>56.024388274246952</v>
      </c>
      <c r="GL160" s="27">
        <f>INDEX($FV$6:$GR$138,112,17)</f>
        <v>2115.7658400333685</v>
      </c>
      <c r="GM160" s="14">
        <f t="shared" si="1243"/>
        <v>1115</v>
      </c>
      <c r="GN160" s="351">
        <f>INDEX($FV$6:$GR$138,112,19)</f>
        <v>1100</v>
      </c>
      <c r="GO160" s="416">
        <f t="shared" si="1305"/>
        <v>15</v>
      </c>
      <c r="GP160" s="14">
        <f t="shared" si="1244"/>
        <v>86</v>
      </c>
      <c r="GQ160" s="29">
        <f>INDEX($FV$6:$GR$138,112,22)</f>
        <v>78</v>
      </c>
      <c r="GR160" s="417">
        <f t="shared" si="1306"/>
        <v>8</v>
      </c>
      <c r="GU160" s="25">
        <v>15</v>
      </c>
      <c r="GV160" s="25" t="str">
        <f t="shared" si="1286"/>
        <v>CASETA G6</v>
      </c>
      <c r="GW160" s="26">
        <f>INDEX($GU$6:$HQ$138,106,3)</f>
        <v>9154</v>
      </c>
      <c r="GX160" s="26">
        <f>INDEX($GU$6:$HQ$138,112,4)</f>
        <v>9146</v>
      </c>
      <c r="GY160" s="23">
        <f t="shared" si="1333"/>
        <v>0</v>
      </c>
      <c r="GZ160" s="23">
        <f t="shared" si="1334"/>
        <v>8</v>
      </c>
      <c r="HA160" s="23">
        <f t="shared" si="1335"/>
        <v>0</v>
      </c>
      <c r="HB160" s="88">
        <f t="shared" si="1307"/>
        <v>8</v>
      </c>
      <c r="HC160" s="26">
        <f>INDEX($GU$6:$HQ$138,112,9)</f>
        <v>36</v>
      </c>
      <c r="HD160" s="47">
        <f t="shared" si="1308"/>
        <v>0.16</v>
      </c>
      <c r="HE160" s="23">
        <f t="shared" si="1339"/>
        <v>1.2488365739211625E-2</v>
      </c>
      <c r="HF160" s="47">
        <f t="shared" si="1251"/>
        <v>4.0000000000000009</v>
      </c>
      <c r="HG160" s="27">
        <f>INDEX($GU$6:$HQ$138,112,13)</f>
        <v>0.3920714441298192</v>
      </c>
      <c r="HH160" s="23">
        <f t="shared" si="1336"/>
        <v>4440</v>
      </c>
      <c r="HI160" s="14">
        <f t="shared" si="1253"/>
        <v>67</v>
      </c>
      <c r="HJ160" s="23">
        <f t="shared" si="1309"/>
        <v>69.290552139579901</v>
      </c>
      <c r="HK160" s="27">
        <f>INDEX($GU$6:$HQ$138,112,17)</f>
        <v>2261.5830127780196</v>
      </c>
      <c r="HL160" s="14">
        <f t="shared" si="1254"/>
        <v>1115</v>
      </c>
      <c r="HM160" s="351">
        <f>INDEX($GU$6:$HQ$138,112,19)</f>
        <v>1100</v>
      </c>
      <c r="HN160" s="416">
        <f t="shared" si="1310"/>
        <v>15</v>
      </c>
      <c r="HO160" s="14">
        <f t="shared" si="1255"/>
        <v>86</v>
      </c>
      <c r="HP160" s="29">
        <f>INDEX($GU$6:$HQ$138,112,22)</f>
        <v>78</v>
      </c>
      <c r="HQ160" s="417">
        <f t="shared" si="1311"/>
        <v>8</v>
      </c>
    </row>
    <row r="161" spans="3:225" x14ac:dyDescent="0.25">
      <c r="C161" s="25">
        <v>16</v>
      </c>
      <c r="D161" s="23" t="str">
        <f t="shared" si="1257"/>
        <v>CASETA 1</v>
      </c>
      <c r="E161" s="26">
        <f>INDEX($C$6:$Y$138,113,3)</f>
        <v>68543</v>
      </c>
      <c r="F161" s="26">
        <f>INDEX($C$6:$Y$138,119,4)</f>
        <v>68543</v>
      </c>
      <c r="G161" s="23">
        <f t="shared" si="1258"/>
        <v>0</v>
      </c>
      <c r="H161" s="23">
        <f t="shared" si="1259"/>
        <v>0</v>
      </c>
      <c r="I161" s="23">
        <f t="shared" si="1260"/>
        <v>0</v>
      </c>
      <c r="J161" s="88">
        <f>SUM(G161:I161)</f>
        <v>0</v>
      </c>
      <c r="K161" s="26">
        <f>INDEX($C$6:$Y$138,119,9)</f>
        <v>5542</v>
      </c>
      <c r="L161" s="47">
        <f t="shared" si="1151"/>
        <v>0.16</v>
      </c>
      <c r="M161" s="28">
        <f t="shared" si="1262"/>
        <v>0</v>
      </c>
      <c r="N161" s="47">
        <f t="shared" si="1167"/>
        <v>4.160000000000001</v>
      </c>
      <c r="O161" s="47">
        <f t="shared" si="1263"/>
        <v>8.0854354201012502</v>
      </c>
      <c r="P161" s="464">
        <f t="shared" si="1264"/>
        <v>0</v>
      </c>
      <c r="Q161" s="14">
        <f t="shared" si="1168"/>
        <v>71</v>
      </c>
      <c r="R161" s="23">
        <f t="shared" si="1265"/>
        <v>0</v>
      </c>
      <c r="S161" s="30">
        <f>INDEX($C$6:$Y$138,119,17)</f>
        <v>3520.2686172807612</v>
      </c>
      <c r="T161" s="14">
        <f t="shared" si="1169"/>
        <v>1160</v>
      </c>
      <c r="U161" s="349">
        <f>INDEX($C$6:$Y$138,119,19)</f>
        <v>0</v>
      </c>
      <c r="V161" s="415">
        <f t="shared" si="1152"/>
        <v>1160</v>
      </c>
      <c r="W161" s="14">
        <f t="shared" si="1153"/>
        <v>86</v>
      </c>
      <c r="X161" s="75">
        <f>INDEX($C$6:$Y$138,119,22)</f>
        <v>0</v>
      </c>
      <c r="Y161" s="609">
        <f t="shared" si="1154"/>
        <v>86</v>
      </c>
      <c r="Z161" s="489"/>
      <c r="AA161" s="1"/>
      <c r="AB161" s="25">
        <v>16</v>
      </c>
      <c r="AC161" s="23" t="str">
        <f t="shared" si="1266"/>
        <v>CASETA 2</v>
      </c>
      <c r="AD161" s="26">
        <f>INDEX($AB$6:$AX$138,113,3)</f>
        <v>59287</v>
      </c>
      <c r="AE161" s="26">
        <f>INDEX($AB$6:$AX$138,119,4)</f>
        <v>59287</v>
      </c>
      <c r="AF161" s="23">
        <f t="shared" si="1170"/>
        <v>0</v>
      </c>
      <c r="AG161" s="23">
        <f t="shared" si="1171"/>
        <v>0</v>
      </c>
      <c r="AH161" s="23">
        <f t="shared" si="1172"/>
        <v>0</v>
      </c>
      <c r="AI161" s="88">
        <f t="shared" si="1173"/>
        <v>0</v>
      </c>
      <c r="AJ161" s="26">
        <f>INDEX($AB$6:$AX$138,119,9)</f>
        <v>6432</v>
      </c>
      <c r="AK161" s="47">
        <f t="shared" si="1174"/>
        <v>0.16</v>
      </c>
      <c r="AL161" s="28">
        <f t="shared" si="1175"/>
        <v>0</v>
      </c>
      <c r="AM161" s="47">
        <f t="shared" si="1176"/>
        <v>4.160000000000001</v>
      </c>
      <c r="AN161" s="47">
        <f t="shared" si="1177"/>
        <v>10.848921348693644</v>
      </c>
      <c r="AO161" s="464">
        <f t="shared" si="1178"/>
        <v>0</v>
      </c>
      <c r="AP161" s="14">
        <f t="shared" si="1179"/>
        <v>71</v>
      </c>
      <c r="AQ161" s="23">
        <f t="shared" si="1180"/>
        <v>0</v>
      </c>
      <c r="AR161" s="30">
        <f>INDEX($AB$6:$AX$138,119,17)</f>
        <v>3681.7427283987504</v>
      </c>
      <c r="AS161" s="14">
        <f t="shared" si="1181"/>
        <v>1160</v>
      </c>
      <c r="AT161" s="349">
        <f>INDEX($AB$6:$AX$138,119,19)</f>
        <v>0</v>
      </c>
      <c r="AU161" s="415">
        <f t="shared" si="1182"/>
        <v>1160</v>
      </c>
      <c r="AV161" s="14">
        <f t="shared" si="1183"/>
        <v>86</v>
      </c>
      <c r="AW161" s="75">
        <f>INDEX($AB$6:$AX$138,119,22)</f>
        <v>0</v>
      </c>
      <c r="AX161" s="609">
        <f t="shared" si="1155"/>
        <v>86</v>
      </c>
      <c r="AZ161" s="1"/>
      <c r="BA161" s="25">
        <v>16</v>
      </c>
      <c r="BB161" s="25" t="str">
        <f t="shared" si="1280"/>
        <v>CASETA 3</v>
      </c>
      <c r="BC161" s="26">
        <f>INDEX($BA$6:$BW$138,113,3)</f>
        <v>65336</v>
      </c>
      <c r="BD161" s="26">
        <f>INDEX($BA$6:$BW$138,119,4)</f>
        <v>65336</v>
      </c>
      <c r="BE161" s="23">
        <f t="shared" si="1184"/>
        <v>0</v>
      </c>
      <c r="BF161" s="23">
        <f t="shared" si="1185"/>
        <v>0</v>
      </c>
      <c r="BG161" s="23">
        <f t="shared" si="1186"/>
        <v>0</v>
      </c>
      <c r="BH161" s="88">
        <f t="shared" si="1187"/>
        <v>0</v>
      </c>
      <c r="BI161" s="26">
        <f>INDEX($BA$6:$BW$138,119,9)</f>
        <v>1255</v>
      </c>
      <c r="BJ161" s="47">
        <f t="shared" si="1156"/>
        <v>0.16</v>
      </c>
      <c r="BK161" s="28">
        <f>AVERAGEIFS($BK$6:$BK$138,$BA$6:$BA$138,$BA161)</f>
        <v>0</v>
      </c>
      <c r="BL161" s="47">
        <f t="shared" si="1157"/>
        <v>4.160000000000001</v>
      </c>
      <c r="BM161" s="27">
        <f>INDEX($BA$6:$BW$138,119,13)</f>
        <v>1.757703081232493</v>
      </c>
      <c r="BN161" s="23">
        <f t="shared" si="1189"/>
        <v>0</v>
      </c>
      <c r="BO161" s="14">
        <f t="shared" si="1158"/>
        <v>71</v>
      </c>
      <c r="BP161" s="23">
        <f t="shared" si="1190"/>
        <v>0</v>
      </c>
      <c r="BQ161" s="27">
        <f>INDEX($BA$6:$BW$138,119,17)</f>
        <v>3487.7310117165239</v>
      </c>
      <c r="BR161" s="14">
        <f t="shared" si="1159"/>
        <v>1160</v>
      </c>
      <c r="BS161" s="350">
        <f>INDEX($BA$6:$BW$138,119,19)</f>
        <v>0</v>
      </c>
      <c r="BT161" s="26">
        <f t="shared" si="1267"/>
        <v>1160</v>
      </c>
      <c r="BU161" s="14">
        <f t="shared" si="1160"/>
        <v>86</v>
      </c>
      <c r="BV161" s="26">
        <f>INDEX($BA$6:$BW$138,119,22)</f>
        <v>0</v>
      </c>
      <c r="BW161" s="26">
        <f t="shared" si="1287"/>
        <v>86</v>
      </c>
      <c r="BY161" s="1"/>
      <c r="BZ161" s="25">
        <v>16</v>
      </c>
      <c r="CA161" s="25" t="str">
        <f t="shared" si="1281"/>
        <v>CASETA G1</v>
      </c>
      <c r="CB161" s="26">
        <f>INDEX($BZ$6:$CV$138,113,3)</f>
        <v>14583</v>
      </c>
      <c r="CC161" s="26">
        <f>INDEX($BZ$6:$CV$138,119,4)</f>
        <v>14583</v>
      </c>
      <c r="CD161" s="23">
        <f t="shared" si="1191"/>
        <v>0</v>
      </c>
      <c r="CE161" s="23">
        <f t="shared" si="1192"/>
        <v>0</v>
      </c>
      <c r="CF161" s="23">
        <f t="shared" si="1193"/>
        <v>0</v>
      </c>
      <c r="CG161" s="88">
        <f t="shared" si="1194"/>
        <v>0</v>
      </c>
      <c r="CH161" s="26">
        <f>INDEX($BZ$6:$CV$138,119,9)</f>
        <v>73</v>
      </c>
      <c r="CI161" s="47">
        <f t="shared" si="1195"/>
        <v>0.16</v>
      </c>
      <c r="CJ161" s="23">
        <f t="shared" si="1268"/>
        <v>0</v>
      </c>
      <c r="CK161" s="47">
        <f t="shared" si="1196"/>
        <v>4.160000000000001</v>
      </c>
      <c r="CL161" s="27">
        <f>INDEX($BZ$6:$CV$138,119,13)</f>
        <v>0.49808951965065501</v>
      </c>
      <c r="CM161" s="23">
        <f t="shared" si="1197"/>
        <v>0</v>
      </c>
      <c r="CN161" s="14">
        <f t="shared" si="1198"/>
        <v>71</v>
      </c>
      <c r="CO161" s="23">
        <f t="shared" si="1296"/>
        <v>0</v>
      </c>
      <c r="CP161" s="27">
        <f>INDEX($BZ$6:$CV$138,119,17)</f>
        <v>1975.2862203652064</v>
      </c>
      <c r="CQ161" s="14">
        <f t="shared" si="1161"/>
        <v>1160</v>
      </c>
      <c r="CR161" s="351">
        <f>INDEX($BZ$6:$CV$138,119,19)</f>
        <v>0</v>
      </c>
      <c r="CS161" s="416">
        <f t="shared" si="1199"/>
        <v>1160</v>
      </c>
      <c r="CT161" s="14">
        <f t="shared" si="1200"/>
        <v>86</v>
      </c>
      <c r="CU161" s="29">
        <f>INDEX($BZ$6:$CV$138,119,22)</f>
        <v>0</v>
      </c>
      <c r="CV161" s="417">
        <f t="shared" si="1201"/>
        <v>86</v>
      </c>
      <c r="CY161" s="25">
        <v>16</v>
      </c>
      <c r="CZ161" s="25" t="str">
        <f t="shared" si="1282"/>
        <v>CASETA G2</v>
      </c>
      <c r="DA161" s="26">
        <f>INDEX($CY$6:$DU$138,113,3)</f>
        <v>14671</v>
      </c>
      <c r="DB161" s="26">
        <f>INDEX($CY$6:$DU$138,119,4)</f>
        <v>14671</v>
      </c>
      <c r="DC161" s="23">
        <f t="shared" si="1327"/>
        <v>0</v>
      </c>
      <c r="DD161" s="23">
        <f t="shared" si="1328"/>
        <v>0</v>
      </c>
      <c r="DE161" s="23">
        <f t="shared" si="1312"/>
        <v>0</v>
      </c>
      <c r="DF161" s="88">
        <f t="shared" si="1297"/>
        <v>0</v>
      </c>
      <c r="DG161" s="26">
        <f>INDEX($CY$6:$DU$138,119,9)</f>
        <v>56</v>
      </c>
      <c r="DH161" s="47">
        <f t="shared" si="1206"/>
        <v>0.16</v>
      </c>
      <c r="DI161" s="23">
        <f t="shared" si="1313"/>
        <v>0</v>
      </c>
      <c r="DJ161" s="47">
        <f t="shared" si="1207"/>
        <v>4.160000000000001</v>
      </c>
      <c r="DK161" s="27">
        <f>INDEX($CY$6:$DU$138,119,13)</f>
        <v>0.38035726414453574</v>
      </c>
      <c r="DL161" s="23">
        <f t="shared" si="1314"/>
        <v>0</v>
      </c>
      <c r="DM161" s="14">
        <f t="shared" si="1209"/>
        <v>71</v>
      </c>
      <c r="DN161" s="23">
        <f t="shared" si="1329"/>
        <v>0</v>
      </c>
      <c r="DO161" s="27">
        <f>INDEX($CY$6:$DU$138,119,17)</f>
        <v>2052.9886076744156</v>
      </c>
      <c r="DP161" s="14">
        <f t="shared" si="1162"/>
        <v>1160</v>
      </c>
      <c r="DQ161" s="351">
        <f>INDEX($CY$6:$DU$138,119,19)</f>
        <v>0</v>
      </c>
      <c r="DR161" s="416">
        <f t="shared" si="1210"/>
        <v>1160</v>
      </c>
      <c r="DS161" s="14">
        <f t="shared" si="1211"/>
        <v>86</v>
      </c>
      <c r="DT161" s="29">
        <f>INDEX($CY$6:$DU$138,119,22)</f>
        <v>0</v>
      </c>
      <c r="DU161" s="417">
        <f t="shared" si="1212"/>
        <v>86</v>
      </c>
      <c r="DX161" s="25">
        <v>16</v>
      </c>
      <c r="DY161" s="25" t="str">
        <f t="shared" si="1283"/>
        <v>CASETA G3</v>
      </c>
      <c r="DZ161" s="26">
        <f>INDEX($DX$6:$ET$138,113,3)</f>
        <v>14466</v>
      </c>
      <c r="EA161" s="26">
        <f>INDEX($DX$6:$ET$138,119,4)</f>
        <v>14466</v>
      </c>
      <c r="EB161" s="23">
        <f t="shared" si="1315"/>
        <v>0</v>
      </c>
      <c r="EC161" s="23">
        <f t="shared" si="1316"/>
        <v>0</v>
      </c>
      <c r="ED161" s="23">
        <f t="shared" si="1317"/>
        <v>0</v>
      </c>
      <c r="EE161" s="88">
        <f t="shared" si="1337"/>
        <v>0</v>
      </c>
      <c r="EF161" s="26">
        <f>INDEX($DX$6:$ET$138,119,9)</f>
        <v>81</v>
      </c>
      <c r="EG161" s="47">
        <f t="shared" si="1217"/>
        <v>0.16</v>
      </c>
      <c r="EH161" s="23">
        <f t="shared" si="1318"/>
        <v>0</v>
      </c>
      <c r="EI161" s="47">
        <f t="shared" si="1218"/>
        <v>4.160000000000001</v>
      </c>
      <c r="EJ161" s="27">
        <f>INDEX($DX$6:$ET$138,119,13)</f>
        <v>0.55708390646492434</v>
      </c>
      <c r="EK161" s="23">
        <f t="shared" si="1319"/>
        <v>0</v>
      </c>
      <c r="EL161" s="14">
        <f t="shared" si="1220"/>
        <v>71</v>
      </c>
      <c r="EM161" s="23">
        <f t="shared" si="1298"/>
        <v>0</v>
      </c>
      <c r="EN161" s="27">
        <f>INDEX($DX$6:$ET$138,119,17)</f>
        <v>2297.0468525697056</v>
      </c>
      <c r="EO161" s="14">
        <f t="shared" si="1163"/>
        <v>1160</v>
      </c>
      <c r="EP161" s="351">
        <f>INDEX($DX$6:$ET$138,119,19)</f>
        <v>0</v>
      </c>
      <c r="EQ161" s="416">
        <f t="shared" si="1299"/>
        <v>1160</v>
      </c>
      <c r="ER161" s="14">
        <f t="shared" si="1222"/>
        <v>86</v>
      </c>
      <c r="ES161" s="29">
        <f>INDEX($DX$6:$ET$138,119,22)</f>
        <v>0</v>
      </c>
      <c r="ET161" s="417">
        <f t="shared" si="1300"/>
        <v>86</v>
      </c>
      <c r="EW161" s="25">
        <v>16</v>
      </c>
      <c r="EX161" s="25" t="str">
        <f t="shared" si="1284"/>
        <v>CASETA G4</v>
      </c>
      <c r="EY161" s="26">
        <f>INDEX($EW$6:$FS$138,113,3)</f>
        <v>14167</v>
      </c>
      <c r="EZ161" s="26">
        <f>INDEX($EW$6:$FS$138,119,4)</f>
        <v>14167</v>
      </c>
      <c r="FA161" s="23">
        <f t="shared" si="1330"/>
        <v>0</v>
      </c>
      <c r="FB161" s="23">
        <f t="shared" si="1320"/>
        <v>0</v>
      </c>
      <c r="FC161" s="23">
        <f t="shared" si="1321"/>
        <v>0</v>
      </c>
      <c r="FD161" s="88">
        <f t="shared" si="1338"/>
        <v>0</v>
      </c>
      <c r="FE161" s="26">
        <f>INDEX($EW$6:$FS$138,119,9)</f>
        <v>71</v>
      </c>
      <c r="FF161" s="47">
        <f t="shared" si="1228"/>
        <v>0.16</v>
      </c>
      <c r="FG161" s="23">
        <f t="shared" si="1322"/>
        <v>0</v>
      </c>
      <c r="FH161" s="47">
        <f t="shared" si="1229"/>
        <v>4.160000000000001</v>
      </c>
      <c r="FI161" s="27">
        <f>INDEX($EW$6:$FS$138,119,13)</f>
        <v>0.49877063575693714</v>
      </c>
      <c r="FJ161" s="23">
        <f t="shared" si="1323"/>
        <v>0</v>
      </c>
      <c r="FK161" s="14">
        <f t="shared" si="1231"/>
        <v>71</v>
      </c>
      <c r="FL161" s="23">
        <f t="shared" si="1301"/>
        <v>0</v>
      </c>
      <c r="FM161" s="27">
        <f>INDEX($EW$6:$FS$138,119,17)</f>
        <v>2437.1380235191186</v>
      </c>
      <c r="FN161" s="14">
        <f t="shared" si="1232"/>
        <v>1160</v>
      </c>
      <c r="FO161" s="351">
        <f>INDEX($EW$6:$FS$138,119,19)</f>
        <v>0</v>
      </c>
      <c r="FP161" s="416">
        <f t="shared" si="1302"/>
        <v>1160</v>
      </c>
      <c r="FQ161" s="14">
        <f t="shared" si="1233"/>
        <v>86</v>
      </c>
      <c r="FR161" s="29">
        <f>INDEX($EW$6:$FS$138,119,22)</f>
        <v>0</v>
      </c>
      <c r="FS161" s="417">
        <f t="shared" si="1303"/>
        <v>86</v>
      </c>
      <c r="FV161" s="25">
        <v>16</v>
      </c>
      <c r="FW161" s="25" t="str">
        <f t="shared" si="1285"/>
        <v>CASETA G5</v>
      </c>
      <c r="FX161" s="26">
        <f>INDEX($FV$6:$GR$138,113,3)</f>
        <v>14147</v>
      </c>
      <c r="FY161" s="26">
        <f>INDEX($FV$6:$GR$138,119,4)</f>
        <v>14147</v>
      </c>
      <c r="FZ161" s="23">
        <f t="shared" si="1324"/>
        <v>0</v>
      </c>
      <c r="GA161" s="23">
        <f t="shared" si="1325"/>
        <v>0</v>
      </c>
      <c r="GB161" s="23">
        <f t="shared" si="1326"/>
        <v>0</v>
      </c>
      <c r="GC161" s="88">
        <f t="shared" si="1340"/>
        <v>0</v>
      </c>
      <c r="GD161" s="26">
        <f>INDEX($FV$6:$GR$138,119,9)</f>
        <v>44</v>
      </c>
      <c r="GE161" s="47">
        <f t="shared" si="1239"/>
        <v>0.16</v>
      </c>
      <c r="GF161" s="23">
        <f t="shared" si="1331"/>
        <v>0</v>
      </c>
      <c r="GG161" s="47">
        <f t="shared" si="1240"/>
        <v>4.160000000000001</v>
      </c>
      <c r="GH161" s="27">
        <f>INDEX($FV$6:$GR$138,119,13)</f>
        <v>0.31009937275354149</v>
      </c>
      <c r="GI161" s="23">
        <f t="shared" si="1332"/>
        <v>0</v>
      </c>
      <c r="GJ161" s="14">
        <f t="shared" si="1242"/>
        <v>71</v>
      </c>
      <c r="GK161" s="23">
        <f t="shared" si="1304"/>
        <v>0</v>
      </c>
      <c r="GL161" s="27">
        <f>INDEX($FV$6:$GR$138,119,17)</f>
        <v>2115.7658400333685</v>
      </c>
      <c r="GM161" s="14">
        <f t="shared" si="1243"/>
        <v>1160</v>
      </c>
      <c r="GN161" s="351">
        <f>INDEX($FV$6:$GR$138,119,19)</f>
        <v>0</v>
      </c>
      <c r="GO161" s="416">
        <f t="shared" si="1305"/>
        <v>1160</v>
      </c>
      <c r="GP161" s="14">
        <f t="shared" si="1244"/>
        <v>86</v>
      </c>
      <c r="GQ161" s="29">
        <f>INDEX($FV$6:$GR$138,119,22)</f>
        <v>0</v>
      </c>
      <c r="GR161" s="417">
        <f t="shared" si="1306"/>
        <v>86</v>
      </c>
      <c r="GU161" s="25">
        <v>16</v>
      </c>
      <c r="GV161" s="25" t="str">
        <f t="shared" si="1286"/>
        <v>CASETA G6</v>
      </c>
      <c r="GW161" s="26">
        <f>INDEX($GU$6:$HQ$138,113,3)</f>
        <v>9146</v>
      </c>
      <c r="GX161" s="26">
        <f>INDEX($GU$6:$HQ$138,119,4)</f>
        <v>9146</v>
      </c>
      <c r="GY161" s="23">
        <f t="shared" si="1333"/>
        <v>0</v>
      </c>
      <c r="GZ161" s="23">
        <f t="shared" si="1334"/>
        <v>0</v>
      </c>
      <c r="HA161" s="23">
        <f t="shared" si="1335"/>
        <v>0</v>
      </c>
      <c r="HB161" s="88">
        <f t="shared" si="1307"/>
        <v>0</v>
      </c>
      <c r="HC161" s="26">
        <f>INDEX($GU$6:$HQ$138,119,9)</f>
        <v>36</v>
      </c>
      <c r="HD161" s="47">
        <f t="shared" si="1308"/>
        <v>0.16</v>
      </c>
      <c r="HE161" s="23">
        <f t="shared" si="1339"/>
        <v>0</v>
      </c>
      <c r="HF161" s="47">
        <f t="shared" si="1251"/>
        <v>4.160000000000001</v>
      </c>
      <c r="HG161" s="27">
        <f>INDEX($GU$6:$HQ$138,119,13)</f>
        <v>0.3920714441298192</v>
      </c>
      <c r="HH161" s="23">
        <f t="shared" si="1336"/>
        <v>0</v>
      </c>
      <c r="HI161" s="14">
        <f t="shared" si="1253"/>
        <v>71</v>
      </c>
      <c r="HJ161" s="23">
        <f t="shared" si="1309"/>
        <v>0</v>
      </c>
      <c r="HK161" s="27">
        <f>INDEX($GU$6:$HQ$138,119,17)</f>
        <v>2261.5830127780196</v>
      </c>
      <c r="HL161" s="14">
        <f t="shared" si="1254"/>
        <v>1160</v>
      </c>
      <c r="HM161" s="351">
        <f>INDEX($GU$6:$HQ$138,119,19)</f>
        <v>0</v>
      </c>
      <c r="HN161" s="416">
        <f t="shared" si="1310"/>
        <v>1160</v>
      </c>
      <c r="HO161" s="14">
        <f t="shared" si="1255"/>
        <v>86</v>
      </c>
      <c r="HP161" s="29">
        <f>INDEX($GU$6:$HQ$138,119,22)</f>
        <v>0</v>
      </c>
      <c r="HQ161" s="417">
        <f t="shared" si="1311"/>
        <v>86</v>
      </c>
    </row>
    <row r="162" spans="3:225" x14ac:dyDescent="0.25">
      <c r="C162" s="25">
        <v>17</v>
      </c>
      <c r="D162" s="23" t="str">
        <f t="shared" si="1257"/>
        <v>CASETA 1</v>
      </c>
      <c r="E162" s="26">
        <f>INDEX($C$6:$Y$138,120,3)</f>
        <v>68543</v>
      </c>
      <c r="F162" s="26">
        <f>INDEX($C$6:$Y$138,126,4)</f>
        <v>68543</v>
      </c>
      <c r="G162" s="23">
        <f t="shared" si="1258"/>
        <v>0</v>
      </c>
      <c r="H162" s="23">
        <f t="shared" si="1259"/>
        <v>0</v>
      </c>
      <c r="I162" s="23">
        <f t="shared" si="1260"/>
        <v>0</v>
      </c>
      <c r="J162" s="88">
        <f t="shared" si="1261"/>
        <v>0</v>
      </c>
      <c r="K162" s="26">
        <f>INDEX($C$6:$Y$138,126,9)</f>
        <v>5542</v>
      </c>
      <c r="L162" s="47">
        <f t="shared" si="1151"/>
        <v>0.16</v>
      </c>
      <c r="M162" s="28">
        <f t="shared" si="1262"/>
        <v>0</v>
      </c>
      <c r="N162" s="47">
        <f t="shared" si="1167"/>
        <v>4.3200000000000012</v>
      </c>
      <c r="O162" s="47">
        <f t="shared" si="1263"/>
        <v>8.0854354201012502</v>
      </c>
      <c r="P162" s="464">
        <f t="shared" si="1264"/>
        <v>0</v>
      </c>
      <c r="Q162" s="14">
        <f t="shared" si="1168"/>
        <v>75</v>
      </c>
      <c r="R162" s="23">
        <f t="shared" si="1265"/>
        <v>0</v>
      </c>
      <c r="S162" s="30">
        <f>INDEX($C$6:$Y$138,126,17)</f>
        <v>3520.2686172807612</v>
      </c>
      <c r="T162" s="14">
        <f t="shared" si="1169"/>
        <v>1207</v>
      </c>
      <c r="U162" s="349">
        <f>INDEX($C$6:$Y$138,126,19)</f>
        <v>0</v>
      </c>
      <c r="V162" s="415">
        <f t="shared" si="1152"/>
        <v>1207</v>
      </c>
      <c r="W162" s="14">
        <f t="shared" si="1153"/>
        <v>86</v>
      </c>
      <c r="X162" s="75">
        <f>INDEX($C$6:$Y$138,126,22)</f>
        <v>0</v>
      </c>
      <c r="Y162" s="609">
        <f t="shared" si="1154"/>
        <v>86</v>
      </c>
      <c r="Z162" s="489"/>
      <c r="AA162" s="1"/>
      <c r="AB162" s="25">
        <v>17</v>
      </c>
      <c r="AC162" s="23" t="str">
        <f t="shared" si="1266"/>
        <v>CASETA 2</v>
      </c>
      <c r="AD162" s="26">
        <f>INDEX($AB$6:$AX$138,120,3)</f>
        <v>59287</v>
      </c>
      <c r="AE162" s="26">
        <f>INDEX($AB$6:$AX$138,126,4)</f>
        <v>59287</v>
      </c>
      <c r="AF162" s="23">
        <f t="shared" si="1170"/>
        <v>0</v>
      </c>
      <c r="AG162" s="23">
        <f t="shared" si="1171"/>
        <v>0</v>
      </c>
      <c r="AH162" s="23">
        <f t="shared" si="1172"/>
        <v>0</v>
      </c>
      <c r="AI162" s="88">
        <f t="shared" si="1173"/>
        <v>0</v>
      </c>
      <c r="AJ162" s="26">
        <f>INDEX($AB$6:$AX$138,126,9)</f>
        <v>6432</v>
      </c>
      <c r="AK162" s="47">
        <f t="shared" si="1174"/>
        <v>0.16</v>
      </c>
      <c r="AL162" s="28">
        <f t="shared" si="1175"/>
        <v>0</v>
      </c>
      <c r="AM162" s="47">
        <f t="shared" si="1176"/>
        <v>4.3200000000000012</v>
      </c>
      <c r="AN162" s="47">
        <f t="shared" si="1177"/>
        <v>10.848921348693644</v>
      </c>
      <c r="AO162" s="464">
        <f t="shared" si="1178"/>
        <v>0</v>
      </c>
      <c r="AP162" s="14">
        <f t="shared" si="1179"/>
        <v>75</v>
      </c>
      <c r="AQ162" s="23">
        <f t="shared" si="1180"/>
        <v>0</v>
      </c>
      <c r="AR162" s="30">
        <f>INDEX($AB$6:$AX$138,126,17)</f>
        <v>3681.7427283987504</v>
      </c>
      <c r="AS162" s="14">
        <f t="shared" si="1181"/>
        <v>1207</v>
      </c>
      <c r="AT162" s="349">
        <f>INDEX($AB$6:$AX$138,126,19)</f>
        <v>0</v>
      </c>
      <c r="AU162" s="415">
        <f t="shared" si="1182"/>
        <v>1207</v>
      </c>
      <c r="AV162" s="14">
        <f t="shared" si="1183"/>
        <v>86</v>
      </c>
      <c r="AW162" s="75">
        <f>INDEX($AB$6:$AX$138,126,22)</f>
        <v>0</v>
      </c>
      <c r="AX162" s="609">
        <f t="shared" si="1155"/>
        <v>86</v>
      </c>
      <c r="AZ162" s="1"/>
      <c r="BA162" s="25">
        <v>17</v>
      </c>
      <c r="BB162" s="25" t="str">
        <f t="shared" si="1280"/>
        <v>CASETA 3</v>
      </c>
      <c r="BC162" s="26">
        <f>INDEX($BA$6:$BW$138,120,3)</f>
        <v>65336</v>
      </c>
      <c r="BD162" s="26">
        <f>INDEX($BA$6:$BW$138,126,4)</f>
        <v>65336</v>
      </c>
      <c r="BE162" s="23">
        <f t="shared" si="1184"/>
        <v>0</v>
      </c>
      <c r="BF162" s="23">
        <f t="shared" si="1185"/>
        <v>0</v>
      </c>
      <c r="BG162" s="23">
        <f t="shared" si="1186"/>
        <v>0</v>
      </c>
      <c r="BH162" s="88">
        <f t="shared" si="1187"/>
        <v>0</v>
      </c>
      <c r="BI162" s="26">
        <f>INDEX($BA$6:$BW$138,126,9)</f>
        <v>1255</v>
      </c>
      <c r="BJ162" s="47">
        <f t="shared" si="1156"/>
        <v>0.16</v>
      </c>
      <c r="BK162" s="28">
        <f t="shared" si="1188"/>
        <v>0</v>
      </c>
      <c r="BL162" s="47">
        <f t="shared" si="1157"/>
        <v>4.3200000000000012</v>
      </c>
      <c r="BM162" s="27">
        <f>INDEX($BA$6:$BW$138,126,13)</f>
        <v>1.757703081232493</v>
      </c>
      <c r="BN162" s="23">
        <f>SUMIFS($BN$6:$BN$138,$BA$6:$BA$138,$BA162)</f>
        <v>0</v>
      </c>
      <c r="BO162" s="14">
        <f t="shared" si="1158"/>
        <v>75</v>
      </c>
      <c r="BP162" s="23">
        <f t="shared" si="1190"/>
        <v>0</v>
      </c>
      <c r="BQ162" s="27">
        <f>INDEX($BA$6:$BW$138,126,17)</f>
        <v>3487.7310117165239</v>
      </c>
      <c r="BR162" s="14">
        <f t="shared" si="1159"/>
        <v>1207</v>
      </c>
      <c r="BS162" s="350">
        <f>INDEX($BA$6:$BW$138,126,19)</f>
        <v>0</v>
      </c>
      <c r="BT162" s="26">
        <f t="shared" si="1267"/>
        <v>1207</v>
      </c>
      <c r="BU162" s="14">
        <f t="shared" si="1160"/>
        <v>86</v>
      </c>
      <c r="BV162" s="26">
        <f>INDEX($BA$6:$BW$138,126,22)</f>
        <v>0</v>
      </c>
      <c r="BW162" s="26">
        <f t="shared" si="1287"/>
        <v>86</v>
      </c>
      <c r="BY162" s="1"/>
      <c r="BZ162" s="25">
        <v>17</v>
      </c>
      <c r="CA162" s="25" t="str">
        <f t="shared" si="1281"/>
        <v>CASETA G1</v>
      </c>
      <c r="CB162" s="26">
        <f>INDEX($BZ$6:$CV$138,120,3)</f>
        <v>14583</v>
      </c>
      <c r="CC162" s="26">
        <f>INDEX($BZ$6:$CV$138,126,4)</f>
        <v>14583</v>
      </c>
      <c r="CD162" s="23">
        <f t="shared" si="1191"/>
        <v>0</v>
      </c>
      <c r="CE162" s="23">
        <f t="shared" si="1192"/>
        <v>0</v>
      </c>
      <c r="CF162" s="23">
        <f t="shared" si="1193"/>
        <v>0</v>
      </c>
      <c r="CG162" s="88">
        <f t="shared" si="1194"/>
        <v>0</v>
      </c>
      <c r="CH162" s="26">
        <f>INDEX($BZ$6:$CV$138,126,9)</f>
        <v>73</v>
      </c>
      <c r="CI162" s="47">
        <f t="shared" si="1195"/>
        <v>0.16</v>
      </c>
      <c r="CJ162" s="23">
        <f t="shared" si="1268"/>
        <v>0</v>
      </c>
      <c r="CK162" s="47">
        <f t="shared" si="1196"/>
        <v>4.3200000000000012</v>
      </c>
      <c r="CL162" s="27">
        <f>INDEX($BZ$6:$CV$138,126,13)</f>
        <v>0.49808951965065501</v>
      </c>
      <c r="CM162" s="23">
        <f>SUMIFS($CM$6:$CM$138,$BZ$6:$BZ$138,$BZ162)</f>
        <v>0</v>
      </c>
      <c r="CN162" s="14">
        <f t="shared" si="1198"/>
        <v>75</v>
      </c>
      <c r="CO162" s="23">
        <f t="shared" si="1296"/>
        <v>0</v>
      </c>
      <c r="CP162" s="27">
        <f>INDEX($BZ$6:$CV$138,126,17)</f>
        <v>1975.2862203652064</v>
      </c>
      <c r="CQ162" s="14">
        <f t="shared" si="1161"/>
        <v>1207</v>
      </c>
      <c r="CR162" s="351">
        <f>INDEX($BZ$6:$CV$138,126,19)</f>
        <v>0</v>
      </c>
      <c r="CS162" s="416">
        <f t="shared" si="1199"/>
        <v>1207</v>
      </c>
      <c r="CT162" s="14">
        <f t="shared" si="1200"/>
        <v>86</v>
      </c>
      <c r="CU162" s="29">
        <f>INDEX($BZ$6:$CV$138,126,22)</f>
        <v>0</v>
      </c>
      <c r="CV162" s="417">
        <f t="shared" si="1201"/>
        <v>86</v>
      </c>
      <c r="CY162" s="25">
        <v>17</v>
      </c>
      <c r="CZ162" s="25" t="str">
        <f t="shared" si="1282"/>
        <v>CASETA G2</v>
      </c>
      <c r="DA162" s="26">
        <f>INDEX($CY$6:$DU$138,120,3)</f>
        <v>14671</v>
      </c>
      <c r="DB162" s="26">
        <f>INDEX($CY$6:$DU$138,126,4)</f>
        <v>14671</v>
      </c>
      <c r="DC162" s="23">
        <f t="shared" si="1327"/>
        <v>0</v>
      </c>
      <c r="DD162" s="23">
        <f t="shared" si="1328"/>
        <v>0</v>
      </c>
      <c r="DE162" s="23">
        <f t="shared" si="1312"/>
        <v>0</v>
      </c>
      <c r="DF162" s="88">
        <f t="shared" si="1288"/>
        <v>0</v>
      </c>
      <c r="DG162" s="26">
        <f>INDEX($CY$6:$DU$138,126,9)</f>
        <v>56</v>
      </c>
      <c r="DH162" s="47">
        <f t="shared" si="1206"/>
        <v>0.16</v>
      </c>
      <c r="DI162" s="23">
        <f t="shared" si="1313"/>
        <v>0</v>
      </c>
      <c r="DJ162" s="47">
        <f t="shared" si="1207"/>
        <v>4.3200000000000012</v>
      </c>
      <c r="DK162" s="27">
        <f>INDEX($CY$6:$DU$138,126,13)</f>
        <v>0.38035726414453574</v>
      </c>
      <c r="DL162" s="23">
        <f t="shared" si="1314"/>
        <v>0</v>
      </c>
      <c r="DM162" s="14">
        <f t="shared" si="1209"/>
        <v>75</v>
      </c>
      <c r="DN162" s="23">
        <f t="shared" si="1329"/>
        <v>0</v>
      </c>
      <c r="DO162" s="27">
        <f>INDEX($CY$6:$DU$138,126,17)</f>
        <v>2052.9886076744156</v>
      </c>
      <c r="DP162" s="14">
        <f t="shared" si="1162"/>
        <v>1207</v>
      </c>
      <c r="DQ162" s="351">
        <f>INDEX($CY$6:$DU$138,126,19)</f>
        <v>0</v>
      </c>
      <c r="DR162" s="416">
        <f t="shared" si="1210"/>
        <v>1207</v>
      </c>
      <c r="DS162" s="14">
        <f t="shared" si="1211"/>
        <v>86</v>
      </c>
      <c r="DT162" s="29">
        <f>INDEX($CY$6:$DU$138,126,22)</f>
        <v>0</v>
      </c>
      <c r="DU162" s="417">
        <f t="shared" si="1212"/>
        <v>86</v>
      </c>
      <c r="DX162" s="25">
        <v>17</v>
      </c>
      <c r="DY162" s="25" t="str">
        <f t="shared" si="1283"/>
        <v>CASETA G3</v>
      </c>
      <c r="DZ162" s="26">
        <f>INDEX($DX$6:$ET$138,120,3)</f>
        <v>14466</v>
      </c>
      <c r="EA162" s="26">
        <f>INDEX($DX$6:$ET$138,126,4)</f>
        <v>14466</v>
      </c>
      <c r="EB162" s="23">
        <f>SUMIFS($EB$6:$EB$138,$DX$6:$DX$138,$DX162)</f>
        <v>0</v>
      </c>
      <c r="EC162" s="23">
        <f t="shared" si="1316"/>
        <v>0</v>
      </c>
      <c r="ED162" s="23">
        <f t="shared" si="1317"/>
        <v>0</v>
      </c>
      <c r="EE162" s="88">
        <f t="shared" ref="EE162:EE163" si="1341">SUM(EB162:ED162)</f>
        <v>0</v>
      </c>
      <c r="EF162" s="26">
        <f>INDEX($DX$6:$ET$138,126,9)</f>
        <v>81</v>
      </c>
      <c r="EG162" s="47">
        <f t="shared" si="1217"/>
        <v>0.16</v>
      </c>
      <c r="EH162" s="23">
        <f t="shared" si="1318"/>
        <v>0</v>
      </c>
      <c r="EI162" s="47">
        <f t="shared" si="1218"/>
        <v>4.3200000000000012</v>
      </c>
      <c r="EJ162" s="27">
        <f>INDEX($DX$6:$ET$138,126,13)</f>
        <v>0.55708390646492434</v>
      </c>
      <c r="EK162" s="23">
        <f t="shared" si="1319"/>
        <v>0</v>
      </c>
      <c r="EL162" s="14">
        <f t="shared" si="1220"/>
        <v>75</v>
      </c>
      <c r="EM162" s="23">
        <f t="shared" ref="EM162:EM163" si="1342">IFERROR(((EK162/7)/DZ162)*1000,0)</f>
        <v>0</v>
      </c>
      <c r="EN162" s="27">
        <f>INDEX($DX$6:$ET$138,126,17)</f>
        <v>2297.0468525697056</v>
      </c>
      <c r="EO162" s="14">
        <f t="shared" si="1163"/>
        <v>1207</v>
      </c>
      <c r="EP162" s="351">
        <f>INDEX($DX$6:$ET$138,126,19)</f>
        <v>0</v>
      </c>
      <c r="EQ162" s="416">
        <f t="shared" si="1299"/>
        <v>1207</v>
      </c>
      <c r="ER162" s="14">
        <f t="shared" si="1222"/>
        <v>86</v>
      </c>
      <c r="ES162" s="29">
        <f>INDEX($DX$6:$ET$138,126,22)</f>
        <v>0</v>
      </c>
      <c r="ET162" s="417">
        <f t="shared" si="1300"/>
        <v>86</v>
      </c>
      <c r="EW162" s="25">
        <v>17</v>
      </c>
      <c r="EX162" s="25" t="str">
        <f t="shared" si="1284"/>
        <v>CASETA G4</v>
      </c>
      <c r="EY162" s="26">
        <f>INDEX($EW$6:$FS$138,120,3)</f>
        <v>14167</v>
      </c>
      <c r="EZ162" s="26">
        <f>INDEX($EW$6:$FS$138,126,4)</f>
        <v>14167</v>
      </c>
      <c r="FA162" s="23">
        <f t="shared" si="1330"/>
        <v>0</v>
      </c>
      <c r="FB162" s="23">
        <f t="shared" si="1320"/>
        <v>0</v>
      </c>
      <c r="FC162" s="23">
        <f t="shared" si="1321"/>
        <v>0</v>
      </c>
      <c r="FD162" s="88">
        <f t="shared" ref="FD162:FD163" si="1343">SUM(FA162:FC162)</f>
        <v>0</v>
      </c>
      <c r="FE162" s="26">
        <f>INDEX($EW$6:$FS$138,126,9)</f>
        <v>71</v>
      </c>
      <c r="FF162" s="47">
        <f t="shared" si="1228"/>
        <v>0.16</v>
      </c>
      <c r="FG162" s="23">
        <f t="shared" si="1322"/>
        <v>0</v>
      </c>
      <c r="FH162" s="47">
        <f t="shared" si="1229"/>
        <v>4.3200000000000012</v>
      </c>
      <c r="FI162" s="27">
        <f>INDEX($EW$6:$FS$138,126,13)</f>
        <v>0.49877063575693714</v>
      </c>
      <c r="FJ162" s="23">
        <f t="shared" si="1323"/>
        <v>0</v>
      </c>
      <c r="FK162" s="14">
        <f t="shared" si="1231"/>
        <v>75</v>
      </c>
      <c r="FL162" s="23">
        <f t="shared" ref="FL162:FL163" si="1344">IFERROR(((FJ162/7)/EY162)*1000,0)</f>
        <v>0</v>
      </c>
      <c r="FM162" s="27">
        <f>INDEX($EW$6:$FS$138,126,17)</f>
        <v>2437.1380235191186</v>
      </c>
      <c r="FN162" s="14">
        <f t="shared" si="1232"/>
        <v>1207</v>
      </c>
      <c r="FO162" s="351">
        <f>INDEX($EW$6:$FS$138,126,19)</f>
        <v>0</v>
      </c>
      <c r="FP162" s="416">
        <f t="shared" si="1302"/>
        <v>1207</v>
      </c>
      <c r="FQ162" s="14">
        <f t="shared" si="1233"/>
        <v>86</v>
      </c>
      <c r="FR162" s="29">
        <f>INDEX($EW$6:$FS$138,126,22)</f>
        <v>0</v>
      </c>
      <c r="FS162" s="417">
        <f t="shared" si="1303"/>
        <v>86</v>
      </c>
      <c r="FV162" s="25">
        <v>17</v>
      </c>
      <c r="FW162" s="25" t="str">
        <f t="shared" si="1285"/>
        <v>CASETA G5</v>
      </c>
      <c r="FX162" s="26">
        <f>INDEX($FV$6:$GR$138,120,3)</f>
        <v>14147</v>
      </c>
      <c r="FY162" s="26">
        <f>INDEX($FV$6:$GR$138,126,4)</f>
        <v>14147</v>
      </c>
      <c r="FZ162" s="23">
        <f t="shared" si="1324"/>
        <v>0</v>
      </c>
      <c r="GA162" s="23">
        <f t="shared" si="1325"/>
        <v>0</v>
      </c>
      <c r="GB162" s="23">
        <f t="shared" si="1326"/>
        <v>0</v>
      </c>
      <c r="GC162" s="88">
        <f t="shared" ref="GC162:GC163" si="1345">SUM(FZ162:GB162)</f>
        <v>0</v>
      </c>
      <c r="GD162" s="26">
        <f>INDEX($FV$6:$GR$138,126,9)</f>
        <v>44</v>
      </c>
      <c r="GE162" s="47">
        <f t="shared" si="1239"/>
        <v>0.16</v>
      </c>
      <c r="GF162" s="23">
        <f t="shared" si="1331"/>
        <v>0</v>
      </c>
      <c r="GG162" s="47">
        <f t="shared" si="1240"/>
        <v>4.3200000000000012</v>
      </c>
      <c r="GH162" s="27">
        <f>INDEX($FV$6:$GR$138,126,13)</f>
        <v>0.31009937275354149</v>
      </c>
      <c r="GI162" s="23">
        <f t="shared" si="1332"/>
        <v>0</v>
      </c>
      <c r="GJ162" s="14">
        <f t="shared" si="1242"/>
        <v>75</v>
      </c>
      <c r="GK162" s="23">
        <f t="shared" ref="GK162:GK163" si="1346">IFERROR(((GI162/7)/FX162)*1000,0)</f>
        <v>0</v>
      </c>
      <c r="GL162" s="27">
        <f>INDEX($FV$6:$GR$138,126,17)</f>
        <v>2115.7658400333685</v>
      </c>
      <c r="GM162" s="14">
        <f t="shared" si="1243"/>
        <v>1207</v>
      </c>
      <c r="GN162" s="351">
        <f>INDEX($FV$6:$GR$138,126,19)</f>
        <v>0</v>
      </c>
      <c r="GO162" s="416">
        <f t="shared" si="1305"/>
        <v>1207</v>
      </c>
      <c r="GP162" s="14">
        <f t="shared" si="1244"/>
        <v>86</v>
      </c>
      <c r="GQ162" s="29">
        <f>INDEX($FV$6:$GR$138,126,22)</f>
        <v>0</v>
      </c>
      <c r="GR162" s="417">
        <f t="shared" si="1306"/>
        <v>86</v>
      </c>
      <c r="GU162" s="25">
        <v>17</v>
      </c>
      <c r="GV162" s="25" t="str">
        <f t="shared" si="1286"/>
        <v>CASETA G6</v>
      </c>
      <c r="GW162" s="26">
        <f>INDEX($GU$6:$HQ$138,120,3)</f>
        <v>9146</v>
      </c>
      <c r="GX162" s="26">
        <f>INDEX($GU$6:$HQ$138,126,4)</f>
        <v>9146</v>
      </c>
      <c r="GY162" s="23">
        <f t="shared" si="1333"/>
        <v>0</v>
      </c>
      <c r="GZ162" s="23">
        <f t="shared" si="1334"/>
        <v>0</v>
      </c>
      <c r="HA162" s="23">
        <f t="shared" si="1335"/>
        <v>0</v>
      </c>
      <c r="HB162" s="88">
        <f t="shared" si="1307"/>
        <v>0</v>
      </c>
      <c r="HC162" s="26">
        <f>INDEX($GU$6:$HQ$138,126,9)</f>
        <v>36</v>
      </c>
      <c r="HD162" s="47">
        <f t="shared" si="1308"/>
        <v>0.16</v>
      </c>
      <c r="HE162" s="23">
        <f t="shared" si="1339"/>
        <v>0</v>
      </c>
      <c r="HF162" s="47">
        <f t="shared" si="1251"/>
        <v>4.3200000000000012</v>
      </c>
      <c r="HG162" s="27">
        <f>INDEX($GU$6:$HQ$138,126,13)</f>
        <v>0.3920714441298192</v>
      </c>
      <c r="HH162" s="23">
        <f t="shared" si="1336"/>
        <v>0</v>
      </c>
      <c r="HI162" s="14">
        <f t="shared" si="1253"/>
        <v>75</v>
      </c>
      <c r="HJ162" s="23">
        <f t="shared" si="1309"/>
        <v>0</v>
      </c>
      <c r="HK162" s="27">
        <f>INDEX($GU$6:$HQ$138,126,17)</f>
        <v>2261.5830127780196</v>
      </c>
      <c r="HL162" s="14">
        <f t="shared" si="1254"/>
        <v>1207</v>
      </c>
      <c r="HM162" s="351">
        <f>INDEX($GU$6:$HQ$138,126,19)</f>
        <v>0</v>
      </c>
      <c r="HN162" s="416">
        <f t="shared" si="1310"/>
        <v>1207</v>
      </c>
      <c r="HO162" s="14">
        <f t="shared" si="1255"/>
        <v>86</v>
      </c>
      <c r="HP162" s="29">
        <f>INDEX($GU$6:$HQ$138,126,22)</f>
        <v>0</v>
      </c>
      <c r="HQ162" s="417">
        <f t="shared" si="1311"/>
        <v>86</v>
      </c>
    </row>
    <row r="163" spans="3:225" x14ac:dyDescent="0.25">
      <c r="C163" s="25">
        <v>18</v>
      </c>
      <c r="D163" s="23" t="str">
        <f t="shared" si="1257"/>
        <v>CASETA 1</v>
      </c>
      <c r="E163" s="26">
        <f>INDEX($C$6:$Y$138,127,3)</f>
        <v>68543</v>
      </c>
      <c r="F163" s="26">
        <f>INDEX($C$6:$Y$138,133,4)</f>
        <v>68543</v>
      </c>
      <c r="G163" s="23">
        <f t="shared" si="1258"/>
        <v>0</v>
      </c>
      <c r="H163" s="23">
        <f t="shared" si="1259"/>
        <v>0</v>
      </c>
      <c r="I163" s="23">
        <f t="shared" si="1260"/>
        <v>0</v>
      </c>
      <c r="J163" s="88">
        <f>SUM(G163:I163)</f>
        <v>0</v>
      </c>
      <c r="K163" s="26">
        <f>INDEX($C$6:$Y$138,133,9)</f>
        <v>5542</v>
      </c>
      <c r="L163" s="47">
        <f t="shared" si="1151"/>
        <v>0.16</v>
      </c>
      <c r="M163" s="28">
        <f t="shared" si="1262"/>
        <v>0</v>
      </c>
      <c r="N163" s="47">
        <f t="shared" si="1167"/>
        <v>4.4800000000000013</v>
      </c>
      <c r="O163" s="47">
        <f t="shared" si="1263"/>
        <v>8.0854354201012502</v>
      </c>
      <c r="P163" s="464">
        <f t="shared" si="1264"/>
        <v>0</v>
      </c>
      <c r="Q163" s="14">
        <f t="shared" si="1168"/>
        <v>79</v>
      </c>
      <c r="R163" s="23">
        <f t="shared" si="1265"/>
        <v>0</v>
      </c>
      <c r="S163" s="30">
        <f>INDEX($C$6:$Y$138,126,17)</f>
        <v>3520.2686172807612</v>
      </c>
      <c r="T163" s="14">
        <f t="shared" si="1169"/>
        <v>1257</v>
      </c>
      <c r="U163" s="349">
        <f>INDEX($C$6:$Y$138,126,19)</f>
        <v>0</v>
      </c>
      <c r="V163" s="415">
        <f t="shared" si="1152"/>
        <v>1257</v>
      </c>
      <c r="W163" s="14">
        <f t="shared" si="1153"/>
        <v>86</v>
      </c>
      <c r="X163" s="75">
        <f>INDEX($C$6:$Y$138,126,22)</f>
        <v>0</v>
      </c>
      <c r="Y163" s="609">
        <f t="shared" si="1154"/>
        <v>86</v>
      </c>
      <c r="Z163" s="489"/>
      <c r="AA163" s="1"/>
      <c r="AB163" s="25">
        <v>18</v>
      </c>
      <c r="AC163" s="23" t="str">
        <f t="shared" si="1266"/>
        <v>CASETA 2</v>
      </c>
      <c r="AD163" s="26">
        <f>INDEX($AB$6:$AX$138,127,3)</f>
        <v>59287</v>
      </c>
      <c r="AE163" s="26">
        <f>INDEX($AB$6:$AX$138,133,4)</f>
        <v>59287</v>
      </c>
      <c r="AF163" s="23">
        <f t="shared" si="1170"/>
        <v>0</v>
      </c>
      <c r="AG163" s="23">
        <f t="shared" si="1171"/>
        <v>0</v>
      </c>
      <c r="AH163" s="23">
        <f t="shared" si="1172"/>
        <v>0</v>
      </c>
      <c r="AI163" s="88">
        <f t="shared" si="1173"/>
        <v>0</v>
      </c>
      <c r="AJ163" s="26">
        <f>INDEX($AB$6:$AX$138,133,9)</f>
        <v>6432</v>
      </c>
      <c r="AK163" s="47">
        <f t="shared" si="1174"/>
        <v>0.16</v>
      </c>
      <c r="AL163" s="28">
        <f t="shared" si="1175"/>
        <v>0</v>
      </c>
      <c r="AM163" s="47">
        <f t="shared" si="1176"/>
        <v>4.4800000000000013</v>
      </c>
      <c r="AN163" s="47">
        <f t="shared" si="1177"/>
        <v>10.848921348693644</v>
      </c>
      <c r="AO163" s="464">
        <f t="shared" si="1178"/>
        <v>0</v>
      </c>
      <c r="AP163" s="14">
        <f t="shared" si="1179"/>
        <v>79</v>
      </c>
      <c r="AQ163" s="23">
        <f t="shared" si="1180"/>
        <v>0</v>
      </c>
      <c r="AR163" s="30">
        <f>INDEX($AB$6:$AX$138,133,17)</f>
        <v>3681.7427283987504</v>
      </c>
      <c r="AS163" s="14">
        <f t="shared" si="1181"/>
        <v>1257</v>
      </c>
      <c r="AT163" s="349">
        <f>INDEX($AB$6:$AX$138,133,19)</f>
        <v>0</v>
      </c>
      <c r="AU163" s="415">
        <f t="shared" si="1182"/>
        <v>1257</v>
      </c>
      <c r="AV163" s="14">
        <f t="shared" si="1183"/>
        <v>86</v>
      </c>
      <c r="AW163" s="75">
        <f>INDEX($AB$6:$AX$138,133,22)</f>
        <v>0</v>
      </c>
      <c r="AX163" s="609">
        <f t="shared" si="1155"/>
        <v>86</v>
      </c>
      <c r="AZ163" s="1"/>
      <c r="BA163" s="25">
        <v>18</v>
      </c>
      <c r="BB163" s="25" t="str">
        <f t="shared" si="1280"/>
        <v>CASETA 3</v>
      </c>
      <c r="BC163" s="26">
        <f>INDEX($BA$6:$BW$138,127,3)</f>
        <v>65336</v>
      </c>
      <c r="BD163" s="26">
        <f>INDEX($BA$6:$BW$138,133,4)</f>
        <v>65336</v>
      </c>
      <c r="BE163" s="23">
        <f t="shared" si="1184"/>
        <v>0</v>
      </c>
      <c r="BF163" s="23">
        <f t="shared" si="1185"/>
        <v>0</v>
      </c>
      <c r="BG163" s="23">
        <f t="shared" si="1186"/>
        <v>0</v>
      </c>
      <c r="BH163" s="88">
        <f t="shared" si="1187"/>
        <v>0</v>
      </c>
      <c r="BI163" s="26">
        <f>INDEX($BA$6:$BW$138,133,9)</f>
        <v>1255</v>
      </c>
      <c r="BJ163" s="47">
        <f t="shared" si="1156"/>
        <v>0.16</v>
      </c>
      <c r="BK163" s="28">
        <f t="shared" si="1188"/>
        <v>0</v>
      </c>
      <c r="BL163" s="47">
        <f t="shared" si="1157"/>
        <v>4.4800000000000013</v>
      </c>
      <c r="BM163" s="27">
        <f>INDEX($BA$6:$BW$138,133,13)</f>
        <v>1.757703081232493</v>
      </c>
      <c r="BN163" s="23">
        <f t="shared" si="1189"/>
        <v>0</v>
      </c>
      <c r="BO163" s="14">
        <f t="shared" si="1158"/>
        <v>79</v>
      </c>
      <c r="BP163" s="23">
        <f t="shared" si="1190"/>
        <v>0</v>
      </c>
      <c r="BQ163" s="27">
        <f>INDEX($BA$6:$BW$138,133,17)</f>
        <v>3487.7310117165239</v>
      </c>
      <c r="BR163" s="14">
        <f t="shared" si="1159"/>
        <v>1257</v>
      </c>
      <c r="BS163" s="350">
        <f>INDEX($BA$6:$BW$138,133,19)</f>
        <v>0</v>
      </c>
      <c r="BT163" s="26">
        <f t="shared" si="1267"/>
        <v>1257</v>
      </c>
      <c r="BU163" s="14">
        <f t="shared" si="1160"/>
        <v>86</v>
      </c>
      <c r="BV163" s="26">
        <f>INDEX($BA$6:$BW$138,133,22)</f>
        <v>0</v>
      </c>
      <c r="BW163" s="26">
        <f t="shared" si="1287"/>
        <v>86</v>
      </c>
      <c r="BY163" s="1"/>
      <c r="BZ163" s="25">
        <v>18</v>
      </c>
      <c r="CA163" s="25" t="str">
        <f t="shared" si="1281"/>
        <v>CASETA G1</v>
      </c>
      <c r="CB163" s="26">
        <f>INDEX($BZ$6:$CV$138,127,3)</f>
        <v>14583</v>
      </c>
      <c r="CC163" s="26">
        <f>INDEX($BZ$6:$CV$138,133,4)</f>
        <v>14583</v>
      </c>
      <c r="CD163" s="23">
        <f>SUMIFS($CD$6:$CD$138,$BZ$6:$BZ$138,$BZ163)</f>
        <v>0</v>
      </c>
      <c r="CE163" s="23">
        <f t="shared" si="1192"/>
        <v>0</v>
      </c>
      <c r="CF163" s="23">
        <f t="shared" si="1193"/>
        <v>0</v>
      </c>
      <c r="CG163" s="88">
        <f t="shared" si="1194"/>
        <v>0</v>
      </c>
      <c r="CH163" s="26">
        <f>INDEX($BZ$6:$CV$138,133,9)</f>
        <v>73</v>
      </c>
      <c r="CI163" s="47">
        <f t="shared" si="1195"/>
        <v>0.16</v>
      </c>
      <c r="CJ163" s="23">
        <f t="shared" si="1268"/>
        <v>0</v>
      </c>
      <c r="CK163" s="47">
        <f t="shared" si="1196"/>
        <v>4.4800000000000013</v>
      </c>
      <c r="CL163" s="27">
        <f>INDEX($BZ$6:$CV$138,133,13)</f>
        <v>0.49808951965065501</v>
      </c>
      <c r="CM163" s="23">
        <f t="shared" si="1197"/>
        <v>0</v>
      </c>
      <c r="CN163" s="14">
        <f t="shared" si="1198"/>
        <v>79</v>
      </c>
      <c r="CO163" s="23">
        <f t="shared" si="1296"/>
        <v>0</v>
      </c>
      <c r="CP163" s="27">
        <f>INDEX($BZ$6:$CV$138,133,17)</f>
        <v>1975.2862203652064</v>
      </c>
      <c r="CQ163" s="14">
        <f>VLOOKUP($BZ163,LOHMANN,2,FALSE)</f>
        <v>1257</v>
      </c>
      <c r="CR163" s="351">
        <f>INDEX($BZ$6:$CV$138,133,19)</f>
        <v>0</v>
      </c>
      <c r="CS163" s="416">
        <f t="shared" si="1199"/>
        <v>1257</v>
      </c>
      <c r="CT163" s="14">
        <f>VLOOKUP(BZ163,LOHMANN,3,FALSE)</f>
        <v>86</v>
      </c>
      <c r="CU163" s="29">
        <f>INDEX($BZ$6:$CV$138,133,22)</f>
        <v>0</v>
      </c>
      <c r="CV163" s="417">
        <f t="shared" si="1201"/>
        <v>86</v>
      </c>
      <c r="CY163" s="25">
        <v>18</v>
      </c>
      <c r="CZ163" s="25" t="str">
        <f t="shared" si="1282"/>
        <v>CASETA G2</v>
      </c>
      <c r="DA163" s="26">
        <f>INDEX($CY$6:$DU$138,127,3)</f>
        <v>14671</v>
      </c>
      <c r="DB163" s="26">
        <f>INDEX($CY$6:$DU$138,133,4)</f>
        <v>14671</v>
      </c>
      <c r="DC163" s="23">
        <f t="shared" si="1327"/>
        <v>0</v>
      </c>
      <c r="DD163" s="23">
        <f t="shared" si="1328"/>
        <v>0</v>
      </c>
      <c r="DE163" s="23">
        <f t="shared" si="1312"/>
        <v>0</v>
      </c>
      <c r="DF163" s="88">
        <f t="shared" si="1288"/>
        <v>0</v>
      </c>
      <c r="DG163" s="26">
        <f>INDEX($CY$6:$DU$138,133,9)</f>
        <v>56</v>
      </c>
      <c r="DH163" s="47">
        <f t="shared" si="1206"/>
        <v>0.16</v>
      </c>
      <c r="DI163" s="23">
        <f t="shared" si="1313"/>
        <v>0</v>
      </c>
      <c r="DJ163" s="47">
        <f t="shared" si="1207"/>
        <v>4.4800000000000013</v>
      </c>
      <c r="DK163" s="27">
        <f>INDEX($CY$6:$DU$138,133,13)</f>
        <v>0.38035726414453574</v>
      </c>
      <c r="DL163" s="23">
        <f t="shared" si="1314"/>
        <v>0</v>
      </c>
      <c r="DM163" s="14">
        <f t="shared" si="1209"/>
        <v>79</v>
      </c>
      <c r="DN163" s="23">
        <f t="shared" si="1329"/>
        <v>0</v>
      </c>
      <c r="DO163" s="27">
        <f>INDEX($CY$6:$DU$138,133,17)</f>
        <v>2052.9886076744156</v>
      </c>
      <c r="DP163" s="14">
        <f>VLOOKUP($BZ163,LOHMANN,2,FALSE)</f>
        <v>1257</v>
      </c>
      <c r="DQ163" s="351">
        <f>INDEX($CY$6:$DU$138,133,19)</f>
        <v>0</v>
      </c>
      <c r="DR163" s="416">
        <f>DP163-DQ163</f>
        <v>1257</v>
      </c>
      <c r="DS163" s="14">
        <f>VLOOKUP(CY163,LOHMANN,3,FALSE)</f>
        <v>86</v>
      </c>
      <c r="DT163" s="29">
        <f>INDEX($CY$6:$DU$138,133,22)</f>
        <v>0</v>
      </c>
      <c r="DU163" s="417">
        <f>DS163-DT163</f>
        <v>86</v>
      </c>
      <c r="DX163" s="25">
        <v>18</v>
      </c>
      <c r="DY163" s="25" t="str">
        <f t="shared" si="1283"/>
        <v>CASETA G3</v>
      </c>
      <c r="DZ163" s="26">
        <f>INDEX($DX$6:$ET$138,127,3)</f>
        <v>14466</v>
      </c>
      <c r="EA163" s="26">
        <f>INDEX($DX$6:$ET$138,133,4)</f>
        <v>14466</v>
      </c>
      <c r="EB163" s="23">
        <f t="shared" si="1315"/>
        <v>0</v>
      </c>
      <c r="EC163" s="23">
        <f t="shared" si="1316"/>
        <v>0</v>
      </c>
      <c r="ED163" s="23">
        <f t="shared" si="1317"/>
        <v>0</v>
      </c>
      <c r="EE163" s="88">
        <f t="shared" si="1341"/>
        <v>0</v>
      </c>
      <c r="EF163" s="26">
        <f>INDEX($DX$6:$ET$138,133,9)</f>
        <v>81</v>
      </c>
      <c r="EG163" s="47">
        <f t="shared" si="1217"/>
        <v>0.16</v>
      </c>
      <c r="EH163" s="23">
        <f t="shared" si="1318"/>
        <v>0</v>
      </c>
      <c r="EI163" s="47">
        <f t="shared" si="1218"/>
        <v>4.4800000000000013</v>
      </c>
      <c r="EJ163" s="27">
        <f>INDEX($DX$6:$ET$138,133,13)</f>
        <v>0.55708390646492434</v>
      </c>
      <c r="EK163" s="23">
        <f t="shared" si="1319"/>
        <v>0</v>
      </c>
      <c r="EL163" s="14">
        <f t="shared" si="1220"/>
        <v>79</v>
      </c>
      <c r="EM163" s="23">
        <f t="shared" si="1342"/>
        <v>0</v>
      </c>
      <c r="EN163" s="27">
        <f>INDEX($DX$6:$ET$138,133,17)</f>
        <v>2297.0468525697056</v>
      </c>
      <c r="EO163" s="14">
        <f>VLOOKUP($BZ163,LOHMANN,2,FALSE)</f>
        <v>1257</v>
      </c>
      <c r="EP163" s="351">
        <f>INDEX($DX$6:$ET$138,133,19)</f>
        <v>0</v>
      </c>
      <c r="EQ163" s="416">
        <f t="shared" si="1299"/>
        <v>1257</v>
      </c>
      <c r="ER163" s="14">
        <f>VLOOKUP(DX163,LOHMANN,3,FALSE)</f>
        <v>86</v>
      </c>
      <c r="ES163" s="29">
        <f>INDEX($DX$6:$ET$138,133,22)</f>
        <v>0</v>
      </c>
      <c r="ET163" s="417">
        <f t="shared" si="1300"/>
        <v>86</v>
      </c>
      <c r="EW163" s="25">
        <v>18</v>
      </c>
      <c r="EX163" s="25" t="str">
        <f t="shared" si="1284"/>
        <v>CASETA G4</v>
      </c>
      <c r="EY163" s="26">
        <f>INDEX($EW$6:$FS$138,127,3)</f>
        <v>14167</v>
      </c>
      <c r="EZ163" s="26">
        <f>INDEX($EW$6:$FS$138,133,4)</f>
        <v>14167</v>
      </c>
      <c r="FA163" s="23">
        <f t="shared" si="1330"/>
        <v>0</v>
      </c>
      <c r="FB163" s="23">
        <f t="shared" si="1320"/>
        <v>0</v>
      </c>
      <c r="FC163" s="23">
        <f t="shared" si="1321"/>
        <v>0</v>
      </c>
      <c r="FD163" s="88">
        <f t="shared" si="1343"/>
        <v>0</v>
      </c>
      <c r="FE163" s="26">
        <f>INDEX($EW$6:$FS$138,133,9)</f>
        <v>71</v>
      </c>
      <c r="FF163" s="47">
        <f t="shared" si="1228"/>
        <v>0.16</v>
      </c>
      <c r="FG163" s="23">
        <f t="shared" si="1322"/>
        <v>0</v>
      </c>
      <c r="FH163" s="47">
        <f t="shared" si="1229"/>
        <v>4.4800000000000013</v>
      </c>
      <c r="FI163" s="27">
        <f>INDEX($EW$6:$FS$138,133,13)</f>
        <v>0.49877063575693714</v>
      </c>
      <c r="FJ163" s="23">
        <f t="shared" si="1323"/>
        <v>0</v>
      </c>
      <c r="FK163" s="14">
        <f t="shared" si="1231"/>
        <v>79</v>
      </c>
      <c r="FL163" s="23">
        <f t="shared" si="1344"/>
        <v>0</v>
      </c>
      <c r="FM163" s="27">
        <f>INDEX($EW$6:$FS$138,133,17)</f>
        <v>2437.1380235191186</v>
      </c>
      <c r="FN163" s="14">
        <f>VLOOKUP($BZ163,LOHMANN,2,FALSE)</f>
        <v>1257</v>
      </c>
      <c r="FO163" s="351">
        <f>INDEX($EW$6:$FS$138,133,19)</f>
        <v>0</v>
      </c>
      <c r="FP163" s="416">
        <f t="shared" si="1302"/>
        <v>1257</v>
      </c>
      <c r="FQ163" s="14">
        <f>VLOOKUP(EW163,LOHMANN,3,FALSE)</f>
        <v>86</v>
      </c>
      <c r="FR163" s="29">
        <f>INDEX($EW$6:$FS$138,133,22)</f>
        <v>0</v>
      </c>
      <c r="FS163" s="417">
        <f t="shared" si="1303"/>
        <v>86</v>
      </c>
      <c r="FV163" s="25">
        <v>18</v>
      </c>
      <c r="FW163" s="25" t="str">
        <f t="shared" si="1285"/>
        <v>CASETA G5</v>
      </c>
      <c r="FX163" s="26">
        <f>INDEX($FV$6:$GR$138,127,3)</f>
        <v>14147</v>
      </c>
      <c r="FY163" s="26">
        <f>INDEX($FV$6:$GR$138,133,4)</f>
        <v>14147</v>
      </c>
      <c r="FZ163" s="23">
        <f t="shared" si="1324"/>
        <v>0</v>
      </c>
      <c r="GA163" s="23">
        <f t="shared" si="1325"/>
        <v>0</v>
      </c>
      <c r="GB163" s="23">
        <f t="shared" si="1326"/>
        <v>0</v>
      </c>
      <c r="GC163" s="88">
        <f t="shared" si="1345"/>
        <v>0</v>
      </c>
      <c r="GD163" s="26">
        <f>INDEX($FV$6:$GR$138,133,9)</f>
        <v>44</v>
      </c>
      <c r="GE163" s="47">
        <f t="shared" si="1239"/>
        <v>0.16</v>
      </c>
      <c r="GF163" s="23">
        <f t="shared" si="1331"/>
        <v>0</v>
      </c>
      <c r="GG163" s="47">
        <f t="shared" si="1240"/>
        <v>4.4800000000000013</v>
      </c>
      <c r="GH163" s="27">
        <f>INDEX($FV$6:$GR$138,133,13)</f>
        <v>0.31009937275354149</v>
      </c>
      <c r="GI163" s="23">
        <f t="shared" si="1332"/>
        <v>0</v>
      </c>
      <c r="GJ163" s="14">
        <f t="shared" si="1242"/>
        <v>79</v>
      </c>
      <c r="GK163" s="23">
        <f t="shared" si="1346"/>
        <v>0</v>
      </c>
      <c r="GL163" s="27">
        <f>INDEX($FV$6:$GR$138,133,17)</f>
        <v>2115.7658400333685</v>
      </c>
      <c r="GM163" s="14">
        <f>VLOOKUP($BZ163,LOHMANN,2,FALSE)</f>
        <v>1257</v>
      </c>
      <c r="GN163" s="351">
        <f>INDEX($FV$6:$GR$138,133,19)</f>
        <v>0</v>
      </c>
      <c r="GO163" s="416">
        <f t="shared" si="1305"/>
        <v>1257</v>
      </c>
      <c r="GP163" s="14">
        <f>VLOOKUP(FV163,LOHMANN,3,FALSE)</f>
        <v>86</v>
      </c>
      <c r="GQ163" s="29">
        <f>INDEX($FV$6:$GR$138,133,22)</f>
        <v>0</v>
      </c>
      <c r="GR163" s="417">
        <f t="shared" si="1306"/>
        <v>86</v>
      </c>
      <c r="GU163" s="25">
        <v>18</v>
      </c>
      <c r="GV163" s="25" t="str">
        <f t="shared" si="1286"/>
        <v>CASETA G6</v>
      </c>
      <c r="GW163" s="26">
        <f>INDEX($GU$6:$HQ$138,127,3)</f>
        <v>9146</v>
      </c>
      <c r="GX163" s="26">
        <f>INDEX($GU$6:$HQ$138,133,4)</f>
        <v>9146</v>
      </c>
      <c r="GY163" s="23">
        <f t="shared" si="1333"/>
        <v>0</v>
      </c>
      <c r="GZ163" s="23">
        <f t="shared" si="1334"/>
        <v>0</v>
      </c>
      <c r="HA163" s="23">
        <f t="shared" si="1335"/>
        <v>0</v>
      </c>
      <c r="HB163" s="88">
        <f t="shared" si="1307"/>
        <v>0</v>
      </c>
      <c r="HC163" s="26">
        <f>INDEX($GU$6:$HQ$138,133,9)</f>
        <v>36</v>
      </c>
      <c r="HD163" s="47">
        <f t="shared" si="1308"/>
        <v>0.16</v>
      </c>
      <c r="HE163" s="23">
        <f t="shared" si="1339"/>
        <v>0</v>
      </c>
      <c r="HF163" s="47">
        <f t="shared" si="1251"/>
        <v>4.4800000000000013</v>
      </c>
      <c r="HG163" s="27">
        <f>INDEX($GU$6:$HQ$138,133,13)</f>
        <v>0.3920714441298192</v>
      </c>
      <c r="HH163" s="23">
        <f t="shared" si="1336"/>
        <v>0</v>
      </c>
      <c r="HI163" s="14">
        <f t="shared" si="1253"/>
        <v>79</v>
      </c>
      <c r="HJ163" s="23">
        <f t="shared" si="1309"/>
        <v>0</v>
      </c>
      <c r="HK163" s="27">
        <f>INDEX($GU$6:$HQ$138,133,17)</f>
        <v>2261.5830127780196</v>
      </c>
      <c r="HL163" s="14">
        <f>VLOOKUP($BZ163,LOHMANN,2,FALSE)</f>
        <v>1257</v>
      </c>
      <c r="HM163" s="351">
        <f>INDEX($GU$6:$HQ$138,133,19)</f>
        <v>0</v>
      </c>
      <c r="HN163" s="416">
        <f t="shared" si="1310"/>
        <v>1257</v>
      </c>
      <c r="HO163" s="14">
        <f>VLOOKUP(GU163,LOHMANN,3,FALSE)</f>
        <v>86</v>
      </c>
      <c r="HP163" s="29">
        <f>INDEX($GU$6:$HQ$138,133,22)</f>
        <v>0</v>
      </c>
      <c r="HQ163" s="417">
        <f t="shared" si="1311"/>
        <v>86</v>
      </c>
    </row>
    <row r="164" spans="3:225" x14ac:dyDescent="0.25">
      <c r="O164" s="4"/>
    </row>
    <row r="168" spans="3:225" x14ac:dyDescent="0.25">
      <c r="E168" s="352">
        <v>0</v>
      </c>
      <c r="F168" s="76">
        <v>1</v>
      </c>
      <c r="G168" s="76">
        <v>2</v>
      </c>
      <c r="H168" s="76">
        <v>3</v>
      </c>
      <c r="I168" s="76">
        <v>4</v>
      </c>
      <c r="J168" s="76">
        <v>5</v>
      </c>
      <c r="K168" s="76">
        <v>6</v>
      </c>
      <c r="L168" s="76">
        <v>7</v>
      </c>
      <c r="M168" s="76">
        <v>8</v>
      </c>
      <c r="N168" s="76">
        <v>9</v>
      </c>
      <c r="O168" s="76">
        <v>10</v>
      </c>
      <c r="P168" s="76">
        <v>11</v>
      </c>
      <c r="Q168" s="76">
        <v>12</v>
      </c>
      <c r="R168" s="76">
        <v>13</v>
      </c>
      <c r="S168" s="76">
        <v>14</v>
      </c>
      <c r="T168" s="76">
        <v>15</v>
      </c>
      <c r="U168" s="76">
        <v>16</v>
      </c>
      <c r="V168" s="76">
        <v>17</v>
      </c>
      <c r="W168" s="76">
        <v>18</v>
      </c>
      <c r="X168" s="316"/>
    </row>
    <row r="169" spans="3:225" ht="25.5" x14ac:dyDescent="0.25">
      <c r="C169" s="315" t="s">
        <v>52</v>
      </c>
      <c r="D169" s="24" t="s">
        <v>67</v>
      </c>
      <c r="E169" s="83">
        <f t="shared" ref="E169:W169" si="1347">VLOOKUP(E$168,CST1BY,3,0)</f>
        <v>134873</v>
      </c>
      <c r="F169" s="83">
        <f t="shared" si="1347"/>
        <v>133882</v>
      </c>
      <c r="G169" s="83">
        <f t="shared" si="1347"/>
        <v>132126</v>
      </c>
      <c r="H169" s="83">
        <f t="shared" si="1347"/>
        <v>66216</v>
      </c>
      <c r="I169" s="83">
        <f t="shared" si="1347"/>
        <v>96629</v>
      </c>
      <c r="J169" s="83">
        <f t="shared" si="1347"/>
        <v>97155</v>
      </c>
      <c r="K169" s="83">
        <f t="shared" si="1347"/>
        <v>96885</v>
      </c>
      <c r="L169" s="83">
        <f t="shared" si="1347"/>
        <v>96383</v>
      </c>
      <c r="M169" s="83">
        <f t="shared" si="1347"/>
        <v>96296</v>
      </c>
      <c r="N169" s="83">
        <f t="shared" si="1347"/>
        <v>96110</v>
      </c>
      <c r="O169" s="83">
        <f t="shared" si="1347"/>
        <v>96078</v>
      </c>
      <c r="P169" s="83">
        <f t="shared" si="1347"/>
        <v>68656</v>
      </c>
      <c r="Q169" s="83">
        <f t="shared" si="1347"/>
        <v>68634</v>
      </c>
      <c r="R169" s="83">
        <f t="shared" si="1347"/>
        <v>68602</v>
      </c>
      <c r="S169" s="83">
        <f t="shared" si="1347"/>
        <v>68577</v>
      </c>
      <c r="T169" s="83">
        <f t="shared" si="1347"/>
        <v>68548</v>
      </c>
      <c r="U169" s="83">
        <f t="shared" si="1347"/>
        <v>68543</v>
      </c>
      <c r="V169" s="83">
        <f t="shared" si="1347"/>
        <v>68543</v>
      </c>
      <c r="W169" s="83">
        <f t="shared" si="1347"/>
        <v>68543</v>
      </c>
    </row>
    <row r="170" spans="3:225" ht="24" customHeight="1" x14ac:dyDescent="0.25">
      <c r="C170" s="77" t="str">
        <f>C169</f>
        <v>CASETA 1</v>
      </c>
      <c r="D170" s="24" t="s">
        <v>34</v>
      </c>
      <c r="E170" s="83">
        <f t="shared" ref="E170:W170" si="1348">VLOOKUP(E$168,CST1BY,4,0)</f>
        <v>133882</v>
      </c>
      <c r="F170" s="83">
        <f t="shared" si="1348"/>
        <v>132126</v>
      </c>
      <c r="G170" s="83">
        <f t="shared" si="1348"/>
        <v>131297</v>
      </c>
      <c r="H170" s="83">
        <f t="shared" si="1348"/>
        <v>89329</v>
      </c>
      <c r="I170" s="83">
        <f t="shared" si="1348"/>
        <v>97155</v>
      </c>
      <c r="J170" s="83">
        <f t="shared" si="1348"/>
        <v>96885</v>
      </c>
      <c r="K170" s="83">
        <f t="shared" si="1348"/>
        <v>96383</v>
      </c>
      <c r="L170" s="83">
        <f t="shared" si="1348"/>
        <v>96296</v>
      </c>
      <c r="M170" s="83">
        <f t="shared" si="1348"/>
        <v>96110</v>
      </c>
      <c r="N170" s="83">
        <f t="shared" si="1348"/>
        <v>96078</v>
      </c>
      <c r="O170" s="83">
        <f t="shared" si="1348"/>
        <v>95862</v>
      </c>
      <c r="P170" s="83">
        <f t="shared" si="1348"/>
        <v>68634</v>
      </c>
      <c r="Q170" s="83">
        <f t="shared" si="1348"/>
        <v>68602</v>
      </c>
      <c r="R170" s="83">
        <f t="shared" si="1348"/>
        <v>68577</v>
      </c>
      <c r="S170" s="83">
        <f t="shared" si="1348"/>
        <v>68548</v>
      </c>
      <c r="T170" s="83">
        <f t="shared" si="1348"/>
        <v>68543</v>
      </c>
      <c r="U170" s="83">
        <f t="shared" si="1348"/>
        <v>68543</v>
      </c>
      <c r="V170" s="83">
        <f t="shared" si="1348"/>
        <v>68543</v>
      </c>
      <c r="W170" s="83">
        <f t="shared" si="1348"/>
        <v>68543</v>
      </c>
    </row>
    <row r="171" spans="3:225" x14ac:dyDescent="0.25">
      <c r="C171" s="77" t="str">
        <f t="shared" ref="C171:C189" si="1349">C170</f>
        <v>CASETA 1</v>
      </c>
      <c r="D171" s="23" t="s">
        <v>27</v>
      </c>
      <c r="E171" s="83">
        <f>VLOOKUP(E$168,CST1BY,5,0)</f>
        <v>0</v>
      </c>
      <c r="F171" s="83">
        <f>VLOOKUP(F$168,CST1BY,5,0)</f>
        <v>97</v>
      </c>
      <c r="G171" s="83">
        <f>VLOOKUP(G$168,CST1BY,5,0)</f>
        <v>0</v>
      </c>
      <c r="H171" s="83">
        <f t="shared" ref="H171:W171" si="1350">VLOOKUP(H$168,CST1BY,5,0)</f>
        <v>0</v>
      </c>
      <c r="I171" s="83">
        <f t="shared" si="1350"/>
        <v>0</v>
      </c>
      <c r="J171" s="83">
        <f>VLOOKUP(J$168,CST1BY,5,0)</f>
        <v>0</v>
      </c>
      <c r="K171" s="83">
        <f t="shared" si="1350"/>
        <v>0</v>
      </c>
      <c r="L171" s="83">
        <f t="shared" si="1350"/>
        <v>0</v>
      </c>
      <c r="M171" s="83">
        <f t="shared" si="1350"/>
        <v>135</v>
      </c>
      <c r="N171" s="83">
        <f t="shared" si="1350"/>
        <v>0</v>
      </c>
      <c r="O171" s="83">
        <f t="shared" si="1350"/>
        <v>0</v>
      </c>
      <c r="P171" s="83">
        <f t="shared" si="1350"/>
        <v>0</v>
      </c>
      <c r="Q171" s="83">
        <f t="shared" si="1350"/>
        <v>0</v>
      </c>
      <c r="R171" s="83">
        <f t="shared" si="1350"/>
        <v>0</v>
      </c>
      <c r="S171" s="83">
        <f t="shared" si="1350"/>
        <v>0</v>
      </c>
      <c r="T171" s="83">
        <f t="shared" si="1350"/>
        <v>0</v>
      </c>
      <c r="U171" s="83">
        <f t="shared" si="1350"/>
        <v>0</v>
      </c>
      <c r="V171" s="83">
        <f t="shared" si="1350"/>
        <v>0</v>
      </c>
      <c r="W171" s="83">
        <f t="shared" si="1350"/>
        <v>0</v>
      </c>
    </row>
    <row r="172" spans="3:225" x14ac:dyDescent="0.25">
      <c r="C172" s="77" t="str">
        <f t="shared" si="1349"/>
        <v>CASETA 1</v>
      </c>
      <c r="D172" s="23" t="s">
        <v>16</v>
      </c>
      <c r="E172" s="83">
        <f>VLOOKUP(E$168,CST1BY,6,0)</f>
        <v>991</v>
      </c>
      <c r="F172" s="83">
        <f>VLOOKUP(F$168,CST1BY,6,0)</f>
        <v>1659</v>
      </c>
      <c r="G172" s="83">
        <f t="shared" ref="G172:W172" si="1351">VLOOKUP(G$168,CST1BY,6,0)</f>
        <v>829</v>
      </c>
      <c r="H172" s="83">
        <f t="shared" si="1351"/>
        <v>318</v>
      </c>
      <c r="I172" s="83">
        <f t="shared" si="1351"/>
        <v>216</v>
      </c>
      <c r="J172" s="83">
        <f t="shared" si="1351"/>
        <v>270</v>
      </c>
      <c r="K172" s="83">
        <f t="shared" si="1351"/>
        <v>502</v>
      </c>
      <c r="L172" s="83">
        <f t="shared" si="1351"/>
        <v>87</v>
      </c>
      <c r="M172" s="83">
        <f t="shared" si="1351"/>
        <v>51</v>
      </c>
      <c r="N172" s="83">
        <f t="shared" si="1351"/>
        <v>32</v>
      </c>
      <c r="O172" s="83">
        <f t="shared" si="1351"/>
        <v>216</v>
      </c>
      <c r="P172" s="83">
        <f t="shared" si="1351"/>
        <v>48</v>
      </c>
      <c r="Q172" s="83">
        <f t="shared" si="1351"/>
        <v>32</v>
      </c>
      <c r="R172" s="83">
        <f t="shared" si="1351"/>
        <v>25</v>
      </c>
      <c r="S172" s="83">
        <f t="shared" si="1351"/>
        <v>29</v>
      </c>
      <c r="T172" s="83">
        <f t="shared" si="1351"/>
        <v>5</v>
      </c>
      <c r="U172" s="83">
        <f t="shared" si="1351"/>
        <v>0</v>
      </c>
      <c r="V172" s="83">
        <f t="shared" si="1351"/>
        <v>0</v>
      </c>
      <c r="W172" s="83">
        <f t="shared" si="1351"/>
        <v>0</v>
      </c>
    </row>
    <row r="173" spans="3:225" x14ac:dyDescent="0.25">
      <c r="C173" s="77" t="str">
        <f t="shared" si="1349"/>
        <v>CASETA 1</v>
      </c>
      <c r="D173" s="23" t="s">
        <v>17</v>
      </c>
      <c r="E173" s="83">
        <f>VLOOKUP(E$168,CST1BY,7,0)</f>
        <v>0</v>
      </c>
      <c r="F173" s="83">
        <f>VLOOKUP(F$168,CST1BY,7,0)</f>
        <v>0</v>
      </c>
      <c r="G173" s="83">
        <f t="shared" ref="G173:W173" si="1352">VLOOKUP(G$168,CST1BY,7,0)</f>
        <v>0</v>
      </c>
      <c r="H173" s="83">
        <f t="shared" si="1352"/>
        <v>0</v>
      </c>
      <c r="I173" s="83">
        <f t="shared" si="1352"/>
        <v>0</v>
      </c>
      <c r="J173" s="83">
        <f t="shared" si="1352"/>
        <v>0</v>
      </c>
      <c r="K173" s="83">
        <f t="shared" si="1352"/>
        <v>0</v>
      </c>
      <c r="L173" s="83">
        <f t="shared" si="1352"/>
        <v>0</v>
      </c>
      <c r="M173" s="83">
        <f t="shared" si="1352"/>
        <v>0</v>
      </c>
      <c r="N173" s="83">
        <f t="shared" si="1352"/>
        <v>0</v>
      </c>
      <c r="O173" s="83">
        <f t="shared" si="1352"/>
        <v>0</v>
      </c>
      <c r="P173" s="83">
        <f t="shared" si="1352"/>
        <v>0</v>
      </c>
      <c r="Q173" s="83">
        <f t="shared" si="1352"/>
        <v>0</v>
      </c>
      <c r="R173" s="83">
        <f t="shared" si="1352"/>
        <v>0</v>
      </c>
      <c r="S173" s="83">
        <f t="shared" si="1352"/>
        <v>0</v>
      </c>
      <c r="T173" s="83">
        <f t="shared" si="1352"/>
        <v>0</v>
      </c>
      <c r="U173" s="83">
        <f t="shared" si="1352"/>
        <v>0</v>
      </c>
      <c r="V173" s="83">
        <f t="shared" si="1352"/>
        <v>0</v>
      </c>
      <c r="W173" s="83">
        <f t="shared" si="1352"/>
        <v>0</v>
      </c>
    </row>
    <row r="174" spans="3:225" x14ac:dyDescent="0.25">
      <c r="C174" s="77" t="str">
        <f t="shared" si="1349"/>
        <v>CASETA 1</v>
      </c>
      <c r="D174" s="23" t="s">
        <v>18</v>
      </c>
      <c r="E174" s="83">
        <f>SUM(E171:E173)</f>
        <v>991</v>
      </c>
      <c r="F174" s="83">
        <f>SUM(F171:F173)</f>
        <v>1756</v>
      </c>
      <c r="G174" s="83">
        <f t="shared" ref="G174:W174" si="1353">SUM(G171:G173)</f>
        <v>829</v>
      </c>
      <c r="H174" s="83">
        <f t="shared" si="1353"/>
        <v>318</v>
      </c>
      <c r="I174" s="83">
        <f t="shared" si="1353"/>
        <v>216</v>
      </c>
      <c r="J174" s="83">
        <f t="shared" si="1353"/>
        <v>270</v>
      </c>
      <c r="K174" s="83">
        <f t="shared" si="1353"/>
        <v>502</v>
      </c>
      <c r="L174" s="83">
        <f t="shared" si="1353"/>
        <v>87</v>
      </c>
      <c r="M174" s="83">
        <f t="shared" si="1353"/>
        <v>186</v>
      </c>
      <c r="N174" s="83">
        <f t="shared" si="1353"/>
        <v>32</v>
      </c>
      <c r="O174" s="83">
        <f t="shared" si="1353"/>
        <v>216</v>
      </c>
      <c r="P174" s="83">
        <f t="shared" si="1353"/>
        <v>48</v>
      </c>
      <c r="Q174" s="83">
        <f t="shared" si="1353"/>
        <v>32</v>
      </c>
      <c r="R174" s="83">
        <f t="shared" si="1353"/>
        <v>25</v>
      </c>
      <c r="S174" s="83">
        <f t="shared" si="1353"/>
        <v>29</v>
      </c>
      <c r="T174" s="83">
        <f t="shared" si="1353"/>
        <v>5</v>
      </c>
      <c r="U174" s="83">
        <f t="shared" si="1353"/>
        <v>0</v>
      </c>
      <c r="V174" s="83">
        <f t="shared" si="1353"/>
        <v>0</v>
      </c>
      <c r="W174" s="83">
        <f t="shared" si="1353"/>
        <v>0</v>
      </c>
    </row>
    <row r="175" spans="3:225" x14ac:dyDescent="0.25">
      <c r="C175" s="77" t="str">
        <f t="shared" si="1349"/>
        <v>CASETA 1</v>
      </c>
      <c r="D175" s="23" t="s">
        <v>48</v>
      </c>
      <c r="E175" s="83">
        <f>VLOOKUP(E$168,CST1BY,9,0)</f>
        <v>991</v>
      </c>
      <c r="F175" s="83">
        <f>VLOOKUP(F$168,CST1BY,9,0)</f>
        <v>2747</v>
      </c>
      <c r="G175" s="83">
        <f>VLOOKUP(G$168,CST1BY,9,0)</f>
        <v>3576</v>
      </c>
      <c r="H175" s="83">
        <f t="shared" ref="H175:W175" si="1354">VLOOKUP(H$168,CST1BY,9,0)</f>
        <v>3894</v>
      </c>
      <c r="I175" s="83">
        <f t="shared" si="1354"/>
        <v>4110</v>
      </c>
      <c r="J175" s="83">
        <f t="shared" si="1354"/>
        <v>4380</v>
      </c>
      <c r="K175" s="83">
        <f t="shared" si="1354"/>
        <v>4882</v>
      </c>
      <c r="L175" s="83">
        <f t="shared" si="1354"/>
        <v>4969</v>
      </c>
      <c r="M175" s="83">
        <f t="shared" si="1354"/>
        <v>5155</v>
      </c>
      <c r="N175" s="83">
        <f t="shared" si="1354"/>
        <v>5187</v>
      </c>
      <c r="O175" s="83">
        <f t="shared" si="1354"/>
        <v>5403</v>
      </c>
      <c r="P175" s="83">
        <f t="shared" si="1354"/>
        <v>5451</v>
      </c>
      <c r="Q175" s="83">
        <f t="shared" si="1354"/>
        <v>5483</v>
      </c>
      <c r="R175" s="83">
        <f t="shared" si="1354"/>
        <v>5508</v>
      </c>
      <c r="S175" s="83">
        <f t="shared" si="1354"/>
        <v>5537</v>
      </c>
      <c r="T175" s="83">
        <f t="shared" si="1354"/>
        <v>5542</v>
      </c>
      <c r="U175" s="83">
        <f t="shared" si="1354"/>
        <v>5542</v>
      </c>
      <c r="V175" s="83">
        <f t="shared" si="1354"/>
        <v>5542</v>
      </c>
      <c r="W175" s="83">
        <f t="shared" si="1354"/>
        <v>5542</v>
      </c>
    </row>
    <row r="176" spans="3:225" x14ac:dyDescent="0.25">
      <c r="C176" s="77" t="str">
        <f t="shared" si="1349"/>
        <v>CASETA 1</v>
      </c>
      <c r="D176" s="86" t="s">
        <v>72</v>
      </c>
      <c r="E176" s="295">
        <f>VLOOKUP(E$168,CST1BY,10,0)</f>
        <v>0.7</v>
      </c>
      <c r="F176" s="295">
        <f>VLOOKUP(F$168,CST1BY,10,0)</f>
        <v>0.7</v>
      </c>
      <c r="G176" s="295">
        <f>VLOOKUP(G$168,CST1BY,10,0)</f>
        <v>0.7</v>
      </c>
      <c r="H176" s="295">
        <f t="shared" ref="H176:W176" si="1355">VLOOKUP(H$168,CST1BY,10,0)</f>
        <v>0.5</v>
      </c>
      <c r="I176" s="295">
        <f t="shared" si="1355"/>
        <v>0.3</v>
      </c>
      <c r="J176" s="295">
        <f t="shared" si="1355"/>
        <v>0.18</v>
      </c>
      <c r="K176" s="295">
        <f t="shared" si="1355"/>
        <v>0.18</v>
      </c>
      <c r="L176" s="295">
        <f t="shared" si="1355"/>
        <v>0.16</v>
      </c>
      <c r="M176" s="295">
        <f t="shared" si="1355"/>
        <v>0.16</v>
      </c>
      <c r="N176" s="295">
        <f t="shared" si="1355"/>
        <v>0.16</v>
      </c>
      <c r="O176" s="295">
        <f t="shared" si="1355"/>
        <v>0.16</v>
      </c>
      <c r="P176" s="295">
        <f t="shared" si="1355"/>
        <v>0.16</v>
      </c>
      <c r="Q176" s="295">
        <f t="shared" si="1355"/>
        <v>0.16</v>
      </c>
      <c r="R176" s="295">
        <f t="shared" si="1355"/>
        <v>0.16</v>
      </c>
      <c r="S176" s="295">
        <f t="shared" si="1355"/>
        <v>0.16</v>
      </c>
      <c r="T176" s="295">
        <f t="shared" si="1355"/>
        <v>0.16</v>
      </c>
      <c r="U176" s="295">
        <f t="shared" si="1355"/>
        <v>0.16</v>
      </c>
      <c r="V176" s="295">
        <f t="shared" si="1355"/>
        <v>0.16</v>
      </c>
      <c r="W176" s="295">
        <f t="shared" si="1355"/>
        <v>0.16</v>
      </c>
    </row>
    <row r="177" spans="3:23" x14ac:dyDescent="0.25">
      <c r="C177" s="77" t="str">
        <f t="shared" si="1349"/>
        <v>CASETA 1</v>
      </c>
      <c r="D177" s="86" t="s">
        <v>74</v>
      </c>
      <c r="E177" s="214">
        <f>VLOOKUP(E$168,CST1BY,11,0)</f>
        <v>0.73476529772452603</v>
      </c>
      <c r="F177" s="214">
        <f>VLOOKUP(F$168,CST1BY,11,0)</f>
        <v>1.3116027546645554</v>
      </c>
      <c r="G177" s="214">
        <f t="shared" ref="G177:W177" si="1356">VLOOKUP(G$168,CST1BY,11,0)</f>
        <v>0.62743139124774838</v>
      </c>
      <c r="H177" s="214">
        <f t="shared" si="1356"/>
        <v>0.48024646611090976</v>
      </c>
      <c r="I177" s="214">
        <f t="shared" si="1356"/>
        <v>0.22353537757815978</v>
      </c>
      <c r="J177" s="214">
        <f t="shared" si="1356"/>
        <v>0.2779064381658175</v>
      </c>
      <c r="K177" s="214">
        <f>VLOOKUP(K$168,CST1BY,11,0)</f>
        <v>0.51814006296124271</v>
      </c>
      <c r="L177" s="214">
        <f t="shared" si="1356"/>
        <v>9.0264880736229416E-2</v>
      </c>
      <c r="M177" s="214">
        <f t="shared" si="1356"/>
        <v>0.19315444047520147</v>
      </c>
      <c r="N177" s="214">
        <f t="shared" si="1356"/>
        <v>3.3295182603267089E-2</v>
      </c>
      <c r="O177" s="214">
        <f t="shared" si="1356"/>
        <v>0.2248173359145694</v>
      </c>
      <c r="P177" s="214">
        <f t="shared" si="1356"/>
        <v>6.9913773013283623E-2</v>
      </c>
      <c r="Q177" s="214">
        <f t="shared" si="1356"/>
        <v>4.6624122155200044E-2</v>
      </c>
      <c r="R177" s="214">
        <f t="shared" si="1356"/>
        <v>3.6442086236552873E-2</v>
      </c>
      <c r="S177" s="214">
        <f t="shared" si="1356"/>
        <v>4.2288230747918397E-2</v>
      </c>
      <c r="T177" s="214">
        <f t="shared" si="1356"/>
        <v>7.2941588376028476E-3</v>
      </c>
      <c r="U177" s="214">
        <f t="shared" si="1356"/>
        <v>0</v>
      </c>
      <c r="V177" s="214">
        <f t="shared" si="1356"/>
        <v>0</v>
      </c>
      <c r="W177" s="214">
        <f t="shared" si="1356"/>
        <v>0</v>
      </c>
    </row>
    <row r="178" spans="3:23" ht="25.5" x14ac:dyDescent="0.25">
      <c r="C178" s="77" t="str">
        <f t="shared" si="1349"/>
        <v>CASETA 1</v>
      </c>
      <c r="D178" s="87" t="s">
        <v>49</v>
      </c>
      <c r="E178" s="319">
        <f>VLOOKUP(E$168,CST1BY,12,0)</f>
        <v>0.7</v>
      </c>
      <c r="F178" s="319">
        <f>VLOOKUP(F$168,CST1BY,12,0)</f>
        <v>0.7</v>
      </c>
      <c r="G178" s="319">
        <f t="shared" ref="G178:W178" si="1357">VLOOKUP(G$168,CST1BY,12,0)</f>
        <v>1.4</v>
      </c>
      <c r="H178" s="319">
        <f t="shared" si="1357"/>
        <v>1.9</v>
      </c>
      <c r="I178" s="319">
        <f t="shared" si="1357"/>
        <v>2.1999999999999997</v>
      </c>
      <c r="J178" s="319">
        <f t="shared" si="1357"/>
        <v>2.38</v>
      </c>
      <c r="K178" s="319">
        <f t="shared" si="1357"/>
        <v>2.56</v>
      </c>
      <c r="L178" s="319">
        <f t="shared" si="1357"/>
        <v>2.72</v>
      </c>
      <c r="M178" s="319">
        <f t="shared" si="1357"/>
        <v>2.8800000000000003</v>
      </c>
      <c r="N178" s="319">
        <f t="shared" si="1357"/>
        <v>3.0400000000000005</v>
      </c>
      <c r="O178" s="319">
        <f t="shared" si="1357"/>
        <v>3.2000000000000006</v>
      </c>
      <c r="P178" s="319">
        <f t="shared" si="1357"/>
        <v>3.3600000000000008</v>
      </c>
      <c r="Q178" s="319">
        <f t="shared" si="1357"/>
        <v>3.5200000000000009</v>
      </c>
      <c r="R178" s="319">
        <f t="shared" si="1357"/>
        <v>3.680000000000001</v>
      </c>
      <c r="S178" s="319">
        <f t="shared" si="1357"/>
        <v>3.8400000000000012</v>
      </c>
      <c r="T178" s="319">
        <f t="shared" si="1357"/>
        <v>4.0000000000000009</v>
      </c>
      <c r="U178" s="319">
        <f t="shared" si="1357"/>
        <v>4.160000000000001</v>
      </c>
      <c r="V178" s="319">
        <f t="shared" si="1357"/>
        <v>4.3200000000000012</v>
      </c>
      <c r="W178" s="319">
        <f t="shared" si="1357"/>
        <v>4.4800000000000013</v>
      </c>
    </row>
    <row r="179" spans="3:23" ht="25.5" x14ac:dyDescent="0.25">
      <c r="C179" s="77" t="str">
        <f t="shared" si="1349"/>
        <v>CASETA 1</v>
      </c>
      <c r="D179" s="87" t="s">
        <v>73</v>
      </c>
      <c r="E179" s="214">
        <f>VLOOKUP(E$168,CST1BY,13,0)</f>
        <v>0.73476529772452603</v>
      </c>
      <c r="F179" s="214">
        <f>VLOOKUP(F$168,CST1BY,13,0)</f>
        <v>2.0518068149564543</v>
      </c>
      <c r="G179" s="214">
        <f t="shared" ref="G179:W179" si="1358">VLOOKUP(G$168,CST1BY,13,0)</f>
        <v>2.7065074247309386</v>
      </c>
      <c r="H179" s="214">
        <f t="shared" si="1358"/>
        <v>5.8807538963392529</v>
      </c>
      <c r="I179" s="214">
        <f t="shared" si="1358"/>
        <v>4.2533814900288736</v>
      </c>
      <c r="J179" s="214">
        <f t="shared" si="1358"/>
        <v>4.5082599969121508</v>
      </c>
      <c r="K179" s="214">
        <f t="shared" si="1358"/>
        <v>5.0389637198740775</v>
      </c>
      <c r="L179" s="214">
        <f t="shared" si="1358"/>
        <v>5.1554734756129195</v>
      </c>
      <c r="M179" s="214">
        <f t="shared" si="1358"/>
        <v>5.353285702417546</v>
      </c>
      <c r="N179" s="214">
        <f t="shared" si="1358"/>
        <v>5.3969410050983244</v>
      </c>
      <c r="O179" s="214">
        <f t="shared" si="1358"/>
        <v>5.6235558608630489</v>
      </c>
      <c r="P179" s="214">
        <f t="shared" si="1358"/>
        <v>7.9395828478210211</v>
      </c>
      <c r="Q179" s="214">
        <f t="shared" si="1358"/>
        <v>7.9887519305300581</v>
      </c>
      <c r="R179" s="214">
        <f t="shared" si="1358"/>
        <v>8.0289204396373286</v>
      </c>
      <c r="S179" s="214">
        <f t="shared" si="1358"/>
        <v>8.0741356431456612</v>
      </c>
      <c r="T179" s="214">
        <f t="shared" si="1358"/>
        <v>8.0848456555989969</v>
      </c>
      <c r="U179" s="214">
        <f t="shared" si="1358"/>
        <v>8.0854354201012502</v>
      </c>
      <c r="V179" s="214">
        <f t="shared" si="1358"/>
        <v>8.0854354201012502</v>
      </c>
      <c r="W179" s="214">
        <f t="shared" si="1358"/>
        <v>8.0854354201012502</v>
      </c>
    </row>
    <row r="180" spans="3:23" x14ac:dyDescent="0.25">
      <c r="C180" s="77" t="str">
        <f t="shared" si="1349"/>
        <v>CASETA 1</v>
      </c>
      <c r="D180" s="23" t="s">
        <v>9</v>
      </c>
      <c r="E180" s="83">
        <f>VLOOKUP(E$168,CST1BY,14,0)</f>
        <v>6840</v>
      </c>
      <c r="F180" s="83">
        <f>VLOOKUP(F$168,CST1BY,14,0)</f>
        <v>14200</v>
      </c>
      <c r="G180" s="83">
        <f t="shared" ref="G180:W180" si="1359">VLOOKUP(G$168,CST1BY,14,0)</f>
        <v>18600</v>
      </c>
      <c r="H180" s="83">
        <f t="shared" si="1359"/>
        <v>13600</v>
      </c>
      <c r="I180" s="83">
        <f t="shared" si="1359"/>
        <v>12225</v>
      </c>
      <c r="J180" s="83">
        <f t="shared" si="1359"/>
        <v>20202</v>
      </c>
      <c r="K180" s="83">
        <f t="shared" si="1359"/>
        <v>21021</v>
      </c>
      <c r="L180" s="83">
        <f t="shared" si="1359"/>
        <v>23478</v>
      </c>
      <c r="M180" s="83">
        <f t="shared" si="1359"/>
        <v>27573</v>
      </c>
      <c r="N180" s="83">
        <f t="shared" si="1359"/>
        <v>19110</v>
      </c>
      <c r="O180" s="83">
        <f t="shared" si="1359"/>
        <v>29211</v>
      </c>
      <c r="P180" s="83">
        <f t="shared" si="1359"/>
        <v>26208</v>
      </c>
      <c r="Q180" s="83">
        <f t="shared" si="1359"/>
        <v>24024</v>
      </c>
      <c r="R180" s="83">
        <f t="shared" si="1359"/>
        <v>19929</v>
      </c>
      <c r="S180" s="83">
        <f t="shared" si="1359"/>
        <v>25662</v>
      </c>
      <c r="T180" s="83">
        <f t="shared" si="1359"/>
        <v>8190</v>
      </c>
      <c r="U180" s="83">
        <f t="shared" si="1359"/>
        <v>0</v>
      </c>
      <c r="V180" s="83">
        <f t="shared" si="1359"/>
        <v>0</v>
      </c>
      <c r="W180" s="83">
        <f t="shared" si="1359"/>
        <v>0</v>
      </c>
    </row>
    <row r="181" spans="3:23" ht="25.5" x14ac:dyDescent="0.25">
      <c r="C181" s="77" t="str">
        <f t="shared" si="1349"/>
        <v>CASETA 1</v>
      </c>
      <c r="D181" s="86" t="s">
        <v>75</v>
      </c>
      <c r="E181" s="83">
        <f>VLOOKUP(E$168,CST1BY,15,0)</f>
        <v>10</v>
      </c>
      <c r="F181" s="83">
        <f>VLOOKUP(F$168,CST1BY,15,0)</f>
        <v>10</v>
      </c>
      <c r="G181" s="83">
        <f t="shared" ref="G181:W181" si="1360">VLOOKUP(G$168,CST1BY,15,0)</f>
        <v>17</v>
      </c>
      <c r="H181" s="83">
        <f t="shared" si="1360"/>
        <v>23</v>
      </c>
      <c r="I181" s="83">
        <f>VLOOKUP(I$168,CST1BY,15,0)</f>
        <v>29</v>
      </c>
      <c r="J181" s="83">
        <f t="shared" si="1360"/>
        <v>34</v>
      </c>
      <c r="K181" s="83">
        <f t="shared" si="1360"/>
        <v>38</v>
      </c>
      <c r="L181" s="83">
        <f t="shared" si="1360"/>
        <v>42</v>
      </c>
      <c r="M181" s="83">
        <f t="shared" si="1360"/>
        <v>46</v>
      </c>
      <c r="N181" s="83">
        <f t="shared" si="1360"/>
        <v>49</v>
      </c>
      <c r="O181" s="83">
        <f t="shared" si="1360"/>
        <v>52</v>
      </c>
      <c r="P181" s="83">
        <f t="shared" si="1360"/>
        <v>55</v>
      </c>
      <c r="Q181" s="83">
        <f t="shared" si="1360"/>
        <v>58</v>
      </c>
      <c r="R181" s="83">
        <f t="shared" si="1360"/>
        <v>61</v>
      </c>
      <c r="S181" s="83">
        <f t="shared" si="1360"/>
        <v>64</v>
      </c>
      <c r="T181" s="83">
        <f t="shared" si="1360"/>
        <v>67</v>
      </c>
      <c r="U181" s="83">
        <f t="shared" si="1360"/>
        <v>71</v>
      </c>
      <c r="V181" s="83">
        <f t="shared" si="1360"/>
        <v>75</v>
      </c>
      <c r="W181" s="83">
        <f t="shared" si="1360"/>
        <v>79</v>
      </c>
    </row>
    <row r="182" spans="3:23" ht="25.5" x14ac:dyDescent="0.25">
      <c r="C182" s="77" t="str">
        <f t="shared" si="1349"/>
        <v>CASETA 1</v>
      </c>
      <c r="D182" s="86" t="s">
        <v>62</v>
      </c>
      <c r="E182" s="83">
        <f>VLOOKUP(E$168,CST1BY,16,0)</f>
        <v>7.2449108208674611</v>
      </c>
      <c r="F182" s="83">
        <f>VLOOKUP(F$168,CST1BY,16,0)</f>
        <v>15.151935499704431</v>
      </c>
      <c r="G182" s="83">
        <f t="shared" ref="G182:W182" si="1361">VLOOKUP(G$168,CST1BY,16,0)</f>
        <v>20.110673577818577</v>
      </c>
      <c r="H182" s="83">
        <f>VLOOKUP(H$168,CST1BY,16,0)</f>
        <v>29.341203679732132</v>
      </c>
      <c r="I182" s="83">
        <f t="shared" si="1361"/>
        <v>18.073544913313512</v>
      </c>
      <c r="J182" s="83">
        <f t="shared" si="1361"/>
        <v>29.705110390612937</v>
      </c>
      <c r="K182" s="83">
        <f t="shared" si="1361"/>
        <v>30.995510140888683</v>
      </c>
      <c r="L182" s="83">
        <f t="shared" si="1361"/>
        <v>34.79866781486362</v>
      </c>
      <c r="M182" s="83">
        <f t="shared" si="1361"/>
        <v>40.905125861925725</v>
      </c>
      <c r="N182" s="83">
        <f t="shared" si="1361"/>
        <v>28.404952658412235</v>
      </c>
      <c r="O182" s="83">
        <f t="shared" si="1361"/>
        <v>43.433460313495289</v>
      </c>
      <c r="P182" s="83">
        <f t="shared" si="1361"/>
        <v>54.532742950361225</v>
      </c>
      <c r="Q182" s="83">
        <f>VLOOKUP(Q$168,CST1BY,16,0)</f>
        <v>50.004371011452051</v>
      </c>
      <c r="R182" s="83">
        <f t="shared" si="1361"/>
        <v>41.500247806186408</v>
      </c>
      <c r="S182" s="83">
        <f t="shared" si="1361"/>
        <v>53.45815652478236</v>
      </c>
      <c r="T182" s="83">
        <f t="shared" si="1361"/>
        <v>17.068331679990663</v>
      </c>
      <c r="U182" s="83">
        <f t="shared" si="1361"/>
        <v>0</v>
      </c>
      <c r="V182" s="83">
        <f t="shared" si="1361"/>
        <v>0</v>
      </c>
      <c r="W182" s="83">
        <f t="shared" si="1361"/>
        <v>0</v>
      </c>
    </row>
    <row r="183" spans="3:23" ht="25.5" x14ac:dyDescent="0.25">
      <c r="C183" s="77" t="str">
        <f t="shared" si="1349"/>
        <v>CASETA 1</v>
      </c>
      <c r="D183" s="24" t="s">
        <v>50</v>
      </c>
      <c r="E183" s="83">
        <f>VLOOKUP(E$168,CST1BY,17,0)</f>
        <v>63.871862762436976</v>
      </c>
      <c r="F183" s="83">
        <f>VLOOKUP(F$168,CST1BY,17,0)</f>
        <v>170.66332686540704</v>
      </c>
      <c r="G183" s="83">
        <f t="shared" ref="G183:W183" si="1362">VLOOKUP(G$168,CST1BY,17,0)</f>
        <v>311.91419071338413</v>
      </c>
      <c r="H183" s="83">
        <f t="shared" si="1362"/>
        <v>480.08783331582617</v>
      </c>
      <c r="I183" s="83">
        <f t="shared" si="1362"/>
        <v>609.37400251469649</v>
      </c>
      <c r="J183" s="83">
        <f t="shared" si="1362"/>
        <v>817.54368777334821</v>
      </c>
      <c r="K183" s="83">
        <f t="shared" si="1362"/>
        <v>1035.1103803143819</v>
      </c>
      <c r="L183" s="83">
        <f t="shared" si="1362"/>
        <v>1278.8189148398308</v>
      </c>
      <c r="M183" s="83">
        <f t="shared" si="1362"/>
        <v>1565.5853814898201</v>
      </c>
      <c r="N183" s="83">
        <f t="shared" si="1362"/>
        <v>1764.4560859730022</v>
      </c>
      <c r="O183" s="83">
        <f t="shared" si="1362"/>
        <v>2068.8101467921683</v>
      </c>
      <c r="P183" s="83">
        <f t="shared" si="1362"/>
        <v>2385.8661362196235</v>
      </c>
      <c r="Q183" s="83">
        <f t="shared" si="1362"/>
        <v>2735.9669354025123</v>
      </c>
      <c r="R183" s="83">
        <f t="shared" si="1362"/>
        <v>3026.5131136644368</v>
      </c>
      <c r="S183" s="83">
        <f t="shared" si="1362"/>
        <v>3400.7876809350009</v>
      </c>
      <c r="T183" s="83">
        <f t="shared" si="1362"/>
        <v>3520.2686172807612</v>
      </c>
      <c r="U183" s="83">
        <f t="shared" si="1362"/>
        <v>3520.2686172807612</v>
      </c>
      <c r="V183" s="83">
        <f t="shared" si="1362"/>
        <v>3520.2686172807612</v>
      </c>
      <c r="W183" s="83">
        <f t="shared" si="1362"/>
        <v>3520.2686172807612</v>
      </c>
    </row>
    <row r="184" spans="3:23" x14ac:dyDescent="0.25">
      <c r="C184" s="77" t="str">
        <f t="shared" si="1349"/>
        <v>CASETA 1</v>
      </c>
      <c r="D184" s="86" t="s">
        <v>63</v>
      </c>
      <c r="E184" s="83">
        <f>VLOOKUP(E$168,CST1BY,18,0)</f>
        <v>40</v>
      </c>
      <c r="F184" s="83">
        <f>VLOOKUP(F$168,CST1BY,18,0)</f>
        <v>70</v>
      </c>
      <c r="G184" s="83">
        <f t="shared" ref="G184:W184" si="1363">VLOOKUP(G$168,CST1BY,18,0)</f>
        <v>120</v>
      </c>
      <c r="H184" s="83">
        <f t="shared" si="1363"/>
        <v>185</v>
      </c>
      <c r="I184" s="83">
        <f t="shared" si="1363"/>
        <v>255</v>
      </c>
      <c r="J184" s="83">
        <f t="shared" si="1363"/>
        <v>334</v>
      </c>
      <c r="K184" s="83">
        <f t="shared" si="1363"/>
        <v>425</v>
      </c>
      <c r="L184" s="83">
        <f t="shared" si="1363"/>
        <v>524</v>
      </c>
      <c r="M184" s="83">
        <f t="shared" si="1363"/>
        <v>618</v>
      </c>
      <c r="N184" s="83">
        <f t="shared" si="1363"/>
        <v>712</v>
      </c>
      <c r="O184" s="83">
        <f t="shared" si="1363"/>
        <v>802</v>
      </c>
      <c r="P184" s="83">
        <f t="shared" si="1363"/>
        <v>880</v>
      </c>
      <c r="Q184" s="83">
        <f t="shared" si="1363"/>
        <v>950</v>
      </c>
      <c r="R184" s="83">
        <f t="shared" si="1363"/>
        <v>1010</v>
      </c>
      <c r="S184" s="83">
        <f t="shared" si="1363"/>
        <v>1065</v>
      </c>
      <c r="T184" s="83">
        <f t="shared" si="1363"/>
        <v>1115</v>
      </c>
      <c r="U184" s="83">
        <f t="shared" si="1363"/>
        <v>1160</v>
      </c>
      <c r="V184" s="83">
        <f t="shared" si="1363"/>
        <v>1207</v>
      </c>
      <c r="W184" s="83">
        <f t="shared" si="1363"/>
        <v>1257</v>
      </c>
    </row>
    <row r="185" spans="3:23" x14ac:dyDescent="0.25">
      <c r="C185" s="77" t="str">
        <f t="shared" si="1349"/>
        <v>CASETA 1</v>
      </c>
      <c r="D185" s="86" t="s">
        <v>64</v>
      </c>
      <c r="E185" s="83">
        <f>VLOOKUP(E$168,CST1BY,19,0)</f>
        <v>39</v>
      </c>
      <c r="F185" s="83">
        <f>VLOOKUP(F$168,CST1BY,19,0)</f>
        <v>69</v>
      </c>
      <c r="G185" s="83">
        <f t="shared" ref="G185:W185" si="1364">VLOOKUP(G$168,CST1BY,19,0)</f>
        <v>124</v>
      </c>
      <c r="H185" s="83">
        <f t="shared" si="1364"/>
        <v>170</v>
      </c>
      <c r="I185" s="83">
        <f t="shared" si="1364"/>
        <v>235</v>
      </c>
      <c r="J185" s="83">
        <f t="shared" si="1364"/>
        <v>316</v>
      </c>
      <c r="K185" s="83">
        <f t="shared" si="1364"/>
        <v>450</v>
      </c>
      <c r="L185" s="83">
        <f t="shared" si="1364"/>
        <v>504</v>
      </c>
      <c r="M185" s="83">
        <f t="shared" si="1364"/>
        <v>628</v>
      </c>
      <c r="N185" s="83">
        <f t="shared" si="1364"/>
        <v>614</v>
      </c>
      <c r="O185" s="83">
        <f t="shared" si="1364"/>
        <v>749</v>
      </c>
      <c r="P185" s="83">
        <f t="shared" si="1364"/>
        <v>869</v>
      </c>
      <c r="Q185" s="83">
        <f t="shared" si="1364"/>
        <v>909</v>
      </c>
      <c r="R185" s="83">
        <f t="shared" si="1364"/>
        <v>973</v>
      </c>
      <c r="S185" s="83">
        <f t="shared" si="1364"/>
        <v>1009</v>
      </c>
      <c r="T185" s="83">
        <f t="shared" si="1364"/>
        <v>0</v>
      </c>
      <c r="U185" s="83">
        <f t="shared" si="1364"/>
        <v>0</v>
      </c>
      <c r="V185" s="83">
        <f t="shared" si="1364"/>
        <v>0</v>
      </c>
      <c r="W185" s="83">
        <f t="shared" si="1364"/>
        <v>0</v>
      </c>
    </row>
    <row r="186" spans="3:23" x14ac:dyDescent="0.25">
      <c r="C186" s="77" t="str">
        <f t="shared" si="1349"/>
        <v>CASETA 1</v>
      </c>
      <c r="D186" s="23" t="s">
        <v>15</v>
      </c>
      <c r="E186" s="83">
        <f>VLOOKUP(E$168,CST1BY,20,0)</f>
        <v>1</v>
      </c>
      <c r="F186" s="83">
        <f>VLOOKUP(F$168,CST1BY,20,0)</f>
        <v>1</v>
      </c>
      <c r="G186" s="83">
        <f t="shared" ref="G186:W186" si="1365">VLOOKUP(G$168,CST1BY,20,0)</f>
        <v>-4</v>
      </c>
      <c r="H186" s="83">
        <f t="shared" si="1365"/>
        <v>15</v>
      </c>
      <c r="I186" s="83">
        <f t="shared" si="1365"/>
        <v>20</v>
      </c>
      <c r="J186" s="83">
        <f t="shared" si="1365"/>
        <v>18</v>
      </c>
      <c r="K186" s="83">
        <f t="shared" si="1365"/>
        <v>-25</v>
      </c>
      <c r="L186" s="83">
        <f t="shared" si="1365"/>
        <v>20</v>
      </c>
      <c r="M186" s="83">
        <f t="shared" si="1365"/>
        <v>-10</v>
      </c>
      <c r="N186" s="83">
        <f t="shared" si="1365"/>
        <v>98</v>
      </c>
      <c r="O186" s="83">
        <f t="shared" si="1365"/>
        <v>53</v>
      </c>
      <c r="P186" s="83">
        <f t="shared" si="1365"/>
        <v>11</v>
      </c>
      <c r="Q186" s="83">
        <f t="shared" si="1365"/>
        <v>41</v>
      </c>
      <c r="R186" s="83">
        <f t="shared" si="1365"/>
        <v>37</v>
      </c>
      <c r="S186" s="83">
        <f t="shared" si="1365"/>
        <v>56</v>
      </c>
      <c r="T186" s="83">
        <f t="shared" si="1365"/>
        <v>1115</v>
      </c>
      <c r="U186" s="83">
        <f t="shared" si="1365"/>
        <v>1160</v>
      </c>
      <c r="V186" s="83">
        <f t="shared" si="1365"/>
        <v>1207</v>
      </c>
      <c r="W186" s="83">
        <f t="shared" si="1365"/>
        <v>1257</v>
      </c>
    </row>
    <row r="187" spans="3:23" ht="25.5" x14ac:dyDescent="0.25">
      <c r="C187" s="77" t="str">
        <f t="shared" si="1349"/>
        <v>CASETA 1</v>
      </c>
      <c r="D187" s="86" t="s">
        <v>65</v>
      </c>
      <c r="E187" s="83">
        <f>VLOOKUP(E$168,CST1BY,21,0)</f>
        <v>77</v>
      </c>
      <c r="F187" s="83">
        <f>VLOOKUP(F$168,CST1BY,21,0)</f>
        <v>77</v>
      </c>
      <c r="G187" s="83">
        <f t="shared" ref="G187:W187" si="1366">VLOOKUP(G$168,CST1BY,21,0)</f>
        <v>77</v>
      </c>
      <c r="H187" s="83">
        <f t="shared" si="1366"/>
        <v>77</v>
      </c>
      <c r="I187" s="83">
        <f t="shared" si="1366"/>
        <v>79</v>
      </c>
      <c r="J187" s="83">
        <f t="shared" si="1366"/>
        <v>79</v>
      </c>
      <c r="K187" s="83">
        <f t="shared" si="1366"/>
        <v>79</v>
      </c>
      <c r="L187" s="83">
        <f t="shared" si="1366"/>
        <v>79</v>
      </c>
      <c r="M187" s="83">
        <f t="shared" si="1366"/>
        <v>79</v>
      </c>
      <c r="N187" s="83">
        <f t="shared" si="1366"/>
        <v>79</v>
      </c>
      <c r="O187" s="83">
        <f t="shared" si="1366"/>
        <v>80</v>
      </c>
      <c r="P187" s="83">
        <f t="shared" si="1366"/>
        <v>80</v>
      </c>
      <c r="Q187" s="83">
        <f t="shared" si="1366"/>
        <v>82</v>
      </c>
      <c r="R187" s="83">
        <f t="shared" si="1366"/>
        <v>82</v>
      </c>
      <c r="S187" s="83">
        <f t="shared" si="1366"/>
        <v>84</v>
      </c>
      <c r="T187" s="83">
        <f t="shared" si="1366"/>
        <v>86</v>
      </c>
      <c r="U187" s="83">
        <f t="shared" si="1366"/>
        <v>86</v>
      </c>
      <c r="V187" s="83">
        <f t="shared" si="1366"/>
        <v>86</v>
      </c>
      <c r="W187" s="83">
        <f t="shared" si="1366"/>
        <v>86</v>
      </c>
    </row>
    <row r="188" spans="3:23" ht="25.5" x14ac:dyDescent="0.25">
      <c r="C188" s="77" t="str">
        <f t="shared" si="1349"/>
        <v>CASETA 1</v>
      </c>
      <c r="D188" s="86" t="s">
        <v>66</v>
      </c>
      <c r="E188" s="83">
        <f t="shared" ref="E188:W188" si="1367">VLOOKUP(E$168,CST1BY,22,0)</f>
        <v>80</v>
      </c>
      <c r="F188" s="83">
        <f t="shared" si="1367"/>
        <v>63</v>
      </c>
      <c r="G188" s="83">
        <f t="shared" si="1367"/>
        <v>72</v>
      </c>
      <c r="H188" s="83">
        <f t="shared" si="1367"/>
        <v>54</v>
      </c>
      <c r="I188" s="83">
        <f t="shared" si="1367"/>
        <v>55</v>
      </c>
      <c r="J188" s="83">
        <f t="shared" si="1367"/>
        <v>62</v>
      </c>
      <c r="K188" s="83">
        <f t="shared" si="1367"/>
        <v>49</v>
      </c>
      <c r="L188" s="83">
        <f t="shared" si="1367"/>
        <v>68</v>
      </c>
      <c r="M188" s="83">
        <f t="shared" si="1367"/>
        <v>94</v>
      </c>
      <c r="N188" s="83">
        <f t="shared" si="1367"/>
        <v>66</v>
      </c>
      <c r="O188" s="83">
        <f t="shared" si="1367"/>
        <v>78</v>
      </c>
      <c r="P188" s="83">
        <f t="shared" si="1367"/>
        <v>63</v>
      </c>
      <c r="Q188" s="83">
        <f t="shared" si="1367"/>
        <v>71</v>
      </c>
      <c r="R188" s="83">
        <f t="shared" si="1367"/>
        <v>74</v>
      </c>
      <c r="S188" s="83">
        <f t="shared" si="1367"/>
        <v>73</v>
      </c>
      <c r="T188" s="83">
        <f t="shared" si="1367"/>
        <v>0</v>
      </c>
      <c r="U188" s="83">
        <f t="shared" si="1367"/>
        <v>0</v>
      </c>
      <c r="V188" s="83">
        <f t="shared" si="1367"/>
        <v>0</v>
      </c>
      <c r="W188" s="83">
        <f t="shared" si="1367"/>
        <v>0</v>
      </c>
    </row>
    <row r="189" spans="3:23" x14ac:dyDescent="0.25">
      <c r="C189" s="77" t="str">
        <f t="shared" si="1349"/>
        <v>CASETA 1</v>
      </c>
      <c r="D189" s="23" t="s">
        <v>15</v>
      </c>
      <c r="E189" s="83">
        <f t="shared" ref="E189:W189" si="1368">VLOOKUP(E$168,CST1BY,23,0)</f>
        <v>-3</v>
      </c>
      <c r="F189" s="83">
        <f t="shared" si="1368"/>
        <v>14</v>
      </c>
      <c r="G189" s="83">
        <f t="shared" si="1368"/>
        <v>5</v>
      </c>
      <c r="H189" s="83">
        <f t="shared" si="1368"/>
        <v>23</v>
      </c>
      <c r="I189" s="83">
        <f t="shared" si="1368"/>
        <v>24</v>
      </c>
      <c r="J189" s="83">
        <f t="shared" si="1368"/>
        <v>17</v>
      </c>
      <c r="K189" s="83">
        <f t="shared" si="1368"/>
        <v>30</v>
      </c>
      <c r="L189" s="83">
        <f t="shared" si="1368"/>
        <v>11</v>
      </c>
      <c r="M189" s="83">
        <f t="shared" si="1368"/>
        <v>-15</v>
      </c>
      <c r="N189" s="83">
        <f>VLOOKUP(N$168,CST1BY,23,0)</f>
        <v>13</v>
      </c>
      <c r="O189" s="83">
        <f t="shared" si="1368"/>
        <v>2</v>
      </c>
      <c r="P189" s="83">
        <f t="shared" si="1368"/>
        <v>17</v>
      </c>
      <c r="Q189" s="83">
        <f t="shared" si="1368"/>
        <v>11</v>
      </c>
      <c r="R189" s="83">
        <f t="shared" si="1368"/>
        <v>8</v>
      </c>
      <c r="S189" s="83">
        <f t="shared" si="1368"/>
        <v>11</v>
      </c>
      <c r="T189" s="83">
        <f t="shared" si="1368"/>
        <v>86</v>
      </c>
      <c r="U189" s="83">
        <f t="shared" si="1368"/>
        <v>86</v>
      </c>
      <c r="V189" s="83">
        <f t="shared" si="1368"/>
        <v>86</v>
      </c>
      <c r="W189" s="83">
        <f t="shared" si="1368"/>
        <v>86</v>
      </c>
    </row>
    <row r="190" spans="3:23" x14ac:dyDescent="0.25">
      <c r="E190" s="1"/>
      <c r="F190" s="316"/>
      <c r="G190" s="316"/>
      <c r="H190" s="316"/>
      <c r="I190" s="316"/>
      <c r="J190" s="316"/>
      <c r="K190" s="316"/>
      <c r="L190" s="316"/>
      <c r="M190" s="316"/>
      <c r="N190" s="316"/>
      <c r="O190" s="316"/>
      <c r="P190" s="316"/>
      <c r="Q190" s="316"/>
      <c r="R190" s="316"/>
      <c r="S190" s="316"/>
      <c r="T190" s="316"/>
      <c r="U190" s="316"/>
      <c r="V190" s="316"/>
      <c r="W190" s="316"/>
    </row>
    <row r="191" spans="3:23" x14ac:dyDescent="0.25">
      <c r="E191" s="1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316"/>
      <c r="T191" s="316"/>
      <c r="U191" s="316"/>
      <c r="V191" s="316"/>
      <c r="W191" s="316"/>
    </row>
    <row r="192" spans="3:23" ht="25.5" x14ac:dyDescent="0.25">
      <c r="C192" s="315" t="s">
        <v>53</v>
      </c>
      <c r="D192" s="24" t="s">
        <v>67</v>
      </c>
      <c r="E192" s="83">
        <f t="shared" ref="E192:W192" si="1369">VLOOKUP(E$168,CST2BY,3,0)</f>
        <v>55260</v>
      </c>
      <c r="F192" s="83">
        <f t="shared" si="1369"/>
        <v>153176</v>
      </c>
      <c r="G192" s="83">
        <f t="shared" si="1369"/>
        <v>152670</v>
      </c>
      <c r="H192" s="83">
        <f t="shared" si="1369"/>
        <v>150013</v>
      </c>
      <c r="I192" s="83">
        <f t="shared" si="1369"/>
        <v>111666</v>
      </c>
      <c r="J192" s="83">
        <f t="shared" si="1369"/>
        <v>88118</v>
      </c>
      <c r="K192" s="83">
        <f t="shared" si="1369"/>
        <v>87821</v>
      </c>
      <c r="L192" s="83">
        <f t="shared" si="1369"/>
        <v>87266</v>
      </c>
      <c r="M192" s="83">
        <f t="shared" si="1369"/>
        <v>86844</v>
      </c>
      <c r="N192" s="83">
        <f t="shared" si="1369"/>
        <v>86787</v>
      </c>
      <c r="O192" s="83">
        <f t="shared" si="1369"/>
        <v>86715</v>
      </c>
      <c r="P192" s="83">
        <f t="shared" si="1369"/>
        <v>59427</v>
      </c>
      <c r="Q192" s="83">
        <f t="shared" si="1369"/>
        <v>59413</v>
      </c>
      <c r="R192" s="83">
        <f t="shared" si="1369"/>
        <v>59379</v>
      </c>
      <c r="S192" s="83">
        <f t="shared" si="1369"/>
        <v>59335</v>
      </c>
      <c r="T192" s="83">
        <f t="shared" si="1369"/>
        <v>59295</v>
      </c>
      <c r="U192" s="83">
        <f t="shared" si="1369"/>
        <v>59287</v>
      </c>
      <c r="V192" s="83">
        <f t="shared" si="1369"/>
        <v>59287</v>
      </c>
      <c r="W192" s="83">
        <f t="shared" si="1369"/>
        <v>59287</v>
      </c>
    </row>
    <row r="193" spans="3:23" x14ac:dyDescent="0.25">
      <c r="C193" s="77" t="str">
        <f>C192</f>
        <v>CASETA 2</v>
      </c>
      <c r="D193" s="24" t="s">
        <v>34</v>
      </c>
      <c r="E193" s="83">
        <f t="shared" ref="E193:W193" si="1370">VLOOKUP(E$168,CST2BY,4,0)</f>
        <v>55196</v>
      </c>
      <c r="F193" s="83">
        <f t="shared" si="1370"/>
        <v>152670</v>
      </c>
      <c r="G193" s="83">
        <f t="shared" si="1370"/>
        <v>150013</v>
      </c>
      <c r="H193" s="83">
        <f t="shared" si="1370"/>
        <v>118966</v>
      </c>
      <c r="I193" s="83">
        <f t="shared" si="1370"/>
        <v>88118</v>
      </c>
      <c r="J193" s="83">
        <f t="shared" si="1370"/>
        <v>87821</v>
      </c>
      <c r="K193" s="83">
        <f t="shared" si="1370"/>
        <v>87266</v>
      </c>
      <c r="L193" s="83">
        <f t="shared" si="1370"/>
        <v>86844</v>
      </c>
      <c r="M193" s="83">
        <f t="shared" si="1370"/>
        <v>86787</v>
      </c>
      <c r="N193" s="83">
        <f t="shared" si="1370"/>
        <v>86715</v>
      </c>
      <c r="O193" s="83">
        <f t="shared" si="1370"/>
        <v>86640</v>
      </c>
      <c r="P193" s="83">
        <f t="shared" si="1370"/>
        <v>59413</v>
      </c>
      <c r="Q193" s="83">
        <f t="shared" si="1370"/>
        <v>59379</v>
      </c>
      <c r="R193" s="83">
        <f t="shared" si="1370"/>
        <v>59335</v>
      </c>
      <c r="S193" s="83">
        <f t="shared" si="1370"/>
        <v>59295</v>
      </c>
      <c r="T193" s="83">
        <f t="shared" si="1370"/>
        <v>59287</v>
      </c>
      <c r="U193" s="83">
        <f t="shared" si="1370"/>
        <v>59287</v>
      </c>
      <c r="V193" s="83">
        <f t="shared" si="1370"/>
        <v>59287</v>
      </c>
      <c r="W193" s="83">
        <f t="shared" si="1370"/>
        <v>59287</v>
      </c>
    </row>
    <row r="194" spans="3:23" x14ac:dyDescent="0.25">
      <c r="C194" s="77" t="str">
        <f t="shared" ref="C194:C212" si="1371">C193</f>
        <v>CASETA 2</v>
      </c>
      <c r="D194" s="23" t="s">
        <v>27</v>
      </c>
      <c r="E194" s="83">
        <f t="shared" ref="E194:W194" si="1372">VLOOKUP(E$168,CST2BY,5,0)</f>
        <v>0</v>
      </c>
      <c r="F194" s="83">
        <f t="shared" si="1372"/>
        <v>0</v>
      </c>
      <c r="G194" s="83">
        <f t="shared" si="1372"/>
        <v>0</v>
      </c>
      <c r="H194" s="83">
        <f t="shared" si="1372"/>
        <v>0</v>
      </c>
      <c r="I194" s="83">
        <f t="shared" si="1372"/>
        <v>0</v>
      </c>
      <c r="J194" s="83">
        <f t="shared" si="1372"/>
        <v>0</v>
      </c>
      <c r="K194" s="83">
        <f t="shared" si="1372"/>
        <v>0</v>
      </c>
      <c r="L194" s="83">
        <f t="shared" si="1372"/>
        <v>225</v>
      </c>
      <c r="M194" s="83">
        <f t="shared" si="1372"/>
        <v>0</v>
      </c>
      <c r="N194" s="83">
        <f t="shared" si="1372"/>
        <v>7</v>
      </c>
      <c r="O194" s="83">
        <f t="shared" si="1372"/>
        <v>0</v>
      </c>
      <c r="P194" s="83">
        <f t="shared" si="1372"/>
        <v>0</v>
      </c>
      <c r="Q194" s="83">
        <f t="shared" si="1372"/>
        <v>0</v>
      </c>
      <c r="R194" s="83">
        <f t="shared" si="1372"/>
        <v>0</v>
      </c>
      <c r="S194" s="83">
        <f t="shared" si="1372"/>
        <v>0</v>
      </c>
      <c r="T194" s="83">
        <f t="shared" si="1372"/>
        <v>0</v>
      </c>
      <c r="U194" s="83">
        <f t="shared" si="1372"/>
        <v>0</v>
      </c>
      <c r="V194" s="83">
        <f t="shared" si="1372"/>
        <v>0</v>
      </c>
      <c r="W194" s="83">
        <f t="shared" si="1372"/>
        <v>0</v>
      </c>
    </row>
    <row r="195" spans="3:23" x14ac:dyDescent="0.25">
      <c r="C195" s="77" t="str">
        <f t="shared" si="1371"/>
        <v>CASETA 2</v>
      </c>
      <c r="D195" s="23" t="s">
        <v>16</v>
      </c>
      <c r="E195" s="83">
        <f t="shared" ref="E195:W195" si="1373">VLOOKUP(E$168,CST2BY,6,0)</f>
        <v>64</v>
      </c>
      <c r="F195" s="83">
        <f t="shared" si="1373"/>
        <v>442</v>
      </c>
      <c r="G195" s="83">
        <f t="shared" si="1373"/>
        <v>2657</v>
      </c>
      <c r="H195" s="83">
        <f t="shared" si="1373"/>
        <v>1297</v>
      </c>
      <c r="I195" s="83">
        <f t="shared" si="1373"/>
        <v>321</v>
      </c>
      <c r="J195" s="83">
        <f t="shared" si="1373"/>
        <v>297</v>
      </c>
      <c r="K195" s="83">
        <f t="shared" si="1373"/>
        <v>555</v>
      </c>
      <c r="L195" s="83">
        <f t="shared" si="1373"/>
        <v>197</v>
      </c>
      <c r="M195" s="83">
        <f t="shared" si="1373"/>
        <v>57</v>
      </c>
      <c r="N195" s="83">
        <f t="shared" si="1373"/>
        <v>65</v>
      </c>
      <c r="O195" s="83">
        <f t="shared" si="1373"/>
        <v>75</v>
      </c>
      <c r="P195" s="83">
        <f t="shared" si="1373"/>
        <v>47</v>
      </c>
      <c r="Q195" s="83">
        <f t="shared" si="1373"/>
        <v>34</v>
      </c>
      <c r="R195" s="83">
        <f t="shared" si="1373"/>
        <v>44</v>
      </c>
      <c r="S195" s="83">
        <f t="shared" si="1373"/>
        <v>40</v>
      </c>
      <c r="T195" s="83">
        <f t="shared" si="1373"/>
        <v>8</v>
      </c>
      <c r="U195" s="83">
        <f t="shared" si="1373"/>
        <v>0</v>
      </c>
      <c r="V195" s="83">
        <f t="shared" si="1373"/>
        <v>0</v>
      </c>
      <c r="W195" s="83">
        <f t="shared" si="1373"/>
        <v>0</v>
      </c>
    </row>
    <row r="196" spans="3:23" x14ac:dyDescent="0.25">
      <c r="C196" s="77" t="str">
        <f t="shared" si="1371"/>
        <v>CASETA 2</v>
      </c>
      <c r="D196" s="23" t="s">
        <v>17</v>
      </c>
      <c r="E196" s="83">
        <f t="shared" ref="E196:W196" si="1374">VLOOKUP(E$168,CST2BY,7,0)</f>
        <v>0</v>
      </c>
      <c r="F196" s="83">
        <f t="shared" si="1374"/>
        <v>0</v>
      </c>
      <c r="G196" s="83">
        <f t="shared" si="1374"/>
        <v>0</v>
      </c>
      <c r="H196" s="83">
        <f t="shared" si="1374"/>
        <v>0</v>
      </c>
      <c r="I196" s="83">
        <f t="shared" si="1374"/>
        <v>0</v>
      </c>
      <c r="J196" s="83">
        <f t="shared" si="1374"/>
        <v>0</v>
      </c>
      <c r="K196" s="83">
        <f t="shared" si="1374"/>
        <v>0</v>
      </c>
      <c r="L196" s="83">
        <f t="shared" si="1374"/>
        <v>0</v>
      </c>
      <c r="M196" s="83">
        <f t="shared" si="1374"/>
        <v>0</v>
      </c>
      <c r="N196" s="83">
        <f t="shared" si="1374"/>
        <v>0</v>
      </c>
      <c r="O196" s="83">
        <f t="shared" si="1374"/>
        <v>0</v>
      </c>
      <c r="P196" s="83">
        <f t="shared" si="1374"/>
        <v>0</v>
      </c>
      <c r="Q196" s="83">
        <f t="shared" si="1374"/>
        <v>0</v>
      </c>
      <c r="R196" s="83">
        <f t="shared" si="1374"/>
        <v>0</v>
      </c>
      <c r="S196" s="83">
        <f t="shared" si="1374"/>
        <v>0</v>
      </c>
      <c r="T196" s="83">
        <f t="shared" si="1374"/>
        <v>0</v>
      </c>
      <c r="U196" s="83">
        <f t="shared" si="1374"/>
        <v>0</v>
      </c>
      <c r="V196" s="83">
        <f t="shared" si="1374"/>
        <v>0</v>
      </c>
      <c r="W196" s="83">
        <f t="shared" si="1374"/>
        <v>0</v>
      </c>
    </row>
    <row r="197" spans="3:23" x14ac:dyDescent="0.25">
      <c r="C197" s="77" t="str">
        <f t="shared" si="1371"/>
        <v>CASETA 2</v>
      </c>
      <c r="D197" s="23" t="s">
        <v>18</v>
      </c>
      <c r="E197" s="83">
        <f>SUM(E194:E196)</f>
        <v>64</v>
      </c>
      <c r="F197" s="83">
        <f>SUM(F194:F196)</f>
        <v>442</v>
      </c>
      <c r="G197" s="83">
        <f t="shared" ref="G197:W197" si="1375">SUM(G194:G196)</f>
        <v>2657</v>
      </c>
      <c r="H197" s="83">
        <f t="shared" si="1375"/>
        <v>1297</v>
      </c>
      <c r="I197" s="83">
        <f t="shared" si="1375"/>
        <v>321</v>
      </c>
      <c r="J197" s="83">
        <f t="shared" si="1375"/>
        <v>297</v>
      </c>
      <c r="K197" s="83">
        <f t="shared" si="1375"/>
        <v>555</v>
      </c>
      <c r="L197" s="83">
        <f t="shared" si="1375"/>
        <v>422</v>
      </c>
      <c r="M197" s="83">
        <f t="shared" si="1375"/>
        <v>57</v>
      </c>
      <c r="N197" s="83">
        <f t="shared" si="1375"/>
        <v>72</v>
      </c>
      <c r="O197" s="83">
        <f t="shared" si="1375"/>
        <v>75</v>
      </c>
      <c r="P197" s="83">
        <f t="shared" si="1375"/>
        <v>47</v>
      </c>
      <c r="Q197" s="83">
        <f t="shared" si="1375"/>
        <v>34</v>
      </c>
      <c r="R197" s="83">
        <f t="shared" si="1375"/>
        <v>44</v>
      </c>
      <c r="S197" s="83">
        <f t="shared" si="1375"/>
        <v>40</v>
      </c>
      <c r="T197" s="83">
        <f t="shared" si="1375"/>
        <v>8</v>
      </c>
      <c r="U197" s="83">
        <f t="shared" si="1375"/>
        <v>0</v>
      </c>
      <c r="V197" s="83">
        <f t="shared" si="1375"/>
        <v>0</v>
      </c>
      <c r="W197" s="83">
        <f t="shared" si="1375"/>
        <v>0</v>
      </c>
    </row>
    <row r="198" spans="3:23" x14ac:dyDescent="0.25">
      <c r="C198" s="77" t="str">
        <f t="shared" si="1371"/>
        <v>CASETA 2</v>
      </c>
      <c r="D198" s="23" t="s">
        <v>48</v>
      </c>
      <c r="E198" s="83">
        <f t="shared" ref="E198:W198" si="1376">VLOOKUP(E$168,CST2BY,9,0)</f>
        <v>64</v>
      </c>
      <c r="F198" s="83">
        <f t="shared" si="1376"/>
        <v>506</v>
      </c>
      <c r="G198" s="83">
        <f t="shared" si="1376"/>
        <v>3163</v>
      </c>
      <c r="H198" s="83">
        <f t="shared" si="1376"/>
        <v>4460</v>
      </c>
      <c r="I198" s="83">
        <f t="shared" si="1376"/>
        <v>4781</v>
      </c>
      <c r="J198" s="83">
        <f t="shared" si="1376"/>
        <v>5078</v>
      </c>
      <c r="K198" s="83">
        <f t="shared" si="1376"/>
        <v>5633</v>
      </c>
      <c r="L198" s="83">
        <f t="shared" si="1376"/>
        <v>6055</v>
      </c>
      <c r="M198" s="83">
        <f t="shared" si="1376"/>
        <v>6112</v>
      </c>
      <c r="N198" s="83">
        <f t="shared" si="1376"/>
        <v>6184</v>
      </c>
      <c r="O198" s="83">
        <f t="shared" si="1376"/>
        <v>6259</v>
      </c>
      <c r="P198" s="83">
        <f t="shared" si="1376"/>
        <v>6306</v>
      </c>
      <c r="Q198" s="83">
        <f t="shared" si="1376"/>
        <v>6340</v>
      </c>
      <c r="R198" s="83">
        <f t="shared" si="1376"/>
        <v>6384</v>
      </c>
      <c r="S198" s="83">
        <f t="shared" si="1376"/>
        <v>6424</v>
      </c>
      <c r="T198" s="83">
        <f t="shared" si="1376"/>
        <v>6432</v>
      </c>
      <c r="U198" s="83">
        <f t="shared" si="1376"/>
        <v>6432</v>
      </c>
      <c r="V198" s="83">
        <f t="shared" si="1376"/>
        <v>6432</v>
      </c>
      <c r="W198" s="83">
        <f t="shared" si="1376"/>
        <v>6432</v>
      </c>
    </row>
    <row r="199" spans="3:23" x14ac:dyDescent="0.25">
      <c r="C199" s="77" t="str">
        <f t="shared" si="1371"/>
        <v>CASETA 2</v>
      </c>
      <c r="D199" s="86" t="s">
        <v>72</v>
      </c>
      <c r="E199" s="295">
        <f t="shared" ref="E199:W199" si="1377">VLOOKUP(E$168,CST2BY,10,0)</f>
        <v>0.7</v>
      </c>
      <c r="F199" s="295">
        <f t="shared" si="1377"/>
        <v>0.7</v>
      </c>
      <c r="G199" s="295">
        <f t="shared" si="1377"/>
        <v>0.7</v>
      </c>
      <c r="H199" s="295">
        <f t="shared" si="1377"/>
        <v>0.5</v>
      </c>
      <c r="I199" s="295">
        <f t="shared" si="1377"/>
        <v>0.3</v>
      </c>
      <c r="J199" s="295">
        <f t="shared" si="1377"/>
        <v>0.18</v>
      </c>
      <c r="K199" s="295">
        <f t="shared" si="1377"/>
        <v>0.18</v>
      </c>
      <c r="L199" s="295">
        <f t="shared" si="1377"/>
        <v>0.16</v>
      </c>
      <c r="M199" s="295">
        <f t="shared" si="1377"/>
        <v>0.16</v>
      </c>
      <c r="N199" s="295">
        <f t="shared" si="1377"/>
        <v>0.16</v>
      </c>
      <c r="O199" s="295">
        <f t="shared" si="1377"/>
        <v>0.16</v>
      </c>
      <c r="P199" s="295">
        <f t="shared" si="1377"/>
        <v>0.16</v>
      </c>
      <c r="Q199" s="295">
        <f t="shared" si="1377"/>
        <v>0.16</v>
      </c>
      <c r="R199" s="295">
        <f t="shared" si="1377"/>
        <v>0.16</v>
      </c>
      <c r="S199" s="295">
        <f t="shared" si="1377"/>
        <v>0.16</v>
      </c>
      <c r="T199" s="295">
        <f t="shared" si="1377"/>
        <v>0.16</v>
      </c>
      <c r="U199" s="295">
        <f t="shared" si="1377"/>
        <v>0.16</v>
      </c>
      <c r="V199" s="295">
        <f t="shared" si="1377"/>
        <v>0.16</v>
      </c>
      <c r="W199" s="295">
        <f t="shared" si="1377"/>
        <v>0.16</v>
      </c>
    </row>
    <row r="200" spans="3:23" x14ac:dyDescent="0.25">
      <c r="C200" s="77" t="str">
        <f t="shared" si="1371"/>
        <v>CASETA 2</v>
      </c>
      <c r="D200" s="86" t="s">
        <v>74</v>
      </c>
      <c r="E200" s="214">
        <f t="shared" ref="E200:W200" si="1378">VLOOKUP(E$168,CST2BY,11,0)</f>
        <v>1.6549956393056325E-2</v>
      </c>
      <c r="F200" s="214">
        <f t="shared" si="1378"/>
        <v>7.99345439040232E-2</v>
      </c>
      <c r="G200" s="214">
        <f t="shared" si="1378"/>
        <v>0.25045767997179208</v>
      </c>
      <c r="H200" s="214">
        <f t="shared" si="1378"/>
        <v>0.12701809503219669</v>
      </c>
      <c r="I200" s="214">
        <f t="shared" si="1378"/>
        <v>4.3441016631179344E-2</v>
      </c>
      <c r="J200" s="214">
        <f t="shared" si="1378"/>
        <v>4.8215142430994604E-2</v>
      </c>
      <c r="K200" s="214">
        <f t="shared" si="1378"/>
        <v>9.0512772069854322E-2</v>
      </c>
      <c r="L200" s="214">
        <f t="shared" si="1378"/>
        <v>6.9188061457184633E-2</v>
      </c>
      <c r="M200" s="214">
        <f t="shared" si="1378"/>
        <v>9.3790338188408495E-3</v>
      </c>
      <c r="N200" s="214">
        <f t="shared" si="1378"/>
        <v>1.1855788501483642E-2</v>
      </c>
      <c r="O200" s="214">
        <f t="shared" si="1378"/>
        <v>1.2360255486317471E-2</v>
      </c>
      <c r="P200" s="214">
        <f t="shared" si="1378"/>
        <v>9.143784622938203E-3</v>
      </c>
      <c r="Q200" s="214">
        <f t="shared" si="1378"/>
        <v>8.1772067924390113E-3</v>
      </c>
      <c r="R200" s="214">
        <f t="shared" si="1378"/>
        <v>1.0589044452416893E-2</v>
      </c>
      <c r="S200" s="214">
        <f t="shared" si="1378"/>
        <v>9.6332557680604818E-3</v>
      </c>
      <c r="T200" s="214">
        <f t="shared" si="1378"/>
        <v>1.9274780393397251E-3</v>
      </c>
      <c r="U200" s="214">
        <f t="shared" si="1378"/>
        <v>0</v>
      </c>
      <c r="V200" s="214">
        <f t="shared" si="1378"/>
        <v>0</v>
      </c>
      <c r="W200" s="214">
        <f t="shared" si="1378"/>
        <v>0</v>
      </c>
    </row>
    <row r="201" spans="3:23" ht="25.5" x14ac:dyDescent="0.25">
      <c r="C201" s="77" t="str">
        <f t="shared" si="1371"/>
        <v>CASETA 2</v>
      </c>
      <c r="D201" s="87" t="s">
        <v>49</v>
      </c>
      <c r="E201" s="319">
        <f t="shared" ref="E201:W201" si="1379">VLOOKUP(E$168,CST2BY,12,0)</f>
        <v>0.7</v>
      </c>
      <c r="F201" s="319">
        <f t="shared" si="1379"/>
        <v>0.7</v>
      </c>
      <c r="G201" s="319">
        <f t="shared" si="1379"/>
        <v>1.4</v>
      </c>
      <c r="H201" s="319">
        <f t="shared" si="1379"/>
        <v>1.9</v>
      </c>
      <c r="I201" s="319">
        <f t="shared" si="1379"/>
        <v>2.1999999999999997</v>
      </c>
      <c r="J201" s="319">
        <f t="shared" si="1379"/>
        <v>2.38</v>
      </c>
      <c r="K201" s="319">
        <f t="shared" si="1379"/>
        <v>2.56</v>
      </c>
      <c r="L201" s="319">
        <f t="shared" si="1379"/>
        <v>2.72</v>
      </c>
      <c r="M201" s="319">
        <f t="shared" si="1379"/>
        <v>2.8800000000000003</v>
      </c>
      <c r="N201" s="319">
        <f t="shared" si="1379"/>
        <v>3.0400000000000005</v>
      </c>
      <c r="O201" s="319">
        <f t="shared" si="1379"/>
        <v>3.2000000000000006</v>
      </c>
      <c r="P201" s="319">
        <f t="shared" si="1379"/>
        <v>3.3600000000000008</v>
      </c>
      <c r="Q201" s="319">
        <f t="shared" si="1379"/>
        <v>3.5200000000000009</v>
      </c>
      <c r="R201" s="319">
        <f t="shared" si="1379"/>
        <v>3.680000000000001</v>
      </c>
      <c r="S201" s="319">
        <f t="shared" si="1379"/>
        <v>3.8400000000000012</v>
      </c>
      <c r="T201" s="319">
        <f t="shared" si="1379"/>
        <v>4.0000000000000009</v>
      </c>
      <c r="U201" s="319">
        <f t="shared" si="1379"/>
        <v>4.160000000000001</v>
      </c>
      <c r="V201" s="319">
        <f t="shared" si="1379"/>
        <v>4.3200000000000012</v>
      </c>
      <c r="W201" s="319">
        <f t="shared" si="1379"/>
        <v>4.4800000000000013</v>
      </c>
    </row>
    <row r="202" spans="3:23" ht="25.5" x14ac:dyDescent="0.25">
      <c r="C202" s="77" t="str">
        <f t="shared" si="1371"/>
        <v>CASETA 2</v>
      </c>
      <c r="D202" s="87" t="s">
        <v>73</v>
      </c>
      <c r="E202" s="214">
        <f t="shared" ref="E202:W202" si="1380">VLOOKUP(E$168,CST2BY,13,0)</f>
        <v>0.11581614187477379</v>
      </c>
      <c r="F202" s="214">
        <f t="shared" si="1380"/>
        <v>0.33033895649449002</v>
      </c>
      <c r="G202" s="214">
        <f t="shared" si="1380"/>
        <v>2.071788825571494</v>
      </c>
      <c r="H202" s="214">
        <f t="shared" si="1380"/>
        <v>2.973075666775546</v>
      </c>
      <c r="I202" s="214">
        <f t="shared" si="1380"/>
        <v>4.2815180986155141</v>
      </c>
      <c r="J202" s="214">
        <f t="shared" si="1380"/>
        <v>5.7627272520937831</v>
      </c>
      <c r="K202" s="214">
        <f t="shared" si="1380"/>
        <v>6.4141833957709435</v>
      </c>
      <c r="L202" s="214">
        <f t="shared" si="1380"/>
        <v>6.9385556803336925</v>
      </c>
      <c r="M202" s="214">
        <f t="shared" si="1380"/>
        <v>7.0379070517249325</v>
      </c>
      <c r="N202" s="214">
        <f t="shared" si="1380"/>
        <v>7.1254911449871523</v>
      </c>
      <c r="O202" s="214">
        <f t="shared" si="1380"/>
        <v>7.2178977108920028</v>
      </c>
      <c r="P202" s="214">
        <f t="shared" si="1380"/>
        <v>10.611338280579535</v>
      </c>
      <c r="Q202" s="214">
        <f t="shared" si="1380"/>
        <v>10.671065255078855</v>
      </c>
      <c r="R202" s="214">
        <f t="shared" si="1380"/>
        <v>10.751275703531551</v>
      </c>
      <c r="S202" s="214">
        <f t="shared" si="1380"/>
        <v>10.826662172410888</v>
      </c>
      <c r="T202" s="214">
        <f t="shared" si="1380"/>
        <v>10.847457627118644</v>
      </c>
      <c r="U202" s="214">
        <f t="shared" si="1380"/>
        <v>10.848921348693644</v>
      </c>
      <c r="V202" s="214">
        <f t="shared" si="1380"/>
        <v>10.848921348693644</v>
      </c>
      <c r="W202" s="214">
        <f t="shared" si="1380"/>
        <v>10.848921348693644</v>
      </c>
    </row>
    <row r="203" spans="3:23" x14ac:dyDescent="0.25">
      <c r="C203" s="77" t="str">
        <f t="shared" si="1371"/>
        <v>CASETA 2</v>
      </c>
      <c r="D203" s="23" t="s">
        <v>9</v>
      </c>
      <c r="E203" s="83">
        <f t="shared" ref="E203:W203" si="1381">VLOOKUP(E$168,CST2BY,14,0)</f>
        <v>5000</v>
      </c>
      <c r="F203" s="83">
        <f t="shared" si="1381"/>
        <v>10400</v>
      </c>
      <c r="G203" s="83">
        <f t="shared" si="1381"/>
        <v>14400</v>
      </c>
      <c r="H203" s="83">
        <f t="shared" si="1381"/>
        <v>20200</v>
      </c>
      <c r="I203" s="83">
        <f t="shared" si="1381"/>
        <v>13901</v>
      </c>
      <c r="J203" s="83">
        <f t="shared" si="1381"/>
        <v>18291</v>
      </c>
      <c r="K203" s="83">
        <f t="shared" si="1381"/>
        <v>20475</v>
      </c>
      <c r="L203" s="83">
        <f t="shared" si="1381"/>
        <v>19929</v>
      </c>
      <c r="M203" s="83">
        <f t="shared" si="1381"/>
        <v>24024</v>
      </c>
      <c r="N203" s="83">
        <f t="shared" si="1381"/>
        <v>17472</v>
      </c>
      <c r="O203" s="83">
        <f t="shared" si="1381"/>
        <v>25389</v>
      </c>
      <c r="P203" s="83">
        <f t="shared" si="1381"/>
        <v>26208</v>
      </c>
      <c r="Q203" s="83">
        <f t="shared" si="1381"/>
        <v>24297</v>
      </c>
      <c r="R203" s="83">
        <f t="shared" si="1381"/>
        <v>22932</v>
      </c>
      <c r="S203" s="83">
        <f t="shared" si="1381"/>
        <v>20202</v>
      </c>
      <c r="T203" s="83">
        <f t="shared" si="1381"/>
        <v>8736</v>
      </c>
      <c r="U203" s="83">
        <f t="shared" si="1381"/>
        <v>0</v>
      </c>
      <c r="V203" s="83">
        <f t="shared" si="1381"/>
        <v>0</v>
      </c>
      <c r="W203" s="83">
        <f t="shared" si="1381"/>
        <v>0</v>
      </c>
    </row>
    <row r="204" spans="3:23" ht="25.5" x14ac:dyDescent="0.25">
      <c r="C204" s="77" t="str">
        <f t="shared" si="1371"/>
        <v>CASETA 2</v>
      </c>
      <c r="D204" s="86" t="s">
        <v>75</v>
      </c>
      <c r="E204" s="83">
        <f t="shared" ref="E204:W204" si="1382">VLOOKUP(E$168,CST2BY,15,0)</f>
        <v>10</v>
      </c>
      <c r="F204" s="83">
        <f t="shared" si="1382"/>
        <v>10</v>
      </c>
      <c r="G204" s="83">
        <f t="shared" si="1382"/>
        <v>17</v>
      </c>
      <c r="H204" s="83">
        <f t="shared" si="1382"/>
        <v>23</v>
      </c>
      <c r="I204" s="83">
        <f t="shared" si="1382"/>
        <v>29</v>
      </c>
      <c r="J204" s="83">
        <f t="shared" si="1382"/>
        <v>34</v>
      </c>
      <c r="K204" s="83">
        <f t="shared" si="1382"/>
        <v>38</v>
      </c>
      <c r="L204" s="83">
        <f t="shared" si="1382"/>
        <v>42</v>
      </c>
      <c r="M204" s="83">
        <f t="shared" si="1382"/>
        <v>46</v>
      </c>
      <c r="N204" s="83">
        <f t="shared" si="1382"/>
        <v>49</v>
      </c>
      <c r="O204" s="83">
        <f t="shared" si="1382"/>
        <v>52</v>
      </c>
      <c r="P204" s="83">
        <f t="shared" si="1382"/>
        <v>55</v>
      </c>
      <c r="Q204" s="83">
        <f t="shared" si="1382"/>
        <v>58</v>
      </c>
      <c r="R204" s="83">
        <f t="shared" si="1382"/>
        <v>61</v>
      </c>
      <c r="S204" s="83">
        <f t="shared" si="1382"/>
        <v>64</v>
      </c>
      <c r="T204" s="83">
        <f t="shared" si="1382"/>
        <v>67</v>
      </c>
      <c r="U204" s="83">
        <f t="shared" si="1382"/>
        <v>71</v>
      </c>
      <c r="V204" s="83">
        <f t="shared" si="1382"/>
        <v>75</v>
      </c>
      <c r="W204" s="83">
        <f t="shared" si="1382"/>
        <v>79</v>
      </c>
    </row>
    <row r="205" spans="3:23" ht="25.5" x14ac:dyDescent="0.25">
      <c r="C205" s="77" t="str">
        <f t="shared" si="1371"/>
        <v>CASETA 2</v>
      </c>
      <c r="D205" s="86" t="s">
        <v>62</v>
      </c>
      <c r="E205" s="83">
        <f t="shared" ref="E205:W205" si="1383">VLOOKUP(E$168,CST2BY,16,0)</f>
        <v>12.925908691381004</v>
      </c>
      <c r="F205" s="83">
        <f t="shared" si="1383"/>
        <v>9.6993934148579779</v>
      </c>
      <c r="G205" s="83">
        <f t="shared" si="1383"/>
        <v>13.474440670353424</v>
      </c>
      <c r="H205" s="83">
        <f t="shared" si="1383"/>
        <v>19.236428080994884</v>
      </c>
      <c r="I205" s="83">
        <f t="shared" si="1383"/>
        <v>17.783901481714604</v>
      </c>
      <c r="J205" s="83">
        <f t="shared" si="1383"/>
        <v>29.653419278694479</v>
      </c>
      <c r="K205" s="83">
        <f t="shared" si="1383"/>
        <v>33.306384577720586</v>
      </c>
      <c r="L205" s="83">
        <f t="shared" si="1383"/>
        <v>32.624389796713494</v>
      </c>
      <c r="M205" s="83">
        <f t="shared" si="1383"/>
        <v>39.519137764266958</v>
      </c>
      <c r="N205" s="83">
        <f t="shared" si="1383"/>
        <v>28.760067752082684</v>
      </c>
      <c r="O205" s="83">
        <f t="shared" si="1383"/>
        <v>41.826673585884791</v>
      </c>
      <c r="P205" s="83">
        <f t="shared" si="1383"/>
        <v>63.001665909435111</v>
      </c>
      <c r="Q205" s="83">
        <f t="shared" si="1383"/>
        <v>58.421557571575242</v>
      </c>
      <c r="R205" s="83">
        <f t="shared" si="1383"/>
        <v>55.171020057596117</v>
      </c>
      <c r="S205" s="83">
        <f t="shared" si="1383"/>
        <v>48.639083171821014</v>
      </c>
      <c r="T205" s="83">
        <f t="shared" si="1383"/>
        <v>21.04730584366304</v>
      </c>
      <c r="U205" s="83">
        <f t="shared" si="1383"/>
        <v>0</v>
      </c>
      <c r="V205" s="83">
        <f t="shared" si="1383"/>
        <v>0</v>
      </c>
      <c r="W205" s="83">
        <f t="shared" si="1383"/>
        <v>0</v>
      </c>
    </row>
    <row r="206" spans="3:23" ht="25.5" x14ac:dyDescent="0.25">
      <c r="C206" s="77" t="str">
        <f t="shared" si="1371"/>
        <v>CASETA 2</v>
      </c>
      <c r="D206" s="24" t="s">
        <v>50</v>
      </c>
      <c r="E206" s="83">
        <f t="shared" ref="E206:W206" si="1384">VLOOKUP(E$168,CST2BY,17,0)</f>
        <v>90.487652004033365</v>
      </c>
      <c r="F206" s="83">
        <f t="shared" si="1384"/>
        <v>230.42407090264774</v>
      </c>
      <c r="G206" s="83">
        <f t="shared" si="1384"/>
        <v>325.6510668760431</v>
      </c>
      <c r="H206" s="83">
        <f t="shared" si="1384"/>
        <v>469.38924575607939</v>
      </c>
      <c r="I206" s="83">
        <f t="shared" si="1384"/>
        <v>606.35126699351099</v>
      </c>
      <c r="J206" s="83">
        <f t="shared" si="1384"/>
        <v>814.15215583910549</v>
      </c>
      <c r="K206" s="83">
        <f t="shared" si="1384"/>
        <v>1047.8565758097659</v>
      </c>
      <c r="L206" s="83">
        <f t="shared" si="1384"/>
        <v>1276.6319573881326</v>
      </c>
      <c r="M206" s="83">
        <f t="shared" si="1384"/>
        <v>1553.3410641581295</v>
      </c>
      <c r="N206" s="83">
        <f t="shared" si="1384"/>
        <v>1754.7500610315392</v>
      </c>
      <c r="O206" s="83">
        <f t="shared" si="1384"/>
        <v>2047.6659577396626</v>
      </c>
      <c r="P206" s="83">
        <f t="shared" si="1384"/>
        <v>2398.4607370087879</v>
      </c>
      <c r="Q206" s="83">
        <f t="shared" si="1384"/>
        <v>2807.5021608882407</v>
      </c>
      <c r="R206" s="83">
        <f t="shared" si="1384"/>
        <v>3193.8088287145811</v>
      </c>
      <c r="S206" s="83">
        <f t="shared" si="1384"/>
        <v>3534.4061516957722</v>
      </c>
      <c r="T206" s="83">
        <f t="shared" si="1384"/>
        <v>3681.7427283987504</v>
      </c>
      <c r="U206" s="83">
        <f t="shared" si="1384"/>
        <v>3681.7427283987504</v>
      </c>
      <c r="V206" s="83">
        <f t="shared" si="1384"/>
        <v>3681.7427283987504</v>
      </c>
      <c r="W206" s="83">
        <f t="shared" si="1384"/>
        <v>3681.7427283987504</v>
      </c>
    </row>
    <row r="207" spans="3:23" x14ac:dyDescent="0.25">
      <c r="C207" s="77" t="str">
        <f t="shared" si="1371"/>
        <v>CASETA 2</v>
      </c>
      <c r="D207" s="86" t="s">
        <v>63</v>
      </c>
      <c r="E207" s="83">
        <f t="shared" ref="E207:W207" si="1385">VLOOKUP(E$168,CST2BY,18,0)</f>
        <v>40</v>
      </c>
      <c r="F207" s="83">
        <f t="shared" si="1385"/>
        <v>70</v>
      </c>
      <c r="G207" s="83">
        <f t="shared" si="1385"/>
        <v>120</v>
      </c>
      <c r="H207" s="83">
        <f t="shared" si="1385"/>
        <v>185</v>
      </c>
      <c r="I207" s="83">
        <f t="shared" si="1385"/>
        <v>255</v>
      </c>
      <c r="J207" s="83">
        <f t="shared" si="1385"/>
        <v>334</v>
      </c>
      <c r="K207" s="83">
        <f t="shared" si="1385"/>
        <v>425</v>
      </c>
      <c r="L207" s="83">
        <f t="shared" si="1385"/>
        <v>524</v>
      </c>
      <c r="M207" s="83">
        <f t="shared" si="1385"/>
        <v>618</v>
      </c>
      <c r="N207" s="83">
        <f t="shared" si="1385"/>
        <v>712</v>
      </c>
      <c r="O207" s="83">
        <f t="shared" si="1385"/>
        <v>802</v>
      </c>
      <c r="P207" s="83">
        <f t="shared" si="1385"/>
        <v>880</v>
      </c>
      <c r="Q207" s="83">
        <f t="shared" si="1385"/>
        <v>950</v>
      </c>
      <c r="R207" s="83">
        <f t="shared" si="1385"/>
        <v>1010</v>
      </c>
      <c r="S207" s="83">
        <f t="shared" si="1385"/>
        <v>1065</v>
      </c>
      <c r="T207" s="83">
        <f t="shared" si="1385"/>
        <v>1115</v>
      </c>
      <c r="U207" s="83">
        <f t="shared" si="1385"/>
        <v>1160</v>
      </c>
      <c r="V207" s="83">
        <f t="shared" si="1385"/>
        <v>1207</v>
      </c>
      <c r="W207" s="83">
        <f t="shared" si="1385"/>
        <v>1257</v>
      </c>
    </row>
    <row r="208" spans="3:23" x14ac:dyDescent="0.25">
      <c r="C208" s="77" t="str">
        <f t="shared" si="1371"/>
        <v>CASETA 2</v>
      </c>
      <c r="D208" s="86" t="s">
        <v>64</v>
      </c>
      <c r="E208" s="83">
        <f t="shared" ref="E208:W208" si="1386">VLOOKUP(E$168,CST2BY,19,0)</f>
        <v>39</v>
      </c>
      <c r="F208" s="83">
        <f t="shared" si="1386"/>
        <v>63</v>
      </c>
      <c r="G208" s="83">
        <f t="shared" si="1386"/>
        <v>112</v>
      </c>
      <c r="H208" s="83">
        <f t="shared" si="1386"/>
        <v>179</v>
      </c>
      <c r="I208" s="83">
        <f t="shared" si="1386"/>
        <v>246</v>
      </c>
      <c r="J208" s="83">
        <f t="shared" si="1386"/>
        <v>319</v>
      </c>
      <c r="K208" s="83">
        <f t="shared" si="1386"/>
        <v>403</v>
      </c>
      <c r="L208" s="83">
        <f t="shared" si="1386"/>
        <v>439</v>
      </c>
      <c r="M208" s="83">
        <f t="shared" si="1386"/>
        <v>561</v>
      </c>
      <c r="N208" s="83">
        <f t="shared" si="1386"/>
        <v>679</v>
      </c>
      <c r="O208" s="83">
        <f t="shared" si="1386"/>
        <v>705</v>
      </c>
      <c r="P208" s="83">
        <f t="shared" si="1386"/>
        <v>865</v>
      </c>
      <c r="Q208" s="83">
        <f t="shared" si="1386"/>
        <v>842</v>
      </c>
      <c r="R208" s="83">
        <f t="shared" si="1386"/>
        <v>938</v>
      </c>
      <c r="S208" s="83">
        <f t="shared" si="1386"/>
        <v>1013</v>
      </c>
      <c r="T208" s="83">
        <f t="shared" si="1386"/>
        <v>1066</v>
      </c>
      <c r="U208" s="83">
        <f t="shared" si="1386"/>
        <v>0</v>
      </c>
      <c r="V208" s="83">
        <f t="shared" si="1386"/>
        <v>0</v>
      </c>
      <c r="W208" s="83">
        <f t="shared" si="1386"/>
        <v>0</v>
      </c>
    </row>
    <row r="209" spans="3:23" x14ac:dyDescent="0.25">
      <c r="C209" s="77" t="str">
        <f t="shared" si="1371"/>
        <v>CASETA 2</v>
      </c>
      <c r="D209" s="23" t="s">
        <v>15</v>
      </c>
      <c r="E209" s="83">
        <f t="shared" ref="E209:W209" si="1387">VLOOKUP(E$168,CST2BY,20,0)</f>
        <v>1</v>
      </c>
      <c r="F209" s="83">
        <f t="shared" si="1387"/>
        <v>7</v>
      </c>
      <c r="G209" s="83">
        <f t="shared" si="1387"/>
        <v>8</v>
      </c>
      <c r="H209" s="83">
        <f t="shared" si="1387"/>
        <v>6</v>
      </c>
      <c r="I209" s="83">
        <f t="shared" si="1387"/>
        <v>9</v>
      </c>
      <c r="J209" s="83">
        <f t="shared" si="1387"/>
        <v>15</v>
      </c>
      <c r="K209" s="83">
        <f t="shared" si="1387"/>
        <v>22</v>
      </c>
      <c r="L209" s="83">
        <f t="shared" si="1387"/>
        <v>85</v>
      </c>
      <c r="M209" s="83">
        <f t="shared" si="1387"/>
        <v>57</v>
      </c>
      <c r="N209" s="83">
        <f t="shared" si="1387"/>
        <v>33</v>
      </c>
      <c r="O209" s="83">
        <f t="shared" si="1387"/>
        <v>97</v>
      </c>
      <c r="P209" s="83">
        <f t="shared" si="1387"/>
        <v>15</v>
      </c>
      <c r="Q209" s="83">
        <f t="shared" si="1387"/>
        <v>108</v>
      </c>
      <c r="R209" s="83">
        <f t="shared" si="1387"/>
        <v>72</v>
      </c>
      <c r="S209" s="83">
        <f t="shared" si="1387"/>
        <v>52</v>
      </c>
      <c r="T209" s="83">
        <f t="shared" si="1387"/>
        <v>49</v>
      </c>
      <c r="U209" s="83">
        <f t="shared" si="1387"/>
        <v>1160</v>
      </c>
      <c r="V209" s="83">
        <f t="shared" si="1387"/>
        <v>1207</v>
      </c>
      <c r="W209" s="83">
        <f t="shared" si="1387"/>
        <v>1257</v>
      </c>
    </row>
    <row r="210" spans="3:23" ht="25.5" x14ac:dyDescent="0.25">
      <c r="C210" s="77" t="str">
        <f t="shared" si="1371"/>
        <v>CASETA 2</v>
      </c>
      <c r="D210" s="86" t="s">
        <v>65</v>
      </c>
      <c r="E210" s="83">
        <f t="shared" ref="E210:W210" si="1388">VLOOKUP(E$168,CST2BY,21,0)</f>
        <v>77</v>
      </c>
      <c r="F210" s="83">
        <f t="shared" si="1388"/>
        <v>77</v>
      </c>
      <c r="G210" s="83">
        <f t="shared" si="1388"/>
        <v>77</v>
      </c>
      <c r="H210" s="83">
        <f t="shared" si="1388"/>
        <v>77</v>
      </c>
      <c r="I210" s="83">
        <f t="shared" si="1388"/>
        <v>79</v>
      </c>
      <c r="J210" s="83">
        <f t="shared" si="1388"/>
        <v>79</v>
      </c>
      <c r="K210" s="83">
        <f t="shared" si="1388"/>
        <v>79</v>
      </c>
      <c r="L210" s="83">
        <f t="shared" si="1388"/>
        <v>79</v>
      </c>
      <c r="M210" s="83">
        <f t="shared" si="1388"/>
        <v>79</v>
      </c>
      <c r="N210" s="83">
        <f t="shared" si="1388"/>
        <v>79</v>
      </c>
      <c r="O210" s="83">
        <f t="shared" si="1388"/>
        <v>80</v>
      </c>
      <c r="P210" s="83">
        <f t="shared" si="1388"/>
        <v>80</v>
      </c>
      <c r="Q210" s="83">
        <f t="shared" si="1388"/>
        <v>82</v>
      </c>
      <c r="R210" s="83">
        <f t="shared" si="1388"/>
        <v>82</v>
      </c>
      <c r="S210" s="83">
        <f t="shared" si="1388"/>
        <v>84</v>
      </c>
      <c r="T210" s="83">
        <f t="shared" si="1388"/>
        <v>86</v>
      </c>
      <c r="U210" s="83">
        <f t="shared" si="1388"/>
        <v>86</v>
      </c>
      <c r="V210" s="83">
        <f t="shared" si="1388"/>
        <v>86</v>
      </c>
      <c r="W210" s="83">
        <f t="shared" si="1388"/>
        <v>86</v>
      </c>
    </row>
    <row r="211" spans="3:23" ht="25.5" x14ac:dyDescent="0.25">
      <c r="C211" s="77" t="str">
        <f t="shared" si="1371"/>
        <v>CASETA 2</v>
      </c>
      <c r="D211" s="86" t="s">
        <v>66</v>
      </c>
      <c r="E211" s="83">
        <f t="shared" ref="E211:W211" si="1389">VLOOKUP(E$168,CST2BY,22,0)</f>
        <v>80</v>
      </c>
      <c r="F211" s="83">
        <f t="shared" si="1389"/>
        <v>47</v>
      </c>
      <c r="G211" s="83">
        <f t="shared" si="1389"/>
        <v>74</v>
      </c>
      <c r="H211" s="83">
        <f t="shared" si="1389"/>
        <v>67</v>
      </c>
      <c r="I211" s="83">
        <f t="shared" si="1389"/>
        <v>63</v>
      </c>
      <c r="J211" s="83">
        <f t="shared" si="1389"/>
        <v>60</v>
      </c>
      <c r="K211" s="83">
        <f t="shared" si="1389"/>
        <v>66</v>
      </c>
      <c r="L211" s="83">
        <f t="shared" si="1389"/>
        <v>35</v>
      </c>
      <c r="M211" s="83">
        <f t="shared" si="1389"/>
        <v>81</v>
      </c>
      <c r="N211" s="83">
        <f t="shared" si="1389"/>
        <v>90</v>
      </c>
      <c r="O211" s="83">
        <f t="shared" si="1389"/>
        <v>71</v>
      </c>
      <c r="P211" s="83">
        <f t="shared" si="1389"/>
        <v>80</v>
      </c>
      <c r="Q211" s="83">
        <f t="shared" si="1389"/>
        <v>78</v>
      </c>
      <c r="R211" s="83">
        <f t="shared" si="1389"/>
        <v>84</v>
      </c>
      <c r="S211" s="83">
        <f t="shared" si="1389"/>
        <v>83</v>
      </c>
      <c r="T211" s="83">
        <f t="shared" si="1389"/>
        <v>81</v>
      </c>
      <c r="U211" s="83">
        <f t="shared" si="1389"/>
        <v>0</v>
      </c>
      <c r="V211" s="83">
        <f t="shared" si="1389"/>
        <v>0</v>
      </c>
      <c r="W211" s="83">
        <f t="shared" si="1389"/>
        <v>0</v>
      </c>
    </row>
    <row r="212" spans="3:23" x14ac:dyDescent="0.25">
      <c r="C212" s="77" t="str">
        <f t="shared" si="1371"/>
        <v>CASETA 2</v>
      </c>
      <c r="D212" s="23" t="s">
        <v>15</v>
      </c>
      <c r="E212" s="83">
        <f t="shared" ref="E212:W212" si="1390">VLOOKUP(E$168,CST2BY,23,0)</f>
        <v>-3</v>
      </c>
      <c r="F212" s="83">
        <f t="shared" si="1390"/>
        <v>30</v>
      </c>
      <c r="G212" s="83">
        <f t="shared" si="1390"/>
        <v>3</v>
      </c>
      <c r="H212" s="83">
        <f t="shared" si="1390"/>
        <v>10</v>
      </c>
      <c r="I212" s="83">
        <f t="shared" si="1390"/>
        <v>16</v>
      </c>
      <c r="J212" s="83">
        <f t="shared" si="1390"/>
        <v>19</v>
      </c>
      <c r="K212" s="83">
        <f t="shared" si="1390"/>
        <v>13</v>
      </c>
      <c r="L212" s="83">
        <f t="shared" si="1390"/>
        <v>44</v>
      </c>
      <c r="M212" s="83">
        <f t="shared" si="1390"/>
        <v>-2</v>
      </c>
      <c r="N212" s="83">
        <f t="shared" si="1390"/>
        <v>-11</v>
      </c>
      <c r="O212" s="83">
        <f t="shared" si="1390"/>
        <v>9</v>
      </c>
      <c r="P212" s="83">
        <f t="shared" si="1390"/>
        <v>0</v>
      </c>
      <c r="Q212" s="83">
        <f t="shared" si="1390"/>
        <v>4</v>
      </c>
      <c r="R212" s="83">
        <f t="shared" si="1390"/>
        <v>-2</v>
      </c>
      <c r="S212" s="83">
        <f t="shared" si="1390"/>
        <v>1</v>
      </c>
      <c r="T212" s="83">
        <f t="shared" si="1390"/>
        <v>5</v>
      </c>
      <c r="U212" s="83">
        <f t="shared" si="1390"/>
        <v>86</v>
      </c>
      <c r="V212" s="83">
        <f t="shared" si="1390"/>
        <v>86</v>
      </c>
      <c r="W212" s="83">
        <f t="shared" si="1390"/>
        <v>86</v>
      </c>
    </row>
    <row r="213" spans="3:23" x14ac:dyDescent="0.25">
      <c r="E213" s="1"/>
      <c r="F213" s="316"/>
      <c r="G213" s="316"/>
      <c r="H213" s="316"/>
      <c r="I213" s="316"/>
      <c r="J213" s="316"/>
      <c r="K213" s="316"/>
      <c r="L213" s="316"/>
      <c r="M213" s="316"/>
      <c r="N213" s="316"/>
      <c r="O213" s="316"/>
      <c r="P213" s="316"/>
      <c r="Q213" s="316"/>
      <c r="R213" s="316"/>
      <c r="S213" s="316"/>
      <c r="T213" s="316"/>
      <c r="U213" s="316"/>
      <c r="V213" s="316"/>
      <c r="W213" s="316"/>
    </row>
    <row r="214" spans="3:23" x14ac:dyDescent="0.25">
      <c r="E214" s="1"/>
      <c r="F214" s="316"/>
      <c r="G214" s="316"/>
      <c r="H214" s="316"/>
      <c r="I214" s="316"/>
      <c r="J214" s="316"/>
      <c r="K214" s="316"/>
      <c r="L214" s="316"/>
      <c r="M214" s="316"/>
      <c r="N214" s="316"/>
      <c r="O214" s="316"/>
      <c r="P214" s="316"/>
      <c r="Q214" s="316"/>
      <c r="R214" s="316"/>
      <c r="S214" s="316"/>
      <c r="T214" s="316"/>
      <c r="U214" s="316"/>
      <c r="V214" s="316"/>
      <c r="W214" s="316"/>
    </row>
    <row r="215" spans="3:23" x14ac:dyDescent="0.25">
      <c r="E215" s="1"/>
      <c r="F215" s="316"/>
      <c r="G215" s="316"/>
      <c r="H215" s="316"/>
      <c r="I215" s="316"/>
      <c r="J215" s="316"/>
      <c r="K215" s="316"/>
      <c r="L215" s="316"/>
      <c r="M215" s="316"/>
      <c r="N215" s="316"/>
      <c r="O215" s="316"/>
      <c r="P215" s="316"/>
      <c r="Q215" s="316"/>
      <c r="R215" s="316"/>
      <c r="S215" s="316"/>
      <c r="T215" s="316"/>
      <c r="U215" s="316"/>
      <c r="V215" s="316"/>
      <c r="W215" s="316"/>
    </row>
    <row r="216" spans="3:23" x14ac:dyDescent="0.25">
      <c r="E216" s="1"/>
      <c r="F216" s="316"/>
      <c r="G216" s="316"/>
      <c r="H216" s="316"/>
      <c r="I216" s="316"/>
      <c r="J216" s="316"/>
      <c r="K216" s="316"/>
      <c r="L216" s="316"/>
      <c r="M216" s="316"/>
      <c r="N216" s="316"/>
      <c r="O216" s="316"/>
      <c r="P216" s="316"/>
      <c r="Q216" s="316"/>
      <c r="R216" s="316"/>
      <c r="S216" s="316"/>
      <c r="T216" s="316"/>
      <c r="U216" s="316"/>
      <c r="V216" s="316"/>
      <c r="W216" s="316"/>
    </row>
    <row r="217" spans="3:23" ht="22.5" customHeight="1" x14ac:dyDescent="0.25">
      <c r="C217" s="77" t="s">
        <v>54</v>
      </c>
      <c r="D217" s="24" t="s">
        <v>67</v>
      </c>
      <c r="E217" s="83">
        <f>VLOOKUP(E$168,CST3BY,3,0)</f>
        <v>0</v>
      </c>
      <c r="F217" s="83">
        <f t="shared" ref="F217:W217" si="1391">VLOOKUP(F$168,CST3BY,3,0)</f>
        <v>0</v>
      </c>
      <c r="G217" s="83">
        <f t="shared" si="1391"/>
        <v>0</v>
      </c>
      <c r="H217" s="83">
        <f t="shared" si="1391"/>
        <v>71400</v>
      </c>
      <c r="I217" s="83">
        <f t="shared" si="1391"/>
        <v>71351</v>
      </c>
      <c r="J217" s="83">
        <f t="shared" si="1391"/>
        <v>93665</v>
      </c>
      <c r="K217" s="83">
        <f t="shared" si="1391"/>
        <v>93506</v>
      </c>
      <c r="L217" s="83">
        <f t="shared" si="1391"/>
        <v>93193</v>
      </c>
      <c r="M217" s="83">
        <f t="shared" si="1391"/>
        <v>93127</v>
      </c>
      <c r="N217" s="83">
        <f t="shared" si="1391"/>
        <v>92969</v>
      </c>
      <c r="O217" s="83">
        <f t="shared" si="1391"/>
        <v>92885</v>
      </c>
      <c r="P217" s="83">
        <f t="shared" si="1391"/>
        <v>78479</v>
      </c>
      <c r="Q217" s="83">
        <f t="shared" si="1391"/>
        <v>65523</v>
      </c>
      <c r="R217" s="83">
        <f t="shared" si="1391"/>
        <v>65463</v>
      </c>
      <c r="S217" s="83">
        <f t="shared" si="1391"/>
        <v>65428</v>
      </c>
      <c r="T217" s="83">
        <f t="shared" si="1391"/>
        <v>65369</v>
      </c>
      <c r="U217" s="83">
        <f t="shared" si="1391"/>
        <v>65336</v>
      </c>
      <c r="V217" s="83">
        <f t="shared" si="1391"/>
        <v>65336</v>
      </c>
      <c r="W217" s="83">
        <f t="shared" si="1391"/>
        <v>65336</v>
      </c>
    </row>
    <row r="218" spans="3:23" x14ac:dyDescent="0.25">
      <c r="C218" s="78" t="str">
        <f>C217</f>
        <v>CASETA 3</v>
      </c>
      <c r="D218" s="24" t="s">
        <v>34</v>
      </c>
      <c r="E218" s="83">
        <f>VLOOKUP(E$168,CST3BY,4,0)</f>
        <v>0</v>
      </c>
      <c r="F218" s="83">
        <f t="shared" ref="F218:W218" si="1392">VLOOKUP(F$168,CST3BY,4,0)</f>
        <v>0</v>
      </c>
      <c r="G218" s="83">
        <f t="shared" si="1392"/>
        <v>0</v>
      </c>
      <c r="H218" s="83">
        <f t="shared" si="1392"/>
        <v>71351</v>
      </c>
      <c r="I218" s="83">
        <f t="shared" si="1392"/>
        <v>93665</v>
      </c>
      <c r="J218" s="83">
        <f t="shared" si="1392"/>
        <v>93506</v>
      </c>
      <c r="K218" s="83">
        <f t="shared" si="1392"/>
        <v>93193</v>
      </c>
      <c r="L218" s="83">
        <f t="shared" si="1392"/>
        <v>93127</v>
      </c>
      <c r="M218" s="83">
        <f t="shared" si="1392"/>
        <v>92969</v>
      </c>
      <c r="N218" s="83">
        <f t="shared" si="1392"/>
        <v>92885</v>
      </c>
      <c r="O218" s="83">
        <f t="shared" si="1392"/>
        <v>92841</v>
      </c>
      <c r="P218" s="83">
        <f t="shared" si="1392"/>
        <v>78473</v>
      </c>
      <c r="Q218" s="83">
        <f t="shared" si="1392"/>
        <v>65463</v>
      </c>
      <c r="R218" s="83">
        <f t="shared" si="1392"/>
        <v>65428</v>
      </c>
      <c r="S218" s="83">
        <f t="shared" si="1392"/>
        <v>65369</v>
      </c>
      <c r="T218" s="83">
        <f t="shared" si="1392"/>
        <v>65336</v>
      </c>
      <c r="U218" s="83">
        <f t="shared" si="1392"/>
        <v>65336</v>
      </c>
      <c r="V218" s="83">
        <f t="shared" si="1392"/>
        <v>65336</v>
      </c>
      <c r="W218" s="83">
        <f t="shared" si="1392"/>
        <v>65336</v>
      </c>
    </row>
    <row r="219" spans="3:23" x14ac:dyDescent="0.25">
      <c r="C219" s="78" t="str">
        <f t="shared" ref="C219:C236" si="1393">C218</f>
        <v>CASETA 3</v>
      </c>
      <c r="D219" s="23" t="s">
        <v>27</v>
      </c>
      <c r="E219" s="83">
        <f t="shared" ref="E219:W219" si="1394">VLOOKUP(E$168,CST3BY,5,0)</f>
        <v>0</v>
      </c>
      <c r="F219" s="83">
        <f t="shared" si="1394"/>
        <v>0</v>
      </c>
      <c r="G219" s="83">
        <f t="shared" si="1394"/>
        <v>0</v>
      </c>
      <c r="H219" s="83">
        <f t="shared" si="1394"/>
        <v>0</v>
      </c>
      <c r="I219" s="83">
        <f t="shared" si="1394"/>
        <v>0</v>
      </c>
      <c r="J219" s="83">
        <f t="shared" si="1394"/>
        <v>0</v>
      </c>
      <c r="K219" s="83">
        <f t="shared" si="1394"/>
        <v>0</v>
      </c>
      <c r="L219" s="83">
        <f t="shared" si="1394"/>
        <v>0</v>
      </c>
      <c r="M219" s="83">
        <f t="shared" si="1394"/>
        <v>129</v>
      </c>
      <c r="N219" s="83">
        <f t="shared" si="1394"/>
        <v>33</v>
      </c>
      <c r="O219" s="83">
        <f t="shared" si="1394"/>
        <v>0</v>
      </c>
      <c r="P219" s="83">
        <f t="shared" si="1394"/>
        <v>0</v>
      </c>
      <c r="Q219" s="83">
        <f t="shared" si="1394"/>
        <v>0</v>
      </c>
      <c r="R219" s="83">
        <f t="shared" si="1394"/>
        <v>0</v>
      </c>
      <c r="S219" s="83">
        <f t="shared" si="1394"/>
        <v>0</v>
      </c>
      <c r="T219" s="83">
        <f t="shared" si="1394"/>
        <v>0</v>
      </c>
      <c r="U219" s="83">
        <f t="shared" si="1394"/>
        <v>0</v>
      </c>
      <c r="V219" s="83">
        <f t="shared" si="1394"/>
        <v>0</v>
      </c>
      <c r="W219" s="83">
        <f t="shared" si="1394"/>
        <v>0</v>
      </c>
    </row>
    <row r="220" spans="3:23" x14ac:dyDescent="0.25">
      <c r="C220" s="78" t="str">
        <f t="shared" si="1393"/>
        <v>CASETA 3</v>
      </c>
      <c r="D220" s="23" t="s">
        <v>16</v>
      </c>
      <c r="E220" s="83">
        <f t="shared" ref="E220:W220" si="1395">VLOOKUP(E$168,CST3BY,6,0)</f>
        <v>0</v>
      </c>
      <c r="F220" s="83">
        <f t="shared" si="1395"/>
        <v>0</v>
      </c>
      <c r="G220" s="83">
        <f t="shared" si="1395"/>
        <v>0</v>
      </c>
      <c r="H220" s="83">
        <f t="shared" si="1395"/>
        <v>49</v>
      </c>
      <c r="I220" s="83">
        <f t="shared" si="1395"/>
        <v>158</v>
      </c>
      <c r="J220" s="83">
        <f t="shared" si="1395"/>
        <v>159</v>
      </c>
      <c r="K220" s="83">
        <f t="shared" si="1395"/>
        <v>313</v>
      </c>
      <c r="L220" s="83">
        <f t="shared" si="1395"/>
        <v>66</v>
      </c>
      <c r="M220" s="83">
        <f t="shared" si="1395"/>
        <v>29</v>
      </c>
      <c r="N220" s="83">
        <f t="shared" si="1395"/>
        <v>51</v>
      </c>
      <c r="O220" s="83">
        <f t="shared" si="1395"/>
        <v>44</v>
      </c>
      <c r="P220" s="83">
        <f t="shared" si="1395"/>
        <v>37</v>
      </c>
      <c r="Q220" s="83">
        <f t="shared" si="1395"/>
        <v>60</v>
      </c>
      <c r="R220" s="83">
        <f t="shared" si="1395"/>
        <v>35</v>
      </c>
      <c r="S220" s="83">
        <f t="shared" si="1395"/>
        <v>59</v>
      </c>
      <c r="T220" s="83">
        <f t="shared" si="1395"/>
        <v>33</v>
      </c>
      <c r="U220" s="83">
        <f t="shared" si="1395"/>
        <v>0</v>
      </c>
      <c r="V220" s="83">
        <f t="shared" si="1395"/>
        <v>0</v>
      </c>
      <c r="W220" s="83">
        <f t="shared" si="1395"/>
        <v>0</v>
      </c>
    </row>
    <row r="221" spans="3:23" x14ac:dyDescent="0.25">
      <c r="C221" s="78" t="str">
        <f t="shared" si="1393"/>
        <v>CASETA 3</v>
      </c>
      <c r="D221" s="23" t="s">
        <v>17</v>
      </c>
      <c r="E221" s="83">
        <f t="shared" ref="E221:W221" si="1396">VLOOKUP(E$168,CST3BY,7,0)</f>
        <v>0</v>
      </c>
      <c r="F221" s="83">
        <f t="shared" si="1396"/>
        <v>0</v>
      </c>
      <c r="G221" s="83">
        <f t="shared" si="1396"/>
        <v>0</v>
      </c>
      <c r="H221" s="83">
        <f t="shared" si="1396"/>
        <v>0</v>
      </c>
      <c r="I221" s="83">
        <f t="shared" si="1396"/>
        <v>0</v>
      </c>
      <c r="J221" s="83">
        <f t="shared" si="1396"/>
        <v>0</v>
      </c>
      <c r="K221" s="83">
        <f t="shared" si="1396"/>
        <v>0</v>
      </c>
      <c r="L221" s="83">
        <f t="shared" si="1396"/>
        <v>0</v>
      </c>
      <c r="M221" s="83">
        <f t="shared" si="1396"/>
        <v>0</v>
      </c>
      <c r="N221" s="83">
        <f t="shared" si="1396"/>
        <v>0</v>
      </c>
      <c r="O221" s="83">
        <f t="shared" si="1396"/>
        <v>0</v>
      </c>
      <c r="P221" s="83">
        <f t="shared" si="1396"/>
        <v>0</v>
      </c>
      <c r="Q221" s="83">
        <f t="shared" si="1396"/>
        <v>0</v>
      </c>
      <c r="R221" s="83">
        <f t="shared" si="1396"/>
        <v>0</v>
      </c>
      <c r="S221" s="83">
        <f t="shared" si="1396"/>
        <v>0</v>
      </c>
      <c r="T221" s="83">
        <f t="shared" si="1396"/>
        <v>0</v>
      </c>
      <c r="U221" s="83">
        <f t="shared" si="1396"/>
        <v>0</v>
      </c>
      <c r="V221" s="83">
        <f t="shared" si="1396"/>
        <v>0</v>
      </c>
      <c r="W221" s="83">
        <f t="shared" si="1396"/>
        <v>0</v>
      </c>
    </row>
    <row r="222" spans="3:23" x14ac:dyDescent="0.25">
      <c r="C222" s="78" t="str">
        <f t="shared" si="1393"/>
        <v>CASETA 3</v>
      </c>
      <c r="D222" s="23" t="s">
        <v>18</v>
      </c>
      <c r="E222" s="85">
        <f>SUM(E219:E221)</f>
        <v>0</v>
      </c>
      <c r="F222" s="85">
        <f t="shared" ref="F222:W222" si="1397">SUM(F219:F221)</f>
        <v>0</v>
      </c>
      <c r="G222" s="85">
        <f t="shared" si="1397"/>
        <v>0</v>
      </c>
      <c r="H222" s="85">
        <f t="shared" si="1397"/>
        <v>49</v>
      </c>
      <c r="I222" s="85">
        <f t="shared" si="1397"/>
        <v>158</v>
      </c>
      <c r="J222" s="85">
        <f t="shared" si="1397"/>
        <v>159</v>
      </c>
      <c r="K222" s="85">
        <f t="shared" si="1397"/>
        <v>313</v>
      </c>
      <c r="L222" s="85">
        <f t="shared" si="1397"/>
        <v>66</v>
      </c>
      <c r="M222" s="85">
        <f t="shared" si="1397"/>
        <v>158</v>
      </c>
      <c r="N222" s="85">
        <f t="shared" si="1397"/>
        <v>84</v>
      </c>
      <c r="O222" s="85">
        <f t="shared" si="1397"/>
        <v>44</v>
      </c>
      <c r="P222" s="85">
        <f t="shared" si="1397"/>
        <v>37</v>
      </c>
      <c r="Q222" s="85">
        <f t="shared" si="1397"/>
        <v>60</v>
      </c>
      <c r="R222" s="85">
        <f t="shared" si="1397"/>
        <v>35</v>
      </c>
      <c r="S222" s="85">
        <f t="shared" si="1397"/>
        <v>59</v>
      </c>
      <c r="T222" s="85">
        <f t="shared" si="1397"/>
        <v>33</v>
      </c>
      <c r="U222" s="85">
        <f t="shared" si="1397"/>
        <v>0</v>
      </c>
      <c r="V222" s="85">
        <f t="shared" si="1397"/>
        <v>0</v>
      </c>
      <c r="W222" s="85">
        <f t="shared" si="1397"/>
        <v>0</v>
      </c>
    </row>
    <row r="223" spans="3:23" x14ac:dyDescent="0.25">
      <c r="C223" s="78" t="str">
        <f t="shared" si="1393"/>
        <v>CASETA 3</v>
      </c>
      <c r="D223" s="23" t="s">
        <v>48</v>
      </c>
      <c r="E223" s="83">
        <f>VLOOKUP(E$168,CST3BY,9,0)</f>
        <v>0</v>
      </c>
      <c r="F223" s="83">
        <f t="shared" ref="F223:W223" si="1398">VLOOKUP(F$168,CST3BY,9,0)</f>
        <v>0</v>
      </c>
      <c r="G223" s="83">
        <f t="shared" si="1398"/>
        <v>0</v>
      </c>
      <c r="H223" s="83">
        <f t="shared" si="1398"/>
        <v>49</v>
      </c>
      <c r="I223" s="83">
        <f t="shared" si="1398"/>
        <v>207</v>
      </c>
      <c r="J223" s="83">
        <f t="shared" si="1398"/>
        <v>366</v>
      </c>
      <c r="K223" s="83">
        <f t="shared" si="1398"/>
        <v>679</v>
      </c>
      <c r="L223" s="83">
        <f t="shared" si="1398"/>
        <v>745</v>
      </c>
      <c r="M223" s="83">
        <f t="shared" si="1398"/>
        <v>903</v>
      </c>
      <c r="N223" s="83">
        <f t="shared" si="1398"/>
        <v>987</v>
      </c>
      <c r="O223" s="83">
        <f t="shared" si="1398"/>
        <v>1031</v>
      </c>
      <c r="P223" s="83">
        <f t="shared" si="1398"/>
        <v>1068</v>
      </c>
      <c r="Q223" s="83">
        <f t="shared" si="1398"/>
        <v>1128</v>
      </c>
      <c r="R223" s="83">
        <f t="shared" si="1398"/>
        <v>1163</v>
      </c>
      <c r="S223" s="83">
        <f t="shared" si="1398"/>
        <v>1222</v>
      </c>
      <c r="T223" s="83">
        <f t="shared" si="1398"/>
        <v>1255</v>
      </c>
      <c r="U223" s="83">
        <f t="shared" si="1398"/>
        <v>1255</v>
      </c>
      <c r="V223" s="83">
        <f t="shared" si="1398"/>
        <v>1255</v>
      </c>
      <c r="W223" s="83">
        <f t="shared" si="1398"/>
        <v>1255</v>
      </c>
    </row>
    <row r="224" spans="3:23" x14ac:dyDescent="0.25">
      <c r="C224" s="78" t="str">
        <f t="shared" si="1393"/>
        <v>CASETA 3</v>
      </c>
      <c r="D224" s="86" t="s">
        <v>72</v>
      </c>
      <c r="E224" s="83">
        <f t="shared" ref="E224:W224" si="1399">VLOOKUP(E$168,CST3BY,10,0)</f>
        <v>0.7</v>
      </c>
      <c r="F224" s="83">
        <f t="shared" si="1399"/>
        <v>0.7</v>
      </c>
      <c r="G224" s="83">
        <f t="shared" si="1399"/>
        <v>0.7</v>
      </c>
      <c r="H224" s="83">
        <f t="shared" si="1399"/>
        <v>0.5</v>
      </c>
      <c r="I224" s="83">
        <f t="shared" si="1399"/>
        <v>0.3</v>
      </c>
      <c r="J224" s="83">
        <f t="shared" si="1399"/>
        <v>0.18</v>
      </c>
      <c r="K224" s="83">
        <f t="shared" si="1399"/>
        <v>0.18</v>
      </c>
      <c r="L224" s="83">
        <f t="shared" si="1399"/>
        <v>0.16</v>
      </c>
      <c r="M224" s="83">
        <f t="shared" si="1399"/>
        <v>0.16</v>
      </c>
      <c r="N224" s="83">
        <f t="shared" si="1399"/>
        <v>0.16</v>
      </c>
      <c r="O224" s="83">
        <f t="shared" si="1399"/>
        <v>0.16</v>
      </c>
      <c r="P224" s="83">
        <f t="shared" si="1399"/>
        <v>0.16</v>
      </c>
      <c r="Q224" s="83">
        <f t="shared" si="1399"/>
        <v>0.16</v>
      </c>
      <c r="R224" s="83">
        <f t="shared" si="1399"/>
        <v>0.16</v>
      </c>
      <c r="S224" s="83">
        <f t="shared" si="1399"/>
        <v>0.16</v>
      </c>
      <c r="T224" s="83">
        <f t="shared" si="1399"/>
        <v>0.16</v>
      </c>
      <c r="U224" s="83">
        <f t="shared" si="1399"/>
        <v>0.16</v>
      </c>
      <c r="V224" s="83">
        <f t="shared" si="1399"/>
        <v>0.16</v>
      </c>
      <c r="W224" s="83">
        <f t="shared" si="1399"/>
        <v>0.16</v>
      </c>
    </row>
    <row r="225" spans="3:23" x14ac:dyDescent="0.25">
      <c r="C225" s="78" t="str">
        <f t="shared" si="1393"/>
        <v>CASETA 3</v>
      </c>
      <c r="D225" s="86" t="s">
        <v>74</v>
      </c>
      <c r="E225" s="83">
        <f t="shared" ref="E225:W225" si="1400">VLOOKUP(E$168,CST3BY,11,0)</f>
        <v>0</v>
      </c>
      <c r="F225" s="83">
        <f t="shared" si="1400"/>
        <v>0</v>
      </c>
      <c r="G225" s="83">
        <f t="shared" si="1400"/>
        <v>0</v>
      </c>
      <c r="H225" s="83">
        <f t="shared" si="1400"/>
        <v>1.046265045166107E-2</v>
      </c>
      <c r="I225" s="83">
        <f t="shared" si="1400"/>
        <v>2.831123244593416E-2</v>
      </c>
      <c r="J225" s="83">
        <f t="shared" si="1400"/>
        <v>2.426738245940897E-2</v>
      </c>
      <c r="K225" s="83">
        <f t="shared" si="1400"/>
        <v>4.7886909156531279E-2</v>
      </c>
      <c r="L225" s="83">
        <f t="shared" si="1400"/>
        <v>1.0120165631970926E-2</v>
      </c>
      <c r="M225" s="83">
        <f t="shared" si="1400"/>
        <v>2.4251076032994562E-2</v>
      </c>
      <c r="N225" s="83">
        <f t="shared" si="1400"/>
        <v>1.2912155614259469E-2</v>
      </c>
      <c r="O225" s="83">
        <f t="shared" si="1400"/>
        <v>6.7685554479518023E-3</v>
      </c>
      <c r="P225" s="83">
        <f t="shared" si="1400"/>
        <v>5.8769760375560701E-3</v>
      </c>
      <c r="Q225" s="83">
        <f t="shared" si="1400"/>
        <v>1.3086647591572877E-2</v>
      </c>
      <c r="R225" s="83">
        <f t="shared" si="1400"/>
        <v>7.6396230186866216E-3</v>
      </c>
      <c r="S225" s="83">
        <f t="shared" si="1400"/>
        <v>1.2887033320882176E-2</v>
      </c>
      <c r="T225" s="83">
        <f t="shared" si="1400"/>
        <v>7.2128163844663506E-3</v>
      </c>
      <c r="U225" s="83">
        <f t="shared" si="1400"/>
        <v>0</v>
      </c>
      <c r="V225" s="83">
        <f t="shared" si="1400"/>
        <v>0</v>
      </c>
      <c r="W225" s="83">
        <f t="shared" si="1400"/>
        <v>0</v>
      </c>
    </row>
    <row r="226" spans="3:23" ht="25.5" x14ac:dyDescent="0.25">
      <c r="C226" s="78" t="str">
        <f t="shared" si="1393"/>
        <v>CASETA 3</v>
      </c>
      <c r="D226" s="87" t="s">
        <v>49</v>
      </c>
      <c r="E226" s="83">
        <f t="shared" ref="E226:W226" si="1401">VLOOKUP(E$168,CST3BY,12,0)</f>
        <v>0.7</v>
      </c>
      <c r="F226" s="83">
        <f t="shared" si="1401"/>
        <v>0.7</v>
      </c>
      <c r="G226" s="83">
        <f t="shared" si="1401"/>
        <v>1.4</v>
      </c>
      <c r="H226" s="83">
        <f t="shared" si="1401"/>
        <v>1.9</v>
      </c>
      <c r="I226" s="83">
        <f t="shared" si="1401"/>
        <v>2.1999999999999997</v>
      </c>
      <c r="J226" s="83">
        <f t="shared" si="1401"/>
        <v>2.38</v>
      </c>
      <c r="K226" s="83">
        <f t="shared" si="1401"/>
        <v>2.56</v>
      </c>
      <c r="L226" s="83">
        <f t="shared" si="1401"/>
        <v>2.72</v>
      </c>
      <c r="M226" s="83">
        <f t="shared" si="1401"/>
        <v>2.8800000000000003</v>
      </c>
      <c r="N226" s="83">
        <f t="shared" si="1401"/>
        <v>3.0400000000000005</v>
      </c>
      <c r="O226" s="83">
        <f t="shared" si="1401"/>
        <v>3.2000000000000006</v>
      </c>
      <c r="P226" s="83">
        <f t="shared" si="1401"/>
        <v>3.3600000000000008</v>
      </c>
      <c r="Q226" s="83">
        <f t="shared" si="1401"/>
        <v>3.5200000000000009</v>
      </c>
      <c r="R226" s="83">
        <f t="shared" si="1401"/>
        <v>3.680000000000001</v>
      </c>
      <c r="S226" s="83">
        <f t="shared" si="1401"/>
        <v>3.8400000000000012</v>
      </c>
      <c r="T226" s="83">
        <f t="shared" si="1401"/>
        <v>4.0000000000000009</v>
      </c>
      <c r="U226" s="83">
        <f t="shared" si="1401"/>
        <v>4.160000000000001</v>
      </c>
      <c r="V226" s="83">
        <f t="shared" si="1401"/>
        <v>4.3200000000000012</v>
      </c>
      <c r="W226" s="83">
        <f t="shared" si="1401"/>
        <v>4.4800000000000013</v>
      </c>
    </row>
    <row r="227" spans="3:23" ht="25.5" x14ac:dyDescent="0.25">
      <c r="C227" s="78" t="str">
        <f t="shared" si="1393"/>
        <v>CASETA 3</v>
      </c>
      <c r="D227" s="87" t="s">
        <v>73</v>
      </c>
      <c r="E227" s="83">
        <f t="shared" ref="E227:W227" si="1402">VLOOKUP(E$168,CST3BY,13,0)</f>
        <v>0</v>
      </c>
      <c r="F227" s="83">
        <f t="shared" si="1402"/>
        <v>0</v>
      </c>
      <c r="G227" s="83">
        <f t="shared" si="1402"/>
        <v>0</v>
      </c>
      <c r="H227" s="83">
        <f t="shared" si="1402"/>
        <v>6.8627450980392163E-2</v>
      </c>
      <c r="I227" s="83">
        <f t="shared" si="1402"/>
        <v>0.28991596638655465</v>
      </c>
      <c r="J227" s="83">
        <f t="shared" si="1402"/>
        <v>0.51260504201680668</v>
      </c>
      <c r="K227" s="83">
        <f t="shared" si="1402"/>
        <v>0.9509803921568627</v>
      </c>
      <c r="L227" s="83">
        <f t="shared" si="1402"/>
        <v>1.0434173669467788</v>
      </c>
      <c r="M227" s="83">
        <f t="shared" si="1402"/>
        <v>1.2647058823529411</v>
      </c>
      <c r="N227" s="83">
        <f t="shared" si="1402"/>
        <v>1.3823529411764706</v>
      </c>
      <c r="O227" s="83">
        <f t="shared" si="1402"/>
        <v>1.4439775910364145</v>
      </c>
      <c r="P227" s="83">
        <f t="shared" si="1402"/>
        <v>1.4957983193277311</v>
      </c>
      <c r="Q227" s="83">
        <f t="shared" si="1402"/>
        <v>1.5798319327731092</v>
      </c>
      <c r="R227" s="83">
        <f t="shared" si="1402"/>
        <v>1.6288515406162465</v>
      </c>
      <c r="S227" s="83">
        <f t="shared" si="1402"/>
        <v>1.7114845938375349</v>
      </c>
      <c r="T227" s="83">
        <f t="shared" si="1402"/>
        <v>1.757703081232493</v>
      </c>
      <c r="U227" s="83">
        <f t="shared" si="1402"/>
        <v>1.757703081232493</v>
      </c>
      <c r="V227" s="83">
        <f t="shared" si="1402"/>
        <v>1.757703081232493</v>
      </c>
      <c r="W227" s="83">
        <f t="shared" si="1402"/>
        <v>1.757703081232493</v>
      </c>
    </row>
    <row r="228" spans="3:23" x14ac:dyDescent="0.25">
      <c r="C228" s="78" t="str">
        <f t="shared" si="1393"/>
        <v>CASETA 3</v>
      </c>
      <c r="D228" s="23" t="s">
        <v>9</v>
      </c>
      <c r="E228" s="83">
        <f t="shared" ref="E228:W228" si="1403">VLOOKUP(E$168,CST3BY,14,0)</f>
        <v>0</v>
      </c>
      <c r="F228" s="83">
        <f t="shared" si="1403"/>
        <v>0</v>
      </c>
      <c r="G228" s="83">
        <f t="shared" si="1403"/>
        <v>0</v>
      </c>
      <c r="H228" s="83">
        <f t="shared" si="1403"/>
        <v>14400</v>
      </c>
      <c r="I228" s="83">
        <f t="shared" si="1403"/>
        <v>11555</v>
      </c>
      <c r="J228" s="83">
        <f t="shared" si="1403"/>
        <v>19383</v>
      </c>
      <c r="K228" s="83">
        <f t="shared" si="1403"/>
        <v>21567</v>
      </c>
      <c r="L228" s="83">
        <f t="shared" si="1403"/>
        <v>23205</v>
      </c>
      <c r="M228" s="83">
        <f t="shared" si="1403"/>
        <v>28119</v>
      </c>
      <c r="N228" s="83">
        <f t="shared" si="1403"/>
        <v>21840</v>
      </c>
      <c r="O228" s="83">
        <f t="shared" si="1403"/>
        <v>31122</v>
      </c>
      <c r="P228" s="83">
        <f t="shared" si="1403"/>
        <v>33852</v>
      </c>
      <c r="Q228" s="83">
        <f t="shared" si="1403"/>
        <v>21021</v>
      </c>
      <c r="R228" s="83">
        <f t="shared" si="1403"/>
        <v>19929</v>
      </c>
      <c r="S228" s="83">
        <f t="shared" si="1403"/>
        <v>19128</v>
      </c>
      <c r="T228" s="83">
        <f t="shared" si="1403"/>
        <v>6552</v>
      </c>
      <c r="U228" s="83">
        <f t="shared" si="1403"/>
        <v>0</v>
      </c>
      <c r="V228" s="83">
        <f t="shared" si="1403"/>
        <v>0</v>
      </c>
      <c r="W228" s="83">
        <f t="shared" si="1403"/>
        <v>0</v>
      </c>
    </row>
    <row r="229" spans="3:23" ht="25.5" x14ac:dyDescent="0.25">
      <c r="C229" s="78" t="str">
        <f t="shared" si="1393"/>
        <v>CASETA 3</v>
      </c>
      <c r="D229" s="86" t="s">
        <v>75</v>
      </c>
      <c r="E229" s="83">
        <f t="shared" ref="E229:W229" si="1404">VLOOKUP(E$168,CST3BY,15,0)</f>
        <v>10</v>
      </c>
      <c r="F229" s="83">
        <f t="shared" si="1404"/>
        <v>10</v>
      </c>
      <c r="G229" s="83">
        <f t="shared" si="1404"/>
        <v>17</v>
      </c>
      <c r="H229" s="83">
        <f t="shared" si="1404"/>
        <v>23</v>
      </c>
      <c r="I229" s="83">
        <f t="shared" si="1404"/>
        <v>29</v>
      </c>
      <c r="J229" s="83">
        <f t="shared" si="1404"/>
        <v>34</v>
      </c>
      <c r="K229" s="83">
        <f t="shared" si="1404"/>
        <v>38</v>
      </c>
      <c r="L229" s="83">
        <f t="shared" si="1404"/>
        <v>42</v>
      </c>
      <c r="M229" s="83">
        <f t="shared" si="1404"/>
        <v>46</v>
      </c>
      <c r="N229" s="83">
        <f t="shared" si="1404"/>
        <v>49</v>
      </c>
      <c r="O229" s="83">
        <f t="shared" si="1404"/>
        <v>52</v>
      </c>
      <c r="P229" s="83">
        <f t="shared" si="1404"/>
        <v>55</v>
      </c>
      <c r="Q229" s="83">
        <f t="shared" si="1404"/>
        <v>58</v>
      </c>
      <c r="R229" s="83">
        <f t="shared" si="1404"/>
        <v>61</v>
      </c>
      <c r="S229" s="83">
        <f t="shared" si="1404"/>
        <v>64</v>
      </c>
      <c r="T229" s="83">
        <f t="shared" si="1404"/>
        <v>67</v>
      </c>
      <c r="U229" s="83">
        <f t="shared" si="1404"/>
        <v>71</v>
      </c>
      <c r="V229" s="83">
        <f t="shared" si="1404"/>
        <v>75</v>
      </c>
      <c r="W229" s="83">
        <f t="shared" si="1404"/>
        <v>79</v>
      </c>
    </row>
    <row r="230" spans="3:23" ht="25.5" x14ac:dyDescent="0.25">
      <c r="C230" s="78" t="str">
        <f t="shared" si="1393"/>
        <v>CASETA 3</v>
      </c>
      <c r="D230" s="86" t="s">
        <v>62</v>
      </c>
      <c r="E230" s="83">
        <f t="shared" ref="E230:W230" si="1405">VLOOKUP(E$168,CST3BY,16,0)</f>
        <v>0</v>
      </c>
      <c r="F230" s="83">
        <f t="shared" si="1405"/>
        <v>0</v>
      </c>
      <c r="G230" s="83">
        <f t="shared" si="1405"/>
        <v>0</v>
      </c>
      <c r="H230" s="83">
        <f t="shared" si="1405"/>
        <v>28.811524609843939</v>
      </c>
      <c r="I230" s="83">
        <f t="shared" si="1405"/>
        <v>23.135124745473586</v>
      </c>
      <c r="J230" s="83">
        <f t="shared" si="1405"/>
        <v>29.562803608605133</v>
      </c>
      <c r="K230" s="83">
        <f t="shared" si="1405"/>
        <v>32.949757234829853</v>
      </c>
      <c r="L230" s="83">
        <f t="shared" si="1405"/>
        <v>35.57134119515414</v>
      </c>
      <c r="M230" s="83">
        <f t="shared" si="1405"/>
        <v>43.134644088180657</v>
      </c>
      <c r="N230" s="83">
        <f t="shared" si="1405"/>
        <v>33.559573621314634</v>
      </c>
      <c r="O230" s="83">
        <f t="shared" si="1405"/>
        <v>47.865640307907633</v>
      </c>
      <c r="P230" s="83">
        <f t="shared" si="1405"/>
        <v>61.621580295365639</v>
      </c>
      <c r="Q230" s="83">
        <f t="shared" si="1405"/>
        <v>45.831234833569894</v>
      </c>
      <c r="R230" s="83">
        <f t="shared" si="1405"/>
        <v>43.49021584711975</v>
      </c>
      <c r="S230" s="83">
        <f t="shared" si="1405"/>
        <v>41.76455689569341</v>
      </c>
      <c r="T230" s="83">
        <f t="shared" si="1405"/>
        <v>14.318713763404672</v>
      </c>
      <c r="U230" s="83">
        <f t="shared" si="1405"/>
        <v>0</v>
      </c>
      <c r="V230" s="83">
        <f t="shared" si="1405"/>
        <v>0</v>
      </c>
      <c r="W230" s="83">
        <f t="shared" si="1405"/>
        <v>0</v>
      </c>
    </row>
    <row r="231" spans="3:23" ht="25.5" x14ac:dyDescent="0.25">
      <c r="C231" s="78" t="str">
        <f t="shared" si="1393"/>
        <v>CASETA 3</v>
      </c>
      <c r="D231" s="24" t="s">
        <v>50</v>
      </c>
      <c r="E231" s="83">
        <f t="shared" ref="E231:W231" si="1406">VLOOKUP(E$168,CST3BY,17,0)</f>
        <v>0</v>
      </c>
      <c r="F231" s="83">
        <f t="shared" si="1406"/>
        <v>0</v>
      </c>
      <c r="G231" s="83">
        <f t="shared" si="1406"/>
        <v>0</v>
      </c>
      <c r="H231" s="83">
        <f t="shared" si="1406"/>
        <v>402.89747195999928</v>
      </c>
      <c r="I231" s="83">
        <f t="shared" si="1406"/>
        <v>532.89339618132033</v>
      </c>
      <c r="J231" s="83">
        <f t="shared" si="1406"/>
        <v>740.01824285321152</v>
      </c>
      <c r="K231" s="83">
        <f t="shared" si="1406"/>
        <v>971.01777342850778</v>
      </c>
      <c r="L231" s="83">
        <f t="shared" si="1406"/>
        <v>1220.1262019713197</v>
      </c>
      <c r="M231" s="83">
        <f t="shared" si="1406"/>
        <v>1522.3242252498878</v>
      </c>
      <c r="N231" s="83">
        <f t="shared" si="1406"/>
        <v>1757.3654574957704</v>
      </c>
      <c r="O231" s="83">
        <f t="shared" si="1406"/>
        <v>2092.4920726081345</v>
      </c>
      <c r="P231" s="83">
        <f t="shared" si="1406"/>
        <v>2469.567067523677</v>
      </c>
      <c r="Q231" s="83">
        <f t="shared" si="1406"/>
        <v>2790.5287450159176</v>
      </c>
      <c r="R231" s="83">
        <f t="shared" si="1406"/>
        <v>3095.0293325150601</v>
      </c>
      <c r="S231" s="83">
        <f t="shared" si="1406"/>
        <v>3387.4782852954181</v>
      </c>
      <c r="T231" s="83">
        <f t="shared" si="1406"/>
        <v>3487.7310117165239</v>
      </c>
      <c r="U231" s="83">
        <f t="shared" si="1406"/>
        <v>3487.7310117165239</v>
      </c>
      <c r="V231" s="83">
        <f t="shared" si="1406"/>
        <v>3487.7310117165239</v>
      </c>
      <c r="W231" s="83">
        <f t="shared" si="1406"/>
        <v>3487.7310117165239</v>
      </c>
    </row>
    <row r="232" spans="3:23" x14ac:dyDescent="0.25">
      <c r="C232" s="78" t="str">
        <f t="shared" si="1393"/>
        <v>CASETA 3</v>
      </c>
      <c r="D232" s="86" t="s">
        <v>63</v>
      </c>
      <c r="E232" s="83">
        <f t="shared" ref="E232:W232" si="1407">VLOOKUP(E$168,CST3BY,18,0)</f>
        <v>40</v>
      </c>
      <c r="F232" s="83">
        <f t="shared" si="1407"/>
        <v>70</v>
      </c>
      <c r="G232" s="83">
        <f t="shared" si="1407"/>
        <v>120</v>
      </c>
      <c r="H232" s="83">
        <f t="shared" si="1407"/>
        <v>185</v>
      </c>
      <c r="I232" s="83">
        <f t="shared" si="1407"/>
        <v>255</v>
      </c>
      <c r="J232" s="83">
        <f t="shared" si="1407"/>
        <v>334</v>
      </c>
      <c r="K232" s="83">
        <f t="shared" si="1407"/>
        <v>425</v>
      </c>
      <c r="L232" s="83">
        <f t="shared" si="1407"/>
        <v>524</v>
      </c>
      <c r="M232" s="83">
        <f t="shared" si="1407"/>
        <v>618</v>
      </c>
      <c r="N232" s="83">
        <f t="shared" si="1407"/>
        <v>712</v>
      </c>
      <c r="O232" s="83">
        <f t="shared" si="1407"/>
        <v>802</v>
      </c>
      <c r="P232" s="83">
        <f t="shared" si="1407"/>
        <v>880</v>
      </c>
      <c r="Q232" s="83">
        <f t="shared" si="1407"/>
        <v>950</v>
      </c>
      <c r="R232" s="83">
        <f t="shared" si="1407"/>
        <v>1010</v>
      </c>
      <c r="S232" s="83">
        <f t="shared" si="1407"/>
        <v>1065</v>
      </c>
      <c r="T232" s="83">
        <f t="shared" si="1407"/>
        <v>1115</v>
      </c>
      <c r="U232" s="83">
        <f t="shared" si="1407"/>
        <v>1160</v>
      </c>
      <c r="V232" s="83">
        <f t="shared" si="1407"/>
        <v>1207</v>
      </c>
      <c r="W232" s="83">
        <f t="shared" si="1407"/>
        <v>1257</v>
      </c>
    </row>
    <row r="233" spans="3:23" x14ac:dyDescent="0.25">
      <c r="C233" s="78" t="str">
        <f t="shared" si="1393"/>
        <v>CASETA 3</v>
      </c>
      <c r="D233" s="86" t="s">
        <v>64</v>
      </c>
      <c r="E233" s="83">
        <f t="shared" ref="E233:W233" si="1408">VLOOKUP(E$168,CST3BY,19,0)</f>
        <v>0</v>
      </c>
      <c r="F233" s="83">
        <f t="shared" si="1408"/>
        <v>0</v>
      </c>
      <c r="G233" s="83">
        <f t="shared" si="1408"/>
        <v>0</v>
      </c>
      <c r="H233" s="83">
        <f t="shared" si="1408"/>
        <v>185</v>
      </c>
      <c r="I233" s="83">
        <f t="shared" si="1408"/>
        <v>231</v>
      </c>
      <c r="J233" s="83">
        <f t="shared" si="1408"/>
        <v>298</v>
      </c>
      <c r="K233" s="83">
        <f t="shared" si="1408"/>
        <v>400</v>
      </c>
      <c r="L233" s="83">
        <f t="shared" si="1408"/>
        <v>492</v>
      </c>
      <c r="M233" s="83">
        <f t="shared" si="1408"/>
        <v>615</v>
      </c>
      <c r="N233" s="83">
        <f t="shared" si="1408"/>
        <v>680</v>
      </c>
      <c r="O233" s="83">
        <f t="shared" si="1408"/>
        <v>825</v>
      </c>
      <c r="P233" s="83">
        <f t="shared" si="1408"/>
        <v>906</v>
      </c>
      <c r="Q233" s="83">
        <f t="shared" si="1408"/>
        <v>863</v>
      </c>
      <c r="R233" s="83">
        <f t="shared" si="1408"/>
        <v>960</v>
      </c>
      <c r="S233" s="83">
        <f t="shared" si="1408"/>
        <v>980</v>
      </c>
      <c r="T233" s="83">
        <f t="shared" si="1408"/>
        <v>1047</v>
      </c>
      <c r="U233" s="83">
        <f t="shared" si="1408"/>
        <v>0</v>
      </c>
      <c r="V233" s="83">
        <f t="shared" si="1408"/>
        <v>0</v>
      </c>
      <c r="W233" s="83">
        <f t="shared" si="1408"/>
        <v>0</v>
      </c>
    </row>
    <row r="234" spans="3:23" x14ac:dyDescent="0.25">
      <c r="C234" s="78" t="str">
        <f t="shared" si="1393"/>
        <v>CASETA 3</v>
      </c>
      <c r="D234" s="23" t="s">
        <v>15</v>
      </c>
      <c r="E234" s="83">
        <f t="shared" ref="E234:W234" si="1409">VLOOKUP(E$168,CST3BY,20,0)</f>
        <v>40</v>
      </c>
      <c r="F234" s="83">
        <f t="shared" si="1409"/>
        <v>70</v>
      </c>
      <c r="G234" s="83">
        <f t="shared" si="1409"/>
        <v>120</v>
      </c>
      <c r="H234" s="83">
        <f t="shared" si="1409"/>
        <v>0</v>
      </c>
      <c r="I234" s="83">
        <f t="shared" si="1409"/>
        <v>24</v>
      </c>
      <c r="J234" s="83">
        <f t="shared" si="1409"/>
        <v>36</v>
      </c>
      <c r="K234" s="83">
        <f t="shared" si="1409"/>
        <v>25</v>
      </c>
      <c r="L234" s="83">
        <f t="shared" si="1409"/>
        <v>32</v>
      </c>
      <c r="M234" s="83">
        <f t="shared" si="1409"/>
        <v>3</v>
      </c>
      <c r="N234" s="83">
        <f t="shared" si="1409"/>
        <v>32</v>
      </c>
      <c r="O234" s="83">
        <f t="shared" si="1409"/>
        <v>-23</v>
      </c>
      <c r="P234" s="83">
        <f t="shared" si="1409"/>
        <v>-26</v>
      </c>
      <c r="Q234" s="83">
        <f t="shared" si="1409"/>
        <v>87</v>
      </c>
      <c r="R234" s="83">
        <f t="shared" si="1409"/>
        <v>50</v>
      </c>
      <c r="S234" s="83">
        <f t="shared" si="1409"/>
        <v>85</v>
      </c>
      <c r="T234" s="83">
        <f t="shared" si="1409"/>
        <v>68</v>
      </c>
      <c r="U234" s="83">
        <f t="shared" si="1409"/>
        <v>1160</v>
      </c>
      <c r="V234" s="83">
        <f t="shared" si="1409"/>
        <v>1207</v>
      </c>
      <c r="W234" s="83">
        <f t="shared" si="1409"/>
        <v>1257</v>
      </c>
    </row>
    <row r="235" spans="3:23" ht="25.5" x14ac:dyDescent="0.25">
      <c r="C235" s="78" t="str">
        <f t="shared" si="1393"/>
        <v>CASETA 3</v>
      </c>
      <c r="D235" s="86" t="s">
        <v>65</v>
      </c>
      <c r="E235" s="83">
        <f t="shared" ref="E235:W235" si="1410">VLOOKUP(E$168,CST3BY,21,0)</f>
        <v>77</v>
      </c>
      <c r="F235" s="83">
        <f t="shared" si="1410"/>
        <v>77</v>
      </c>
      <c r="G235" s="83">
        <f t="shared" si="1410"/>
        <v>77</v>
      </c>
      <c r="H235" s="83">
        <f t="shared" si="1410"/>
        <v>77</v>
      </c>
      <c r="I235" s="83">
        <f t="shared" si="1410"/>
        <v>79</v>
      </c>
      <c r="J235" s="83">
        <f t="shared" si="1410"/>
        <v>79</v>
      </c>
      <c r="K235" s="83">
        <f t="shared" si="1410"/>
        <v>79</v>
      </c>
      <c r="L235" s="83">
        <f t="shared" si="1410"/>
        <v>79</v>
      </c>
      <c r="M235" s="83">
        <f t="shared" si="1410"/>
        <v>79</v>
      </c>
      <c r="N235" s="83">
        <f t="shared" si="1410"/>
        <v>79</v>
      </c>
      <c r="O235" s="83">
        <f t="shared" si="1410"/>
        <v>80</v>
      </c>
      <c r="P235" s="83">
        <f t="shared" si="1410"/>
        <v>80</v>
      </c>
      <c r="Q235" s="83">
        <f t="shared" si="1410"/>
        <v>82</v>
      </c>
      <c r="R235" s="83">
        <f t="shared" si="1410"/>
        <v>82</v>
      </c>
      <c r="S235" s="83">
        <f t="shared" si="1410"/>
        <v>84</v>
      </c>
      <c r="T235" s="83">
        <f t="shared" si="1410"/>
        <v>86</v>
      </c>
      <c r="U235" s="83">
        <f t="shared" si="1410"/>
        <v>86</v>
      </c>
      <c r="V235" s="83">
        <f t="shared" si="1410"/>
        <v>86</v>
      </c>
      <c r="W235" s="83">
        <f t="shared" si="1410"/>
        <v>86</v>
      </c>
    </row>
    <row r="236" spans="3:23" ht="25.5" x14ac:dyDescent="0.25">
      <c r="C236" s="78" t="str">
        <f t="shared" si="1393"/>
        <v>CASETA 3</v>
      </c>
      <c r="D236" s="86" t="s">
        <v>66</v>
      </c>
      <c r="E236" s="83">
        <f t="shared" ref="E236:W236" si="1411">VLOOKUP(E$168,CST3BY,22,0)</f>
        <v>0</v>
      </c>
      <c r="F236" s="83">
        <f t="shared" si="1411"/>
        <v>0</v>
      </c>
      <c r="G236" s="83">
        <f t="shared" si="1411"/>
        <v>0</v>
      </c>
      <c r="H236" s="83">
        <f t="shared" si="1411"/>
        <v>62</v>
      </c>
      <c r="I236" s="83">
        <f t="shared" si="1411"/>
        <v>65</v>
      </c>
      <c r="J236" s="83">
        <f t="shared" si="1411"/>
        <v>68</v>
      </c>
      <c r="K236" s="83">
        <f t="shared" si="1411"/>
        <v>58</v>
      </c>
      <c r="L236" s="83">
        <f t="shared" si="1411"/>
        <v>54</v>
      </c>
      <c r="M236" s="83">
        <f t="shared" si="1411"/>
        <v>66</v>
      </c>
      <c r="N236" s="83">
        <f t="shared" si="1411"/>
        <v>76</v>
      </c>
      <c r="O236" s="83">
        <f t="shared" si="1411"/>
        <v>96</v>
      </c>
      <c r="P236" s="83">
        <f t="shared" si="1411"/>
        <v>95</v>
      </c>
      <c r="Q236" s="83">
        <f t="shared" si="1411"/>
        <v>74</v>
      </c>
      <c r="R236" s="83">
        <f t="shared" si="1411"/>
        <v>85</v>
      </c>
      <c r="S236" s="83">
        <f t="shared" si="1411"/>
        <v>74</v>
      </c>
      <c r="T236" s="83">
        <f t="shared" si="1411"/>
        <v>77</v>
      </c>
      <c r="U236" s="83">
        <f t="shared" si="1411"/>
        <v>0</v>
      </c>
      <c r="V236" s="83">
        <f t="shared" si="1411"/>
        <v>0</v>
      </c>
      <c r="W236" s="83">
        <f t="shared" si="1411"/>
        <v>0</v>
      </c>
    </row>
    <row r="237" spans="3:23" x14ac:dyDescent="0.25">
      <c r="C237" s="78" t="str">
        <f>C236</f>
        <v>CASETA 3</v>
      </c>
      <c r="D237" s="23" t="s">
        <v>15</v>
      </c>
      <c r="E237" s="85">
        <f>E235-E236</f>
        <v>77</v>
      </c>
      <c r="F237" s="85">
        <f t="shared" ref="F237:W237" si="1412">F235-F236</f>
        <v>77</v>
      </c>
      <c r="G237" s="85">
        <f t="shared" si="1412"/>
        <v>77</v>
      </c>
      <c r="H237" s="85">
        <f t="shared" si="1412"/>
        <v>15</v>
      </c>
      <c r="I237" s="85">
        <f t="shared" si="1412"/>
        <v>14</v>
      </c>
      <c r="J237" s="85">
        <f t="shared" si="1412"/>
        <v>11</v>
      </c>
      <c r="K237" s="85">
        <f t="shared" si="1412"/>
        <v>21</v>
      </c>
      <c r="L237" s="85">
        <f t="shared" si="1412"/>
        <v>25</v>
      </c>
      <c r="M237" s="85">
        <f t="shared" si="1412"/>
        <v>13</v>
      </c>
      <c r="N237" s="85">
        <f t="shared" si="1412"/>
        <v>3</v>
      </c>
      <c r="O237" s="85">
        <f t="shared" si="1412"/>
        <v>-16</v>
      </c>
      <c r="P237" s="85">
        <f t="shared" si="1412"/>
        <v>-15</v>
      </c>
      <c r="Q237" s="85">
        <f t="shared" si="1412"/>
        <v>8</v>
      </c>
      <c r="R237" s="85">
        <f t="shared" si="1412"/>
        <v>-3</v>
      </c>
      <c r="S237" s="85">
        <f t="shared" si="1412"/>
        <v>10</v>
      </c>
      <c r="T237" s="85">
        <f t="shared" si="1412"/>
        <v>9</v>
      </c>
      <c r="U237" s="85">
        <f t="shared" si="1412"/>
        <v>86</v>
      </c>
      <c r="V237" s="85">
        <f t="shared" si="1412"/>
        <v>86</v>
      </c>
      <c r="W237" s="85">
        <f t="shared" si="1412"/>
        <v>86</v>
      </c>
    </row>
    <row r="238" spans="3:23" x14ac:dyDescent="0.25">
      <c r="C238" s="78"/>
      <c r="D238" s="85"/>
      <c r="E238" s="85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</row>
    <row r="239" spans="3:23" x14ac:dyDescent="0.25">
      <c r="C239" s="78"/>
      <c r="D239" s="85"/>
      <c r="E239" s="85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</row>
    <row r="240" spans="3:23" x14ac:dyDescent="0.25">
      <c r="C240" s="78"/>
      <c r="D240" s="85"/>
      <c r="E240" s="85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</row>
    <row r="241" spans="3:23" ht="20.25" customHeight="1" x14ac:dyDescent="0.25">
      <c r="C241" s="77" t="s">
        <v>181</v>
      </c>
      <c r="D241" s="24" t="s">
        <v>67</v>
      </c>
      <c r="E241" s="83">
        <f>VLOOKUP(E$168,CST1G1,3,0)</f>
        <v>0</v>
      </c>
      <c r="F241" s="83">
        <f t="shared" ref="F241:W241" si="1413">VLOOKUP(F$168,CST1G1,3,0)</f>
        <v>0</v>
      </c>
      <c r="G241" s="83">
        <f t="shared" si="1413"/>
        <v>0</v>
      </c>
      <c r="H241" s="83">
        <f t="shared" si="1413"/>
        <v>0</v>
      </c>
      <c r="I241" s="83">
        <f t="shared" si="1413"/>
        <v>0</v>
      </c>
      <c r="J241" s="83">
        <f t="shared" si="1413"/>
        <v>0</v>
      </c>
      <c r="K241" s="83">
        <f t="shared" si="1413"/>
        <v>0</v>
      </c>
      <c r="L241" s="83">
        <f t="shared" si="1413"/>
        <v>0</v>
      </c>
      <c r="M241" s="83">
        <f t="shared" si="1413"/>
        <v>0</v>
      </c>
      <c r="N241" s="83">
        <f t="shared" si="1413"/>
        <v>0</v>
      </c>
      <c r="O241" s="83">
        <f t="shared" si="1413"/>
        <v>0</v>
      </c>
      <c r="P241" s="83">
        <f t="shared" si="1413"/>
        <v>14656</v>
      </c>
      <c r="Q241" s="83">
        <f t="shared" si="1413"/>
        <v>14647</v>
      </c>
      <c r="R241" s="83">
        <f t="shared" si="1413"/>
        <v>14628</v>
      </c>
      <c r="S241" s="83">
        <f t="shared" si="1413"/>
        <v>14607</v>
      </c>
      <c r="T241" s="83">
        <f t="shared" si="1413"/>
        <v>14591</v>
      </c>
      <c r="U241" s="83">
        <f t="shared" si="1413"/>
        <v>14583</v>
      </c>
      <c r="V241" s="83">
        <f t="shared" si="1413"/>
        <v>14583</v>
      </c>
      <c r="W241" s="83">
        <f t="shared" si="1413"/>
        <v>14583</v>
      </c>
    </row>
    <row r="242" spans="3:23" x14ac:dyDescent="0.25">
      <c r="C242" s="78" t="str">
        <f>C241</f>
        <v>CASETA G1</v>
      </c>
      <c r="D242" s="24" t="s">
        <v>34</v>
      </c>
      <c r="E242" s="83">
        <f t="shared" ref="E242:W242" si="1414">VLOOKUP(E$168,CST1G1,4,0)</f>
        <v>0</v>
      </c>
      <c r="F242" s="83">
        <f t="shared" si="1414"/>
        <v>0</v>
      </c>
      <c r="G242" s="83">
        <f t="shared" si="1414"/>
        <v>0</v>
      </c>
      <c r="H242" s="83">
        <f t="shared" si="1414"/>
        <v>0</v>
      </c>
      <c r="I242" s="83">
        <f t="shared" si="1414"/>
        <v>0</v>
      </c>
      <c r="J242" s="83">
        <f t="shared" si="1414"/>
        <v>0</v>
      </c>
      <c r="K242" s="83">
        <f t="shared" si="1414"/>
        <v>0</v>
      </c>
      <c r="L242" s="83">
        <f t="shared" si="1414"/>
        <v>0</v>
      </c>
      <c r="M242" s="83">
        <f t="shared" si="1414"/>
        <v>0</v>
      </c>
      <c r="N242" s="83">
        <f t="shared" si="1414"/>
        <v>0</v>
      </c>
      <c r="O242" s="83">
        <f t="shared" si="1414"/>
        <v>0</v>
      </c>
      <c r="P242" s="83">
        <f t="shared" si="1414"/>
        <v>14647</v>
      </c>
      <c r="Q242" s="83">
        <f t="shared" si="1414"/>
        <v>14628</v>
      </c>
      <c r="R242" s="83">
        <f t="shared" si="1414"/>
        <v>14607</v>
      </c>
      <c r="S242" s="83">
        <f t="shared" si="1414"/>
        <v>14591</v>
      </c>
      <c r="T242" s="83">
        <f t="shared" si="1414"/>
        <v>14583</v>
      </c>
      <c r="U242" s="83">
        <f t="shared" si="1414"/>
        <v>14583</v>
      </c>
      <c r="V242" s="83">
        <f t="shared" si="1414"/>
        <v>14583</v>
      </c>
      <c r="W242" s="83">
        <f t="shared" si="1414"/>
        <v>14583</v>
      </c>
    </row>
    <row r="243" spans="3:23" x14ac:dyDescent="0.25">
      <c r="C243" s="78" t="str">
        <f t="shared" ref="C243:C260" si="1415">C242</f>
        <v>CASETA G1</v>
      </c>
      <c r="D243" s="23" t="s">
        <v>27</v>
      </c>
      <c r="E243" s="83">
        <f t="shared" ref="E243:W243" si="1416">VLOOKUP(E$168,CST1G1,5,0)</f>
        <v>0</v>
      </c>
      <c r="F243" s="83">
        <f t="shared" si="1416"/>
        <v>0</v>
      </c>
      <c r="G243" s="83">
        <f t="shared" si="1416"/>
        <v>0</v>
      </c>
      <c r="H243" s="83">
        <f t="shared" si="1416"/>
        <v>0</v>
      </c>
      <c r="I243" s="83">
        <f t="shared" si="1416"/>
        <v>0</v>
      </c>
      <c r="J243" s="83">
        <f t="shared" si="1416"/>
        <v>0</v>
      </c>
      <c r="K243" s="83">
        <f t="shared" si="1416"/>
        <v>0</v>
      </c>
      <c r="L243" s="83">
        <f t="shared" si="1416"/>
        <v>0</v>
      </c>
      <c r="M243" s="83">
        <f t="shared" si="1416"/>
        <v>0</v>
      </c>
      <c r="N243" s="83">
        <f t="shared" si="1416"/>
        <v>0</v>
      </c>
      <c r="O243" s="83">
        <f t="shared" si="1416"/>
        <v>0</v>
      </c>
      <c r="P243" s="83">
        <f t="shared" si="1416"/>
        <v>0</v>
      </c>
      <c r="Q243" s="83">
        <f t="shared" si="1416"/>
        <v>0</v>
      </c>
      <c r="R243" s="83">
        <f t="shared" si="1416"/>
        <v>0</v>
      </c>
      <c r="S243" s="83">
        <f t="shared" si="1416"/>
        <v>0</v>
      </c>
      <c r="T243" s="83">
        <f t="shared" si="1416"/>
        <v>0</v>
      </c>
      <c r="U243" s="83">
        <f t="shared" si="1416"/>
        <v>0</v>
      </c>
      <c r="V243" s="83">
        <f t="shared" si="1416"/>
        <v>0</v>
      </c>
      <c r="W243" s="83">
        <f t="shared" si="1416"/>
        <v>0</v>
      </c>
    </row>
    <row r="244" spans="3:23" x14ac:dyDescent="0.25">
      <c r="C244" s="78" t="str">
        <f t="shared" si="1415"/>
        <v>CASETA G1</v>
      </c>
      <c r="D244" s="23" t="s">
        <v>16</v>
      </c>
      <c r="E244" s="83">
        <f t="shared" ref="E244:W244" si="1417">VLOOKUP(E$168,CST1G1,6,0)</f>
        <v>0</v>
      </c>
      <c r="F244" s="83">
        <f t="shared" si="1417"/>
        <v>0</v>
      </c>
      <c r="G244" s="83">
        <f t="shared" si="1417"/>
        <v>0</v>
      </c>
      <c r="H244" s="83">
        <f t="shared" si="1417"/>
        <v>0</v>
      </c>
      <c r="I244" s="83">
        <f t="shared" si="1417"/>
        <v>0</v>
      </c>
      <c r="J244" s="83">
        <f t="shared" si="1417"/>
        <v>0</v>
      </c>
      <c r="K244" s="83">
        <f t="shared" si="1417"/>
        <v>0</v>
      </c>
      <c r="L244" s="83">
        <f t="shared" si="1417"/>
        <v>0</v>
      </c>
      <c r="M244" s="83">
        <f t="shared" si="1417"/>
        <v>0</v>
      </c>
      <c r="N244" s="83">
        <f t="shared" si="1417"/>
        <v>0</v>
      </c>
      <c r="O244" s="83">
        <f t="shared" si="1417"/>
        <v>0</v>
      </c>
      <c r="P244" s="83">
        <f t="shared" si="1417"/>
        <v>9</v>
      </c>
      <c r="Q244" s="83">
        <f t="shared" si="1417"/>
        <v>19</v>
      </c>
      <c r="R244" s="83">
        <f t="shared" si="1417"/>
        <v>21</v>
      </c>
      <c r="S244" s="83">
        <f t="shared" si="1417"/>
        <v>16</v>
      </c>
      <c r="T244" s="83">
        <f t="shared" si="1417"/>
        <v>8</v>
      </c>
      <c r="U244" s="83">
        <f t="shared" si="1417"/>
        <v>0</v>
      </c>
      <c r="V244" s="83">
        <f t="shared" si="1417"/>
        <v>0</v>
      </c>
      <c r="W244" s="83">
        <f t="shared" si="1417"/>
        <v>0</v>
      </c>
    </row>
    <row r="245" spans="3:23" x14ac:dyDescent="0.25">
      <c r="C245" s="78" t="str">
        <f t="shared" si="1415"/>
        <v>CASETA G1</v>
      </c>
      <c r="D245" s="23" t="s">
        <v>17</v>
      </c>
      <c r="E245" s="83">
        <f t="shared" ref="E245:W245" si="1418">VLOOKUP(E$168,CST1G1,7,0)</f>
        <v>0</v>
      </c>
      <c r="F245" s="83">
        <f t="shared" si="1418"/>
        <v>0</v>
      </c>
      <c r="G245" s="83">
        <f t="shared" si="1418"/>
        <v>0</v>
      </c>
      <c r="H245" s="83">
        <f t="shared" si="1418"/>
        <v>0</v>
      </c>
      <c r="I245" s="83">
        <f t="shared" si="1418"/>
        <v>0</v>
      </c>
      <c r="J245" s="83">
        <f t="shared" si="1418"/>
        <v>0</v>
      </c>
      <c r="K245" s="83">
        <f t="shared" si="1418"/>
        <v>0</v>
      </c>
      <c r="L245" s="83">
        <f t="shared" si="1418"/>
        <v>0</v>
      </c>
      <c r="M245" s="83">
        <f t="shared" si="1418"/>
        <v>0</v>
      </c>
      <c r="N245" s="83">
        <f t="shared" si="1418"/>
        <v>0</v>
      </c>
      <c r="O245" s="83">
        <f t="shared" si="1418"/>
        <v>0</v>
      </c>
      <c r="P245" s="83">
        <f t="shared" si="1418"/>
        <v>0</v>
      </c>
      <c r="Q245" s="83">
        <f t="shared" si="1418"/>
        <v>0</v>
      </c>
      <c r="R245" s="83">
        <f t="shared" si="1418"/>
        <v>0</v>
      </c>
      <c r="S245" s="83">
        <f t="shared" si="1418"/>
        <v>0</v>
      </c>
      <c r="T245" s="83">
        <f t="shared" si="1418"/>
        <v>0</v>
      </c>
      <c r="U245" s="83">
        <f t="shared" si="1418"/>
        <v>0</v>
      </c>
      <c r="V245" s="83">
        <f t="shared" si="1418"/>
        <v>0</v>
      </c>
      <c r="W245" s="83">
        <f t="shared" si="1418"/>
        <v>0</v>
      </c>
    </row>
    <row r="246" spans="3:23" x14ac:dyDescent="0.25">
      <c r="C246" s="78" t="str">
        <f t="shared" si="1415"/>
        <v>CASETA G1</v>
      </c>
      <c r="D246" s="23" t="s">
        <v>18</v>
      </c>
      <c r="E246" s="85">
        <f>SUM(E243:E245)</f>
        <v>0</v>
      </c>
      <c r="F246" s="85">
        <f>SUM(F243:F245)</f>
        <v>0</v>
      </c>
      <c r="G246" s="85">
        <f t="shared" ref="G246:W246" si="1419">SUM(G243:G245)</f>
        <v>0</v>
      </c>
      <c r="H246" s="85">
        <f t="shared" si="1419"/>
        <v>0</v>
      </c>
      <c r="I246" s="85">
        <f t="shared" si="1419"/>
        <v>0</v>
      </c>
      <c r="J246" s="85">
        <f t="shared" si="1419"/>
        <v>0</v>
      </c>
      <c r="K246" s="85">
        <f t="shared" si="1419"/>
        <v>0</v>
      </c>
      <c r="L246" s="85">
        <f t="shared" si="1419"/>
        <v>0</v>
      </c>
      <c r="M246" s="85">
        <f t="shared" si="1419"/>
        <v>0</v>
      </c>
      <c r="N246" s="85">
        <f t="shared" si="1419"/>
        <v>0</v>
      </c>
      <c r="O246" s="85">
        <f t="shared" si="1419"/>
        <v>0</v>
      </c>
      <c r="P246" s="85">
        <f>SUM(P243:P245)</f>
        <v>9</v>
      </c>
      <c r="Q246" s="85">
        <f t="shared" si="1419"/>
        <v>19</v>
      </c>
      <c r="R246" s="85">
        <f t="shared" si="1419"/>
        <v>21</v>
      </c>
      <c r="S246" s="85">
        <f t="shared" si="1419"/>
        <v>16</v>
      </c>
      <c r="T246" s="85">
        <f t="shared" si="1419"/>
        <v>8</v>
      </c>
      <c r="U246" s="85">
        <f t="shared" si="1419"/>
        <v>0</v>
      </c>
      <c r="V246" s="85">
        <f t="shared" si="1419"/>
        <v>0</v>
      </c>
      <c r="W246" s="85">
        <f t="shared" si="1419"/>
        <v>0</v>
      </c>
    </row>
    <row r="247" spans="3:23" x14ac:dyDescent="0.25">
      <c r="C247" s="78" t="str">
        <f t="shared" si="1415"/>
        <v>CASETA G1</v>
      </c>
      <c r="D247" s="23" t="s">
        <v>48</v>
      </c>
      <c r="E247" s="83">
        <f t="shared" ref="E247:W247" si="1420">VLOOKUP(E$168,CST1G1,9,0)</f>
        <v>0</v>
      </c>
      <c r="F247" s="83">
        <f t="shared" si="1420"/>
        <v>0</v>
      </c>
      <c r="G247" s="83">
        <f t="shared" si="1420"/>
        <v>0</v>
      </c>
      <c r="H247" s="83">
        <f t="shared" si="1420"/>
        <v>0</v>
      </c>
      <c r="I247" s="83">
        <f t="shared" si="1420"/>
        <v>0</v>
      </c>
      <c r="J247" s="83">
        <f t="shared" si="1420"/>
        <v>0</v>
      </c>
      <c r="K247" s="83">
        <f t="shared" si="1420"/>
        <v>0</v>
      </c>
      <c r="L247" s="83">
        <f t="shared" si="1420"/>
        <v>0</v>
      </c>
      <c r="M247" s="83">
        <f t="shared" si="1420"/>
        <v>0</v>
      </c>
      <c r="N247" s="83">
        <f t="shared" si="1420"/>
        <v>0</v>
      </c>
      <c r="O247" s="83">
        <f t="shared" si="1420"/>
        <v>0</v>
      </c>
      <c r="P247" s="83">
        <f>VLOOKUP(P$168,CST1G1,9,0)</f>
        <v>9</v>
      </c>
      <c r="Q247" s="83">
        <f t="shared" si="1420"/>
        <v>28</v>
      </c>
      <c r="R247" s="83">
        <f t="shared" si="1420"/>
        <v>49</v>
      </c>
      <c r="S247" s="83">
        <f t="shared" si="1420"/>
        <v>65</v>
      </c>
      <c r="T247" s="83">
        <f t="shared" si="1420"/>
        <v>73</v>
      </c>
      <c r="U247" s="83">
        <f t="shared" si="1420"/>
        <v>73</v>
      </c>
      <c r="V247" s="83">
        <f t="shared" si="1420"/>
        <v>73</v>
      </c>
      <c r="W247" s="83">
        <f t="shared" si="1420"/>
        <v>73</v>
      </c>
    </row>
    <row r="248" spans="3:23" x14ac:dyDescent="0.25">
      <c r="C248" s="78" t="str">
        <f t="shared" si="1415"/>
        <v>CASETA G1</v>
      </c>
      <c r="D248" s="86" t="s">
        <v>72</v>
      </c>
      <c r="E248" s="83">
        <f t="shared" ref="E248:W248" si="1421">VLOOKUP(E$168,CST1G1,10,0)</f>
        <v>0.7</v>
      </c>
      <c r="F248" s="83">
        <f t="shared" si="1421"/>
        <v>0.7</v>
      </c>
      <c r="G248" s="83">
        <f t="shared" si="1421"/>
        <v>0.7</v>
      </c>
      <c r="H248" s="83">
        <f t="shared" si="1421"/>
        <v>0.5</v>
      </c>
      <c r="I248" s="83">
        <f t="shared" si="1421"/>
        <v>0.3</v>
      </c>
      <c r="J248" s="83">
        <f t="shared" si="1421"/>
        <v>0.18</v>
      </c>
      <c r="K248" s="83">
        <f t="shared" si="1421"/>
        <v>0.18</v>
      </c>
      <c r="L248" s="83">
        <f t="shared" si="1421"/>
        <v>0.16</v>
      </c>
      <c r="M248" s="83">
        <f t="shared" si="1421"/>
        <v>0.16</v>
      </c>
      <c r="N248" s="83">
        <f t="shared" si="1421"/>
        <v>0.16</v>
      </c>
      <c r="O248" s="83">
        <f t="shared" si="1421"/>
        <v>0.16</v>
      </c>
      <c r="P248" s="83">
        <f>VLOOKUP(P$168,CST1G1,10,0)</f>
        <v>0.16</v>
      </c>
      <c r="Q248" s="83">
        <f t="shared" si="1421"/>
        <v>0.16</v>
      </c>
      <c r="R248" s="83">
        <f t="shared" si="1421"/>
        <v>0.16</v>
      </c>
      <c r="S248" s="83">
        <f t="shared" si="1421"/>
        <v>0.16</v>
      </c>
      <c r="T248" s="83">
        <f t="shared" si="1421"/>
        <v>0.16</v>
      </c>
      <c r="U248" s="83">
        <f t="shared" si="1421"/>
        <v>0.16</v>
      </c>
      <c r="V248" s="83">
        <f t="shared" si="1421"/>
        <v>0.16</v>
      </c>
      <c r="W248" s="83">
        <f t="shared" si="1421"/>
        <v>0.16</v>
      </c>
    </row>
    <row r="249" spans="3:23" x14ac:dyDescent="0.25">
      <c r="C249" s="78" t="str">
        <f t="shared" si="1415"/>
        <v>CASETA G1</v>
      </c>
      <c r="D249" s="86" t="s">
        <v>74</v>
      </c>
      <c r="E249" s="83">
        <f t="shared" ref="E249:W249" si="1422">VLOOKUP(E$168,CST1G1,11,0)</f>
        <v>0</v>
      </c>
      <c r="F249" s="83">
        <f t="shared" si="1422"/>
        <v>0</v>
      </c>
      <c r="G249" s="83">
        <f t="shared" si="1422"/>
        <v>0</v>
      </c>
      <c r="H249" s="83">
        <f t="shared" si="1422"/>
        <v>0</v>
      </c>
      <c r="I249" s="83">
        <f t="shared" si="1422"/>
        <v>0</v>
      </c>
      <c r="J249" s="83">
        <f t="shared" si="1422"/>
        <v>0</v>
      </c>
      <c r="K249" s="83">
        <f t="shared" si="1422"/>
        <v>0</v>
      </c>
      <c r="L249" s="83">
        <f t="shared" si="1422"/>
        <v>0</v>
      </c>
      <c r="M249" s="83">
        <f t="shared" si="1422"/>
        <v>0</v>
      </c>
      <c r="N249" s="83">
        <f t="shared" si="1422"/>
        <v>0</v>
      </c>
      <c r="O249" s="83">
        <f t="shared" si="1422"/>
        <v>0</v>
      </c>
      <c r="P249" s="83">
        <f>VLOOKUP(P$168,CST1G1,11,0)</f>
        <v>8.7735450820212984E-3</v>
      </c>
      <c r="Q249" s="83">
        <f t="shared" si="1422"/>
        <v>1.8540338330526145E-2</v>
      </c>
      <c r="R249" s="83">
        <f t="shared" si="1422"/>
        <v>2.052090886738735E-2</v>
      </c>
      <c r="S249" s="83">
        <f t="shared" si="1422"/>
        <v>1.5655243770912562E-2</v>
      </c>
      <c r="T249" s="83">
        <f t="shared" si="1422"/>
        <v>7.8341607638032947E-3</v>
      </c>
      <c r="U249" s="83">
        <f t="shared" si="1422"/>
        <v>0</v>
      </c>
      <c r="V249" s="83">
        <f t="shared" si="1422"/>
        <v>0</v>
      </c>
      <c r="W249" s="83">
        <f t="shared" si="1422"/>
        <v>0</v>
      </c>
    </row>
    <row r="250" spans="3:23" ht="25.5" x14ac:dyDescent="0.25">
      <c r="C250" s="78" t="str">
        <f t="shared" si="1415"/>
        <v>CASETA G1</v>
      </c>
      <c r="D250" s="87" t="s">
        <v>49</v>
      </c>
      <c r="E250" s="83">
        <f t="shared" ref="E250:W250" si="1423">VLOOKUP(E$168,CST1G1,12,0)</f>
        <v>0.7</v>
      </c>
      <c r="F250" s="83">
        <f t="shared" si="1423"/>
        <v>0.7</v>
      </c>
      <c r="G250" s="83">
        <f t="shared" si="1423"/>
        <v>1.4</v>
      </c>
      <c r="H250" s="83">
        <f t="shared" si="1423"/>
        <v>1.9</v>
      </c>
      <c r="I250" s="83">
        <f t="shared" si="1423"/>
        <v>2.1999999999999997</v>
      </c>
      <c r="J250" s="83">
        <f t="shared" si="1423"/>
        <v>2.38</v>
      </c>
      <c r="K250" s="83">
        <f t="shared" si="1423"/>
        <v>2.56</v>
      </c>
      <c r="L250" s="83">
        <f t="shared" si="1423"/>
        <v>2.72</v>
      </c>
      <c r="M250" s="83">
        <f t="shared" si="1423"/>
        <v>2.8800000000000003</v>
      </c>
      <c r="N250" s="83">
        <f t="shared" si="1423"/>
        <v>3.0400000000000005</v>
      </c>
      <c r="O250" s="83">
        <f t="shared" si="1423"/>
        <v>3.2000000000000006</v>
      </c>
      <c r="P250" s="83">
        <f>VLOOKUP(P$168,CST1G1,12,0)</f>
        <v>3.3600000000000008</v>
      </c>
      <c r="Q250" s="83">
        <f t="shared" si="1423"/>
        <v>3.5200000000000009</v>
      </c>
      <c r="R250" s="83">
        <f t="shared" si="1423"/>
        <v>3.680000000000001</v>
      </c>
      <c r="S250" s="83">
        <f t="shared" si="1423"/>
        <v>3.8400000000000012</v>
      </c>
      <c r="T250" s="83">
        <f t="shared" si="1423"/>
        <v>4.0000000000000009</v>
      </c>
      <c r="U250" s="83">
        <f t="shared" si="1423"/>
        <v>4.160000000000001</v>
      </c>
      <c r="V250" s="83">
        <f t="shared" si="1423"/>
        <v>4.3200000000000012</v>
      </c>
      <c r="W250" s="83">
        <f t="shared" si="1423"/>
        <v>4.4800000000000013</v>
      </c>
    </row>
    <row r="251" spans="3:23" ht="25.5" x14ac:dyDescent="0.25">
      <c r="C251" s="78" t="str">
        <f t="shared" si="1415"/>
        <v>CASETA G1</v>
      </c>
      <c r="D251" s="87" t="s">
        <v>73</v>
      </c>
      <c r="E251" s="83">
        <f t="shared" ref="E251:W251" si="1424">VLOOKUP(E$168,CST1G1,13,0)</f>
        <v>0</v>
      </c>
      <c r="F251" s="83">
        <f t="shared" si="1424"/>
        <v>0</v>
      </c>
      <c r="G251" s="83">
        <f t="shared" si="1424"/>
        <v>0</v>
      </c>
      <c r="H251" s="83">
        <f t="shared" si="1424"/>
        <v>0</v>
      </c>
      <c r="I251" s="83">
        <f t="shared" si="1424"/>
        <v>0</v>
      </c>
      <c r="J251" s="83">
        <f t="shared" si="1424"/>
        <v>0</v>
      </c>
      <c r="K251" s="83">
        <f t="shared" si="1424"/>
        <v>0</v>
      </c>
      <c r="L251" s="83">
        <f t="shared" si="1424"/>
        <v>0</v>
      </c>
      <c r="M251" s="83">
        <f t="shared" si="1424"/>
        <v>0</v>
      </c>
      <c r="N251" s="83">
        <f t="shared" si="1424"/>
        <v>0</v>
      </c>
      <c r="O251" s="83">
        <f t="shared" si="1424"/>
        <v>0</v>
      </c>
      <c r="P251" s="83">
        <f>VLOOKUP(P$168,CST1G1,13,0)</f>
        <v>6.1408296943231439E-2</v>
      </c>
      <c r="Q251" s="83">
        <f t="shared" si="1424"/>
        <v>0.19104803493449782</v>
      </c>
      <c r="R251" s="83">
        <f t="shared" si="1424"/>
        <v>0.33433406113537117</v>
      </c>
      <c r="S251" s="83">
        <f t="shared" si="1424"/>
        <v>0.44350436681222705</v>
      </c>
      <c r="T251" s="83">
        <f t="shared" si="1424"/>
        <v>0.49808951965065501</v>
      </c>
      <c r="U251" s="83">
        <f t="shared" si="1424"/>
        <v>0.49808951965065501</v>
      </c>
      <c r="V251" s="83">
        <f t="shared" si="1424"/>
        <v>0.49808951965065501</v>
      </c>
      <c r="W251" s="83">
        <f t="shared" si="1424"/>
        <v>0.49808951965065501</v>
      </c>
    </row>
    <row r="252" spans="3:23" x14ac:dyDescent="0.25">
      <c r="C252" s="78" t="str">
        <f t="shared" si="1415"/>
        <v>CASETA G1</v>
      </c>
      <c r="D252" s="23" t="s">
        <v>9</v>
      </c>
      <c r="E252" s="83">
        <f t="shared" ref="E252:W252" si="1425">VLOOKUP(E$168,CST1G1,14,0)</f>
        <v>0</v>
      </c>
      <c r="F252" s="83">
        <f t="shared" si="1425"/>
        <v>0</v>
      </c>
      <c r="G252" s="83">
        <f t="shared" si="1425"/>
        <v>0</v>
      </c>
      <c r="H252" s="83">
        <f t="shared" si="1425"/>
        <v>0</v>
      </c>
      <c r="I252" s="83">
        <f t="shared" si="1425"/>
        <v>0</v>
      </c>
      <c r="J252" s="83">
        <f t="shared" si="1425"/>
        <v>0</v>
      </c>
      <c r="K252" s="83">
        <f t="shared" si="1425"/>
        <v>0</v>
      </c>
      <c r="L252" s="83">
        <f t="shared" si="1425"/>
        <v>0</v>
      </c>
      <c r="M252" s="83">
        <f t="shared" si="1425"/>
        <v>0</v>
      </c>
      <c r="N252" s="83">
        <f t="shared" si="1425"/>
        <v>0</v>
      </c>
      <c r="O252" s="83">
        <f t="shared" si="1425"/>
        <v>0</v>
      </c>
      <c r="P252" s="83">
        <f>VLOOKUP(P$168,CST1G1,14,0)</f>
        <v>0</v>
      </c>
      <c r="Q252" s="83">
        <f t="shared" si="1425"/>
        <v>5735</v>
      </c>
      <c r="R252" s="83">
        <f t="shared" si="1425"/>
        <v>8510</v>
      </c>
      <c r="S252" s="83">
        <f t="shared" si="1425"/>
        <v>9435</v>
      </c>
      <c r="T252" s="83">
        <f t="shared" si="1425"/>
        <v>5180</v>
      </c>
      <c r="U252" s="83">
        <f t="shared" si="1425"/>
        <v>0</v>
      </c>
      <c r="V252" s="83">
        <f t="shared" si="1425"/>
        <v>0</v>
      </c>
      <c r="W252" s="83">
        <f t="shared" si="1425"/>
        <v>0</v>
      </c>
    </row>
    <row r="253" spans="3:23" ht="25.5" x14ac:dyDescent="0.25">
      <c r="C253" s="78" t="str">
        <f t="shared" si="1415"/>
        <v>CASETA G1</v>
      </c>
      <c r="D253" s="86" t="s">
        <v>75</v>
      </c>
      <c r="E253" s="83">
        <f t="shared" ref="E253:W253" si="1426">VLOOKUP(E$168,CST1G1,15,0)</f>
        <v>10</v>
      </c>
      <c r="F253" s="83">
        <f t="shared" si="1426"/>
        <v>10</v>
      </c>
      <c r="G253" s="83">
        <f t="shared" si="1426"/>
        <v>17</v>
      </c>
      <c r="H253" s="83">
        <f t="shared" si="1426"/>
        <v>23</v>
      </c>
      <c r="I253" s="83">
        <f t="shared" si="1426"/>
        <v>29</v>
      </c>
      <c r="J253" s="83">
        <f t="shared" si="1426"/>
        <v>34</v>
      </c>
      <c r="K253" s="83">
        <f t="shared" si="1426"/>
        <v>38</v>
      </c>
      <c r="L253" s="83">
        <f t="shared" si="1426"/>
        <v>42</v>
      </c>
      <c r="M253" s="83">
        <f t="shared" si="1426"/>
        <v>46</v>
      </c>
      <c r="N253" s="83">
        <f t="shared" si="1426"/>
        <v>49</v>
      </c>
      <c r="O253" s="83">
        <f t="shared" si="1426"/>
        <v>52</v>
      </c>
      <c r="P253" s="83">
        <f>VLOOKUP(P$168,CST1G1,15,0)</f>
        <v>55</v>
      </c>
      <c r="Q253" s="83">
        <f t="shared" si="1426"/>
        <v>58</v>
      </c>
      <c r="R253" s="83">
        <f t="shared" si="1426"/>
        <v>61</v>
      </c>
      <c r="S253" s="83">
        <f t="shared" si="1426"/>
        <v>64</v>
      </c>
      <c r="T253" s="83">
        <f t="shared" si="1426"/>
        <v>67</v>
      </c>
      <c r="U253" s="83">
        <f t="shared" si="1426"/>
        <v>71</v>
      </c>
      <c r="V253" s="83">
        <f t="shared" si="1426"/>
        <v>75</v>
      </c>
      <c r="W253" s="83">
        <f t="shared" si="1426"/>
        <v>79</v>
      </c>
    </row>
    <row r="254" spans="3:23" ht="25.5" x14ac:dyDescent="0.25">
      <c r="C254" s="78" t="str">
        <f t="shared" si="1415"/>
        <v>CASETA G1</v>
      </c>
      <c r="D254" s="86" t="s">
        <v>62</v>
      </c>
      <c r="E254" s="83">
        <f t="shared" ref="E254:W254" si="1427">VLOOKUP(E$168,CST1G1,16,0)</f>
        <v>0</v>
      </c>
      <c r="F254" s="83">
        <f t="shared" si="1427"/>
        <v>0</v>
      </c>
      <c r="G254" s="83">
        <f t="shared" si="1427"/>
        <v>0</v>
      </c>
      <c r="H254" s="83">
        <f t="shared" si="1427"/>
        <v>0</v>
      </c>
      <c r="I254" s="83">
        <f t="shared" si="1427"/>
        <v>0</v>
      </c>
      <c r="J254" s="83">
        <f t="shared" si="1427"/>
        <v>0</v>
      </c>
      <c r="K254" s="83">
        <f t="shared" si="1427"/>
        <v>0</v>
      </c>
      <c r="L254" s="83">
        <f t="shared" si="1427"/>
        <v>0</v>
      </c>
      <c r="M254" s="83">
        <f t="shared" si="1427"/>
        <v>0</v>
      </c>
      <c r="N254" s="83">
        <f t="shared" si="1427"/>
        <v>0</v>
      </c>
      <c r="O254" s="83">
        <f t="shared" si="1427"/>
        <v>0</v>
      </c>
      <c r="P254" s="83">
        <f>VLOOKUP(P$168,CST1G1,16,0)</f>
        <v>0</v>
      </c>
      <c r="Q254" s="83">
        <f>VLOOKUP(Q$168,CST1G1,16,0)</f>
        <v>55.935393888558366</v>
      </c>
      <c r="R254" s="83">
        <f t="shared" si="1427"/>
        <v>83.108715184186892</v>
      </c>
      <c r="S254" s="83">
        <f t="shared" si="1427"/>
        <v>92.274741073262334</v>
      </c>
      <c r="T254" s="83">
        <f t="shared" si="1427"/>
        <v>50.716194914673423</v>
      </c>
      <c r="U254" s="83">
        <f t="shared" si="1427"/>
        <v>0</v>
      </c>
      <c r="V254" s="83">
        <f t="shared" si="1427"/>
        <v>0</v>
      </c>
      <c r="W254" s="83">
        <f t="shared" si="1427"/>
        <v>0</v>
      </c>
    </row>
    <row r="255" spans="3:23" ht="25.5" x14ac:dyDescent="0.25">
      <c r="C255" s="78" t="str">
        <f t="shared" si="1415"/>
        <v>CASETA G1</v>
      </c>
      <c r="D255" s="24" t="s">
        <v>50</v>
      </c>
      <c r="E255" s="83">
        <f t="shared" ref="E255:W255" si="1428">VLOOKUP(E$168,CST1G1,17,0)</f>
        <v>0</v>
      </c>
      <c r="F255" s="83">
        <f t="shared" si="1428"/>
        <v>0</v>
      </c>
      <c r="G255" s="83">
        <f t="shared" si="1428"/>
        <v>0</v>
      </c>
      <c r="H255" s="83">
        <f t="shared" si="1428"/>
        <v>0</v>
      </c>
      <c r="I255" s="83">
        <f t="shared" si="1428"/>
        <v>0</v>
      </c>
      <c r="J255" s="83">
        <f t="shared" si="1428"/>
        <v>0</v>
      </c>
      <c r="K255" s="83">
        <f t="shared" si="1428"/>
        <v>0</v>
      </c>
      <c r="L255" s="83">
        <f t="shared" si="1428"/>
        <v>0</v>
      </c>
      <c r="M255" s="83">
        <f t="shared" si="1428"/>
        <v>0</v>
      </c>
      <c r="N255" s="83">
        <f t="shared" si="1428"/>
        <v>0</v>
      </c>
      <c r="O255" s="83">
        <f t="shared" si="1428"/>
        <v>0</v>
      </c>
      <c r="P255" s="83">
        <f>VLOOKUP(P$168,CST1G1,17,0)</f>
        <v>0</v>
      </c>
      <c r="Q255" s="83">
        <f t="shared" si="1428"/>
        <v>391.73328127392165</v>
      </c>
      <c r="R255" s="83">
        <f t="shared" si="1428"/>
        <v>973.94781665200128</v>
      </c>
      <c r="S255" s="83">
        <f t="shared" si="1428"/>
        <v>1620.2033180191377</v>
      </c>
      <c r="T255" s="83">
        <f t="shared" si="1428"/>
        <v>1975.2862203652064</v>
      </c>
      <c r="U255" s="83">
        <f t="shared" si="1428"/>
        <v>1975.2862203652064</v>
      </c>
      <c r="V255" s="83">
        <f t="shared" si="1428"/>
        <v>1975.2862203652064</v>
      </c>
      <c r="W255" s="83">
        <f t="shared" si="1428"/>
        <v>1975.2862203652064</v>
      </c>
    </row>
    <row r="256" spans="3:23" x14ac:dyDescent="0.25">
      <c r="C256" s="78" t="str">
        <f t="shared" si="1415"/>
        <v>CASETA G1</v>
      </c>
      <c r="D256" s="86" t="s">
        <v>63</v>
      </c>
      <c r="E256" s="83">
        <f t="shared" ref="E256:W256" si="1429">VLOOKUP(E$168,CST1G1,18,0)</f>
        <v>40</v>
      </c>
      <c r="F256" s="83">
        <f t="shared" si="1429"/>
        <v>70</v>
      </c>
      <c r="G256" s="83">
        <f t="shared" si="1429"/>
        <v>120</v>
      </c>
      <c r="H256" s="83">
        <f t="shared" si="1429"/>
        <v>185</v>
      </c>
      <c r="I256" s="83">
        <f t="shared" si="1429"/>
        <v>255</v>
      </c>
      <c r="J256" s="83">
        <f t="shared" si="1429"/>
        <v>334</v>
      </c>
      <c r="K256" s="83">
        <f t="shared" si="1429"/>
        <v>425</v>
      </c>
      <c r="L256" s="83">
        <f t="shared" si="1429"/>
        <v>524</v>
      </c>
      <c r="M256" s="83">
        <f t="shared" si="1429"/>
        <v>618</v>
      </c>
      <c r="N256" s="83">
        <f t="shared" si="1429"/>
        <v>712</v>
      </c>
      <c r="O256" s="83">
        <f t="shared" si="1429"/>
        <v>802</v>
      </c>
      <c r="P256" s="83">
        <f t="shared" si="1429"/>
        <v>880</v>
      </c>
      <c r="Q256" s="83">
        <f t="shared" si="1429"/>
        <v>950</v>
      </c>
      <c r="R256" s="83">
        <f t="shared" si="1429"/>
        <v>1010</v>
      </c>
      <c r="S256" s="83">
        <f t="shared" si="1429"/>
        <v>1065</v>
      </c>
      <c r="T256" s="83">
        <f t="shared" si="1429"/>
        <v>1115</v>
      </c>
      <c r="U256" s="83">
        <f t="shared" si="1429"/>
        <v>1160</v>
      </c>
      <c r="V256" s="83">
        <f t="shared" si="1429"/>
        <v>1207</v>
      </c>
      <c r="W256" s="83">
        <f t="shared" si="1429"/>
        <v>1257</v>
      </c>
    </row>
    <row r="257" spans="3:23" x14ac:dyDescent="0.25">
      <c r="C257" s="78" t="str">
        <f t="shared" si="1415"/>
        <v>CASETA G1</v>
      </c>
      <c r="D257" s="86" t="s">
        <v>64</v>
      </c>
      <c r="E257" s="83">
        <f t="shared" ref="E257:W257" si="1430">VLOOKUP(E$168,CST1G1,19,0)</f>
        <v>0</v>
      </c>
      <c r="F257" s="83">
        <f t="shared" si="1430"/>
        <v>0</v>
      </c>
      <c r="G257" s="83">
        <f t="shared" si="1430"/>
        <v>0</v>
      </c>
      <c r="H257" s="83">
        <f t="shared" si="1430"/>
        <v>0</v>
      </c>
      <c r="I257" s="83">
        <f t="shared" si="1430"/>
        <v>0</v>
      </c>
      <c r="J257" s="83">
        <f t="shared" si="1430"/>
        <v>0</v>
      </c>
      <c r="K257" s="83">
        <f t="shared" si="1430"/>
        <v>0</v>
      </c>
      <c r="L257" s="83">
        <f t="shared" si="1430"/>
        <v>0</v>
      </c>
      <c r="M257" s="83">
        <f t="shared" si="1430"/>
        <v>0</v>
      </c>
      <c r="N257" s="83">
        <f t="shared" si="1430"/>
        <v>0</v>
      </c>
      <c r="O257" s="83">
        <f t="shared" si="1430"/>
        <v>0</v>
      </c>
      <c r="P257" s="83">
        <f>VLOOKUP(P$168,CST1G1,19,0)</f>
        <v>0</v>
      </c>
      <c r="Q257" s="83">
        <f>VLOOKUP(Q$168,CST1G1,19,0)</f>
        <v>877</v>
      </c>
      <c r="R257" s="83">
        <f t="shared" si="1430"/>
        <v>949</v>
      </c>
      <c r="S257" s="83">
        <f t="shared" si="1430"/>
        <v>1116</v>
      </c>
      <c r="T257" s="83">
        <f t="shared" si="1430"/>
        <v>0</v>
      </c>
      <c r="U257" s="83">
        <f t="shared" si="1430"/>
        <v>0</v>
      </c>
      <c r="V257" s="83">
        <f t="shared" si="1430"/>
        <v>0</v>
      </c>
      <c r="W257" s="83">
        <f t="shared" si="1430"/>
        <v>0</v>
      </c>
    </row>
    <row r="258" spans="3:23" x14ac:dyDescent="0.25">
      <c r="C258" s="78" t="str">
        <f t="shared" si="1415"/>
        <v>CASETA G1</v>
      </c>
      <c r="D258" s="23" t="s">
        <v>15</v>
      </c>
      <c r="E258" s="83">
        <f>E256-E257</f>
        <v>40</v>
      </c>
      <c r="F258" s="83">
        <f t="shared" ref="F258:W258" si="1431">F256-F257</f>
        <v>70</v>
      </c>
      <c r="G258" s="83">
        <f t="shared" si="1431"/>
        <v>120</v>
      </c>
      <c r="H258" s="83">
        <f t="shared" si="1431"/>
        <v>185</v>
      </c>
      <c r="I258" s="83">
        <f t="shared" si="1431"/>
        <v>255</v>
      </c>
      <c r="J258" s="83">
        <f t="shared" si="1431"/>
        <v>334</v>
      </c>
      <c r="K258" s="83">
        <f t="shared" si="1431"/>
        <v>425</v>
      </c>
      <c r="L258" s="83">
        <f t="shared" si="1431"/>
        <v>524</v>
      </c>
      <c r="M258" s="83">
        <f t="shared" si="1431"/>
        <v>618</v>
      </c>
      <c r="N258" s="83">
        <f t="shared" si="1431"/>
        <v>712</v>
      </c>
      <c r="O258" s="83">
        <f t="shared" si="1431"/>
        <v>802</v>
      </c>
      <c r="P258" s="83">
        <f t="shared" si="1431"/>
        <v>880</v>
      </c>
      <c r="Q258" s="83">
        <f t="shared" si="1431"/>
        <v>73</v>
      </c>
      <c r="R258" s="83">
        <f t="shared" si="1431"/>
        <v>61</v>
      </c>
      <c r="S258" s="83">
        <f t="shared" si="1431"/>
        <v>-51</v>
      </c>
      <c r="T258" s="83">
        <f t="shared" si="1431"/>
        <v>1115</v>
      </c>
      <c r="U258" s="83">
        <f t="shared" si="1431"/>
        <v>1160</v>
      </c>
      <c r="V258" s="83">
        <f t="shared" si="1431"/>
        <v>1207</v>
      </c>
      <c r="W258" s="83">
        <f t="shared" si="1431"/>
        <v>1257</v>
      </c>
    </row>
    <row r="259" spans="3:23" ht="25.5" x14ac:dyDescent="0.25">
      <c r="C259" s="78" t="str">
        <f t="shared" si="1415"/>
        <v>CASETA G1</v>
      </c>
      <c r="D259" s="86" t="s">
        <v>65</v>
      </c>
      <c r="E259" s="83">
        <f t="shared" ref="E259:W259" si="1432">VLOOKUP(E$168,CST1G1,21,0)</f>
        <v>77</v>
      </c>
      <c r="F259" s="83">
        <f t="shared" si="1432"/>
        <v>77</v>
      </c>
      <c r="G259" s="83">
        <f t="shared" si="1432"/>
        <v>77</v>
      </c>
      <c r="H259" s="83">
        <f t="shared" si="1432"/>
        <v>77</v>
      </c>
      <c r="I259" s="83">
        <f t="shared" si="1432"/>
        <v>79</v>
      </c>
      <c r="J259" s="83">
        <f t="shared" si="1432"/>
        <v>79</v>
      </c>
      <c r="K259" s="83">
        <f t="shared" si="1432"/>
        <v>79</v>
      </c>
      <c r="L259" s="83">
        <f t="shared" si="1432"/>
        <v>79</v>
      </c>
      <c r="M259" s="83">
        <f t="shared" si="1432"/>
        <v>79</v>
      </c>
      <c r="N259" s="83">
        <f t="shared" si="1432"/>
        <v>79</v>
      </c>
      <c r="O259" s="83">
        <f t="shared" si="1432"/>
        <v>80</v>
      </c>
      <c r="P259" s="83">
        <f t="shared" si="1432"/>
        <v>80</v>
      </c>
      <c r="Q259" s="83">
        <f t="shared" si="1432"/>
        <v>82</v>
      </c>
      <c r="R259" s="83">
        <f t="shared" si="1432"/>
        <v>82</v>
      </c>
      <c r="S259" s="83">
        <f t="shared" si="1432"/>
        <v>84</v>
      </c>
      <c r="T259" s="83">
        <f t="shared" si="1432"/>
        <v>86</v>
      </c>
      <c r="U259" s="83">
        <f t="shared" si="1432"/>
        <v>86</v>
      </c>
      <c r="V259" s="83">
        <f t="shared" si="1432"/>
        <v>86</v>
      </c>
      <c r="W259" s="83">
        <f t="shared" si="1432"/>
        <v>86</v>
      </c>
    </row>
    <row r="260" spans="3:23" ht="25.5" x14ac:dyDescent="0.25">
      <c r="C260" s="78" t="str">
        <f t="shared" si="1415"/>
        <v>CASETA G1</v>
      </c>
      <c r="D260" s="86" t="s">
        <v>66</v>
      </c>
      <c r="E260" s="83">
        <f t="shared" ref="E260:W260" si="1433">VLOOKUP(E$168,CST1G1,22,0)</f>
        <v>0</v>
      </c>
      <c r="F260" s="83">
        <f t="shared" si="1433"/>
        <v>0</v>
      </c>
      <c r="G260" s="83">
        <f t="shared" si="1433"/>
        <v>0</v>
      </c>
      <c r="H260" s="83">
        <f t="shared" si="1433"/>
        <v>0</v>
      </c>
      <c r="I260" s="83">
        <f t="shared" si="1433"/>
        <v>0</v>
      </c>
      <c r="J260" s="83">
        <f t="shared" si="1433"/>
        <v>0</v>
      </c>
      <c r="K260" s="83">
        <f t="shared" si="1433"/>
        <v>0</v>
      </c>
      <c r="L260" s="83">
        <f t="shared" si="1433"/>
        <v>0</v>
      </c>
      <c r="M260" s="83">
        <f t="shared" si="1433"/>
        <v>0</v>
      </c>
      <c r="N260" s="83">
        <f t="shared" si="1433"/>
        <v>0</v>
      </c>
      <c r="O260" s="83">
        <f t="shared" si="1433"/>
        <v>0</v>
      </c>
      <c r="P260" s="83">
        <f t="shared" si="1433"/>
        <v>0</v>
      </c>
      <c r="Q260" s="83">
        <f t="shared" si="1433"/>
        <v>73</v>
      </c>
      <c r="R260" s="83">
        <f t="shared" si="1433"/>
        <v>77</v>
      </c>
      <c r="S260" s="83">
        <f t="shared" si="1433"/>
        <v>78</v>
      </c>
      <c r="T260" s="83">
        <f t="shared" si="1433"/>
        <v>0</v>
      </c>
      <c r="U260" s="83">
        <f t="shared" si="1433"/>
        <v>0</v>
      </c>
      <c r="V260" s="83">
        <f t="shared" si="1433"/>
        <v>0</v>
      </c>
      <c r="W260" s="83">
        <f t="shared" si="1433"/>
        <v>0</v>
      </c>
    </row>
    <row r="261" spans="3:23" x14ac:dyDescent="0.25">
      <c r="C261" s="78" t="str">
        <f>C260</f>
        <v>CASETA G1</v>
      </c>
      <c r="D261" s="23" t="s">
        <v>15</v>
      </c>
      <c r="E261" s="85">
        <f>E259-E260</f>
        <v>77</v>
      </c>
      <c r="F261" s="85">
        <f t="shared" ref="F261:W261" si="1434">F259-F260</f>
        <v>77</v>
      </c>
      <c r="G261" s="85">
        <f t="shared" si="1434"/>
        <v>77</v>
      </c>
      <c r="H261" s="85">
        <f t="shared" si="1434"/>
        <v>77</v>
      </c>
      <c r="I261" s="85">
        <f t="shared" si="1434"/>
        <v>79</v>
      </c>
      <c r="J261" s="85">
        <f t="shared" si="1434"/>
        <v>79</v>
      </c>
      <c r="K261" s="85">
        <f t="shared" si="1434"/>
        <v>79</v>
      </c>
      <c r="L261" s="85">
        <f t="shared" si="1434"/>
        <v>79</v>
      </c>
      <c r="M261" s="85">
        <f t="shared" si="1434"/>
        <v>79</v>
      </c>
      <c r="N261" s="85">
        <f t="shared" si="1434"/>
        <v>79</v>
      </c>
      <c r="O261" s="85">
        <f t="shared" si="1434"/>
        <v>80</v>
      </c>
      <c r="P261" s="85">
        <f t="shared" si="1434"/>
        <v>80</v>
      </c>
      <c r="Q261" s="85">
        <f t="shared" si="1434"/>
        <v>9</v>
      </c>
      <c r="R261" s="85">
        <f t="shared" si="1434"/>
        <v>5</v>
      </c>
      <c r="S261" s="85">
        <f t="shared" si="1434"/>
        <v>6</v>
      </c>
      <c r="T261" s="85">
        <f t="shared" si="1434"/>
        <v>86</v>
      </c>
      <c r="U261" s="85">
        <f t="shared" si="1434"/>
        <v>86</v>
      </c>
      <c r="V261" s="85">
        <f t="shared" si="1434"/>
        <v>86</v>
      </c>
      <c r="W261" s="85">
        <f t="shared" si="1434"/>
        <v>86</v>
      </c>
    </row>
    <row r="262" spans="3:23" x14ac:dyDescent="0.25">
      <c r="C262" s="78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</row>
    <row r="263" spans="3:23" x14ac:dyDescent="0.25">
      <c r="C263" s="78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</row>
    <row r="264" spans="3:23" x14ac:dyDescent="0.25">
      <c r="C264" s="78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</row>
    <row r="265" spans="3:23" ht="25.5" x14ac:dyDescent="0.25">
      <c r="C265" s="77" t="s">
        <v>182</v>
      </c>
      <c r="D265" s="24" t="s">
        <v>67</v>
      </c>
      <c r="E265" s="83">
        <f t="shared" ref="E265:W265" si="1435">VLOOKUP(E$168,CST2G1,3,0)</f>
        <v>0</v>
      </c>
      <c r="F265" s="83">
        <f t="shared" si="1435"/>
        <v>0</v>
      </c>
      <c r="G265" s="83">
        <f t="shared" si="1435"/>
        <v>0</v>
      </c>
      <c r="H265" s="83">
        <f t="shared" si="1435"/>
        <v>0</v>
      </c>
      <c r="I265" s="83">
        <f t="shared" si="1435"/>
        <v>0</v>
      </c>
      <c r="J265" s="83">
        <f t="shared" si="1435"/>
        <v>0</v>
      </c>
      <c r="K265" s="83">
        <f t="shared" si="1435"/>
        <v>0</v>
      </c>
      <c r="L265" s="83">
        <f t="shared" si="1435"/>
        <v>0</v>
      </c>
      <c r="M265" s="83">
        <f t="shared" si="1435"/>
        <v>0</v>
      </c>
      <c r="N265" s="83">
        <f t="shared" si="1435"/>
        <v>0</v>
      </c>
      <c r="O265" s="83">
        <f t="shared" si="1435"/>
        <v>0</v>
      </c>
      <c r="P265" s="83">
        <f t="shared" si="1435"/>
        <v>14723</v>
      </c>
      <c r="Q265" s="83">
        <f t="shared" si="1435"/>
        <v>14708</v>
      </c>
      <c r="R265" s="83">
        <f t="shared" si="1435"/>
        <v>14698</v>
      </c>
      <c r="S265" s="83">
        <f t="shared" si="1435"/>
        <v>14689</v>
      </c>
      <c r="T265" s="83">
        <f t="shared" si="1435"/>
        <v>14676</v>
      </c>
      <c r="U265" s="83">
        <f t="shared" si="1435"/>
        <v>14671</v>
      </c>
      <c r="V265" s="83">
        <f t="shared" si="1435"/>
        <v>14671</v>
      </c>
      <c r="W265" s="83">
        <f t="shared" si="1435"/>
        <v>14671</v>
      </c>
    </row>
    <row r="266" spans="3:23" x14ac:dyDescent="0.25">
      <c r="C266" s="78" t="str">
        <f>C265</f>
        <v>CASETA G2</v>
      </c>
      <c r="D266" s="24" t="s">
        <v>34</v>
      </c>
      <c r="E266" s="83">
        <f t="shared" ref="E266:W266" si="1436">VLOOKUP(E$168,CST2G1,4,0)</f>
        <v>0</v>
      </c>
      <c r="F266" s="83">
        <f t="shared" si="1436"/>
        <v>0</v>
      </c>
      <c r="G266" s="83">
        <f t="shared" si="1436"/>
        <v>0</v>
      </c>
      <c r="H266" s="83">
        <f t="shared" si="1436"/>
        <v>0</v>
      </c>
      <c r="I266" s="83">
        <f t="shared" si="1436"/>
        <v>0</v>
      </c>
      <c r="J266" s="83">
        <f t="shared" si="1436"/>
        <v>0</v>
      </c>
      <c r="K266" s="83">
        <f t="shared" si="1436"/>
        <v>0</v>
      </c>
      <c r="L266" s="83">
        <f t="shared" si="1436"/>
        <v>0</v>
      </c>
      <c r="M266" s="83">
        <f t="shared" si="1436"/>
        <v>0</v>
      </c>
      <c r="N266" s="83">
        <f t="shared" si="1436"/>
        <v>0</v>
      </c>
      <c r="O266" s="83">
        <f t="shared" si="1436"/>
        <v>0</v>
      </c>
      <c r="P266" s="83">
        <f t="shared" si="1436"/>
        <v>14709</v>
      </c>
      <c r="Q266" s="83">
        <f t="shared" si="1436"/>
        <v>14698</v>
      </c>
      <c r="R266" s="83">
        <f t="shared" si="1436"/>
        <v>14689</v>
      </c>
      <c r="S266" s="83">
        <f t="shared" si="1436"/>
        <v>14676</v>
      </c>
      <c r="T266" s="83">
        <f t="shared" si="1436"/>
        <v>14671</v>
      </c>
      <c r="U266" s="83">
        <f t="shared" si="1436"/>
        <v>14671</v>
      </c>
      <c r="V266" s="83">
        <f t="shared" si="1436"/>
        <v>14671</v>
      </c>
      <c r="W266" s="83">
        <f t="shared" si="1436"/>
        <v>14671</v>
      </c>
    </row>
    <row r="267" spans="3:23" x14ac:dyDescent="0.25">
      <c r="C267" s="78" t="str">
        <f t="shared" ref="C267:C284" si="1437">C266</f>
        <v>CASETA G2</v>
      </c>
      <c r="D267" s="23" t="s">
        <v>27</v>
      </c>
      <c r="E267" s="83">
        <f t="shared" ref="E267:W267" si="1438">VLOOKUP(E$168,CST2G1,5,0)</f>
        <v>0</v>
      </c>
      <c r="F267" s="83">
        <f t="shared" si="1438"/>
        <v>0</v>
      </c>
      <c r="G267" s="83">
        <f t="shared" si="1438"/>
        <v>0</v>
      </c>
      <c r="H267" s="83">
        <f t="shared" si="1438"/>
        <v>0</v>
      </c>
      <c r="I267" s="83">
        <f t="shared" si="1438"/>
        <v>0</v>
      </c>
      <c r="J267" s="83">
        <f t="shared" si="1438"/>
        <v>0</v>
      </c>
      <c r="K267" s="83">
        <f t="shared" si="1438"/>
        <v>0</v>
      </c>
      <c r="L267" s="83">
        <f t="shared" si="1438"/>
        <v>0</v>
      </c>
      <c r="M267" s="83">
        <f t="shared" si="1438"/>
        <v>0</v>
      </c>
      <c r="N267" s="83">
        <f t="shared" si="1438"/>
        <v>0</v>
      </c>
      <c r="O267" s="83">
        <f t="shared" si="1438"/>
        <v>0</v>
      </c>
      <c r="P267" s="83">
        <f t="shared" si="1438"/>
        <v>1</v>
      </c>
      <c r="Q267" s="83">
        <f t="shared" si="1438"/>
        <v>0</v>
      </c>
      <c r="R267" s="83">
        <f t="shared" si="1438"/>
        <v>0</v>
      </c>
      <c r="S267" s="83">
        <f t="shared" si="1438"/>
        <v>0</v>
      </c>
      <c r="T267" s="83">
        <f t="shared" si="1438"/>
        <v>0</v>
      </c>
      <c r="U267" s="83">
        <f t="shared" si="1438"/>
        <v>0</v>
      </c>
      <c r="V267" s="83">
        <f t="shared" si="1438"/>
        <v>0</v>
      </c>
      <c r="W267" s="83">
        <f t="shared" si="1438"/>
        <v>0</v>
      </c>
    </row>
    <row r="268" spans="3:23" x14ac:dyDescent="0.25">
      <c r="C268" s="78" t="str">
        <f t="shared" si="1437"/>
        <v>CASETA G2</v>
      </c>
      <c r="D268" s="23" t="s">
        <v>16</v>
      </c>
      <c r="E268" s="83">
        <f t="shared" ref="E268:W268" si="1439">VLOOKUP(E$168,CST2G1,6,0)</f>
        <v>0</v>
      </c>
      <c r="F268" s="83">
        <f t="shared" si="1439"/>
        <v>0</v>
      </c>
      <c r="G268" s="83">
        <f t="shared" si="1439"/>
        <v>0</v>
      </c>
      <c r="H268" s="83">
        <f t="shared" si="1439"/>
        <v>0</v>
      </c>
      <c r="I268" s="83">
        <f t="shared" si="1439"/>
        <v>0</v>
      </c>
      <c r="J268" s="83">
        <f t="shared" si="1439"/>
        <v>0</v>
      </c>
      <c r="K268" s="83">
        <f t="shared" si="1439"/>
        <v>0</v>
      </c>
      <c r="L268" s="83">
        <f t="shared" si="1439"/>
        <v>0</v>
      </c>
      <c r="M268" s="83">
        <f t="shared" si="1439"/>
        <v>0</v>
      </c>
      <c r="N268" s="83">
        <f t="shared" si="1439"/>
        <v>0</v>
      </c>
      <c r="O268" s="83">
        <f t="shared" si="1439"/>
        <v>0</v>
      </c>
      <c r="P268" s="83">
        <f t="shared" si="1439"/>
        <v>17</v>
      </c>
      <c r="Q268" s="83">
        <f t="shared" si="1439"/>
        <v>11</v>
      </c>
      <c r="R268" s="83">
        <f t="shared" si="1439"/>
        <v>9</v>
      </c>
      <c r="S268" s="83">
        <f t="shared" si="1439"/>
        <v>13</v>
      </c>
      <c r="T268" s="83">
        <f t="shared" si="1439"/>
        <v>5</v>
      </c>
      <c r="U268" s="83">
        <f t="shared" si="1439"/>
        <v>0</v>
      </c>
      <c r="V268" s="83">
        <f t="shared" si="1439"/>
        <v>0</v>
      </c>
      <c r="W268" s="83">
        <f t="shared" si="1439"/>
        <v>0</v>
      </c>
    </row>
    <row r="269" spans="3:23" x14ac:dyDescent="0.25">
      <c r="C269" s="78" t="str">
        <f t="shared" si="1437"/>
        <v>CASETA G2</v>
      </c>
      <c r="D269" s="23" t="s">
        <v>17</v>
      </c>
      <c r="E269" s="83">
        <f t="shared" ref="E269:W269" si="1440">VLOOKUP(E$168,CST2G1,7,0)</f>
        <v>0</v>
      </c>
      <c r="F269" s="83">
        <f t="shared" si="1440"/>
        <v>0</v>
      </c>
      <c r="G269" s="83">
        <f t="shared" si="1440"/>
        <v>0</v>
      </c>
      <c r="H269" s="83">
        <f t="shared" si="1440"/>
        <v>0</v>
      </c>
      <c r="I269" s="83">
        <f t="shared" si="1440"/>
        <v>0</v>
      </c>
      <c r="J269" s="83">
        <f t="shared" si="1440"/>
        <v>0</v>
      </c>
      <c r="K269" s="83">
        <f t="shared" si="1440"/>
        <v>0</v>
      </c>
      <c r="L269" s="83">
        <f t="shared" si="1440"/>
        <v>0</v>
      </c>
      <c r="M269" s="83">
        <f t="shared" si="1440"/>
        <v>0</v>
      </c>
      <c r="N269" s="83">
        <f t="shared" si="1440"/>
        <v>0</v>
      </c>
      <c r="O269" s="83">
        <f t="shared" si="1440"/>
        <v>0</v>
      </c>
      <c r="P269" s="83">
        <f t="shared" si="1440"/>
        <v>0</v>
      </c>
      <c r="Q269" s="83">
        <f t="shared" si="1440"/>
        <v>0</v>
      </c>
      <c r="R269" s="83">
        <f t="shared" si="1440"/>
        <v>0</v>
      </c>
      <c r="S269" s="83">
        <f t="shared" si="1440"/>
        <v>0</v>
      </c>
      <c r="T269" s="83">
        <f t="shared" si="1440"/>
        <v>0</v>
      </c>
      <c r="U269" s="83">
        <f t="shared" si="1440"/>
        <v>0</v>
      </c>
      <c r="V269" s="83">
        <f t="shared" si="1440"/>
        <v>0</v>
      </c>
      <c r="W269" s="83">
        <f t="shared" si="1440"/>
        <v>0</v>
      </c>
    </row>
    <row r="270" spans="3:23" x14ac:dyDescent="0.25">
      <c r="C270" s="78" t="str">
        <f t="shared" si="1437"/>
        <v>CASETA G2</v>
      </c>
      <c r="D270" s="23" t="s">
        <v>18</v>
      </c>
      <c r="E270" s="85">
        <f>SUM(E267:E269)</f>
        <v>0</v>
      </c>
      <c r="F270" s="85">
        <f>SUM(F267:F269)</f>
        <v>0</v>
      </c>
      <c r="G270" s="85">
        <f t="shared" ref="G270:W270" si="1441">SUM(G267:G269)</f>
        <v>0</v>
      </c>
      <c r="H270" s="85">
        <f t="shared" si="1441"/>
        <v>0</v>
      </c>
      <c r="I270" s="85">
        <f t="shared" si="1441"/>
        <v>0</v>
      </c>
      <c r="J270" s="85">
        <f t="shared" si="1441"/>
        <v>0</v>
      </c>
      <c r="K270" s="85">
        <f t="shared" si="1441"/>
        <v>0</v>
      </c>
      <c r="L270" s="85">
        <f t="shared" si="1441"/>
        <v>0</v>
      </c>
      <c r="M270" s="85">
        <f t="shared" si="1441"/>
        <v>0</v>
      </c>
      <c r="N270" s="85">
        <f t="shared" si="1441"/>
        <v>0</v>
      </c>
      <c r="O270" s="85">
        <f t="shared" si="1441"/>
        <v>0</v>
      </c>
      <c r="P270" s="85">
        <f>SUM(P267:P269)</f>
        <v>18</v>
      </c>
      <c r="Q270" s="85">
        <f t="shared" si="1441"/>
        <v>11</v>
      </c>
      <c r="R270" s="85">
        <f t="shared" si="1441"/>
        <v>9</v>
      </c>
      <c r="S270" s="85">
        <f t="shared" si="1441"/>
        <v>13</v>
      </c>
      <c r="T270" s="85">
        <f t="shared" si="1441"/>
        <v>5</v>
      </c>
      <c r="U270" s="85">
        <f t="shared" si="1441"/>
        <v>0</v>
      </c>
      <c r="V270" s="85">
        <f t="shared" si="1441"/>
        <v>0</v>
      </c>
      <c r="W270" s="85">
        <f t="shared" si="1441"/>
        <v>0</v>
      </c>
    </row>
    <row r="271" spans="3:23" x14ac:dyDescent="0.25">
      <c r="C271" s="78" t="str">
        <f t="shared" si="1437"/>
        <v>CASETA G2</v>
      </c>
      <c r="D271" s="23" t="s">
        <v>48</v>
      </c>
      <c r="E271" s="83">
        <f t="shared" ref="E271:W271" si="1442">VLOOKUP(E$168,CST2G1,9,0)</f>
        <v>0</v>
      </c>
      <c r="F271" s="83">
        <f t="shared" si="1442"/>
        <v>0</v>
      </c>
      <c r="G271" s="83">
        <f t="shared" si="1442"/>
        <v>0</v>
      </c>
      <c r="H271" s="83">
        <f t="shared" si="1442"/>
        <v>0</v>
      </c>
      <c r="I271" s="83">
        <f t="shared" si="1442"/>
        <v>0</v>
      </c>
      <c r="J271" s="83">
        <f t="shared" si="1442"/>
        <v>0</v>
      </c>
      <c r="K271" s="83">
        <f t="shared" si="1442"/>
        <v>0</v>
      </c>
      <c r="L271" s="83">
        <f t="shared" si="1442"/>
        <v>0</v>
      </c>
      <c r="M271" s="83">
        <f t="shared" si="1442"/>
        <v>0</v>
      </c>
      <c r="N271" s="83">
        <f t="shared" si="1442"/>
        <v>0</v>
      </c>
      <c r="O271" s="83">
        <f t="shared" si="1442"/>
        <v>0</v>
      </c>
      <c r="P271" s="83">
        <f t="shared" si="1442"/>
        <v>18</v>
      </c>
      <c r="Q271" s="83">
        <f t="shared" si="1442"/>
        <v>29</v>
      </c>
      <c r="R271" s="83">
        <f t="shared" si="1442"/>
        <v>38</v>
      </c>
      <c r="S271" s="83">
        <f t="shared" si="1442"/>
        <v>51</v>
      </c>
      <c r="T271" s="83">
        <f t="shared" si="1442"/>
        <v>56</v>
      </c>
      <c r="U271" s="83">
        <f t="shared" si="1442"/>
        <v>56</v>
      </c>
      <c r="V271" s="83">
        <f t="shared" si="1442"/>
        <v>56</v>
      </c>
      <c r="W271" s="83">
        <f t="shared" si="1442"/>
        <v>56</v>
      </c>
    </row>
    <row r="272" spans="3:23" x14ac:dyDescent="0.25">
      <c r="C272" s="78" t="str">
        <f t="shared" si="1437"/>
        <v>CASETA G2</v>
      </c>
      <c r="D272" s="86" t="s">
        <v>72</v>
      </c>
      <c r="E272" s="83">
        <f t="shared" ref="E272:W272" si="1443">VLOOKUP(E$168,CST2G1,10,0)</f>
        <v>0.7</v>
      </c>
      <c r="F272" s="83">
        <f t="shared" si="1443"/>
        <v>0.7</v>
      </c>
      <c r="G272" s="83">
        <f t="shared" si="1443"/>
        <v>0.7</v>
      </c>
      <c r="H272" s="83">
        <f t="shared" si="1443"/>
        <v>0.5</v>
      </c>
      <c r="I272" s="83">
        <f t="shared" si="1443"/>
        <v>0.3</v>
      </c>
      <c r="J272" s="83">
        <f t="shared" si="1443"/>
        <v>0.18</v>
      </c>
      <c r="K272" s="83">
        <f t="shared" si="1443"/>
        <v>0.18</v>
      </c>
      <c r="L272" s="83">
        <f t="shared" si="1443"/>
        <v>0.16</v>
      </c>
      <c r="M272" s="83">
        <f t="shared" si="1443"/>
        <v>0.16</v>
      </c>
      <c r="N272" s="83">
        <f t="shared" si="1443"/>
        <v>0.16</v>
      </c>
      <c r="O272" s="83">
        <f t="shared" si="1443"/>
        <v>0.16</v>
      </c>
      <c r="P272" s="83">
        <f t="shared" si="1443"/>
        <v>0.16</v>
      </c>
      <c r="Q272" s="83">
        <f t="shared" si="1443"/>
        <v>0.16</v>
      </c>
      <c r="R272" s="83">
        <f t="shared" si="1443"/>
        <v>0.16</v>
      </c>
      <c r="S272" s="83">
        <f t="shared" si="1443"/>
        <v>0.16</v>
      </c>
      <c r="T272" s="83">
        <f t="shared" si="1443"/>
        <v>0.16</v>
      </c>
      <c r="U272" s="83">
        <f t="shared" si="1443"/>
        <v>0.16</v>
      </c>
      <c r="V272" s="83">
        <f t="shared" si="1443"/>
        <v>0.16</v>
      </c>
      <c r="W272" s="83">
        <f t="shared" si="1443"/>
        <v>0.16</v>
      </c>
    </row>
    <row r="273" spans="3:24" x14ac:dyDescent="0.25">
      <c r="C273" s="78" t="str">
        <f t="shared" si="1437"/>
        <v>CASETA G2</v>
      </c>
      <c r="D273" s="86" t="s">
        <v>74</v>
      </c>
      <c r="E273" s="83">
        <f t="shared" ref="E273:W273" si="1444">VLOOKUP(E$168,CST2G1,11,0)</f>
        <v>0</v>
      </c>
      <c r="F273" s="83">
        <f t="shared" si="1444"/>
        <v>0</v>
      </c>
      <c r="G273" s="83">
        <f t="shared" si="1444"/>
        <v>0</v>
      </c>
      <c r="H273" s="83">
        <f t="shared" si="1444"/>
        <v>0</v>
      </c>
      <c r="I273" s="83">
        <f t="shared" si="1444"/>
        <v>0</v>
      </c>
      <c r="J273" s="83">
        <f t="shared" si="1444"/>
        <v>0</v>
      </c>
      <c r="K273" s="83">
        <f t="shared" si="1444"/>
        <v>0</v>
      </c>
      <c r="L273" s="83">
        <f t="shared" si="1444"/>
        <v>0</v>
      </c>
      <c r="M273" s="83">
        <f t="shared" si="1444"/>
        <v>0</v>
      </c>
      <c r="N273" s="83">
        <f t="shared" si="1444"/>
        <v>0</v>
      </c>
      <c r="O273" s="83">
        <f t="shared" si="1444"/>
        <v>0</v>
      </c>
      <c r="P273" s="83">
        <f t="shared" si="1444"/>
        <v>2.186336174362289E-2</v>
      </c>
      <c r="Q273" s="83">
        <f t="shared" si="1444"/>
        <v>1.0686818421288881E-2</v>
      </c>
      <c r="R273" s="83">
        <f t="shared" si="1444"/>
        <v>8.7497288845409821E-3</v>
      </c>
      <c r="S273" s="83">
        <f t="shared" si="1444"/>
        <v>1.264772276136235E-2</v>
      </c>
      <c r="T273" s="83">
        <f t="shared" si="1444"/>
        <v>4.867629727351234E-3</v>
      </c>
      <c r="U273" s="83">
        <f t="shared" si="1444"/>
        <v>0</v>
      </c>
      <c r="V273" s="83">
        <f t="shared" si="1444"/>
        <v>0</v>
      </c>
      <c r="W273" s="83">
        <f t="shared" si="1444"/>
        <v>0</v>
      </c>
    </row>
    <row r="274" spans="3:24" ht="25.5" x14ac:dyDescent="0.25">
      <c r="C274" s="78" t="str">
        <f t="shared" si="1437"/>
        <v>CASETA G2</v>
      </c>
      <c r="D274" s="87" t="s">
        <v>49</v>
      </c>
      <c r="E274" s="83">
        <f t="shared" ref="E274:W274" si="1445">VLOOKUP(E$168,CST2G1,12,0)</f>
        <v>0.7</v>
      </c>
      <c r="F274" s="83">
        <f t="shared" si="1445"/>
        <v>0.7</v>
      </c>
      <c r="G274" s="83">
        <f t="shared" si="1445"/>
        <v>1.4</v>
      </c>
      <c r="H274" s="83">
        <f t="shared" si="1445"/>
        <v>1.9</v>
      </c>
      <c r="I274" s="83">
        <f t="shared" si="1445"/>
        <v>2.1999999999999997</v>
      </c>
      <c r="J274" s="83">
        <f t="shared" si="1445"/>
        <v>2.38</v>
      </c>
      <c r="K274" s="83">
        <f t="shared" si="1445"/>
        <v>2.56</v>
      </c>
      <c r="L274" s="83">
        <f t="shared" si="1445"/>
        <v>2.72</v>
      </c>
      <c r="M274" s="83">
        <f t="shared" si="1445"/>
        <v>2.8800000000000003</v>
      </c>
      <c r="N274" s="83">
        <f t="shared" si="1445"/>
        <v>3.0400000000000005</v>
      </c>
      <c r="O274" s="83">
        <f t="shared" si="1445"/>
        <v>3.2000000000000006</v>
      </c>
      <c r="P274" s="83">
        <f t="shared" si="1445"/>
        <v>3.3600000000000008</v>
      </c>
      <c r="Q274" s="83">
        <f t="shared" si="1445"/>
        <v>3.5200000000000009</v>
      </c>
      <c r="R274" s="83">
        <f t="shared" si="1445"/>
        <v>3.680000000000001</v>
      </c>
      <c r="S274" s="83">
        <f t="shared" si="1445"/>
        <v>3.8400000000000012</v>
      </c>
      <c r="T274" s="83">
        <f t="shared" si="1445"/>
        <v>4.0000000000000009</v>
      </c>
      <c r="U274" s="83">
        <f t="shared" si="1445"/>
        <v>4.160000000000001</v>
      </c>
      <c r="V274" s="83">
        <f t="shared" si="1445"/>
        <v>4.3200000000000012</v>
      </c>
      <c r="W274" s="83">
        <f t="shared" si="1445"/>
        <v>4.4800000000000013</v>
      </c>
    </row>
    <row r="275" spans="3:24" ht="25.5" x14ac:dyDescent="0.25">
      <c r="C275" s="78" t="str">
        <f t="shared" si="1437"/>
        <v>CASETA G2</v>
      </c>
      <c r="D275" s="87" t="s">
        <v>73</v>
      </c>
      <c r="E275" s="83">
        <f t="shared" ref="E275:W275" si="1446">VLOOKUP(E$168,CST2G1,13,0)</f>
        <v>0</v>
      </c>
      <c r="F275" s="83">
        <f t="shared" si="1446"/>
        <v>0</v>
      </c>
      <c r="G275" s="83">
        <f t="shared" si="1446"/>
        <v>0</v>
      </c>
      <c r="H275" s="83">
        <f t="shared" si="1446"/>
        <v>0</v>
      </c>
      <c r="I275" s="83">
        <f t="shared" si="1446"/>
        <v>0</v>
      </c>
      <c r="J275" s="83">
        <f t="shared" si="1446"/>
        <v>0</v>
      </c>
      <c r="K275" s="83">
        <f t="shared" si="1446"/>
        <v>0</v>
      </c>
      <c r="L275" s="83">
        <f t="shared" si="1446"/>
        <v>0</v>
      </c>
      <c r="M275" s="83">
        <f t="shared" si="1446"/>
        <v>0</v>
      </c>
      <c r="N275" s="83">
        <f t="shared" si="1446"/>
        <v>0</v>
      </c>
      <c r="O275" s="83">
        <f t="shared" si="1446"/>
        <v>0</v>
      </c>
      <c r="P275" s="83">
        <f t="shared" si="1446"/>
        <v>0.12225769204645792</v>
      </c>
      <c r="Q275" s="83">
        <f t="shared" si="1446"/>
        <v>0.19697072607484889</v>
      </c>
      <c r="R275" s="83">
        <f t="shared" si="1446"/>
        <v>0.25809957209807782</v>
      </c>
      <c r="S275" s="83">
        <f t="shared" si="1446"/>
        <v>0.34639679413163077</v>
      </c>
      <c r="T275" s="83">
        <f t="shared" si="1446"/>
        <v>0.38035726414453574</v>
      </c>
      <c r="U275" s="83">
        <f t="shared" si="1446"/>
        <v>0.38035726414453574</v>
      </c>
      <c r="V275" s="83">
        <f t="shared" si="1446"/>
        <v>0.38035726414453574</v>
      </c>
      <c r="W275" s="83">
        <f t="shared" si="1446"/>
        <v>0.38035726414453574</v>
      </c>
    </row>
    <row r="276" spans="3:24" x14ac:dyDescent="0.25">
      <c r="C276" s="78" t="str">
        <f t="shared" si="1437"/>
        <v>CASETA G2</v>
      </c>
      <c r="D276" s="23" t="s">
        <v>9</v>
      </c>
      <c r="E276" s="83">
        <f t="shared" ref="E276:W276" si="1447">VLOOKUP(E$168,CST2G1,14,0)</f>
        <v>0</v>
      </c>
      <c r="F276" s="83">
        <f t="shared" si="1447"/>
        <v>0</v>
      </c>
      <c r="G276" s="83">
        <f t="shared" si="1447"/>
        <v>0</v>
      </c>
      <c r="H276" s="83">
        <f t="shared" si="1447"/>
        <v>0</v>
      </c>
      <c r="I276" s="83">
        <f t="shared" si="1447"/>
        <v>0</v>
      </c>
      <c r="J276" s="83">
        <f t="shared" si="1447"/>
        <v>0</v>
      </c>
      <c r="K276" s="83">
        <f t="shared" si="1447"/>
        <v>0</v>
      </c>
      <c r="L276" s="83">
        <f t="shared" si="1447"/>
        <v>0</v>
      </c>
      <c r="M276" s="83">
        <f t="shared" si="1447"/>
        <v>0</v>
      </c>
      <c r="N276" s="83">
        <f t="shared" si="1447"/>
        <v>0</v>
      </c>
      <c r="O276" s="83">
        <f t="shared" si="1447"/>
        <v>0</v>
      </c>
      <c r="P276" s="83">
        <f t="shared" si="1447"/>
        <v>0</v>
      </c>
      <c r="Q276" s="83">
        <f t="shared" si="1447"/>
        <v>6845</v>
      </c>
      <c r="R276" s="83">
        <f t="shared" si="1447"/>
        <v>8140</v>
      </c>
      <c r="S276" s="83">
        <f t="shared" si="1447"/>
        <v>9250</v>
      </c>
      <c r="T276" s="83">
        <f t="shared" si="1447"/>
        <v>5920</v>
      </c>
      <c r="U276" s="83">
        <f t="shared" si="1447"/>
        <v>0</v>
      </c>
      <c r="V276" s="83">
        <f t="shared" si="1447"/>
        <v>0</v>
      </c>
      <c r="W276" s="83">
        <f t="shared" si="1447"/>
        <v>0</v>
      </c>
    </row>
    <row r="277" spans="3:24" ht="25.5" x14ac:dyDescent="0.25">
      <c r="C277" s="78" t="str">
        <f t="shared" si="1437"/>
        <v>CASETA G2</v>
      </c>
      <c r="D277" s="86" t="s">
        <v>75</v>
      </c>
      <c r="E277" s="83">
        <f t="shared" ref="E277:W277" si="1448">VLOOKUP(E$168,CST2G1,15,0)</f>
        <v>10</v>
      </c>
      <c r="F277" s="83">
        <f t="shared" si="1448"/>
        <v>10</v>
      </c>
      <c r="G277" s="83">
        <f t="shared" si="1448"/>
        <v>17</v>
      </c>
      <c r="H277" s="83">
        <f t="shared" si="1448"/>
        <v>23</v>
      </c>
      <c r="I277" s="83">
        <f t="shared" si="1448"/>
        <v>29</v>
      </c>
      <c r="J277" s="83">
        <f t="shared" si="1448"/>
        <v>34</v>
      </c>
      <c r="K277" s="83">
        <f t="shared" si="1448"/>
        <v>38</v>
      </c>
      <c r="L277" s="83">
        <f t="shared" si="1448"/>
        <v>42</v>
      </c>
      <c r="M277" s="83">
        <f t="shared" si="1448"/>
        <v>46</v>
      </c>
      <c r="N277" s="83">
        <f t="shared" si="1448"/>
        <v>49</v>
      </c>
      <c r="O277" s="83">
        <f t="shared" si="1448"/>
        <v>52</v>
      </c>
      <c r="P277" s="83">
        <f t="shared" si="1448"/>
        <v>55</v>
      </c>
      <c r="Q277" s="83">
        <f t="shared" si="1448"/>
        <v>58</v>
      </c>
      <c r="R277" s="83">
        <f t="shared" si="1448"/>
        <v>61</v>
      </c>
      <c r="S277" s="83">
        <f t="shared" si="1448"/>
        <v>64</v>
      </c>
      <c r="T277" s="83">
        <f t="shared" si="1448"/>
        <v>67</v>
      </c>
      <c r="U277" s="83">
        <f t="shared" si="1448"/>
        <v>71</v>
      </c>
      <c r="V277" s="83">
        <f t="shared" si="1448"/>
        <v>75</v>
      </c>
      <c r="W277" s="83">
        <f t="shared" si="1448"/>
        <v>79</v>
      </c>
    </row>
    <row r="278" spans="3:24" ht="25.5" x14ac:dyDescent="0.25">
      <c r="C278" s="78" t="str">
        <f t="shared" si="1437"/>
        <v>CASETA G2</v>
      </c>
      <c r="D278" s="86" t="s">
        <v>62</v>
      </c>
      <c r="E278" s="83">
        <f t="shared" ref="E278:W278" si="1449">VLOOKUP(E$168,CST2G1,16,0)</f>
        <v>0</v>
      </c>
      <c r="F278" s="83">
        <f t="shared" si="1449"/>
        <v>0</v>
      </c>
      <c r="G278" s="83">
        <f t="shared" si="1449"/>
        <v>0</v>
      </c>
      <c r="H278" s="83">
        <f t="shared" si="1449"/>
        <v>0</v>
      </c>
      <c r="I278" s="83">
        <f t="shared" si="1449"/>
        <v>0</v>
      </c>
      <c r="J278" s="83">
        <f t="shared" si="1449"/>
        <v>0</v>
      </c>
      <c r="K278" s="83">
        <f t="shared" si="1449"/>
        <v>0</v>
      </c>
      <c r="L278" s="83">
        <f t="shared" si="1449"/>
        <v>0</v>
      </c>
      <c r="M278" s="83">
        <f t="shared" si="1449"/>
        <v>0</v>
      </c>
      <c r="N278" s="83">
        <f t="shared" si="1449"/>
        <v>0</v>
      </c>
      <c r="O278" s="83">
        <f t="shared" si="1449"/>
        <v>0</v>
      </c>
      <c r="P278" s="83">
        <f t="shared" si="1449"/>
        <v>0</v>
      </c>
      <c r="Q278" s="83">
        <f t="shared" si="1449"/>
        <v>66.48471191576985</v>
      </c>
      <c r="R278" s="83">
        <f t="shared" si="1449"/>
        <v>79.116692261337789</v>
      </c>
      <c r="S278" s="83">
        <f t="shared" si="1449"/>
        <v>89.960417416336796</v>
      </c>
      <c r="T278" s="83">
        <f t="shared" si="1449"/>
        <v>57.625666783475452</v>
      </c>
      <c r="U278" s="83">
        <f t="shared" si="1449"/>
        <v>0</v>
      </c>
      <c r="V278" s="83">
        <f t="shared" si="1449"/>
        <v>0</v>
      </c>
      <c r="W278" s="83">
        <f t="shared" si="1449"/>
        <v>0</v>
      </c>
    </row>
    <row r="279" spans="3:24" ht="25.5" x14ac:dyDescent="0.25">
      <c r="C279" s="78" t="str">
        <f t="shared" si="1437"/>
        <v>CASETA G2</v>
      </c>
      <c r="D279" s="24" t="s">
        <v>50</v>
      </c>
      <c r="E279" s="83">
        <f t="shared" ref="E279:W279" si="1450">VLOOKUP(E$168,CST2G1,17,0)</f>
        <v>0</v>
      </c>
      <c r="F279" s="83">
        <f t="shared" si="1450"/>
        <v>0</v>
      </c>
      <c r="G279" s="83">
        <f t="shared" si="1450"/>
        <v>0</v>
      </c>
      <c r="H279" s="83">
        <f t="shared" si="1450"/>
        <v>0</v>
      </c>
      <c r="I279" s="83">
        <f t="shared" si="1450"/>
        <v>0</v>
      </c>
      <c r="J279" s="83">
        <f t="shared" si="1450"/>
        <v>0</v>
      </c>
      <c r="K279" s="83">
        <f t="shared" si="1450"/>
        <v>0</v>
      </c>
      <c r="L279" s="83">
        <f t="shared" si="1450"/>
        <v>0</v>
      </c>
      <c r="M279" s="83">
        <f t="shared" si="1450"/>
        <v>0</v>
      </c>
      <c r="N279" s="83">
        <f t="shared" si="1450"/>
        <v>0</v>
      </c>
      <c r="O279" s="83">
        <f t="shared" si="1450"/>
        <v>0</v>
      </c>
      <c r="P279" s="83">
        <f t="shared" si="1450"/>
        <v>0</v>
      </c>
      <c r="Q279" s="83">
        <f t="shared" si="1450"/>
        <v>465.5854872117859</v>
      </c>
      <c r="R279" s="83">
        <f t="shared" si="1450"/>
        <v>1019.5813857846216</v>
      </c>
      <c r="S279" s="83">
        <f t="shared" si="1450"/>
        <v>1649.542787755988</v>
      </c>
      <c r="T279" s="83">
        <f t="shared" si="1450"/>
        <v>2052.9886076744156</v>
      </c>
      <c r="U279" s="83">
        <f t="shared" si="1450"/>
        <v>2052.9886076744156</v>
      </c>
      <c r="V279" s="83">
        <f t="shared" si="1450"/>
        <v>2052.9886076744156</v>
      </c>
      <c r="W279" s="83">
        <f t="shared" si="1450"/>
        <v>2052.9886076744156</v>
      </c>
    </row>
    <row r="280" spans="3:24" x14ac:dyDescent="0.25">
      <c r="C280" s="78" t="str">
        <f t="shared" si="1437"/>
        <v>CASETA G2</v>
      </c>
      <c r="D280" s="86" t="s">
        <v>63</v>
      </c>
      <c r="E280" s="83">
        <f t="shared" ref="E280:W280" si="1451">VLOOKUP(E$168,CST2G1,18,0)</f>
        <v>40</v>
      </c>
      <c r="F280" s="83">
        <f t="shared" si="1451"/>
        <v>70</v>
      </c>
      <c r="G280" s="83">
        <f t="shared" si="1451"/>
        <v>120</v>
      </c>
      <c r="H280" s="83">
        <f t="shared" si="1451"/>
        <v>185</v>
      </c>
      <c r="I280" s="83">
        <f t="shared" si="1451"/>
        <v>255</v>
      </c>
      <c r="J280" s="83">
        <f t="shared" si="1451"/>
        <v>334</v>
      </c>
      <c r="K280" s="83">
        <f t="shared" si="1451"/>
        <v>425</v>
      </c>
      <c r="L280" s="83">
        <f t="shared" si="1451"/>
        <v>524</v>
      </c>
      <c r="M280" s="83">
        <f t="shared" si="1451"/>
        <v>618</v>
      </c>
      <c r="N280" s="83">
        <f t="shared" si="1451"/>
        <v>712</v>
      </c>
      <c r="O280" s="83">
        <f t="shared" si="1451"/>
        <v>802</v>
      </c>
      <c r="P280" s="83">
        <f t="shared" si="1451"/>
        <v>880</v>
      </c>
      <c r="Q280" s="83">
        <f t="shared" si="1451"/>
        <v>950</v>
      </c>
      <c r="R280" s="83">
        <f t="shared" si="1451"/>
        <v>1010</v>
      </c>
      <c r="S280" s="83">
        <f t="shared" si="1451"/>
        <v>1065</v>
      </c>
      <c r="T280" s="83">
        <f t="shared" si="1451"/>
        <v>1115</v>
      </c>
      <c r="U280" s="83">
        <f t="shared" si="1451"/>
        <v>1160</v>
      </c>
      <c r="V280" s="83">
        <f t="shared" si="1451"/>
        <v>1207</v>
      </c>
      <c r="W280" s="83">
        <f t="shared" si="1451"/>
        <v>1257</v>
      </c>
    </row>
    <row r="281" spans="3:24" x14ac:dyDescent="0.25">
      <c r="C281" s="78" t="str">
        <f t="shared" si="1437"/>
        <v>CASETA G2</v>
      </c>
      <c r="D281" s="86" t="s">
        <v>64</v>
      </c>
      <c r="E281" s="83">
        <f t="shared" ref="E281:W281" si="1452">VLOOKUP(E$168,CST2G1,19,0)</f>
        <v>0</v>
      </c>
      <c r="F281" s="83">
        <f t="shared" si="1452"/>
        <v>0</v>
      </c>
      <c r="G281" s="83">
        <f t="shared" si="1452"/>
        <v>0</v>
      </c>
      <c r="H281" s="83">
        <f t="shared" si="1452"/>
        <v>0</v>
      </c>
      <c r="I281" s="83">
        <f t="shared" si="1452"/>
        <v>0</v>
      </c>
      <c r="J281" s="83">
        <f t="shared" si="1452"/>
        <v>0</v>
      </c>
      <c r="K281" s="83">
        <f t="shared" si="1452"/>
        <v>0</v>
      </c>
      <c r="L281" s="83">
        <f t="shared" si="1452"/>
        <v>0</v>
      </c>
      <c r="M281" s="83">
        <f t="shared" si="1452"/>
        <v>0</v>
      </c>
      <c r="N281" s="83">
        <f t="shared" si="1452"/>
        <v>0</v>
      </c>
      <c r="O281" s="83">
        <f t="shared" si="1452"/>
        <v>0</v>
      </c>
      <c r="P281" s="83">
        <f t="shared" si="1452"/>
        <v>0</v>
      </c>
      <c r="Q281" s="83">
        <f t="shared" si="1452"/>
        <v>851</v>
      </c>
      <c r="R281" s="83">
        <f t="shared" si="1452"/>
        <v>946</v>
      </c>
      <c r="S281" s="83">
        <f t="shared" si="1452"/>
        <v>1000</v>
      </c>
      <c r="T281" s="83">
        <f t="shared" si="1452"/>
        <v>1100</v>
      </c>
      <c r="U281" s="83">
        <f t="shared" si="1452"/>
        <v>0</v>
      </c>
      <c r="V281" s="83">
        <f t="shared" si="1452"/>
        <v>0</v>
      </c>
      <c r="W281" s="83">
        <f t="shared" si="1452"/>
        <v>0</v>
      </c>
    </row>
    <row r="282" spans="3:24" x14ac:dyDescent="0.25">
      <c r="C282" s="78" t="str">
        <f t="shared" si="1437"/>
        <v>CASETA G2</v>
      </c>
      <c r="D282" s="23" t="s">
        <v>15</v>
      </c>
      <c r="E282" s="83">
        <f>E280-E281</f>
        <v>40</v>
      </c>
      <c r="F282" s="83">
        <f t="shared" ref="F282:W282" si="1453">F280-F281</f>
        <v>70</v>
      </c>
      <c r="G282" s="83">
        <f t="shared" si="1453"/>
        <v>120</v>
      </c>
      <c r="H282" s="83">
        <f t="shared" si="1453"/>
        <v>185</v>
      </c>
      <c r="I282" s="83">
        <f t="shared" si="1453"/>
        <v>255</v>
      </c>
      <c r="J282" s="83">
        <f t="shared" si="1453"/>
        <v>334</v>
      </c>
      <c r="K282" s="83">
        <f t="shared" si="1453"/>
        <v>425</v>
      </c>
      <c r="L282" s="83">
        <f t="shared" si="1453"/>
        <v>524</v>
      </c>
      <c r="M282" s="83">
        <f t="shared" si="1453"/>
        <v>618</v>
      </c>
      <c r="N282" s="83">
        <f t="shared" si="1453"/>
        <v>712</v>
      </c>
      <c r="O282" s="83">
        <f t="shared" si="1453"/>
        <v>802</v>
      </c>
      <c r="P282" s="83">
        <f t="shared" si="1453"/>
        <v>880</v>
      </c>
      <c r="Q282" s="83">
        <f t="shared" si="1453"/>
        <v>99</v>
      </c>
      <c r="R282" s="83">
        <f t="shared" si="1453"/>
        <v>64</v>
      </c>
      <c r="S282" s="83">
        <f t="shared" si="1453"/>
        <v>65</v>
      </c>
      <c r="T282" s="83">
        <f t="shared" si="1453"/>
        <v>15</v>
      </c>
      <c r="U282" s="83">
        <f t="shared" si="1453"/>
        <v>1160</v>
      </c>
      <c r="V282" s="83">
        <f t="shared" si="1453"/>
        <v>1207</v>
      </c>
      <c r="W282" s="83">
        <f t="shared" si="1453"/>
        <v>1257</v>
      </c>
      <c r="X282" s="83"/>
    </row>
    <row r="283" spans="3:24" ht="25.5" x14ac:dyDescent="0.25">
      <c r="C283" s="78" t="str">
        <f t="shared" si="1437"/>
        <v>CASETA G2</v>
      </c>
      <c r="D283" s="86" t="s">
        <v>65</v>
      </c>
      <c r="E283" s="83">
        <f t="shared" ref="E283:W283" si="1454">VLOOKUP(E$168,CST2G1,21,0)</f>
        <v>77</v>
      </c>
      <c r="F283" s="83">
        <f t="shared" si="1454"/>
        <v>77</v>
      </c>
      <c r="G283" s="83">
        <f t="shared" si="1454"/>
        <v>77</v>
      </c>
      <c r="H283" s="83">
        <f t="shared" si="1454"/>
        <v>77</v>
      </c>
      <c r="I283" s="83">
        <f t="shared" si="1454"/>
        <v>79</v>
      </c>
      <c r="J283" s="83">
        <f t="shared" si="1454"/>
        <v>79</v>
      </c>
      <c r="K283" s="83">
        <f t="shared" si="1454"/>
        <v>79</v>
      </c>
      <c r="L283" s="83">
        <f t="shared" si="1454"/>
        <v>79</v>
      </c>
      <c r="M283" s="83">
        <f t="shared" si="1454"/>
        <v>79</v>
      </c>
      <c r="N283" s="83">
        <f t="shared" si="1454"/>
        <v>79</v>
      </c>
      <c r="O283" s="83">
        <f t="shared" si="1454"/>
        <v>80</v>
      </c>
      <c r="P283" s="83">
        <f t="shared" si="1454"/>
        <v>80</v>
      </c>
      <c r="Q283" s="83">
        <f t="shared" si="1454"/>
        <v>82</v>
      </c>
      <c r="R283" s="83">
        <f t="shared" si="1454"/>
        <v>82</v>
      </c>
      <c r="S283" s="83">
        <f t="shared" si="1454"/>
        <v>84</v>
      </c>
      <c r="T283" s="83">
        <f t="shared" si="1454"/>
        <v>86</v>
      </c>
      <c r="U283" s="83">
        <f t="shared" si="1454"/>
        <v>86</v>
      </c>
      <c r="V283" s="83">
        <f t="shared" si="1454"/>
        <v>86</v>
      </c>
      <c r="W283" s="83">
        <f t="shared" si="1454"/>
        <v>86</v>
      </c>
    </row>
    <row r="284" spans="3:24" ht="25.5" x14ac:dyDescent="0.25">
      <c r="C284" s="78" t="str">
        <f t="shared" si="1437"/>
        <v>CASETA G2</v>
      </c>
      <c r="D284" s="86" t="s">
        <v>66</v>
      </c>
      <c r="E284" s="83">
        <f t="shared" ref="E284:W284" si="1455">VLOOKUP(E$168,CST2G1,22,0)</f>
        <v>0</v>
      </c>
      <c r="F284" s="83">
        <f t="shared" si="1455"/>
        <v>0</v>
      </c>
      <c r="G284" s="83">
        <f t="shared" si="1455"/>
        <v>0</v>
      </c>
      <c r="H284" s="83">
        <f t="shared" si="1455"/>
        <v>0</v>
      </c>
      <c r="I284" s="83">
        <f t="shared" si="1455"/>
        <v>0</v>
      </c>
      <c r="J284" s="83">
        <f t="shared" si="1455"/>
        <v>0</v>
      </c>
      <c r="K284" s="83">
        <f t="shared" si="1455"/>
        <v>0</v>
      </c>
      <c r="L284" s="83">
        <f t="shared" si="1455"/>
        <v>0</v>
      </c>
      <c r="M284" s="83">
        <f t="shared" si="1455"/>
        <v>0</v>
      </c>
      <c r="N284" s="83">
        <f t="shared" si="1455"/>
        <v>0</v>
      </c>
      <c r="O284" s="83">
        <f t="shared" si="1455"/>
        <v>0</v>
      </c>
      <c r="P284" s="83">
        <f t="shared" si="1455"/>
        <v>0</v>
      </c>
      <c r="Q284" s="83">
        <f t="shared" si="1455"/>
        <v>65</v>
      </c>
      <c r="R284" s="83">
        <f t="shared" si="1455"/>
        <v>75</v>
      </c>
      <c r="S284" s="83">
        <f t="shared" si="1455"/>
        <v>72</v>
      </c>
      <c r="T284" s="83">
        <f t="shared" si="1455"/>
        <v>78</v>
      </c>
      <c r="U284" s="83">
        <f t="shared" si="1455"/>
        <v>0</v>
      </c>
      <c r="V284" s="83">
        <f t="shared" si="1455"/>
        <v>0</v>
      </c>
      <c r="W284" s="83">
        <f t="shared" si="1455"/>
        <v>0</v>
      </c>
    </row>
    <row r="285" spans="3:24" x14ac:dyDescent="0.25">
      <c r="C285" s="78" t="str">
        <f>C284</f>
        <v>CASETA G2</v>
      </c>
      <c r="D285" s="23" t="s">
        <v>15</v>
      </c>
      <c r="E285" s="85">
        <f>E283-E284</f>
        <v>77</v>
      </c>
      <c r="F285" s="85">
        <f t="shared" ref="F285:W285" si="1456">F283-F284</f>
        <v>77</v>
      </c>
      <c r="G285" s="85">
        <f t="shared" si="1456"/>
        <v>77</v>
      </c>
      <c r="H285" s="85">
        <f t="shared" si="1456"/>
        <v>77</v>
      </c>
      <c r="I285" s="85">
        <f t="shared" si="1456"/>
        <v>79</v>
      </c>
      <c r="J285" s="85">
        <f t="shared" si="1456"/>
        <v>79</v>
      </c>
      <c r="K285" s="85">
        <f t="shared" si="1456"/>
        <v>79</v>
      </c>
      <c r="L285" s="85">
        <f t="shared" si="1456"/>
        <v>79</v>
      </c>
      <c r="M285" s="85">
        <f t="shared" si="1456"/>
        <v>79</v>
      </c>
      <c r="N285" s="85">
        <f t="shared" si="1456"/>
        <v>79</v>
      </c>
      <c r="O285" s="85">
        <f t="shared" si="1456"/>
        <v>80</v>
      </c>
      <c r="P285" s="85">
        <f t="shared" si="1456"/>
        <v>80</v>
      </c>
      <c r="Q285" s="85">
        <f t="shared" si="1456"/>
        <v>17</v>
      </c>
      <c r="R285" s="85">
        <f t="shared" si="1456"/>
        <v>7</v>
      </c>
      <c r="S285" s="85">
        <f t="shared" si="1456"/>
        <v>12</v>
      </c>
      <c r="T285" s="85">
        <f t="shared" si="1456"/>
        <v>8</v>
      </c>
      <c r="U285" s="85">
        <f t="shared" si="1456"/>
        <v>86</v>
      </c>
      <c r="V285" s="85">
        <f t="shared" si="1456"/>
        <v>86</v>
      </c>
      <c r="W285" s="85">
        <f t="shared" si="1456"/>
        <v>86</v>
      </c>
    </row>
    <row r="286" spans="3:24" x14ac:dyDescent="0.25">
      <c r="C286" s="78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</row>
    <row r="287" spans="3:24" x14ac:dyDescent="0.25">
      <c r="C287" s="78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</row>
    <row r="288" spans="3:24" x14ac:dyDescent="0.25">
      <c r="C288" s="78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</row>
    <row r="289" spans="3:23" ht="25.5" x14ac:dyDescent="0.25">
      <c r="C289" s="77" t="s">
        <v>183</v>
      </c>
      <c r="D289" s="24" t="s">
        <v>67</v>
      </c>
      <c r="E289" s="83">
        <f t="shared" ref="E289:W289" si="1457">VLOOKUP(E$168,CST3G1,3,0)</f>
        <v>0</v>
      </c>
      <c r="F289" s="83">
        <f t="shared" si="1457"/>
        <v>0</v>
      </c>
      <c r="G289" s="83">
        <f t="shared" si="1457"/>
        <v>0</v>
      </c>
      <c r="H289" s="83">
        <f t="shared" si="1457"/>
        <v>0</v>
      </c>
      <c r="I289" s="83">
        <f t="shared" si="1457"/>
        <v>0</v>
      </c>
      <c r="J289" s="83">
        <f t="shared" si="1457"/>
        <v>0</v>
      </c>
      <c r="K289" s="83">
        <f t="shared" si="1457"/>
        <v>0</v>
      </c>
      <c r="L289" s="83">
        <f t="shared" si="1457"/>
        <v>0</v>
      </c>
      <c r="M289" s="83">
        <f t="shared" si="1457"/>
        <v>0</v>
      </c>
      <c r="N289" s="83">
        <f t="shared" si="1457"/>
        <v>0</v>
      </c>
      <c r="O289" s="83">
        <f t="shared" si="1457"/>
        <v>0</v>
      </c>
      <c r="P289" s="83">
        <f t="shared" si="1457"/>
        <v>14540</v>
      </c>
      <c r="Q289" s="83">
        <f t="shared" si="1457"/>
        <v>14534</v>
      </c>
      <c r="R289" s="83">
        <f t="shared" si="1457"/>
        <v>14518</v>
      </c>
      <c r="S289" s="83">
        <f t="shared" si="1457"/>
        <v>14492</v>
      </c>
      <c r="T289" s="83">
        <f t="shared" si="1457"/>
        <v>14478</v>
      </c>
      <c r="U289" s="83">
        <f t="shared" si="1457"/>
        <v>14466</v>
      </c>
      <c r="V289" s="83">
        <f t="shared" si="1457"/>
        <v>14466</v>
      </c>
      <c r="W289" s="83">
        <f t="shared" si="1457"/>
        <v>14466</v>
      </c>
    </row>
    <row r="290" spans="3:23" x14ac:dyDescent="0.25">
      <c r="C290" s="78" t="str">
        <f>C289</f>
        <v>CASETA G3</v>
      </c>
      <c r="D290" s="24" t="s">
        <v>34</v>
      </c>
      <c r="E290" s="83">
        <f t="shared" ref="E290:W290" si="1458">VLOOKUP(E$168,CST2G1,4,0)</f>
        <v>0</v>
      </c>
      <c r="F290" s="83">
        <f t="shared" si="1458"/>
        <v>0</v>
      </c>
      <c r="G290" s="83">
        <f t="shared" si="1458"/>
        <v>0</v>
      </c>
      <c r="H290" s="83">
        <f t="shared" si="1458"/>
        <v>0</v>
      </c>
      <c r="I290" s="83">
        <f t="shared" si="1458"/>
        <v>0</v>
      </c>
      <c r="J290" s="83">
        <f t="shared" si="1458"/>
        <v>0</v>
      </c>
      <c r="K290" s="83">
        <f t="shared" si="1458"/>
        <v>0</v>
      </c>
      <c r="L290" s="83">
        <f t="shared" si="1458"/>
        <v>0</v>
      </c>
      <c r="M290" s="83">
        <f t="shared" si="1458"/>
        <v>0</v>
      </c>
      <c r="N290" s="83">
        <f t="shared" si="1458"/>
        <v>0</v>
      </c>
      <c r="O290" s="83">
        <f t="shared" si="1458"/>
        <v>0</v>
      </c>
      <c r="P290" s="83">
        <f t="shared" si="1458"/>
        <v>14709</v>
      </c>
      <c r="Q290" s="83">
        <f t="shared" si="1458"/>
        <v>14698</v>
      </c>
      <c r="R290" s="83">
        <f t="shared" si="1458"/>
        <v>14689</v>
      </c>
      <c r="S290" s="83">
        <f t="shared" si="1458"/>
        <v>14676</v>
      </c>
      <c r="T290" s="83">
        <f t="shared" si="1458"/>
        <v>14671</v>
      </c>
      <c r="U290" s="83">
        <f t="shared" si="1458"/>
        <v>14671</v>
      </c>
      <c r="V290" s="83">
        <f t="shared" si="1458"/>
        <v>14671</v>
      </c>
      <c r="W290" s="83">
        <f t="shared" si="1458"/>
        <v>14671</v>
      </c>
    </row>
    <row r="291" spans="3:23" x14ac:dyDescent="0.25">
      <c r="C291" s="78" t="str">
        <f t="shared" ref="C291:C308" si="1459">C290</f>
        <v>CASETA G3</v>
      </c>
      <c r="D291" s="23" t="s">
        <v>27</v>
      </c>
      <c r="E291" s="83">
        <f t="shared" ref="E291:W291" si="1460">VLOOKUP(E$168,CST3G1,5,0)</f>
        <v>0</v>
      </c>
      <c r="F291" s="83">
        <f t="shared" si="1460"/>
        <v>0</v>
      </c>
      <c r="G291" s="83">
        <f t="shared" si="1460"/>
        <v>0</v>
      </c>
      <c r="H291" s="83">
        <f t="shared" si="1460"/>
        <v>0</v>
      </c>
      <c r="I291" s="83">
        <f t="shared" si="1460"/>
        <v>0</v>
      </c>
      <c r="J291" s="83">
        <f t="shared" si="1460"/>
        <v>0</v>
      </c>
      <c r="K291" s="83">
        <f t="shared" si="1460"/>
        <v>0</v>
      </c>
      <c r="L291" s="83">
        <f t="shared" si="1460"/>
        <v>0</v>
      </c>
      <c r="M291" s="83">
        <f t="shared" si="1460"/>
        <v>0</v>
      </c>
      <c r="N291" s="83">
        <f t="shared" si="1460"/>
        <v>0</v>
      </c>
      <c r="O291" s="83">
        <f t="shared" si="1460"/>
        <v>0</v>
      </c>
      <c r="P291" s="83">
        <f t="shared" si="1460"/>
        <v>0</v>
      </c>
      <c r="Q291" s="83">
        <f t="shared" si="1460"/>
        <v>0</v>
      </c>
      <c r="R291" s="83">
        <f t="shared" si="1460"/>
        <v>0</v>
      </c>
      <c r="S291" s="83">
        <f t="shared" si="1460"/>
        <v>0</v>
      </c>
      <c r="T291" s="83">
        <f t="shared" si="1460"/>
        <v>0</v>
      </c>
      <c r="U291" s="83">
        <f t="shared" si="1460"/>
        <v>0</v>
      </c>
      <c r="V291" s="83">
        <f t="shared" si="1460"/>
        <v>0</v>
      </c>
      <c r="W291" s="83">
        <f t="shared" si="1460"/>
        <v>0</v>
      </c>
    </row>
    <row r="292" spans="3:23" x14ac:dyDescent="0.25">
      <c r="C292" s="78" t="str">
        <f t="shared" si="1459"/>
        <v>CASETA G3</v>
      </c>
      <c r="D292" s="23" t="s">
        <v>16</v>
      </c>
      <c r="E292" s="83">
        <f t="shared" ref="E292:W292" si="1461">VLOOKUP(E$168,CST3G1,6,0)</f>
        <v>0</v>
      </c>
      <c r="F292" s="83">
        <f t="shared" si="1461"/>
        <v>0</v>
      </c>
      <c r="G292" s="83">
        <f t="shared" si="1461"/>
        <v>0</v>
      </c>
      <c r="H292" s="83">
        <f t="shared" si="1461"/>
        <v>0</v>
      </c>
      <c r="I292" s="83">
        <f t="shared" si="1461"/>
        <v>0</v>
      </c>
      <c r="J292" s="83">
        <f t="shared" si="1461"/>
        <v>0</v>
      </c>
      <c r="K292" s="83">
        <f t="shared" si="1461"/>
        <v>0</v>
      </c>
      <c r="L292" s="83">
        <f t="shared" si="1461"/>
        <v>0</v>
      </c>
      <c r="M292" s="83">
        <f t="shared" si="1461"/>
        <v>0</v>
      </c>
      <c r="N292" s="83">
        <f t="shared" si="1461"/>
        <v>0</v>
      </c>
      <c r="O292" s="83">
        <f t="shared" si="1461"/>
        <v>0</v>
      </c>
      <c r="P292" s="83">
        <f t="shared" si="1461"/>
        <v>10</v>
      </c>
      <c r="Q292" s="83">
        <f t="shared" si="1461"/>
        <v>19</v>
      </c>
      <c r="R292" s="83">
        <f t="shared" si="1461"/>
        <v>26</v>
      </c>
      <c r="S292" s="83">
        <f t="shared" si="1461"/>
        <v>14</v>
      </c>
      <c r="T292" s="83">
        <f t="shared" si="1461"/>
        <v>12</v>
      </c>
      <c r="U292" s="83">
        <f t="shared" si="1461"/>
        <v>0</v>
      </c>
      <c r="V292" s="83">
        <f t="shared" si="1461"/>
        <v>0</v>
      </c>
      <c r="W292" s="83">
        <f t="shared" si="1461"/>
        <v>0</v>
      </c>
    </row>
    <row r="293" spans="3:23" x14ac:dyDescent="0.25">
      <c r="C293" s="78" t="str">
        <f t="shared" si="1459"/>
        <v>CASETA G3</v>
      </c>
      <c r="D293" s="23" t="s">
        <v>17</v>
      </c>
      <c r="E293" s="83">
        <f t="shared" ref="E293:W293" si="1462">VLOOKUP(E$168,CST3G1,7,0)</f>
        <v>0</v>
      </c>
      <c r="F293" s="83">
        <f t="shared" si="1462"/>
        <v>0</v>
      </c>
      <c r="G293" s="83">
        <f t="shared" si="1462"/>
        <v>0</v>
      </c>
      <c r="H293" s="83">
        <f t="shared" si="1462"/>
        <v>0</v>
      </c>
      <c r="I293" s="83">
        <f t="shared" si="1462"/>
        <v>0</v>
      </c>
      <c r="J293" s="83">
        <f t="shared" si="1462"/>
        <v>0</v>
      </c>
      <c r="K293" s="83">
        <f t="shared" si="1462"/>
        <v>0</v>
      </c>
      <c r="L293" s="83">
        <f t="shared" si="1462"/>
        <v>0</v>
      </c>
      <c r="M293" s="83">
        <f t="shared" si="1462"/>
        <v>0</v>
      </c>
      <c r="N293" s="83">
        <f t="shared" si="1462"/>
        <v>0</v>
      </c>
      <c r="O293" s="83">
        <f t="shared" si="1462"/>
        <v>0</v>
      </c>
      <c r="P293" s="83">
        <f t="shared" si="1462"/>
        <v>0</v>
      </c>
      <c r="Q293" s="83">
        <f t="shared" si="1462"/>
        <v>0</v>
      </c>
      <c r="R293" s="83">
        <f t="shared" si="1462"/>
        <v>0</v>
      </c>
      <c r="S293" s="83">
        <f t="shared" si="1462"/>
        <v>0</v>
      </c>
      <c r="T293" s="83">
        <f t="shared" si="1462"/>
        <v>0</v>
      </c>
      <c r="U293" s="83">
        <f t="shared" si="1462"/>
        <v>0</v>
      </c>
      <c r="V293" s="83">
        <f t="shared" si="1462"/>
        <v>0</v>
      </c>
      <c r="W293" s="83">
        <f t="shared" si="1462"/>
        <v>0</v>
      </c>
    </row>
    <row r="294" spans="3:23" x14ac:dyDescent="0.25">
      <c r="C294" s="78" t="str">
        <f t="shared" si="1459"/>
        <v>CASETA G3</v>
      </c>
      <c r="D294" s="23" t="s">
        <v>18</v>
      </c>
      <c r="E294" s="85">
        <f>SUM(E291:E293)</f>
        <v>0</v>
      </c>
      <c r="F294" s="85">
        <f>SUM(F291:F293)</f>
        <v>0</v>
      </c>
      <c r="G294" s="85">
        <f t="shared" ref="G294:W294" si="1463">SUM(G291:G293)</f>
        <v>0</v>
      </c>
      <c r="H294" s="85">
        <f t="shared" si="1463"/>
        <v>0</v>
      </c>
      <c r="I294" s="85">
        <f t="shared" si="1463"/>
        <v>0</v>
      </c>
      <c r="J294" s="85">
        <f t="shared" si="1463"/>
        <v>0</v>
      </c>
      <c r="K294" s="85">
        <f t="shared" si="1463"/>
        <v>0</v>
      </c>
      <c r="L294" s="85">
        <f t="shared" si="1463"/>
        <v>0</v>
      </c>
      <c r="M294" s="85">
        <f t="shared" si="1463"/>
        <v>0</v>
      </c>
      <c r="N294" s="85">
        <f t="shared" si="1463"/>
        <v>0</v>
      </c>
      <c r="O294" s="85">
        <f t="shared" si="1463"/>
        <v>0</v>
      </c>
      <c r="P294" s="85">
        <f>SUM(P291:P293)</f>
        <v>10</v>
      </c>
      <c r="Q294" s="85">
        <f t="shared" si="1463"/>
        <v>19</v>
      </c>
      <c r="R294" s="85">
        <f t="shared" si="1463"/>
        <v>26</v>
      </c>
      <c r="S294" s="85">
        <f t="shared" si="1463"/>
        <v>14</v>
      </c>
      <c r="T294" s="85">
        <f t="shared" si="1463"/>
        <v>12</v>
      </c>
      <c r="U294" s="85">
        <f t="shared" si="1463"/>
        <v>0</v>
      </c>
      <c r="V294" s="85">
        <f t="shared" si="1463"/>
        <v>0</v>
      </c>
      <c r="W294" s="85">
        <f t="shared" si="1463"/>
        <v>0</v>
      </c>
    </row>
    <row r="295" spans="3:23" x14ac:dyDescent="0.25">
      <c r="C295" s="78" t="str">
        <f t="shared" si="1459"/>
        <v>CASETA G3</v>
      </c>
      <c r="D295" s="23" t="s">
        <v>48</v>
      </c>
      <c r="E295" s="83">
        <f t="shared" ref="E295:W295" si="1464">VLOOKUP(E$168,CST3G1,9,0)</f>
        <v>0</v>
      </c>
      <c r="F295" s="83">
        <f t="shared" si="1464"/>
        <v>0</v>
      </c>
      <c r="G295" s="83">
        <f t="shared" si="1464"/>
        <v>0</v>
      </c>
      <c r="H295" s="83">
        <f t="shared" si="1464"/>
        <v>0</v>
      </c>
      <c r="I295" s="83">
        <f t="shared" si="1464"/>
        <v>0</v>
      </c>
      <c r="J295" s="83">
        <f t="shared" si="1464"/>
        <v>0</v>
      </c>
      <c r="K295" s="83">
        <f t="shared" si="1464"/>
        <v>0</v>
      </c>
      <c r="L295" s="83">
        <f t="shared" si="1464"/>
        <v>0</v>
      </c>
      <c r="M295" s="83">
        <f t="shared" si="1464"/>
        <v>0</v>
      </c>
      <c r="N295" s="83">
        <f t="shared" si="1464"/>
        <v>0</v>
      </c>
      <c r="O295" s="83">
        <f t="shared" si="1464"/>
        <v>0</v>
      </c>
      <c r="P295" s="83">
        <f t="shared" si="1464"/>
        <v>10</v>
      </c>
      <c r="Q295" s="83">
        <f t="shared" si="1464"/>
        <v>29</v>
      </c>
      <c r="R295" s="83">
        <f t="shared" si="1464"/>
        <v>55</v>
      </c>
      <c r="S295" s="83">
        <f t="shared" si="1464"/>
        <v>69</v>
      </c>
      <c r="T295" s="83">
        <f t="shared" si="1464"/>
        <v>81</v>
      </c>
      <c r="U295" s="83">
        <f t="shared" si="1464"/>
        <v>81</v>
      </c>
      <c r="V295" s="83">
        <f t="shared" si="1464"/>
        <v>81</v>
      </c>
      <c r="W295" s="83">
        <f t="shared" si="1464"/>
        <v>81</v>
      </c>
    </row>
    <row r="296" spans="3:23" x14ac:dyDescent="0.25">
      <c r="C296" s="78" t="str">
        <f t="shared" si="1459"/>
        <v>CASETA G3</v>
      </c>
      <c r="D296" s="86" t="s">
        <v>72</v>
      </c>
      <c r="E296" s="83">
        <f t="shared" ref="E296:W296" si="1465">VLOOKUP(E$168,CST3G1,10,0)</f>
        <v>0.7</v>
      </c>
      <c r="F296" s="83">
        <f t="shared" si="1465"/>
        <v>0.7</v>
      </c>
      <c r="G296" s="83">
        <f t="shared" si="1465"/>
        <v>0.7</v>
      </c>
      <c r="H296" s="83">
        <f t="shared" si="1465"/>
        <v>0.5</v>
      </c>
      <c r="I296" s="83">
        <f t="shared" si="1465"/>
        <v>0.3</v>
      </c>
      <c r="J296" s="83">
        <f t="shared" si="1465"/>
        <v>0.18</v>
      </c>
      <c r="K296" s="83">
        <f t="shared" si="1465"/>
        <v>0.18</v>
      </c>
      <c r="L296" s="83">
        <f t="shared" si="1465"/>
        <v>0.16</v>
      </c>
      <c r="M296" s="83">
        <f t="shared" si="1465"/>
        <v>0.16</v>
      </c>
      <c r="N296" s="83">
        <f t="shared" si="1465"/>
        <v>0.16</v>
      </c>
      <c r="O296" s="83">
        <f t="shared" si="1465"/>
        <v>0.16</v>
      </c>
      <c r="P296" s="83">
        <f t="shared" si="1465"/>
        <v>0.16</v>
      </c>
      <c r="Q296" s="83">
        <f t="shared" si="1465"/>
        <v>0.16</v>
      </c>
      <c r="R296" s="83">
        <f t="shared" si="1465"/>
        <v>0.16</v>
      </c>
      <c r="S296" s="83">
        <f t="shared" si="1465"/>
        <v>0.16</v>
      </c>
      <c r="T296" s="83">
        <f t="shared" si="1465"/>
        <v>0.16</v>
      </c>
      <c r="U296" s="83">
        <f t="shared" si="1465"/>
        <v>0.16</v>
      </c>
      <c r="V296" s="83">
        <f t="shared" si="1465"/>
        <v>0.16</v>
      </c>
      <c r="W296" s="83">
        <f t="shared" si="1465"/>
        <v>0.16</v>
      </c>
    </row>
    <row r="297" spans="3:23" x14ac:dyDescent="0.25">
      <c r="C297" s="78" t="str">
        <f t="shared" si="1459"/>
        <v>CASETA G3</v>
      </c>
      <c r="D297" s="86" t="s">
        <v>74</v>
      </c>
      <c r="E297" s="83">
        <f t="shared" ref="E297:W297" si="1466">VLOOKUP(E$168,CST3G1,11,0)</f>
        <v>0</v>
      </c>
      <c r="F297" s="83">
        <f t="shared" si="1466"/>
        <v>0</v>
      </c>
      <c r="G297" s="83">
        <f t="shared" si="1466"/>
        <v>0</v>
      </c>
      <c r="H297" s="83">
        <f t="shared" si="1466"/>
        <v>0</v>
      </c>
      <c r="I297" s="83">
        <f t="shared" si="1466"/>
        <v>0</v>
      </c>
      <c r="J297" s="83">
        <f t="shared" si="1466"/>
        <v>0</v>
      </c>
      <c r="K297" s="83">
        <f t="shared" si="1466"/>
        <v>0</v>
      </c>
      <c r="L297" s="83">
        <f t="shared" si="1466"/>
        <v>0</v>
      </c>
      <c r="M297" s="83">
        <f t="shared" si="1466"/>
        <v>0</v>
      </c>
      <c r="N297" s="83">
        <f t="shared" si="1466"/>
        <v>0</v>
      </c>
      <c r="O297" s="83">
        <f t="shared" si="1466"/>
        <v>0</v>
      </c>
      <c r="P297" s="83">
        <f t="shared" si="1466"/>
        <v>1.0973860247069219E-2</v>
      </c>
      <c r="Q297" s="83">
        <f t="shared" si="1466"/>
        <v>1.8681850613737599E-2</v>
      </c>
      <c r="R297" s="83">
        <f t="shared" si="1466"/>
        <v>2.5602597032486598E-2</v>
      </c>
      <c r="S297" s="83">
        <f t="shared" si="1466"/>
        <v>1.3805958461778579E-2</v>
      </c>
      <c r="T297" s="83">
        <f t="shared" si="1466"/>
        <v>1.1844102715306332E-2</v>
      </c>
      <c r="U297" s="83">
        <f t="shared" si="1466"/>
        <v>0</v>
      </c>
      <c r="V297" s="83">
        <f t="shared" si="1466"/>
        <v>0</v>
      </c>
      <c r="W297" s="83">
        <f t="shared" si="1466"/>
        <v>0</v>
      </c>
    </row>
    <row r="298" spans="3:23" ht="25.5" x14ac:dyDescent="0.25">
      <c r="C298" s="78" t="str">
        <f t="shared" si="1459"/>
        <v>CASETA G3</v>
      </c>
      <c r="D298" s="87" t="s">
        <v>49</v>
      </c>
      <c r="E298" s="83">
        <f t="shared" ref="E298:W298" si="1467">VLOOKUP(E$168,CST3G1,12,0)</f>
        <v>0.7</v>
      </c>
      <c r="F298" s="83">
        <f t="shared" si="1467"/>
        <v>0.7</v>
      </c>
      <c r="G298" s="83">
        <f t="shared" si="1467"/>
        <v>1.4</v>
      </c>
      <c r="H298" s="83">
        <f t="shared" si="1467"/>
        <v>1.9</v>
      </c>
      <c r="I298" s="83">
        <f t="shared" si="1467"/>
        <v>2.1999999999999997</v>
      </c>
      <c r="J298" s="83">
        <f t="shared" si="1467"/>
        <v>2.38</v>
      </c>
      <c r="K298" s="83">
        <f t="shared" si="1467"/>
        <v>2.56</v>
      </c>
      <c r="L298" s="83">
        <f t="shared" si="1467"/>
        <v>2.72</v>
      </c>
      <c r="M298" s="83">
        <f t="shared" si="1467"/>
        <v>2.8800000000000003</v>
      </c>
      <c r="N298" s="83">
        <f t="shared" si="1467"/>
        <v>3.0400000000000005</v>
      </c>
      <c r="O298" s="83">
        <f t="shared" si="1467"/>
        <v>3.2000000000000006</v>
      </c>
      <c r="P298" s="83">
        <f t="shared" si="1467"/>
        <v>3.3600000000000008</v>
      </c>
      <c r="Q298" s="83">
        <f t="shared" si="1467"/>
        <v>3.5200000000000009</v>
      </c>
      <c r="R298" s="83">
        <f t="shared" si="1467"/>
        <v>3.680000000000001</v>
      </c>
      <c r="S298" s="83">
        <f t="shared" si="1467"/>
        <v>3.8400000000000012</v>
      </c>
      <c r="T298" s="83">
        <f t="shared" si="1467"/>
        <v>4.0000000000000009</v>
      </c>
      <c r="U298" s="83">
        <f t="shared" si="1467"/>
        <v>4.160000000000001</v>
      </c>
      <c r="V298" s="83">
        <f t="shared" si="1467"/>
        <v>4.3200000000000012</v>
      </c>
      <c r="W298" s="83">
        <f t="shared" si="1467"/>
        <v>4.4800000000000013</v>
      </c>
    </row>
    <row r="299" spans="3:23" ht="25.5" x14ac:dyDescent="0.25">
      <c r="C299" s="78" t="str">
        <f t="shared" si="1459"/>
        <v>CASETA G3</v>
      </c>
      <c r="D299" s="87" t="s">
        <v>73</v>
      </c>
      <c r="E299" s="83">
        <f t="shared" ref="E299:W299" si="1468">VLOOKUP(E$168,CST3G1,13,0)</f>
        <v>0</v>
      </c>
      <c r="F299" s="83">
        <f t="shared" si="1468"/>
        <v>0</v>
      </c>
      <c r="G299" s="83">
        <f t="shared" si="1468"/>
        <v>0</v>
      </c>
      <c r="H299" s="83">
        <f t="shared" si="1468"/>
        <v>0</v>
      </c>
      <c r="I299" s="83">
        <f t="shared" si="1468"/>
        <v>0</v>
      </c>
      <c r="J299" s="83">
        <f t="shared" si="1468"/>
        <v>0</v>
      </c>
      <c r="K299" s="83">
        <f t="shared" si="1468"/>
        <v>0</v>
      </c>
      <c r="L299" s="83">
        <f t="shared" si="1468"/>
        <v>0</v>
      </c>
      <c r="M299" s="83">
        <f t="shared" si="1468"/>
        <v>0</v>
      </c>
      <c r="N299" s="83">
        <f t="shared" si="1468"/>
        <v>0</v>
      </c>
      <c r="O299" s="83">
        <f t="shared" si="1468"/>
        <v>0</v>
      </c>
      <c r="P299" s="83">
        <f t="shared" si="1468"/>
        <v>6.8775790921595595E-2</v>
      </c>
      <c r="Q299" s="83">
        <f t="shared" si="1468"/>
        <v>0.19944979367262725</v>
      </c>
      <c r="R299" s="83">
        <f t="shared" si="1468"/>
        <v>0.37826685006877581</v>
      </c>
      <c r="S299" s="83">
        <f t="shared" si="1468"/>
        <v>0.47455295735900965</v>
      </c>
      <c r="T299" s="83">
        <f t="shared" si="1468"/>
        <v>0.55708390646492434</v>
      </c>
      <c r="U299" s="83">
        <f t="shared" si="1468"/>
        <v>0.55708390646492434</v>
      </c>
      <c r="V299" s="83">
        <f t="shared" si="1468"/>
        <v>0.55708390646492434</v>
      </c>
      <c r="W299" s="83">
        <f t="shared" si="1468"/>
        <v>0.55708390646492434</v>
      </c>
    </row>
    <row r="300" spans="3:23" x14ac:dyDescent="0.25">
      <c r="C300" s="78" t="str">
        <f t="shared" si="1459"/>
        <v>CASETA G3</v>
      </c>
      <c r="D300" s="23" t="s">
        <v>9</v>
      </c>
      <c r="E300" s="83">
        <f t="shared" ref="E300:W300" si="1469">VLOOKUP(E$168,CST3G1,14,0)</f>
        <v>0</v>
      </c>
      <c r="F300" s="83">
        <f t="shared" si="1469"/>
        <v>0</v>
      </c>
      <c r="G300" s="83">
        <f t="shared" si="1469"/>
        <v>0</v>
      </c>
      <c r="H300" s="83">
        <f t="shared" si="1469"/>
        <v>0</v>
      </c>
      <c r="I300" s="83">
        <f t="shared" si="1469"/>
        <v>0</v>
      </c>
      <c r="J300" s="83">
        <f t="shared" si="1469"/>
        <v>0</v>
      </c>
      <c r="K300" s="83">
        <f t="shared" si="1469"/>
        <v>0</v>
      </c>
      <c r="L300" s="83">
        <f t="shared" si="1469"/>
        <v>0</v>
      </c>
      <c r="M300" s="83">
        <f t="shared" si="1469"/>
        <v>0</v>
      </c>
      <c r="N300" s="83">
        <f t="shared" si="1469"/>
        <v>0</v>
      </c>
      <c r="O300" s="83">
        <f t="shared" si="1469"/>
        <v>0</v>
      </c>
      <c r="P300" s="83">
        <f t="shared" si="1469"/>
        <v>0</v>
      </c>
      <c r="Q300" s="83">
        <f t="shared" si="1469"/>
        <v>7030</v>
      </c>
      <c r="R300" s="83">
        <f t="shared" si="1469"/>
        <v>10545</v>
      </c>
      <c r="S300" s="83">
        <f t="shared" si="1469"/>
        <v>8695</v>
      </c>
      <c r="T300" s="83">
        <f t="shared" si="1469"/>
        <v>7030</v>
      </c>
      <c r="U300" s="83">
        <f t="shared" si="1469"/>
        <v>0</v>
      </c>
      <c r="V300" s="83">
        <f t="shared" si="1469"/>
        <v>0</v>
      </c>
      <c r="W300" s="83">
        <f t="shared" si="1469"/>
        <v>0</v>
      </c>
    </row>
    <row r="301" spans="3:23" ht="25.5" x14ac:dyDescent="0.25">
      <c r="C301" s="78" t="str">
        <f t="shared" si="1459"/>
        <v>CASETA G3</v>
      </c>
      <c r="D301" s="86" t="s">
        <v>75</v>
      </c>
      <c r="E301" s="83">
        <f t="shared" ref="E301:W301" si="1470">VLOOKUP(E$168,CST3G1,15,0)</f>
        <v>10</v>
      </c>
      <c r="F301" s="83">
        <f t="shared" si="1470"/>
        <v>10</v>
      </c>
      <c r="G301" s="83">
        <f t="shared" si="1470"/>
        <v>17</v>
      </c>
      <c r="H301" s="83">
        <f t="shared" si="1470"/>
        <v>23</v>
      </c>
      <c r="I301" s="83">
        <f t="shared" si="1470"/>
        <v>29</v>
      </c>
      <c r="J301" s="83">
        <f t="shared" si="1470"/>
        <v>34</v>
      </c>
      <c r="K301" s="83">
        <f t="shared" si="1470"/>
        <v>38</v>
      </c>
      <c r="L301" s="83">
        <f t="shared" si="1470"/>
        <v>42</v>
      </c>
      <c r="M301" s="83">
        <f t="shared" si="1470"/>
        <v>46</v>
      </c>
      <c r="N301" s="83">
        <f t="shared" si="1470"/>
        <v>49</v>
      </c>
      <c r="O301" s="83">
        <f t="shared" si="1470"/>
        <v>52</v>
      </c>
      <c r="P301" s="83">
        <f t="shared" si="1470"/>
        <v>55</v>
      </c>
      <c r="Q301" s="83">
        <f t="shared" si="1470"/>
        <v>58</v>
      </c>
      <c r="R301" s="83">
        <f t="shared" si="1470"/>
        <v>61</v>
      </c>
      <c r="S301" s="83">
        <f t="shared" si="1470"/>
        <v>64</v>
      </c>
      <c r="T301" s="83">
        <f t="shared" si="1470"/>
        <v>67</v>
      </c>
      <c r="U301" s="83">
        <f t="shared" si="1470"/>
        <v>71</v>
      </c>
      <c r="V301" s="83">
        <f t="shared" si="1470"/>
        <v>75</v>
      </c>
      <c r="W301" s="83">
        <f t="shared" si="1470"/>
        <v>79</v>
      </c>
    </row>
    <row r="302" spans="3:23" ht="25.5" x14ac:dyDescent="0.25">
      <c r="C302" s="78" t="str">
        <f t="shared" si="1459"/>
        <v>CASETA G3</v>
      </c>
      <c r="D302" s="86" t="s">
        <v>62</v>
      </c>
      <c r="E302" s="83">
        <f t="shared" ref="E302:W302" si="1471">VLOOKUP(E$168,CST3G1,16,0)</f>
        <v>0</v>
      </c>
      <c r="F302" s="83">
        <f t="shared" si="1471"/>
        <v>0</v>
      </c>
      <c r="G302" s="83">
        <f t="shared" si="1471"/>
        <v>0</v>
      </c>
      <c r="H302" s="83">
        <f t="shared" si="1471"/>
        <v>0</v>
      </c>
      <c r="I302" s="83">
        <f t="shared" si="1471"/>
        <v>0</v>
      </c>
      <c r="J302" s="83">
        <f t="shared" si="1471"/>
        <v>0</v>
      </c>
      <c r="K302" s="83">
        <f t="shared" si="1471"/>
        <v>0</v>
      </c>
      <c r="L302" s="83">
        <f t="shared" si="1471"/>
        <v>0</v>
      </c>
      <c r="M302" s="83">
        <f t="shared" si="1471"/>
        <v>0</v>
      </c>
      <c r="N302" s="83">
        <f t="shared" si="1471"/>
        <v>0</v>
      </c>
      <c r="O302" s="83">
        <f t="shared" si="1471"/>
        <v>0</v>
      </c>
      <c r="P302" s="83">
        <f t="shared" si="1471"/>
        <v>0</v>
      </c>
      <c r="Q302" s="83">
        <f t="shared" si="1471"/>
        <v>69.099058365605771</v>
      </c>
      <c r="R302" s="83">
        <f t="shared" si="1471"/>
        <v>103.76281660205065</v>
      </c>
      <c r="S302" s="83">
        <f t="shared" si="1471"/>
        <v>85.712314183194664</v>
      </c>
      <c r="T302" s="83">
        <f t="shared" si="1471"/>
        <v>69.366329208848896</v>
      </c>
      <c r="U302" s="83">
        <f t="shared" si="1471"/>
        <v>0</v>
      </c>
      <c r="V302" s="83">
        <f t="shared" si="1471"/>
        <v>0</v>
      </c>
      <c r="W302" s="83">
        <f t="shared" si="1471"/>
        <v>0</v>
      </c>
    </row>
    <row r="303" spans="3:23" ht="25.5" x14ac:dyDescent="0.25">
      <c r="C303" s="78" t="str">
        <f t="shared" si="1459"/>
        <v>CASETA G3</v>
      </c>
      <c r="D303" s="24" t="s">
        <v>50</v>
      </c>
      <c r="E303" s="83">
        <f t="shared" ref="E303:W303" si="1472">VLOOKUP(E$168,CST3G1,17,0)</f>
        <v>0</v>
      </c>
      <c r="F303" s="83">
        <f t="shared" si="1472"/>
        <v>0</v>
      </c>
      <c r="G303" s="83">
        <f t="shared" si="1472"/>
        <v>0</v>
      </c>
      <c r="H303" s="83">
        <f t="shared" si="1472"/>
        <v>0</v>
      </c>
      <c r="I303" s="83">
        <f t="shared" si="1472"/>
        <v>0</v>
      </c>
      <c r="J303" s="83">
        <f t="shared" si="1472"/>
        <v>0</v>
      </c>
      <c r="K303" s="83">
        <f t="shared" si="1472"/>
        <v>0</v>
      </c>
      <c r="L303" s="83">
        <f t="shared" si="1472"/>
        <v>0</v>
      </c>
      <c r="M303" s="83">
        <f t="shared" si="1472"/>
        <v>0</v>
      </c>
      <c r="N303" s="83">
        <f t="shared" si="1472"/>
        <v>0</v>
      </c>
      <c r="O303" s="83">
        <f t="shared" si="1472"/>
        <v>0</v>
      </c>
      <c r="P303" s="83">
        <f t="shared" si="1472"/>
        <v>0</v>
      </c>
      <c r="Q303" s="83">
        <f t="shared" si="1472"/>
        <v>483.97734949430406</v>
      </c>
      <c r="R303" s="83">
        <f t="shared" si="1472"/>
        <v>1211.0253570882844</v>
      </c>
      <c r="S303" s="83">
        <f t="shared" si="1472"/>
        <v>1811.327126499225</v>
      </c>
      <c r="T303" s="83">
        <f t="shared" si="1472"/>
        <v>2297.0468525697056</v>
      </c>
      <c r="U303" s="83">
        <f t="shared" si="1472"/>
        <v>2297.0468525697056</v>
      </c>
      <c r="V303" s="83">
        <f t="shared" si="1472"/>
        <v>2297.0468525697056</v>
      </c>
      <c r="W303" s="83">
        <f t="shared" si="1472"/>
        <v>2297.0468525697056</v>
      </c>
    </row>
    <row r="304" spans="3:23" x14ac:dyDescent="0.25">
      <c r="C304" s="78" t="str">
        <f t="shared" si="1459"/>
        <v>CASETA G3</v>
      </c>
      <c r="D304" s="86" t="s">
        <v>63</v>
      </c>
      <c r="E304" s="83">
        <f t="shared" ref="E304:W304" si="1473">VLOOKUP(E$168,CST3G1,18,0)</f>
        <v>40</v>
      </c>
      <c r="F304" s="83">
        <f t="shared" si="1473"/>
        <v>70</v>
      </c>
      <c r="G304" s="83">
        <f t="shared" si="1473"/>
        <v>120</v>
      </c>
      <c r="H304" s="83">
        <f t="shared" si="1473"/>
        <v>185</v>
      </c>
      <c r="I304" s="83">
        <f t="shared" si="1473"/>
        <v>255</v>
      </c>
      <c r="J304" s="83">
        <f t="shared" si="1473"/>
        <v>334</v>
      </c>
      <c r="K304" s="83">
        <f t="shared" si="1473"/>
        <v>425</v>
      </c>
      <c r="L304" s="83">
        <f t="shared" si="1473"/>
        <v>524</v>
      </c>
      <c r="M304" s="83">
        <f t="shared" si="1473"/>
        <v>618</v>
      </c>
      <c r="N304" s="83">
        <f t="shared" si="1473"/>
        <v>712</v>
      </c>
      <c r="O304" s="83">
        <f t="shared" si="1473"/>
        <v>802</v>
      </c>
      <c r="P304" s="83">
        <f t="shared" si="1473"/>
        <v>880</v>
      </c>
      <c r="Q304" s="83">
        <f t="shared" si="1473"/>
        <v>950</v>
      </c>
      <c r="R304" s="83">
        <f t="shared" si="1473"/>
        <v>1010</v>
      </c>
      <c r="S304" s="83">
        <f t="shared" si="1473"/>
        <v>1065</v>
      </c>
      <c r="T304" s="83">
        <f t="shared" si="1473"/>
        <v>1115</v>
      </c>
      <c r="U304" s="83">
        <f t="shared" si="1473"/>
        <v>1160</v>
      </c>
      <c r="V304" s="83">
        <f t="shared" si="1473"/>
        <v>1207</v>
      </c>
      <c r="W304" s="83">
        <f t="shared" si="1473"/>
        <v>1257</v>
      </c>
    </row>
    <row r="305" spans="3:23" x14ac:dyDescent="0.25">
      <c r="C305" s="78" t="str">
        <f t="shared" si="1459"/>
        <v>CASETA G3</v>
      </c>
      <c r="D305" s="86" t="s">
        <v>64</v>
      </c>
      <c r="E305" s="83">
        <f t="shared" ref="E305:W305" si="1474">VLOOKUP(E$168,CST3G1,19,0)</f>
        <v>0</v>
      </c>
      <c r="F305" s="83">
        <f t="shared" si="1474"/>
        <v>0</v>
      </c>
      <c r="G305" s="83">
        <f t="shared" si="1474"/>
        <v>0</v>
      </c>
      <c r="H305" s="83">
        <f t="shared" si="1474"/>
        <v>0</v>
      </c>
      <c r="I305" s="83">
        <f t="shared" si="1474"/>
        <v>0</v>
      </c>
      <c r="J305" s="83">
        <f t="shared" si="1474"/>
        <v>0</v>
      </c>
      <c r="K305" s="83">
        <f t="shared" si="1474"/>
        <v>0</v>
      </c>
      <c r="L305" s="83">
        <f t="shared" si="1474"/>
        <v>0</v>
      </c>
      <c r="M305" s="83">
        <f t="shared" si="1474"/>
        <v>0</v>
      </c>
      <c r="N305" s="83">
        <f t="shared" si="1474"/>
        <v>0</v>
      </c>
      <c r="O305" s="83">
        <f t="shared" si="1474"/>
        <v>0</v>
      </c>
      <c r="P305" s="83">
        <f t="shared" si="1474"/>
        <v>0</v>
      </c>
      <c r="Q305" s="83">
        <f t="shared" si="1474"/>
        <v>851</v>
      </c>
      <c r="R305" s="83">
        <f t="shared" si="1474"/>
        <v>946</v>
      </c>
      <c r="S305" s="83">
        <f t="shared" si="1474"/>
        <v>1000</v>
      </c>
      <c r="T305" s="83">
        <f t="shared" si="1474"/>
        <v>1100</v>
      </c>
      <c r="U305" s="83">
        <f t="shared" si="1474"/>
        <v>0</v>
      </c>
      <c r="V305" s="83">
        <f t="shared" si="1474"/>
        <v>0</v>
      </c>
      <c r="W305" s="83">
        <f t="shared" si="1474"/>
        <v>0</v>
      </c>
    </row>
    <row r="306" spans="3:23" x14ac:dyDescent="0.25">
      <c r="C306" s="78" t="str">
        <f t="shared" si="1459"/>
        <v>CASETA G3</v>
      </c>
      <c r="D306" s="23" t="s">
        <v>15</v>
      </c>
      <c r="E306" s="83">
        <f>E304-E305</f>
        <v>40</v>
      </c>
      <c r="F306" s="83">
        <f t="shared" ref="F306:W306" si="1475">F304-F305</f>
        <v>70</v>
      </c>
      <c r="G306" s="83">
        <f t="shared" si="1475"/>
        <v>120</v>
      </c>
      <c r="H306" s="83">
        <f t="shared" si="1475"/>
        <v>185</v>
      </c>
      <c r="I306" s="83">
        <f t="shared" si="1475"/>
        <v>255</v>
      </c>
      <c r="J306" s="83">
        <f t="shared" si="1475"/>
        <v>334</v>
      </c>
      <c r="K306" s="83">
        <f t="shared" si="1475"/>
        <v>425</v>
      </c>
      <c r="L306" s="83">
        <f t="shared" si="1475"/>
        <v>524</v>
      </c>
      <c r="M306" s="83">
        <f t="shared" si="1475"/>
        <v>618</v>
      </c>
      <c r="N306" s="83">
        <f t="shared" si="1475"/>
        <v>712</v>
      </c>
      <c r="O306" s="83">
        <f t="shared" si="1475"/>
        <v>802</v>
      </c>
      <c r="P306" s="83">
        <f t="shared" si="1475"/>
        <v>880</v>
      </c>
      <c r="Q306" s="83">
        <f t="shared" si="1475"/>
        <v>99</v>
      </c>
      <c r="R306" s="83">
        <f t="shared" si="1475"/>
        <v>64</v>
      </c>
      <c r="S306" s="83">
        <f t="shared" si="1475"/>
        <v>65</v>
      </c>
      <c r="T306" s="83">
        <f t="shared" si="1475"/>
        <v>15</v>
      </c>
      <c r="U306" s="83">
        <f t="shared" si="1475"/>
        <v>1160</v>
      </c>
      <c r="V306" s="83">
        <f t="shared" si="1475"/>
        <v>1207</v>
      </c>
      <c r="W306" s="83">
        <f t="shared" si="1475"/>
        <v>1257</v>
      </c>
    </row>
    <row r="307" spans="3:23" ht="25.5" x14ac:dyDescent="0.25">
      <c r="C307" s="78" t="str">
        <f t="shared" si="1459"/>
        <v>CASETA G3</v>
      </c>
      <c r="D307" s="86" t="s">
        <v>65</v>
      </c>
      <c r="E307" s="83">
        <f t="shared" ref="E307:W307" si="1476">VLOOKUP(E$168,CST3G1,21,0)</f>
        <v>77</v>
      </c>
      <c r="F307" s="83">
        <f t="shared" si="1476"/>
        <v>77</v>
      </c>
      <c r="G307" s="83">
        <f t="shared" si="1476"/>
        <v>77</v>
      </c>
      <c r="H307" s="83">
        <f t="shared" si="1476"/>
        <v>77</v>
      </c>
      <c r="I307" s="83">
        <f t="shared" si="1476"/>
        <v>79</v>
      </c>
      <c r="J307" s="83">
        <f t="shared" si="1476"/>
        <v>79</v>
      </c>
      <c r="K307" s="83">
        <f t="shared" si="1476"/>
        <v>79</v>
      </c>
      <c r="L307" s="83">
        <f t="shared" si="1476"/>
        <v>79</v>
      </c>
      <c r="M307" s="83">
        <f t="shared" si="1476"/>
        <v>79</v>
      </c>
      <c r="N307" s="83">
        <f t="shared" si="1476"/>
        <v>79</v>
      </c>
      <c r="O307" s="83">
        <f t="shared" si="1476"/>
        <v>80</v>
      </c>
      <c r="P307" s="83">
        <f t="shared" si="1476"/>
        <v>80</v>
      </c>
      <c r="Q307" s="83">
        <f t="shared" si="1476"/>
        <v>82</v>
      </c>
      <c r="R307" s="83">
        <f t="shared" si="1476"/>
        <v>82</v>
      </c>
      <c r="S307" s="83">
        <f t="shared" si="1476"/>
        <v>84</v>
      </c>
      <c r="T307" s="83">
        <f t="shared" si="1476"/>
        <v>86</v>
      </c>
      <c r="U307" s="83">
        <f t="shared" si="1476"/>
        <v>86</v>
      </c>
      <c r="V307" s="83">
        <f t="shared" si="1476"/>
        <v>86</v>
      </c>
      <c r="W307" s="83">
        <f t="shared" si="1476"/>
        <v>86</v>
      </c>
    </row>
    <row r="308" spans="3:23" ht="25.5" x14ac:dyDescent="0.25">
      <c r="C308" s="78" t="str">
        <f t="shared" si="1459"/>
        <v>CASETA G3</v>
      </c>
      <c r="D308" s="86" t="s">
        <v>66</v>
      </c>
      <c r="E308" s="83">
        <f t="shared" ref="E308:W308" si="1477">VLOOKUP(E$168,CST3G1,22,0)</f>
        <v>0</v>
      </c>
      <c r="F308" s="83">
        <f t="shared" si="1477"/>
        <v>0</v>
      </c>
      <c r="G308" s="83">
        <f t="shared" si="1477"/>
        <v>0</v>
      </c>
      <c r="H308" s="83">
        <f t="shared" si="1477"/>
        <v>0</v>
      </c>
      <c r="I308" s="83">
        <f t="shared" si="1477"/>
        <v>0</v>
      </c>
      <c r="J308" s="83">
        <f t="shared" si="1477"/>
        <v>0</v>
      </c>
      <c r="K308" s="83">
        <f t="shared" si="1477"/>
        <v>0</v>
      </c>
      <c r="L308" s="83">
        <f t="shared" si="1477"/>
        <v>0</v>
      </c>
      <c r="M308" s="83">
        <f t="shared" si="1477"/>
        <v>0</v>
      </c>
      <c r="N308" s="83">
        <f t="shared" si="1477"/>
        <v>0</v>
      </c>
      <c r="O308" s="83">
        <f t="shared" si="1477"/>
        <v>0</v>
      </c>
      <c r="P308" s="83">
        <f t="shared" si="1477"/>
        <v>0</v>
      </c>
      <c r="Q308" s="83">
        <f t="shared" si="1477"/>
        <v>65</v>
      </c>
      <c r="R308" s="83">
        <f t="shared" si="1477"/>
        <v>75</v>
      </c>
      <c r="S308" s="83">
        <f t="shared" si="1477"/>
        <v>72</v>
      </c>
      <c r="T308" s="83">
        <f t="shared" si="1477"/>
        <v>78</v>
      </c>
      <c r="U308" s="83">
        <f t="shared" si="1477"/>
        <v>0</v>
      </c>
      <c r="V308" s="83">
        <f t="shared" si="1477"/>
        <v>0</v>
      </c>
      <c r="W308" s="83">
        <f t="shared" si="1477"/>
        <v>0</v>
      </c>
    </row>
    <row r="309" spans="3:23" x14ac:dyDescent="0.25">
      <c r="C309" s="78" t="str">
        <f>C308</f>
        <v>CASETA G3</v>
      </c>
      <c r="D309" s="23" t="s">
        <v>15</v>
      </c>
      <c r="E309" s="85">
        <f>E307-E308</f>
        <v>77</v>
      </c>
      <c r="F309" s="85">
        <f t="shared" ref="F309:W309" si="1478">F307-F308</f>
        <v>77</v>
      </c>
      <c r="G309" s="85">
        <f t="shared" si="1478"/>
        <v>77</v>
      </c>
      <c r="H309" s="85">
        <f t="shared" si="1478"/>
        <v>77</v>
      </c>
      <c r="I309" s="85">
        <f t="shared" si="1478"/>
        <v>79</v>
      </c>
      <c r="J309" s="85">
        <f t="shared" si="1478"/>
        <v>79</v>
      </c>
      <c r="K309" s="85">
        <f t="shared" si="1478"/>
        <v>79</v>
      </c>
      <c r="L309" s="85">
        <f t="shared" si="1478"/>
        <v>79</v>
      </c>
      <c r="M309" s="85">
        <f t="shared" si="1478"/>
        <v>79</v>
      </c>
      <c r="N309" s="85">
        <f t="shared" si="1478"/>
        <v>79</v>
      </c>
      <c r="O309" s="85">
        <f t="shared" si="1478"/>
        <v>80</v>
      </c>
      <c r="P309" s="85">
        <f t="shared" si="1478"/>
        <v>80</v>
      </c>
      <c r="Q309" s="85">
        <f t="shared" si="1478"/>
        <v>17</v>
      </c>
      <c r="R309" s="85">
        <f t="shared" si="1478"/>
        <v>7</v>
      </c>
      <c r="S309" s="85">
        <f t="shared" si="1478"/>
        <v>12</v>
      </c>
      <c r="T309" s="85">
        <f t="shared" si="1478"/>
        <v>8</v>
      </c>
      <c r="U309" s="85">
        <f t="shared" si="1478"/>
        <v>86</v>
      </c>
      <c r="V309" s="85">
        <f t="shared" si="1478"/>
        <v>86</v>
      </c>
      <c r="W309" s="85">
        <f t="shared" si="1478"/>
        <v>86</v>
      </c>
    </row>
    <row r="310" spans="3:23" x14ac:dyDescent="0.25">
      <c r="C310" s="78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</row>
    <row r="311" spans="3:23" x14ac:dyDescent="0.25">
      <c r="C311" s="78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</row>
    <row r="312" spans="3:23" ht="25.5" x14ac:dyDescent="0.25">
      <c r="C312" s="77" t="s">
        <v>184</v>
      </c>
      <c r="D312" s="24" t="s">
        <v>67</v>
      </c>
      <c r="E312" s="83">
        <f t="shared" ref="E312:W312" si="1479">VLOOKUP(E$168,CST4G1,3,0)</f>
        <v>0</v>
      </c>
      <c r="F312" s="83">
        <f t="shared" si="1479"/>
        <v>0</v>
      </c>
      <c r="G312" s="83">
        <f t="shared" si="1479"/>
        <v>0</v>
      </c>
      <c r="H312" s="83">
        <f t="shared" si="1479"/>
        <v>0</v>
      </c>
      <c r="I312" s="83">
        <f t="shared" si="1479"/>
        <v>0</v>
      </c>
      <c r="J312" s="83">
        <f t="shared" si="1479"/>
        <v>0</v>
      </c>
      <c r="K312" s="83">
        <f t="shared" si="1479"/>
        <v>0</v>
      </c>
      <c r="L312" s="83">
        <f t="shared" si="1479"/>
        <v>0</v>
      </c>
      <c r="M312" s="83">
        <f t="shared" si="1479"/>
        <v>0</v>
      </c>
      <c r="N312" s="83">
        <f t="shared" si="1479"/>
        <v>0</v>
      </c>
      <c r="O312" s="83">
        <f t="shared" si="1479"/>
        <v>0</v>
      </c>
      <c r="P312" s="83">
        <f t="shared" si="1479"/>
        <v>14238</v>
      </c>
      <c r="Q312" s="83">
        <f t="shared" si="1479"/>
        <v>14234</v>
      </c>
      <c r="R312" s="83">
        <f t="shared" si="1479"/>
        <v>14224</v>
      </c>
      <c r="S312" s="83">
        <f t="shared" si="1479"/>
        <v>14191</v>
      </c>
      <c r="T312" s="83">
        <f t="shared" si="1479"/>
        <v>14177</v>
      </c>
      <c r="U312" s="83">
        <f t="shared" si="1479"/>
        <v>14167</v>
      </c>
      <c r="V312" s="83">
        <f t="shared" si="1479"/>
        <v>14167</v>
      </c>
      <c r="W312" s="83">
        <f t="shared" si="1479"/>
        <v>14167</v>
      </c>
    </row>
    <row r="313" spans="3:23" x14ac:dyDescent="0.25">
      <c r="C313" s="78" t="str">
        <f>C312</f>
        <v>CASETA G4</v>
      </c>
      <c r="D313" s="24" t="s">
        <v>34</v>
      </c>
      <c r="E313" s="83">
        <f t="shared" ref="E313:W313" si="1480">VLOOKUP(E$168,CST4G1,4,0)</f>
        <v>0</v>
      </c>
      <c r="F313" s="83">
        <f t="shared" si="1480"/>
        <v>0</v>
      </c>
      <c r="G313" s="83">
        <f t="shared" si="1480"/>
        <v>0</v>
      </c>
      <c r="H313" s="83">
        <f t="shared" si="1480"/>
        <v>0</v>
      </c>
      <c r="I313" s="83">
        <f t="shared" si="1480"/>
        <v>0</v>
      </c>
      <c r="J313" s="83">
        <f t="shared" si="1480"/>
        <v>0</v>
      </c>
      <c r="K313" s="83">
        <f t="shared" si="1480"/>
        <v>0</v>
      </c>
      <c r="L313" s="83">
        <f t="shared" si="1480"/>
        <v>0</v>
      </c>
      <c r="M313" s="83">
        <f t="shared" si="1480"/>
        <v>0</v>
      </c>
      <c r="N313" s="83">
        <f t="shared" si="1480"/>
        <v>0</v>
      </c>
      <c r="O313" s="83">
        <f t="shared" si="1480"/>
        <v>0</v>
      </c>
      <c r="P313" s="83">
        <f t="shared" si="1480"/>
        <v>14235</v>
      </c>
      <c r="Q313" s="83">
        <f t="shared" si="1480"/>
        <v>14224</v>
      </c>
      <c r="R313" s="83">
        <f t="shared" si="1480"/>
        <v>14191</v>
      </c>
      <c r="S313" s="83">
        <f t="shared" si="1480"/>
        <v>14177</v>
      </c>
      <c r="T313" s="83">
        <f t="shared" si="1480"/>
        <v>14167</v>
      </c>
      <c r="U313" s="83">
        <f t="shared" si="1480"/>
        <v>14167</v>
      </c>
      <c r="V313" s="83">
        <f t="shared" si="1480"/>
        <v>14167</v>
      </c>
      <c r="W313" s="83">
        <f t="shared" si="1480"/>
        <v>14167</v>
      </c>
    </row>
    <row r="314" spans="3:23" x14ac:dyDescent="0.25">
      <c r="C314" s="78" t="str">
        <f t="shared" ref="C314:C331" si="1481">C313</f>
        <v>CASETA G4</v>
      </c>
      <c r="D314" s="23" t="s">
        <v>27</v>
      </c>
      <c r="E314" s="83">
        <f t="shared" ref="E314:W314" si="1482">VLOOKUP(E$168,CST4G1,5,0)</f>
        <v>0</v>
      </c>
      <c r="F314" s="83">
        <f t="shared" si="1482"/>
        <v>0</v>
      </c>
      <c r="G314" s="83">
        <f t="shared" si="1482"/>
        <v>0</v>
      </c>
      <c r="H314" s="83">
        <f t="shared" si="1482"/>
        <v>0</v>
      </c>
      <c r="I314" s="83">
        <f t="shared" si="1482"/>
        <v>0</v>
      </c>
      <c r="J314" s="83">
        <f t="shared" si="1482"/>
        <v>0</v>
      </c>
      <c r="K314" s="83">
        <f t="shared" si="1482"/>
        <v>0</v>
      </c>
      <c r="L314" s="83">
        <f t="shared" si="1482"/>
        <v>0</v>
      </c>
      <c r="M314" s="83">
        <f t="shared" si="1482"/>
        <v>0</v>
      </c>
      <c r="N314" s="83">
        <f t="shared" si="1482"/>
        <v>0</v>
      </c>
      <c r="O314" s="83">
        <f t="shared" si="1482"/>
        <v>0</v>
      </c>
      <c r="P314" s="83">
        <f t="shared" si="1482"/>
        <v>0</v>
      </c>
      <c r="Q314" s="83">
        <f t="shared" si="1482"/>
        <v>0</v>
      </c>
      <c r="R314" s="83">
        <f t="shared" si="1482"/>
        <v>0</v>
      </c>
      <c r="S314" s="83">
        <f t="shared" si="1482"/>
        <v>0</v>
      </c>
      <c r="T314" s="83">
        <f t="shared" si="1482"/>
        <v>0</v>
      </c>
      <c r="U314" s="83">
        <f t="shared" si="1482"/>
        <v>0</v>
      </c>
      <c r="V314" s="83">
        <f t="shared" si="1482"/>
        <v>0</v>
      </c>
      <c r="W314" s="83">
        <f t="shared" si="1482"/>
        <v>0</v>
      </c>
    </row>
    <row r="315" spans="3:23" x14ac:dyDescent="0.25">
      <c r="C315" s="78" t="str">
        <f t="shared" si="1481"/>
        <v>CASETA G4</v>
      </c>
      <c r="D315" s="23" t="s">
        <v>16</v>
      </c>
      <c r="E315" s="83">
        <f t="shared" ref="E315:W315" si="1483">VLOOKUP(E$168,CST4G1,6,0)</f>
        <v>0</v>
      </c>
      <c r="F315" s="83">
        <f t="shared" si="1483"/>
        <v>0</v>
      </c>
      <c r="G315" s="83">
        <f t="shared" si="1483"/>
        <v>0</v>
      </c>
      <c r="H315" s="83">
        <f t="shared" si="1483"/>
        <v>0</v>
      </c>
      <c r="I315" s="83">
        <f t="shared" si="1483"/>
        <v>0</v>
      </c>
      <c r="J315" s="83">
        <f t="shared" si="1483"/>
        <v>0</v>
      </c>
      <c r="K315" s="83">
        <f t="shared" si="1483"/>
        <v>0</v>
      </c>
      <c r="L315" s="83">
        <f t="shared" si="1483"/>
        <v>0</v>
      </c>
      <c r="M315" s="83">
        <f t="shared" si="1483"/>
        <v>0</v>
      </c>
      <c r="N315" s="83">
        <f t="shared" si="1483"/>
        <v>0</v>
      </c>
      <c r="O315" s="83">
        <f t="shared" si="1483"/>
        <v>0</v>
      </c>
      <c r="P315" s="83">
        <f t="shared" si="1483"/>
        <v>3</v>
      </c>
      <c r="Q315" s="83">
        <f t="shared" si="1483"/>
        <v>11</v>
      </c>
      <c r="R315" s="83">
        <f t="shared" si="1483"/>
        <v>33</v>
      </c>
      <c r="S315" s="83">
        <f t="shared" si="1483"/>
        <v>14</v>
      </c>
      <c r="T315" s="83">
        <f t="shared" si="1483"/>
        <v>10</v>
      </c>
      <c r="U315" s="83">
        <f t="shared" si="1483"/>
        <v>0</v>
      </c>
      <c r="V315" s="83">
        <f t="shared" si="1483"/>
        <v>0</v>
      </c>
      <c r="W315" s="83">
        <f t="shared" si="1483"/>
        <v>0</v>
      </c>
    </row>
    <row r="316" spans="3:23" x14ac:dyDescent="0.25">
      <c r="C316" s="78" t="str">
        <f t="shared" si="1481"/>
        <v>CASETA G4</v>
      </c>
      <c r="D316" s="23" t="s">
        <v>17</v>
      </c>
      <c r="E316" s="83">
        <f t="shared" ref="E316:W316" si="1484">VLOOKUP(E$168,CST4G1,7,0)</f>
        <v>0</v>
      </c>
      <c r="F316" s="83">
        <f t="shared" si="1484"/>
        <v>0</v>
      </c>
      <c r="G316" s="83">
        <f t="shared" si="1484"/>
        <v>0</v>
      </c>
      <c r="H316" s="83">
        <f t="shared" si="1484"/>
        <v>0</v>
      </c>
      <c r="I316" s="83">
        <f t="shared" si="1484"/>
        <v>0</v>
      </c>
      <c r="J316" s="83">
        <f t="shared" si="1484"/>
        <v>0</v>
      </c>
      <c r="K316" s="83">
        <f t="shared" si="1484"/>
        <v>0</v>
      </c>
      <c r="L316" s="83">
        <f t="shared" si="1484"/>
        <v>0</v>
      </c>
      <c r="M316" s="83">
        <f t="shared" si="1484"/>
        <v>0</v>
      </c>
      <c r="N316" s="83">
        <f t="shared" si="1484"/>
        <v>0</v>
      </c>
      <c r="O316" s="83">
        <f t="shared" si="1484"/>
        <v>0</v>
      </c>
      <c r="P316" s="83">
        <f t="shared" si="1484"/>
        <v>0</v>
      </c>
      <c r="Q316" s="83">
        <f t="shared" si="1484"/>
        <v>0</v>
      </c>
      <c r="R316" s="83">
        <f t="shared" si="1484"/>
        <v>0</v>
      </c>
      <c r="S316" s="83">
        <f t="shared" si="1484"/>
        <v>0</v>
      </c>
      <c r="T316" s="83">
        <f t="shared" si="1484"/>
        <v>0</v>
      </c>
      <c r="U316" s="83">
        <f t="shared" si="1484"/>
        <v>0</v>
      </c>
      <c r="V316" s="83">
        <f t="shared" si="1484"/>
        <v>0</v>
      </c>
      <c r="W316" s="83">
        <f t="shared" si="1484"/>
        <v>0</v>
      </c>
    </row>
    <row r="317" spans="3:23" x14ac:dyDescent="0.25">
      <c r="C317" s="78" t="str">
        <f t="shared" si="1481"/>
        <v>CASETA G4</v>
      </c>
      <c r="D317" s="23" t="s">
        <v>18</v>
      </c>
      <c r="E317" s="85">
        <f>SUM(E314:E316)</f>
        <v>0</v>
      </c>
      <c r="F317" s="85">
        <f>SUM(F314:F316)</f>
        <v>0</v>
      </c>
      <c r="G317" s="85">
        <f t="shared" ref="G317:W317" si="1485">SUM(G314:G316)</f>
        <v>0</v>
      </c>
      <c r="H317" s="85">
        <f t="shared" si="1485"/>
        <v>0</v>
      </c>
      <c r="I317" s="85">
        <f t="shared" si="1485"/>
        <v>0</v>
      </c>
      <c r="J317" s="85">
        <f t="shared" si="1485"/>
        <v>0</v>
      </c>
      <c r="K317" s="85">
        <f t="shared" si="1485"/>
        <v>0</v>
      </c>
      <c r="L317" s="85">
        <f t="shared" si="1485"/>
        <v>0</v>
      </c>
      <c r="M317" s="85">
        <f t="shared" si="1485"/>
        <v>0</v>
      </c>
      <c r="N317" s="85">
        <f t="shared" si="1485"/>
        <v>0</v>
      </c>
      <c r="O317" s="85">
        <f t="shared" si="1485"/>
        <v>0</v>
      </c>
      <c r="P317" s="85">
        <f>SUM(P314:P316)</f>
        <v>3</v>
      </c>
      <c r="Q317" s="85">
        <f t="shared" si="1485"/>
        <v>11</v>
      </c>
      <c r="R317" s="85">
        <f t="shared" si="1485"/>
        <v>33</v>
      </c>
      <c r="S317" s="85">
        <f t="shared" si="1485"/>
        <v>14</v>
      </c>
      <c r="T317" s="85">
        <f t="shared" si="1485"/>
        <v>10</v>
      </c>
      <c r="U317" s="85">
        <f t="shared" si="1485"/>
        <v>0</v>
      </c>
      <c r="V317" s="85">
        <f t="shared" si="1485"/>
        <v>0</v>
      </c>
      <c r="W317" s="85">
        <f t="shared" si="1485"/>
        <v>0</v>
      </c>
    </row>
    <row r="318" spans="3:23" x14ac:dyDescent="0.25">
      <c r="C318" s="78" t="str">
        <f t="shared" si="1481"/>
        <v>CASETA G4</v>
      </c>
      <c r="D318" s="23" t="s">
        <v>48</v>
      </c>
      <c r="E318" s="83">
        <f t="shared" ref="E318:W318" si="1486">VLOOKUP(E$168,CST4G1,9,0)</f>
        <v>0</v>
      </c>
      <c r="F318" s="83">
        <f t="shared" si="1486"/>
        <v>0</v>
      </c>
      <c r="G318" s="83">
        <f t="shared" si="1486"/>
        <v>0</v>
      </c>
      <c r="H318" s="83">
        <f t="shared" si="1486"/>
        <v>0</v>
      </c>
      <c r="I318" s="83">
        <f t="shared" si="1486"/>
        <v>0</v>
      </c>
      <c r="J318" s="83">
        <f t="shared" si="1486"/>
        <v>0</v>
      </c>
      <c r="K318" s="83">
        <f t="shared" si="1486"/>
        <v>0</v>
      </c>
      <c r="L318" s="83">
        <f t="shared" si="1486"/>
        <v>0</v>
      </c>
      <c r="M318" s="83">
        <f t="shared" si="1486"/>
        <v>0</v>
      </c>
      <c r="N318" s="83">
        <f t="shared" si="1486"/>
        <v>0</v>
      </c>
      <c r="O318" s="83">
        <f t="shared" si="1486"/>
        <v>0</v>
      </c>
      <c r="P318" s="83">
        <f t="shared" si="1486"/>
        <v>3</v>
      </c>
      <c r="Q318" s="83">
        <f t="shared" si="1486"/>
        <v>14</v>
      </c>
      <c r="R318" s="83">
        <f t="shared" si="1486"/>
        <v>47</v>
      </c>
      <c r="S318" s="83">
        <f t="shared" si="1486"/>
        <v>61</v>
      </c>
      <c r="T318" s="83">
        <f t="shared" si="1486"/>
        <v>71</v>
      </c>
      <c r="U318" s="83">
        <f t="shared" si="1486"/>
        <v>71</v>
      </c>
      <c r="V318" s="83">
        <f t="shared" si="1486"/>
        <v>71</v>
      </c>
      <c r="W318" s="83">
        <f t="shared" si="1486"/>
        <v>71</v>
      </c>
    </row>
    <row r="319" spans="3:23" x14ac:dyDescent="0.25">
      <c r="C319" s="78" t="str">
        <f t="shared" si="1481"/>
        <v>CASETA G4</v>
      </c>
      <c r="D319" s="86" t="s">
        <v>72</v>
      </c>
      <c r="E319" s="83">
        <f t="shared" ref="E319:W319" si="1487">VLOOKUP(E$168,CST4G1,10,0)</f>
        <v>0.7</v>
      </c>
      <c r="F319" s="83">
        <f t="shared" si="1487"/>
        <v>0.7</v>
      </c>
      <c r="G319" s="83">
        <f t="shared" si="1487"/>
        <v>0.7</v>
      </c>
      <c r="H319" s="83">
        <f t="shared" si="1487"/>
        <v>0.5</v>
      </c>
      <c r="I319" s="83">
        <f t="shared" si="1487"/>
        <v>0.3</v>
      </c>
      <c r="J319" s="83">
        <f t="shared" si="1487"/>
        <v>0.18</v>
      </c>
      <c r="K319" s="83">
        <f t="shared" si="1487"/>
        <v>0.18</v>
      </c>
      <c r="L319" s="83">
        <f t="shared" si="1487"/>
        <v>0.16</v>
      </c>
      <c r="M319" s="83">
        <f t="shared" si="1487"/>
        <v>0.16</v>
      </c>
      <c r="N319" s="83">
        <f t="shared" si="1487"/>
        <v>0.16</v>
      </c>
      <c r="O319" s="83">
        <f t="shared" si="1487"/>
        <v>0.16</v>
      </c>
      <c r="P319" s="83">
        <f t="shared" si="1487"/>
        <v>0.16</v>
      </c>
      <c r="Q319" s="83">
        <f t="shared" si="1487"/>
        <v>0.16</v>
      </c>
      <c r="R319" s="83">
        <f t="shared" si="1487"/>
        <v>0.16</v>
      </c>
      <c r="S319" s="83">
        <f t="shared" si="1487"/>
        <v>0.16</v>
      </c>
      <c r="T319" s="83">
        <f t="shared" si="1487"/>
        <v>0.16</v>
      </c>
      <c r="U319" s="83">
        <f t="shared" si="1487"/>
        <v>0.16</v>
      </c>
      <c r="V319" s="83">
        <f t="shared" si="1487"/>
        <v>0.16</v>
      </c>
      <c r="W319" s="83">
        <f t="shared" si="1487"/>
        <v>0.16</v>
      </c>
    </row>
    <row r="320" spans="3:23" x14ac:dyDescent="0.25">
      <c r="C320" s="78" t="str">
        <f t="shared" si="1481"/>
        <v>CASETA G4</v>
      </c>
      <c r="D320" s="86" t="s">
        <v>74</v>
      </c>
      <c r="E320" s="83">
        <f t="shared" ref="E320:W320" si="1488">VLOOKUP(E$168,CST4G1,11,0)</f>
        <v>0</v>
      </c>
      <c r="F320" s="83">
        <f t="shared" si="1488"/>
        <v>0</v>
      </c>
      <c r="G320" s="83">
        <f t="shared" si="1488"/>
        <v>0</v>
      </c>
      <c r="H320" s="83">
        <f t="shared" si="1488"/>
        <v>0</v>
      </c>
      <c r="I320" s="83">
        <f t="shared" si="1488"/>
        <v>0</v>
      </c>
      <c r="J320" s="83">
        <f t="shared" si="1488"/>
        <v>0</v>
      </c>
      <c r="K320" s="83">
        <f t="shared" si="1488"/>
        <v>0</v>
      </c>
      <c r="L320" s="83">
        <f t="shared" si="1488"/>
        <v>0</v>
      </c>
      <c r="M320" s="83">
        <f t="shared" si="1488"/>
        <v>0</v>
      </c>
      <c r="N320" s="83">
        <f t="shared" si="1488"/>
        <v>0</v>
      </c>
      <c r="O320" s="83">
        <f t="shared" si="1488"/>
        <v>0</v>
      </c>
      <c r="P320" s="83">
        <f t="shared" si="1488"/>
        <v>3.0100535789537057E-3</v>
      </c>
      <c r="Q320" s="83">
        <f t="shared" si="1488"/>
        <v>1.1042715729638544E-2</v>
      </c>
      <c r="R320" s="83">
        <f t="shared" si="1488"/>
        <v>3.3174082262555145E-2</v>
      </c>
      <c r="S320" s="83">
        <f t="shared" si="1488"/>
        <v>1.4098833866145929E-2</v>
      </c>
      <c r="T320" s="83">
        <f t="shared" si="1488"/>
        <v>1.0079314544810532E-2</v>
      </c>
      <c r="U320" s="83">
        <f t="shared" si="1488"/>
        <v>0</v>
      </c>
      <c r="V320" s="83">
        <f t="shared" si="1488"/>
        <v>0</v>
      </c>
      <c r="W320" s="83">
        <f t="shared" si="1488"/>
        <v>0</v>
      </c>
    </row>
    <row r="321" spans="3:24" ht="25.5" x14ac:dyDescent="0.25">
      <c r="C321" s="78" t="str">
        <f t="shared" si="1481"/>
        <v>CASETA G4</v>
      </c>
      <c r="D321" s="87" t="s">
        <v>49</v>
      </c>
      <c r="E321" s="83">
        <f t="shared" ref="E321:W321" si="1489">VLOOKUP(E$168,CST4G1,12,0)</f>
        <v>0.7</v>
      </c>
      <c r="F321" s="83">
        <f t="shared" si="1489"/>
        <v>0.7</v>
      </c>
      <c r="G321" s="83">
        <f t="shared" si="1489"/>
        <v>1.4</v>
      </c>
      <c r="H321" s="83">
        <f t="shared" si="1489"/>
        <v>1.9</v>
      </c>
      <c r="I321" s="83">
        <f t="shared" si="1489"/>
        <v>2.1999999999999997</v>
      </c>
      <c r="J321" s="83">
        <f t="shared" si="1489"/>
        <v>2.38</v>
      </c>
      <c r="K321" s="83">
        <f t="shared" si="1489"/>
        <v>2.56</v>
      </c>
      <c r="L321" s="83">
        <f t="shared" si="1489"/>
        <v>2.72</v>
      </c>
      <c r="M321" s="83">
        <f t="shared" si="1489"/>
        <v>2.8800000000000003</v>
      </c>
      <c r="N321" s="83">
        <f t="shared" si="1489"/>
        <v>3.0400000000000005</v>
      </c>
      <c r="O321" s="83">
        <f t="shared" si="1489"/>
        <v>3.2000000000000006</v>
      </c>
      <c r="P321" s="83">
        <f t="shared" si="1489"/>
        <v>3.3600000000000008</v>
      </c>
      <c r="Q321" s="83">
        <f t="shared" si="1489"/>
        <v>3.5200000000000009</v>
      </c>
      <c r="R321" s="83">
        <f t="shared" si="1489"/>
        <v>3.680000000000001</v>
      </c>
      <c r="S321" s="83">
        <f t="shared" si="1489"/>
        <v>3.8400000000000012</v>
      </c>
      <c r="T321" s="83">
        <f t="shared" si="1489"/>
        <v>4.0000000000000009</v>
      </c>
      <c r="U321" s="83">
        <f t="shared" si="1489"/>
        <v>4.160000000000001</v>
      </c>
      <c r="V321" s="83">
        <f t="shared" si="1489"/>
        <v>4.3200000000000012</v>
      </c>
      <c r="W321" s="83">
        <f t="shared" si="1489"/>
        <v>4.4800000000000013</v>
      </c>
    </row>
    <row r="322" spans="3:24" ht="25.5" x14ac:dyDescent="0.25">
      <c r="C322" s="78" t="str">
        <f t="shared" si="1481"/>
        <v>CASETA G4</v>
      </c>
      <c r="D322" s="87" t="s">
        <v>73</v>
      </c>
      <c r="E322" s="83">
        <f t="shared" ref="E322:W322" si="1490">VLOOKUP(E$168,CST4G1,13,0)</f>
        <v>0</v>
      </c>
      <c r="F322" s="83">
        <f t="shared" si="1490"/>
        <v>0</v>
      </c>
      <c r="G322" s="83">
        <f t="shared" si="1490"/>
        <v>0</v>
      </c>
      <c r="H322" s="83">
        <f t="shared" si="1490"/>
        <v>0</v>
      </c>
      <c r="I322" s="83">
        <f t="shared" si="1490"/>
        <v>0</v>
      </c>
      <c r="J322" s="83">
        <f t="shared" si="1490"/>
        <v>0</v>
      </c>
      <c r="K322" s="83">
        <f t="shared" si="1490"/>
        <v>0</v>
      </c>
      <c r="L322" s="83">
        <f t="shared" si="1490"/>
        <v>0</v>
      </c>
      <c r="M322" s="83">
        <f t="shared" si="1490"/>
        <v>0</v>
      </c>
      <c r="N322" s="83">
        <f t="shared" si="1490"/>
        <v>0</v>
      </c>
      <c r="O322" s="83">
        <f t="shared" si="1490"/>
        <v>0</v>
      </c>
      <c r="P322" s="83">
        <f t="shared" si="1490"/>
        <v>2.1070375052675939E-2</v>
      </c>
      <c r="Q322" s="83">
        <f t="shared" si="1490"/>
        <v>9.8349139445029862E-2</v>
      </c>
      <c r="R322" s="83">
        <f t="shared" si="1490"/>
        <v>0.33017211099402882</v>
      </c>
      <c r="S322" s="83">
        <f t="shared" si="1490"/>
        <v>0.42852125043905864</v>
      </c>
      <c r="T322" s="83">
        <f t="shared" si="1490"/>
        <v>0.49877063575693714</v>
      </c>
      <c r="U322" s="83">
        <f t="shared" si="1490"/>
        <v>0.49877063575693714</v>
      </c>
      <c r="V322" s="83">
        <f t="shared" si="1490"/>
        <v>0.49877063575693714</v>
      </c>
      <c r="W322" s="83">
        <f t="shared" si="1490"/>
        <v>0.49877063575693714</v>
      </c>
    </row>
    <row r="323" spans="3:24" x14ac:dyDescent="0.25">
      <c r="C323" s="78" t="str">
        <f t="shared" si="1481"/>
        <v>CASETA G4</v>
      </c>
      <c r="D323" s="23" t="s">
        <v>9</v>
      </c>
      <c r="E323" s="83">
        <f t="shared" ref="E323:W323" si="1491">VLOOKUP(E$168,CST4G1,14,0)</f>
        <v>0</v>
      </c>
      <c r="F323" s="83">
        <f t="shared" si="1491"/>
        <v>0</v>
      </c>
      <c r="G323" s="83">
        <f t="shared" si="1491"/>
        <v>0</v>
      </c>
      <c r="H323" s="83">
        <f t="shared" si="1491"/>
        <v>0</v>
      </c>
      <c r="I323" s="83">
        <f t="shared" si="1491"/>
        <v>0</v>
      </c>
      <c r="J323" s="83">
        <f t="shared" si="1491"/>
        <v>0</v>
      </c>
      <c r="K323" s="83">
        <f t="shared" si="1491"/>
        <v>0</v>
      </c>
      <c r="L323" s="83">
        <f t="shared" si="1491"/>
        <v>0</v>
      </c>
      <c r="M323" s="83">
        <f t="shared" si="1491"/>
        <v>0</v>
      </c>
      <c r="N323" s="83">
        <f t="shared" si="1491"/>
        <v>0</v>
      </c>
      <c r="O323" s="83">
        <f t="shared" si="1491"/>
        <v>0</v>
      </c>
      <c r="P323" s="83">
        <f t="shared" si="1491"/>
        <v>0</v>
      </c>
      <c r="Q323" s="83">
        <f t="shared" si="1491"/>
        <v>5920</v>
      </c>
      <c r="R323" s="83">
        <f t="shared" si="1491"/>
        <v>10915</v>
      </c>
      <c r="S323" s="83">
        <f t="shared" si="1491"/>
        <v>10730</v>
      </c>
      <c r="T323" s="83">
        <f t="shared" si="1491"/>
        <v>7030</v>
      </c>
      <c r="U323" s="83">
        <f t="shared" si="1491"/>
        <v>0</v>
      </c>
      <c r="V323" s="83">
        <f t="shared" si="1491"/>
        <v>0</v>
      </c>
      <c r="W323" s="83">
        <f t="shared" si="1491"/>
        <v>0</v>
      </c>
    </row>
    <row r="324" spans="3:24" ht="25.5" x14ac:dyDescent="0.25">
      <c r="C324" s="78" t="str">
        <f t="shared" si="1481"/>
        <v>CASETA G4</v>
      </c>
      <c r="D324" s="86" t="s">
        <v>75</v>
      </c>
      <c r="E324" s="83">
        <f t="shared" ref="E324:W324" si="1492">VLOOKUP(E$168,CST4G1,15,0)</f>
        <v>10</v>
      </c>
      <c r="F324" s="83">
        <f t="shared" si="1492"/>
        <v>10</v>
      </c>
      <c r="G324" s="83">
        <f t="shared" si="1492"/>
        <v>17</v>
      </c>
      <c r="H324" s="83">
        <f t="shared" si="1492"/>
        <v>23</v>
      </c>
      <c r="I324" s="83">
        <f t="shared" si="1492"/>
        <v>29</v>
      </c>
      <c r="J324" s="83">
        <f t="shared" si="1492"/>
        <v>34</v>
      </c>
      <c r="K324" s="83">
        <f t="shared" si="1492"/>
        <v>38</v>
      </c>
      <c r="L324" s="83">
        <f t="shared" si="1492"/>
        <v>42</v>
      </c>
      <c r="M324" s="83">
        <f t="shared" si="1492"/>
        <v>46</v>
      </c>
      <c r="N324" s="83">
        <f t="shared" si="1492"/>
        <v>49</v>
      </c>
      <c r="O324" s="83">
        <f t="shared" si="1492"/>
        <v>52</v>
      </c>
      <c r="P324" s="83">
        <f t="shared" si="1492"/>
        <v>55</v>
      </c>
      <c r="Q324" s="83">
        <f t="shared" si="1492"/>
        <v>58</v>
      </c>
      <c r="R324" s="83">
        <f t="shared" si="1492"/>
        <v>61</v>
      </c>
      <c r="S324" s="83">
        <f t="shared" si="1492"/>
        <v>64</v>
      </c>
      <c r="T324" s="83">
        <f t="shared" si="1492"/>
        <v>67</v>
      </c>
      <c r="U324" s="83">
        <f t="shared" si="1492"/>
        <v>71</v>
      </c>
      <c r="V324" s="83">
        <f t="shared" si="1492"/>
        <v>75</v>
      </c>
      <c r="W324" s="83">
        <f t="shared" si="1492"/>
        <v>79</v>
      </c>
    </row>
    <row r="325" spans="3:24" ht="25.5" x14ac:dyDescent="0.25">
      <c r="C325" s="78" t="str">
        <f t="shared" si="1481"/>
        <v>CASETA G4</v>
      </c>
      <c r="D325" s="86" t="s">
        <v>62</v>
      </c>
      <c r="E325" s="83">
        <f t="shared" ref="E325:W325" si="1493">VLOOKUP(E$168,CST4G1,16,0)</f>
        <v>0</v>
      </c>
      <c r="F325" s="83">
        <f t="shared" si="1493"/>
        <v>0</v>
      </c>
      <c r="G325" s="83">
        <f t="shared" si="1493"/>
        <v>0</v>
      </c>
      <c r="H325" s="83">
        <f t="shared" si="1493"/>
        <v>0</v>
      </c>
      <c r="I325" s="83">
        <f t="shared" si="1493"/>
        <v>0</v>
      </c>
      <c r="J325" s="83">
        <f t="shared" si="1493"/>
        <v>0</v>
      </c>
      <c r="K325" s="83">
        <f t="shared" si="1493"/>
        <v>0</v>
      </c>
      <c r="L325" s="83">
        <f t="shared" si="1493"/>
        <v>0</v>
      </c>
      <c r="M325" s="83">
        <f t="shared" si="1493"/>
        <v>0</v>
      </c>
      <c r="N325" s="83">
        <f t="shared" si="1493"/>
        <v>0</v>
      </c>
      <c r="O325" s="83">
        <f t="shared" si="1493"/>
        <v>0</v>
      </c>
      <c r="P325" s="83">
        <f t="shared" si="1493"/>
        <v>0</v>
      </c>
      <c r="Q325" s="83">
        <f t="shared" si="1493"/>
        <v>59.415082599008407</v>
      </c>
      <c r="R325" s="83">
        <f t="shared" si="1493"/>
        <v>109.62357383898441</v>
      </c>
      <c r="S325" s="83">
        <f t="shared" si="1493"/>
        <v>108.01614705497448</v>
      </c>
      <c r="T325" s="83">
        <f t="shared" si="1493"/>
        <v>70.839085440199923</v>
      </c>
      <c r="U325" s="83">
        <f t="shared" si="1493"/>
        <v>0</v>
      </c>
      <c r="V325" s="83">
        <f t="shared" si="1493"/>
        <v>0</v>
      </c>
      <c r="W325" s="83">
        <f t="shared" si="1493"/>
        <v>0</v>
      </c>
    </row>
    <row r="326" spans="3:24" ht="25.5" x14ac:dyDescent="0.25">
      <c r="C326" s="78" t="str">
        <f t="shared" si="1481"/>
        <v>CASETA G4</v>
      </c>
      <c r="D326" s="24" t="s">
        <v>50</v>
      </c>
      <c r="E326" s="83">
        <f t="shared" ref="E326:W326" si="1494">VLOOKUP(E$168,CST4G1,17,0)</f>
        <v>0</v>
      </c>
      <c r="F326" s="83">
        <f t="shared" si="1494"/>
        <v>0</v>
      </c>
      <c r="G326" s="83">
        <f t="shared" si="1494"/>
        <v>0</v>
      </c>
      <c r="H326" s="83">
        <f t="shared" si="1494"/>
        <v>0</v>
      </c>
      <c r="I326" s="83">
        <f t="shared" si="1494"/>
        <v>0</v>
      </c>
      <c r="J326" s="83">
        <f t="shared" si="1494"/>
        <v>0</v>
      </c>
      <c r="K326" s="83">
        <f t="shared" si="1494"/>
        <v>0</v>
      </c>
      <c r="L326" s="83">
        <f t="shared" si="1494"/>
        <v>0</v>
      </c>
      <c r="M326" s="83">
        <f t="shared" si="1494"/>
        <v>0</v>
      </c>
      <c r="N326" s="83">
        <f t="shared" si="1494"/>
        <v>0</v>
      </c>
      <c r="O326" s="83">
        <f t="shared" si="1494"/>
        <v>0</v>
      </c>
      <c r="P326" s="83">
        <f t="shared" si="1494"/>
        <v>0</v>
      </c>
      <c r="Q326" s="83">
        <f t="shared" si="1494"/>
        <v>416.07549738041178</v>
      </c>
      <c r="R326" s="83">
        <f t="shared" si="1494"/>
        <v>1184.5314695610687</v>
      </c>
      <c r="S326" s="83">
        <f t="shared" si="1494"/>
        <v>1941.0995854015148</v>
      </c>
      <c r="T326" s="83">
        <f t="shared" si="1494"/>
        <v>2437.1380235191186</v>
      </c>
      <c r="U326" s="83">
        <f t="shared" si="1494"/>
        <v>2437.1380235191186</v>
      </c>
      <c r="V326" s="83">
        <f t="shared" si="1494"/>
        <v>2437.1380235191186</v>
      </c>
      <c r="W326" s="83">
        <f t="shared" si="1494"/>
        <v>2437.1380235191186</v>
      </c>
    </row>
    <row r="327" spans="3:24" x14ac:dyDescent="0.25">
      <c r="C327" s="78" t="str">
        <f t="shared" si="1481"/>
        <v>CASETA G4</v>
      </c>
      <c r="D327" s="86" t="s">
        <v>63</v>
      </c>
      <c r="E327" s="83">
        <f t="shared" ref="E327:W327" si="1495">VLOOKUP(E$168,CST4G1,18,0)</f>
        <v>40</v>
      </c>
      <c r="F327" s="83">
        <f t="shared" si="1495"/>
        <v>70</v>
      </c>
      <c r="G327" s="83">
        <f t="shared" si="1495"/>
        <v>120</v>
      </c>
      <c r="H327" s="83">
        <f t="shared" si="1495"/>
        <v>185</v>
      </c>
      <c r="I327" s="83">
        <f t="shared" si="1495"/>
        <v>255</v>
      </c>
      <c r="J327" s="83">
        <f t="shared" si="1495"/>
        <v>334</v>
      </c>
      <c r="K327" s="83">
        <f t="shared" si="1495"/>
        <v>425</v>
      </c>
      <c r="L327" s="83">
        <f t="shared" si="1495"/>
        <v>524</v>
      </c>
      <c r="M327" s="83">
        <f t="shared" si="1495"/>
        <v>618</v>
      </c>
      <c r="N327" s="83">
        <f t="shared" si="1495"/>
        <v>712</v>
      </c>
      <c r="O327" s="83">
        <f t="shared" si="1495"/>
        <v>802</v>
      </c>
      <c r="P327" s="83">
        <f t="shared" si="1495"/>
        <v>880</v>
      </c>
      <c r="Q327" s="83">
        <f t="shared" si="1495"/>
        <v>950</v>
      </c>
      <c r="R327" s="83">
        <f t="shared" si="1495"/>
        <v>1010</v>
      </c>
      <c r="S327" s="83">
        <f t="shared" si="1495"/>
        <v>1065</v>
      </c>
      <c r="T327" s="83">
        <f t="shared" si="1495"/>
        <v>1115</v>
      </c>
      <c r="U327" s="83">
        <f t="shared" si="1495"/>
        <v>1160</v>
      </c>
      <c r="V327" s="83">
        <f t="shared" si="1495"/>
        <v>1207</v>
      </c>
      <c r="W327" s="83">
        <f t="shared" si="1495"/>
        <v>1257</v>
      </c>
    </row>
    <row r="328" spans="3:24" x14ac:dyDescent="0.25">
      <c r="C328" s="78" t="str">
        <f t="shared" si="1481"/>
        <v>CASETA G4</v>
      </c>
      <c r="D328" s="86" t="s">
        <v>64</v>
      </c>
      <c r="E328" s="83">
        <f t="shared" ref="E328:W328" si="1496">VLOOKUP(E$168,CST4G1,19,0)</f>
        <v>0</v>
      </c>
      <c r="F328" s="83">
        <f t="shared" si="1496"/>
        <v>0</v>
      </c>
      <c r="G328" s="83">
        <f t="shared" si="1496"/>
        <v>0</v>
      </c>
      <c r="H328" s="83">
        <f t="shared" si="1496"/>
        <v>0</v>
      </c>
      <c r="I328" s="83">
        <f t="shared" si="1496"/>
        <v>0</v>
      </c>
      <c r="J328" s="83">
        <f t="shared" si="1496"/>
        <v>0</v>
      </c>
      <c r="K328" s="83">
        <f t="shared" si="1496"/>
        <v>0</v>
      </c>
      <c r="L328" s="83">
        <f t="shared" si="1496"/>
        <v>0</v>
      </c>
      <c r="M328" s="83">
        <f t="shared" si="1496"/>
        <v>0</v>
      </c>
      <c r="N328" s="83">
        <f t="shared" si="1496"/>
        <v>0</v>
      </c>
      <c r="O328" s="83">
        <f t="shared" si="1496"/>
        <v>0</v>
      </c>
      <c r="P328" s="83">
        <f t="shared" si="1496"/>
        <v>0</v>
      </c>
      <c r="Q328" s="83">
        <f t="shared" si="1496"/>
        <v>851</v>
      </c>
      <c r="R328" s="83">
        <f t="shared" si="1496"/>
        <v>946</v>
      </c>
      <c r="S328" s="83">
        <f t="shared" si="1496"/>
        <v>1000</v>
      </c>
      <c r="T328" s="83">
        <f t="shared" si="1496"/>
        <v>1100</v>
      </c>
      <c r="U328" s="83">
        <f t="shared" si="1496"/>
        <v>0</v>
      </c>
      <c r="V328" s="83">
        <f t="shared" si="1496"/>
        <v>0</v>
      </c>
      <c r="W328" s="83">
        <f t="shared" si="1496"/>
        <v>0</v>
      </c>
    </row>
    <row r="329" spans="3:24" x14ac:dyDescent="0.25">
      <c r="C329" s="78" t="str">
        <f t="shared" si="1481"/>
        <v>CASETA G4</v>
      </c>
      <c r="D329" s="23" t="s">
        <v>15</v>
      </c>
      <c r="E329" s="83">
        <f>E327-E328</f>
        <v>40</v>
      </c>
      <c r="F329" s="83">
        <f t="shared" ref="F329:W329" si="1497">F327-F328</f>
        <v>70</v>
      </c>
      <c r="G329" s="83">
        <f t="shared" si="1497"/>
        <v>120</v>
      </c>
      <c r="H329" s="83">
        <f t="shared" si="1497"/>
        <v>185</v>
      </c>
      <c r="I329" s="83">
        <f t="shared" si="1497"/>
        <v>255</v>
      </c>
      <c r="J329" s="83">
        <f t="shared" si="1497"/>
        <v>334</v>
      </c>
      <c r="K329" s="83">
        <f t="shared" si="1497"/>
        <v>425</v>
      </c>
      <c r="L329" s="83">
        <f t="shared" si="1497"/>
        <v>524</v>
      </c>
      <c r="M329" s="83">
        <f t="shared" si="1497"/>
        <v>618</v>
      </c>
      <c r="N329" s="83">
        <f t="shared" si="1497"/>
        <v>712</v>
      </c>
      <c r="O329" s="83">
        <f t="shared" si="1497"/>
        <v>802</v>
      </c>
      <c r="P329" s="83">
        <f t="shared" si="1497"/>
        <v>880</v>
      </c>
      <c r="Q329" s="83">
        <f t="shared" si="1497"/>
        <v>99</v>
      </c>
      <c r="R329" s="83">
        <f t="shared" si="1497"/>
        <v>64</v>
      </c>
      <c r="S329" s="83">
        <f t="shared" si="1497"/>
        <v>65</v>
      </c>
      <c r="T329" s="83">
        <f t="shared" si="1497"/>
        <v>15</v>
      </c>
      <c r="U329" s="83">
        <f t="shared" si="1497"/>
        <v>1160</v>
      </c>
      <c r="V329" s="83">
        <f t="shared" si="1497"/>
        <v>1207</v>
      </c>
      <c r="W329" s="83">
        <f t="shared" si="1497"/>
        <v>1257</v>
      </c>
    </row>
    <row r="330" spans="3:24" ht="25.5" x14ac:dyDescent="0.25">
      <c r="C330" s="78" t="str">
        <f t="shared" si="1481"/>
        <v>CASETA G4</v>
      </c>
      <c r="D330" s="86" t="s">
        <v>65</v>
      </c>
      <c r="E330" s="83">
        <f t="shared" ref="E330:W330" si="1498">VLOOKUP(E$168,CST4G1,21,0)</f>
        <v>77</v>
      </c>
      <c r="F330" s="83">
        <f t="shared" si="1498"/>
        <v>77</v>
      </c>
      <c r="G330" s="83">
        <f t="shared" si="1498"/>
        <v>77</v>
      </c>
      <c r="H330" s="83">
        <f t="shared" si="1498"/>
        <v>77</v>
      </c>
      <c r="I330" s="83">
        <f t="shared" si="1498"/>
        <v>79</v>
      </c>
      <c r="J330" s="83">
        <f t="shared" si="1498"/>
        <v>79</v>
      </c>
      <c r="K330" s="83">
        <f t="shared" si="1498"/>
        <v>79</v>
      </c>
      <c r="L330" s="83">
        <f t="shared" si="1498"/>
        <v>79</v>
      </c>
      <c r="M330" s="83">
        <f t="shared" si="1498"/>
        <v>79</v>
      </c>
      <c r="N330" s="83">
        <f t="shared" si="1498"/>
        <v>79</v>
      </c>
      <c r="O330" s="83">
        <f t="shared" si="1498"/>
        <v>80</v>
      </c>
      <c r="P330" s="83">
        <f t="shared" si="1498"/>
        <v>80</v>
      </c>
      <c r="Q330" s="83">
        <f t="shared" si="1498"/>
        <v>82</v>
      </c>
      <c r="R330" s="83">
        <f t="shared" si="1498"/>
        <v>82</v>
      </c>
      <c r="S330" s="83">
        <f t="shared" si="1498"/>
        <v>84</v>
      </c>
      <c r="T330" s="83">
        <f t="shared" si="1498"/>
        <v>86</v>
      </c>
      <c r="U330" s="83">
        <f t="shared" si="1498"/>
        <v>86</v>
      </c>
      <c r="V330" s="83">
        <f t="shared" si="1498"/>
        <v>86</v>
      </c>
      <c r="W330" s="83">
        <f t="shared" si="1498"/>
        <v>86</v>
      </c>
    </row>
    <row r="331" spans="3:24" ht="25.5" x14ac:dyDescent="0.25">
      <c r="C331" s="78" t="str">
        <f t="shared" si="1481"/>
        <v>CASETA G4</v>
      </c>
      <c r="D331" s="86" t="s">
        <v>66</v>
      </c>
      <c r="E331" s="83">
        <f t="shared" ref="E331:W331" si="1499">VLOOKUP(E$168,CST4G1,22,0)</f>
        <v>0</v>
      </c>
      <c r="F331" s="83">
        <f t="shared" si="1499"/>
        <v>0</v>
      </c>
      <c r="G331" s="83">
        <f t="shared" si="1499"/>
        <v>0</v>
      </c>
      <c r="H331" s="83">
        <f t="shared" si="1499"/>
        <v>0</v>
      </c>
      <c r="I331" s="83">
        <f t="shared" si="1499"/>
        <v>0</v>
      </c>
      <c r="J331" s="83">
        <f t="shared" si="1499"/>
        <v>0</v>
      </c>
      <c r="K331" s="83">
        <f t="shared" si="1499"/>
        <v>0</v>
      </c>
      <c r="L331" s="83">
        <f t="shared" si="1499"/>
        <v>0</v>
      </c>
      <c r="M331" s="83">
        <f t="shared" si="1499"/>
        <v>0</v>
      </c>
      <c r="N331" s="83">
        <f t="shared" si="1499"/>
        <v>0</v>
      </c>
      <c r="O331" s="83">
        <f t="shared" si="1499"/>
        <v>0</v>
      </c>
      <c r="P331" s="83">
        <f t="shared" si="1499"/>
        <v>0</v>
      </c>
      <c r="Q331" s="83">
        <f t="shared" si="1499"/>
        <v>65</v>
      </c>
      <c r="R331" s="83">
        <f t="shared" si="1499"/>
        <v>75</v>
      </c>
      <c r="S331" s="83">
        <f t="shared" si="1499"/>
        <v>72</v>
      </c>
      <c r="T331" s="83">
        <f t="shared" si="1499"/>
        <v>78</v>
      </c>
      <c r="U331" s="83">
        <f t="shared" si="1499"/>
        <v>0</v>
      </c>
      <c r="V331" s="83">
        <f t="shared" si="1499"/>
        <v>0</v>
      </c>
      <c r="W331" s="83">
        <f t="shared" si="1499"/>
        <v>0</v>
      </c>
    </row>
    <row r="332" spans="3:24" x14ac:dyDescent="0.25">
      <c r="C332" s="78" t="str">
        <f>C331</f>
        <v>CASETA G4</v>
      </c>
      <c r="D332" s="23" t="s">
        <v>15</v>
      </c>
      <c r="E332" s="85">
        <f>E330-E331</f>
        <v>77</v>
      </c>
      <c r="F332" s="85">
        <f t="shared" ref="F332:W332" si="1500">F330-F331</f>
        <v>77</v>
      </c>
      <c r="G332" s="85">
        <f t="shared" si="1500"/>
        <v>77</v>
      </c>
      <c r="H332" s="85">
        <f t="shared" si="1500"/>
        <v>77</v>
      </c>
      <c r="I332" s="85">
        <f t="shared" si="1500"/>
        <v>79</v>
      </c>
      <c r="J332" s="85">
        <f t="shared" si="1500"/>
        <v>79</v>
      </c>
      <c r="K332" s="85">
        <f t="shared" si="1500"/>
        <v>79</v>
      </c>
      <c r="L332" s="85">
        <f t="shared" si="1500"/>
        <v>79</v>
      </c>
      <c r="M332" s="85">
        <f t="shared" si="1500"/>
        <v>79</v>
      </c>
      <c r="N332" s="85">
        <f t="shared" si="1500"/>
        <v>79</v>
      </c>
      <c r="O332" s="85">
        <f t="shared" si="1500"/>
        <v>80</v>
      </c>
      <c r="P332" s="85">
        <f t="shared" si="1500"/>
        <v>80</v>
      </c>
      <c r="Q332" s="85">
        <f t="shared" si="1500"/>
        <v>17</v>
      </c>
      <c r="R332" s="85">
        <f t="shared" si="1500"/>
        <v>7</v>
      </c>
      <c r="S332" s="85">
        <f t="shared" si="1500"/>
        <v>12</v>
      </c>
      <c r="T332" s="85">
        <f t="shared" si="1500"/>
        <v>8</v>
      </c>
      <c r="U332" s="85">
        <f t="shared" si="1500"/>
        <v>86</v>
      </c>
      <c r="V332" s="85">
        <f t="shared" si="1500"/>
        <v>86</v>
      </c>
      <c r="W332" s="85">
        <f t="shared" si="1500"/>
        <v>86</v>
      </c>
      <c r="X332" s="85"/>
    </row>
    <row r="333" spans="3:24" x14ac:dyDescent="0.25">
      <c r="C333" s="78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</row>
    <row r="334" spans="3:24" x14ac:dyDescent="0.25">
      <c r="C334" s="78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</row>
    <row r="335" spans="3:24" ht="25.5" x14ac:dyDescent="0.25">
      <c r="C335" s="77" t="s">
        <v>185</v>
      </c>
      <c r="D335" s="24" t="s">
        <v>67</v>
      </c>
      <c r="E335" s="83">
        <f t="shared" ref="E335:W335" si="1501">VLOOKUP(E$168,CST5G1,3,0)</f>
        <v>0</v>
      </c>
      <c r="F335" s="83">
        <f t="shared" si="1501"/>
        <v>0</v>
      </c>
      <c r="G335" s="83">
        <f t="shared" si="1501"/>
        <v>0</v>
      </c>
      <c r="H335" s="83">
        <f t="shared" si="1501"/>
        <v>0</v>
      </c>
      <c r="I335" s="83">
        <f t="shared" si="1501"/>
        <v>0</v>
      </c>
      <c r="J335" s="83">
        <f t="shared" si="1501"/>
        <v>0</v>
      </c>
      <c r="K335" s="83">
        <f t="shared" si="1501"/>
        <v>0</v>
      </c>
      <c r="L335" s="83">
        <f t="shared" si="1501"/>
        <v>0</v>
      </c>
      <c r="M335" s="83">
        <f t="shared" si="1501"/>
        <v>0</v>
      </c>
      <c r="N335" s="83">
        <f t="shared" si="1501"/>
        <v>0</v>
      </c>
      <c r="O335" s="83">
        <f t="shared" si="1501"/>
        <v>0</v>
      </c>
      <c r="P335" s="83">
        <f t="shared" si="1501"/>
        <v>10423</v>
      </c>
      <c r="Q335" s="83">
        <f t="shared" si="1501"/>
        <v>14189</v>
      </c>
      <c r="R335" s="83">
        <f t="shared" si="1501"/>
        <v>14177</v>
      </c>
      <c r="S335" s="83">
        <f t="shared" si="1501"/>
        <v>14162</v>
      </c>
      <c r="T335" s="83">
        <f t="shared" si="1501"/>
        <v>14152</v>
      </c>
      <c r="U335" s="83">
        <f t="shared" si="1501"/>
        <v>14147</v>
      </c>
      <c r="V335" s="83">
        <f t="shared" si="1501"/>
        <v>14147</v>
      </c>
      <c r="W335" s="83">
        <f t="shared" si="1501"/>
        <v>14147</v>
      </c>
    </row>
    <row r="336" spans="3:24" x14ac:dyDescent="0.25">
      <c r="C336" s="78" t="str">
        <f>C335</f>
        <v>CASETA G5</v>
      </c>
      <c r="D336" s="24" t="s">
        <v>34</v>
      </c>
      <c r="E336" s="83">
        <f t="shared" ref="E336:W336" si="1502">VLOOKUP(E$168,CST5G1,4,0)</f>
        <v>0</v>
      </c>
      <c r="F336" s="83">
        <f t="shared" si="1502"/>
        <v>0</v>
      </c>
      <c r="G336" s="83">
        <f t="shared" si="1502"/>
        <v>0</v>
      </c>
      <c r="H336" s="83">
        <f t="shared" si="1502"/>
        <v>0</v>
      </c>
      <c r="I336" s="83">
        <f t="shared" si="1502"/>
        <v>0</v>
      </c>
      <c r="J336" s="83">
        <f t="shared" si="1502"/>
        <v>0</v>
      </c>
      <c r="K336" s="83">
        <f t="shared" si="1502"/>
        <v>0</v>
      </c>
      <c r="L336" s="83">
        <f t="shared" si="1502"/>
        <v>0</v>
      </c>
      <c r="M336" s="83">
        <f t="shared" si="1502"/>
        <v>0</v>
      </c>
      <c r="N336" s="83">
        <f t="shared" si="1502"/>
        <v>0</v>
      </c>
      <c r="O336" s="83">
        <f t="shared" si="1502"/>
        <v>0</v>
      </c>
      <c r="P336" s="83">
        <f t="shared" si="1502"/>
        <v>10421</v>
      </c>
      <c r="Q336" s="83">
        <f t="shared" si="1502"/>
        <v>14177</v>
      </c>
      <c r="R336" s="83">
        <f t="shared" si="1502"/>
        <v>14162</v>
      </c>
      <c r="S336" s="83">
        <f t="shared" si="1502"/>
        <v>14152</v>
      </c>
      <c r="T336" s="83">
        <f t="shared" si="1502"/>
        <v>14147</v>
      </c>
      <c r="U336" s="83">
        <f t="shared" si="1502"/>
        <v>14147</v>
      </c>
      <c r="V336" s="83">
        <f t="shared" si="1502"/>
        <v>14147</v>
      </c>
      <c r="W336" s="83">
        <f t="shared" si="1502"/>
        <v>14147</v>
      </c>
    </row>
    <row r="337" spans="3:23" x14ac:dyDescent="0.25">
      <c r="C337" s="78" t="str">
        <f t="shared" ref="C337:C354" si="1503">C336</f>
        <v>CASETA G5</v>
      </c>
      <c r="D337" s="23" t="s">
        <v>27</v>
      </c>
      <c r="E337" s="83">
        <f t="shared" ref="E337:W337" si="1504">VLOOKUP(E$168,CST5G1,5,0)</f>
        <v>0</v>
      </c>
      <c r="F337" s="83">
        <f t="shared" si="1504"/>
        <v>0</v>
      </c>
      <c r="G337" s="83">
        <f t="shared" si="1504"/>
        <v>0</v>
      </c>
      <c r="H337" s="83">
        <f t="shared" si="1504"/>
        <v>0</v>
      </c>
      <c r="I337" s="83">
        <f t="shared" si="1504"/>
        <v>0</v>
      </c>
      <c r="J337" s="83">
        <f t="shared" si="1504"/>
        <v>0</v>
      </c>
      <c r="K337" s="83">
        <f t="shared" si="1504"/>
        <v>0</v>
      </c>
      <c r="L337" s="83">
        <f t="shared" si="1504"/>
        <v>0</v>
      </c>
      <c r="M337" s="83">
        <f t="shared" si="1504"/>
        <v>0</v>
      </c>
      <c r="N337" s="83">
        <f t="shared" si="1504"/>
        <v>0</v>
      </c>
      <c r="O337" s="83">
        <f t="shared" si="1504"/>
        <v>0</v>
      </c>
      <c r="P337" s="83">
        <f t="shared" si="1504"/>
        <v>0</v>
      </c>
      <c r="Q337" s="83">
        <f t="shared" si="1504"/>
        <v>0</v>
      </c>
      <c r="R337" s="83">
        <f t="shared" si="1504"/>
        <v>0</v>
      </c>
      <c r="S337" s="83">
        <f t="shared" si="1504"/>
        <v>0</v>
      </c>
      <c r="T337" s="83">
        <f t="shared" si="1504"/>
        <v>0</v>
      </c>
      <c r="U337" s="83">
        <f t="shared" si="1504"/>
        <v>0</v>
      </c>
      <c r="V337" s="83">
        <f t="shared" si="1504"/>
        <v>0</v>
      </c>
      <c r="W337" s="83">
        <f t="shared" si="1504"/>
        <v>0</v>
      </c>
    </row>
    <row r="338" spans="3:23" x14ac:dyDescent="0.25">
      <c r="C338" s="78" t="str">
        <f t="shared" si="1503"/>
        <v>CASETA G5</v>
      </c>
      <c r="D338" s="23" t="s">
        <v>16</v>
      </c>
      <c r="E338" s="83">
        <f t="shared" ref="E338:W338" si="1505">VLOOKUP(E$168,CST5G1,6,0)</f>
        <v>0</v>
      </c>
      <c r="F338" s="83">
        <f t="shared" si="1505"/>
        <v>0</v>
      </c>
      <c r="G338" s="83">
        <f t="shared" si="1505"/>
        <v>0</v>
      </c>
      <c r="H338" s="83">
        <f t="shared" si="1505"/>
        <v>0</v>
      </c>
      <c r="I338" s="83">
        <f t="shared" si="1505"/>
        <v>0</v>
      </c>
      <c r="J338" s="83">
        <f t="shared" si="1505"/>
        <v>0</v>
      </c>
      <c r="K338" s="83">
        <f t="shared" si="1505"/>
        <v>0</v>
      </c>
      <c r="L338" s="83">
        <f t="shared" si="1505"/>
        <v>0</v>
      </c>
      <c r="M338" s="83">
        <f t="shared" si="1505"/>
        <v>0</v>
      </c>
      <c r="N338" s="83">
        <f t="shared" si="1505"/>
        <v>0</v>
      </c>
      <c r="O338" s="83">
        <f t="shared" si="1505"/>
        <v>0</v>
      </c>
      <c r="P338" s="83">
        <f t="shared" si="1505"/>
        <v>2</v>
      </c>
      <c r="Q338" s="83">
        <f t="shared" si="1505"/>
        <v>12</v>
      </c>
      <c r="R338" s="83">
        <f t="shared" si="1505"/>
        <v>15</v>
      </c>
      <c r="S338" s="83">
        <f t="shared" si="1505"/>
        <v>10</v>
      </c>
      <c r="T338" s="83">
        <f t="shared" si="1505"/>
        <v>5</v>
      </c>
      <c r="U338" s="83">
        <f t="shared" si="1505"/>
        <v>0</v>
      </c>
      <c r="V338" s="83">
        <f t="shared" si="1505"/>
        <v>0</v>
      </c>
      <c r="W338" s="83">
        <f t="shared" si="1505"/>
        <v>0</v>
      </c>
    </row>
    <row r="339" spans="3:23" x14ac:dyDescent="0.25">
      <c r="C339" s="78" t="str">
        <f t="shared" si="1503"/>
        <v>CASETA G5</v>
      </c>
      <c r="D339" s="23" t="s">
        <v>17</v>
      </c>
      <c r="E339" s="83">
        <f t="shared" ref="E339:W339" si="1506">VLOOKUP(E$168,CST5G1,7,0)</f>
        <v>0</v>
      </c>
      <c r="F339" s="83">
        <f t="shared" si="1506"/>
        <v>0</v>
      </c>
      <c r="G339" s="83">
        <f t="shared" si="1506"/>
        <v>0</v>
      </c>
      <c r="H339" s="83">
        <f t="shared" si="1506"/>
        <v>0</v>
      </c>
      <c r="I339" s="83">
        <f t="shared" si="1506"/>
        <v>0</v>
      </c>
      <c r="J339" s="83">
        <f t="shared" si="1506"/>
        <v>0</v>
      </c>
      <c r="K339" s="83">
        <f t="shared" si="1506"/>
        <v>0</v>
      </c>
      <c r="L339" s="83">
        <f t="shared" si="1506"/>
        <v>0</v>
      </c>
      <c r="M339" s="83">
        <f t="shared" si="1506"/>
        <v>0</v>
      </c>
      <c r="N339" s="83">
        <f t="shared" si="1506"/>
        <v>0</v>
      </c>
      <c r="O339" s="83">
        <f t="shared" si="1506"/>
        <v>0</v>
      </c>
      <c r="P339" s="83">
        <f t="shared" si="1506"/>
        <v>0</v>
      </c>
      <c r="Q339" s="83">
        <f t="shared" si="1506"/>
        <v>0</v>
      </c>
      <c r="R339" s="83">
        <f t="shared" si="1506"/>
        <v>0</v>
      </c>
      <c r="S339" s="83">
        <f t="shared" si="1506"/>
        <v>0</v>
      </c>
      <c r="T339" s="83">
        <f t="shared" si="1506"/>
        <v>0</v>
      </c>
      <c r="U339" s="83">
        <f t="shared" si="1506"/>
        <v>0</v>
      </c>
      <c r="V339" s="83">
        <f t="shared" si="1506"/>
        <v>0</v>
      </c>
      <c r="W339" s="83">
        <f t="shared" si="1506"/>
        <v>0</v>
      </c>
    </row>
    <row r="340" spans="3:23" x14ac:dyDescent="0.25">
      <c r="C340" s="78" t="str">
        <f t="shared" si="1503"/>
        <v>CASETA G5</v>
      </c>
      <c r="D340" s="23" t="s">
        <v>18</v>
      </c>
      <c r="E340" s="85">
        <f>SUM(E337:E339)</f>
        <v>0</v>
      </c>
      <c r="F340" s="85">
        <f>SUM(F337:F339)</f>
        <v>0</v>
      </c>
      <c r="G340" s="85">
        <f t="shared" ref="G340:W340" si="1507">SUM(G337:G339)</f>
        <v>0</v>
      </c>
      <c r="H340" s="85">
        <f t="shared" si="1507"/>
        <v>0</v>
      </c>
      <c r="I340" s="85">
        <f t="shared" si="1507"/>
        <v>0</v>
      </c>
      <c r="J340" s="85">
        <f t="shared" si="1507"/>
        <v>0</v>
      </c>
      <c r="K340" s="85">
        <f t="shared" si="1507"/>
        <v>0</v>
      </c>
      <c r="L340" s="85">
        <f t="shared" si="1507"/>
        <v>0</v>
      </c>
      <c r="M340" s="85">
        <f t="shared" si="1507"/>
        <v>0</v>
      </c>
      <c r="N340" s="85">
        <f t="shared" si="1507"/>
        <v>0</v>
      </c>
      <c r="O340" s="85">
        <f t="shared" si="1507"/>
        <v>0</v>
      </c>
      <c r="P340" s="85">
        <f t="shared" si="1507"/>
        <v>2</v>
      </c>
      <c r="Q340" s="85">
        <f>SUM(Q337:Q339)</f>
        <v>12</v>
      </c>
      <c r="R340" s="85">
        <f t="shared" si="1507"/>
        <v>15</v>
      </c>
      <c r="S340" s="85">
        <f t="shared" si="1507"/>
        <v>10</v>
      </c>
      <c r="T340" s="85">
        <f t="shared" si="1507"/>
        <v>5</v>
      </c>
      <c r="U340" s="85">
        <f t="shared" si="1507"/>
        <v>0</v>
      </c>
      <c r="V340" s="85">
        <f t="shared" si="1507"/>
        <v>0</v>
      </c>
      <c r="W340" s="85">
        <f t="shared" si="1507"/>
        <v>0</v>
      </c>
    </row>
    <row r="341" spans="3:23" x14ac:dyDescent="0.25">
      <c r="C341" s="78" t="str">
        <f t="shared" si="1503"/>
        <v>CASETA G5</v>
      </c>
      <c r="D341" s="23" t="s">
        <v>48</v>
      </c>
      <c r="E341" s="83">
        <f t="shared" ref="E341:W341" si="1508">VLOOKUP(E$168,CST5G1,9,0)</f>
        <v>0</v>
      </c>
      <c r="F341" s="83">
        <f t="shared" si="1508"/>
        <v>0</v>
      </c>
      <c r="G341" s="83">
        <f t="shared" si="1508"/>
        <v>0</v>
      </c>
      <c r="H341" s="83">
        <f t="shared" si="1508"/>
        <v>0</v>
      </c>
      <c r="I341" s="83">
        <f t="shared" si="1508"/>
        <v>0</v>
      </c>
      <c r="J341" s="83">
        <f t="shared" si="1508"/>
        <v>0</v>
      </c>
      <c r="K341" s="83">
        <f t="shared" si="1508"/>
        <v>0</v>
      </c>
      <c r="L341" s="83">
        <f t="shared" si="1508"/>
        <v>0</v>
      </c>
      <c r="M341" s="83">
        <f t="shared" si="1508"/>
        <v>0</v>
      </c>
      <c r="N341" s="83">
        <f t="shared" si="1508"/>
        <v>0</v>
      </c>
      <c r="O341" s="83">
        <f t="shared" si="1508"/>
        <v>0</v>
      </c>
      <c r="P341" s="83">
        <f t="shared" si="1508"/>
        <v>2</v>
      </c>
      <c r="Q341" s="83">
        <f t="shared" si="1508"/>
        <v>14</v>
      </c>
      <c r="R341" s="83">
        <f t="shared" si="1508"/>
        <v>29</v>
      </c>
      <c r="S341" s="83">
        <f t="shared" si="1508"/>
        <v>39</v>
      </c>
      <c r="T341" s="83">
        <f t="shared" si="1508"/>
        <v>44</v>
      </c>
      <c r="U341" s="83">
        <f t="shared" si="1508"/>
        <v>44</v>
      </c>
      <c r="V341" s="83">
        <f t="shared" si="1508"/>
        <v>44</v>
      </c>
      <c r="W341" s="83">
        <f t="shared" si="1508"/>
        <v>44</v>
      </c>
    </row>
    <row r="342" spans="3:23" x14ac:dyDescent="0.25">
      <c r="C342" s="78" t="str">
        <f t="shared" si="1503"/>
        <v>CASETA G5</v>
      </c>
      <c r="D342" s="86" t="s">
        <v>72</v>
      </c>
      <c r="E342" s="83">
        <f t="shared" ref="E342:W342" si="1509">VLOOKUP(E$168,CST5G1,10,0)</f>
        <v>0.7</v>
      </c>
      <c r="F342" s="83">
        <f t="shared" si="1509"/>
        <v>0.7</v>
      </c>
      <c r="G342" s="83">
        <f t="shared" si="1509"/>
        <v>0.7</v>
      </c>
      <c r="H342" s="83">
        <f t="shared" si="1509"/>
        <v>0.5</v>
      </c>
      <c r="I342" s="83">
        <f t="shared" si="1509"/>
        <v>0.3</v>
      </c>
      <c r="J342" s="83">
        <f t="shared" si="1509"/>
        <v>0.18</v>
      </c>
      <c r="K342" s="83">
        <f t="shared" si="1509"/>
        <v>0.18</v>
      </c>
      <c r="L342" s="83">
        <f t="shared" si="1509"/>
        <v>0.16</v>
      </c>
      <c r="M342" s="83">
        <f t="shared" si="1509"/>
        <v>0.16</v>
      </c>
      <c r="N342" s="83">
        <f t="shared" si="1509"/>
        <v>0.16</v>
      </c>
      <c r="O342" s="83">
        <f t="shared" si="1509"/>
        <v>0.16</v>
      </c>
      <c r="P342" s="83">
        <f t="shared" si="1509"/>
        <v>0.16</v>
      </c>
      <c r="Q342" s="83">
        <f t="shared" si="1509"/>
        <v>0.16</v>
      </c>
      <c r="R342" s="83">
        <f t="shared" si="1509"/>
        <v>0.16</v>
      </c>
      <c r="S342" s="83">
        <f t="shared" si="1509"/>
        <v>0.16</v>
      </c>
      <c r="T342" s="83">
        <f t="shared" si="1509"/>
        <v>0.16</v>
      </c>
      <c r="U342" s="83">
        <f t="shared" si="1509"/>
        <v>0.16</v>
      </c>
      <c r="V342" s="83">
        <f t="shared" si="1509"/>
        <v>0.16</v>
      </c>
      <c r="W342" s="83">
        <f t="shared" si="1509"/>
        <v>0.16</v>
      </c>
    </row>
    <row r="343" spans="3:23" x14ac:dyDescent="0.25">
      <c r="C343" s="78" t="str">
        <f t="shared" si="1503"/>
        <v>CASETA G5</v>
      </c>
      <c r="D343" s="86" t="s">
        <v>74</v>
      </c>
      <c r="E343" s="83">
        <f t="shared" ref="E343:W343" si="1510">VLOOKUP(E$168,CST5G1,11,0)</f>
        <v>0</v>
      </c>
      <c r="F343" s="83">
        <f t="shared" si="1510"/>
        <v>0</v>
      </c>
      <c r="G343" s="83">
        <f t="shared" si="1510"/>
        <v>0</v>
      </c>
      <c r="H343" s="83">
        <f t="shared" si="1510"/>
        <v>0</v>
      </c>
      <c r="I343" s="83">
        <f t="shared" si="1510"/>
        <v>0</v>
      </c>
      <c r="J343" s="83">
        <f t="shared" si="1510"/>
        <v>0</v>
      </c>
      <c r="K343" s="83">
        <f t="shared" si="1510"/>
        <v>0</v>
      </c>
      <c r="L343" s="83">
        <f t="shared" si="1510"/>
        <v>0</v>
      </c>
      <c r="M343" s="83">
        <f t="shared" si="1510"/>
        <v>0</v>
      </c>
      <c r="N343" s="83">
        <f t="shared" si="1510"/>
        <v>0</v>
      </c>
      <c r="O343" s="83">
        <f t="shared" si="1510"/>
        <v>0</v>
      </c>
      <c r="P343" s="83">
        <f t="shared" si="1510"/>
        <v>2.7411904990337307E-3</v>
      </c>
      <c r="Q343" s="83">
        <f t="shared" si="1510"/>
        <v>1.2086053325971758E-2</v>
      </c>
      <c r="R343" s="83">
        <f t="shared" si="1510"/>
        <v>1.5121639656530602E-2</v>
      </c>
      <c r="S343" s="83">
        <f t="shared" si="1510"/>
        <v>1.0090135584739063E-2</v>
      </c>
      <c r="T343" s="83">
        <f t="shared" si="1510"/>
        <v>5.0478842640893935E-3</v>
      </c>
      <c r="U343" s="83">
        <f t="shared" si="1510"/>
        <v>0</v>
      </c>
      <c r="V343" s="83">
        <f t="shared" si="1510"/>
        <v>0</v>
      </c>
      <c r="W343" s="83">
        <f t="shared" si="1510"/>
        <v>0</v>
      </c>
    </row>
    <row r="344" spans="3:23" ht="25.5" x14ac:dyDescent="0.25">
      <c r="C344" s="78" t="str">
        <f t="shared" si="1503"/>
        <v>CASETA G5</v>
      </c>
      <c r="D344" s="87" t="s">
        <v>49</v>
      </c>
      <c r="E344" s="83">
        <f t="shared" ref="E344:W344" si="1511">VLOOKUP(E$168,CST5G1,12,0)</f>
        <v>0.7</v>
      </c>
      <c r="F344" s="83">
        <f t="shared" si="1511"/>
        <v>0.7</v>
      </c>
      <c r="G344" s="83">
        <f t="shared" si="1511"/>
        <v>1.4</v>
      </c>
      <c r="H344" s="83">
        <f t="shared" si="1511"/>
        <v>1.9</v>
      </c>
      <c r="I344" s="83">
        <f t="shared" si="1511"/>
        <v>2.1999999999999997</v>
      </c>
      <c r="J344" s="83">
        <f t="shared" si="1511"/>
        <v>2.38</v>
      </c>
      <c r="K344" s="83">
        <f t="shared" si="1511"/>
        <v>2.56</v>
      </c>
      <c r="L344" s="83">
        <f t="shared" si="1511"/>
        <v>2.72</v>
      </c>
      <c r="M344" s="83">
        <f t="shared" si="1511"/>
        <v>2.8800000000000003</v>
      </c>
      <c r="N344" s="83">
        <f t="shared" si="1511"/>
        <v>3.0400000000000005</v>
      </c>
      <c r="O344" s="83">
        <f t="shared" si="1511"/>
        <v>3.2000000000000006</v>
      </c>
      <c r="P344" s="83">
        <f t="shared" si="1511"/>
        <v>3.3600000000000008</v>
      </c>
      <c r="Q344" s="83">
        <f t="shared" si="1511"/>
        <v>3.5200000000000009</v>
      </c>
      <c r="R344" s="83">
        <f t="shared" si="1511"/>
        <v>3.680000000000001</v>
      </c>
      <c r="S344" s="83">
        <f t="shared" si="1511"/>
        <v>3.8400000000000012</v>
      </c>
      <c r="T344" s="83">
        <f t="shared" si="1511"/>
        <v>4.0000000000000009</v>
      </c>
      <c r="U344" s="83">
        <f t="shared" si="1511"/>
        <v>4.160000000000001</v>
      </c>
      <c r="V344" s="83">
        <f t="shared" si="1511"/>
        <v>4.3200000000000012</v>
      </c>
      <c r="W344" s="83">
        <f t="shared" si="1511"/>
        <v>4.4800000000000013</v>
      </c>
    </row>
    <row r="345" spans="3:23" ht="25.5" x14ac:dyDescent="0.25">
      <c r="C345" s="78" t="str">
        <f t="shared" si="1503"/>
        <v>CASETA G5</v>
      </c>
      <c r="D345" s="87" t="s">
        <v>73</v>
      </c>
      <c r="E345" s="83">
        <f t="shared" ref="E345:W345" si="1512">VLOOKUP(E$168,CST5G1,13,0)</f>
        <v>0</v>
      </c>
      <c r="F345" s="83">
        <f t="shared" si="1512"/>
        <v>0</v>
      </c>
      <c r="G345" s="83">
        <f t="shared" si="1512"/>
        <v>0</v>
      </c>
      <c r="H345" s="83">
        <f t="shared" si="1512"/>
        <v>0</v>
      </c>
      <c r="I345" s="83">
        <f t="shared" si="1512"/>
        <v>0</v>
      </c>
      <c r="J345" s="83">
        <f t="shared" si="1512"/>
        <v>0</v>
      </c>
      <c r="K345" s="83">
        <f t="shared" si="1512"/>
        <v>0</v>
      </c>
      <c r="L345" s="83">
        <f t="shared" si="1512"/>
        <v>0</v>
      </c>
      <c r="M345" s="83">
        <f t="shared" si="1512"/>
        <v>0</v>
      </c>
      <c r="N345" s="83">
        <f t="shared" si="1512"/>
        <v>0</v>
      </c>
      <c r="O345" s="83">
        <f t="shared" si="1512"/>
        <v>0</v>
      </c>
      <c r="P345" s="83">
        <f t="shared" si="1512"/>
        <v>1.3646288209606987E-2</v>
      </c>
      <c r="Q345" s="83">
        <f t="shared" si="1512"/>
        <v>9.8667982239763197E-2</v>
      </c>
      <c r="R345" s="83">
        <f t="shared" si="1512"/>
        <v>0.20438367749665234</v>
      </c>
      <c r="S345" s="83">
        <f t="shared" si="1512"/>
        <v>0.27486080766791177</v>
      </c>
      <c r="T345" s="83">
        <f t="shared" si="1512"/>
        <v>0.31009937275354149</v>
      </c>
      <c r="U345" s="83">
        <f t="shared" si="1512"/>
        <v>0.31009937275354149</v>
      </c>
      <c r="V345" s="83">
        <f t="shared" si="1512"/>
        <v>0.31009937275354149</v>
      </c>
      <c r="W345" s="83">
        <f t="shared" si="1512"/>
        <v>0.31009937275354149</v>
      </c>
    </row>
    <row r="346" spans="3:23" x14ac:dyDescent="0.25">
      <c r="C346" s="78" t="str">
        <f t="shared" si="1503"/>
        <v>CASETA G5</v>
      </c>
      <c r="D346" s="23" t="s">
        <v>9</v>
      </c>
      <c r="E346" s="83">
        <f t="shared" ref="E346:W346" si="1513">VLOOKUP(E$168,CST5G1,14,0)</f>
        <v>0</v>
      </c>
      <c r="F346" s="83">
        <f t="shared" si="1513"/>
        <v>0</v>
      </c>
      <c r="G346" s="83">
        <f t="shared" si="1513"/>
        <v>0</v>
      </c>
      <c r="H346" s="83">
        <f t="shared" si="1513"/>
        <v>0</v>
      </c>
      <c r="I346" s="83">
        <f t="shared" si="1513"/>
        <v>0</v>
      </c>
      <c r="J346" s="83">
        <f t="shared" si="1513"/>
        <v>0</v>
      </c>
      <c r="K346" s="83">
        <f t="shared" si="1513"/>
        <v>0</v>
      </c>
      <c r="L346" s="83">
        <f t="shared" si="1513"/>
        <v>0</v>
      </c>
      <c r="M346" s="83">
        <f t="shared" si="1513"/>
        <v>0</v>
      </c>
      <c r="N346" s="83">
        <f t="shared" si="1513"/>
        <v>0</v>
      </c>
      <c r="O346" s="83">
        <f t="shared" si="1513"/>
        <v>0</v>
      </c>
      <c r="P346" s="83">
        <f t="shared" si="1513"/>
        <v>0</v>
      </c>
      <c r="Q346" s="83">
        <f t="shared" si="1513"/>
        <v>4810</v>
      </c>
      <c r="R346" s="83">
        <f t="shared" si="1513"/>
        <v>10360</v>
      </c>
      <c r="S346" s="83">
        <f t="shared" si="1513"/>
        <v>9250</v>
      </c>
      <c r="T346" s="83">
        <f t="shared" si="1513"/>
        <v>5550</v>
      </c>
      <c r="U346" s="83">
        <f t="shared" si="1513"/>
        <v>0</v>
      </c>
      <c r="V346" s="83">
        <f t="shared" si="1513"/>
        <v>0</v>
      </c>
      <c r="W346" s="83">
        <f t="shared" si="1513"/>
        <v>0</v>
      </c>
    </row>
    <row r="347" spans="3:23" ht="25.5" x14ac:dyDescent="0.25">
      <c r="C347" s="78" t="str">
        <f t="shared" si="1503"/>
        <v>CASETA G5</v>
      </c>
      <c r="D347" s="86" t="s">
        <v>75</v>
      </c>
      <c r="E347" s="83">
        <f t="shared" ref="E347:W347" si="1514">VLOOKUP(E$168,CST5G1,15,0)</f>
        <v>10</v>
      </c>
      <c r="F347" s="83">
        <f t="shared" si="1514"/>
        <v>10</v>
      </c>
      <c r="G347" s="83">
        <f t="shared" si="1514"/>
        <v>17</v>
      </c>
      <c r="H347" s="83">
        <f t="shared" si="1514"/>
        <v>23</v>
      </c>
      <c r="I347" s="83">
        <f t="shared" si="1514"/>
        <v>29</v>
      </c>
      <c r="J347" s="83">
        <f t="shared" si="1514"/>
        <v>34</v>
      </c>
      <c r="K347" s="83">
        <f t="shared" si="1514"/>
        <v>38</v>
      </c>
      <c r="L347" s="83">
        <f t="shared" si="1514"/>
        <v>42</v>
      </c>
      <c r="M347" s="83">
        <f t="shared" si="1514"/>
        <v>46</v>
      </c>
      <c r="N347" s="83">
        <f t="shared" si="1514"/>
        <v>49</v>
      </c>
      <c r="O347" s="83">
        <f t="shared" si="1514"/>
        <v>52</v>
      </c>
      <c r="P347" s="83">
        <f t="shared" si="1514"/>
        <v>55</v>
      </c>
      <c r="Q347" s="83">
        <f t="shared" si="1514"/>
        <v>58</v>
      </c>
      <c r="R347" s="83">
        <f t="shared" si="1514"/>
        <v>61</v>
      </c>
      <c r="S347" s="83">
        <f t="shared" si="1514"/>
        <v>64</v>
      </c>
      <c r="T347" s="83">
        <f t="shared" si="1514"/>
        <v>67</v>
      </c>
      <c r="U347" s="83">
        <f t="shared" si="1514"/>
        <v>71</v>
      </c>
      <c r="V347" s="83">
        <f t="shared" si="1514"/>
        <v>75</v>
      </c>
      <c r="W347" s="83">
        <f t="shared" si="1514"/>
        <v>79</v>
      </c>
    </row>
    <row r="348" spans="3:23" ht="25.5" x14ac:dyDescent="0.25">
      <c r="C348" s="78" t="str">
        <f t="shared" si="1503"/>
        <v>CASETA G5</v>
      </c>
      <c r="D348" s="86" t="s">
        <v>62</v>
      </c>
      <c r="E348" s="83">
        <f t="shared" ref="E348:W348" si="1515">VLOOKUP(E$168,CST5G1,16,0)</f>
        <v>0</v>
      </c>
      <c r="F348" s="83">
        <f t="shared" si="1515"/>
        <v>0</v>
      </c>
      <c r="G348" s="83">
        <f t="shared" si="1515"/>
        <v>0</v>
      </c>
      <c r="H348" s="83">
        <f t="shared" si="1515"/>
        <v>0</v>
      </c>
      <c r="I348" s="83">
        <f t="shared" si="1515"/>
        <v>0</v>
      </c>
      <c r="J348" s="83">
        <f t="shared" si="1515"/>
        <v>0</v>
      </c>
      <c r="K348" s="83">
        <f t="shared" si="1515"/>
        <v>0</v>
      </c>
      <c r="L348" s="83">
        <f t="shared" si="1515"/>
        <v>0</v>
      </c>
      <c r="M348" s="83">
        <f t="shared" si="1515"/>
        <v>0</v>
      </c>
      <c r="N348" s="83">
        <f t="shared" si="1515"/>
        <v>0</v>
      </c>
      <c r="O348" s="83">
        <f t="shared" si="1515"/>
        <v>0</v>
      </c>
      <c r="P348" s="83">
        <f t="shared" si="1515"/>
        <v>0</v>
      </c>
      <c r="Q348" s="83">
        <f t="shared" si="1515"/>
        <v>48.427856589108259</v>
      </c>
      <c r="R348" s="83">
        <f t="shared" si="1515"/>
        <v>104.39444170134725</v>
      </c>
      <c r="S348" s="83">
        <f t="shared" si="1515"/>
        <v>93.308047693021564</v>
      </c>
      <c r="T348" s="83">
        <f t="shared" si="1515"/>
        <v>56.024388274246952</v>
      </c>
      <c r="U348" s="83">
        <f t="shared" si="1515"/>
        <v>0</v>
      </c>
      <c r="V348" s="83">
        <f t="shared" si="1515"/>
        <v>0</v>
      </c>
      <c r="W348" s="83">
        <f t="shared" si="1515"/>
        <v>0</v>
      </c>
    </row>
    <row r="349" spans="3:23" ht="25.5" x14ac:dyDescent="0.25">
      <c r="C349" s="78" t="str">
        <f t="shared" si="1503"/>
        <v>CASETA G5</v>
      </c>
      <c r="D349" s="24" t="s">
        <v>50</v>
      </c>
      <c r="E349" s="83">
        <f t="shared" ref="E349:W349" si="1516">VLOOKUP(E$168,CST5G1,17,0)</f>
        <v>0</v>
      </c>
      <c r="F349" s="83">
        <f t="shared" si="1516"/>
        <v>0</v>
      </c>
      <c r="G349" s="83">
        <f t="shared" si="1516"/>
        <v>0</v>
      </c>
      <c r="H349" s="83">
        <f t="shared" si="1516"/>
        <v>0</v>
      </c>
      <c r="I349" s="83">
        <f t="shared" si="1516"/>
        <v>0</v>
      </c>
      <c r="J349" s="83">
        <f t="shared" si="1516"/>
        <v>0</v>
      </c>
      <c r="K349" s="83">
        <f t="shared" si="1516"/>
        <v>0</v>
      </c>
      <c r="L349" s="83">
        <f t="shared" si="1516"/>
        <v>0</v>
      </c>
      <c r="M349" s="83">
        <f t="shared" si="1516"/>
        <v>0</v>
      </c>
      <c r="N349" s="83">
        <f t="shared" si="1516"/>
        <v>0</v>
      </c>
      <c r="O349" s="83">
        <f t="shared" si="1516"/>
        <v>0</v>
      </c>
      <c r="P349" s="83">
        <f t="shared" si="1516"/>
        <v>0</v>
      </c>
      <c r="Q349" s="83">
        <f t="shared" si="1516"/>
        <v>339.14852930209503</v>
      </c>
      <c r="R349" s="83">
        <f t="shared" si="1516"/>
        <v>1070.1932818816697</v>
      </c>
      <c r="S349" s="83">
        <f t="shared" si="1516"/>
        <v>1723.5498525087528</v>
      </c>
      <c r="T349" s="83">
        <f t="shared" si="1516"/>
        <v>2115.7658400333685</v>
      </c>
      <c r="U349" s="83">
        <f t="shared" si="1516"/>
        <v>2115.7658400333685</v>
      </c>
      <c r="V349" s="83">
        <f t="shared" si="1516"/>
        <v>2115.7658400333685</v>
      </c>
      <c r="W349" s="83">
        <f t="shared" si="1516"/>
        <v>2115.7658400333685</v>
      </c>
    </row>
    <row r="350" spans="3:23" x14ac:dyDescent="0.25">
      <c r="C350" s="78" t="str">
        <f t="shared" si="1503"/>
        <v>CASETA G5</v>
      </c>
      <c r="D350" s="86" t="s">
        <v>63</v>
      </c>
      <c r="E350" s="83">
        <f t="shared" ref="E350:W350" si="1517">VLOOKUP(E$168,CST5G1,18,0)</f>
        <v>40</v>
      </c>
      <c r="F350" s="83">
        <f t="shared" si="1517"/>
        <v>70</v>
      </c>
      <c r="G350" s="83">
        <f t="shared" si="1517"/>
        <v>120</v>
      </c>
      <c r="H350" s="83">
        <f t="shared" si="1517"/>
        <v>185</v>
      </c>
      <c r="I350" s="83">
        <f t="shared" si="1517"/>
        <v>255</v>
      </c>
      <c r="J350" s="83">
        <f t="shared" si="1517"/>
        <v>334</v>
      </c>
      <c r="K350" s="83">
        <f t="shared" si="1517"/>
        <v>425</v>
      </c>
      <c r="L350" s="83">
        <f t="shared" si="1517"/>
        <v>524</v>
      </c>
      <c r="M350" s="83">
        <f t="shared" si="1517"/>
        <v>618</v>
      </c>
      <c r="N350" s="83">
        <f t="shared" si="1517"/>
        <v>712</v>
      </c>
      <c r="O350" s="83">
        <f t="shared" si="1517"/>
        <v>802</v>
      </c>
      <c r="P350" s="83">
        <f t="shared" si="1517"/>
        <v>880</v>
      </c>
      <c r="Q350" s="83">
        <f t="shared" si="1517"/>
        <v>950</v>
      </c>
      <c r="R350" s="83">
        <f t="shared" si="1517"/>
        <v>1010</v>
      </c>
      <c r="S350" s="83">
        <f t="shared" si="1517"/>
        <v>1065</v>
      </c>
      <c r="T350" s="83">
        <f t="shared" si="1517"/>
        <v>1115</v>
      </c>
      <c r="U350" s="83">
        <f t="shared" si="1517"/>
        <v>1160</v>
      </c>
      <c r="V350" s="83">
        <f t="shared" si="1517"/>
        <v>1207</v>
      </c>
      <c r="W350" s="83">
        <f t="shared" si="1517"/>
        <v>1257</v>
      </c>
    </row>
    <row r="351" spans="3:23" x14ac:dyDescent="0.25">
      <c r="C351" s="78" t="str">
        <f t="shared" si="1503"/>
        <v>CASETA G5</v>
      </c>
      <c r="D351" s="86" t="s">
        <v>64</v>
      </c>
      <c r="E351" s="83">
        <f t="shared" ref="E351:W351" si="1518">VLOOKUP(E$168,CST5G1,19,0)</f>
        <v>0</v>
      </c>
      <c r="F351" s="83">
        <f t="shared" si="1518"/>
        <v>0</v>
      </c>
      <c r="G351" s="83">
        <f t="shared" si="1518"/>
        <v>0</v>
      </c>
      <c r="H351" s="83">
        <f t="shared" si="1518"/>
        <v>0</v>
      </c>
      <c r="I351" s="83">
        <f t="shared" si="1518"/>
        <v>0</v>
      </c>
      <c r="J351" s="83">
        <f t="shared" si="1518"/>
        <v>0</v>
      </c>
      <c r="K351" s="83">
        <f t="shared" si="1518"/>
        <v>0</v>
      </c>
      <c r="L351" s="83">
        <f t="shared" si="1518"/>
        <v>0</v>
      </c>
      <c r="M351" s="83">
        <f t="shared" si="1518"/>
        <v>0</v>
      </c>
      <c r="N351" s="83">
        <f t="shared" si="1518"/>
        <v>0</v>
      </c>
      <c r="O351" s="83">
        <f t="shared" si="1518"/>
        <v>0</v>
      </c>
      <c r="P351" s="83">
        <f t="shared" si="1518"/>
        <v>0</v>
      </c>
      <c r="Q351" s="83">
        <f t="shared" si="1518"/>
        <v>851</v>
      </c>
      <c r="R351" s="83">
        <f t="shared" si="1518"/>
        <v>946</v>
      </c>
      <c r="S351" s="83">
        <f t="shared" si="1518"/>
        <v>1000</v>
      </c>
      <c r="T351" s="83">
        <f t="shared" si="1518"/>
        <v>1100</v>
      </c>
      <c r="U351" s="83">
        <f t="shared" si="1518"/>
        <v>0</v>
      </c>
      <c r="V351" s="83">
        <f t="shared" si="1518"/>
        <v>0</v>
      </c>
      <c r="W351" s="83">
        <f t="shared" si="1518"/>
        <v>0</v>
      </c>
    </row>
    <row r="352" spans="3:23" x14ac:dyDescent="0.25">
      <c r="C352" s="78" t="str">
        <f t="shared" si="1503"/>
        <v>CASETA G5</v>
      </c>
      <c r="D352" s="23" t="s">
        <v>15</v>
      </c>
      <c r="E352" s="83">
        <f>E350-E351</f>
        <v>40</v>
      </c>
      <c r="F352" s="83">
        <f t="shared" ref="F352:W352" si="1519">F350-F351</f>
        <v>70</v>
      </c>
      <c r="G352" s="83">
        <f t="shared" si="1519"/>
        <v>120</v>
      </c>
      <c r="H352" s="83">
        <f t="shared" si="1519"/>
        <v>185</v>
      </c>
      <c r="I352" s="83">
        <f t="shared" si="1519"/>
        <v>255</v>
      </c>
      <c r="J352" s="83">
        <f t="shared" si="1519"/>
        <v>334</v>
      </c>
      <c r="K352" s="83">
        <f t="shared" si="1519"/>
        <v>425</v>
      </c>
      <c r="L352" s="83">
        <f t="shared" si="1519"/>
        <v>524</v>
      </c>
      <c r="M352" s="83">
        <f t="shared" si="1519"/>
        <v>618</v>
      </c>
      <c r="N352" s="83">
        <f t="shared" si="1519"/>
        <v>712</v>
      </c>
      <c r="O352" s="83">
        <f t="shared" si="1519"/>
        <v>802</v>
      </c>
      <c r="P352" s="83">
        <f t="shared" si="1519"/>
        <v>880</v>
      </c>
      <c r="Q352" s="83">
        <f t="shared" si="1519"/>
        <v>99</v>
      </c>
      <c r="R352" s="83">
        <f t="shared" si="1519"/>
        <v>64</v>
      </c>
      <c r="S352" s="83">
        <f t="shared" si="1519"/>
        <v>65</v>
      </c>
      <c r="T352" s="83">
        <f t="shared" si="1519"/>
        <v>15</v>
      </c>
      <c r="U352" s="83">
        <f t="shared" si="1519"/>
        <v>1160</v>
      </c>
      <c r="V352" s="83">
        <f t="shared" si="1519"/>
        <v>1207</v>
      </c>
      <c r="W352" s="83">
        <f t="shared" si="1519"/>
        <v>1257</v>
      </c>
    </row>
    <row r="353" spans="3:23" ht="25.5" x14ac:dyDescent="0.25">
      <c r="C353" s="78" t="str">
        <f t="shared" si="1503"/>
        <v>CASETA G5</v>
      </c>
      <c r="D353" s="86" t="s">
        <v>65</v>
      </c>
      <c r="E353" s="83">
        <f t="shared" ref="E353:W353" si="1520">VLOOKUP(E$168,CST5G1,21,0)</f>
        <v>77</v>
      </c>
      <c r="F353" s="83">
        <f t="shared" si="1520"/>
        <v>77</v>
      </c>
      <c r="G353" s="83">
        <f t="shared" si="1520"/>
        <v>77</v>
      </c>
      <c r="H353" s="83">
        <f t="shared" si="1520"/>
        <v>77</v>
      </c>
      <c r="I353" s="83">
        <f t="shared" si="1520"/>
        <v>79</v>
      </c>
      <c r="J353" s="83">
        <f t="shared" si="1520"/>
        <v>79</v>
      </c>
      <c r="K353" s="83">
        <f t="shared" si="1520"/>
        <v>79</v>
      </c>
      <c r="L353" s="83">
        <f t="shared" si="1520"/>
        <v>79</v>
      </c>
      <c r="M353" s="83">
        <f t="shared" si="1520"/>
        <v>79</v>
      </c>
      <c r="N353" s="83">
        <f t="shared" si="1520"/>
        <v>79</v>
      </c>
      <c r="O353" s="83">
        <f t="shared" si="1520"/>
        <v>80</v>
      </c>
      <c r="P353" s="83">
        <f t="shared" si="1520"/>
        <v>80</v>
      </c>
      <c r="Q353" s="83">
        <f t="shared" si="1520"/>
        <v>82</v>
      </c>
      <c r="R353" s="83">
        <f t="shared" si="1520"/>
        <v>82</v>
      </c>
      <c r="S353" s="83">
        <f t="shared" si="1520"/>
        <v>84</v>
      </c>
      <c r="T353" s="83">
        <f t="shared" si="1520"/>
        <v>86</v>
      </c>
      <c r="U353" s="83">
        <f t="shared" si="1520"/>
        <v>86</v>
      </c>
      <c r="V353" s="83">
        <f t="shared" si="1520"/>
        <v>86</v>
      </c>
      <c r="W353" s="83">
        <f t="shared" si="1520"/>
        <v>86</v>
      </c>
    </row>
    <row r="354" spans="3:23" ht="25.5" x14ac:dyDescent="0.25">
      <c r="C354" s="78" t="str">
        <f t="shared" si="1503"/>
        <v>CASETA G5</v>
      </c>
      <c r="D354" s="86" t="s">
        <v>66</v>
      </c>
      <c r="E354" s="83">
        <f t="shared" ref="E354:W354" si="1521">VLOOKUP(E$168,CST5G1,22,0)</f>
        <v>0</v>
      </c>
      <c r="F354" s="83">
        <f t="shared" si="1521"/>
        <v>0</v>
      </c>
      <c r="G354" s="83">
        <f t="shared" si="1521"/>
        <v>0</v>
      </c>
      <c r="H354" s="83">
        <f t="shared" si="1521"/>
        <v>0</v>
      </c>
      <c r="I354" s="83">
        <f t="shared" si="1521"/>
        <v>0</v>
      </c>
      <c r="J354" s="83">
        <f t="shared" si="1521"/>
        <v>0</v>
      </c>
      <c r="K354" s="83">
        <f t="shared" si="1521"/>
        <v>0</v>
      </c>
      <c r="L354" s="83">
        <f t="shared" si="1521"/>
        <v>0</v>
      </c>
      <c r="M354" s="83">
        <f t="shared" si="1521"/>
        <v>0</v>
      </c>
      <c r="N354" s="83">
        <f t="shared" si="1521"/>
        <v>0</v>
      </c>
      <c r="O354" s="83">
        <f t="shared" si="1521"/>
        <v>0</v>
      </c>
      <c r="P354" s="83">
        <f t="shared" si="1521"/>
        <v>0</v>
      </c>
      <c r="Q354" s="83">
        <f t="shared" si="1521"/>
        <v>65</v>
      </c>
      <c r="R354" s="83">
        <f t="shared" si="1521"/>
        <v>75</v>
      </c>
      <c r="S354" s="83">
        <f t="shared" si="1521"/>
        <v>72</v>
      </c>
      <c r="T354" s="83">
        <f t="shared" si="1521"/>
        <v>78</v>
      </c>
      <c r="U354" s="83">
        <f t="shared" si="1521"/>
        <v>0</v>
      </c>
      <c r="V354" s="83">
        <f t="shared" si="1521"/>
        <v>0</v>
      </c>
      <c r="W354" s="83">
        <f t="shared" si="1521"/>
        <v>0</v>
      </c>
    </row>
    <row r="355" spans="3:23" x14ac:dyDescent="0.25">
      <c r="C355" s="78" t="str">
        <f>C354</f>
        <v>CASETA G5</v>
      </c>
      <c r="D355" s="23" t="s">
        <v>15</v>
      </c>
      <c r="E355" s="85">
        <f>E353-E354</f>
        <v>77</v>
      </c>
      <c r="F355" s="85">
        <f t="shared" ref="F355:W355" si="1522">F353-F354</f>
        <v>77</v>
      </c>
      <c r="G355" s="85">
        <f t="shared" si="1522"/>
        <v>77</v>
      </c>
      <c r="H355" s="85">
        <f t="shared" si="1522"/>
        <v>77</v>
      </c>
      <c r="I355" s="85">
        <f t="shared" si="1522"/>
        <v>79</v>
      </c>
      <c r="J355" s="85">
        <f t="shared" si="1522"/>
        <v>79</v>
      </c>
      <c r="K355" s="85">
        <f t="shared" si="1522"/>
        <v>79</v>
      </c>
      <c r="L355" s="85">
        <f t="shared" si="1522"/>
        <v>79</v>
      </c>
      <c r="M355" s="85">
        <f t="shared" si="1522"/>
        <v>79</v>
      </c>
      <c r="N355" s="85">
        <f t="shared" si="1522"/>
        <v>79</v>
      </c>
      <c r="O355" s="85">
        <f t="shared" si="1522"/>
        <v>80</v>
      </c>
      <c r="P355" s="85">
        <f t="shared" si="1522"/>
        <v>80</v>
      </c>
      <c r="Q355" s="85">
        <f t="shared" si="1522"/>
        <v>17</v>
      </c>
      <c r="R355" s="85">
        <f t="shared" si="1522"/>
        <v>7</v>
      </c>
      <c r="S355" s="85">
        <f t="shared" si="1522"/>
        <v>12</v>
      </c>
      <c r="T355" s="85">
        <f t="shared" si="1522"/>
        <v>8</v>
      </c>
      <c r="U355" s="85">
        <f t="shared" si="1522"/>
        <v>86</v>
      </c>
      <c r="V355" s="85">
        <f t="shared" si="1522"/>
        <v>86</v>
      </c>
      <c r="W355" s="85">
        <f t="shared" si="1522"/>
        <v>86</v>
      </c>
    </row>
    <row r="356" spans="3:23" x14ac:dyDescent="0.25">
      <c r="C356" s="78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</row>
    <row r="357" spans="3:23" x14ac:dyDescent="0.25">
      <c r="C357" s="78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</row>
    <row r="358" spans="3:23" ht="18" customHeight="1" x14ac:dyDescent="0.25">
      <c r="C358" s="77" t="s">
        <v>186</v>
      </c>
      <c r="D358" s="24" t="s">
        <v>67</v>
      </c>
      <c r="E358" s="83">
        <f t="shared" ref="E358:W358" si="1523">VLOOKUP(E$168,CST6G1,3,0)</f>
        <v>0</v>
      </c>
      <c r="F358" s="83">
        <f t="shared" si="1523"/>
        <v>0</v>
      </c>
      <c r="G358" s="83">
        <f t="shared" si="1523"/>
        <v>0</v>
      </c>
      <c r="H358" s="83">
        <f t="shared" si="1523"/>
        <v>0</v>
      </c>
      <c r="I358" s="83">
        <f t="shared" si="1523"/>
        <v>0</v>
      </c>
      <c r="J358" s="83">
        <f t="shared" si="1523"/>
        <v>0</v>
      </c>
      <c r="K358" s="83">
        <f t="shared" si="1523"/>
        <v>0</v>
      </c>
      <c r="L358" s="83">
        <f t="shared" si="1523"/>
        <v>0</v>
      </c>
      <c r="M358" s="83">
        <f t="shared" si="1523"/>
        <v>0</v>
      </c>
      <c r="N358" s="83">
        <f t="shared" si="1523"/>
        <v>0</v>
      </c>
      <c r="O358" s="83">
        <f t="shared" si="1523"/>
        <v>0</v>
      </c>
      <c r="P358" s="83">
        <f t="shared" si="1523"/>
        <v>0</v>
      </c>
      <c r="Q358" s="83">
        <f t="shared" si="1523"/>
        <v>9182</v>
      </c>
      <c r="R358" s="83">
        <f t="shared" si="1523"/>
        <v>9170</v>
      </c>
      <c r="S358" s="83">
        <f t="shared" si="1523"/>
        <v>9160</v>
      </c>
      <c r="T358" s="83">
        <f t="shared" si="1523"/>
        <v>9154</v>
      </c>
      <c r="U358" s="83">
        <f t="shared" si="1523"/>
        <v>9146</v>
      </c>
      <c r="V358" s="83">
        <f t="shared" si="1523"/>
        <v>9146</v>
      </c>
      <c r="W358" s="83">
        <f t="shared" si="1523"/>
        <v>9146</v>
      </c>
    </row>
    <row r="359" spans="3:23" x14ac:dyDescent="0.25">
      <c r="C359" s="78" t="str">
        <f>C358</f>
        <v>CASETA G6</v>
      </c>
      <c r="D359" s="24" t="s">
        <v>34</v>
      </c>
      <c r="E359" s="83">
        <f t="shared" ref="E359:W359" si="1524">VLOOKUP(E$168,CST6G1,4,0)</f>
        <v>0</v>
      </c>
      <c r="F359" s="83">
        <f t="shared" si="1524"/>
        <v>0</v>
      </c>
      <c r="G359" s="83">
        <f t="shared" si="1524"/>
        <v>0</v>
      </c>
      <c r="H359" s="83">
        <f t="shared" si="1524"/>
        <v>0</v>
      </c>
      <c r="I359" s="83">
        <f t="shared" si="1524"/>
        <v>0</v>
      </c>
      <c r="J359" s="83">
        <f t="shared" si="1524"/>
        <v>0</v>
      </c>
      <c r="K359" s="83">
        <f t="shared" si="1524"/>
        <v>0</v>
      </c>
      <c r="L359" s="83">
        <f t="shared" si="1524"/>
        <v>0</v>
      </c>
      <c r="M359" s="83">
        <f t="shared" si="1524"/>
        <v>0</v>
      </c>
      <c r="N359" s="83">
        <f t="shared" si="1524"/>
        <v>0</v>
      </c>
      <c r="O359" s="83">
        <f t="shared" si="1524"/>
        <v>0</v>
      </c>
      <c r="P359" s="83">
        <f t="shared" si="1524"/>
        <v>0</v>
      </c>
      <c r="Q359" s="83">
        <f t="shared" si="1524"/>
        <v>9170</v>
      </c>
      <c r="R359" s="83">
        <f t="shared" si="1524"/>
        <v>9160</v>
      </c>
      <c r="S359" s="83">
        <f t="shared" si="1524"/>
        <v>9154</v>
      </c>
      <c r="T359" s="83">
        <f t="shared" si="1524"/>
        <v>9146</v>
      </c>
      <c r="U359" s="83">
        <f t="shared" si="1524"/>
        <v>9146</v>
      </c>
      <c r="V359" s="83">
        <f t="shared" si="1524"/>
        <v>9146</v>
      </c>
      <c r="W359" s="83">
        <f t="shared" si="1524"/>
        <v>9146</v>
      </c>
    </row>
    <row r="360" spans="3:23" x14ac:dyDescent="0.25">
      <c r="C360" s="78" t="str">
        <f t="shared" ref="C360:C378" si="1525">C359</f>
        <v>CASETA G6</v>
      </c>
      <c r="D360" s="23" t="s">
        <v>27</v>
      </c>
      <c r="E360" s="83">
        <f t="shared" ref="E360:W360" si="1526">VLOOKUP(E$168,CST6G1,5,0)</f>
        <v>0</v>
      </c>
      <c r="F360" s="83">
        <f t="shared" si="1526"/>
        <v>0</v>
      </c>
      <c r="G360" s="83">
        <f t="shared" si="1526"/>
        <v>0</v>
      </c>
      <c r="H360" s="83">
        <f t="shared" si="1526"/>
        <v>0</v>
      </c>
      <c r="I360" s="83">
        <f t="shared" si="1526"/>
        <v>0</v>
      </c>
      <c r="J360" s="83">
        <f t="shared" si="1526"/>
        <v>0</v>
      </c>
      <c r="K360" s="83">
        <f t="shared" si="1526"/>
        <v>0</v>
      </c>
      <c r="L360" s="83">
        <f t="shared" si="1526"/>
        <v>0</v>
      </c>
      <c r="M360" s="83">
        <f t="shared" si="1526"/>
        <v>0</v>
      </c>
      <c r="N360" s="83">
        <f t="shared" si="1526"/>
        <v>0</v>
      </c>
      <c r="O360" s="83">
        <f t="shared" si="1526"/>
        <v>0</v>
      </c>
      <c r="P360" s="83">
        <f t="shared" si="1526"/>
        <v>0</v>
      </c>
      <c r="Q360" s="83">
        <f t="shared" si="1526"/>
        <v>0</v>
      </c>
      <c r="R360" s="83">
        <f t="shared" si="1526"/>
        <v>0</v>
      </c>
      <c r="S360" s="83">
        <f t="shared" si="1526"/>
        <v>0</v>
      </c>
      <c r="T360" s="83">
        <f t="shared" si="1526"/>
        <v>0</v>
      </c>
      <c r="U360" s="83">
        <f t="shared" si="1526"/>
        <v>0</v>
      </c>
      <c r="V360" s="83">
        <f t="shared" si="1526"/>
        <v>0</v>
      </c>
      <c r="W360" s="83">
        <f t="shared" si="1526"/>
        <v>0</v>
      </c>
    </row>
    <row r="361" spans="3:23" x14ac:dyDescent="0.25">
      <c r="C361" s="78" t="str">
        <f t="shared" si="1525"/>
        <v>CASETA G6</v>
      </c>
      <c r="D361" s="23" t="s">
        <v>16</v>
      </c>
      <c r="E361" s="83">
        <f t="shared" ref="E361:W361" si="1527">VLOOKUP(E$168,CST6G1,6,0)</f>
        <v>0</v>
      </c>
      <c r="F361" s="83">
        <f t="shared" si="1527"/>
        <v>0</v>
      </c>
      <c r="G361" s="83">
        <f t="shared" si="1527"/>
        <v>0</v>
      </c>
      <c r="H361" s="83">
        <f t="shared" si="1527"/>
        <v>0</v>
      </c>
      <c r="I361" s="83">
        <f t="shared" si="1527"/>
        <v>0</v>
      </c>
      <c r="J361" s="83">
        <f t="shared" si="1527"/>
        <v>0</v>
      </c>
      <c r="K361" s="83">
        <f t="shared" si="1527"/>
        <v>0</v>
      </c>
      <c r="L361" s="83">
        <f t="shared" si="1527"/>
        <v>0</v>
      </c>
      <c r="M361" s="83">
        <f t="shared" si="1527"/>
        <v>0</v>
      </c>
      <c r="N361" s="83">
        <f t="shared" si="1527"/>
        <v>0</v>
      </c>
      <c r="O361" s="83">
        <f t="shared" si="1527"/>
        <v>0</v>
      </c>
      <c r="P361" s="83">
        <f t="shared" si="1527"/>
        <v>0</v>
      </c>
      <c r="Q361" s="83">
        <f t="shared" si="1527"/>
        <v>12</v>
      </c>
      <c r="R361" s="83">
        <f t="shared" si="1527"/>
        <v>10</v>
      </c>
      <c r="S361" s="83">
        <f t="shared" si="1527"/>
        <v>6</v>
      </c>
      <c r="T361" s="83">
        <f t="shared" si="1527"/>
        <v>8</v>
      </c>
      <c r="U361" s="83">
        <f t="shared" si="1527"/>
        <v>0</v>
      </c>
      <c r="V361" s="83">
        <f t="shared" si="1527"/>
        <v>0</v>
      </c>
      <c r="W361" s="83">
        <f t="shared" si="1527"/>
        <v>0</v>
      </c>
    </row>
    <row r="362" spans="3:23" x14ac:dyDescent="0.25">
      <c r="C362" s="78" t="str">
        <f t="shared" si="1525"/>
        <v>CASETA G6</v>
      </c>
      <c r="D362" s="23" t="s">
        <v>17</v>
      </c>
      <c r="E362" s="83">
        <f t="shared" ref="E362:W362" si="1528">VLOOKUP(E$168,CST6G1,7,0)</f>
        <v>0</v>
      </c>
      <c r="F362" s="83">
        <f t="shared" si="1528"/>
        <v>0</v>
      </c>
      <c r="G362" s="83">
        <f t="shared" si="1528"/>
        <v>0</v>
      </c>
      <c r="H362" s="83">
        <f t="shared" si="1528"/>
        <v>0</v>
      </c>
      <c r="I362" s="83">
        <f t="shared" si="1528"/>
        <v>0</v>
      </c>
      <c r="J362" s="83">
        <f t="shared" si="1528"/>
        <v>0</v>
      </c>
      <c r="K362" s="83">
        <f t="shared" si="1528"/>
        <v>0</v>
      </c>
      <c r="L362" s="83">
        <f t="shared" si="1528"/>
        <v>0</v>
      </c>
      <c r="M362" s="83">
        <f t="shared" si="1528"/>
        <v>0</v>
      </c>
      <c r="N362" s="83">
        <f t="shared" si="1528"/>
        <v>0</v>
      </c>
      <c r="O362" s="83">
        <f t="shared" si="1528"/>
        <v>0</v>
      </c>
      <c r="P362" s="83">
        <f t="shared" si="1528"/>
        <v>0</v>
      </c>
      <c r="Q362" s="83">
        <f t="shared" si="1528"/>
        <v>0</v>
      </c>
      <c r="R362" s="83">
        <f t="shared" si="1528"/>
        <v>0</v>
      </c>
      <c r="S362" s="83">
        <f t="shared" si="1528"/>
        <v>0</v>
      </c>
      <c r="T362" s="83">
        <f t="shared" si="1528"/>
        <v>0</v>
      </c>
      <c r="U362" s="83">
        <f t="shared" si="1528"/>
        <v>0</v>
      </c>
      <c r="V362" s="83">
        <f t="shared" si="1528"/>
        <v>0</v>
      </c>
      <c r="W362" s="83">
        <f t="shared" si="1528"/>
        <v>0</v>
      </c>
    </row>
    <row r="363" spans="3:23" x14ac:dyDescent="0.25">
      <c r="C363" s="78" t="str">
        <f t="shared" si="1525"/>
        <v>CASETA G6</v>
      </c>
      <c r="D363" s="23" t="s">
        <v>18</v>
      </c>
      <c r="E363" s="83">
        <f>SUM(E360:E362)</f>
        <v>0</v>
      </c>
      <c r="F363" s="83">
        <f t="shared" ref="F363:W363" si="1529">SUM(F360:F362)</f>
        <v>0</v>
      </c>
      <c r="G363" s="83">
        <f t="shared" si="1529"/>
        <v>0</v>
      </c>
      <c r="H363" s="83">
        <f t="shared" si="1529"/>
        <v>0</v>
      </c>
      <c r="I363" s="83">
        <f t="shared" si="1529"/>
        <v>0</v>
      </c>
      <c r="J363" s="83">
        <f t="shared" si="1529"/>
        <v>0</v>
      </c>
      <c r="K363" s="83">
        <f t="shared" si="1529"/>
        <v>0</v>
      </c>
      <c r="L363" s="83">
        <f t="shared" si="1529"/>
        <v>0</v>
      </c>
      <c r="M363" s="83">
        <f t="shared" si="1529"/>
        <v>0</v>
      </c>
      <c r="N363" s="83">
        <f t="shared" si="1529"/>
        <v>0</v>
      </c>
      <c r="O363" s="83">
        <f t="shared" si="1529"/>
        <v>0</v>
      </c>
      <c r="P363" s="83">
        <f t="shared" si="1529"/>
        <v>0</v>
      </c>
      <c r="Q363" s="83">
        <f>SUM(Q360:Q362)</f>
        <v>12</v>
      </c>
      <c r="R363" s="83">
        <f t="shared" si="1529"/>
        <v>10</v>
      </c>
      <c r="S363" s="83">
        <f t="shared" si="1529"/>
        <v>6</v>
      </c>
      <c r="T363" s="83">
        <f t="shared" si="1529"/>
        <v>8</v>
      </c>
      <c r="U363" s="83">
        <f t="shared" si="1529"/>
        <v>0</v>
      </c>
      <c r="V363" s="83">
        <f t="shared" si="1529"/>
        <v>0</v>
      </c>
      <c r="W363" s="83">
        <f t="shared" si="1529"/>
        <v>0</v>
      </c>
    </row>
    <row r="364" spans="3:23" x14ac:dyDescent="0.25">
      <c r="C364" s="78" t="str">
        <f t="shared" si="1525"/>
        <v>CASETA G6</v>
      </c>
      <c r="D364" s="23" t="s">
        <v>48</v>
      </c>
      <c r="E364" s="83">
        <f t="shared" ref="E364:W364" si="1530">VLOOKUP(E$168,CST6G1,9,0)</f>
        <v>0</v>
      </c>
      <c r="F364" s="83">
        <f t="shared" si="1530"/>
        <v>0</v>
      </c>
      <c r="G364" s="83">
        <f t="shared" si="1530"/>
        <v>0</v>
      </c>
      <c r="H364" s="83">
        <f t="shared" si="1530"/>
        <v>0</v>
      </c>
      <c r="I364" s="83">
        <f t="shared" si="1530"/>
        <v>0</v>
      </c>
      <c r="J364" s="83">
        <f t="shared" si="1530"/>
        <v>0</v>
      </c>
      <c r="K364" s="83">
        <f t="shared" si="1530"/>
        <v>0</v>
      </c>
      <c r="L364" s="83">
        <f t="shared" si="1530"/>
        <v>0</v>
      </c>
      <c r="M364" s="83">
        <f t="shared" si="1530"/>
        <v>0</v>
      </c>
      <c r="N364" s="83">
        <f t="shared" si="1530"/>
        <v>0</v>
      </c>
      <c r="O364" s="83">
        <f t="shared" si="1530"/>
        <v>0</v>
      </c>
      <c r="P364" s="83">
        <f t="shared" si="1530"/>
        <v>0</v>
      </c>
      <c r="Q364" s="83">
        <f t="shared" si="1530"/>
        <v>12</v>
      </c>
      <c r="R364" s="83">
        <f t="shared" si="1530"/>
        <v>22</v>
      </c>
      <c r="S364" s="83">
        <f t="shared" si="1530"/>
        <v>28</v>
      </c>
      <c r="T364" s="83">
        <f t="shared" si="1530"/>
        <v>36</v>
      </c>
      <c r="U364" s="83">
        <f t="shared" si="1530"/>
        <v>36</v>
      </c>
      <c r="V364" s="83">
        <f t="shared" si="1530"/>
        <v>36</v>
      </c>
      <c r="W364" s="83">
        <f t="shared" si="1530"/>
        <v>36</v>
      </c>
    </row>
    <row r="365" spans="3:23" x14ac:dyDescent="0.25">
      <c r="C365" s="78" t="str">
        <f t="shared" si="1525"/>
        <v>CASETA G6</v>
      </c>
      <c r="D365" s="86" t="s">
        <v>72</v>
      </c>
      <c r="E365" s="83">
        <f t="shared" ref="E365:W365" si="1531">VLOOKUP(E$168,CST6G1,10,0)</f>
        <v>0.7</v>
      </c>
      <c r="F365" s="83">
        <f t="shared" si="1531"/>
        <v>0.7</v>
      </c>
      <c r="G365" s="83">
        <f t="shared" si="1531"/>
        <v>0.7</v>
      </c>
      <c r="H365" s="83">
        <f t="shared" si="1531"/>
        <v>0.5</v>
      </c>
      <c r="I365" s="83">
        <f t="shared" si="1531"/>
        <v>0.3</v>
      </c>
      <c r="J365" s="83">
        <f t="shared" si="1531"/>
        <v>0.18</v>
      </c>
      <c r="K365" s="83">
        <f t="shared" si="1531"/>
        <v>0.18</v>
      </c>
      <c r="L365" s="83">
        <f t="shared" si="1531"/>
        <v>0.16</v>
      </c>
      <c r="M365" s="83">
        <f t="shared" si="1531"/>
        <v>0.16</v>
      </c>
      <c r="N365" s="83">
        <f t="shared" si="1531"/>
        <v>0.16</v>
      </c>
      <c r="O365" s="83">
        <f t="shared" si="1531"/>
        <v>0.16</v>
      </c>
      <c r="P365" s="83">
        <f t="shared" si="1531"/>
        <v>0.16</v>
      </c>
      <c r="Q365" s="83">
        <f t="shared" si="1531"/>
        <v>0.16</v>
      </c>
      <c r="R365" s="83">
        <f t="shared" si="1531"/>
        <v>0.16</v>
      </c>
      <c r="S365" s="83">
        <f t="shared" si="1531"/>
        <v>0.16</v>
      </c>
      <c r="T365" s="83">
        <f t="shared" si="1531"/>
        <v>0.16</v>
      </c>
      <c r="U365" s="83">
        <f t="shared" si="1531"/>
        <v>0.16</v>
      </c>
      <c r="V365" s="83">
        <f t="shared" si="1531"/>
        <v>0.16</v>
      </c>
      <c r="W365" s="83">
        <f t="shared" si="1531"/>
        <v>0.16</v>
      </c>
    </row>
    <row r="366" spans="3:23" x14ac:dyDescent="0.25">
      <c r="C366" s="78" t="str">
        <f t="shared" si="1525"/>
        <v>CASETA G6</v>
      </c>
      <c r="D366" s="86" t="s">
        <v>74</v>
      </c>
      <c r="E366" s="83">
        <f t="shared" ref="E366:W366" si="1532">VLOOKUP(E$168,CST6G1,11,0)</f>
        <v>0</v>
      </c>
      <c r="F366" s="83">
        <f t="shared" si="1532"/>
        <v>0</v>
      </c>
      <c r="G366" s="83">
        <f t="shared" si="1532"/>
        <v>0</v>
      </c>
      <c r="H366" s="83">
        <f t="shared" si="1532"/>
        <v>0</v>
      </c>
      <c r="I366" s="83">
        <f t="shared" si="1532"/>
        <v>0</v>
      </c>
      <c r="J366" s="83">
        <f t="shared" si="1532"/>
        <v>0</v>
      </c>
      <c r="K366" s="83">
        <f t="shared" si="1532"/>
        <v>0</v>
      </c>
      <c r="L366" s="83">
        <f t="shared" si="1532"/>
        <v>0</v>
      </c>
      <c r="M366" s="83">
        <f t="shared" si="1532"/>
        <v>0</v>
      </c>
      <c r="N366" s="83">
        <f t="shared" si="1532"/>
        <v>0</v>
      </c>
      <c r="O366" s="83">
        <f t="shared" si="1532"/>
        <v>0</v>
      </c>
      <c r="P366" s="83">
        <f t="shared" si="1532"/>
        <v>0</v>
      </c>
      <c r="Q366" s="83">
        <f t="shared" si="1532"/>
        <v>1.8679394659248054E-2</v>
      </c>
      <c r="R366" s="83">
        <f t="shared" si="1532"/>
        <v>1.5585550451677038E-2</v>
      </c>
      <c r="S366" s="83">
        <f t="shared" si="1532"/>
        <v>9.3598394075974228E-3</v>
      </c>
      <c r="T366" s="83">
        <f t="shared" si="1532"/>
        <v>1.2488365739211625E-2</v>
      </c>
      <c r="U366" s="83">
        <f t="shared" si="1532"/>
        <v>0</v>
      </c>
      <c r="V366" s="83">
        <f t="shared" si="1532"/>
        <v>0</v>
      </c>
      <c r="W366" s="83">
        <f t="shared" si="1532"/>
        <v>0</v>
      </c>
    </row>
    <row r="367" spans="3:23" ht="25.5" x14ac:dyDescent="0.25">
      <c r="C367" s="78" t="str">
        <f t="shared" si="1525"/>
        <v>CASETA G6</v>
      </c>
      <c r="D367" s="87" t="s">
        <v>49</v>
      </c>
      <c r="E367" s="83">
        <f t="shared" ref="E367:W367" si="1533">VLOOKUP(E$168,CST6G1,12,0)</f>
        <v>0.7</v>
      </c>
      <c r="F367" s="83">
        <f t="shared" si="1533"/>
        <v>0.7</v>
      </c>
      <c r="G367" s="83">
        <f t="shared" si="1533"/>
        <v>1.4</v>
      </c>
      <c r="H367" s="83">
        <f t="shared" si="1533"/>
        <v>1.9</v>
      </c>
      <c r="I367" s="83">
        <f t="shared" si="1533"/>
        <v>2.1999999999999997</v>
      </c>
      <c r="J367" s="83">
        <f t="shared" si="1533"/>
        <v>2.38</v>
      </c>
      <c r="K367" s="83">
        <f t="shared" si="1533"/>
        <v>2.56</v>
      </c>
      <c r="L367" s="83">
        <f t="shared" si="1533"/>
        <v>2.72</v>
      </c>
      <c r="M367" s="83">
        <f t="shared" si="1533"/>
        <v>2.8800000000000003</v>
      </c>
      <c r="N367" s="83">
        <f t="shared" si="1533"/>
        <v>3.0400000000000005</v>
      </c>
      <c r="O367" s="83">
        <f t="shared" si="1533"/>
        <v>3.2000000000000006</v>
      </c>
      <c r="P367" s="83">
        <f t="shared" si="1533"/>
        <v>3.3600000000000008</v>
      </c>
      <c r="Q367" s="83">
        <f t="shared" si="1533"/>
        <v>3.5200000000000009</v>
      </c>
      <c r="R367" s="83">
        <f t="shared" si="1533"/>
        <v>3.680000000000001</v>
      </c>
      <c r="S367" s="83">
        <f t="shared" si="1533"/>
        <v>3.8400000000000012</v>
      </c>
      <c r="T367" s="83">
        <f t="shared" si="1533"/>
        <v>4.0000000000000009</v>
      </c>
      <c r="U367" s="83">
        <f t="shared" si="1533"/>
        <v>4.160000000000001</v>
      </c>
      <c r="V367" s="83">
        <f t="shared" si="1533"/>
        <v>4.3200000000000012</v>
      </c>
      <c r="W367" s="83">
        <f t="shared" si="1533"/>
        <v>4.4800000000000013</v>
      </c>
    </row>
    <row r="368" spans="3:23" ht="25.5" x14ac:dyDescent="0.25">
      <c r="C368" s="78" t="str">
        <f t="shared" si="1525"/>
        <v>CASETA G6</v>
      </c>
      <c r="D368" s="87" t="s">
        <v>73</v>
      </c>
      <c r="E368" s="83">
        <f t="shared" ref="E368:W368" si="1534">VLOOKUP(E$168,CST6G1,13,0)</f>
        <v>0</v>
      </c>
      <c r="F368" s="83">
        <f t="shared" si="1534"/>
        <v>0</v>
      </c>
      <c r="G368" s="83">
        <f t="shared" si="1534"/>
        <v>0</v>
      </c>
      <c r="H368" s="83">
        <f t="shared" si="1534"/>
        <v>0</v>
      </c>
      <c r="I368" s="83">
        <f t="shared" si="1534"/>
        <v>0</v>
      </c>
      <c r="J368" s="83">
        <f t="shared" si="1534"/>
        <v>0</v>
      </c>
      <c r="K368" s="83">
        <f t="shared" si="1534"/>
        <v>0</v>
      </c>
      <c r="L368" s="83">
        <f t="shared" si="1534"/>
        <v>0</v>
      </c>
      <c r="M368" s="83">
        <f t="shared" si="1534"/>
        <v>0</v>
      </c>
      <c r="N368" s="83">
        <f t="shared" si="1534"/>
        <v>0</v>
      </c>
      <c r="O368" s="83">
        <f t="shared" si="1534"/>
        <v>0</v>
      </c>
      <c r="P368" s="83">
        <f t="shared" si="1534"/>
        <v>1.3646288209606987E-2</v>
      </c>
      <c r="Q368" s="83">
        <f t="shared" si="1534"/>
        <v>0.13069048137660641</v>
      </c>
      <c r="R368" s="83">
        <f t="shared" si="1534"/>
        <v>0.23959921585711175</v>
      </c>
      <c r="S368" s="83">
        <f t="shared" si="1534"/>
        <v>0.30494445654541497</v>
      </c>
      <c r="T368" s="83">
        <f t="shared" si="1534"/>
        <v>0.3920714441298192</v>
      </c>
      <c r="U368" s="83">
        <f t="shared" si="1534"/>
        <v>0.3920714441298192</v>
      </c>
      <c r="V368" s="83">
        <f t="shared" si="1534"/>
        <v>0.3920714441298192</v>
      </c>
      <c r="W368" s="83">
        <f t="shared" si="1534"/>
        <v>0.3920714441298192</v>
      </c>
    </row>
    <row r="369" spans="2:50" x14ac:dyDescent="0.25">
      <c r="C369" s="78" t="str">
        <f t="shared" si="1525"/>
        <v>CASETA G6</v>
      </c>
      <c r="D369" s="23" t="s">
        <v>9</v>
      </c>
      <c r="E369" s="83">
        <f t="shared" ref="E369:W369" si="1535">VLOOKUP(E$168,CST6G1,14,0)</f>
        <v>0</v>
      </c>
      <c r="F369" s="83">
        <f t="shared" si="1535"/>
        <v>0</v>
      </c>
      <c r="G369" s="83">
        <f t="shared" si="1535"/>
        <v>0</v>
      </c>
      <c r="H369" s="83">
        <f t="shared" si="1535"/>
        <v>0</v>
      </c>
      <c r="I369" s="83">
        <f t="shared" si="1535"/>
        <v>0</v>
      </c>
      <c r="J369" s="83">
        <f t="shared" si="1535"/>
        <v>0</v>
      </c>
      <c r="K369" s="83">
        <f t="shared" si="1535"/>
        <v>0</v>
      </c>
      <c r="L369" s="83">
        <f t="shared" si="1535"/>
        <v>0</v>
      </c>
      <c r="M369" s="83">
        <f t="shared" si="1535"/>
        <v>0</v>
      </c>
      <c r="N369" s="83">
        <f t="shared" si="1535"/>
        <v>0</v>
      </c>
      <c r="O369" s="83">
        <f t="shared" si="1535"/>
        <v>0</v>
      </c>
      <c r="P369" s="83">
        <f t="shared" si="1535"/>
        <v>0</v>
      </c>
      <c r="Q369" s="83">
        <f t="shared" si="1535"/>
        <v>3700</v>
      </c>
      <c r="R369" s="83">
        <f t="shared" si="1535"/>
        <v>5920</v>
      </c>
      <c r="S369" s="83">
        <f t="shared" si="1535"/>
        <v>6660</v>
      </c>
      <c r="T369" s="83">
        <f t="shared" si="1535"/>
        <v>4440</v>
      </c>
      <c r="U369" s="83">
        <f t="shared" si="1535"/>
        <v>0</v>
      </c>
      <c r="V369" s="83">
        <f t="shared" si="1535"/>
        <v>0</v>
      </c>
      <c r="W369" s="83">
        <f t="shared" si="1535"/>
        <v>0</v>
      </c>
    </row>
    <row r="370" spans="2:50" ht="25.5" x14ac:dyDescent="0.25">
      <c r="C370" s="78" t="str">
        <f t="shared" si="1525"/>
        <v>CASETA G6</v>
      </c>
      <c r="D370" s="86" t="s">
        <v>75</v>
      </c>
      <c r="E370" s="83">
        <f t="shared" ref="E370:W370" si="1536">VLOOKUP(E$168,CST6G1,15,0)</f>
        <v>10</v>
      </c>
      <c r="F370" s="83">
        <f t="shared" si="1536"/>
        <v>10</v>
      </c>
      <c r="G370" s="83">
        <f t="shared" si="1536"/>
        <v>17</v>
      </c>
      <c r="H370" s="83">
        <f t="shared" si="1536"/>
        <v>23</v>
      </c>
      <c r="I370" s="83">
        <f t="shared" si="1536"/>
        <v>29</v>
      </c>
      <c r="J370" s="83">
        <f t="shared" si="1536"/>
        <v>34</v>
      </c>
      <c r="K370" s="83">
        <f t="shared" si="1536"/>
        <v>38</v>
      </c>
      <c r="L370" s="83">
        <f t="shared" si="1536"/>
        <v>42</v>
      </c>
      <c r="M370" s="83">
        <f t="shared" si="1536"/>
        <v>46</v>
      </c>
      <c r="N370" s="83">
        <f t="shared" si="1536"/>
        <v>49</v>
      </c>
      <c r="O370" s="83">
        <f t="shared" si="1536"/>
        <v>52</v>
      </c>
      <c r="P370" s="83">
        <f t="shared" si="1536"/>
        <v>55</v>
      </c>
      <c r="Q370" s="83">
        <f t="shared" si="1536"/>
        <v>58</v>
      </c>
      <c r="R370" s="83">
        <f t="shared" si="1536"/>
        <v>61</v>
      </c>
      <c r="S370" s="83">
        <f t="shared" si="1536"/>
        <v>64</v>
      </c>
      <c r="T370" s="83">
        <f t="shared" si="1536"/>
        <v>67</v>
      </c>
      <c r="U370" s="83">
        <f t="shared" si="1536"/>
        <v>71</v>
      </c>
      <c r="V370" s="83">
        <f t="shared" si="1536"/>
        <v>75</v>
      </c>
      <c r="W370" s="83">
        <f t="shared" si="1536"/>
        <v>79</v>
      </c>
    </row>
    <row r="371" spans="2:50" ht="25.5" x14ac:dyDescent="0.25">
      <c r="C371" s="78" t="str">
        <f t="shared" si="1525"/>
        <v>CASETA G6</v>
      </c>
      <c r="D371" s="86" t="s">
        <v>62</v>
      </c>
      <c r="E371" s="83">
        <f t="shared" ref="E371:W371" si="1537">VLOOKUP(E$168,CST3G1,16,0)</f>
        <v>0</v>
      </c>
      <c r="F371" s="83">
        <f t="shared" si="1537"/>
        <v>0</v>
      </c>
      <c r="G371" s="83">
        <f t="shared" si="1537"/>
        <v>0</v>
      </c>
      <c r="H371" s="83">
        <f t="shared" si="1537"/>
        <v>0</v>
      </c>
      <c r="I371" s="83">
        <f t="shared" si="1537"/>
        <v>0</v>
      </c>
      <c r="J371" s="83">
        <f t="shared" si="1537"/>
        <v>0</v>
      </c>
      <c r="K371" s="83">
        <f t="shared" si="1537"/>
        <v>0</v>
      </c>
      <c r="L371" s="83">
        <f t="shared" si="1537"/>
        <v>0</v>
      </c>
      <c r="M371" s="83">
        <f t="shared" si="1537"/>
        <v>0</v>
      </c>
      <c r="N371" s="83">
        <f t="shared" si="1537"/>
        <v>0</v>
      </c>
      <c r="O371" s="83">
        <f t="shared" si="1537"/>
        <v>0</v>
      </c>
      <c r="P371" s="83">
        <f t="shared" si="1537"/>
        <v>0</v>
      </c>
      <c r="Q371" s="83">
        <f t="shared" si="1537"/>
        <v>69.099058365605771</v>
      </c>
      <c r="R371" s="83">
        <f t="shared" si="1537"/>
        <v>103.76281660205065</v>
      </c>
      <c r="S371" s="83">
        <f t="shared" si="1537"/>
        <v>85.712314183194664</v>
      </c>
      <c r="T371" s="83">
        <f t="shared" si="1537"/>
        <v>69.366329208848896</v>
      </c>
      <c r="U371" s="83">
        <f t="shared" si="1537"/>
        <v>0</v>
      </c>
      <c r="V371" s="83">
        <f t="shared" si="1537"/>
        <v>0</v>
      </c>
      <c r="W371" s="83">
        <f t="shared" si="1537"/>
        <v>0</v>
      </c>
    </row>
    <row r="372" spans="2:50" ht="25.5" x14ac:dyDescent="0.25">
      <c r="C372" s="78" t="str">
        <f t="shared" si="1525"/>
        <v>CASETA G6</v>
      </c>
      <c r="D372" s="24" t="s">
        <v>50</v>
      </c>
      <c r="E372" s="83">
        <f t="shared" ref="E372:W372" si="1538">VLOOKUP(E$168,CST6G1,17,0)</f>
        <v>0</v>
      </c>
      <c r="F372" s="83">
        <f t="shared" si="1538"/>
        <v>0</v>
      </c>
      <c r="G372" s="83">
        <f t="shared" si="1538"/>
        <v>0</v>
      </c>
      <c r="H372" s="83">
        <f t="shared" si="1538"/>
        <v>0</v>
      </c>
      <c r="I372" s="83">
        <f t="shared" si="1538"/>
        <v>0</v>
      </c>
      <c r="J372" s="83">
        <f t="shared" si="1538"/>
        <v>0</v>
      </c>
      <c r="K372" s="83">
        <f t="shared" si="1538"/>
        <v>0</v>
      </c>
      <c r="L372" s="83">
        <f t="shared" si="1538"/>
        <v>0</v>
      </c>
      <c r="M372" s="83">
        <f t="shared" si="1538"/>
        <v>0</v>
      </c>
      <c r="N372" s="83">
        <f t="shared" si="1538"/>
        <v>0</v>
      </c>
      <c r="O372" s="83">
        <f t="shared" si="1538"/>
        <v>0</v>
      </c>
      <c r="P372" s="83">
        <f t="shared" si="1538"/>
        <v>0</v>
      </c>
      <c r="Q372" s="83">
        <f t="shared" si="1538"/>
        <v>403.2412266873539</v>
      </c>
      <c r="R372" s="83">
        <f t="shared" si="1538"/>
        <v>1049.126267709976</v>
      </c>
      <c r="S372" s="83">
        <f t="shared" si="1538"/>
        <v>1776.4431405717892</v>
      </c>
      <c r="T372" s="83">
        <f t="shared" si="1538"/>
        <v>2261.5830127780196</v>
      </c>
      <c r="U372" s="83">
        <f t="shared" si="1538"/>
        <v>2261.5830127780196</v>
      </c>
      <c r="V372" s="83">
        <f t="shared" si="1538"/>
        <v>2261.5830127780196</v>
      </c>
      <c r="W372" s="83">
        <f t="shared" si="1538"/>
        <v>2261.5830127780196</v>
      </c>
    </row>
    <row r="373" spans="2:50" x14ac:dyDescent="0.25">
      <c r="C373" s="78" t="str">
        <f t="shared" si="1525"/>
        <v>CASETA G6</v>
      </c>
      <c r="D373" s="86" t="s">
        <v>63</v>
      </c>
      <c r="E373" s="83">
        <f t="shared" ref="E373:W373" si="1539">VLOOKUP(E$168,CST2G1,18,0)</f>
        <v>40</v>
      </c>
      <c r="F373" s="83">
        <f t="shared" si="1539"/>
        <v>70</v>
      </c>
      <c r="G373" s="83">
        <f t="shared" si="1539"/>
        <v>120</v>
      </c>
      <c r="H373" s="83">
        <f t="shared" si="1539"/>
        <v>185</v>
      </c>
      <c r="I373" s="83">
        <f t="shared" si="1539"/>
        <v>255</v>
      </c>
      <c r="J373" s="83">
        <f t="shared" si="1539"/>
        <v>334</v>
      </c>
      <c r="K373" s="83">
        <f t="shared" si="1539"/>
        <v>425</v>
      </c>
      <c r="L373" s="83">
        <f t="shared" si="1539"/>
        <v>524</v>
      </c>
      <c r="M373" s="83">
        <f t="shared" si="1539"/>
        <v>618</v>
      </c>
      <c r="N373" s="83">
        <f t="shared" si="1539"/>
        <v>712</v>
      </c>
      <c r="O373" s="83">
        <f t="shared" si="1539"/>
        <v>802</v>
      </c>
      <c r="P373" s="83">
        <f t="shared" si="1539"/>
        <v>880</v>
      </c>
      <c r="Q373" s="83">
        <f t="shared" si="1539"/>
        <v>950</v>
      </c>
      <c r="R373" s="83">
        <f t="shared" si="1539"/>
        <v>1010</v>
      </c>
      <c r="S373" s="83">
        <f t="shared" si="1539"/>
        <v>1065</v>
      </c>
      <c r="T373" s="83">
        <f t="shared" si="1539"/>
        <v>1115</v>
      </c>
      <c r="U373" s="83">
        <f t="shared" si="1539"/>
        <v>1160</v>
      </c>
      <c r="V373" s="83">
        <f t="shared" si="1539"/>
        <v>1207</v>
      </c>
      <c r="W373" s="83">
        <f t="shared" si="1539"/>
        <v>1257</v>
      </c>
    </row>
    <row r="374" spans="2:50" x14ac:dyDescent="0.25">
      <c r="C374" s="78" t="str">
        <f t="shared" si="1525"/>
        <v>CASETA G6</v>
      </c>
      <c r="D374" s="86" t="s">
        <v>64</v>
      </c>
      <c r="E374" s="83">
        <f t="shared" ref="E374:W374" si="1540">VLOOKUP(E$168,CST6G1,19,0)</f>
        <v>0</v>
      </c>
      <c r="F374" s="83">
        <f t="shared" si="1540"/>
        <v>0</v>
      </c>
      <c r="G374" s="83">
        <f t="shared" si="1540"/>
        <v>0</v>
      </c>
      <c r="H374" s="83">
        <f t="shared" si="1540"/>
        <v>0</v>
      </c>
      <c r="I374" s="83">
        <f t="shared" si="1540"/>
        <v>0</v>
      </c>
      <c r="J374" s="83">
        <f t="shared" si="1540"/>
        <v>0</v>
      </c>
      <c r="K374" s="83">
        <f t="shared" si="1540"/>
        <v>0</v>
      </c>
      <c r="L374" s="83">
        <f t="shared" si="1540"/>
        <v>0</v>
      </c>
      <c r="M374" s="83">
        <f t="shared" si="1540"/>
        <v>0</v>
      </c>
      <c r="N374" s="83">
        <f t="shared" si="1540"/>
        <v>0</v>
      </c>
      <c r="O374" s="83">
        <f t="shared" si="1540"/>
        <v>0</v>
      </c>
      <c r="P374" s="83">
        <f t="shared" si="1540"/>
        <v>0</v>
      </c>
      <c r="Q374" s="83">
        <f t="shared" si="1540"/>
        <v>851</v>
      </c>
      <c r="R374" s="83">
        <f t="shared" si="1540"/>
        <v>946</v>
      </c>
      <c r="S374" s="83">
        <f t="shared" si="1540"/>
        <v>1000</v>
      </c>
      <c r="T374" s="83">
        <f t="shared" si="1540"/>
        <v>1100</v>
      </c>
      <c r="U374" s="83">
        <f t="shared" si="1540"/>
        <v>0</v>
      </c>
      <c r="V374" s="83">
        <f t="shared" si="1540"/>
        <v>0</v>
      </c>
      <c r="W374" s="83">
        <f t="shared" si="1540"/>
        <v>0</v>
      </c>
    </row>
    <row r="375" spans="2:50" x14ac:dyDescent="0.25">
      <c r="C375" s="78" t="str">
        <f t="shared" si="1525"/>
        <v>CASETA G6</v>
      </c>
      <c r="D375" s="23" t="s">
        <v>15</v>
      </c>
      <c r="E375" s="83">
        <f>E373-E374</f>
        <v>40</v>
      </c>
      <c r="F375" s="83">
        <f t="shared" ref="F375:W375" si="1541">F373-F374</f>
        <v>70</v>
      </c>
      <c r="G375" s="83">
        <f t="shared" si="1541"/>
        <v>120</v>
      </c>
      <c r="H375" s="83">
        <f t="shared" si="1541"/>
        <v>185</v>
      </c>
      <c r="I375" s="83">
        <f t="shared" si="1541"/>
        <v>255</v>
      </c>
      <c r="J375" s="83">
        <f t="shared" si="1541"/>
        <v>334</v>
      </c>
      <c r="K375" s="83">
        <f t="shared" si="1541"/>
        <v>425</v>
      </c>
      <c r="L375" s="83">
        <f t="shared" si="1541"/>
        <v>524</v>
      </c>
      <c r="M375" s="83">
        <f t="shared" si="1541"/>
        <v>618</v>
      </c>
      <c r="N375" s="83">
        <f t="shared" si="1541"/>
        <v>712</v>
      </c>
      <c r="O375" s="83">
        <f t="shared" si="1541"/>
        <v>802</v>
      </c>
      <c r="P375" s="83">
        <f t="shared" si="1541"/>
        <v>880</v>
      </c>
      <c r="Q375" s="83">
        <f t="shared" si="1541"/>
        <v>99</v>
      </c>
      <c r="R375" s="83">
        <f t="shared" si="1541"/>
        <v>64</v>
      </c>
      <c r="S375" s="83">
        <f t="shared" si="1541"/>
        <v>65</v>
      </c>
      <c r="T375" s="83">
        <f t="shared" si="1541"/>
        <v>15</v>
      </c>
      <c r="U375" s="83">
        <f t="shared" si="1541"/>
        <v>1160</v>
      </c>
      <c r="V375" s="83">
        <f t="shared" si="1541"/>
        <v>1207</v>
      </c>
      <c r="W375" s="83">
        <f t="shared" si="1541"/>
        <v>1257</v>
      </c>
      <c r="X375" s="83"/>
    </row>
    <row r="376" spans="2:50" ht="25.5" x14ac:dyDescent="0.25">
      <c r="C376" s="78" t="str">
        <f t="shared" si="1525"/>
        <v>CASETA G6</v>
      </c>
      <c r="D376" s="86" t="s">
        <v>65</v>
      </c>
      <c r="E376" s="83">
        <f t="shared" ref="E376:W376" si="1542">VLOOKUP(E$168,CST6G1,21,0)</f>
        <v>77</v>
      </c>
      <c r="F376" s="83">
        <f t="shared" si="1542"/>
        <v>77</v>
      </c>
      <c r="G376" s="83">
        <f t="shared" si="1542"/>
        <v>77</v>
      </c>
      <c r="H376" s="83">
        <f t="shared" si="1542"/>
        <v>77</v>
      </c>
      <c r="I376" s="83">
        <f t="shared" si="1542"/>
        <v>79</v>
      </c>
      <c r="J376" s="83">
        <f t="shared" si="1542"/>
        <v>79</v>
      </c>
      <c r="K376" s="83">
        <f t="shared" si="1542"/>
        <v>79</v>
      </c>
      <c r="L376" s="83">
        <f t="shared" si="1542"/>
        <v>79</v>
      </c>
      <c r="M376" s="83">
        <f t="shared" si="1542"/>
        <v>79</v>
      </c>
      <c r="N376" s="83">
        <f t="shared" si="1542"/>
        <v>79</v>
      </c>
      <c r="O376" s="83">
        <f t="shared" si="1542"/>
        <v>80</v>
      </c>
      <c r="P376" s="83">
        <f t="shared" si="1542"/>
        <v>80</v>
      </c>
      <c r="Q376" s="83">
        <f t="shared" si="1542"/>
        <v>82</v>
      </c>
      <c r="R376" s="83">
        <f t="shared" si="1542"/>
        <v>82</v>
      </c>
      <c r="S376" s="83">
        <f t="shared" si="1542"/>
        <v>84</v>
      </c>
      <c r="T376" s="83">
        <f t="shared" si="1542"/>
        <v>86</v>
      </c>
      <c r="U376" s="83">
        <f t="shared" si="1542"/>
        <v>86</v>
      </c>
      <c r="V376" s="83">
        <f t="shared" si="1542"/>
        <v>86</v>
      </c>
      <c r="W376" s="83">
        <f t="shared" si="1542"/>
        <v>86</v>
      </c>
    </row>
    <row r="377" spans="2:50" ht="25.5" x14ac:dyDescent="0.25">
      <c r="C377" s="78" t="str">
        <f t="shared" si="1525"/>
        <v>CASETA G6</v>
      </c>
      <c r="D377" s="86" t="s">
        <v>66</v>
      </c>
      <c r="E377" s="83">
        <f t="shared" ref="E377:W377" si="1543">VLOOKUP(E$168,CST6G1,22,0)</f>
        <v>0</v>
      </c>
      <c r="F377" s="83">
        <f t="shared" si="1543"/>
        <v>0</v>
      </c>
      <c r="G377" s="83">
        <f t="shared" si="1543"/>
        <v>0</v>
      </c>
      <c r="H377" s="83">
        <f t="shared" si="1543"/>
        <v>0</v>
      </c>
      <c r="I377" s="83">
        <f t="shared" si="1543"/>
        <v>0</v>
      </c>
      <c r="J377" s="83">
        <f t="shared" si="1543"/>
        <v>0</v>
      </c>
      <c r="K377" s="83">
        <f t="shared" si="1543"/>
        <v>0</v>
      </c>
      <c r="L377" s="83">
        <f t="shared" si="1543"/>
        <v>0</v>
      </c>
      <c r="M377" s="83">
        <f t="shared" si="1543"/>
        <v>0</v>
      </c>
      <c r="N377" s="83">
        <f t="shared" si="1543"/>
        <v>0</v>
      </c>
      <c r="O377" s="83">
        <f t="shared" si="1543"/>
        <v>0</v>
      </c>
      <c r="P377" s="83">
        <f t="shared" si="1543"/>
        <v>0</v>
      </c>
      <c r="Q377" s="83">
        <f t="shared" si="1543"/>
        <v>65</v>
      </c>
      <c r="R377" s="83">
        <f t="shared" si="1543"/>
        <v>75</v>
      </c>
      <c r="S377" s="83">
        <f t="shared" si="1543"/>
        <v>72</v>
      </c>
      <c r="T377" s="83">
        <f t="shared" si="1543"/>
        <v>78</v>
      </c>
      <c r="U377" s="83">
        <f t="shared" si="1543"/>
        <v>0</v>
      </c>
      <c r="V377" s="83">
        <f t="shared" si="1543"/>
        <v>0</v>
      </c>
      <c r="W377" s="83">
        <f t="shared" si="1543"/>
        <v>0</v>
      </c>
    </row>
    <row r="378" spans="2:50" x14ac:dyDescent="0.25">
      <c r="C378" s="78" t="str">
        <f t="shared" si="1525"/>
        <v>CASETA G6</v>
      </c>
      <c r="D378" s="23" t="s">
        <v>15</v>
      </c>
      <c r="E378" s="83">
        <f>E376-E377</f>
        <v>77</v>
      </c>
      <c r="F378" s="83">
        <f t="shared" ref="F378:W378" si="1544">F376-F377</f>
        <v>77</v>
      </c>
      <c r="G378" s="83">
        <f t="shared" si="1544"/>
        <v>77</v>
      </c>
      <c r="H378" s="83">
        <f t="shared" si="1544"/>
        <v>77</v>
      </c>
      <c r="I378" s="83">
        <f t="shared" si="1544"/>
        <v>79</v>
      </c>
      <c r="J378" s="83">
        <f t="shared" si="1544"/>
        <v>79</v>
      </c>
      <c r="K378" s="83">
        <f t="shared" si="1544"/>
        <v>79</v>
      </c>
      <c r="L378" s="83">
        <f t="shared" si="1544"/>
        <v>79</v>
      </c>
      <c r="M378" s="83">
        <f t="shared" si="1544"/>
        <v>79</v>
      </c>
      <c r="N378" s="83">
        <f t="shared" si="1544"/>
        <v>79</v>
      </c>
      <c r="O378" s="83">
        <f t="shared" si="1544"/>
        <v>80</v>
      </c>
      <c r="P378" s="83">
        <f t="shared" si="1544"/>
        <v>80</v>
      </c>
      <c r="Q378" s="83">
        <f t="shared" si="1544"/>
        <v>17</v>
      </c>
      <c r="R378" s="83">
        <f t="shared" si="1544"/>
        <v>7</v>
      </c>
      <c r="S378" s="83">
        <f t="shared" si="1544"/>
        <v>12</v>
      </c>
      <c r="T378" s="83">
        <f t="shared" si="1544"/>
        <v>8</v>
      </c>
      <c r="U378" s="83">
        <f t="shared" si="1544"/>
        <v>86</v>
      </c>
      <c r="V378" s="83">
        <f t="shared" si="1544"/>
        <v>86</v>
      </c>
      <c r="W378" s="83">
        <f t="shared" si="1544"/>
        <v>86</v>
      </c>
    </row>
    <row r="379" spans="2:50" x14ac:dyDescent="0.25">
      <c r="E379" s="1"/>
      <c r="F379" s="316"/>
      <c r="G379" s="316"/>
      <c r="H379" s="316"/>
      <c r="I379" s="316"/>
      <c r="J379" s="316"/>
      <c r="K379" s="316"/>
      <c r="L379" s="316"/>
      <c r="M379" s="316"/>
      <c r="N379" s="316"/>
      <c r="O379" s="316"/>
      <c r="P379" s="316"/>
      <c r="Q379" s="316"/>
      <c r="R379" s="316"/>
      <c r="S379" s="316"/>
      <c r="T379" s="316"/>
      <c r="U379" s="316"/>
      <c r="V379" s="316"/>
      <c r="W379" s="316"/>
    </row>
    <row r="380" spans="2:50" x14ac:dyDescent="0.25">
      <c r="E380" s="1"/>
      <c r="F380" s="316"/>
      <c r="G380" s="316"/>
      <c r="H380" s="316"/>
      <c r="I380" s="316"/>
      <c r="J380" s="316"/>
      <c r="K380" s="316"/>
      <c r="L380" s="316"/>
      <c r="M380" s="316"/>
      <c r="N380" s="316"/>
      <c r="O380" s="316"/>
      <c r="P380" s="316"/>
      <c r="Q380" s="316"/>
      <c r="R380" s="316"/>
      <c r="S380" s="316"/>
      <c r="T380" s="316"/>
      <c r="U380" s="316"/>
      <c r="V380" s="316"/>
      <c r="W380" s="316"/>
    </row>
    <row r="381" spans="2:50" x14ac:dyDescent="0.25">
      <c r="E381" s="1"/>
      <c r="F381" s="316"/>
      <c r="G381" s="316"/>
      <c r="H381" s="316"/>
      <c r="I381" s="316"/>
      <c r="J381" s="316"/>
      <c r="K381" s="316"/>
      <c r="L381" s="316"/>
      <c r="M381" s="316"/>
      <c r="N381" s="316"/>
      <c r="O381" s="316"/>
      <c r="P381" s="316"/>
      <c r="Q381" s="316"/>
      <c r="R381" s="316"/>
      <c r="S381" s="316"/>
      <c r="T381" s="316"/>
      <c r="U381" s="316"/>
      <c r="V381" s="316"/>
      <c r="W381" s="316"/>
    </row>
    <row r="382" spans="2:50" s="81" customFormat="1" x14ac:dyDescent="0.25">
      <c r="B382" s="80"/>
      <c r="C382" s="80"/>
      <c r="D382" s="80"/>
      <c r="E382" s="80"/>
      <c r="F382" s="318"/>
      <c r="G382" s="318"/>
      <c r="H382" s="318"/>
      <c r="I382" s="318"/>
      <c r="J382" s="318"/>
      <c r="K382" s="318"/>
      <c r="L382" s="318"/>
      <c r="M382" s="318"/>
      <c r="N382" s="318"/>
      <c r="O382" s="318"/>
      <c r="P382" s="318"/>
      <c r="Q382" s="318"/>
      <c r="R382" s="318"/>
      <c r="S382" s="318"/>
      <c r="T382" s="318"/>
      <c r="U382" s="318"/>
      <c r="V382" s="318"/>
      <c r="W382" s="318"/>
      <c r="Z382" s="362"/>
      <c r="AA382" s="362"/>
      <c r="AB382" s="362"/>
      <c r="AC382" s="362"/>
      <c r="AD382" s="362"/>
      <c r="AE382" s="362"/>
      <c r="AF382" s="362"/>
      <c r="AG382" s="362"/>
      <c r="AH382" s="362"/>
      <c r="AI382" s="362"/>
      <c r="AJ382" s="362"/>
      <c r="AK382" s="362"/>
      <c r="AL382" s="362"/>
      <c r="AM382" s="362"/>
      <c r="AN382" s="362"/>
      <c r="AO382" s="362"/>
      <c r="AP382" s="362"/>
      <c r="AQ382" s="362"/>
      <c r="AR382" s="362"/>
      <c r="AS382" s="362"/>
      <c r="AT382" s="362"/>
      <c r="AU382" s="362"/>
      <c r="AV382" s="362"/>
      <c r="AW382" s="362"/>
      <c r="AX382" s="362"/>
    </row>
    <row r="383" spans="2:50" x14ac:dyDescent="0.25">
      <c r="E383" s="320">
        <v>0</v>
      </c>
      <c r="F383" s="320">
        <v>1</v>
      </c>
      <c r="G383" s="320">
        <v>2</v>
      </c>
      <c r="H383" s="320">
        <v>3</v>
      </c>
      <c r="I383" s="320">
        <v>4</v>
      </c>
      <c r="J383" s="320">
        <v>5</v>
      </c>
      <c r="K383" s="320">
        <v>6</v>
      </c>
      <c r="L383" s="320">
        <v>7</v>
      </c>
      <c r="M383" s="320">
        <v>8</v>
      </c>
      <c r="N383" s="320">
        <v>9</v>
      </c>
      <c r="O383" s="320">
        <v>10</v>
      </c>
      <c r="P383" s="320">
        <v>11</v>
      </c>
      <c r="Q383" s="320">
        <v>12</v>
      </c>
      <c r="R383" s="320">
        <v>13</v>
      </c>
      <c r="S383" s="320">
        <v>14</v>
      </c>
      <c r="T383" s="320">
        <v>15</v>
      </c>
      <c r="U383" s="320">
        <v>16</v>
      </c>
      <c r="V383" s="320">
        <v>17</v>
      </c>
      <c r="W383" s="320">
        <v>18</v>
      </c>
    </row>
    <row r="384" spans="2:50" ht="24.75" customHeight="1" x14ac:dyDescent="0.25">
      <c r="C384" s="78" t="str">
        <f>VLOOKUP(TABLERO!$M$48,TABLERO!$K$48:$L$55,2,FALSE)</f>
        <v>GENERAL</v>
      </c>
      <c r="D384" s="24" t="s">
        <v>67</v>
      </c>
      <c r="E384" s="83">
        <f t="shared" ref="E384:N390" si="1545">IF($C384="GENERAL",SUMIFS(E$169:E$380,$D$169:$D$380,$D384),SUMIFS(E$169:E$380,$C$169:$C$380,$C384,$D$169:$D$380,$D384))</f>
        <v>190133</v>
      </c>
      <c r="F384" s="83">
        <f t="shared" si="1545"/>
        <v>287058</v>
      </c>
      <c r="G384" s="83">
        <f t="shared" si="1545"/>
        <v>284796</v>
      </c>
      <c r="H384" s="83">
        <f t="shared" si="1545"/>
        <v>287629</v>
      </c>
      <c r="I384" s="83">
        <f t="shared" si="1545"/>
        <v>279646</v>
      </c>
      <c r="J384" s="83">
        <f t="shared" si="1545"/>
        <v>278938</v>
      </c>
      <c r="K384" s="83">
        <f t="shared" si="1545"/>
        <v>278212</v>
      </c>
      <c r="L384" s="83">
        <f t="shared" si="1545"/>
        <v>276842</v>
      </c>
      <c r="M384" s="83">
        <f t="shared" si="1545"/>
        <v>276267</v>
      </c>
      <c r="N384" s="83">
        <f t="shared" si="1545"/>
        <v>275866</v>
      </c>
      <c r="O384" s="83">
        <f t="shared" ref="O384:W390" si="1546">IF($C384="GENERAL",SUMIFS(O$169:O$380,$D$169:$D$380,$D384),SUMIFS(O$169:O$380,$C$169:$C$380,$C384,$D$169:$D$380,$D384))</f>
        <v>275678</v>
      </c>
      <c r="P384" s="83">
        <f t="shared" si="1546"/>
        <v>275142</v>
      </c>
      <c r="Q384" s="83">
        <f t="shared" si="1546"/>
        <v>275064</v>
      </c>
      <c r="R384" s="83">
        <f t="shared" si="1546"/>
        <v>274859</v>
      </c>
      <c r="S384" s="83">
        <f t="shared" si="1546"/>
        <v>274641</v>
      </c>
      <c r="T384" s="83">
        <f t="shared" si="1546"/>
        <v>274440</v>
      </c>
      <c r="U384" s="83">
        <f t="shared" si="1546"/>
        <v>274346</v>
      </c>
      <c r="V384" s="83">
        <f t="shared" si="1546"/>
        <v>274346</v>
      </c>
      <c r="W384" s="83">
        <f t="shared" si="1546"/>
        <v>274346</v>
      </c>
    </row>
    <row r="385" spans="3:26" ht="24.75" customHeight="1" x14ac:dyDescent="0.25">
      <c r="C385" s="78" t="str">
        <f>C384</f>
        <v>GENERAL</v>
      </c>
      <c r="D385" s="24" t="s">
        <v>34</v>
      </c>
      <c r="E385" s="83">
        <f t="shared" si="1545"/>
        <v>189078</v>
      </c>
      <c r="F385" s="83">
        <f t="shared" si="1545"/>
        <v>284796</v>
      </c>
      <c r="G385" s="83">
        <f t="shared" si="1545"/>
        <v>281310</v>
      </c>
      <c r="H385" s="83">
        <f t="shared" si="1545"/>
        <v>279646</v>
      </c>
      <c r="I385" s="83">
        <f t="shared" si="1545"/>
        <v>278938</v>
      </c>
      <c r="J385" s="83">
        <f t="shared" si="1545"/>
        <v>278212</v>
      </c>
      <c r="K385" s="83">
        <f t="shared" si="1545"/>
        <v>276842</v>
      </c>
      <c r="L385" s="83">
        <f t="shared" si="1545"/>
        <v>276267</v>
      </c>
      <c r="M385" s="83">
        <f t="shared" si="1545"/>
        <v>275866</v>
      </c>
      <c r="N385" s="83">
        <f t="shared" si="1545"/>
        <v>275678</v>
      </c>
      <c r="O385" s="83">
        <f t="shared" si="1546"/>
        <v>275343</v>
      </c>
      <c r="P385" s="83">
        <f t="shared" si="1546"/>
        <v>275241</v>
      </c>
      <c r="Q385" s="83">
        <f t="shared" si="1546"/>
        <v>275039</v>
      </c>
      <c r="R385" s="83">
        <f t="shared" si="1546"/>
        <v>274838</v>
      </c>
      <c r="S385" s="83">
        <f t="shared" si="1546"/>
        <v>274638</v>
      </c>
      <c r="T385" s="83">
        <f t="shared" si="1546"/>
        <v>274551</v>
      </c>
      <c r="U385" s="83">
        <f t="shared" si="1546"/>
        <v>274551</v>
      </c>
      <c r="V385" s="83">
        <f t="shared" si="1546"/>
        <v>274551</v>
      </c>
      <c r="W385" s="83">
        <f t="shared" si="1546"/>
        <v>274551</v>
      </c>
    </row>
    <row r="386" spans="3:26" ht="24.75" customHeight="1" x14ac:dyDescent="0.25">
      <c r="C386" s="78" t="str">
        <f t="shared" ref="C386:C405" si="1547">C385</f>
        <v>GENERAL</v>
      </c>
      <c r="D386" s="23" t="s">
        <v>27</v>
      </c>
      <c r="E386" s="83">
        <f t="shared" si="1545"/>
        <v>0</v>
      </c>
      <c r="F386" s="83">
        <f t="shared" si="1545"/>
        <v>97</v>
      </c>
      <c r="G386" s="83">
        <f t="shared" si="1545"/>
        <v>0</v>
      </c>
      <c r="H386" s="83">
        <f t="shared" si="1545"/>
        <v>0</v>
      </c>
      <c r="I386" s="83">
        <f t="shared" si="1545"/>
        <v>0</v>
      </c>
      <c r="J386" s="83">
        <f t="shared" si="1545"/>
        <v>0</v>
      </c>
      <c r="K386" s="83">
        <f t="shared" si="1545"/>
        <v>0</v>
      </c>
      <c r="L386" s="83">
        <f t="shared" si="1545"/>
        <v>225</v>
      </c>
      <c r="M386" s="83">
        <f t="shared" si="1545"/>
        <v>264</v>
      </c>
      <c r="N386" s="83">
        <f t="shared" si="1545"/>
        <v>40</v>
      </c>
      <c r="O386" s="83">
        <f t="shared" si="1546"/>
        <v>0</v>
      </c>
      <c r="P386" s="83">
        <f t="shared" si="1546"/>
        <v>1</v>
      </c>
      <c r="Q386" s="83">
        <f t="shared" si="1546"/>
        <v>0</v>
      </c>
      <c r="R386" s="83">
        <f t="shared" si="1546"/>
        <v>0</v>
      </c>
      <c r="S386" s="83">
        <f t="shared" si="1546"/>
        <v>0</v>
      </c>
      <c r="T386" s="83">
        <f t="shared" si="1546"/>
        <v>0</v>
      </c>
      <c r="U386" s="83">
        <f t="shared" si="1546"/>
        <v>0</v>
      </c>
      <c r="V386" s="83">
        <f t="shared" si="1546"/>
        <v>0</v>
      </c>
      <c r="W386" s="83">
        <f t="shared" si="1546"/>
        <v>0</v>
      </c>
    </row>
    <row r="387" spans="3:26" ht="24.75" customHeight="1" x14ac:dyDescent="0.25">
      <c r="C387" s="78" t="str">
        <f t="shared" si="1547"/>
        <v>GENERAL</v>
      </c>
      <c r="D387" s="23" t="s">
        <v>16</v>
      </c>
      <c r="E387" s="83">
        <f t="shared" si="1545"/>
        <v>1055</v>
      </c>
      <c r="F387" s="83">
        <f t="shared" si="1545"/>
        <v>2101</v>
      </c>
      <c r="G387" s="83">
        <f t="shared" si="1545"/>
        <v>3486</v>
      </c>
      <c r="H387" s="83">
        <f t="shared" si="1545"/>
        <v>1664</v>
      </c>
      <c r="I387" s="83">
        <f t="shared" si="1545"/>
        <v>695</v>
      </c>
      <c r="J387" s="83">
        <f t="shared" si="1545"/>
        <v>726</v>
      </c>
      <c r="K387" s="83">
        <f t="shared" si="1545"/>
        <v>1370</v>
      </c>
      <c r="L387" s="83">
        <f t="shared" si="1545"/>
        <v>350</v>
      </c>
      <c r="M387" s="83">
        <f t="shared" si="1545"/>
        <v>137</v>
      </c>
      <c r="N387" s="83">
        <f t="shared" si="1545"/>
        <v>148</v>
      </c>
      <c r="O387" s="83">
        <f t="shared" si="1546"/>
        <v>335</v>
      </c>
      <c r="P387" s="83">
        <f t="shared" si="1546"/>
        <v>173</v>
      </c>
      <c r="Q387" s="83">
        <f t="shared" si="1546"/>
        <v>210</v>
      </c>
      <c r="R387" s="83">
        <f t="shared" si="1546"/>
        <v>218</v>
      </c>
      <c r="S387" s="83">
        <f t="shared" si="1546"/>
        <v>201</v>
      </c>
      <c r="T387" s="83">
        <f t="shared" si="1546"/>
        <v>94</v>
      </c>
      <c r="U387" s="83">
        <f t="shared" si="1546"/>
        <v>0</v>
      </c>
      <c r="V387" s="83">
        <f t="shared" si="1546"/>
        <v>0</v>
      </c>
      <c r="W387" s="83">
        <f t="shared" si="1546"/>
        <v>0</v>
      </c>
    </row>
    <row r="388" spans="3:26" ht="24.75" customHeight="1" x14ac:dyDescent="0.25">
      <c r="C388" s="78" t="str">
        <f t="shared" si="1547"/>
        <v>GENERAL</v>
      </c>
      <c r="D388" s="23" t="s">
        <v>17</v>
      </c>
      <c r="E388" s="83">
        <f t="shared" si="1545"/>
        <v>0</v>
      </c>
      <c r="F388" s="83">
        <f t="shared" si="1545"/>
        <v>0</v>
      </c>
      <c r="G388" s="83">
        <f t="shared" si="1545"/>
        <v>0</v>
      </c>
      <c r="H388" s="83">
        <f t="shared" si="1545"/>
        <v>0</v>
      </c>
      <c r="I388" s="83">
        <f t="shared" si="1545"/>
        <v>0</v>
      </c>
      <c r="J388" s="83">
        <f t="shared" si="1545"/>
        <v>0</v>
      </c>
      <c r="K388" s="83">
        <f t="shared" si="1545"/>
        <v>0</v>
      </c>
      <c r="L388" s="83">
        <f t="shared" si="1545"/>
        <v>0</v>
      </c>
      <c r="M388" s="83">
        <f t="shared" si="1545"/>
        <v>0</v>
      </c>
      <c r="N388" s="83">
        <f t="shared" si="1545"/>
        <v>0</v>
      </c>
      <c r="O388" s="83">
        <f t="shared" si="1546"/>
        <v>0</v>
      </c>
      <c r="P388" s="83">
        <f t="shared" si="1546"/>
        <v>0</v>
      </c>
      <c r="Q388" s="83">
        <f t="shared" si="1546"/>
        <v>0</v>
      </c>
      <c r="R388" s="83">
        <f t="shared" si="1546"/>
        <v>0</v>
      </c>
      <c r="S388" s="83">
        <f t="shared" si="1546"/>
        <v>0</v>
      </c>
      <c r="T388" s="83">
        <f t="shared" si="1546"/>
        <v>0</v>
      </c>
      <c r="U388" s="83">
        <f t="shared" si="1546"/>
        <v>0</v>
      </c>
      <c r="V388" s="83">
        <f t="shared" si="1546"/>
        <v>0</v>
      </c>
      <c r="W388" s="83">
        <f t="shared" si="1546"/>
        <v>0</v>
      </c>
    </row>
    <row r="389" spans="3:26" ht="24.75" customHeight="1" x14ac:dyDescent="0.25">
      <c r="C389" s="78" t="str">
        <f t="shared" si="1547"/>
        <v>GENERAL</v>
      </c>
      <c r="D389" s="23" t="s">
        <v>18</v>
      </c>
      <c r="E389" s="83">
        <f>IF($C389="GENERAL",SUMIFS(E$169:E$380,$D$169:$D$380,$D389),SUMIFS(E$169:E$380,$C$169:$C$380,$C389,$D$169:$D$380,$D389))</f>
        <v>1055</v>
      </c>
      <c r="F389" s="83">
        <f t="shared" si="1545"/>
        <v>2198</v>
      </c>
      <c r="G389" s="83">
        <f t="shared" si="1545"/>
        <v>3486</v>
      </c>
      <c r="H389" s="83">
        <f t="shared" si="1545"/>
        <v>1664</v>
      </c>
      <c r="I389" s="83">
        <f t="shared" si="1545"/>
        <v>695</v>
      </c>
      <c r="J389" s="83">
        <f t="shared" si="1545"/>
        <v>726</v>
      </c>
      <c r="K389" s="83">
        <f t="shared" si="1545"/>
        <v>1370</v>
      </c>
      <c r="L389" s="83">
        <f t="shared" si="1545"/>
        <v>575</v>
      </c>
      <c r="M389" s="83">
        <f t="shared" si="1545"/>
        <v>401</v>
      </c>
      <c r="N389" s="83">
        <f t="shared" si="1545"/>
        <v>188</v>
      </c>
      <c r="O389" s="83">
        <f t="shared" si="1546"/>
        <v>335</v>
      </c>
      <c r="P389" s="83">
        <f t="shared" si="1546"/>
        <v>174</v>
      </c>
      <c r="Q389" s="83">
        <f t="shared" si="1546"/>
        <v>210</v>
      </c>
      <c r="R389" s="83">
        <f t="shared" si="1546"/>
        <v>218</v>
      </c>
      <c r="S389" s="83">
        <f t="shared" si="1546"/>
        <v>201</v>
      </c>
      <c r="T389" s="83">
        <f t="shared" si="1546"/>
        <v>94</v>
      </c>
      <c r="U389" s="83">
        <f t="shared" si="1546"/>
        <v>0</v>
      </c>
      <c r="V389" s="83">
        <f t="shared" si="1546"/>
        <v>0</v>
      </c>
      <c r="W389" s="83">
        <f t="shared" si="1546"/>
        <v>0</v>
      </c>
    </row>
    <row r="390" spans="3:26" ht="24.75" customHeight="1" x14ac:dyDescent="0.25">
      <c r="C390" s="78" t="str">
        <f t="shared" si="1547"/>
        <v>GENERAL</v>
      </c>
      <c r="D390" s="23" t="s">
        <v>48</v>
      </c>
      <c r="E390" s="83">
        <f t="shared" si="1545"/>
        <v>1055</v>
      </c>
      <c r="F390" s="83">
        <f t="shared" si="1545"/>
        <v>3253</v>
      </c>
      <c r="G390" s="83">
        <f t="shared" si="1545"/>
        <v>6739</v>
      </c>
      <c r="H390" s="83">
        <f t="shared" si="1545"/>
        <v>8403</v>
      </c>
      <c r="I390" s="83">
        <f t="shared" si="1545"/>
        <v>9098</v>
      </c>
      <c r="J390" s="83">
        <f t="shared" si="1545"/>
        <v>9824</v>
      </c>
      <c r="K390" s="83">
        <f t="shared" si="1545"/>
        <v>11194</v>
      </c>
      <c r="L390" s="83">
        <f t="shared" si="1545"/>
        <v>11769</v>
      </c>
      <c r="M390" s="83">
        <f t="shared" si="1545"/>
        <v>12170</v>
      </c>
      <c r="N390" s="83">
        <f t="shared" si="1545"/>
        <v>12358</v>
      </c>
      <c r="O390" s="83">
        <f t="shared" si="1546"/>
        <v>12693</v>
      </c>
      <c r="P390" s="83">
        <f t="shared" si="1546"/>
        <v>12867</v>
      </c>
      <c r="Q390" s="83">
        <f t="shared" si="1546"/>
        <v>13077</v>
      </c>
      <c r="R390" s="83">
        <f t="shared" si="1546"/>
        <v>13295</v>
      </c>
      <c r="S390" s="83">
        <f t="shared" si="1546"/>
        <v>13496</v>
      </c>
      <c r="T390" s="83">
        <f t="shared" si="1546"/>
        <v>13590</v>
      </c>
      <c r="U390" s="83">
        <f t="shared" si="1546"/>
        <v>13590</v>
      </c>
      <c r="V390" s="83">
        <f t="shared" si="1546"/>
        <v>13590</v>
      </c>
      <c r="W390" s="83">
        <f t="shared" si="1546"/>
        <v>13590</v>
      </c>
    </row>
    <row r="391" spans="3:26" ht="24.75" customHeight="1" x14ac:dyDescent="0.25">
      <c r="C391" s="78" t="str">
        <f t="shared" si="1547"/>
        <v>GENERAL</v>
      </c>
      <c r="D391" s="86" t="s">
        <v>72</v>
      </c>
      <c r="E391" s="83">
        <f>VLOOKUP(E$383,LOHMANN,4,0)</f>
        <v>0.7</v>
      </c>
      <c r="F391" s="83">
        <f t="shared" ref="F391:W391" si="1548">VLOOKUP(F$383,LOHMANN,4,0)</f>
        <v>0.7</v>
      </c>
      <c r="G391" s="83">
        <f t="shared" si="1548"/>
        <v>0.7</v>
      </c>
      <c r="H391" s="83">
        <f t="shared" si="1548"/>
        <v>0.5</v>
      </c>
      <c r="I391" s="83">
        <f t="shared" si="1548"/>
        <v>0.3</v>
      </c>
      <c r="J391" s="83">
        <f t="shared" si="1548"/>
        <v>0.18</v>
      </c>
      <c r="K391" s="83">
        <f t="shared" si="1548"/>
        <v>0.18</v>
      </c>
      <c r="L391" s="83">
        <f>VLOOKUP(L$383,LOHMANN,4,0)</f>
        <v>0.16</v>
      </c>
      <c r="M391" s="83">
        <f t="shared" si="1548"/>
        <v>0.16</v>
      </c>
      <c r="N391" s="83">
        <f t="shared" si="1548"/>
        <v>0.16</v>
      </c>
      <c r="O391" s="83">
        <f t="shared" si="1548"/>
        <v>0.16</v>
      </c>
      <c r="P391" s="83">
        <f t="shared" si="1548"/>
        <v>0.16</v>
      </c>
      <c r="Q391" s="83">
        <f t="shared" si="1548"/>
        <v>0.16</v>
      </c>
      <c r="R391" s="83">
        <f t="shared" si="1548"/>
        <v>0.16</v>
      </c>
      <c r="S391" s="83">
        <f t="shared" si="1548"/>
        <v>0.16</v>
      </c>
      <c r="T391" s="83">
        <f t="shared" si="1548"/>
        <v>0.16</v>
      </c>
      <c r="U391" s="83">
        <f t="shared" si="1548"/>
        <v>0.16</v>
      </c>
      <c r="V391" s="83">
        <f t="shared" si="1548"/>
        <v>0.16</v>
      </c>
      <c r="W391" s="83">
        <f t="shared" si="1548"/>
        <v>0.16</v>
      </c>
    </row>
    <row r="392" spans="3:26" ht="24.75" customHeight="1" x14ac:dyDescent="0.25">
      <c r="C392" s="78" t="str">
        <f t="shared" si="1547"/>
        <v>GENERAL</v>
      </c>
      <c r="D392" s="308" t="s">
        <v>74</v>
      </c>
      <c r="E392" s="213">
        <f>IFERROR((E389/E384)*100,0)</f>
        <v>0.55487474557283589</v>
      </c>
      <c r="F392" s="213">
        <f>IFERROR((F389/F384)*100,0)</f>
        <v>0.76569891798869916</v>
      </c>
      <c r="G392" s="213">
        <f>IFERROR((G389/G384)*100,0)</f>
        <v>1.2240340454219862</v>
      </c>
      <c r="H392" s="213">
        <f t="shared" ref="H392:W392" si="1549">IFERROR((H389/H384)*100,0)</f>
        <v>0.57852302792833821</v>
      </c>
      <c r="I392" s="213">
        <f>IFERROR((I389/I384)*100,0)</f>
        <v>0.2485284967423099</v>
      </c>
      <c r="J392" s="213">
        <f t="shared" si="1549"/>
        <v>0.26027289218392619</v>
      </c>
      <c r="K392" s="213">
        <f t="shared" si="1549"/>
        <v>0.49243023305968114</v>
      </c>
      <c r="L392" s="213">
        <f t="shared" si="1549"/>
        <v>0.20769969874513261</v>
      </c>
      <c r="M392" s="213">
        <f>IFERROR((M389/M384)*100,0)</f>
        <v>0.14514943876756906</v>
      </c>
      <c r="N392" s="213">
        <f t="shared" si="1549"/>
        <v>6.8149028876338516E-2</v>
      </c>
      <c r="O392" s="213">
        <f>IFERROR((O389/O384)*100,0)</f>
        <v>0.12151858327469005</v>
      </c>
      <c r="P392" s="213">
        <f t="shared" si="1549"/>
        <v>6.3240072398979427E-2</v>
      </c>
      <c r="Q392" s="213">
        <f t="shared" si="1549"/>
        <v>7.6345868597853583E-2</v>
      </c>
      <c r="R392" s="213">
        <f t="shared" si="1549"/>
        <v>7.9313393412622474E-2</v>
      </c>
      <c r="S392" s="213">
        <f t="shared" si="1549"/>
        <v>7.3186450675609249E-2</v>
      </c>
      <c r="T392" s="213">
        <f t="shared" si="1549"/>
        <v>3.4251566826993152E-2</v>
      </c>
      <c r="U392" s="213">
        <f t="shared" si="1549"/>
        <v>0</v>
      </c>
      <c r="V392" s="213">
        <f t="shared" si="1549"/>
        <v>0</v>
      </c>
      <c r="W392" s="213">
        <f t="shared" si="1549"/>
        <v>0</v>
      </c>
    </row>
    <row r="393" spans="3:26" ht="24.75" customHeight="1" x14ac:dyDescent="0.25">
      <c r="C393" s="78" t="str">
        <f t="shared" si="1547"/>
        <v>GENERAL</v>
      </c>
      <c r="D393" s="87" t="s">
        <v>49</v>
      </c>
      <c r="E393" s="83">
        <f>VLOOKUP(E$383,LOHMANN,5,0)</f>
        <v>0.7</v>
      </c>
      <c r="F393" s="83">
        <f t="shared" ref="F393:W393" si="1550">VLOOKUP(F$383,LOHMANN,5,0)</f>
        <v>0.7</v>
      </c>
      <c r="G393" s="83">
        <f t="shared" si="1550"/>
        <v>1.4</v>
      </c>
      <c r="H393" s="83">
        <f t="shared" si="1550"/>
        <v>1.9</v>
      </c>
      <c r="I393" s="83">
        <f t="shared" si="1550"/>
        <v>2.1999999999999997</v>
      </c>
      <c r="J393" s="83">
        <f t="shared" si="1550"/>
        <v>2.38</v>
      </c>
      <c r="K393" s="83">
        <f t="shared" si="1550"/>
        <v>2.56</v>
      </c>
      <c r="L393" s="83">
        <f t="shared" si="1550"/>
        <v>2.72</v>
      </c>
      <c r="M393" s="83">
        <f t="shared" si="1550"/>
        <v>2.8800000000000003</v>
      </c>
      <c r="N393" s="83">
        <f t="shared" si="1550"/>
        <v>3.0400000000000005</v>
      </c>
      <c r="O393" s="83">
        <f>VLOOKUP(O$383,LOHMANN,5,0)</f>
        <v>3.2000000000000006</v>
      </c>
      <c r="P393" s="83">
        <f t="shared" si="1550"/>
        <v>3.3600000000000008</v>
      </c>
      <c r="Q393" s="83">
        <f t="shared" si="1550"/>
        <v>3.5200000000000009</v>
      </c>
      <c r="R393" s="83">
        <f t="shared" si="1550"/>
        <v>3.680000000000001</v>
      </c>
      <c r="S393" s="83">
        <f t="shared" si="1550"/>
        <v>3.8400000000000012</v>
      </c>
      <c r="T393" s="83">
        <f t="shared" si="1550"/>
        <v>4.0000000000000009</v>
      </c>
      <c r="U393" s="83">
        <f t="shared" si="1550"/>
        <v>4.160000000000001</v>
      </c>
      <c r="V393" s="83">
        <f t="shared" si="1550"/>
        <v>4.3200000000000012</v>
      </c>
      <c r="W393" s="83">
        <f t="shared" si="1550"/>
        <v>4.4800000000000013</v>
      </c>
    </row>
    <row r="394" spans="3:26" ht="24.75" customHeight="1" x14ac:dyDescent="0.25">
      <c r="C394" s="78" t="str">
        <f t="shared" si="1547"/>
        <v>GENERAL</v>
      </c>
      <c r="D394" s="309" t="s">
        <v>73</v>
      </c>
      <c r="E394" s="213">
        <f>IFERROR((E390/E384)*100,0)</f>
        <v>0.55487474557283589</v>
      </c>
      <c r="F394" s="213">
        <f>IFERROR((F390/F384)*100,0)</f>
        <v>1.1332204641570693</v>
      </c>
      <c r="G394" s="213">
        <f>IFERROR((G390/G384)*100,0)</f>
        <v>2.3662551440329218</v>
      </c>
      <c r="H394" s="213">
        <f>IFERROR((H390/H384)*100,0)</f>
        <v>2.9214717570203281</v>
      </c>
      <c r="I394" s="213">
        <f t="shared" ref="I394:W394" si="1551">IFERROR((I390/I384)*100,0)</f>
        <v>3.2533989400885406</v>
      </c>
      <c r="J394" s="213">
        <f>IFERROR((J390/J384)*100,0)</f>
        <v>3.521929604428224</v>
      </c>
      <c r="K394" s="213">
        <f t="shared" si="1551"/>
        <v>4.0235503860365478</v>
      </c>
      <c r="L394" s="213">
        <f t="shared" si="1551"/>
        <v>4.2511613122286356</v>
      </c>
      <c r="M394" s="213">
        <f t="shared" si="1551"/>
        <v>4.4051587775593894</v>
      </c>
      <c r="N394" s="213">
        <f t="shared" si="1551"/>
        <v>4.4797111641159111</v>
      </c>
      <c r="O394" s="213">
        <f>IFERROR((O390/O384)*100,0)</f>
        <v>4.6042847089720613</v>
      </c>
      <c r="P394" s="213">
        <f t="shared" si="1551"/>
        <v>4.6764943192969453</v>
      </c>
      <c r="Q394" s="213">
        <f>IFERROR((Q390/Q384)*100,0)</f>
        <v>4.7541663031149115</v>
      </c>
      <c r="R394" s="213">
        <f t="shared" si="1551"/>
        <v>4.8370255294532836</v>
      </c>
      <c r="S394" s="213">
        <f t="shared" si="1551"/>
        <v>4.9140514344180222</v>
      </c>
      <c r="T394" s="213">
        <f t="shared" si="1551"/>
        <v>4.9519020550940098</v>
      </c>
      <c r="U394" s="213">
        <f t="shared" si="1551"/>
        <v>4.9535987402768766</v>
      </c>
      <c r="V394" s="213">
        <f t="shared" si="1551"/>
        <v>4.9535987402768766</v>
      </c>
      <c r="W394" s="213">
        <f t="shared" si="1551"/>
        <v>4.9535987402768766</v>
      </c>
    </row>
    <row r="395" spans="3:26" ht="24.75" customHeight="1" x14ac:dyDescent="0.25">
      <c r="C395" s="78" t="str">
        <f t="shared" si="1547"/>
        <v>GENERAL</v>
      </c>
      <c r="D395" s="23" t="s">
        <v>9</v>
      </c>
      <c r="E395" s="83">
        <f t="shared" ref="E395:W395" si="1552">IF($C395="GENERAL",SUMIFS(E$169:E$380,$D$169:$D$380,$D395),SUMIFS(E$169:E$380,$C$169:$C$380,$C395,$D$169:$D$380,$D395))</f>
        <v>11840</v>
      </c>
      <c r="F395" s="83">
        <f t="shared" si="1552"/>
        <v>24600</v>
      </c>
      <c r="G395" s="83">
        <f t="shared" si="1552"/>
        <v>33000</v>
      </c>
      <c r="H395" s="83">
        <f t="shared" si="1552"/>
        <v>48200</v>
      </c>
      <c r="I395" s="83">
        <f t="shared" si="1552"/>
        <v>37681</v>
      </c>
      <c r="J395" s="83">
        <f t="shared" si="1552"/>
        <v>57876</v>
      </c>
      <c r="K395" s="83">
        <f t="shared" si="1552"/>
        <v>63063</v>
      </c>
      <c r="L395" s="83">
        <f t="shared" si="1552"/>
        <v>66612</v>
      </c>
      <c r="M395" s="83">
        <f t="shared" si="1552"/>
        <v>79716</v>
      </c>
      <c r="N395" s="83">
        <f t="shared" si="1552"/>
        <v>58422</v>
      </c>
      <c r="O395" s="83">
        <f t="shared" si="1552"/>
        <v>85722</v>
      </c>
      <c r="P395" s="83">
        <f t="shared" si="1552"/>
        <v>86268</v>
      </c>
      <c r="Q395" s="83">
        <f t="shared" si="1552"/>
        <v>103382</v>
      </c>
      <c r="R395" s="83">
        <f t="shared" si="1552"/>
        <v>117180</v>
      </c>
      <c r="S395" s="83">
        <f t="shared" si="1552"/>
        <v>119012</v>
      </c>
      <c r="T395" s="83">
        <f t="shared" si="1552"/>
        <v>58628</v>
      </c>
      <c r="U395" s="83">
        <f t="shared" si="1552"/>
        <v>0</v>
      </c>
      <c r="V395" s="83">
        <f t="shared" si="1552"/>
        <v>0</v>
      </c>
      <c r="W395" s="83">
        <f t="shared" si="1552"/>
        <v>0</v>
      </c>
    </row>
    <row r="396" spans="3:26" ht="24.75" customHeight="1" x14ac:dyDescent="0.25">
      <c r="C396" s="78" t="str">
        <f t="shared" si="1547"/>
        <v>GENERAL</v>
      </c>
      <c r="D396" s="86" t="s">
        <v>75</v>
      </c>
      <c r="E396" s="83">
        <f>VLOOKUP(E$383,LOHMANN,6,0)</f>
        <v>10</v>
      </c>
      <c r="F396" s="83">
        <f t="shared" ref="F396:W396" si="1553">VLOOKUP(F$383,LOHMANN,6,0)</f>
        <v>10</v>
      </c>
      <c r="G396" s="83">
        <f t="shared" si="1553"/>
        <v>17</v>
      </c>
      <c r="H396" s="83">
        <f t="shared" si="1553"/>
        <v>23</v>
      </c>
      <c r="I396" s="83">
        <f t="shared" si="1553"/>
        <v>29</v>
      </c>
      <c r="J396" s="83">
        <f t="shared" si="1553"/>
        <v>34</v>
      </c>
      <c r="K396" s="83">
        <f t="shared" si="1553"/>
        <v>38</v>
      </c>
      <c r="L396" s="83">
        <f t="shared" si="1553"/>
        <v>42</v>
      </c>
      <c r="M396" s="83">
        <f t="shared" si="1553"/>
        <v>46</v>
      </c>
      <c r="N396" s="83">
        <f t="shared" si="1553"/>
        <v>49</v>
      </c>
      <c r="O396" s="83">
        <f>VLOOKUP(O$383,LOHMANN,6,0)</f>
        <v>52</v>
      </c>
      <c r="P396" s="83">
        <f t="shared" si="1553"/>
        <v>55</v>
      </c>
      <c r="Q396" s="83">
        <f t="shared" si="1553"/>
        <v>58</v>
      </c>
      <c r="R396" s="83">
        <f t="shared" si="1553"/>
        <v>61</v>
      </c>
      <c r="S396" s="83">
        <f t="shared" si="1553"/>
        <v>64</v>
      </c>
      <c r="T396" s="83">
        <f t="shared" si="1553"/>
        <v>67</v>
      </c>
      <c r="U396" s="83">
        <f t="shared" si="1553"/>
        <v>71</v>
      </c>
      <c r="V396" s="83">
        <f t="shared" si="1553"/>
        <v>75</v>
      </c>
      <c r="W396" s="83">
        <f t="shared" si="1553"/>
        <v>79</v>
      </c>
    </row>
    <row r="397" spans="3:26" ht="24.75" customHeight="1" x14ac:dyDescent="0.25">
      <c r="C397" s="78" t="str">
        <f t="shared" si="1547"/>
        <v>GENERAL</v>
      </c>
      <c r="D397" s="308" t="s">
        <v>62</v>
      </c>
      <c r="E397" s="212">
        <f>IF($C397="GENERAL",AVERAGEIFS(E$169:E$380,$D$169:$D$380,$D397),SUMIFS(E$169:E$380,$C$169:$C$380,$C397,$D$169:$D$380,$D397))</f>
        <v>2.2412021680276073</v>
      </c>
      <c r="F397" s="212">
        <f t="shared" ref="F397:W397" si="1554">IF($C397="GENERAL",AVERAGEIFS(F$169:F$380,$D$169:$D$380,$D397),SUMIFS(F$169:F$380,$C$169:$C$380,$C397,$D$169:$D$380,$D397))</f>
        <v>2.7612587682847121</v>
      </c>
      <c r="G397" s="212">
        <f t="shared" si="1554"/>
        <v>3.7316793609080006</v>
      </c>
      <c r="H397" s="212">
        <f t="shared" si="1554"/>
        <v>8.5987951522856623</v>
      </c>
      <c r="I397" s="212">
        <f t="shared" si="1554"/>
        <v>6.5547301267224123</v>
      </c>
      <c r="J397" s="212">
        <f t="shared" si="1554"/>
        <v>9.8801481419902828</v>
      </c>
      <c r="K397" s="212">
        <f t="shared" si="1554"/>
        <v>10.805739105937683</v>
      </c>
      <c r="L397" s="212">
        <f t="shared" si="1554"/>
        <v>11.443822089636805</v>
      </c>
      <c r="M397" s="212">
        <f t="shared" si="1554"/>
        <v>13.728767523819259</v>
      </c>
      <c r="N397" s="212">
        <f t="shared" si="1554"/>
        <v>10.080510447978838</v>
      </c>
      <c r="O397" s="212">
        <f t="shared" si="1554"/>
        <v>14.791752689698635</v>
      </c>
      <c r="P397" s="212">
        <f t="shared" si="1554"/>
        <v>19.90622101724022</v>
      </c>
      <c r="Q397" s="212">
        <f>IF($C397="GENERAL",AVERAGEIFS(Q$169:Q$380,$D$169:$D$380,$D397),SUMIFS(Q$169:Q$380,$C$169:$C$380,$C397,$D$169:$D$380,$D397))</f>
        <v>58.079813904472616</v>
      </c>
      <c r="R397" s="212">
        <f t="shared" si="1554"/>
        <v>80.436726655651086</v>
      </c>
      <c r="S397" s="212">
        <f t="shared" si="1554"/>
        <v>77.649530910697919</v>
      </c>
      <c r="T397" s="212">
        <f t="shared" si="1554"/>
        <v>47.374705013039112</v>
      </c>
      <c r="U397" s="212">
        <f t="shared" si="1554"/>
        <v>0</v>
      </c>
      <c r="V397" s="212">
        <f t="shared" si="1554"/>
        <v>0</v>
      </c>
      <c r="W397" s="212">
        <f t="shared" si="1554"/>
        <v>0</v>
      </c>
      <c r="X397" s="741"/>
      <c r="Y397" s="741"/>
      <c r="Z397" s="741"/>
    </row>
    <row r="398" spans="3:26" ht="24.75" customHeight="1" x14ac:dyDescent="0.25">
      <c r="C398" s="78" t="str">
        <f t="shared" si="1547"/>
        <v>GENERAL</v>
      </c>
      <c r="D398" s="86" t="s">
        <v>142</v>
      </c>
      <c r="E398" s="83">
        <f t="shared" ref="E398:W398" si="1555">VLOOKUP(E$383,LOHMANN,7,0)</f>
        <v>70</v>
      </c>
      <c r="F398" s="83">
        <f t="shared" si="1555"/>
        <v>70</v>
      </c>
      <c r="G398" s="83">
        <f t="shared" si="1555"/>
        <v>189</v>
      </c>
      <c r="H398" s="83">
        <f t="shared" si="1555"/>
        <v>350</v>
      </c>
      <c r="I398" s="83">
        <f t="shared" si="1555"/>
        <v>553</v>
      </c>
      <c r="J398" s="83">
        <f t="shared" si="1555"/>
        <v>791</v>
      </c>
      <c r="K398" s="83">
        <f t="shared" si="1555"/>
        <v>1057</v>
      </c>
      <c r="L398" s="83">
        <f t="shared" si="1555"/>
        <v>1351</v>
      </c>
      <c r="M398" s="83">
        <f t="shared" si="1555"/>
        <v>1673</v>
      </c>
      <c r="N398" s="83">
        <f t="shared" si="1555"/>
        <v>2016</v>
      </c>
      <c r="O398" s="83">
        <f>VLOOKUP(O$383,LOHMANN,7,0)</f>
        <v>2380</v>
      </c>
      <c r="P398" s="83">
        <f t="shared" si="1555"/>
        <v>2765</v>
      </c>
      <c r="Q398" s="83">
        <f t="shared" si="1555"/>
        <v>3171</v>
      </c>
      <c r="R398" s="83">
        <f t="shared" si="1555"/>
        <v>3598</v>
      </c>
      <c r="S398" s="83">
        <f t="shared" si="1555"/>
        <v>4046</v>
      </c>
      <c r="T398" s="83">
        <f t="shared" si="1555"/>
        <v>4515</v>
      </c>
      <c r="U398" s="83">
        <f t="shared" si="1555"/>
        <v>5012</v>
      </c>
      <c r="V398" s="83">
        <f t="shared" si="1555"/>
        <v>5537</v>
      </c>
      <c r="W398" s="83">
        <f t="shared" si="1555"/>
        <v>6090</v>
      </c>
    </row>
    <row r="399" spans="3:26" ht="24.75" customHeight="1" x14ac:dyDescent="0.25">
      <c r="C399" s="78" t="str">
        <f t="shared" si="1547"/>
        <v>GENERAL</v>
      </c>
      <c r="D399" s="24" t="s">
        <v>50</v>
      </c>
      <c r="E399" s="83">
        <f>IF($C399="GENERAL",E395/E384*1000,SUMIFS(E$169:E$380,$C$169:$C$380,$C399,$D$169:$D$380,$D399))</f>
        <v>62.272198934430108</v>
      </c>
      <c r="F399" s="83">
        <f t="shared" ref="F399:W399" si="1556">IF($C399="GENERAL",(F395/F384*1000)+E399,SUMIFS(F$169:F$380,$C$169:$C$380,$C399,$D$169:$D$380,$D399))</f>
        <v>147.96916609786049</v>
      </c>
      <c r="G399" s="83">
        <f t="shared" si="1556"/>
        <v>263.84158003625851</v>
      </c>
      <c r="H399" s="83">
        <f t="shared" si="1556"/>
        <v>431.41856288569301</v>
      </c>
      <c r="I399" s="83">
        <f t="shared" si="1556"/>
        <v>566.16391951514595</v>
      </c>
      <c r="J399" s="83">
        <f t="shared" si="1556"/>
        <v>773.65088794540645</v>
      </c>
      <c r="K399" s="83">
        <f t="shared" si="1556"/>
        <v>1000.3233535471777</v>
      </c>
      <c r="L399" s="83">
        <f t="shared" si="1556"/>
        <v>1240.9371332482347</v>
      </c>
      <c r="M399" s="83">
        <f t="shared" si="1556"/>
        <v>1529.4840823952554</v>
      </c>
      <c r="N399" s="83">
        <f t="shared" si="1556"/>
        <v>1741.2608145768218</v>
      </c>
      <c r="O399" s="83">
        <f t="shared" si="1556"/>
        <v>2052.2105457849702</v>
      </c>
      <c r="P399" s="83">
        <f t="shared" si="1556"/>
        <v>2365.7504633548069</v>
      </c>
      <c r="Q399" s="83">
        <f t="shared" si="1556"/>
        <v>2741.597538944488</v>
      </c>
      <c r="R399" s="83">
        <f t="shared" si="1556"/>
        <v>3167.9252196826119</v>
      </c>
      <c r="S399" s="83">
        <f t="shared" si="1556"/>
        <v>3601.2618300211993</v>
      </c>
      <c r="T399" s="83">
        <f t="shared" si="1556"/>
        <v>3814.8895810778968</v>
      </c>
      <c r="U399" s="83">
        <f t="shared" si="1556"/>
        <v>3814.8895810778968</v>
      </c>
      <c r="V399" s="83">
        <f t="shared" si="1556"/>
        <v>3814.8895810778968</v>
      </c>
      <c r="W399" s="83">
        <f t="shared" si="1556"/>
        <v>3814.8895810778968</v>
      </c>
    </row>
    <row r="400" spans="3:26" ht="24.75" customHeight="1" x14ac:dyDescent="0.25">
      <c r="C400" s="78" t="str">
        <f t="shared" si="1547"/>
        <v>GENERAL</v>
      </c>
      <c r="D400" s="86" t="s">
        <v>63</v>
      </c>
      <c r="E400" s="83">
        <f t="shared" ref="E400:W400" si="1557">VLOOKUP(E$383,LOHMANN,2,0)</f>
        <v>40</v>
      </c>
      <c r="F400" s="83">
        <f t="shared" si="1557"/>
        <v>70</v>
      </c>
      <c r="G400" s="83">
        <f t="shared" si="1557"/>
        <v>120</v>
      </c>
      <c r="H400" s="83">
        <f t="shared" si="1557"/>
        <v>185</v>
      </c>
      <c r="I400" s="83">
        <f t="shared" si="1557"/>
        <v>255</v>
      </c>
      <c r="J400" s="83">
        <f t="shared" si="1557"/>
        <v>334</v>
      </c>
      <c r="K400" s="83">
        <f t="shared" si="1557"/>
        <v>425</v>
      </c>
      <c r="L400" s="83">
        <f t="shared" si="1557"/>
        <v>524</v>
      </c>
      <c r="M400" s="83">
        <f t="shared" si="1557"/>
        <v>618</v>
      </c>
      <c r="N400" s="83">
        <f t="shared" si="1557"/>
        <v>712</v>
      </c>
      <c r="O400" s="83">
        <f t="shared" si="1557"/>
        <v>802</v>
      </c>
      <c r="P400" s="83">
        <f t="shared" si="1557"/>
        <v>880</v>
      </c>
      <c r="Q400" s="83">
        <f t="shared" si="1557"/>
        <v>950</v>
      </c>
      <c r="R400" s="83">
        <f t="shared" si="1557"/>
        <v>1010</v>
      </c>
      <c r="S400" s="83">
        <f t="shared" si="1557"/>
        <v>1065</v>
      </c>
      <c r="T400" s="83">
        <f t="shared" si="1557"/>
        <v>1115</v>
      </c>
      <c r="U400" s="83">
        <f t="shared" si="1557"/>
        <v>1160</v>
      </c>
      <c r="V400" s="83">
        <f t="shared" si="1557"/>
        <v>1207</v>
      </c>
      <c r="W400" s="83">
        <f t="shared" si="1557"/>
        <v>1257</v>
      </c>
    </row>
    <row r="401" spans="1:27" ht="24.75" customHeight="1" x14ac:dyDescent="0.25">
      <c r="C401" s="78" t="str">
        <f t="shared" si="1547"/>
        <v>GENERAL</v>
      </c>
      <c r="D401" s="308" t="s">
        <v>64</v>
      </c>
      <c r="E401" s="294">
        <f>IF($C401="GENERAL",SUM(E185+E208)/2,SUMIFS(E$169:E$380,$C$169:$C$380,$C401,$D$169:$D$380,$D401))</f>
        <v>39</v>
      </c>
      <c r="F401" s="294">
        <f>IF($C401="GENERAL",SUM(F185+F208)/2,SUMIFS(F$169:F$380,$C$169:$C$380,$C401,$D$169:$D$380,$D401))</f>
        <v>66</v>
      </c>
      <c r="G401" s="294">
        <f>IF($C401="GENERAL",SUM(G185+G208)/2,SUMIFS(G$169:G$380,$C$169:$C$380,$C401,$D$169:$D$380,$D401))</f>
        <v>118</v>
      </c>
      <c r="H401" s="294">
        <f t="shared" ref="H401:P401" si="1558">IF($C401="GENERAL",SUM(H185+H208+H233)/3,SUMIFS(H$169:H$380,$C$169:$C$380,$C401,$D$169:$D$380,$D401))</f>
        <v>178</v>
      </c>
      <c r="I401" s="294">
        <f t="shared" si="1558"/>
        <v>237.33333333333334</v>
      </c>
      <c r="J401" s="294">
        <f t="shared" si="1558"/>
        <v>311</v>
      </c>
      <c r="K401" s="294">
        <f t="shared" si="1558"/>
        <v>417.66666666666669</v>
      </c>
      <c r="L401" s="294">
        <f t="shared" si="1558"/>
        <v>478.33333333333331</v>
      </c>
      <c r="M401" s="294">
        <f t="shared" si="1558"/>
        <v>601.33333333333337</v>
      </c>
      <c r="N401" s="294">
        <f t="shared" si="1558"/>
        <v>657.66666666666663</v>
      </c>
      <c r="O401" s="294">
        <f t="shared" si="1558"/>
        <v>759.66666666666663</v>
      </c>
      <c r="P401" s="294">
        <f t="shared" si="1558"/>
        <v>880</v>
      </c>
      <c r="Q401" s="294">
        <f>IF($C401="GENERAL",SUM(Q185+Q208+Q233+Q257+Q281+Q305+Q328+Q351+Q374)/9,SUMIFS(Q$169:Q$380,$C$169:$C$380,$C401,$D$169:$D$380,$D401))</f>
        <v>860.66666666666663</v>
      </c>
      <c r="R401" s="294">
        <f t="shared" ref="R401:W401" si="1559">IF($C401="GENERAL",SUM(R185+R208+R233+R257+R281+R305+R328+R351+R374)/9,SUMIFS(R$169:R$380,$C$169:$C$380,$C401,$D$169:$D$380,$D401))</f>
        <v>950</v>
      </c>
      <c r="S401" s="294">
        <f t="shared" si="1559"/>
        <v>1013.1111111111111</v>
      </c>
      <c r="T401" s="294">
        <f t="shared" si="1559"/>
        <v>845.88888888888891</v>
      </c>
      <c r="U401" s="294">
        <f t="shared" si="1559"/>
        <v>0</v>
      </c>
      <c r="V401" s="294">
        <f t="shared" si="1559"/>
        <v>0</v>
      </c>
      <c r="W401" s="294">
        <f t="shared" si="1559"/>
        <v>0</v>
      </c>
      <c r="X401" s="884" t="s">
        <v>164</v>
      </c>
      <c r="Y401" s="884"/>
      <c r="Z401" s="884"/>
      <c r="AA401" s="884"/>
    </row>
    <row r="402" spans="1:27" ht="24.75" customHeight="1" x14ac:dyDescent="0.25">
      <c r="C402" s="78" t="str">
        <f t="shared" si="1547"/>
        <v>GENERAL</v>
      </c>
      <c r="D402" s="23" t="s">
        <v>15</v>
      </c>
      <c r="E402" s="295">
        <f>E400-E401</f>
        <v>1</v>
      </c>
      <c r="F402" s="295">
        <f t="shared" ref="F402:W402" si="1560">F400-F401</f>
        <v>4</v>
      </c>
      <c r="G402" s="295">
        <f t="shared" si="1560"/>
        <v>2</v>
      </c>
      <c r="H402" s="295">
        <f t="shared" si="1560"/>
        <v>7</v>
      </c>
      <c r="I402" s="295">
        <f t="shared" si="1560"/>
        <v>17.666666666666657</v>
      </c>
      <c r="J402" s="295">
        <f t="shared" si="1560"/>
        <v>23</v>
      </c>
      <c r="K402" s="295">
        <f t="shared" si="1560"/>
        <v>7.3333333333333144</v>
      </c>
      <c r="L402" s="295">
        <f t="shared" si="1560"/>
        <v>45.666666666666686</v>
      </c>
      <c r="M402" s="295">
        <f t="shared" si="1560"/>
        <v>16.666666666666629</v>
      </c>
      <c r="N402" s="295">
        <f t="shared" si="1560"/>
        <v>54.333333333333371</v>
      </c>
      <c r="O402" s="295">
        <f t="shared" si="1560"/>
        <v>42.333333333333371</v>
      </c>
      <c r="P402" s="295">
        <f t="shared" si="1560"/>
        <v>0</v>
      </c>
      <c r="Q402" s="295">
        <f t="shared" si="1560"/>
        <v>89.333333333333371</v>
      </c>
      <c r="R402" s="295">
        <f t="shared" si="1560"/>
        <v>60</v>
      </c>
      <c r="S402" s="295">
        <f>S400-S401</f>
        <v>51.888888888888914</v>
      </c>
      <c r="T402" s="295">
        <f t="shared" si="1560"/>
        <v>269.11111111111109</v>
      </c>
      <c r="U402" s="295">
        <f t="shared" si="1560"/>
        <v>1160</v>
      </c>
      <c r="V402" s="295">
        <f t="shared" si="1560"/>
        <v>1207</v>
      </c>
      <c r="W402" s="295">
        <f t="shared" si="1560"/>
        <v>1257</v>
      </c>
    </row>
    <row r="403" spans="1:27" ht="24.75" customHeight="1" x14ac:dyDescent="0.25">
      <c r="C403" s="78" t="str">
        <f t="shared" si="1547"/>
        <v>GENERAL</v>
      </c>
      <c r="D403" s="86" t="s">
        <v>65</v>
      </c>
      <c r="E403" s="83">
        <f>VLOOKUP(E$383,LOHMANN,3,0)</f>
        <v>77</v>
      </c>
      <c r="F403" s="83">
        <f t="shared" ref="F403:W403" si="1561">VLOOKUP(F$383,LOHMANN,3,0)</f>
        <v>77</v>
      </c>
      <c r="G403" s="83">
        <f t="shared" si="1561"/>
        <v>77</v>
      </c>
      <c r="H403" s="83">
        <f t="shared" si="1561"/>
        <v>77</v>
      </c>
      <c r="I403" s="83">
        <f t="shared" si="1561"/>
        <v>79</v>
      </c>
      <c r="J403" s="83">
        <f t="shared" si="1561"/>
        <v>79</v>
      </c>
      <c r="K403" s="83">
        <f t="shared" si="1561"/>
        <v>79</v>
      </c>
      <c r="L403" s="83">
        <f t="shared" si="1561"/>
        <v>79</v>
      </c>
      <c r="M403" s="83">
        <f t="shared" si="1561"/>
        <v>79</v>
      </c>
      <c r="N403" s="83">
        <f t="shared" si="1561"/>
        <v>79</v>
      </c>
      <c r="O403" s="83">
        <f t="shared" si="1561"/>
        <v>80</v>
      </c>
      <c r="P403" s="83">
        <f t="shared" si="1561"/>
        <v>80</v>
      </c>
      <c r="Q403" s="83">
        <f t="shared" si="1561"/>
        <v>82</v>
      </c>
      <c r="R403" s="83">
        <f t="shared" si="1561"/>
        <v>82</v>
      </c>
      <c r="S403" s="83">
        <f t="shared" si="1561"/>
        <v>84</v>
      </c>
      <c r="T403" s="83">
        <f t="shared" si="1561"/>
        <v>86</v>
      </c>
      <c r="U403" s="83">
        <f t="shared" si="1561"/>
        <v>86</v>
      </c>
      <c r="V403" s="83">
        <f t="shared" si="1561"/>
        <v>86</v>
      </c>
      <c r="W403" s="83">
        <f t="shared" si="1561"/>
        <v>86</v>
      </c>
    </row>
    <row r="404" spans="1:27" ht="24.75" customHeight="1" x14ac:dyDescent="0.25">
      <c r="C404" s="78" t="str">
        <f t="shared" si="1547"/>
        <v>GENERAL</v>
      </c>
      <c r="D404" s="308" t="s">
        <v>66</v>
      </c>
      <c r="E404" s="294">
        <f>IF($C404="GENERAL",SUM(E188+E211)/2,SUMIFS(E$169:E$380,$C$169:$C$380,$C404,$D$169:$D$380,$D404))</f>
        <v>80</v>
      </c>
      <c r="F404" s="294">
        <f>IF($C404="GENERAL",SUM(F188+F211)/2,SUMIFS(F$169:F$380,$C$169:$C$380,$C404,$D$169:$D$380,$D404))</f>
        <v>55</v>
      </c>
      <c r="G404" s="294">
        <f>IF($C404="GENERAL",SUM(G188+G211)/2,SUMIFS(G$169:G$380,$C$169:$C$380,$C404,$D$169:$D$380,$D404))</f>
        <v>73</v>
      </c>
      <c r="H404" s="294">
        <f t="shared" ref="H404:P404" si="1562">IF($C404="GENERAL",SUM(H188+H211+H236)/3,SUMIFS(H$169:H$380,$C$169:$C$380,$C404,$D$169:$D$380,$D404))</f>
        <v>61</v>
      </c>
      <c r="I404" s="294">
        <f t="shared" si="1562"/>
        <v>61</v>
      </c>
      <c r="J404" s="294">
        <f t="shared" si="1562"/>
        <v>63.333333333333336</v>
      </c>
      <c r="K404" s="294">
        <f t="shared" si="1562"/>
        <v>57.666666666666664</v>
      </c>
      <c r="L404" s="294">
        <f t="shared" si="1562"/>
        <v>52.333333333333336</v>
      </c>
      <c r="M404" s="294">
        <f t="shared" si="1562"/>
        <v>80.333333333333329</v>
      </c>
      <c r="N404" s="294">
        <f t="shared" si="1562"/>
        <v>77.333333333333329</v>
      </c>
      <c r="O404" s="294">
        <f t="shared" si="1562"/>
        <v>81.666666666666671</v>
      </c>
      <c r="P404" s="294">
        <f t="shared" si="1562"/>
        <v>79.333333333333329</v>
      </c>
      <c r="Q404" s="294">
        <f>IF($C404="GENERAL",SUM(Q188+Q211+Q236+Q260+Q284+Q308+Q331+Q354+Q377)/9,SUMIFS(Q$169:Q$380,$C$169:$C$380,$C404,$D$169:$D$380,$D404))</f>
        <v>69</v>
      </c>
      <c r="R404" s="294">
        <f t="shared" ref="R404:W404" si="1563">IF($C404="GENERAL",SUM(R188+R211+R236+R260+R284+R308+R331+R354+R377)/9,SUMIFS(R$169:R$380,$C$169:$C$380,$C404,$D$169:$D$380,$D404))</f>
        <v>77.222222222222229</v>
      </c>
      <c r="S404" s="294">
        <f t="shared" si="1563"/>
        <v>74.222222222222229</v>
      </c>
      <c r="T404" s="294">
        <f t="shared" si="1563"/>
        <v>60.888888888888886</v>
      </c>
      <c r="U404" s="294">
        <f t="shared" si="1563"/>
        <v>0</v>
      </c>
      <c r="V404" s="294">
        <f t="shared" si="1563"/>
        <v>0</v>
      </c>
      <c r="W404" s="294">
        <f t="shared" si="1563"/>
        <v>0</v>
      </c>
      <c r="X404" s="610"/>
      <c r="Y404" s="465" t="s">
        <v>162</v>
      </c>
      <c r="Z404" s="610"/>
      <c r="AA404" s="610"/>
    </row>
    <row r="405" spans="1:27" ht="24.75" customHeight="1" x14ac:dyDescent="0.25">
      <c r="C405" s="78" t="str">
        <f t="shared" si="1547"/>
        <v>GENERAL</v>
      </c>
      <c r="D405" s="23" t="s">
        <v>15</v>
      </c>
      <c r="E405" s="295">
        <f>E403-E404</f>
        <v>-3</v>
      </c>
      <c r="F405" s="295">
        <f>F403-F404</f>
        <v>22</v>
      </c>
      <c r="G405" s="295">
        <f t="shared" ref="G405:W405" si="1564">G403-G404</f>
        <v>4</v>
      </c>
      <c r="H405" s="295">
        <f t="shared" si="1564"/>
        <v>16</v>
      </c>
      <c r="I405" s="295">
        <f t="shared" si="1564"/>
        <v>18</v>
      </c>
      <c r="J405" s="295">
        <f t="shared" si="1564"/>
        <v>15.666666666666664</v>
      </c>
      <c r="K405" s="295">
        <f>K403-K404</f>
        <v>21.333333333333336</v>
      </c>
      <c r="L405" s="295">
        <f t="shared" si="1564"/>
        <v>26.666666666666664</v>
      </c>
      <c r="M405" s="295">
        <f t="shared" si="1564"/>
        <v>-1.3333333333333286</v>
      </c>
      <c r="N405" s="295">
        <f t="shared" si="1564"/>
        <v>1.6666666666666714</v>
      </c>
      <c r="O405" s="295">
        <f t="shared" si="1564"/>
        <v>-1.6666666666666714</v>
      </c>
      <c r="P405" s="295">
        <f t="shared" si="1564"/>
        <v>0.6666666666666714</v>
      </c>
      <c r="Q405" s="295">
        <f>Q403-Q404</f>
        <v>13</v>
      </c>
      <c r="R405" s="295">
        <f t="shared" si="1564"/>
        <v>4.7777777777777715</v>
      </c>
      <c r="S405" s="295">
        <f t="shared" si="1564"/>
        <v>9.7777777777777715</v>
      </c>
      <c r="T405" s="295">
        <f t="shared" si="1564"/>
        <v>25.111111111111114</v>
      </c>
      <c r="U405" s="295">
        <f t="shared" si="1564"/>
        <v>86</v>
      </c>
      <c r="V405" s="295">
        <f t="shared" si="1564"/>
        <v>86</v>
      </c>
      <c r="W405" s="295">
        <f t="shared" si="1564"/>
        <v>86</v>
      </c>
    </row>
    <row r="406" spans="1:27" ht="24.75" customHeight="1" x14ac:dyDescent="0.25">
      <c r="C406" s="78"/>
      <c r="D406" s="85"/>
      <c r="E406" s="295"/>
      <c r="F406" s="295"/>
      <c r="G406" s="295"/>
      <c r="H406" s="295"/>
      <c r="I406" s="295"/>
      <c r="J406" s="295"/>
      <c r="K406" s="295"/>
      <c r="L406" s="295"/>
      <c r="M406" s="295"/>
      <c r="N406" s="295"/>
      <c r="O406" s="295"/>
      <c r="P406" s="295"/>
      <c r="Q406" s="295"/>
      <c r="R406" s="295"/>
      <c r="S406" s="295"/>
      <c r="T406" s="295"/>
      <c r="U406" s="295"/>
      <c r="V406" s="295"/>
      <c r="W406" s="295"/>
    </row>
    <row r="407" spans="1:27" x14ac:dyDescent="0.25">
      <c r="D407" s="85"/>
      <c r="E407" s="85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</row>
    <row r="408" spans="1:27" x14ac:dyDescent="0.25">
      <c r="D408" s="85"/>
      <c r="E408" s="320">
        <v>0</v>
      </c>
      <c r="F408" s="320">
        <v>1</v>
      </c>
      <c r="G408" s="320">
        <v>2</v>
      </c>
      <c r="H408" s="320">
        <v>3</v>
      </c>
      <c r="I408" s="320">
        <v>4</v>
      </c>
      <c r="J408" s="320">
        <v>5</v>
      </c>
      <c r="K408" s="320">
        <v>6</v>
      </c>
      <c r="L408" s="320">
        <v>7</v>
      </c>
      <c r="M408" s="320">
        <v>8</v>
      </c>
      <c r="N408" s="320">
        <v>9</v>
      </c>
      <c r="O408" s="320">
        <v>10</v>
      </c>
      <c r="P408" s="320">
        <v>11</v>
      </c>
      <c r="Q408" s="320">
        <v>12</v>
      </c>
      <c r="R408" s="320">
        <v>13</v>
      </c>
      <c r="S408" s="320">
        <v>14</v>
      </c>
      <c r="T408" s="320">
        <v>15</v>
      </c>
      <c r="U408" s="320">
        <v>16</v>
      </c>
      <c r="V408" s="320">
        <v>17</v>
      </c>
      <c r="W408" s="320">
        <v>18</v>
      </c>
    </row>
    <row r="409" spans="1:27" ht="25.5" customHeight="1" x14ac:dyDescent="0.25">
      <c r="A409" s="10" t="s">
        <v>86</v>
      </c>
      <c r="B409" s="883" t="s">
        <v>42</v>
      </c>
      <c r="C409" s="317" t="str">
        <f>C405</f>
        <v>GENERAL</v>
      </c>
      <c r="D409" s="24" t="s">
        <v>67</v>
      </c>
      <c r="E409" s="83">
        <f t="shared" ref="E409:W409" si="1565">IF($C409="GENERAL",SUMIFS(E$169:E$380,$D$169:$D$380,$D409),SUMIFS(E$169:E$380,$C$169:$C$380,$C409,$D$169:$D$380,$D409))</f>
        <v>190133</v>
      </c>
      <c r="F409" s="83">
        <f t="shared" si="1565"/>
        <v>287058</v>
      </c>
      <c r="G409" s="83">
        <f t="shared" si="1565"/>
        <v>284796</v>
      </c>
      <c r="H409" s="83">
        <f t="shared" si="1565"/>
        <v>287629</v>
      </c>
      <c r="I409" s="83">
        <f t="shared" si="1565"/>
        <v>279646</v>
      </c>
      <c r="J409" s="83">
        <f t="shared" si="1565"/>
        <v>278938</v>
      </c>
      <c r="K409" s="83">
        <f t="shared" si="1565"/>
        <v>278212</v>
      </c>
      <c r="L409" s="83">
        <f t="shared" si="1565"/>
        <v>276842</v>
      </c>
      <c r="M409" s="83">
        <f t="shared" si="1565"/>
        <v>276267</v>
      </c>
      <c r="N409" s="83">
        <f t="shared" si="1565"/>
        <v>275866</v>
      </c>
      <c r="O409" s="83">
        <f t="shared" si="1565"/>
        <v>275678</v>
      </c>
      <c r="P409" s="83">
        <f t="shared" si="1565"/>
        <v>275142</v>
      </c>
      <c r="Q409" s="83">
        <f t="shared" si="1565"/>
        <v>275064</v>
      </c>
      <c r="R409" s="83">
        <f t="shared" si="1565"/>
        <v>274859</v>
      </c>
      <c r="S409" s="83">
        <f t="shared" si="1565"/>
        <v>274641</v>
      </c>
      <c r="T409" s="83">
        <f t="shared" si="1565"/>
        <v>274440</v>
      </c>
      <c r="U409" s="83">
        <f t="shared" si="1565"/>
        <v>274346</v>
      </c>
      <c r="V409" s="83">
        <f t="shared" si="1565"/>
        <v>274346</v>
      </c>
      <c r="W409" s="83">
        <f t="shared" si="1565"/>
        <v>274346</v>
      </c>
    </row>
    <row r="410" spans="1:27" ht="25.5" customHeight="1" x14ac:dyDescent="0.25">
      <c r="A410" s="10" t="s">
        <v>68</v>
      </c>
      <c r="B410" s="883"/>
      <c r="C410" s="317" t="str">
        <f>C405</f>
        <v>GENERAL</v>
      </c>
      <c r="D410" s="86" t="s">
        <v>72</v>
      </c>
      <c r="E410" s="83">
        <f>E391</f>
        <v>0.7</v>
      </c>
      <c r="F410" s="83">
        <f>F391</f>
        <v>0.7</v>
      </c>
      <c r="G410" s="83">
        <f t="shared" ref="G410:W410" si="1566">G391</f>
        <v>0.7</v>
      </c>
      <c r="H410" s="83">
        <f t="shared" si="1566"/>
        <v>0.5</v>
      </c>
      <c r="I410" s="83">
        <f t="shared" si="1566"/>
        <v>0.3</v>
      </c>
      <c r="J410" s="83">
        <f t="shared" si="1566"/>
        <v>0.18</v>
      </c>
      <c r="K410" s="83">
        <f t="shared" si="1566"/>
        <v>0.18</v>
      </c>
      <c r="L410" s="83">
        <f t="shared" si="1566"/>
        <v>0.16</v>
      </c>
      <c r="M410" s="83">
        <f t="shared" si="1566"/>
        <v>0.16</v>
      </c>
      <c r="N410" s="83">
        <f t="shared" si="1566"/>
        <v>0.16</v>
      </c>
      <c r="O410" s="83">
        <f t="shared" si="1566"/>
        <v>0.16</v>
      </c>
      <c r="P410" s="83">
        <f t="shared" si="1566"/>
        <v>0.16</v>
      </c>
      <c r="Q410" s="83">
        <f t="shared" si="1566"/>
        <v>0.16</v>
      </c>
      <c r="R410" s="83">
        <f t="shared" si="1566"/>
        <v>0.16</v>
      </c>
      <c r="S410" s="83">
        <f t="shared" si="1566"/>
        <v>0.16</v>
      </c>
      <c r="T410" s="83">
        <f t="shared" si="1566"/>
        <v>0.16</v>
      </c>
      <c r="U410" s="83">
        <f t="shared" si="1566"/>
        <v>0.16</v>
      </c>
      <c r="V410" s="83">
        <f t="shared" si="1566"/>
        <v>0.16</v>
      </c>
      <c r="W410" s="83">
        <f t="shared" si="1566"/>
        <v>0.16</v>
      </c>
    </row>
    <row r="411" spans="1:27" ht="25.5" customHeight="1" x14ac:dyDescent="0.25">
      <c r="A411" s="10" t="s">
        <v>70</v>
      </c>
      <c r="B411" s="883"/>
      <c r="C411" s="317" t="str">
        <f>C410</f>
        <v>GENERAL</v>
      </c>
      <c r="D411" s="87" t="s">
        <v>49</v>
      </c>
      <c r="E411" s="83">
        <f>E393</f>
        <v>0.7</v>
      </c>
      <c r="F411" s="83">
        <f>F393</f>
        <v>0.7</v>
      </c>
      <c r="G411" s="83">
        <f t="shared" ref="G411:W411" si="1567">G393</f>
        <v>1.4</v>
      </c>
      <c r="H411" s="83">
        <f t="shared" si="1567"/>
        <v>1.9</v>
      </c>
      <c r="I411" s="83">
        <f t="shared" si="1567"/>
        <v>2.1999999999999997</v>
      </c>
      <c r="J411" s="83">
        <f t="shared" si="1567"/>
        <v>2.38</v>
      </c>
      <c r="K411" s="83">
        <f t="shared" si="1567"/>
        <v>2.56</v>
      </c>
      <c r="L411" s="83">
        <f t="shared" si="1567"/>
        <v>2.72</v>
      </c>
      <c r="M411" s="83">
        <f t="shared" si="1567"/>
        <v>2.8800000000000003</v>
      </c>
      <c r="N411" s="83">
        <f>N393</f>
        <v>3.0400000000000005</v>
      </c>
      <c r="O411" s="83">
        <f t="shared" si="1567"/>
        <v>3.2000000000000006</v>
      </c>
      <c r="P411" s="83">
        <f t="shared" si="1567"/>
        <v>3.3600000000000008</v>
      </c>
      <c r="Q411" s="83">
        <f t="shared" si="1567"/>
        <v>3.5200000000000009</v>
      </c>
      <c r="R411" s="83">
        <f t="shared" si="1567"/>
        <v>3.680000000000001</v>
      </c>
      <c r="S411" s="83">
        <f t="shared" si="1567"/>
        <v>3.8400000000000012</v>
      </c>
      <c r="T411" s="83">
        <f t="shared" si="1567"/>
        <v>4.0000000000000009</v>
      </c>
      <c r="U411" s="83">
        <f t="shared" si="1567"/>
        <v>4.160000000000001</v>
      </c>
      <c r="V411" s="83">
        <f t="shared" si="1567"/>
        <v>4.3200000000000012</v>
      </c>
      <c r="W411" s="83">
        <f t="shared" si="1567"/>
        <v>4.4800000000000013</v>
      </c>
    </row>
    <row r="412" spans="1:27" ht="25.5" customHeight="1" x14ac:dyDescent="0.25">
      <c r="A412" s="10" t="s">
        <v>71</v>
      </c>
      <c r="B412" s="883"/>
      <c r="C412" s="317" t="str">
        <f>C411</f>
        <v>GENERAL</v>
      </c>
      <c r="D412" s="86" t="s">
        <v>75</v>
      </c>
      <c r="E412" s="83">
        <f>E396</f>
        <v>10</v>
      </c>
      <c r="F412" s="83">
        <f>F396</f>
        <v>10</v>
      </c>
      <c r="G412" s="83">
        <f t="shared" ref="G412:W412" si="1568">G396</f>
        <v>17</v>
      </c>
      <c r="H412" s="83">
        <f t="shared" si="1568"/>
        <v>23</v>
      </c>
      <c r="I412" s="83">
        <f t="shared" si="1568"/>
        <v>29</v>
      </c>
      <c r="J412" s="83">
        <f t="shared" si="1568"/>
        <v>34</v>
      </c>
      <c r="K412" s="83">
        <f t="shared" si="1568"/>
        <v>38</v>
      </c>
      <c r="L412" s="83">
        <f t="shared" si="1568"/>
        <v>42</v>
      </c>
      <c r="M412" s="83">
        <f t="shared" si="1568"/>
        <v>46</v>
      </c>
      <c r="N412" s="83">
        <f t="shared" si="1568"/>
        <v>49</v>
      </c>
      <c r="O412" s="83">
        <f t="shared" si="1568"/>
        <v>52</v>
      </c>
      <c r="P412" s="83">
        <f t="shared" si="1568"/>
        <v>55</v>
      </c>
      <c r="Q412" s="83">
        <f t="shared" si="1568"/>
        <v>58</v>
      </c>
      <c r="R412" s="83">
        <f t="shared" si="1568"/>
        <v>61</v>
      </c>
      <c r="S412" s="83">
        <f t="shared" si="1568"/>
        <v>64</v>
      </c>
      <c r="T412" s="83">
        <f t="shared" si="1568"/>
        <v>67</v>
      </c>
      <c r="U412" s="83">
        <f t="shared" si="1568"/>
        <v>71</v>
      </c>
      <c r="V412" s="83">
        <f t="shared" si="1568"/>
        <v>75</v>
      </c>
      <c r="W412" s="83">
        <f t="shared" si="1568"/>
        <v>79</v>
      </c>
    </row>
    <row r="413" spans="1:27" ht="25.5" customHeight="1" x14ac:dyDescent="0.25">
      <c r="A413" s="10" t="s">
        <v>142</v>
      </c>
      <c r="B413" s="883"/>
      <c r="C413" s="317" t="str">
        <f t="shared" ref="C413:C415" si="1569">C412</f>
        <v>GENERAL</v>
      </c>
      <c r="D413" s="86" t="s">
        <v>142</v>
      </c>
      <c r="E413" s="83">
        <f>E398</f>
        <v>70</v>
      </c>
      <c r="F413" s="83">
        <f>F398</f>
        <v>70</v>
      </c>
      <c r="G413" s="83">
        <f t="shared" ref="G413:W413" si="1570">G398</f>
        <v>189</v>
      </c>
      <c r="H413" s="83">
        <f t="shared" si="1570"/>
        <v>350</v>
      </c>
      <c r="I413" s="83">
        <f t="shared" si="1570"/>
        <v>553</v>
      </c>
      <c r="J413" s="83">
        <f t="shared" si="1570"/>
        <v>791</v>
      </c>
      <c r="K413" s="83">
        <f t="shared" si="1570"/>
        <v>1057</v>
      </c>
      <c r="L413" s="83">
        <f t="shared" si="1570"/>
        <v>1351</v>
      </c>
      <c r="M413" s="83">
        <f t="shared" si="1570"/>
        <v>1673</v>
      </c>
      <c r="N413" s="83">
        <f t="shared" si="1570"/>
        <v>2016</v>
      </c>
      <c r="O413" s="83">
        <f t="shared" si="1570"/>
        <v>2380</v>
      </c>
      <c r="P413" s="83">
        <f t="shared" si="1570"/>
        <v>2765</v>
      </c>
      <c r="Q413" s="83">
        <f t="shared" si="1570"/>
        <v>3171</v>
      </c>
      <c r="R413" s="83">
        <f t="shared" si="1570"/>
        <v>3598</v>
      </c>
      <c r="S413" s="83">
        <f t="shared" si="1570"/>
        <v>4046</v>
      </c>
      <c r="T413" s="83">
        <f t="shared" si="1570"/>
        <v>4515</v>
      </c>
      <c r="U413" s="83">
        <f t="shared" si="1570"/>
        <v>5012</v>
      </c>
      <c r="V413" s="83">
        <f t="shared" si="1570"/>
        <v>5537</v>
      </c>
      <c r="W413" s="83">
        <f t="shared" si="1570"/>
        <v>6090</v>
      </c>
    </row>
    <row r="414" spans="1:27" ht="25.5" customHeight="1" x14ac:dyDescent="0.25">
      <c r="A414" s="10" t="s">
        <v>11</v>
      </c>
      <c r="B414" s="883"/>
      <c r="C414" s="317" t="str">
        <f t="shared" si="1569"/>
        <v>GENERAL</v>
      </c>
      <c r="D414" s="86" t="s">
        <v>63</v>
      </c>
      <c r="E414" s="83">
        <f>E400</f>
        <v>40</v>
      </c>
      <c r="F414" s="83">
        <f>F400</f>
        <v>70</v>
      </c>
      <c r="G414" s="83">
        <f t="shared" ref="G414:W414" si="1571">G400</f>
        <v>120</v>
      </c>
      <c r="H414" s="83">
        <f t="shared" si="1571"/>
        <v>185</v>
      </c>
      <c r="I414" s="83">
        <f t="shared" si="1571"/>
        <v>255</v>
      </c>
      <c r="J414" s="83">
        <f t="shared" si="1571"/>
        <v>334</v>
      </c>
      <c r="K414" s="83">
        <f t="shared" si="1571"/>
        <v>425</v>
      </c>
      <c r="L414" s="83">
        <f t="shared" si="1571"/>
        <v>524</v>
      </c>
      <c r="M414" s="83">
        <f t="shared" si="1571"/>
        <v>618</v>
      </c>
      <c r="N414" s="83">
        <f t="shared" si="1571"/>
        <v>712</v>
      </c>
      <c r="O414" s="83">
        <f t="shared" si="1571"/>
        <v>802</v>
      </c>
      <c r="P414" s="83">
        <f t="shared" si="1571"/>
        <v>880</v>
      </c>
      <c r="Q414" s="83">
        <f t="shared" si="1571"/>
        <v>950</v>
      </c>
      <c r="R414" s="83">
        <f t="shared" si="1571"/>
        <v>1010</v>
      </c>
      <c r="S414" s="83">
        <f t="shared" si="1571"/>
        <v>1065</v>
      </c>
      <c r="T414" s="83">
        <f t="shared" si="1571"/>
        <v>1115</v>
      </c>
      <c r="U414" s="83">
        <f t="shared" si="1571"/>
        <v>1160</v>
      </c>
      <c r="V414" s="83">
        <f t="shared" si="1571"/>
        <v>1207</v>
      </c>
      <c r="W414" s="83">
        <f t="shared" si="1571"/>
        <v>1257</v>
      </c>
    </row>
    <row r="415" spans="1:27" ht="25.5" customHeight="1" x14ac:dyDescent="0.25">
      <c r="A415" s="10" t="s">
        <v>69</v>
      </c>
      <c r="B415" s="883"/>
      <c r="C415" s="317" t="str">
        <f t="shared" si="1569"/>
        <v>GENERAL</v>
      </c>
      <c r="D415" s="86" t="s">
        <v>65</v>
      </c>
      <c r="E415" s="83">
        <f>E403</f>
        <v>77</v>
      </c>
      <c r="F415" s="83">
        <f>F403</f>
        <v>77</v>
      </c>
      <c r="G415" s="83">
        <f t="shared" ref="G415:W415" si="1572">G403</f>
        <v>77</v>
      </c>
      <c r="H415" s="83">
        <f t="shared" si="1572"/>
        <v>77</v>
      </c>
      <c r="I415" s="83">
        <f t="shared" si="1572"/>
        <v>79</v>
      </c>
      <c r="J415" s="83">
        <f t="shared" si="1572"/>
        <v>79</v>
      </c>
      <c r="K415" s="83">
        <f t="shared" si="1572"/>
        <v>79</v>
      </c>
      <c r="L415" s="83">
        <f t="shared" si="1572"/>
        <v>79</v>
      </c>
      <c r="M415" s="83">
        <f t="shared" si="1572"/>
        <v>79</v>
      </c>
      <c r="N415" s="83">
        <f t="shared" si="1572"/>
        <v>79</v>
      </c>
      <c r="O415" s="83">
        <f t="shared" si="1572"/>
        <v>80</v>
      </c>
      <c r="P415" s="83">
        <f t="shared" si="1572"/>
        <v>80</v>
      </c>
      <c r="Q415" s="83">
        <f t="shared" si="1572"/>
        <v>82</v>
      </c>
      <c r="R415" s="83">
        <f t="shared" si="1572"/>
        <v>82</v>
      </c>
      <c r="S415" s="83">
        <f t="shared" si="1572"/>
        <v>84</v>
      </c>
      <c r="T415" s="83">
        <f t="shared" si="1572"/>
        <v>86</v>
      </c>
      <c r="U415" s="83">
        <f t="shared" si="1572"/>
        <v>86</v>
      </c>
      <c r="V415" s="83">
        <f t="shared" si="1572"/>
        <v>86</v>
      </c>
      <c r="W415" s="83">
        <f t="shared" si="1572"/>
        <v>86</v>
      </c>
    </row>
    <row r="416" spans="1:27" x14ac:dyDescent="0.25">
      <c r="C416" s="317"/>
      <c r="D416" s="85"/>
      <c r="E416" s="85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</row>
    <row r="417" spans="1:23" x14ac:dyDescent="0.25">
      <c r="C417" s="317"/>
      <c r="D417" s="85"/>
      <c r="E417" s="85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</row>
    <row r="418" spans="1:23" x14ac:dyDescent="0.25">
      <c r="C418" s="317"/>
      <c r="D418" s="85"/>
      <c r="E418" s="320">
        <v>0</v>
      </c>
      <c r="F418" s="320">
        <v>1</v>
      </c>
      <c r="G418" s="320">
        <v>2</v>
      </c>
      <c r="H418" s="320">
        <v>3</v>
      </c>
      <c r="I418" s="320">
        <v>4</v>
      </c>
      <c r="J418" s="320">
        <v>5</v>
      </c>
      <c r="K418" s="320">
        <v>6</v>
      </c>
      <c r="L418" s="320">
        <v>7</v>
      </c>
      <c r="M418" s="320">
        <v>8</v>
      </c>
      <c r="N418" s="320">
        <v>9</v>
      </c>
      <c r="O418" s="320">
        <v>10</v>
      </c>
      <c r="P418" s="320">
        <v>11</v>
      </c>
      <c r="Q418" s="320">
        <v>12</v>
      </c>
      <c r="R418" s="320">
        <v>13</v>
      </c>
      <c r="S418" s="320">
        <v>14</v>
      </c>
      <c r="T418" s="320">
        <v>15</v>
      </c>
      <c r="U418" s="320">
        <v>16</v>
      </c>
      <c r="V418" s="320">
        <v>17</v>
      </c>
      <c r="W418" s="320">
        <v>18</v>
      </c>
    </row>
    <row r="419" spans="1:23" x14ac:dyDescent="0.25">
      <c r="A419" s="2" t="s">
        <v>86</v>
      </c>
      <c r="B419" s="883" t="s">
        <v>38</v>
      </c>
      <c r="C419" s="317" t="str">
        <f>C415</f>
        <v>GENERAL</v>
      </c>
      <c r="D419" s="24" t="s">
        <v>34</v>
      </c>
      <c r="E419" s="83">
        <f t="shared" ref="E419:W419" si="1573">IF($C419="GENERAL",SUMIFS(E$169:E$380,$D$169:$D$380,$D419),SUMIFS(E$169:E$380,$C$169:$C$380,$C419,$D$169:$D$380,$D419))</f>
        <v>189078</v>
      </c>
      <c r="F419" s="83">
        <f t="shared" si="1573"/>
        <v>284796</v>
      </c>
      <c r="G419" s="83">
        <f t="shared" si="1573"/>
        <v>281310</v>
      </c>
      <c r="H419" s="83">
        <f t="shared" si="1573"/>
        <v>279646</v>
      </c>
      <c r="I419" s="83">
        <f t="shared" si="1573"/>
        <v>278938</v>
      </c>
      <c r="J419" s="83">
        <f t="shared" si="1573"/>
        <v>278212</v>
      </c>
      <c r="K419" s="83">
        <f t="shared" si="1573"/>
        <v>276842</v>
      </c>
      <c r="L419" s="83">
        <f t="shared" si="1573"/>
        <v>276267</v>
      </c>
      <c r="M419" s="83">
        <f t="shared" si="1573"/>
        <v>275866</v>
      </c>
      <c r="N419" s="83">
        <f t="shared" si="1573"/>
        <v>275678</v>
      </c>
      <c r="O419" s="83">
        <f t="shared" si="1573"/>
        <v>275343</v>
      </c>
      <c r="P419" s="83">
        <f t="shared" si="1573"/>
        <v>275241</v>
      </c>
      <c r="Q419" s="83">
        <f t="shared" si="1573"/>
        <v>275039</v>
      </c>
      <c r="R419" s="83">
        <f t="shared" si="1573"/>
        <v>274838</v>
      </c>
      <c r="S419" s="83">
        <f t="shared" si="1573"/>
        <v>274638</v>
      </c>
      <c r="T419" s="83">
        <f t="shared" si="1573"/>
        <v>274551</v>
      </c>
      <c r="U419" s="83">
        <f t="shared" si="1573"/>
        <v>274551</v>
      </c>
      <c r="V419" s="83">
        <f t="shared" si="1573"/>
        <v>274551</v>
      </c>
      <c r="W419" s="83">
        <f t="shared" si="1573"/>
        <v>274551</v>
      </c>
    </row>
    <row r="420" spans="1:23" ht="27.75" customHeight="1" x14ac:dyDescent="0.25">
      <c r="A420" s="10" t="s">
        <v>68</v>
      </c>
      <c r="B420" s="883"/>
      <c r="C420" s="317" t="str">
        <f>C419</f>
        <v>GENERAL</v>
      </c>
      <c r="D420" s="86" t="s">
        <v>74</v>
      </c>
      <c r="E420" s="214">
        <f>E392</f>
        <v>0.55487474557283589</v>
      </c>
      <c r="F420" s="214">
        <f>F392</f>
        <v>0.76569891798869916</v>
      </c>
      <c r="G420" s="214">
        <f>G392</f>
        <v>1.2240340454219862</v>
      </c>
      <c r="H420" s="214">
        <f t="shared" ref="H420:W420" si="1574">H392</f>
        <v>0.57852302792833821</v>
      </c>
      <c r="I420" s="214">
        <f>I392</f>
        <v>0.2485284967423099</v>
      </c>
      <c r="J420" s="214">
        <f t="shared" si="1574"/>
        <v>0.26027289218392619</v>
      </c>
      <c r="K420" s="214">
        <f t="shared" si="1574"/>
        <v>0.49243023305968114</v>
      </c>
      <c r="L420" s="214">
        <f t="shared" si="1574"/>
        <v>0.20769969874513261</v>
      </c>
      <c r="M420" s="214">
        <f t="shared" si="1574"/>
        <v>0.14514943876756906</v>
      </c>
      <c r="N420" s="214">
        <f t="shared" si="1574"/>
        <v>6.8149028876338516E-2</v>
      </c>
      <c r="O420" s="214">
        <f t="shared" si="1574"/>
        <v>0.12151858327469005</v>
      </c>
      <c r="P420" s="214">
        <f t="shared" si="1574"/>
        <v>6.3240072398979427E-2</v>
      </c>
      <c r="Q420" s="214">
        <f t="shared" si="1574"/>
        <v>7.6345868597853583E-2</v>
      </c>
      <c r="R420" s="214">
        <f t="shared" si="1574"/>
        <v>7.9313393412622474E-2</v>
      </c>
      <c r="S420" s="214">
        <f t="shared" si="1574"/>
        <v>7.3186450675609249E-2</v>
      </c>
      <c r="T420" s="214">
        <f t="shared" si="1574"/>
        <v>3.4251566826993152E-2</v>
      </c>
      <c r="U420" s="214">
        <f t="shared" si="1574"/>
        <v>0</v>
      </c>
      <c r="V420" s="214">
        <f t="shared" si="1574"/>
        <v>0</v>
      </c>
      <c r="W420" s="214">
        <f t="shared" si="1574"/>
        <v>0</v>
      </c>
    </row>
    <row r="421" spans="1:23" ht="27.75" customHeight="1" x14ac:dyDescent="0.25">
      <c r="A421" s="10" t="s">
        <v>70</v>
      </c>
      <c r="B421" s="883"/>
      <c r="C421" s="317" t="str">
        <f t="shared" ref="C421:C425" si="1575">C420</f>
        <v>GENERAL</v>
      </c>
      <c r="D421" s="87" t="s">
        <v>73</v>
      </c>
      <c r="E421" s="214">
        <f>E394</f>
        <v>0.55487474557283589</v>
      </c>
      <c r="F421" s="214">
        <f>F394</f>
        <v>1.1332204641570693</v>
      </c>
      <c r="G421" s="214">
        <f t="shared" ref="G421:W421" si="1576">G394</f>
        <v>2.3662551440329218</v>
      </c>
      <c r="H421" s="214">
        <f t="shared" si="1576"/>
        <v>2.9214717570203281</v>
      </c>
      <c r="I421" s="214">
        <f t="shared" si="1576"/>
        <v>3.2533989400885406</v>
      </c>
      <c r="J421" s="214">
        <f t="shared" si="1576"/>
        <v>3.521929604428224</v>
      </c>
      <c r="K421" s="214">
        <f t="shared" si="1576"/>
        <v>4.0235503860365478</v>
      </c>
      <c r="L421" s="214">
        <f t="shared" si="1576"/>
        <v>4.2511613122286356</v>
      </c>
      <c r="M421" s="214">
        <f t="shared" si="1576"/>
        <v>4.4051587775593894</v>
      </c>
      <c r="N421" s="214">
        <f t="shared" si="1576"/>
        <v>4.4797111641159111</v>
      </c>
      <c r="O421" s="214">
        <f t="shared" si="1576"/>
        <v>4.6042847089720613</v>
      </c>
      <c r="P421" s="214">
        <f t="shared" si="1576"/>
        <v>4.6764943192969453</v>
      </c>
      <c r="Q421" s="214">
        <f t="shared" si="1576"/>
        <v>4.7541663031149115</v>
      </c>
      <c r="R421" s="214">
        <f t="shared" si="1576"/>
        <v>4.8370255294532836</v>
      </c>
      <c r="S421" s="214">
        <f t="shared" si="1576"/>
        <v>4.9140514344180222</v>
      </c>
      <c r="T421" s="214">
        <f t="shared" si="1576"/>
        <v>4.9519020550940098</v>
      </c>
      <c r="U421" s="214">
        <f t="shared" si="1576"/>
        <v>4.9535987402768766</v>
      </c>
      <c r="V421" s="214">
        <f t="shared" si="1576"/>
        <v>4.9535987402768766</v>
      </c>
      <c r="W421" s="214">
        <f t="shared" si="1576"/>
        <v>4.9535987402768766</v>
      </c>
    </row>
    <row r="422" spans="1:23" ht="27.75" customHeight="1" x14ac:dyDescent="0.25">
      <c r="A422" s="10" t="s">
        <v>71</v>
      </c>
      <c r="B422" s="883"/>
      <c r="C422" s="317" t="str">
        <f t="shared" si="1575"/>
        <v>GENERAL</v>
      </c>
      <c r="D422" s="86" t="s">
        <v>62</v>
      </c>
      <c r="E422" s="83">
        <f>E397</f>
        <v>2.2412021680276073</v>
      </c>
      <c r="F422" s="83">
        <f>F397</f>
        <v>2.7612587682847121</v>
      </c>
      <c r="G422" s="83">
        <f t="shared" ref="G422:W422" si="1577">G397</f>
        <v>3.7316793609080006</v>
      </c>
      <c r="H422" s="83">
        <f>H397</f>
        <v>8.5987951522856623</v>
      </c>
      <c r="I422" s="83">
        <f t="shared" si="1577"/>
        <v>6.5547301267224123</v>
      </c>
      <c r="J422" s="83">
        <f t="shared" si="1577"/>
        <v>9.8801481419902828</v>
      </c>
      <c r="K422" s="83">
        <f t="shared" si="1577"/>
        <v>10.805739105937683</v>
      </c>
      <c r="L422" s="83">
        <f t="shared" si="1577"/>
        <v>11.443822089636805</v>
      </c>
      <c r="M422" s="83">
        <f t="shared" si="1577"/>
        <v>13.728767523819259</v>
      </c>
      <c r="N422" s="83">
        <f t="shared" si="1577"/>
        <v>10.080510447978838</v>
      </c>
      <c r="O422" s="83">
        <f t="shared" si="1577"/>
        <v>14.791752689698635</v>
      </c>
      <c r="P422" s="83">
        <f t="shared" si="1577"/>
        <v>19.90622101724022</v>
      </c>
      <c r="Q422" s="83">
        <f t="shared" si="1577"/>
        <v>58.079813904472616</v>
      </c>
      <c r="R422" s="83">
        <f t="shared" si="1577"/>
        <v>80.436726655651086</v>
      </c>
      <c r="S422" s="83">
        <f t="shared" si="1577"/>
        <v>77.649530910697919</v>
      </c>
      <c r="T422" s="83">
        <f t="shared" si="1577"/>
        <v>47.374705013039112</v>
      </c>
      <c r="U422" s="83">
        <f t="shared" si="1577"/>
        <v>0</v>
      </c>
      <c r="V422" s="83">
        <f t="shared" si="1577"/>
        <v>0</v>
      </c>
      <c r="W422" s="83">
        <f t="shared" si="1577"/>
        <v>0</v>
      </c>
    </row>
    <row r="423" spans="1:23" ht="27.75" customHeight="1" x14ac:dyDescent="0.25">
      <c r="A423" s="10" t="s">
        <v>142</v>
      </c>
      <c r="B423" s="883"/>
      <c r="C423" s="317" t="str">
        <f t="shared" si="1575"/>
        <v>GENERAL</v>
      </c>
      <c r="D423" s="86" t="s">
        <v>142</v>
      </c>
      <c r="E423" s="83">
        <f>E399</f>
        <v>62.272198934430108</v>
      </c>
      <c r="F423" s="83">
        <f>F399</f>
        <v>147.96916609786049</v>
      </c>
      <c r="G423" s="83">
        <f t="shared" ref="G423:W423" si="1578">G399</f>
        <v>263.84158003625851</v>
      </c>
      <c r="H423" s="83">
        <f t="shared" si="1578"/>
        <v>431.41856288569301</v>
      </c>
      <c r="I423" s="83">
        <f t="shared" si="1578"/>
        <v>566.16391951514595</v>
      </c>
      <c r="J423" s="83">
        <f t="shared" si="1578"/>
        <v>773.65088794540645</v>
      </c>
      <c r="K423" s="83">
        <f t="shared" si="1578"/>
        <v>1000.3233535471777</v>
      </c>
      <c r="L423" s="83">
        <f t="shared" si="1578"/>
        <v>1240.9371332482347</v>
      </c>
      <c r="M423" s="83">
        <f t="shared" si="1578"/>
        <v>1529.4840823952554</v>
      </c>
      <c r="N423" s="83">
        <f t="shared" si="1578"/>
        <v>1741.2608145768218</v>
      </c>
      <c r="O423" s="83">
        <f t="shared" si="1578"/>
        <v>2052.2105457849702</v>
      </c>
      <c r="P423" s="83">
        <f t="shared" si="1578"/>
        <v>2365.7504633548069</v>
      </c>
      <c r="Q423" s="83">
        <f t="shared" si="1578"/>
        <v>2741.597538944488</v>
      </c>
      <c r="R423" s="83">
        <f t="shared" si="1578"/>
        <v>3167.9252196826119</v>
      </c>
      <c r="S423" s="83">
        <f t="shared" si="1578"/>
        <v>3601.2618300211993</v>
      </c>
      <c r="T423" s="83">
        <f t="shared" si="1578"/>
        <v>3814.8895810778968</v>
      </c>
      <c r="U423" s="83">
        <f t="shared" si="1578"/>
        <v>3814.8895810778968</v>
      </c>
      <c r="V423" s="83">
        <f t="shared" si="1578"/>
        <v>3814.8895810778968</v>
      </c>
      <c r="W423" s="83">
        <f t="shared" si="1578"/>
        <v>3814.8895810778968</v>
      </c>
    </row>
    <row r="424" spans="1:23" ht="27.75" customHeight="1" x14ac:dyDescent="0.25">
      <c r="A424" s="10" t="s">
        <v>11</v>
      </c>
      <c r="B424" s="883"/>
      <c r="C424" s="317" t="str">
        <f t="shared" si="1575"/>
        <v>GENERAL</v>
      </c>
      <c r="D424" s="86" t="s">
        <v>64</v>
      </c>
      <c r="E424" s="83">
        <f t="shared" ref="E424:W424" si="1579">E401</f>
        <v>39</v>
      </c>
      <c r="F424" s="83">
        <f t="shared" si="1579"/>
        <v>66</v>
      </c>
      <c r="G424" s="83">
        <f t="shared" si="1579"/>
        <v>118</v>
      </c>
      <c r="H424" s="83">
        <f t="shared" si="1579"/>
        <v>178</v>
      </c>
      <c r="I424" s="83">
        <f t="shared" si="1579"/>
        <v>237.33333333333334</v>
      </c>
      <c r="J424" s="83">
        <f t="shared" si="1579"/>
        <v>311</v>
      </c>
      <c r="K424" s="83">
        <f t="shared" si="1579"/>
        <v>417.66666666666669</v>
      </c>
      <c r="L424" s="83">
        <f t="shared" si="1579"/>
        <v>478.33333333333331</v>
      </c>
      <c r="M424" s="83">
        <f t="shared" si="1579"/>
        <v>601.33333333333337</v>
      </c>
      <c r="N424" s="83">
        <f t="shared" si="1579"/>
        <v>657.66666666666663</v>
      </c>
      <c r="O424" s="83">
        <f t="shared" si="1579"/>
        <v>759.66666666666663</v>
      </c>
      <c r="P424" s="83">
        <f t="shared" si="1579"/>
        <v>880</v>
      </c>
      <c r="Q424" s="83">
        <f t="shared" si="1579"/>
        <v>860.66666666666663</v>
      </c>
      <c r="R424" s="83">
        <f t="shared" si="1579"/>
        <v>950</v>
      </c>
      <c r="S424" s="83">
        <f t="shared" si="1579"/>
        <v>1013.1111111111111</v>
      </c>
      <c r="T424" s="83">
        <f t="shared" si="1579"/>
        <v>845.88888888888891</v>
      </c>
      <c r="U424" s="83">
        <f t="shared" si="1579"/>
        <v>0</v>
      </c>
      <c r="V424" s="83">
        <f t="shared" si="1579"/>
        <v>0</v>
      </c>
      <c r="W424" s="83">
        <f t="shared" si="1579"/>
        <v>0</v>
      </c>
    </row>
    <row r="425" spans="1:23" ht="27.75" customHeight="1" x14ac:dyDescent="0.25">
      <c r="A425" s="10" t="s">
        <v>69</v>
      </c>
      <c r="B425" s="883"/>
      <c r="C425" s="317" t="str">
        <f t="shared" si="1575"/>
        <v>GENERAL</v>
      </c>
      <c r="D425" s="86" t="s">
        <v>66</v>
      </c>
      <c r="E425" s="83">
        <f>E404</f>
        <v>80</v>
      </c>
      <c r="F425" s="83">
        <f>F404</f>
        <v>55</v>
      </c>
      <c r="G425" s="83">
        <f t="shared" ref="G425:W425" si="1580">G404</f>
        <v>73</v>
      </c>
      <c r="H425" s="83">
        <f t="shared" si="1580"/>
        <v>61</v>
      </c>
      <c r="I425" s="83">
        <f t="shared" si="1580"/>
        <v>61</v>
      </c>
      <c r="J425" s="83">
        <f t="shared" si="1580"/>
        <v>63.333333333333336</v>
      </c>
      <c r="K425" s="83">
        <f t="shared" si="1580"/>
        <v>57.666666666666664</v>
      </c>
      <c r="L425" s="83">
        <f t="shared" si="1580"/>
        <v>52.333333333333336</v>
      </c>
      <c r="M425" s="83">
        <f t="shared" si="1580"/>
        <v>80.333333333333329</v>
      </c>
      <c r="N425" s="83">
        <f t="shared" si="1580"/>
        <v>77.333333333333329</v>
      </c>
      <c r="O425" s="83">
        <f t="shared" si="1580"/>
        <v>81.666666666666671</v>
      </c>
      <c r="P425" s="83">
        <f t="shared" si="1580"/>
        <v>79.333333333333329</v>
      </c>
      <c r="Q425" s="83">
        <f t="shared" si="1580"/>
        <v>69</v>
      </c>
      <c r="R425" s="83">
        <f t="shared" si="1580"/>
        <v>77.222222222222229</v>
      </c>
      <c r="S425" s="83">
        <f t="shared" si="1580"/>
        <v>74.222222222222229</v>
      </c>
      <c r="T425" s="83">
        <f t="shared" si="1580"/>
        <v>60.888888888888886</v>
      </c>
      <c r="U425" s="83">
        <f t="shared" si="1580"/>
        <v>0</v>
      </c>
      <c r="V425" s="83">
        <f t="shared" si="1580"/>
        <v>0</v>
      </c>
      <c r="W425" s="83">
        <f t="shared" si="1580"/>
        <v>0</v>
      </c>
    </row>
    <row r="426" spans="1:23" x14ac:dyDescent="0.25">
      <c r="D426" s="85" t="s">
        <v>48</v>
      </c>
      <c r="E426" s="83">
        <f>E390</f>
        <v>1055</v>
      </c>
      <c r="F426" s="83">
        <f>F390</f>
        <v>3253</v>
      </c>
      <c r="G426" s="83">
        <f t="shared" ref="G426:W426" si="1581">G390</f>
        <v>6739</v>
      </c>
      <c r="H426" s="83">
        <f t="shared" si="1581"/>
        <v>8403</v>
      </c>
      <c r="I426" s="83">
        <f t="shared" si="1581"/>
        <v>9098</v>
      </c>
      <c r="J426" s="83">
        <f>J390</f>
        <v>9824</v>
      </c>
      <c r="K426" s="83">
        <f t="shared" si="1581"/>
        <v>11194</v>
      </c>
      <c r="L426" s="83">
        <f>L390</f>
        <v>11769</v>
      </c>
      <c r="M426" s="83">
        <f t="shared" si="1581"/>
        <v>12170</v>
      </c>
      <c r="N426" s="83">
        <f t="shared" si="1581"/>
        <v>12358</v>
      </c>
      <c r="O426" s="83">
        <f t="shared" si="1581"/>
        <v>12693</v>
      </c>
      <c r="P426" s="83">
        <f t="shared" si="1581"/>
        <v>12867</v>
      </c>
      <c r="Q426" s="83">
        <f t="shared" si="1581"/>
        <v>13077</v>
      </c>
      <c r="R426" s="83">
        <f t="shared" si="1581"/>
        <v>13295</v>
      </c>
      <c r="S426" s="83">
        <f t="shared" si="1581"/>
        <v>13496</v>
      </c>
      <c r="T426" s="83">
        <f t="shared" si="1581"/>
        <v>13590</v>
      </c>
      <c r="U426" s="83">
        <f t="shared" si="1581"/>
        <v>13590</v>
      </c>
      <c r="V426" s="83">
        <f t="shared" si="1581"/>
        <v>13590</v>
      </c>
      <c r="W426" s="83">
        <f t="shared" si="1581"/>
        <v>13590</v>
      </c>
    </row>
    <row r="427" spans="1:23" x14ac:dyDescent="0.25">
      <c r="D427" s="85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</row>
    <row r="428" spans="1:23" x14ac:dyDescent="0.25">
      <c r="D428" s="85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</row>
    <row r="429" spans="1:23" x14ac:dyDescent="0.25">
      <c r="E429" s="316"/>
      <c r="F429" s="316"/>
      <c r="G429" s="316"/>
      <c r="H429" s="316"/>
      <c r="I429" s="316"/>
      <c r="J429" s="316"/>
      <c r="K429" s="316"/>
      <c r="L429" s="316"/>
      <c r="M429" s="316"/>
      <c r="N429" s="316"/>
      <c r="O429" s="316"/>
      <c r="P429" s="316"/>
      <c r="Q429" s="316"/>
      <c r="R429" s="316"/>
      <c r="S429" s="316"/>
      <c r="T429" s="316"/>
      <c r="U429" s="316"/>
      <c r="V429" s="316"/>
    </row>
    <row r="430" spans="1:23" x14ac:dyDescent="0.25">
      <c r="E430" s="316"/>
      <c r="F430" s="316"/>
      <c r="G430" s="316"/>
      <c r="H430" s="316"/>
      <c r="I430" s="316"/>
      <c r="J430" s="316"/>
      <c r="K430" s="316"/>
      <c r="L430" s="316"/>
      <c r="M430" s="316"/>
      <c r="N430" s="316"/>
      <c r="O430" s="316"/>
      <c r="P430" s="316"/>
      <c r="Q430" s="316"/>
      <c r="R430" s="316"/>
      <c r="S430" s="316"/>
      <c r="T430" s="316"/>
      <c r="U430" s="316"/>
      <c r="V430" s="316"/>
    </row>
    <row r="431" spans="1:23" x14ac:dyDescent="0.25">
      <c r="B431" s="84" t="s">
        <v>61</v>
      </c>
      <c r="D431" s="1" t="s">
        <v>33</v>
      </c>
      <c r="E431" s="316"/>
      <c r="F431" s="316"/>
      <c r="G431" s="316"/>
      <c r="H431" s="316"/>
      <c r="I431" s="316"/>
      <c r="J431" s="316"/>
      <c r="K431" s="316"/>
      <c r="L431" s="316"/>
      <c r="M431" s="316"/>
      <c r="N431" s="316"/>
      <c r="O431" s="316"/>
      <c r="P431" s="316"/>
      <c r="Q431" s="316"/>
      <c r="R431" s="316"/>
      <c r="S431" s="316"/>
      <c r="T431" s="316"/>
      <c r="U431" s="316"/>
      <c r="V431" s="316"/>
    </row>
    <row r="432" spans="1:23" x14ac:dyDescent="0.25">
      <c r="B432" s="84"/>
      <c r="E432" s="316"/>
      <c r="F432" s="316"/>
      <c r="G432" s="316"/>
      <c r="H432" s="316"/>
      <c r="I432" s="316"/>
      <c r="J432" s="316"/>
      <c r="K432" s="316"/>
      <c r="L432" s="316"/>
      <c r="M432" s="316"/>
      <c r="N432" s="316"/>
      <c r="O432" s="316"/>
      <c r="P432" s="316"/>
      <c r="Q432" s="316"/>
      <c r="R432" s="316"/>
      <c r="S432" s="316"/>
      <c r="T432" s="316"/>
      <c r="U432" s="316"/>
      <c r="V432" s="316"/>
    </row>
    <row r="433" spans="2:23" x14ac:dyDescent="0.25">
      <c r="B433" s="84"/>
      <c r="E433" s="316"/>
      <c r="F433" s="316"/>
      <c r="G433" s="316"/>
      <c r="H433" s="316"/>
      <c r="I433" s="316"/>
      <c r="J433" s="316"/>
      <c r="K433" s="316"/>
      <c r="L433" s="316"/>
      <c r="M433" s="316"/>
      <c r="N433" s="316"/>
      <c r="O433" s="316"/>
      <c r="P433" s="316"/>
      <c r="Q433" s="316"/>
      <c r="R433" s="316"/>
      <c r="S433" s="316"/>
      <c r="T433" s="316"/>
      <c r="U433" s="316"/>
      <c r="V433" s="316"/>
    </row>
    <row r="434" spans="2:23" x14ac:dyDescent="0.25">
      <c r="B434" s="84"/>
      <c r="D434" s="1" t="s">
        <v>57</v>
      </c>
      <c r="E434" s="320">
        <v>0</v>
      </c>
      <c r="F434" s="320">
        <v>1</v>
      </c>
      <c r="G434" s="320">
        <v>2</v>
      </c>
      <c r="H434" s="320">
        <v>3</v>
      </c>
      <c r="I434" s="320">
        <v>4</v>
      </c>
      <c r="J434" s="320">
        <v>5</v>
      </c>
      <c r="K434" s="320">
        <v>6</v>
      </c>
      <c r="L434" s="320">
        <v>7</v>
      </c>
      <c r="M434" s="320">
        <v>8</v>
      </c>
      <c r="N434" s="320">
        <v>9</v>
      </c>
      <c r="O434" s="320">
        <v>10</v>
      </c>
      <c r="P434" s="320">
        <v>11</v>
      </c>
      <c r="Q434" s="320">
        <v>12</v>
      </c>
      <c r="R434" s="320">
        <v>13</v>
      </c>
      <c r="S434" s="320">
        <v>14</v>
      </c>
      <c r="T434" s="320">
        <v>15</v>
      </c>
      <c r="U434" s="320">
        <v>16</v>
      </c>
      <c r="V434" s="320">
        <v>17</v>
      </c>
      <c r="W434" s="320">
        <v>18</v>
      </c>
    </row>
    <row r="435" spans="2:23" x14ac:dyDescent="0.25">
      <c r="B435" s="84" t="b">
        <v>1</v>
      </c>
      <c r="D435" s="1" t="str">
        <f>IF(TABLERO!$Q$4=TRUE,VLOOKUP(TABLERO!$J$48,TABLERO!$H$48:$I$56,2,FALSE),"")</f>
        <v>%MORT. ACUMULADA</v>
      </c>
      <c r="E435" s="319">
        <f>SUMIFS(E$409:E$415,$A$409:$A$415,$D$435)</f>
        <v>0.7</v>
      </c>
      <c r="F435" s="319">
        <f t="shared" ref="F435:W435" si="1582">SUMIFS(F$409:F$415,$A$409:$A$415,$D$435)</f>
        <v>0.7</v>
      </c>
      <c r="G435" s="319">
        <f t="shared" si="1582"/>
        <v>1.4</v>
      </c>
      <c r="H435" s="319">
        <f t="shared" si="1582"/>
        <v>1.9</v>
      </c>
      <c r="I435" s="319">
        <f t="shared" si="1582"/>
        <v>2.1999999999999997</v>
      </c>
      <c r="J435" s="319">
        <f t="shared" si="1582"/>
        <v>2.38</v>
      </c>
      <c r="K435" s="319">
        <f t="shared" si="1582"/>
        <v>2.56</v>
      </c>
      <c r="L435" s="319">
        <f t="shared" si="1582"/>
        <v>2.72</v>
      </c>
      <c r="M435" s="319">
        <f t="shared" si="1582"/>
        <v>2.8800000000000003</v>
      </c>
      <c r="N435" s="319">
        <f t="shared" si="1582"/>
        <v>3.0400000000000005</v>
      </c>
      <c r="O435" s="319">
        <f t="shared" si="1582"/>
        <v>3.2000000000000006</v>
      </c>
      <c r="P435" s="319">
        <f t="shared" si="1582"/>
        <v>3.3600000000000008</v>
      </c>
      <c r="Q435" s="319">
        <f t="shared" si="1582"/>
        <v>3.5200000000000009</v>
      </c>
      <c r="R435" s="319">
        <f t="shared" si="1582"/>
        <v>3.680000000000001</v>
      </c>
      <c r="S435" s="319">
        <f t="shared" si="1582"/>
        <v>3.8400000000000012</v>
      </c>
      <c r="T435" s="319">
        <f t="shared" si="1582"/>
        <v>4.0000000000000009</v>
      </c>
      <c r="U435" s="319">
        <f t="shared" si="1582"/>
        <v>4.160000000000001</v>
      </c>
      <c r="V435" s="319">
        <f t="shared" si="1582"/>
        <v>4.3200000000000012</v>
      </c>
      <c r="W435" s="319">
        <f t="shared" si="1582"/>
        <v>4.4800000000000013</v>
      </c>
    </row>
    <row r="436" spans="2:23" x14ac:dyDescent="0.25">
      <c r="B436" s="84"/>
      <c r="D436" s="1" t="str">
        <f>IF(B435=FALSE,"",IF(TABLERO!$Q$5=TRUE,VLOOKUP(TABLERO!$J$48,TABLERO!$H$48:$I$56,2,FALSE),""))</f>
        <v>%MORT. ACUMULADA</v>
      </c>
      <c r="E436" s="319">
        <f>SUMIFS(E$419:E$425,$A$419:$A$425,$D$436)</f>
        <v>0.55487474557283589</v>
      </c>
      <c r="F436" s="319">
        <f t="shared" ref="F436:W436" si="1583">SUMIFS(F$419:F$425,$A$419:$A$425,$D$436)</f>
        <v>1.1332204641570693</v>
      </c>
      <c r="G436" s="319">
        <f>SUMIFS(G$419:G$425,$A$419:$A$425,$D$436)</f>
        <v>2.3662551440329218</v>
      </c>
      <c r="H436" s="319">
        <f>SUMIFS(H$419:H$425,$A$419:$A$425,$D$436)</f>
        <v>2.9214717570203281</v>
      </c>
      <c r="I436" s="319">
        <f>SUMIFS(I$419:I$425,$A$419:$A$425,$D$436)</f>
        <v>3.2533989400885406</v>
      </c>
      <c r="J436" s="319">
        <f t="shared" si="1583"/>
        <v>3.521929604428224</v>
      </c>
      <c r="K436" s="319">
        <f t="shared" si="1583"/>
        <v>4.0235503860365478</v>
      </c>
      <c r="L436" s="319">
        <f t="shared" si="1583"/>
        <v>4.2511613122286356</v>
      </c>
      <c r="M436" s="319">
        <f t="shared" si="1583"/>
        <v>4.4051587775593894</v>
      </c>
      <c r="N436" s="319">
        <f t="shared" si="1583"/>
        <v>4.4797111641159111</v>
      </c>
      <c r="O436" s="319">
        <f t="shared" si="1583"/>
        <v>4.6042847089720613</v>
      </c>
      <c r="P436" s="319">
        <f t="shared" si="1583"/>
        <v>4.6764943192969453</v>
      </c>
      <c r="Q436" s="319">
        <f t="shared" si="1583"/>
        <v>4.7541663031149115</v>
      </c>
      <c r="R436" s="319">
        <f t="shared" si="1583"/>
        <v>4.8370255294532836</v>
      </c>
      <c r="S436" s="319">
        <f t="shared" si="1583"/>
        <v>4.9140514344180222</v>
      </c>
      <c r="T436" s="319">
        <f t="shared" si="1583"/>
        <v>4.9519020550940098</v>
      </c>
      <c r="U436" s="319">
        <f t="shared" si="1583"/>
        <v>4.9535987402768766</v>
      </c>
      <c r="V436" s="319">
        <f t="shared" si="1583"/>
        <v>4.9535987402768766</v>
      </c>
      <c r="W436" s="319">
        <f t="shared" si="1583"/>
        <v>4.9535987402768766</v>
      </c>
    </row>
    <row r="437" spans="2:23" x14ac:dyDescent="0.25">
      <c r="B437" s="84"/>
      <c r="C437" s="1" t="str">
        <f>CONCATENATE($D$431,"                                    ",$C$384,"                                      ",$D$435)</f>
        <v>BUEYERA 2                                    GENERAL                                      %MORT. ACUMULADA</v>
      </c>
      <c r="E437" s="316"/>
      <c r="F437" s="316"/>
      <c r="G437" s="316"/>
      <c r="H437" s="316"/>
      <c r="I437" s="316"/>
      <c r="J437" s="316"/>
      <c r="K437" s="316"/>
      <c r="L437" s="316"/>
      <c r="M437" s="316"/>
      <c r="N437" s="316"/>
      <c r="O437" s="316"/>
      <c r="P437" s="316"/>
      <c r="Q437" s="316"/>
      <c r="R437" s="316"/>
      <c r="S437" s="316"/>
      <c r="T437" s="316"/>
      <c r="U437" s="316"/>
      <c r="V437" s="316"/>
    </row>
    <row r="438" spans="2:23" x14ac:dyDescent="0.25">
      <c r="B438" s="84"/>
      <c r="E438" s="316"/>
      <c r="F438" s="316"/>
      <c r="G438" s="316"/>
      <c r="H438" s="316"/>
      <c r="I438" s="316"/>
      <c r="J438" s="316"/>
      <c r="K438" s="316"/>
      <c r="L438" s="316"/>
      <c r="M438" s="316"/>
      <c r="N438" s="316"/>
      <c r="O438" s="316"/>
      <c r="P438" s="316"/>
      <c r="Q438" s="316"/>
      <c r="R438" s="316"/>
      <c r="S438" s="316"/>
      <c r="T438" s="316"/>
      <c r="U438" s="316"/>
      <c r="V438" s="316"/>
    </row>
    <row r="439" spans="2:23" x14ac:dyDescent="0.25">
      <c r="B439" s="84"/>
      <c r="E439" s="316"/>
      <c r="F439" s="316"/>
      <c r="G439" s="316"/>
      <c r="H439" s="316"/>
      <c r="I439" s="316"/>
      <c r="J439" s="316"/>
      <c r="K439" s="316"/>
      <c r="L439" s="316"/>
      <c r="M439" s="316"/>
      <c r="N439" s="316"/>
      <c r="O439" s="316"/>
      <c r="P439" s="316"/>
      <c r="Q439" s="316"/>
      <c r="R439" s="316"/>
      <c r="S439" s="316"/>
      <c r="T439" s="316"/>
      <c r="U439" s="316"/>
      <c r="V439" s="316"/>
    </row>
    <row r="440" spans="2:23" x14ac:dyDescent="0.3">
      <c r="D440" s="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</row>
    <row r="441" spans="2:23" x14ac:dyDescent="0.25">
      <c r="D441" s="2"/>
    </row>
    <row r="442" spans="2:23" x14ac:dyDescent="0.25">
      <c r="D442" s="2"/>
    </row>
  </sheetData>
  <mergeCells count="82">
    <mergeCell ref="GW2:HJ2"/>
    <mergeCell ref="HO3:HQ3"/>
    <mergeCell ref="GT4:GT5"/>
    <mergeCell ref="GU4:GU5"/>
    <mergeCell ref="GV4:GX4"/>
    <mergeCell ref="GY4:HG4"/>
    <mergeCell ref="HH4:HK4"/>
    <mergeCell ref="HL4:HN4"/>
    <mergeCell ref="HO4:HQ4"/>
    <mergeCell ref="FX2:GK2"/>
    <mergeCell ref="GP3:GR3"/>
    <mergeCell ref="FU4:FU5"/>
    <mergeCell ref="FV4:FV5"/>
    <mergeCell ref="FW4:FY4"/>
    <mergeCell ref="FZ4:GH4"/>
    <mergeCell ref="GI4:GL4"/>
    <mergeCell ref="GM4:GO4"/>
    <mergeCell ref="GP4:GR4"/>
    <mergeCell ref="EY2:FL2"/>
    <mergeCell ref="FQ3:FS3"/>
    <mergeCell ref="EV4:EV5"/>
    <mergeCell ref="EW4:EW5"/>
    <mergeCell ref="EX4:EZ4"/>
    <mergeCell ref="FA4:FI4"/>
    <mergeCell ref="FJ4:FM4"/>
    <mergeCell ref="FN4:FP4"/>
    <mergeCell ref="FQ4:FS4"/>
    <mergeCell ref="DZ2:EM2"/>
    <mergeCell ref="ER3:ET3"/>
    <mergeCell ref="DW4:DW5"/>
    <mergeCell ref="DX4:DX5"/>
    <mergeCell ref="DY4:EA4"/>
    <mergeCell ref="EB4:EJ4"/>
    <mergeCell ref="EK4:EN4"/>
    <mergeCell ref="EO4:EQ4"/>
    <mergeCell ref="ER4:ET4"/>
    <mergeCell ref="CQ4:CS4"/>
    <mergeCell ref="BU3:BW3"/>
    <mergeCell ref="CT4:CV4"/>
    <mergeCell ref="CT3:CV3"/>
    <mergeCell ref="B4:B5"/>
    <mergeCell ref="C4:C5"/>
    <mergeCell ref="D4:F4"/>
    <mergeCell ref="G4:O4"/>
    <mergeCell ref="P4:S4"/>
    <mergeCell ref="T4:V4"/>
    <mergeCell ref="W4:Y4"/>
    <mergeCell ref="AA4:AA5"/>
    <mergeCell ref="BB4:BD4"/>
    <mergeCell ref="BE4:BM4"/>
    <mergeCell ref="BN4:BQ4"/>
    <mergeCell ref="BR4:BT4"/>
    <mergeCell ref="B409:B415"/>
    <mergeCell ref="B419:B425"/>
    <mergeCell ref="E2:Q2"/>
    <mergeCell ref="AD2:AQ2"/>
    <mergeCell ref="BC2:BP2"/>
    <mergeCell ref="AZ4:AZ5"/>
    <mergeCell ref="BA4:BA5"/>
    <mergeCell ref="AF4:AN4"/>
    <mergeCell ref="X401:AA401"/>
    <mergeCell ref="AS4:AU4"/>
    <mergeCell ref="AV4:AX4"/>
    <mergeCell ref="AB4:AB5"/>
    <mergeCell ref="AC4:AE4"/>
    <mergeCell ref="AO4:AR4"/>
    <mergeCell ref="CB2:CO2"/>
    <mergeCell ref="BU4:BW4"/>
    <mergeCell ref="BY4:BY5"/>
    <mergeCell ref="BZ4:BZ5"/>
    <mergeCell ref="CA4:CC4"/>
    <mergeCell ref="CD4:CL4"/>
    <mergeCell ref="CM4:CP4"/>
    <mergeCell ref="DA2:DN2"/>
    <mergeCell ref="DS3:DU3"/>
    <mergeCell ref="CX4:CX5"/>
    <mergeCell ref="CY4:CY5"/>
    <mergeCell ref="CZ4:DB4"/>
    <mergeCell ref="DC4:DK4"/>
    <mergeCell ref="DL4:DO4"/>
    <mergeCell ref="DP4:DR4"/>
    <mergeCell ref="DS4:DU4"/>
  </mergeCells>
  <printOptions horizontalCentered="1"/>
  <pageMargins left="0" right="0" top="0" bottom="0" header="0.31496062992125984" footer="0.31496062992125984"/>
  <pageSetup paperSize="9" scale="10" orientation="landscape" r:id="rId1"/>
  <ignoredErrors>
    <ignoredError sqref="B7:B12 B14:B19 B21:B31 B32:B33 B35:B40 B42 B44:B47 B49:B54 B56:B59 B63:B68 B70:B72 B74:B75 B77:B82 B84:B89 B93:B96 B98:B103 AA7:AA11 AZ7:AZ11 BY7:BY72 AA14:AA19 AA21:AA31 AA35:AA40 AA42 AA44:AA47 AA49:AA54 AA56:AA59 AA63:AA68 AA60:AA61 AA70:AA72 AA74:AA75 AA77:AA82 AA84:AA89 AA93:AA96 AA91:AA92 AA98:AA103 AA105:AA110 AA112:AA117 AA119:AA122 B105:B110 B112:B117 AA124 AA126:AA131 AA133 AA135:AA138 B119:B122 B124 B126:B131 B133 B135:B138 AZ14:AZ19 AZ21:AZ31 AZ35:AZ40 AZ32:AZ33 AZ42 AZ44:AZ47 AZ49:AZ54 AZ56:AZ59 AZ63:AZ68 AZ70:AZ72 AZ74:AZ75 AZ77:AZ82 AZ84:AZ89 AZ93:AZ96 AZ91:AZ92 AZ98:AZ103 AZ105:AZ110 AZ112:AZ117 AZ119:AZ122 AZ123:AZ124 AZ126:AZ131 AZ133 AZ135:AZ138 BY74:BY75 BY77:BY82 BY84:BY89 BY92:BY96 BY98:BY103 BY105:BY110 BY112:BY117 BY119:BY124 BY126:BY131 BY133 BY135:BY138" unlockedFormula="1"/>
    <ignoredError sqref="E396:N396 E398:N398 E29 CJ86 P396:W396 P398:W398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</xdr:col>
                    <xdr:colOff>85725</xdr:colOff>
                    <xdr:row>431</xdr:row>
                    <xdr:rowOff>133350</xdr:rowOff>
                  </from>
                  <to>
                    <xdr:col>2</xdr:col>
                    <xdr:colOff>333375</xdr:colOff>
                    <xdr:row>432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W34"/>
  <sheetViews>
    <sheetView topLeftCell="A4" workbookViewId="0">
      <selection activeCell="D16" sqref="D16"/>
    </sheetView>
  </sheetViews>
  <sheetFormatPr baseColWidth="10" defaultRowHeight="15" x14ac:dyDescent="0.25"/>
  <cols>
    <col min="1" max="1" width="13.5703125" customWidth="1"/>
    <col min="2" max="2" width="13.85546875" customWidth="1"/>
  </cols>
  <sheetData>
    <row r="4" spans="1:21" ht="16.5" x14ac:dyDescent="0.3">
      <c r="C4" s="353">
        <v>0</v>
      </c>
      <c r="D4" s="97">
        <v>1</v>
      </c>
      <c r="E4" s="97">
        <v>2</v>
      </c>
      <c r="F4" s="97">
        <v>3</v>
      </c>
      <c r="G4" s="97">
        <v>4</v>
      </c>
      <c r="H4" s="97">
        <v>5</v>
      </c>
      <c r="I4" s="97">
        <v>6</v>
      </c>
      <c r="J4" s="97">
        <v>7</v>
      </c>
      <c r="K4" s="97">
        <v>8</v>
      </c>
      <c r="L4" s="97">
        <v>9</v>
      </c>
      <c r="M4" s="97">
        <v>10</v>
      </c>
      <c r="N4" s="97">
        <v>11</v>
      </c>
      <c r="O4" s="97">
        <v>12</v>
      </c>
      <c r="P4" s="97">
        <v>13</v>
      </c>
      <c r="Q4" s="97">
        <v>14</v>
      </c>
      <c r="R4" s="97">
        <v>15</v>
      </c>
      <c r="S4" s="97">
        <v>16</v>
      </c>
      <c r="T4" s="97">
        <v>17</v>
      </c>
      <c r="U4" s="97">
        <v>18</v>
      </c>
    </row>
    <row r="5" spans="1:21" x14ac:dyDescent="0.25">
      <c r="A5" t="str">
        <f>VLOOKUP(TABLERO!$M$48,TABLERO!$K$48:$L$55,2,FALSE)</f>
        <v>GENERAL</v>
      </c>
      <c r="B5" s="92" t="s">
        <v>31</v>
      </c>
      <c r="C5" s="99">
        <f>HLOOKUP(C$4,CUARTP101!$E$316:$W$318,2,FALSE)</f>
        <v>0.7</v>
      </c>
      <c r="D5" s="99">
        <f>HLOOKUP(D$4,CUARTP101!$E$316:$W$318,2,FALSE)</f>
        <v>0.7</v>
      </c>
      <c r="E5" s="99">
        <f>HLOOKUP(E$4,CUARTP101!$E$316:$W$318,2,FALSE)</f>
        <v>1.4</v>
      </c>
      <c r="F5" s="99">
        <f>HLOOKUP(F$4,CUARTP101!$E$316:$W$318,2,FALSE)</f>
        <v>1.9</v>
      </c>
      <c r="G5" s="99">
        <f>HLOOKUP(G$4,CUARTP101!$E$316:$W$318,2,FALSE)</f>
        <v>2.1999999999999997</v>
      </c>
      <c r="H5" s="99">
        <f>HLOOKUP(H$4,CUARTP101!$E$316:$W$318,2,FALSE)</f>
        <v>2.38</v>
      </c>
      <c r="I5" s="99">
        <f>HLOOKUP(I$4,CUARTP101!$E$316:$W$318,2,FALSE)</f>
        <v>2.56</v>
      </c>
      <c r="J5" s="99">
        <f>HLOOKUP(J$4,CUARTP101!$E$316:$W$318,2,FALSE)</f>
        <v>2.72</v>
      </c>
      <c r="K5" s="99">
        <f>HLOOKUP(K$4,CUARTP101!$E$316:$W$318,2,FALSE)</f>
        <v>2.8800000000000003</v>
      </c>
      <c r="L5" s="99">
        <f>HLOOKUP(L$4,CUARTP101!$E$316:$W$318,2,FALSE)</f>
        <v>3.0400000000000005</v>
      </c>
      <c r="M5" s="99">
        <f>HLOOKUP(M$4,CUARTP101!$E$316:$W$318,2,FALSE)</f>
        <v>3.2000000000000006</v>
      </c>
      <c r="N5" s="99">
        <f>HLOOKUP(N$4,CUARTP101!$E$316:$W$318,2,FALSE)</f>
        <v>3.3600000000000008</v>
      </c>
      <c r="O5" s="99">
        <f>HLOOKUP(O$4,CUARTP101!$E$316:$W$318,2,FALSE)</f>
        <v>3.5200000000000009</v>
      </c>
      <c r="P5" s="99">
        <f>HLOOKUP(P$4,CUARTP101!$E$316:$W$318,2,FALSE)</f>
        <v>3.680000000000001</v>
      </c>
      <c r="Q5" s="99">
        <f>HLOOKUP(Q$4,CUARTP101!$E$316:$W$318,2,FALSE)</f>
        <v>3.8400000000000012</v>
      </c>
      <c r="R5" s="99">
        <f>HLOOKUP(R$4,CUARTP101!$E$316:$W$318,2,FALSE)</f>
        <v>4.0000000000000009</v>
      </c>
      <c r="S5" s="99">
        <f>HLOOKUP(S$4,CUARTP101!$E$316:$W$318,2,FALSE)</f>
        <v>4.160000000000001</v>
      </c>
      <c r="T5" s="99">
        <f>HLOOKUP(T$4,CUARTP101!$E$316:$W$318,2,FALSE)</f>
        <v>4.3200000000000012</v>
      </c>
      <c r="U5" s="99">
        <f>HLOOKUP(U$4,CUARTP101!$E$316:$W$318,2,FALSE)</f>
        <v>4.4800000000000013</v>
      </c>
    </row>
    <row r="6" spans="1:21" x14ac:dyDescent="0.25">
      <c r="A6" t="str">
        <f>A5</f>
        <v>GENERAL</v>
      </c>
      <c r="B6" t="str">
        <f>B5</f>
        <v xml:space="preserve">CUARTELES </v>
      </c>
      <c r="C6" s="99">
        <f>HLOOKUP(C$4,CUARTP101!$E$316:$W$318,3,FALSE)</f>
        <v>2.704807094370385</v>
      </c>
      <c r="D6" s="99">
        <f>HLOOKUP(D$4,CUARTP101!$E$316:$W$318,3,FALSE)</f>
        <v>4.4675514402187044</v>
      </c>
      <c r="E6" s="99">
        <f>HLOOKUP(E$4,CUARTP101!$E$316:$W$318,3,FALSE)</f>
        <v>5.018984402742495</v>
      </c>
      <c r="F6" s="99">
        <f>HLOOKUP(F$4,CUARTP101!$E$316:$W$318,3,FALSE)</f>
        <v>5.2416583740633023</v>
      </c>
      <c r="G6" s="99">
        <f>HLOOKUP(G$4,CUARTP101!$E$316:$W$318,3,FALSE)</f>
        <v>5.5819150575750234</v>
      </c>
      <c r="H6" s="99">
        <f>HLOOKUP(H$4,CUARTP101!$E$316:$W$318,3,FALSE)</f>
        <v>5.961721219086348</v>
      </c>
      <c r="I6" s="99">
        <f>HLOOKUP(I$4,CUARTP101!$E$316:$W$318,3,FALSE)</f>
        <v>6.3425872084973935</v>
      </c>
      <c r="J6" s="99">
        <f>HLOOKUP(J$4,CUARTP101!$E$316:$W$318,3,FALSE)</f>
        <v>6.5721749763770783</v>
      </c>
      <c r="K6" s="99">
        <f>HLOOKUP(K$4,CUARTP101!$E$316:$W$318,3,FALSE)</f>
        <v>6.6642902099265333</v>
      </c>
      <c r="L6" s="99">
        <f>HLOOKUP(L$4,CUARTP101!$E$316:$W$318,3,FALSE)</f>
        <v>6.7548133201039029</v>
      </c>
      <c r="M6" s="99">
        <f>HLOOKUP(M$4,CUARTP101!$E$316:$W$318,3,FALSE)</f>
        <v>6.8716003235794574</v>
      </c>
      <c r="N6" s="99">
        <f>HLOOKUP(N$4,CUARTP101!$E$316:$W$318,3,FALSE)</f>
        <v>6.9579884498955575</v>
      </c>
      <c r="O6" s="99">
        <f>HLOOKUP(O$4,CUARTP101!$E$316:$W$318,3,FALSE)</f>
        <v>7.0160140856879352</v>
      </c>
      <c r="P6" s="99">
        <f>HLOOKUP(P$4,CUARTP101!$E$316:$W$318,3,FALSE)</f>
        <v>7.0884900817063832</v>
      </c>
      <c r="Q6" s="99">
        <f>HLOOKUP(Q$4,CUARTP101!$E$316:$W$318,3,FALSE)</f>
        <v>7.3194618553008599</v>
      </c>
      <c r="R6" s="99">
        <f>HLOOKUP(R$4,CUARTP101!$E$316:$W$318,3,FALSE)</f>
        <v>12.610519211300197</v>
      </c>
      <c r="S6" s="99">
        <f>HLOOKUP(S$4,CUARTP101!$E$316:$W$318,3,FALSE)</f>
        <v>414.78260869565213</v>
      </c>
      <c r="T6" s="99">
        <f>HLOOKUP(T$4,CUARTP101!$E$316:$W$318,3,FALSE)</f>
        <v>0</v>
      </c>
      <c r="U6" s="99">
        <f>HLOOKUP(U$4,CUARTP101!$E$316:$W$318,3,FALSE)</f>
        <v>0</v>
      </c>
    </row>
    <row r="8" spans="1:21" x14ac:dyDescent="0.25">
      <c r="A8" t="str">
        <f>A6</f>
        <v>GENERAL</v>
      </c>
      <c r="B8" t="s">
        <v>33</v>
      </c>
      <c r="C8" s="99">
        <f>HLOOKUP(C$4,BUEY2P102!$E$434:$W$436,2,FALSE)</f>
        <v>0.7</v>
      </c>
      <c r="D8" s="99">
        <f>HLOOKUP(D$4,BUEY2P102!$E$434:$W$436,2,FALSE)</f>
        <v>0.7</v>
      </c>
      <c r="E8" s="99">
        <f>HLOOKUP(E$4,BUEY2P102!$E$434:$W$436,2,FALSE)</f>
        <v>1.4</v>
      </c>
      <c r="F8" s="99">
        <f>HLOOKUP(F$4,BUEY2P102!$E$434:$W$436,2,FALSE)</f>
        <v>1.9</v>
      </c>
      <c r="G8" s="99">
        <f>HLOOKUP(G$4,BUEY2P102!$E$434:$W$436,2,FALSE)</f>
        <v>2.1999999999999997</v>
      </c>
      <c r="H8" s="99">
        <f>HLOOKUP(H$4,BUEY2P102!$E$434:$W$436,2,FALSE)</f>
        <v>2.38</v>
      </c>
      <c r="I8" s="99">
        <f>HLOOKUP(I$4,BUEY2P102!$E$434:$W$436,2,FALSE)</f>
        <v>2.56</v>
      </c>
      <c r="J8" s="99">
        <f>HLOOKUP(J$4,BUEY2P102!$E$434:$W$436,2,FALSE)</f>
        <v>2.72</v>
      </c>
      <c r="K8" s="99">
        <f>HLOOKUP(K$4,BUEY2P102!$E$434:$W$436,2,FALSE)</f>
        <v>2.8800000000000003</v>
      </c>
      <c r="L8" s="99">
        <f>HLOOKUP(L$4,BUEY2P102!$E$434:$W$436,2,FALSE)</f>
        <v>3.0400000000000005</v>
      </c>
      <c r="M8" s="99">
        <f>HLOOKUP(M$4,BUEY2P102!$E$434:$W$436,2,FALSE)</f>
        <v>3.2000000000000006</v>
      </c>
      <c r="N8" s="99">
        <f>HLOOKUP(N$4,BUEY2P102!$E$434:$W$436,2,FALSE)</f>
        <v>3.3600000000000008</v>
      </c>
      <c r="O8" s="99">
        <f>HLOOKUP(O$4,BUEY2P102!$E$434:$W$436,2,FALSE)</f>
        <v>3.5200000000000009</v>
      </c>
      <c r="P8" s="99">
        <f>HLOOKUP(P$4,BUEY2P102!$E$434:$W$436,2,FALSE)</f>
        <v>3.680000000000001</v>
      </c>
      <c r="Q8" s="99">
        <f>HLOOKUP(Q$4,BUEY2P102!$E$434:$W$436,2,FALSE)</f>
        <v>3.8400000000000012</v>
      </c>
      <c r="R8" s="99">
        <f>HLOOKUP(R$4,BUEY2P102!$E$434:$W$436,2,FALSE)</f>
        <v>4.0000000000000009</v>
      </c>
      <c r="S8" s="99">
        <f>HLOOKUP(S$4,BUEY2P102!$E$434:$W$436,2,FALSE)</f>
        <v>4.160000000000001</v>
      </c>
      <c r="T8" s="99">
        <f>HLOOKUP(T$4,BUEY2P102!$E$434:$W$436,2,FALSE)</f>
        <v>4.3200000000000012</v>
      </c>
      <c r="U8" s="99">
        <f>HLOOKUP(U$4,BUEY2P102!$E$434:$W$436,2,FALSE)</f>
        <v>4.4800000000000013</v>
      </c>
    </row>
    <row r="9" spans="1:21" x14ac:dyDescent="0.25">
      <c r="A9" t="str">
        <f>A8</f>
        <v>GENERAL</v>
      </c>
      <c r="B9" t="str">
        <f>B8</f>
        <v>BUEYERA 2</v>
      </c>
      <c r="C9" s="99">
        <f>HLOOKUP(C$4,BUEY2P102!$E$434:$W$436,3,FALSE)</f>
        <v>0.55487474557283589</v>
      </c>
      <c r="D9" s="99">
        <f>HLOOKUP(D$4,BUEY2P102!$E$434:$W$436,3,FALSE)</f>
        <v>1.1332204641570693</v>
      </c>
      <c r="E9" s="99">
        <f>HLOOKUP(E$4,BUEY2P102!$E$434:$W$436,3,FALSE)</f>
        <v>2.3662551440329218</v>
      </c>
      <c r="F9" s="99">
        <f>HLOOKUP(F$4,BUEY2P102!$E$434:$W$436,3,FALSE)</f>
        <v>2.9214717570203281</v>
      </c>
      <c r="G9" s="99">
        <f>HLOOKUP(G$4,BUEY2P102!$E$434:$W$436,3,FALSE)</f>
        <v>3.2533989400885406</v>
      </c>
      <c r="H9" s="99">
        <f>HLOOKUP(H$4,BUEY2P102!$E$434:$W$436,3,FALSE)</f>
        <v>3.521929604428224</v>
      </c>
      <c r="I9" s="99">
        <f>HLOOKUP(I$4,BUEY2P102!$E$434:$W$436,3,FALSE)</f>
        <v>4.0235503860365478</v>
      </c>
      <c r="J9" s="99">
        <f>HLOOKUP(J$4,BUEY2P102!$E$434:$W$436,3,FALSE)</f>
        <v>4.2511613122286356</v>
      </c>
      <c r="K9" s="99">
        <f>HLOOKUP(K$4,BUEY2P102!$E$434:$W$436,3,FALSE)</f>
        <v>4.4051587775593894</v>
      </c>
      <c r="L9" s="99">
        <f>HLOOKUP(L$4,BUEY2P102!$E$434:$W$436,3,FALSE)</f>
        <v>4.4797111641159111</v>
      </c>
      <c r="M9" s="99">
        <f>HLOOKUP(M$4,BUEY2P102!$E$434:$W$436,3,FALSE)</f>
        <v>4.6042847089720613</v>
      </c>
      <c r="N9" s="99">
        <f>HLOOKUP(N$4,BUEY2P102!$E$434:$W$436,3,FALSE)</f>
        <v>4.6764943192969453</v>
      </c>
      <c r="O9" s="99">
        <f>HLOOKUP(O$4,BUEY2P102!$E$434:$W$436,3,FALSE)</f>
        <v>4.7541663031149115</v>
      </c>
      <c r="P9" s="99">
        <f>HLOOKUP(P$4,BUEY2P102!$E$434:$W$436,3,FALSE)</f>
        <v>4.8370255294532836</v>
      </c>
      <c r="Q9" s="99">
        <f>HLOOKUP(Q$4,BUEY2P102!$E$434:$W$436,3,FALSE)</f>
        <v>4.9140514344180222</v>
      </c>
      <c r="R9" s="99">
        <f>HLOOKUP(R$4,BUEY2P102!$E$434:$W$436,3,FALSE)</f>
        <v>4.9519020550940098</v>
      </c>
      <c r="S9" s="99">
        <f>HLOOKUP(S$4,BUEY2P102!$E$434:$W$436,3,FALSE)</f>
        <v>4.9535987402768766</v>
      </c>
      <c r="T9" s="99">
        <f>HLOOKUP(T$4,BUEY2P102!$E$434:$W$436,3,FALSE)</f>
        <v>4.9535987402768766</v>
      </c>
      <c r="U9" s="99">
        <f>HLOOKUP(U$4,BUEY2P102!$E$434:$W$436,3,FALSE)</f>
        <v>4.9535987402768766</v>
      </c>
    </row>
    <row r="10" spans="1:21" x14ac:dyDescent="0.25">
      <c r="C10" s="99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</row>
    <row r="11" spans="1:21" x14ac:dyDescent="0.25">
      <c r="A11" t="str">
        <f>A9</f>
        <v>GENERAL</v>
      </c>
      <c r="B11" t="s">
        <v>194</v>
      </c>
      <c r="C11" s="99">
        <f>HLOOKUP(C$4,'CTP103'!$E$342:$W$344,2,FALSE)</f>
        <v>0.7</v>
      </c>
      <c r="D11" s="99">
        <f>HLOOKUP(D$4,'CTP103'!$E$342:$W$344,2,FALSE)</f>
        <v>0.7</v>
      </c>
      <c r="E11" s="99">
        <f>HLOOKUP(E$4,'CTP103'!$E$342:$W$344,2,FALSE)</f>
        <v>1.4</v>
      </c>
      <c r="F11" s="99">
        <f>HLOOKUP(F$4,'CTP103'!$E$342:$W$344,2,FALSE)</f>
        <v>1.9</v>
      </c>
      <c r="G11" s="99">
        <f>HLOOKUP(G$4,'CTP103'!$E$342:$W$344,2,FALSE)</f>
        <v>2.1999999999999997</v>
      </c>
      <c r="H11" s="99">
        <f>HLOOKUP(H$4,'CTP103'!$E$342:$W$344,2,FALSE)</f>
        <v>2.38</v>
      </c>
      <c r="I11" s="99">
        <f>HLOOKUP(I$4,'CTP103'!$E$342:$W$344,2,FALSE)</f>
        <v>2.56</v>
      </c>
      <c r="J11" s="99">
        <f>HLOOKUP(J$4,'CTP103'!$E$342:$W$344,2,FALSE)</f>
        <v>2.72</v>
      </c>
      <c r="K11" s="99">
        <f>HLOOKUP(K$4,'CTP103'!$E$342:$W$344,2,FALSE)</f>
        <v>2.8800000000000003</v>
      </c>
      <c r="L11" s="99">
        <f>HLOOKUP(L$4,'CTP103'!$E$342:$W$344,2,FALSE)</f>
        <v>3.0400000000000005</v>
      </c>
      <c r="M11" s="99">
        <f>HLOOKUP(M$4,'CTP103'!$E$342:$W$344,2,FALSE)</f>
        <v>3.2000000000000006</v>
      </c>
      <c r="N11" s="99">
        <f>HLOOKUP(N$4,'CTP103'!$E$342:$W$344,2,FALSE)</f>
        <v>3.3600000000000008</v>
      </c>
      <c r="O11" s="99">
        <f>HLOOKUP(O$4,'CTP103'!$E$342:$W$344,2,FALSE)</f>
        <v>3.5200000000000009</v>
      </c>
      <c r="P11" s="99">
        <f>HLOOKUP(P$4,'CTP103'!$E$342:$W$344,2,FALSE)</f>
        <v>3.680000000000001</v>
      </c>
      <c r="Q11" s="99">
        <f>HLOOKUP(Q$4,'CTP103'!$E$342:$W$344,2,FALSE)</f>
        <v>3.8400000000000012</v>
      </c>
      <c r="R11" s="99">
        <f>HLOOKUP(R$4,'CTP103'!$E$342:$W$344,2,FALSE)</f>
        <v>4.0000000000000009</v>
      </c>
      <c r="S11" s="99">
        <f>HLOOKUP(S$4,'CTP103'!$E$342:$W$344,2,FALSE)</f>
        <v>4.160000000000001</v>
      </c>
      <c r="T11" s="99">
        <f>HLOOKUP(T$4,'CTP103'!$E$342:$W$344,2,FALSE)</f>
        <v>4.3200000000000012</v>
      </c>
      <c r="U11" s="99">
        <f>HLOOKUP(U$4,'CTP103'!$E$342:$W$344,2,FALSE)</f>
        <v>4.4800000000000013</v>
      </c>
    </row>
    <row r="12" spans="1:21" x14ac:dyDescent="0.25">
      <c r="A12" t="str">
        <f>A11</f>
        <v>GENERAL</v>
      </c>
      <c r="B12" t="str">
        <f>B11</f>
        <v>CTP103</v>
      </c>
      <c r="C12" s="99">
        <f>HLOOKUP(C$4,'CTP103'!$E$342:$W$344,3,FALSE)</f>
        <v>0.58922615638581</v>
      </c>
      <c r="D12" s="99">
        <f>HLOOKUP(D$4,'CTP103'!$E$342:$W$344,3,FALSE)</f>
        <v>2.2862873579964154</v>
      </c>
      <c r="E12" s="99">
        <f>HLOOKUP(E$4,'CTP103'!$E$342:$W$344,3,FALSE)</f>
        <v>2.8698750999476137</v>
      </c>
      <c r="F12" s="99">
        <f>HLOOKUP(F$4,'CTP103'!$E$342:$W$344,3,FALSE)</f>
        <v>3.052807570102535</v>
      </c>
      <c r="G12" s="99">
        <f>HLOOKUP(G$4,'CTP103'!$E$342:$W$344,3,FALSE)</f>
        <v>3.0548526721717191</v>
      </c>
      <c r="H12" s="99">
        <f>HLOOKUP(H$4,'CTP103'!$E$342:$W$344,3,FALSE)</f>
        <v>3.0548526721717191</v>
      </c>
      <c r="I12" s="99">
        <f>HLOOKUP(I$4,'CTP103'!$E$342:$W$344,3,FALSE)</f>
        <v>3.0548526721717191</v>
      </c>
      <c r="J12" s="99">
        <f>HLOOKUP(J$4,'CTP103'!$E$342:$W$344,3,FALSE)</f>
        <v>3.0548526721717191</v>
      </c>
      <c r="K12" s="99">
        <f>HLOOKUP(K$4,'CTP103'!$E$342:$W$344,3,FALSE)</f>
        <v>3.0548526721717191</v>
      </c>
      <c r="L12" s="99">
        <f>HLOOKUP(L$4,'CTP103'!$E$342:$W$344,3,FALSE)</f>
        <v>3.0548526721717191</v>
      </c>
      <c r="M12" s="99">
        <f>HLOOKUP(M$4,'CTP103'!$E$342:$W$344,3,FALSE)</f>
        <v>3.0548526721717191</v>
      </c>
      <c r="N12" s="99">
        <f>HLOOKUP(N$4,'CTP103'!$E$342:$W$344,3,FALSE)</f>
        <v>3.0548526721717191</v>
      </c>
      <c r="O12" s="99">
        <f>HLOOKUP(O$4,'CTP103'!$E$342:$W$344,3,FALSE)</f>
        <v>3.0548526721717191</v>
      </c>
      <c r="P12" s="99">
        <f>HLOOKUP(P$4,'CTP103'!$E$342:$W$344,3,FALSE)</f>
        <v>3.0548526721717191</v>
      </c>
      <c r="Q12" s="99">
        <f>HLOOKUP(Q$4,'CTP103'!$E$342:$W$344,3,FALSE)</f>
        <v>3.0548526721717191</v>
      </c>
      <c r="R12" s="99">
        <f>HLOOKUP(R$4,'CTP103'!$E$342:$W$344,3,FALSE)</f>
        <v>3.0548526721717191</v>
      </c>
      <c r="S12" s="99">
        <f>HLOOKUP(S$4,'CTP103'!$E$342:$W$344,3,FALSE)</f>
        <v>3.0548526721717191</v>
      </c>
      <c r="T12" s="99">
        <f>HLOOKUP(T$4,'CTP103'!$E$342:$W$344,3,FALSE)</f>
        <v>3.0548526721717191</v>
      </c>
      <c r="U12" s="99">
        <f>HLOOKUP(U$4,'CTP103'!$E$342:$W$344,3,FALSE)</f>
        <v>3.0548526721717191</v>
      </c>
    </row>
    <row r="13" spans="1:21" x14ac:dyDescent="0.25">
      <c r="C13" s="99"/>
      <c r="D13" s="99"/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</row>
    <row r="17" spans="1:23" x14ac:dyDescent="0.25">
      <c r="A17" t="b">
        <v>1</v>
      </c>
    </row>
    <row r="18" spans="1:23" x14ac:dyDescent="0.25">
      <c r="A18" s="92"/>
      <c r="D18" s="98"/>
    </row>
    <row r="19" spans="1:23" x14ac:dyDescent="0.25">
      <c r="A19" t="str">
        <f>VLOOKUP(TABLERO!$G$48,TABLERO!$E$48:$F$53,2,FALSE)</f>
        <v>CTP103</v>
      </c>
      <c r="B19" t="str">
        <f>IF(TABLERO!$Q$4=TRUE,VLOOKUP(TABLERO!$J$48,TABLERO!$H$48:$I$54,2,FALSE),"")</f>
        <v>%MORT. ACUMULADA</v>
      </c>
      <c r="C19" s="99">
        <f>IF($A$19="BUEYERA 2",VLOOKUP($A$19,$B$8:$U$8,2,FALSE),IF($A$19="CUARTELES",VLOOKUP($A$19,$B$5:$U$5,2,FALSE),IF($A$19="CTP103",VLOOKUP($A$19,$B$11:$U$11,2,FALSE))))</f>
        <v>0.7</v>
      </c>
      <c r="D19" s="99">
        <f>IF($A$19="BUEYERA 2",VLOOKUP($A$19,$B$8:$U$8,3,FALSE),IF($A$19="CUARTELES",VLOOKUP($A$19,$B$5:$U$5,3,FALSE),IF($A$19="CTP103",VLOOKUP($A$19,$B$11:$U$11,3,FALSE))))</f>
        <v>0.7</v>
      </c>
      <c r="E19" s="99">
        <f>IF($A$19="BUEYERA 2",VLOOKUP($A$19,$B$8:$U$8,4,FALSE),IF($A$19="CUARTELES",VLOOKUP($A$19,$B$5:$U$5,4,FALSE),IF($A$19="CTP103",VLOOKUP($A$19,$B$11:$U$11,4,FALSE))))</f>
        <v>1.4</v>
      </c>
      <c r="F19" s="99">
        <f>IF($A$19="BUEYERA 2",VLOOKUP($A$19,$B$8:$U$8,5,FALSE),IF($A$19="CUARTELES",VLOOKUP($A$19,$B$5:$U$5,5,FALSE),IF($A$19="CTP103",VLOOKUP($A$19,$B$11:$U$11,5,FALSE))))</f>
        <v>1.9</v>
      </c>
      <c r="G19" s="99">
        <f>IF($A$19="BUEYERA 2",VLOOKUP($A$19,$B$8:$U$8,6,FALSE),IF($A$19="CUARTELES",VLOOKUP($A$19,$B$5:$U$5,6,FALSE),IF($A$19="CTP103",VLOOKUP($A$19,$B$11:$U$11,6,FALSE))))</f>
        <v>2.1999999999999997</v>
      </c>
      <c r="H19" s="99">
        <f>IF($A$19="BUEYERA 2",VLOOKUP($A$19,$B$8:$U$8,7,FALSE),IF($A$19="CUARTELES",VLOOKUP($A$19,$B$5:$U$5,7,FALSE),IF($A$19="CTP103",VLOOKUP($A$19,$B$11:$U$11,7,FALSE))))</f>
        <v>2.38</v>
      </c>
      <c r="I19" s="99">
        <f>IF($A$19="BUEYERA 2",VLOOKUP($A$19,$B$8:$U$8,8,FALSE),IF($A$19="CUARTELES",VLOOKUP($A$19,$B$5:$U$5,8,FALSE),IF($A$19="CTP103",VLOOKUP($A$19,$B$11:$U$11,8,FALSE))))</f>
        <v>2.56</v>
      </c>
      <c r="J19" s="99">
        <f>IF($A$19="BUEYERA 2",VLOOKUP($A$19,$B$8:$U$8,9,FALSE),IF($A$19="CUARTELES",VLOOKUP($A$19,$B$5:$U$5,9,FALSE),IF($A$19="CTP103",VLOOKUP($A$19,$B$11:$U$11,9,FALSE))))</f>
        <v>2.72</v>
      </c>
      <c r="K19" s="99">
        <f>IF($A$19="BUEYERA 2",VLOOKUP($A$19,$B$8:$U$8,10,FALSE),IF($A$19="CUARTELES",VLOOKUP($A$19,$B$5:$U$5,10,FALSE),IF($A$19="CTP103",VLOOKUP($A$19,$B$11:$U$11,10,FALSE))))</f>
        <v>2.8800000000000003</v>
      </c>
      <c r="L19" s="99">
        <f>IF($A$19="BUEYERA 2",VLOOKUP($A$19,$B$8:$U$8,11,FALSE),IF($A$19="CUARTELES",VLOOKUP($A$19,$B$5:$U$5,11,FALSE),IF($A$19="CTP103",VLOOKUP($A$19,$B$11:$U$11,11,FALSE))))</f>
        <v>3.0400000000000005</v>
      </c>
      <c r="M19" s="99">
        <f>IF($A$19="BUEYERA 2",VLOOKUP($A$19,$B$8:$U$8,12,FALSE),IF($A$19="CUARTELES",VLOOKUP($A$19,$B$5:$U$5,12,FALSE),IF($A$19="CTP103",VLOOKUP($A$19,$B$11:$U$11,12,FALSE))))</f>
        <v>3.2000000000000006</v>
      </c>
      <c r="N19" s="99">
        <f>IF($A$19="BUEYERA 2",VLOOKUP($A$19,$B$8:$U$8,13,FALSE),IF($A$19="CUARTELES",VLOOKUP($A$19,$B$5:$U$5,13,FALSE),IF($A$19="CTP103",VLOOKUP($A$19,$B$11:$U$11,13,FALSE))))</f>
        <v>3.3600000000000008</v>
      </c>
      <c r="O19" s="99">
        <f>IF($A$19="BUEYERA 2",VLOOKUP($A$19,$B$8:$U$8,14,FALSE),IF($A$19="CUARTELES",VLOOKUP($A$19,$B$5:$U$5,14,FALSE),IF($A$19="CTP103",VLOOKUP($A$19,$B$11:$U$11,14,FALSE))))</f>
        <v>3.5200000000000009</v>
      </c>
      <c r="P19" s="99">
        <f>IF($A$19="BUEYERA 2",VLOOKUP($A$19,$B$8:$U$8,15,FALSE),IF($A$19="CUARTELES",VLOOKUP($A$19,$B$5:$U$5,15,FALSE),IF($A$19="CTP103",VLOOKUP($A$19,$B$11:$U$11,15,FALSE))))</f>
        <v>3.680000000000001</v>
      </c>
      <c r="Q19" s="99">
        <f>IF($A$19="BUEYERA 2",VLOOKUP($A$19,$B$8:$U$8,16,FALSE),IF($A$19="CUARTELES",VLOOKUP($A$19,$B$5:$U$5,16,FALSE),IF($A$19="CTP103",VLOOKUP($A$19,$B$11:$U$11,16,FALSE))))</f>
        <v>3.8400000000000012</v>
      </c>
      <c r="R19" s="99">
        <f>IF($A$19="BUEYERA 2",VLOOKUP($A$19,$B$8:$U$8,17,FALSE),IF($A$19="CUARTELES",VLOOKUP($A$19,$B$5:$U$5,17,FALSE),IF($A$19="CTP103",VLOOKUP($A$19,$B$11:$U$11,17,FALSE))))</f>
        <v>4.0000000000000009</v>
      </c>
      <c r="S19" s="99">
        <f>IF($A$19="BUEYERA 2",VLOOKUP($A$19,$B$8:$U$8,18,FALSE),IF($A$19="CUARTELES",VLOOKUP($A$19,$B$5:$U$5,18,FALSE),IF($A$19="CTP103",VLOOKUP($A$19,$B$11:$U$11,18,FALSE))))</f>
        <v>4.160000000000001</v>
      </c>
      <c r="T19" s="99">
        <f>IF($A$19="BUEYERA 2",VLOOKUP($A$19,$B$8:$U$8,19,FALSE),IF($A$19="CUARTELES",VLOOKUP($A$19,$B$5:$U$5,19,FALSE),IF($A$19="CTP103",VLOOKUP($A$19,$B$11:$U$11,19,FALSE))))</f>
        <v>4.3200000000000012</v>
      </c>
      <c r="U19" s="99">
        <f>IF($A$19="BUEYERA 2",VLOOKUP($A$19,$B$8:$U$8,20,FALSE),IF($A$19="CUARTELES",VLOOKUP($A$19,$B$5:$U$5,20,FALSE),IF($A$19="CTP103",VLOOKUP($A$19,$B$11:$U$11,20,FALSE))))</f>
        <v>4.4800000000000013</v>
      </c>
      <c r="V19" s="99"/>
      <c r="W19" s="99"/>
    </row>
    <row r="20" spans="1:23" x14ac:dyDescent="0.25">
      <c r="A20" t="str">
        <f>VLOOKUP(TABLERO!$G$48,TABLERO!$E$48:$F$53,2,FALSE)</f>
        <v>CTP103</v>
      </c>
      <c r="B20" t="str">
        <f>IF(A17=FALSE,"",IF(TABLERO!$Q$5=TRUE,VLOOKUP(TABLERO!$J$48,TABLERO!$H$48:$I$54,2,FALSE),""))</f>
        <v>%MORT. ACUMULADA</v>
      </c>
      <c r="C20" s="99">
        <f>IF($A$20="BUEYERA 2",VLOOKUP($A$20,$B$9:$U$9,2,FALSE),IF($A$20="CUARTELES",VLOOKUP($A$20,$B$6:$U$6,2,FALSE),IF($A$20="CTP103",VLOOKUP($A$20,$B$12:$U$12,2,FALSE))))</f>
        <v>0.58922615638581</v>
      </c>
      <c r="D20" s="99">
        <f>IF($A$20="BUEYERA 2",VLOOKUP($A$20,$B$9:$U$9,3,FALSE),IF($A$20="CUARTELES",VLOOKUP($A$20,$B$6:$U$6,3,FALSE),IF($A$20="CTP103",VLOOKUP($A$20,$B$12:$U$12,3,FALSE))))</f>
        <v>2.2862873579964154</v>
      </c>
      <c r="E20" s="99">
        <f>IF($A$20="BUEYERA 2",VLOOKUP($A$20,$B$9:$U$9,4,FALSE),IF($A$20="CUARTELES",VLOOKUP($A$20,$B$6:$U$6,4,FALSE),IF($A$20="CTP103",VLOOKUP($A$20,$B$12:$U$12,4,FALSE))))</f>
        <v>2.8698750999476137</v>
      </c>
      <c r="F20" s="99">
        <f>IF($A$20="BUEYERA 2",VLOOKUP($A$20,$B$9:$U$9,5,FALSE),IF($A$20="CUARTELES",VLOOKUP($A$20,$B$6:$U$6,5,FALSE),IF($A$20="CTP103",VLOOKUP($A$20,$B$12:$U$12,5,FALSE))))</f>
        <v>3.052807570102535</v>
      </c>
      <c r="G20" s="99">
        <f>IF($A$20="BUEYERA 2",VLOOKUP($A$20,$B$9:$U$9,6,FALSE),IF($A$20="CUARTELES",VLOOKUP($A$20,$B$6:$U$6,6,FALSE),IF($A$20="CTP103",VLOOKUP($A$20,$B$12:$U$12,6,FALSE))))</f>
        <v>3.0548526721717191</v>
      </c>
      <c r="H20" s="99">
        <f>IF($A$20="BUEYERA 2",VLOOKUP($A$20,$B$9:$U$9,7,FALSE),IF($A$20="CUARTELES",VLOOKUP($A$20,$B$6:$U$6,7,FALSE),IF($A$20="CTP103",VLOOKUP($A$20,$B$12:$U$12,7,FALSE))))</f>
        <v>3.0548526721717191</v>
      </c>
      <c r="I20" s="99">
        <f>IF($A$20="BUEYERA 2",VLOOKUP($A$20,$B$9:$U$9,8,FALSE),IF($A$20="CUARTELES",VLOOKUP($A$20,$B$6:$U$6,8,FALSE),IF($A$20="CTP103",VLOOKUP($A$20,$B$12:$U$12,8,FALSE))))</f>
        <v>3.0548526721717191</v>
      </c>
      <c r="J20" s="99">
        <f>IF($A$20="BUEYERA 2",VLOOKUP($A$20,$B$9:$U$9,9,FALSE),IF($A$20="CUARTELES",VLOOKUP($A$20,$B$6:$U$6,9,FALSE),IF($A$20="CTP103",VLOOKUP($A$20,$B$12:$U$12,9,FALSE))))</f>
        <v>3.0548526721717191</v>
      </c>
      <c r="K20" s="99">
        <f>IF($A$20="BUEYERA 2",VLOOKUP($A$20,$B$9:$U$9,10,FALSE),IF($A$20="CUARTELES",VLOOKUP($A$20,$B$6:$U$6,10,FALSE),IF($A$20="CTP103",VLOOKUP($A$20,$B$12:$U$12,10,FALSE))))</f>
        <v>3.0548526721717191</v>
      </c>
      <c r="L20" s="99">
        <f>IF($A$20="BUEYERA 2",VLOOKUP($A$20,$B$9:$U$9,11,FALSE),IF($A$20="CUARTELES",VLOOKUP($A$20,$B$6:$U$6,11,FALSE),IF($A$20="CTP103",VLOOKUP($A$20,$B$12:$U$12,11,FALSE))))</f>
        <v>3.0548526721717191</v>
      </c>
      <c r="M20" s="99">
        <f>IF($A$20="BUEYERA 2",VLOOKUP($A$20,$B$9:$U$9,12,FALSE),IF($A$20="CUARTELES",VLOOKUP($A$20,$B$6:$U$6,12,FALSE),IF($A$20="CTP103",VLOOKUP($A$20,$B$12:$U$12,12,FALSE))))</f>
        <v>3.0548526721717191</v>
      </c>
      <c r="N20" s="99">
        <f>IF($A$20="BUEYERA 2",VLOOKUP($A$20,$B$9:$U$9,13,FALSE),IF($A$20="CUARTELES",VLOOKUP($A$20,$B$6:$U$6,13,FALSE),IF($A$20="CTP103",VLOOKUP($A$20,$B$12:$U$12,13,FALSE))))</f>
        <v>3.0548526721717191</v>
      </c>
      <c r="O20" s="99">
        <f>IF($A$20="BUEYERA 2",VLOOKUP($A$20,$B$9:$U$9,14,FALSE),IF($A$20="CUARTELES",VLOOKUP($A$20,$B$6:$U$6,14,FALSE),IF($A$20="CTP103",VLOOKUP($A$20,$B$12:$U$12,14,FALSE))))</f>
        <v>3.0548526721717191</v>
      </c>
      <c r="P20" s="99">
        <f>IF($A$20="BUEYERA 2",VLOOKUP($A$20,$B$9:$U$9,15,FALSE),IF($A$20="CUARTELES",VLOOKUP($A$20,$B$6:$U$6,15,FALSE),IF($A$20="CTP103",VLOOKUP($A$20,$B$12:$U$12,15,FALSE))))</f>
        <v>3.0548526721717191</v>
      </c>
      <c r="Q20" s="99">
        <f>IF($A$20="BUEYERA 2",VLOOKUP($A$20,$B$9:$U$9,16,FALSE),IF($A$20="CUARTELES",VLOOKUP($A$20,$B$6:$U$6,16,FALSE),IF($A$20="CTP103",VLOOKUP($A$20,$B$12:$U$12,16,FALSE))))</f>
        <v>3.0548526721717191</v>
      </c>
      <c r="R20" s="99">
        <f>IF($A$20="BUEYERA 2",VLOOKUP($A$20,$B$9:$U$9,17,FALSE),IF($A$20="CUARTELES",VLOOKUP($A$20,$B$6:$U$6,17,FALSE),IF($A$20="CTP103",VLOOKUP($A$20,$B$12:$U$12,17,FALSE))))</f>
        <v>3.0548526721717191</v>
      </c>
      <c r="S20" s="99">
        <f>IF($A$20="BUEYERA 2",VLOOKUP($A$20,$B$9:$U$9,18,FALSE),IF($A$20="CUARTELES",VLOOKUP($A$20,$B$6:$U$6,18,FALSE),IF($A$20="CTP103",VLOOKUP($A$20,$B$12:$U$12,18,FALSE))))</f>
        <v>3.0548526721717191</v>
      </c>
      <c r="T20" s="99">
        <f>IF($A$20="BUEYERA 2",VLOOKUP($A$20,$B$9:$U$9,19,FALSE),IF($A$20="CUARTELES",VLOOKUP($A$20,$B$6:$U$6,19,FALSE),IF($A$20="CTP103",VLOOKUP($A$20,$B$12:$U$12,19,FALSE))))</f>
        <v>3.0548526721717191</v>
      </c>
      <c r="U20" s="99">
        <f>IF($A$20="BUEYERA 2",VLOOKUP($A$20,$B$9:$U$9,20,FALSE),IF($A$20="CUARTELES",VLOOKUP($A$20,$B$6:$U$6,20,FALSE),IF($A$20="CTP103",VLOOKUP($A$20,$B$12:$U$12,20,FALSE))))</f>
        <v>3.0548526721717191</v>
      </c>
    </row>
    <row r="22" spans="1:23" x14ac:dyDescent="0.25">
      <c r="B22" t="str">
        <f>CONCATENATE($A$19,"                                                         ",$A$5,"                                              ", $B$19)</f>
        <v>CTP103                                                         GENERAL                                              %MORT. ACUMULADA</v>
      </c>
    </row>
    <row r="27" spans="1:23" ht="16.5" x14ac:dyDescent="0.25">
      <c r="C27" s="320">
        <v>1</v>
      </c>
      <c r="D27" s="320">
        <v>2</v>
      </c>
      <c r="E27" s="320">
        <v>3</v>
      </c>
      <c r="F27" s="320">
        <v>4</v>
      </c>
      <c r="G27" s="320">
        <v>5</v>
      </c>
      <c r="H27" s="320">
        <v>6</v>
      </c>
      <c r="I27" s="320">
        <v>7</v>
      </c>
      <c r="J27" s="320">
        <v>8</v>
      </c>
      <c r="K27" s="320">
        <v>9</v>
      </c>
      <c r="L27" s="320">
        <v>10</v>
      </c>
      <c r="M27" s="320">
        <v>11</v>
      </c>
      <c r="N27" s="320">
        <v>12</v>
      </c>
      <c r="O27" s="320">
        <v>13</v>
      </c>
      <c r="P27" s="320">
        <v>14</v>
      </c>
      <c r="Q27" s="320">
        <v>15</v>
      </c>
      <c r="R27" s="320">
        <v>16</v>
      </c>
      <c r="S27" s="320">
        <v>17</v>
      </c>
      <c r="T27" s="320">
        <v>18</v>
      </c>
      <c r="U27" s="320">
        <v>19</v>
      </c>
    </row>
    <row r="28" spans="1:23" ht="16.5" x14ac:dyDescent="0.25">
      <c r="A28" t="s">
        <v>48</v>
      </c>
      <c r="C28" s="320">
        <v>0</v>
      </c>
      <c r="D28" s="320">
        <v>1</v>
      </c>
      <c r="E28" s="320">
        <v>2</v>
      </c>
      <c r="F28" s="320">
        <v>3</v>
      </c>
      <c r="G28" s="320">
        <v>4</v>
      </c>
      <c r="H28" s="320">
        <v>5</v>
      </c>
      <c r="I28" s="320">
        <v>6</v>
      </c>
      <c r="J28" s="320">
        <v>7</v>
      </c>
      <c r="K28" s="320">
        <v>8</v>
      </c>
      <c r="L28" s="320">
        <v>9</v>
      </c>
      <c r="M28" s="320">
        <v>10</v>
      </c>
      <c r="N28" s="320">
        <v>11</v>
      </c>
      <c r="O28" s="320">
        <v>12</v>
      </c>
      <c r="P28" s="320">
        <v>13</v>
      </c>
      <c r="Q28" s="320">
        <v>14</v>
      </c>
      <c r="R28" s="320">
        <v>15</v>
      </c>
      <c r="S28" s="320">
        <v>16</v>
      </c>
      <c r="T28" s="320">
        <v>17</v>
      </c>
      <c r="U28" s="320">
        <v>18</v>
      </c>
    </row>
    <row r="29" spans="1:23" x14ac:dyDescent="0.25">
      <c r="A29" t="str">
        <f>VLOOKUP(TABLERO!$Y$10,TABLERO!$W$9:$X$27,2,FALSE)</f>
        <v>SEM 11</v>
      </c>
      <c r="B29" s="611" t="s">
        <v>31</v>
      </c>
      <c r="C29" s="388">
        <f>HLOOKUP(C$28,CUARTP101!$D$300:$W$308,9,0)</f>
        <v>5176</v>
      </c>
      <c r="D29" s="388">
        <f>HLOOKUP(D$28,CUARTP101!$D$300:$W$308,9,0)</f>
        <v>8318</v>
      </c>
      <c r="E29" s="388">
        <f>HLOOKUP(E$28,CUARTP101!$D$300:$W$308,9,0)</f>
        <v>9187</v>
      </c>
      <c r="F29" s="388">
        <f>HLOOKUP(F$28,CUARTP101!$D$300:$W$308,9,0)</f>
        <v>9534</v>
      </c>
      <c r="G29" s="388">
        <f>HLOOKUP(G$28,CUARTP101!$D$300:$W$308,9,0)</f>
        <v>10141</v>
      </c>
      <c r="H29" s="388">
        <f>HLOOKUP(H$28,CUARTP101!$D$300:$W$308,9,0)</f>
        <v>10790</v>
      </c>
      <c r="I29" s="388">
        <f>HLOOKUP(I$28,CUARTP101!$D$300:$W$308,9,0)</f>
        <v>11453</v>
      </c>
      <c r="J29" s="388">
        <f>HLOOKUP(J$28,CUARTP101!$D$300:$W$308,9,0)</f>
        <v>11824</v>
      </c>
      <c r="K29" s="388">
        <f>HLOOKUP(K$28,CUARTP101!$D$300:$W$308,9,0)</f>
        <v>11965</v>
      </c>
      <c r="L29" s="388">
        <f>HLOOKUP(L$28,CUARTP101!$D$300:$W$308,9,0)</f>
        <v>12118</v>
      </c>
      <c r="M29" s="388">
        <f>HLOOKUP(M$28,CUARTP101!$D$300:$W$308,9,0)</f>
        <v>12317</v>
      </c>
      <c r="N29" s="388">
        <f>HLOOKUP(N$28,CUARTP101!$D$300:$W$308,9,0)</f>
        <v>12458</v>
      </c>
      <c r="O29" s="388">
        <f>HLOOKUP(O$28,CUARTP101!$D$300:$W$308,9,0)</f>
        <v>12552</v>
      </c>
      <c r="P29" s="388">
        <f>HLOOKUP(P$28,CUARTP101!$D$300:$W$308,9,0)</f>
        <v>12675</v>
      </c>
      <c r="Q29" s="388">
        <f>HLOOKUP(Q$28,CUARTP101!$D$300:$W$308,9,0)</f>
        <v>13079</v>
      </c>
      <c r="R29" s="388">
        <f>HLOOKUP(R$28,CUARTP101!$D$300:$W$308,9,0)</f>
        <v>13079</v>
      </c>
      <c r="S29" s="388">
        <f>HLOOKUP(S$28,CUARTP101!$D$300:$W$308,9,0)</f>
        <v>16695</v>
      </c>
      <c r="T29" s="388">
        <f>HLOOKUP(T$28,CUARTP101!$D$300:$W$308,9,0)</f>
        <v>16695</v>
      </c>
      <c r="U29" s="388">
        <f>HLOOKUP(U$28,CUARTP101!$D$300:$W$308,9,0)</f>
        <v>16695</v>
      </c>
    </row>
    <row r="32" spans="1:23" ht="16.5" x14ac:dyDescent="0.25">
      <c r="C32" s="320">
        <v>1</v>
      </c>
      <c r="D32" s="320">
        <v>2</v>
      </c>
      <c r="E32" s="320">
        <v>3</v>
      </c>
      <c r="F32" s="320">
        <v>4</v>
      </c>
      <c r="G32" s="320">
        <v>5</v>
      </c>
      <c r="H32" s="320">
        <v>6</v>
      </c>
      <c r="I32" s="320">
        <v>7</v>
      </c>
      <c r="J32" s="320">
        <v>8</v>
      </c>
      <c r="K32" s="320">
        <v>9</v>
      </c>
      <c r="L32" s="320">
        <v>10</v>
      </c>
      <c r="M32" s="320">
        <v>11</v>
      </c>
      <c r="N32" s="320">
        <v>12</v>
      </c>
      <c r="O32" s="320">
        <v>13</v>
      </c>
      <c r="P32" s="320">
        <v>14</v>
      </c>
      <c r="Q32" s="320">
        <v>15</v>
      </c>
      <c r="R32" s="320">
        <v>16</v>
      </c>
      <c r="S32" s="320">
        <v>17</v>
      </c>
      <c r="T32" s="320">
        <v>18</v>
      </c>
      <c r="U32" s="320">
        <v>19</v>
      </c>
    </row>
    <row r="33" spans="1:21" ht="16.5" x14ac:dyDescent="0.25">
      <c r="C33" s="320">
        <v>0</v>
      </c>
      <c r="D33" s="320">
        <v>1</v>
      </c>
      <c r="E33" s="320">
        <v>2</v>
      </c>
      <c r="F33" s="320">
        <v>3</v>
      </c>
      <c r="G33" s="320">
        <v>4</v>
      </c>
      <c r="H33" s="320">
        <v>5</v>
      </c>
      <c r="I33" s="320">
        <v>6</v>
      </c>
      <c r="J33" s="320">
        <v>7</v>
      </c>
      <c r="K33" s="320">
        <v>8</v>
      </c>
      <c r="L33" s="320">
        <v>9</v>
      </c>
      <c r="M33" s="320">
        <v>10</v>
      </c>
      <c r="N33" s="320">
        <v>11</v>
      </c>
      <c r="O33" s="320">
        <v>12</v>
      </c>
      <c r="P33" s="320">
        <v>13</v>
      </c>
      <c r="Q33" s="320">
        <v>14</v>
      </c>
      <c r="R33" s="320">
        <v>15</v>
      </c>
      <c r="S33" s="320">
        <v>16</v>
      </c>
      <c r="T33" s="320">
        <v>17</v>
      </c>
      <c r="U33" s="320">
        <v>18</v>
      </c>
    </row>
    <row r="34" spans="1:21" x14ac:dyDescent="0.25">
      <c r="A34" t="s">
        <v>48</v>
      </c>
      <c r="B34" s="611" t="s">
        <v>33</v>
      </c>
      <c r="C34" s="388">
        <f>HLOOKUP(C$28,BUEY2P102!$D$418:$W$426,9,0)</f>
        <v>1055</v>
      </c>
      <c r="D34" s="388">
        <f>HLOOKUP(D$28,BUEY2P102!$D$418:$W$426,9,0)</f>
        <v>3253</v>
      </c>
      <c r="E34" s="388">
        <f>HLOOKUP(E$28,BUEY2P102!$D$418:$W$426,9,0)</f>
        <v>6739</v>
      </c>
      <c r="F34" s="388">
        <f>HLOOKUP(F$28,BUEY2P102!$D$418:$W$426,9,0)</f>
        <v>8403</v>
      </c>
      <c r="G34" s="388">
        <f>HLOOKUP(G$28,BUEY2P102!$D$418:$W$426,9,0)</f>
        <v>9098</v>
      </c>
      <c r="H34" s="388">
        <f>HLOOKUP(H$28,BUEY2P102!$D$418:$W$426,9,0)</f>
        <v>9824</v>
      </c>
      <c r="I34" s="388">
        <f>HLOOKUP(I$28,BUEY2P102!$D$418:$W$426,9,0)</f>
        <v>11194</v>
      </c>
      <c r="J34" s="388">
        <f>HLOOKUP(J$28,BUEY2P102!$D$418:$W$426,9,0)</f>
        <v>11769</v>
      </c>
      <c r="K34" s="388">
        <f>HLOOKUP(K$28,BUEY2P102!$D$418:$W$426,9,0)</f>
        <v>12170</v>
      </c>
      <c r="L34" s="388">
        <f>HLOOKUP(L$28,BUEY2P102!$D$418:$W$426,9,0)</f>
        <v>12358</v>
      </c>
      <c r="M34" s="388">
        <f>HLOOKUP(M$28,BUEY2P102!$D$418:$W$426,9,0)</f>
        <v>12693</v>
      </c>
      <c r="N34" s="388">
        <f>HLOOKUP(N$28,BUEY2P102!$D$418:$W$426,9,0)</f>
        <v>12867</v>
      </c>
      <c r="O34" s="388">
        <f>HLOOKUP(O$28,BUEY2P102!$D$418:$W$426,9,0)</f>
        <v>13077</v>
      </c>
      <c r="P34" s="388">
        <f>HLOOKUP(P$28,BUEY2P102!$D$418:$W$426,9,0)</f>
        <v>13295</v>
      </c>
      <c r="Q34" s="388">
        <f>HLOOKUP(Q$28,BUEY2P102!$D$418:$W$426,9,0)</f>
        <v>13496</v>
      </c>
      <c r="R34" s="388">
        <f>HLOOKUP(R$28,BUEY2P102!$D$418:$W$426,9,0)</f>
        <v>13590</v>
      </c>
      <c r="S34" s="388">
        <f>HLOOKUP(S$28,BUEY2P102!$D$418:$W$426,9,0)</f>
        <v>13590</v>
      </c>
      <c r="T34" s="388">
        <f>HLOOKUP(T$28,BUEY2P102!$D$418:$W$426,9,0)</f>
        <v>13590</v>
      </c>
      <c r="U34" s="388">
        <f>HLOOKUP(U$28,BUEY2P102!$D$418:$W$426,9,0)</f>
        <v>13590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Check Box 1">
              <controlPr defaultSize="0" autoFill="0" autoLine="0" autoPict="0">
                <anchor moveWithCells="1">
                  <from>
                    <xdr:col>0</xdr:col>
                    <xdr:colOff>0</xdr:colOff>
                    <xdr:row>15</xdr:row>
                    <xdr:rowOff>28575</xdr:rowOff>
                  </from>
                  <to>
                    <xdr:col>1</xdr:col>
                    <xdr:colOff>190500</xdr:colOff>
                    <xdr:row>16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U348"/>
  <sheetViews>
    <sheetView showGridLines="0" zoomScale="85" zoomScaleNormal="85" zoomScaleSheetLayoutView="96" workbookViewId="0">
      <pane xSplit="1" ySplit="5" topLeftCell="B72" activePane="bottomRight" state="frozen"/>
      <selection pane="topRight" activeCell="B1" sqref="B1"/>
      <selection pane="bottomLeft" activeCell="A6" sqref="A6"/>
      <selection pane="bottomRight" activeCell="DA3" sqref="DA3"/>
    </sheetView>
  </sheetViews>
  <sheetFormatPr baseColWidth="10" defaultColWidth="11.42578125" defaultRowHeight="16.5" x14ac:dyDescent="0.25"/>
  <cols>
    <col min="1" max="1" width="16.7109375" style="2" customWidth="1"/>
    <col min="2" max="2" width="6.140625" style="1" customWidth="1"/>
    <col min="3" max="3" width="8.5703125" style="1" customWidth="1"/>
    <col min="4" max="4" width="10.42578125" style="1" customWidth="1"/>
    <col min="5" max="6" width="12.140625" style="2" customWidth="1"/>
    <col min="7" max="8" width="5.7109375" style="2" customWidth="1"/>
    <col min="9" max="10" width="6.85546875" style="2" customWidth="1"/>
    <col min="11" max="11" width="6.28515625" style="2" customWidth="1"/>
    <col min="12" max="12" width="5.85546875" style="2" customWidth="1"/>
    <col min="13" max="13" width="8" style="2" customWidth="1"/>
    <col min="14" max="14" width="10" style="2" customWidth="1"/>
    <col min="15" max="15" width="6.85546875" style="2" customWidth="1"/>
    <col min="16" max="17" width="7.85546875" style="2" customWidth="1"/>
    <col min="18" max="18" width="8.5703125" style="2" customWidth="1"/>
    <col min="19" max="19" width="9" style="2" customWidth="1"/>
    <col min="20" max="20" width="7.28515625" style="2" customWidth="1"/>
    <col min="21" max="21" width="6.85546875" style="2" customWidth="1"/>
    <col min="22" max="22" width="6.28515625" style="2" customWidth="1"/>
    <col min="23" max="23" width="6.140625" style="2" customWidth="1"/>
    <col min="24" max="24" width="5.42578125" style="2" customWidth="1"/>
    <col min="25" max="25" width="5.140625" style="2" customWidth="1"/>
    <col min="26" max="26" width="14.85546875" style="362" customWidth="1"/>
    <col min="27" max="28" width="5.140625" style="362" customWidth="1"/>
    <col min="29" max="29" width="11.85546875" style="362" customWidth="1"/>
    <col min="30" max="30" width="9.28515625" style="362" customWidth="1"/>
    <col min="31" max="31" width="8.140625" style="362" customWidth="1"/>
    <col min="32" max="35" width="5.140625" style="362" customWidth="1"/>
    <col min="36" max="38" width="7.28515625" style="362" customWidth="1"/>
    <col min="39" max="39" width="8.140625" style="362" customWidth="1"/>
    <col min="40" max="40" width="7.28515625" style="362" customWidth="1"/>
    <col min="41" max="41" width="8" style="362" customWidth="1"/>
    <col min="42" max="42" width="6.7109375" style="362" customWidth="1"/>
    <col min="43" max="43" width="8.140625" style="362" customWidth="1"/>
    <col min="44" max="44" width="9" style="362" customWidth="1"/>
    <col min="45" max="45" width="5.7109375" style="362" customWidth="1"/>
    <col min="46" max="46" width="7.140625" style="362" customWidth="1"/>
    <col min="47" max="47" width="6.28515625" style="362" customWidth="1"/>
    <col min="48" max="50" width="5.140625" style="362" customWidth="1"/>
    <col min="51" max="51" width="16.85546875" style="2" customWidth="1"/>
    <col min="52" max="53" width="4.85546875" style="2" customWidth="1"/>
    <col min="54" max="54" width="11.140625" style="2" customWidth="1"/>
    <col min="55" max="56" width="10.140625" style="2" customWidth="1"/>
    <col min="57" max="60" width="5.42578125" style="2" customWidth="1"/>
    <col min="61" max="63" width="7" style="2" customWidth="1"/>
    <col min="64" max="64" width="9.85546875" style="2" customWidth="1"/>
    <col min="65" max="65" width="7.85546875" style="2" customWidth="1"/>
    <col min="66" max="69" width="7.42578125" style="2" customWidth="1"/>
    <col min="70" max="70" width="5.42578125" style="2" customWidth="1"/>
    <col min="71" max="71" width="5.7109375" style="2" customWidth="1"/>
    <col min="72" max="72" width="5.42578125" style="2" customWidth="1"/>
    <col min="73" max="73" width="7.28515625" style="2" customWidth="1"/>
    <col min="74" max="74" width="6.28515625" style="2" customWidth="1"/>
    <col min="75" max="75" width="7.28515625" style="2" customWidth="1"/>
    <col min="76" max="76" width="11.42578125" style="2" customWidth="1"/>
    <col min="77" max="78" width="5.85546875" style="2" customWidth="1"/>
    <col min="79" max="79" width="10.140625" style="2" customWidth="1"/>
    <col min="80" max="81" width="9.140625" style="2" customWidth="1"/>
    <col min="82" max="85" width="5.7109375" style="2" customWidth="1"/>
    <col min="86" max="90" width="7.28515625" style="2" customWidth="1"/>
    <col min="91" max="91" width="8.85546875" style="2" customWidth="1"/>
    <col min="92" max="94" width="7.5703125" style="2" customWidth="1"/>
    <col min="95" max="96" width="5.140625" style="2" customWidth="1"/>
    <col min="97" max="97" width="6.28515625" style="2" customWidth="1"/>
    <col min="98" max="100" width="5.140625" style="2" customWidth="1"/>
    <col min="101" max="101" width="11.42578125" style="2"/>
    <col min="102" max="103" width="6.5703125" style="2" customWidth="1"/>
    <col min="104" max="106" width="10.140625" style="2" customWidth="1"/>
    <col min="107" max="109" width="6.28515625" style="2" customWidth="1"/>
    <col min="110" max="110" width="7" style="2" customWidth="1"/>
    <col min="111" max="113" width="9.140625" style="2" customWidth="1"/>
    <col min="114" max="114" width="10.85546875" style="2" customWidth="1"/>
    <col min="115" max="115" width="9.140625" style="2" customWidth="1"/>
    <col min="116" max="116" width="11.42578125" style="2"/>
    <col min="117" max="119" width="7.28515625" style="2" customWidth="1"/>
    <col min="120" max="122" width="7.7109375" style="2" customWidth="1"/>
    <col min="123" max="125" width="8.7109375" style="2" customWidth="1"/>
    <col min="126" max="16384" width="11.42578125" style="2"/>
  </cols>
  <sheetData>
    <row r="1" spans="1:125" ht="17.25" thickBot="1" x14ac:dyDescent="0.3">
      <c r="AZ1" s="392"/>
      <c r="BA1" s="392"/>
      <c r="BB1" s="392"/>
      <c r="BC1" s="392"/>
      <c r="BD1" s="392"/>
      <c r="BE1" s="392"/>
      <c r="BF1" s="392"/>
      <c r="BG1" s="392"/>
      <c r="BH1" s="392"/>
      <c r="BI1" s="392"/>
      <c r="BJ1" s="392"/>
      <c r="BK1" s="392"/>
      <c r="BL1" s="392"/>
      <c r="BM1" s="392"/>
      <c r="BN1" s="392"/>
      <c r="BO1" s="392"/>
      <c r="BP1" s="392"/>
      <c r="BQ1" s="392"/>
      <c r="BR1" s="392"/>
      <c r="BS1" s="392"/>
      <c r="BT1" s="392"/>
      <c r="BU1" s="392"/>
      <c r="BV1" s="392"/>
      <c r="BW1" s="392"/>
    </row>
    <row r="2" spans="1:125" ht="36.75" customHeight="1" x14ac:dyDescent="0.25">
      <c r="A2" s="4"/>
      <c r="B2" s="539"/>
      <c r="C2" s="540"/>
      <c r="D2" s="540"/>
      <c r="E2" s="885" t="s">
        <v>178</v>
      </c>
      <c r="F2" s="885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542"/>
      <c r="S2" s="543" t="s">
        <v>30</v>
      </c>
      <c r="T2" s="612" t="s">
        <v>163</v>
      </c>
      <c r="U2" s="543"/>
      <c r="V2" s="543"/>
      <c r="W2" s="543" t="s">
        <v>155</v>
      </c>
      <c r="X2" s="541"/>
      <c r="Y2" s="558"/>
      <c r="Z2" s="490"/>
      <c r="AA2" s="539"/>
      <c r="AB2" s="540"/>
      <c r="AC2" s="540"/>
      <c r="AD2" s="885" t="s">
        <v>179</v>
      </c>
      <c r="AE2" s="885"/>
      <c r="AF2" s="885"/>
      <c r="AG2" s="885"/>
      <c r="AH2" s="885"/>
      <c r="AI2" s="885"/>
      <c r="AJ2" s="885"/>
      <c r="AK2" s="885"/>
      <c r="AL2" s="885"/>
      <c r="AM2" s="885"/>
      <c r="AN2" s="885"/>
      <c r="AO2" s="885"/>
      <c r="AP2" s="885"/>
      <c r="AQ2" s="885"/>
      <c r="AR2" s="540" t="s">
        <v>158</v>
      </c>
      <c r="AS2" s="543"/>
      <c r="AT2" s="543"/>
      <c r="AU2" s="543"/>
      <c r="AV2" s="543" t="s">
        <v>153</v>
      </c>
      <c r="AW2" s="541"/>
      <c r="AX2" s="558"/>
      <c r="AZ2" s="539"/>
      <c r="BA2" s="540"/>
      <c r="BB2" s="540"/>
      <c r="BC2" s="893" t="s">
        <v>179</v>
      </c>
      <c r="BD2" s="893"/>
      <c r="BE2" s="893"/>
      <c r="BF2" s="893"/>
      <c r="BG2" s="893"/>
      <c r="BH2" s="893"/>
      <c r="BI2" s="893"/>
      <c r="BJ2" s="893"/>
      <c r="BK2" s="893"/>
      <c r="BL2" s="893"/>
      <c r="BM2" s="893"/>
      <c r="BN2" s="893"/>
      <c r="BO2" s="893"/>
      <c r="BP2" s="893"/>
      <c r="BQ2" s="540" t="s">
        <v>159</v>
      </c>
      <c r="BR2" s="556"/>
      <c r="BS2" s="543"/>
      <c r="BT2" s="543"/>
      <c r="BU2" s="543" t="s">
        <v>14</v>
      </c>
      <c r="BV2" s="556"/>
      <c r="BW2" s="558"/>
      <c r="BY2" s="539"/>
      <c r="BZ2" s="540"/>
      <c r="CA2" s="540"/>
      <c r="CB2" s="885" t="s">
        <v>178</v>
      </c>
      <c r="CC2" s="885"/>
      <c r="CD2" s="885"/>
      <c r="CE2" s="885"/>
      <c r="CF2" s="885"/>
      <c r="CG2" s="885"/>
      <c r="CH2" s="885"/>
      <c r="CI2" s="885"/>
      <c r="CJ2" s="885"/>
      <c r="CK2" s="885"/>
      <c r="CL2" s="885"/>
      <c r="CM2" s="885"/>
      <c r="CN2" s="885"/>
      <c r="CO2" s="885"/>
      <c r="CP2" s="543" t="s">
        <v>129</v>
      </c>
      <c r="CQ2" s="557">
        <v>4</v>
      </c>
      <c r="CR2" s="543"/>
      <c r="CS2" s="543"/>
      <c r="CT2" s="543" t="s">
        <v>131</v>
      </c>
      <c r="CU2" s="541"/>
      <c r="CV2" s="558"/>
      <c r="CX2" s="539"/>
      <c r="CY2" s="540"/>
      <c r="CZ2" s="540"/>
      <c r="DA2" s="885" t="s">
        <v>178</v>
      </c>
      <c r="DB2" s="885"/>
      <c r="DC2" s="885"/>
      <c r="DD2" s="885"/>
      <c r="DE2" s="885"/>
      <c r="DF2" s="885"/>
      <c r="DG2" s="885"/>
      <c r="DH2" s="885"/>
      <c r="DI2" s="885"/>
      <c r="DJ2" s="885"/>
      <c r="DK2" s="885"/>
      <c r="DL2" s="885"/>
      <c r="DM2" s="885"/>
      <c r="DN2" s="885"/>
      <c r="DO2" s="543" t="s">
        <v>129</v>
      </c>
      <c r="DP2" s="557">
        <v>5</v>
      </c>
      <c r="DQ2" s="543"/>
      <c r="DR2" s="543"/>
      <c r="DS2" s="543" t="s">
        <v>153</v>
      </c>
      <c r="DT2" s="541"/>
      <c r="DU2" s="558"/>
    </row>
    <row r="3" spans="1:125" ht="36.75" customHeight="1" thickBot="1" x14ac:dyDescent="0.3">
      <c r="A3" s="4"/>
      <c r="B3" s="544" t="s">
        <v>166</v>
      </c>
      <c r="C3" s="545"/>
      <c r="D3" s="545"/>
      <c r="E3" s="545"/>
      <c r="F3" s="545"/>
      <c r="G3" s="545" t="s">
        <v>130</v>
      </c>
      <c r="H3" s="545"/>
      <c r="I3" s="545"/>
      <c r="J3" s="545"/>
      <c r="K3" s="545"/>
      <c r="L3" s="545"/>
      <c r="M3" s="545" t="s">
        <v>152</v>
      </c>
      <c r="N3" s="545"/>
      <c r="O3" s="545"/>
      <c r="P3" s="546"/>
      <c r="Q3" s="546"/>
      <c r="R3" s="546"/>
      <c r="S3" s="546"/>
      <c r="T3" s="547" t="s">
        <v>12</v>
      </c>
      <c r="U3" s="546"/>
      <c r="V3" s="546"/>
      <c r="W3" s="545"/>
      <c r="X3" s="545"/>
      <c r="Y3" s="559"/>
      <c r="Z3" s="490"/>
      <c r="AA3" s="596" t="s">
        <v>151</v>
      </c>
      <c r="AB3" s="597"/>
      <c r="AC3" s="597"/>
      <c r="AD3" s="597"/>
      <c r="AE3" s="597"/>
      <c r="AF3" s="597" t="s">
        <v>130</v>
      </c>
      <c r="AG3" s="597"/>
      <c r="AH3" s="597"/>
      <c r="AI3" s="597"/>
      <c r="AJ3" s="597"/>
      <c r="AK3" s="597"/>
      <c r="AL3" s="597" t="s">
        <v>152</v>
      </c>
      <c r="AM3" s="597"/>
      <c r="AN3" s="597"/>
      <c r="AO3" s="598"/>
      <c r="AP3" s="598"/>
      <c r="AQ3" s="598"/>
      <c r="AR3" s="598"/>
      <c r="AS3" s="599" t="s">
        <v>12</v>
      </c>
      <c r="AT3" s="598"/>
      <c r="AU3" s="598"/>
      <c r="AV3" s="597"/>
      <c r="AW3" s="597"/>
      <c r="AX3" s="600"/>
      <c r="AZ3" s="544" t="s">
        <v>13</v>
      </c>
      <c r="BA3" s="545"/>
      <c r="BB3" s="545"/>
      <c r="BC3" s="545"/>
      <c r="BD3" s="545"/>
      <c r="BE3" s="545" t="s">
        <v>0</v>
      </c>
      <c r="BF3" s="545"/>
      <c r="BG3" s="545" t="s">
        <v>145</v>
      </c>
      <c r="BH3" s="545"/>
      <c r="BI3" s="545"/>
      <c r="BJ3" s="545"/>
      <c r="BK3" s="545" t="s">
        <v>154</v>
      </c>
      <c r="BL3" s="545"/>
      <c r="BM3" s="601"/>
      <c r="BN3" s="546"/>
      <c r="BO3" s="546"/>
      <c r="BP3" s="546"/>
      <c r="BQ3" s="546"/>
      <c r="BR3" s="547" t="s">
        <v>12</v>
      </c>
      <c r="BS3" s="546"/>
      <c r="BT3" s="546"/>
      <c r="BU3" s="894"/>
      <c r="BV3" s="894"/>
      <c r="BW3" s="895"/>
      <c r="BY3" s="544" t="s">
        <v>13</v>
      </c>
      <c r="BZ3" s="545"/>
      <c r="CA3" s="545"/>
      <c r="CB3" s="545"/>
      <c r="CC3" s="545"/>
      <c r="CD3" s="545" t="s">
        <v>130</v>
      </c>
      <c r="CE3" s="545"/>
      <c r="CF3" s="545"/>
      <c r="CG3" s="545"/>
      <c r="CH3" s="545"/>
      <c r="CI3" s="545"/>
      <c r="CJ3" s="545" t="s">
        <v>154</v>
      </c>
      <c r="CK3" s="545"/>
      <c r="CL3" s="545"/>
      <c r="CM3" s="607"/>
      <c r="CN3" s="546"/>
      <c r="CO3" s="546"/>
      <c r="CP3" s="546"/>
      <c r="CQ3" s="547" t="s">
        <v>12</v>
      </c>
      <c r="CR3" s="546"/>
      <c r="CS3" s="546"/>
      <c r="CT3" s="886"/>
      <c r="CU3" s="886"/>
      <c r="CV3" s="887"/>
      <c r="CX3" s="544" t="s">
        <v>13</v>
      </c>
      <c r="CY3" s="545"/>
      <c r="CZ3" s="545"/>
      <c r="DA3" s="545"/>
      <c r="DB3" s="545"/>
      <c r="DC3" s="545" t="s">
        <v>130</v>
      </c>
      <c r="DD3" s="545"/>
      <c r="DE3" s="545"/>
      <c r="DF3" s="545"/>
      <c r="DG3" s="545"/>
      <c r="DH3" s="545"/>
      <c r="DI3" s="545" t="s">
        <v>154</v>
      </c>
      <c r="DJ3" s="545"/>
      <c r="DK3" s="545"/>
      <c r="DL3" s="607"/>
      <c r="DM3" s="546"/>
      <c r="DN3" s="546"/>
      <c r="DO3" s="546"/>
      <c r="DP3" s="547" t="s">
        <v>12</v>
      </c>
      <c r="DQ3" s="546"/>
      <c r="DR3" s="546"/>
      <c r="DS3" s="886"/>
      <c r="DT3" s="886"/>
      <c r="DU3" s="887"/>
    </row>
    <row r="4" spans="1:125" ht="27.75" customHeight="1" x14ac:dyDescent="0.25">
      <c r="A4" s="4"/>
      <c r="B4" s="888" t="s">
        <v>4</v>
      </c>
      <c r="C4" s="888" t="s">
        <v>41</v>
      </c>
      <c r="D4" s="890" t="s">
        <v>5</v>
      </c>
      <c r="E4" s="891"/>
      <c r="F4" s="892"/>
      <c r="G4" s="890" t="s">
        <v>3</v>
      </c>
      <c r="H4" s="891"/>
      <c r="I4" s="891"/>
      <c r="J4" s="891"/>
      <c r="K4" s="891"/>
      <c r="L4" s="891"/>
      <c r="M4" s="891"/>
      <c r="N4" s="891"/>
      <c r="O4" s="892"/>
      <c r="P4" s="890" t="s">
        <v>8</v>
      </c>
      <c r="Q4" s="891"/>
      <c r="R4" s="891"/>
      <c r="S4" s="892"/>
      <c r="T4" s="890" t="s">
        <v>11</v>
      </c>
      <c r="U4" s="891"/>
      <c r="V4" s="892"/>
      <c r="W4" s="890" t="s">
        <v>2</v>
      </c>
      <c r="X4" s="891"/>
      <c r="Y4" s="892"/>
      <c r="Z4" s="491"/>
      <c r="AA4" s="888" t="s">
        <v>4</v>
      </c>
      <c r="AB4" s="888" t="s">
        <v>41</v>
      </c>
      <c r="AC4" s="890" t="s">
        <v>5</v>
      </c>
      <c r="AD4" s="891"/>
      <c r="AE4" s="892"/>
      <c r="AF4" s="890" t="s">
        <v>3</v>
      </c>
      <c r="AG4" s="891"/>
      <c r="AH4" s="891"/>
      <c r="AI4" s="891"/>
      <c r="AJ4" s="891"/>
      <c r="AK4" s="891"/>
      <c r="AL4" s="891"/>
      <c r="AM4" s="891"/>
      <c r="AN4" s="892"/>
      <c r="AO4" s="890" t="s">
        <v>8</v>
      </c>
      <c r="AP4" s="891"/>
      <c r="AQ4" s="891"/>
      <c r="AR4" s="892"/>
      <c r="AS4" s="890" t="s">
        <v>11</v>
      </c>
      <c r="AT4" s="891"/>
      <c r="AU4" s="892"/>
      <c r="AV4" s="890" t="s">
        <v>2</v>
      </c>
      <c r="AW4" s="891"/>
      <c r="AX4" s="892"/>
      <c r="AZ4" s="888" t="s">
        <v>4</v>
      </c>
      <c r="BA4" s="888" t="s">
        <v>41</v>
      </c>
      <c r="BB4" s="890" t="s">
        <v>5</v>
      </c>
      <c r="BC4" s="891"/>
      <c r="BD4" s="892"/>
      <c r="BE4" s="890" t="s">
        <v>3</v>
      </c>
      <c r="BF4" s="891"/>
      <c r="BG4" s="891"/>
      <c r="BH4" s="891"/>
      <c r="BI4" s="891"/>
      <c r="BJ4" s="891"/>
      <c r="BK4" s="891"/>
      <c r="BL4" s="891"/>
      <c r="BM4" s="892"/>
      <c r="BN4" s="890" t="s">
        <v>8</v>
      </c>
      <c r="BO4" s="891"/>
      <c r="BP4" s="891"/>
      <c r="BQ4" s="892"/>
      <c r="BR4" s="890" t="s">
        <v>11</v>
      </c>
      <c r="BS4" s="891"/>
      <c r="BT4" s="892"/>
      <c r="BU4" s="890" t="s">
        <v>2</v>
      </c>
      <c r="BV4" s="891"/>
      <c r="BW4" s="892"/>
      <c r="BY4" s="888" t="s">
        <v>4</v>
      </c>
      <c r="BZ4" s="888" t="s">
        <v>41</v>
      </c>
      <c r="CA4" s="890" t="s">
        <v>5</v>
      </c>
      <c r="CB4" s="891"/>
      <c r="CC4" s="892"/>
      <c r="CD4" s="890" t="s">
        <v>3</v>
      </c>
      <c r="CE4" s="891"/>
      <c r="CF4" s="891"/>
      <c r="CG4" s="891"/>
      <c r="CH4" s="891"/>
      <c r="CI4" s="891"/>
      <c r="CJ4" s="891"/>
      <c r="CK4" s="891"/>
      <c r="CL4" s="892"/>
      <c r="CM4" s="890" t="s">
        <v>8</v>
      </c>
      <c r="CN4" s="891"/>
      <c r="CO4" s="891"/>
      <c r="CP4" s="892"/>
      <c r="CQ4" s="890" t="s">
        <v>11</v>
      </c>
      <c r="CR4" s="891"/>
      <c r="CS4" s="892"/>
      <c r="CT4" s="890" t="s">
        <v>2</v>
      </c>
      <c r="CU4" s="891"/>
      <c r="CV4" s="892"/>
      <c r="CX4" s="888" t="s">
        <v>4</v>
      </c>
      <c r="CY4" s="888" t="s">
        <v>41</v>
      </c>
      <c r="CZ4" s="890" t="s">
        <v>5</v>
      </c>
      <c r="DA4" s="891"/>
      <c r="DB4" s="892"/>
      <c r="DC4" s="890" t="s">
        <v>3</v>
      </c>
      <c r="DD4" s="891"/>
      <c r="DE4" s="891"/>
      <c r="DF4" s="891"/>
      <c r="DG4" s="891"/>
      <c r="DH4" s="891"/>
      <c r="DI4" s="891"/>
      <c r="DJ4" s="891"/>
      <c r="DK4" s="892"/>
      <c r="DL4" s="890" t="s">
        <v>8</v>
      </c>
      <c r="DM4" s="891"/>
      <c r="DN4" s="891"/>
      <c r="DO4" s="892"/>
      <c r="DP4" s="890" t="s">
        <v>11</v>
      </c>
      <c r="DQ4" s="891"/>
      <c r="DR4" s="892"/>
      <c r="DS4" s="890" t="s">
        <v>2</v>
      </c>
      <c r="DT4" s="891"/>
      <c r="DU4" s="892"/>
    </row>
    <row r="5" spans="1:125" ht="42" customHeight="1" thickBot="1" x14ac:dyDescent="0.3">
      <c r="A5" s="4"/>
      <c r="B5" s="889"/>
      <c r="C5" s="889"/>
      <c r="D5" s="579" t="s">
        <v>167</v>
      </c>
      <c r="E5" s="580" t="s">
        <v>6</v>
      </c>
      <c r="F5" s="581" t="s">
        <v>7</v>
      </c>
      <c r="G5" s="548" t="s">
        <v>27</v>
      </c>
      <c r="H5" s="549" t="s">
        <v>16</v>
      </c>
      <c r="I5" s="551" t="s">
        <v>17</v>
      </c>
      <c r="J5" s="551" t="s">
        <v>18</v>
      </c>
      <c r="K5" s="551" t="s">
        <v>24</v>
      </c>
      <c r="L5" s="551" t="s">
        <v>46</v>
      </c>
      <c r="M5" s="551" t="s">
        <v>22</v>
      </c>
      <c r="N5" s="549" t="s">
        <v>47</v>
      </c>
      <c r="O5" s="550" t="s">
        <v>23</v>
      </c>
      <c r="P5" s="548" t="s">
        <v>141</v>
      </c>
      <c r="Q5" s="552" t="s">
        <v>42</v>
      </c>
      <c r="R5" s="553" t="s">
        <v>170</v>
      </c>
      <c r="S5" s="554" t="s">
        <v>21</v>
      </c>
      <c r="T5" s="548" t="s">
        <v>25</v>
      </c>
      <c r="U5" s="555" t="s">
        <v>26</v>
      </c>
      <c r="V5" s="554" t="s">
        <v>15</v>
      </c>
      <c r="W5" s="548" t="s">
        <v>19</v>
      </c>
      <c r="X5" s="549" t="s">
        <v>20</v>
      </c>
      <c r="Y5" s="550" t="s">
        <v>15</v>
      </c>
      <c r="Z5" s="361"/>
      <c r="AA5" s="889"/>
      <c r="AB5" s="889"/>
      <c r="AC5" s="548" t="s">
        <v>28</v>
      </c>
      <c r="AD5" s="549" t="s">
        <v>6</v>
      </c>
      <c r="AE5" s="550" t="s">
        <v>7</v>
      </c>
      <c r="AF5" s="548" t="s">
        <v>27</v>
      </c>
      <c r="AG5" s="549" t="s">
        <v>16</v>
      </c>
      <c r="AH5" s="551" t="s">
        <v>17</v>
      </c>
      <c r="AI5" s="551" t="s">
        <v>18</v>
      </c>
      <c r="AJ5" s="551" t="s">
        <v>24</v>
      </c>
      <c r="AK5" s="551" t="s">
        <v>46</v>
      </c>
      <c r="AL5" s="551" t="s">
        <v>22</v>
      </c>
      <c r="AM5" s="549" t="s">
        <v>47</v>
      </c>
      <c r="AN5" s="550" t="s">
        <v>23</v>
      </c>
      <c r="AO5" s="548" t="s">
        <v>141</v>
      </c>
      <c r="AP5" s="552" t="s">
        <v>42</v>
      </c>
      <c r="AQ5" s="553" t="s">
        <v>10</v>
      </c>
      <c r="AR5" s="554" t="s">
        <v>21</v>
      </c>
      <c r="AS5" s="548" t="s">
        <v>25</v>
      </c>
      <c r="AT5" s="555" t="s">
        <v>26</v>
      </c>
      <c r="AU5" s="554" t="s">
        <v>15</v>
      </c>
      <c r="AV5" s="548" t="s">
        <v>19</v>
      </c>
      <c r="AW5" s="549" t="s">
        <v>20</v>
      </c>
      <c r="AX5" s="550" t="s">
        <v>15</v>
      </c>
      <c r="AZ5" s="889"/>
      <c r="BA5" s="889"/>
      <c r="BB5" s="548" t="s">
        <v>28</v>
      </c>
      <c r="BC5" s="549" t="s">
        <v>6</v>
      </c>
      <c r="BD5" s="550" t="s">
        <v>7</v>
      </c>
      <c r="BE5" s="548" t="s">
        <v>27</v>
      </c>
      <c r="BF5" s="549" t="s">
        <v>16</v>
      </c>
      <c r="BG5" s="551" t="s">
        <v>17</v>
      </c>
      <c r="BH5" s="551" t="s">
        <v>18</v>
      </c>
      <c r="BI5" s="551" t="s">
        <v>24</v>
      </c>
      <c r="BJ5" s="551" t="s">
        <v>46</v>
      </c>
      <c r="BK5" s="551" t="s">
        <v>22</v>
      </c>
      <c r="BL5" s="549" t="s">
        <v>47</v>
      </c>
      <c r="BM5" s="550" t="s">
        <v>23</v>
      </c>
      <c r="BN5" s="548" t="s">
        <v>9</v>
      </c>
      <c r="BO5" s="552" t="s">
        <v>42</v>
      </c>
      <c r="BP5" s="553" t="s">
        <v>10</v>
      </c>
      <c r="BQ5" s="554" t="s">
        <v>21</v>
      </c>
      <c r="BR5" s="548" t="s">
        <v>25</v>
      </c>
      <c r="BS5" s="555" t="s">
        <v>26</v>
      </c>
      <c r="BT5" s="554" t="s">
        <v>15</v>
      </c>
      <c r="BU5" s="548" t="s">
        <v>19</v>
      </c>
      <c r="BV5" s="549" t="s">
        <v>20</v>
      </c>
      <c r="BW5" s="550" t="s">
        <v>15</v>
      </c>
      <c r="BY5" s="889"/>
      <c r="BZ5" s="889"/>
      <c r="CA5" s="548" t="s">
        <v>28</v>
      </c>
      <c r="CB5" s="549" t="s">
        <v>6</v>
      </c>
      <c r="CC5" s="550" t="s">
        <v>7</v>
      </c>
      <c r="CD5" s="548" t="s">
        <v>27</v>
      </c>
      <c r="CE5" s="549" t="s">
        <v>16</v>
      </c>
      <c r="CF5" s="551" t="s">
        <v>17</v>
      </c>
      <c r="CG5" s="551" t="s">
        <v>18</v>
      </c>
      <c r="CH5" s="551" t="s">
        <v>24</v>
      </c>
      <c r="CI5" s="551" t="s">
        <v>46</v>
      </c>
      <c r="CJ5" s="551" t="s">
        <v>22</v>
      </c>
      <c r="CK5" s="549" t="s">
        <v>47</v>
      </c>
      <c r="CL5" s="550" t="s">
        <v>23</v>
      </c>
      <c r="CM5" s="548" t="s">
        <v>9</v>
      </c>
      <c r="CN5" s="552" t="s">
        <v>42</v>
      </c>
      <c r="CO5" s="553" t="s">
        <v>10</v>
      </c>
      <c r="CP5" s="554" t="s">
        <v>21</v>
      </c>
      <c r="CQ5" s="548" t="s">
        <v>25</v>
      </c>
      <c r="CR5" s="555" t="s">
        <v>26</v>
      </c>
      <c r="CS5" s="554" t="s">
        <v>15</v>
      </c>
      <c r="CT5" s="548" t="s">
        <v>19</v>
      </c>
      <c r="CU5" s="549" t="s">
        <v>20</v>
      </c>
      <c r="CV5" s="550" t="s">
        <v>15</v>
      </c>
      <c r="CX5" s="889"/>
      <c r="CY5" s="889"/>
      <c r="CZ5" s="548" t="s">
        <v>28</v>
      </c>
      <c r="DA5" s="549" t="s">
        <v>6</v>
      </c>
      <c r="DB5" s="550" t="s">
        <v>7</v>
      </c>
      <c r="DC5" s="548" t="s">
        <v>27</v>
      </c>
      <c r="DD5" s="549" t="s">
        <v>16</v>
      </c>
      <c r="DE5" s="551" t="s">
        <v>17</v>
      </c>
      <c r="DF5" s="551" t="s">
        <v>18</v>
      </c>
      <c r="DG5" s="551" t="s">
        <v>24</v>
      </c>
      <c r="DH5" s="551" t="s">
        <v>46</v>
      </c>
      <c r="DI5" s="551" t="s">
        <v>22</v>
      </c>
      <c r="DJ5" s="549" t="s">
        <v>47</v>
      </c>
      <c r="DK5" s="550" t="s">
        <v>23</v>
      </c>
      <c r="DL5" s="548" t="s">
        <v>9</v>
      </c>
      <c r="DM5" s="552" t="s">
        <v>42</v>
      </c>
      <c r="DN5" s="553" t="s">
        <v>10</v>
      </c>
      <c r="DO5" s="554" t="s">
        <v>21</v>
      </c>
      <c r="DP5" s="548" t="s">
        <v>25</v>
      </c>
      <c r="DQ5" s="555" t="s">
        <v>26</v>
      </c>
      <c r="DR5" s="554" t="s">
        <v>15</v>
      </c>
      <c r="DS5" s="548" t="s">
        <v>19</v>
      </c>
      <c r="DT5" s="549" t="s">
        <v>20</v>
      </c>
      <c r="DU5" s="550" t="s">
        <v>15</v>
      </c>
    </row>
    <row r="6" spans="1:125" ht="17.25" thickBot="1" x14ac:dyDescent="0.3">
      <c r="A6" s="499"/>
      <c r="B6" s="394">
        <v>23</v>
      </c>
      <c r="C6" s="785">
        <v>0</v>
      </c>
      <c r="D6" s="786"/>
      <c r="E6" s="444">
        <f>D6</f>
        <v>0</v>
      </c>
      <c r="F6" s="44">
        <f t="shared" ref="F6:F69" si="0">IFERROR(E6-J6,0)</f>
        <v>0</v>
      </c>
      <c r="G6" s="130"/>
      <c r="H6" s="131"/>
      <c r="I6" s="131"/>
      <c r="J6" s="11">
        <f>SUM(G6:I6)</f>
        <v>0</v>
      </c>
      <c r="K6" s="11">
        <f>J6</f>
        <v>0</v>
      </c>
      <c r="L6" s="16">
        <f t="shared" ref="L6:L69" si="1">VLOOKUP($C6,LOHMANN,4,FALSE)</f>
        <v>0.7</v>
      </c>
      <c r="M6" s="42">
        <f>IFERROR((J6*100)/E6,0)</f>
        <v>0</v>
      </c>
      <c r="N6" s="154">
        <f t="shared" ref="N6:N69" si="2">VLOOKUP($C6,LOHMANN,5,FALSE)</f>
        <v>0.7</v>
      </c>
      <c r="O6" s="132">
        <f>IFERROR((K6*100)/$D$12,0)</f>
        <v>0</v>
      </c>
      <c r="P6" s="158"/>
      <c r="Q6" s="16">
        <f t="shared" ref="Q6:Q69" si="3">VLOOKUP($C6,LOHMANN,6,FALSE)</f>
        <v>10</v>
      </c>
      <c r="R6" s="441">
        <f t="shared" ref="R6:R69" si="4">IFERROR((P6/E6)*1000,0)</f>
        <v>0</v>
      </c>
      <c r="S6" s="469">
        <f>R6</f>
        <v>0</v>
      </c>
      <c r="T6" s="45">
        <f t="shared" ref="T6:T69" si="5">VLOOKUP($C6,LOHMANN,2,FALSE)</f>
        <v>40</v>
      </c>
      <c r="U6" s="131"/>
      <c r="V6" s="57">
        <f>T6-U6</f>
        <v>40</v>
      </c>
      <c r="W6" s="58">
        <f t="shared" ref="W6:W69" si="6">VLOOKUP(C6,LOHMANN,3,FALSE)</f>
        <v>77</v>
      </c>
      <c r="X6" s="131"/>
      <c r="Y6" s="57">
        <f>W6-X6</f>
        <v>77</v>
      </c>
      <c r="Z6" s="487"/>
      <c r="AA6" s="394">
        <v>23</v>
      </c>
      <c r="AB6" s="395">
        <v>0</v>
      </c>
      <c r="AC6" s="468"/>
      <c r="AD6" s="444">
        <f>AC6</f>
        <v>0</v>
      </c>
      <c r="AE6" s="44">
        <f t="shared" ref="AE6:AE24" si="7">IFERROR(AD6-AI6,0)</f>
        <v>0</v>
      </c>
      <c r="AF6" s="130"/>
      <c r="AG6" s="131"/>
      <c r="AH6" s="131"/>
      <c r="AI6" s="11">
        <f>SUM(AF6:AH6)</f>
        <v>0</v>
      </c>
      <c r="AJ6" s="11">
        <f>AI6</f>
        <v>0</v>
      </c>
      <c r="AK6" s="16">
        <f t="shared" ref="AK6:AK69" si="8">VLOOKUP($C6,LOHMANN,4,FALSE)</f>
        <v>0.7</v>
      </c>
      <c r="AL6" s="42">
        <f>IFERROR((AI6*100)/AD6,0)</f>
        <v>0</v>
      </c>
      <c r="AM6" s="154">
        <f t="shared" ref="AM6:AM69" si="9">VLOOKUP($C6,LOHMANN,5,FALSE)</f>
        <v>0.7</v>
      </c>
      <c r="AN6" s="132">
        <f>IFERROR((AJ6*100)/AD6,0)</f>
        <v>0</v>
      </c>
      <c r="AO6" s="130"/>
      <c r="AP6" s="16">
        <f t="shared" ref="AP6:AP69" si="10">VLOOKUP($C6,LOHMANN,6,FALSE)</f>
        <v>10</v>
      </c>
      <c r="AQ6" s="441">
        <f>IFERROR((AO6/AD6)*1000,0)</f>
        <v>0</v>
      </c>
      <c r="AR6" s="469">
        <f>AQ6</f>
        <v>0</v>
      </c>
      <c r="AS6" s="45">
        <f t="shared" ref="AS6:AS69" si="11">VLOOKUP($C6,LOHMANN,2,FALSE)</f>
        <v>40</v>
      </c>
      <c r="AT6" s="131"/>
      <c r="AU6" s="57">
        <f>AS6-AT6</f>
        <v>40</v>
      </c>
      <c r="AV6" s="58">
        <f t="shared" ref="AV6:AV69" si="12">VLOOKUP(AB6,LOHMANN,3,FALSE)</f>
        <v>77</v>
      </c>
      <c r="AW6" s="131"/>
      <c r="AX6" s="57">
        <f>AV6-AW6</f>
        <v>77</v>
      </c>
      <c r="AY6" s="84"/>
      <c r="AZ6" s="394">
        <v>23</v>
      </c>
      <c r="BA6" s="395">
        <v>0</v>
      </c>
      <c r="BB6" s="468"/>
      <c r="BC6" s="444">
        <f>BB6</f>
        <v>0</v>
      </c>
      <c r="BD6" s="44">
        <f t="shared" ref="BD6:BD24" si="13">IFERROR(BC6-BH6,0)</f>
        <v>0</v>
      </c>
      <c r="BE6" s="130"/>
      <c r="BF6" s="131"/>
      <c r="BG6" s="131"/>
      <c r="BH6" s="11">
        <f>SUM(BE6:BG6)</f>
        <v>0</v>
      </c>
      <c r="BI6" s="11">
        <f>BH6</f>
        <v>0</v>
      </c>
      <c r="BJ6" s="16">
        <f t="shared" ref="BJ6:BJ69" si="14">VLOOKUP($C6,LOHMANN,4,FALSE)</f>
        <v>0.7</v>
      </c>
      <c r="BK6" s="153">
        <f>IFERROR((BH6*100)/BC6,0)</f>
        <v>0</v>
      </c>
      <c r="BL6" s="154">
        <f t="shared" ref="BL6:BL69" si="15">VLOOKUP($C6,LOHMANN,5,FALSE)</f>
        <v>0.7</v>
      </c>
      <c r="BM6" s="132">
        <f t="shared" ref="BM6:BM26" si="16">IFERROR((BI6*100)/BC6,0)</f>
        <v>0</v>
      </c>
      <c r="BN6" s="130"/>
      <c r="BO6" s="16">
        <f t="shared" ref="BO6:BO69" si="17">VLOOKUP($C6,LOHMANN,6,FALSE)</f>
        <v>10</v>
      </c>
      <c r="BP6" s="481">
        <f>IFERROR((BN6/BC6)*1000,0)</f>
        <v>0</v>
      </c>
      <c r="BQ6" s="746">
        <f>BP6</f>
        <v>0</v>
      </c>
      <c r="BR6" s="45">
        <f t="shared" ref="BR6:BR69" si="18">VLOOKUP($C6,LOHMANN,2,FALSE)</f>
        <v>40</v>
      </c>
      <c r="BS6" s="131"/>
      <c r="BT6" s="57">
        <f t="shared" ref="BT6:BT15" si="19">BR6-BS6</f>
        <v>40</v>
      </c>
      <c r="BU6" s="58">
        <f t="shared" ref="BU6:BU69" si="20">VLOOKUP(BA6,LOHMANN,3,FALSE)</f>
        <v>77</v>
      </c>
      <c r="BV6" s="131"/>
      <c r="BW6" s="57">
        <f>BU6-BV6</f>
        <v>77</v>
      </c>
      <c r="BY6" s="118">
        <v>25</v>
      </c>
      <c r="BZ6" s="9">
        <v>0</v>
      </c>
      <c r="CA6" s="340"/>
      <c r="CB6" s="11">
        <f>CA6</f>
        <v>0</v>
      </c>
      <c r="CC6" s="41">
        <f>IFERROR(CB6-CG6,0)</f>
        <v>0</v>
      </c>
      <c r="CD6" s="398"/>
      <c r="CE6" s="399"/>
      <c r="CF6" s="399"/>
      <c r="CG6" s="11">
        <f>SUM(CD6:CF6)</f>
        <v>0</v>
      </c>
      <c r="CH6" s="11">
        <f>CG6</f>
        <v>0</v>
      </c>
      <c r="CI6" s="16">
        <f t="shared" ref="CI6:CI69" si="21">VLOOKUP($C6,LOHMANN,4,FALSE)</f>
        <v>0.7</v>
      </c>
      <c r="CJ6" s="153">
        <f>IFERROR((CG6*1000)/CB6,0)</f>
        <v>0</v>
      </c>
      <c r="CK6" s="154">
        <f t="shared" ref="CK6:CK69" si="22">VLOOKUP($C6,LOHMANN,5,FALSE)</f>
        <v>0.7</v>
      </c>
      <c r="CL6" s="132">
        <f>IFERROR((CH6*100)/CB6,0)</f>
        <v>0</v>
      </c>
      <c r="CM6" s="130"/>
      <c r="CN6" s="16">
        <f t="shared" ref="CN6:CN69" si="23">VLOOKUP($C6,LOHMANN,6,FALSE)</f>
        <v>10</v>
      </c>
      <c r="CO6" s="43">
        <f>IFERROR(CM6/CB6,0)</f>
        <v>0</v>
      </c>
      <c r="CP6" s="377">
        <f>CO6</f>
        <v>0</v>
      </c>
      <c r="CQ6" s="45">
        <f t="shared" ref="CQ6:CQ69" si="24">VLOOKUP($C6,LOHMANN,2,FALSE)</f>
        <v>40</v>
      </c>
      <c r="CR6" s="131"/>
      <c r="CS6" s="57">
        <f>CQ6-CR6</f>
        <v>40</v>
      </c>
      <c r="CT6" s="58">
        <f t="shared" ref="CT6:CT69" si="25">VLOOKUP(BZ6,LOHMANN,3,FALSE)</f>
        <v>77</v>
      </c>
      <c r="CU6" s="131"/>
      <c r="CV6" s="57">
        <f>CT6-CU6</f>
        <v>77</v>
      </c>
      <c r="CX6" s="118">
        <v>25</v>
      </c>
      <c r="CY6" s="9">
        <v>0</v>
      </c>
      <c r="CZ6" s="340"/>
      <c r="DA6" s="11">
        <f>CZ6</f>
        <v>0</v>
      </c>
      <c r="DB6" s="41">
        <f>IFERROR(DA6-DF6,0)</f>
        <v>0</v>
      </c>
      <c r="DC6" s="398"/>
      <c r="DD6" s="399"/>
      <c r="DE6" s="399"/>
      <c r="DF6" s="11">
        <f>SUM(DC6:DE6)</f>
        <v>0</v>
      </c>
      <c r="DG6" s="11">
        <f>DF6</f>
        <v>0</v>
      </c>
      <c r="DH6" s="16">
        <f t="shared" ref="DH6:DH69" si="26">VLOOKUP($C6,LOHMANN,4,FALSE)</f>
        <v>0.7</v>
      </c>
      <c r="DI6" s="153">
        <f>IFERROR((DF6*1000)/DA6,0)</f>
        <v>0</v>
      </c>
      <c r="DJ6" s="154">
        <f t="shared" ref="DJ6:DJ69" si="27">VLOOKUP($C6,LOHMANN,5,FALSE)</f>
        <v>0.7</v>
      </c>
      <c r="DK6" s="132">
        <f>IFERROR((DG6*100)/DA6,0)</f>
        <v>0</v>
      </c>
      <c r="DL6" s="130"/>
      <c r="DM6" s="16">
        <f t="shared" ref="DM6:DM69" si="28">VLOOKUP($C6,LOHMANN,6,FALSE)</f>
        <v>10</v>
      </c>
      <c r="DN6" s="43">
        <f>IFERROR(DL6/DA6,0)</f>
        <v>0</v>
      </c>
      <c r="DO6" s="377">
        <f>DN6</f>
        <v>0</v>
      </c>
      <c r="DP6" s="45">
        <f t="shared" ref="DP6:DP69" si="29">VLOOKUP($C6,LOHMANN,2,FALSE)</f>
        <v>40</v>
      </c>
      <c r="DQ6" s="131"/>
      <c r="DR6" s="57">
        <f>DP6-DQ6</f>
        <v>40</v>
      </c>
      <c r="DS6" s="58">
        <f t="shared" ref="DS6:DS69" si="30">VLOOKUP(CY6,LOHMANN,3,FALSE)</f>
        <v>77</v>
      </c>
      <c r="DT6" s="131"/>
      <c r="DU6" s="57">
        <f>DS6-DT6</f>
        <v>77</v>
      </c>
    </row>
    <row r="7" spans="1:125" ht="17.25" thickBot="1" x14ac:dyDescent="0.3">
      <c r="B7" s="120">
        <f>B6+1</f>
        <v>24</v>
      </c>
      <c r="C7" s="570">
        <f>C6</f>
        <v>0</v>
      </c>
      <c r="D7" s="133"/>
      <c r="E7" s="445">
        <f t="shared" ref="E7:E70" si="31">IFERROR(F6+D7,0)</f>
        <v>0</v>
      </c>
      <c r="F7" s="49">
        <f t="shared" si="0"/>
        <v>0</v>
      </c>
      <c r="G7" s="134"/>
      <c r="H7" s="135"/>
      <c r="I7" s="135"/>
      <c r="J7" s="14">
        <f>SUM(G7:I7)</f>
        <v>0</v>
      </c>
      <c r="K7" s="14">
        <f t="shared" ref="K7:K70" si="32">K6+J7</f>
        <v>0</v>
      </c>
      <c r="L7" s="14">
        <f t="shared" si="1"/>
        <v>0.7</v>
      </c>
      <c r="M7" s="47">
        <f>IFERROR((J7*100)/E7,0)</f>
        <v>0</v>
      </c>
      <c r="N7" s="35">
        <f t="shared" si="2"/>
        <v>0.7</v>
      </c>
      <c r="O7" s="132">
        <f t="shared" ref="O7:O70" si="33">IFERROR((K7*100)/$D$12,0)</f>
        <v>0</v>
      </c>
      <c r="P7" s="593"/>
      <c r="Q7" s="14">
        <f t="shared" si="3"/>
        <v>10</v>
      </c>
      <c r="R7" s="442">
        <f t="shared" si="4"/>
        <v>0</v>
      </c>
      <c r="S7" s="470">
        <f t="shared" ref="S7:S70" si="34">S6+R7</f>
        <v>0</v>
      </c>
      <c r="T7" s="51">
        <f t="shared" si="5"/>
        <v>40</v>
      </c>
      <c r="U7" s="103">
        <f>U6</f>
        <v>0</v>
      </c>
      <c r="V7" s="59">
        <f t="shared" ref="V7:V70" si="35">T7-U7</f>
        <v>40</v>
      </c>
      <c r="W7" s="51">
        <f t="shared" si="6"/>
        <v>77</v>
      </c>
      <c r="X7" s="103">
        <f>X6</f>
        <v>0</v>
      </c>
      <c r="Y7" s="46">
        <f t="shared" ref="Y7:Y70" si="36">W7-X7</f>
        <v>77</v>
      </c>
      <c r="Z7" s="487"/>
      <c r="AA7" s="403">
        <f>AA6+1</f>
        <v>24</v>
      </c>
      <c r="AB7" s="404">
        <f>AB6</f>
        <v>0</v>
      </c>
      <c r="AC7" s="229"/>
      <c r="AD7" s="445">
        <f>IFERROR(AE6+AC7,0)</f>
        <v>0</v>
      </c>
      <c r="AE7" s="49">
        <f t="shared" si="7"/>
        <v>0</v>
      </c>
      <c r="AF7" s="134"/>
      <c r="AG7" s="135"/>
      <c r="AH7" s="135"/>
      <c r="AI7" s="14">
        <f>SUM(AF7:AH7)</f>
        <v>0</v>
      </c>
      <c r="AJ7" s="14">
        <f t="shared" ref="AJ7:AJ20" si="37">AJ6+AI7</f>
        <v>0</v>
      </c>
      <c r="AK7" s="14">
        <f t="shared" si="8"/>
        <v>0.7</v>
      </c>
      <c r="AL7" s="47">
        <f t="shared" ref="AL7:AL70" si="38">IFERROR((AI7*100)/AD7,0)</f>
        <v>0</v>
      </c>
      <c r="AM7" s="35">
        <f t="shared" si="9"/>
        <v>0.7</v>
      </c>
      <c r="AN7" s="157">
        <f>IFERROR((AJ7*100)/AD7,0)</f>
        <v>0</v>
      </c>
      <c r="AO7" s="476"/>
      <c r="AP7" s="14">
        <f t="shared" si="10"/>
        <v>10</v>
      </c>
      <c r="AQ7" s="442">
        <f t="shared" ref="AQ7:AQ70" si="39">IFERROR((AO7/AD7)*1000,0)</f>
        <v>0</v>
      </c>
      <c r="AR7" s="470">
        <f>AR6+AQ7</f>
        <v>0</v>
      </c>
      <c r="AS7" s="51">
        <f t="shared" si="11"/>
        <v>40</v>
      </c>
      <c r="AT7" s="103">
        <f>AT6</f>
        <v>0</v>
      </c>
      <c r="AU7" s="59">
        <f t="shared" ref="AU7:AU8" si="40">AS7-AT7</f>
        <v>40</v>
      </c>
      <c r="AV7" s="51">
        <f t="shared" si="12"/>
        <v>77</v>
      </c>
      <c r="AW7" s="103">
        <f>AW6</f>
        <v>0</v>
      </c>
      <c r="AX7" s="46">
        <f t="shared" ref="AX7:AX9" si="41">AV7-AW7</f>
        <v>77</v>
      </c>
      <c r="AZ7" s="120">
        <f>AZ6+1</f>
        <v>24</v>
      </c>
      <c r="BA7" s="7">
        <f>BA6</f>
        <v>0</v>
      </c>
      <c r="BB7" s="133"/>
      <c r="BC7" s="445">
        <f t="shared" ref="BC7:BC70" si="42">IFERROR(BD6+BB7,0)</f>
        <v>0</v>
      </c>
      <c r="BD7" s="49">
        <f t="shared" si="13"/>
        <v>0</v>
      </c>
      <c r="BE7" s="134"/>
      <c r="BF7" s="135"/>
      <c r="BG7" s="135"/>
      <c r="BH7" s="14">
        <f>SUM(BE7:BG7)</f>
        <v>0</v>
      </c>
      <c r="BI7" s="14">
        <f t="shared" ref="BI7:BI20" si="43">BI6+BH7</f>
        <v>0</v>
      </c>
      <c r="BJ7" s="14">
        <f t="shared" si="14"/>
        <v>0.7</v>
      </c>
      <c r="BK7" s="47">
        <f>IFERROR((BH7*100)/BC7,0)</f>
        <v>0</v>
      </c>
      <c r="BL7" s="35">
        <f t="shared" si="15"/>
        <v>0.7</v>
      </c>
      <c r="BM7" s="157">
        <f t="shared" si="16"/>
        <v>0</v>
      </c>
      <c r="BN7" s="438"/>
      <c r="BO7" s="14">
        <f t="shared" si="17"/>
        <v>10</v>
      </c>
      <c r="BP7" s="442">
        <f>IFERROR((BN7/BC7)*1000,0)</f>
        <v>0</v>
      </c>
      <c r="BQ7" s="747">
        <f>BQ6+BP7</f>
        <v>0</v>
      </c>
      <c r="BR7" s="51">
        <f t="shared" si="18"/>
        <v>40</v>
      </c>
      <c r="BS7" s="103">
        <f>BS6</f>
        <v>0</v>
      </c>
      <c r="BT7" s="59">
        <f t="shared" si="19"/>
        <v>40</v>
      </c>
      <c r="BU7" s="51">
        <f t="shared" si="20"/>
        <v>77</v>
      </c>
      <c r="BV7" s="103">
        <f>BV6</f>
        <v>0</v>
      </c>
      <c r="BW7" s="46">
        <f t="shared" ref="BW7:BW9" si="44">BU7-BV7</f>
        <v>77</v>
      </c>
      <c r="BY7" s="120">
        <f>BY6+1</f>
        <v>26</v>
      </c>
      <c r="BZ7" s="7">
        <f>BZ6</f>
        <v>0</v>
      </c>
      <c r="CA7" s="133"/>
      <c r="CB7" s="14">
        <f>IFERROR(CC6+CA7,0)</f>
        <v>0</v>
      </c>
      <c r="CC7" s="46">
        <f t="shared" ref="CC7:CC10" si="45">IFERROR(CB7-CG7,0)</f>
        <v>0</v>
      </c>
      <c r="CD7" s="405"/>
      <c r="CE7" s="406"/>
      <c r="CF7" s="406"/>
      <c r="CG7" s="14">
        <f>SUM(CD7:CF7)</f>
        <v>0</v>
      </c>
      <c r="CH7" s="14">
        <f>CH6+CG7</f>
        <v>0</v>
      </c>
      <c r="CI7" s="14">
        <f t="shared" si="21"/>
        <v>0.7</v>
      </c>
      <c r="CJ7" s="47">
        <f>IFERROR((CG7*1000)/CB7,0)</f>
        <v>0</v>
      </c>
      <c r="CK7" s="35">
        <f t="shared" si="22"/>
        <v>0.7</v>
      </c>
      <c r="CL7" s="157">
        <f>IFERROR((CH7*100)/CB7,0)</f>
        <v>0</v>
      </c>
      <c r="CM7" s="134"/>
      <c r="CN7" s="14">
        <f t="shared" si="23"/>
        <v>10</v>
      </c>
      <c r="CO7" s="48">
        <f>IFERROR(CM7/CB7,0)</f>
        <v>0</v>
      </c>
      <c r="CP7" s="68">
        <f>CP6+CO7</f>
        <v>0</v>
      </c>
      <c r="CQ7" s="51">
        <f t="shared" si="24"/>
        <v>40</v>
      </c>
      <c r="CR7" s="103">
        <f>CR6</f>
        <v>0</v>
      </c>
      <c r="CS7" s="59">
        <f t="shared" ref="CS7:CS15" si="46">CQ7-CR7</f>
        <v>40</v>
      </c>
      <c r="CT7" s="51">
        <f t="shared" si="25"/>
        <v>77</v>
      </c>
      <c r="CU7" s="103">
        <f>CU6</f>
        <v>0</v>
      </c>
      <c r="CV7" s="46">
        <f t="shared" ref="CV7:CV70" si="47">CT7-CU7</f>
        <v>77</v>
      </c>
      <c r="CX7" s="120">
        <f>CX6+1</f>
        <v>26</v>
      </c>
      <c r="CY7" s="7">
        <f>CY6</f>
        <v>0</v>
      </c>
      <c r="CZ7" s="133"/>
      <c r="DA7" s="14">
        <f>IFERROR(DB6+CZ7,0)</f>
        <v>0</v>
      </c>
      <c r="DB7" s="46">
        <f t="shared" ref="DB7:DB10" si="48">IFERROR(DA7-DF7,0)</f>
        <v>0</v>
      </c>
      <c r="DC7" s="405"/>
      <c r="DD7" s="406"/>
      <c r="DE7" s="406"/>
      <c r="DF7" s="14">
        <f>SUM(DC7:DE7)</f>
        <v>0</v>
      </c>
      <c r="DG7" s="14">
        <f>DG6+DF7</f>
        <v>0</v>
      </c>
      <c r="DH7" s="14">
        <f t="shared" si="26"/>
        <v>0.7</v>
      </c>
      <c r="DI7" s="47">
        <f>IFERROR((DF7*1000)/DA7,0)</f>
        <v>0</v>
      </c>
      <c r="DJ7" s="35">
        <f t="shared" si="27"/>
        <v>0.7</v>
      </c>
      <c r="DK7" s="157">
        <f>IFERROR((DG7*100)/DA7,0)</f>
        <v>0</v>
      </c>
      <c r="DL7" s="134"/>
      <c r="DM7" s="14">
        <f t="shared" si="28"/>
        <v>10</v>
      </c>
      <c r="DN7" s="48">
        <f>IFERROR(DL7/DA7,0)</f>
        <v>0</v>
      </c>
      <c r="DO7" s="68">
        <f>DO6+DN7</f>
        <v>0</v>
      </c>
      <c r="DP7" s="51">
        <f t="shared" si="29"/>
        <v>40</v>
      </c>
      <c r="DQ7" s="103">
        <f>DQ6</f>
        <v>0</v>
      </c>
      <c r="DR7" s="59">
        <f t="shared" ref="DR7" si="49">DP7-DQ7</f>
        <v>40</v>
      </c>
      <c r="DS7" s="51">
        <f t="shared" si="30"/>
        <v>77</v>
      </c>
      <c r="DT7" s="103">
        <f>DT6</f>
        <v>0</v>
      </c>
      <c r="DU7" s="46">
        <f t="shared" ref="DU7:DU8" si="50">DS7-DT7</f>
        <v>77</v>
      </c>
    </row>
    <row r="8" spans="1:125" ht="17.25" thickBot="1" x14ac:dyDescent="0.3">
      <c r="A8" s="84"/>
      <c r="B8" s="120">
        <f t="shared" ref="B8:B11" si="51">B7+1</f>
        <v>25</v>
      </c>
      <c r="C8" s="570">
        <f t="shared" ref="C8:C12" si="52">C7</f>
        <v>0</v>
      </c>
      <c r="D8" s="341"/>
      <c r="E8" s="445">
        <f t="shared" si="31"/>
        <v>0</v>
      </c>
      <c r="F8" s="49">
        <f t="shared" si="0"/>
        <v>0</v>
      </c>
      <c r="G8" s="134"/>
      <c r="H8" s="135"/>
      <c r="I8" s="135"/>
      <c r="J8" s="14">
        <f>SUM(G8:I8)</f>
        <v>0</v>
      </c>
      <c r="K8" s="14">
        <f t="shared" si="32"/>
        <v>0</v>
      </c>
      <c r="L8" s="14">
        <f t="shared" si="1"/>
        <v>0.7</v>
      </c>
      <c r="M8" s="47">
        <f t="shared" ref="M8:M71" si="53">IFERROR((J8*100)/E8,0)</f>
        <v>0</v>
      </c>
      <c r="N8" s="35">
        <f t="shared" si="2"/>
        <v>0.7</v>
      </c>
      <c r="O8" s="132">
        <f t="shared" si="33"/>
        <v>0</v>
      </c>
      <c r="P8" s="593"/>
      <c r="Q8" s="14">
        <f t="shared" si="3"/>
        <v>10</v>
      </c>
      <c r="R8" s="442">
        <f t="shared" si="4"/>
        <v>0</v>
      </c>
      <c r="S8" s="470">
        <f t="shared" si="34"/>
        <v>0</v>
      </c>
      <c r="T8" s="51">
        <f t="shared" si="5"/>
        <v>40</v>
      </c>
      <c r="U8" s="103">
        <f>U7</f>
        <v>0</v>
      </c>
      <c r="V8" s="59">
        <f t="shared" si="35"/>
        <v>40</v>
      </c>
      <c r="W8" s="12">
        <f t="shared" si="6"/>
        <v>77</v>
      </c>
      <c r="X8" s="103">
        <f t="shared" ref="X8:X12" si="54">X7</f>
        <v>0</v>
      </c>
      <c r="Y8" s="46">
        <f t="shared" si="36"/>
        <v>77</v>
      </c>
      <c r="Z8" s="487"/>
      <c r="AA8" s="403">
        <f t="shared" ref="AA8:AA11" si="55">AA7+1</f>
        <v>25</v>
      </c>
      <c r="AB8" s="404">
        <f t="shared" ref="AB8:AB12" si="56">AB7</f>
        <v>0</v>
      </c>
      <c r="AC8" s="493"/>
      <c r="AD8" s="445">
        <f>IFERROR(AE7+AC8,0)</f>
        <v>0</v>
      </c>
      <c r="AE8" s="49">
        <f t="shared" si="7"/>
        <v>0</v>
      </c>
      <c r="AF8" s="134"/>
      <c r="AG8" s="135"/>
      <c r="AH8" s="135"/>
      <c r="AI8" s="14">
        <f>SUM(AF8:AH8)</f>
        <v>0</v>
      </c>
      <c r="AJ8" s="14">
        <f t="shared" si="37"/>
        <v>0</v>
      </c>
      <c r="AK8" s="14">
        <f t="shared" si="8"/>
        <v>0.7</v>
      </c>
      <c r="AL8" s="231">
        <f t="shared" si="38"/>
        <v>0</v>
      </c>
      <c r="AM8" s="35">
        <f t="shared" si="9"/>
        <v>0.7</v>
      </c>
      <c r="AN8" s="157">
        <f>IFERROR((AJ8*100)/AD8,0)</f>
        <v>0</v>
      </c>
      <c r="AO8" s="476"/>
      <c r="AP8" s="14">
        <f t="shared" si="10"/>
        <v>10</v>
      </c>
      <c r="AQ8" s="442">
        <f t="shared" si="39"/>
        <v>0</v>
      </c>
      <c r="AR8" s="470">
        <f>AR7+AQ8</f>
        <v>0</v>
      </c>
      <c r="AS8" s="51">
        <f t="shared" si="11"/>
        <v>40</v>
      </c>
      <c r="AT8" s="103">
        <f>AT7</f>
        <v>0</v>
      </c>
      <c r="AU8" s="59">
        <f t="shared" si="40"/>
        <v>40</v>
      </c>
      <c r="AV8" s="12">
        <f t="shared" si="12"/>
        <v>77</v>
      </c>
      <c r="AW8" s="103">
        <f t="shared" ref="AW8:AW12" si="57">AW7</f>
        <v>0</v>
      </c>
      <c r="AX8" s="46">
        <f t="shared" si="41"/>
        <v>77</v>
      </c>
      <c r="AZ8" s="120">
        <f t="shared" ref="AZ8:AZ11" si="58">AZ7+1</f>
        <v>25</v>
      </c>
      <c r="BA8" s="7">
        <f t="shared" ref="BA8:BA12" si="59">BA7</f>
        <v>0</v>
      </c>
      <c r="BB8" s="341"/>
      <c r="BC8" s="445">
        <f t="shared" si="42"/>
        <v>0</v>
      </c>
      <c r="BD8" s="49">
        <f t="shared" si="13"/>
        <v>0</v>
      </c>
      <c r="BE8" s="134"/>
      <c r="BF8" s="135"/>
      <c r="BG8" s="135"/>
      <c r="BH8" s="14">
        <f>SUM(BE8:BG8)</f>
        <v>0</v>
      </c>
      <c r="BI8" s="14">
        <f t="shared" si="43"/>
        <v>0</v>
      </c>
      <c r="BJ8" s="14">
        <f t="shared" si="14"/>
        <v>0.7</v>
      </c>
      <c r="BK8" s="47">
        <f t="shared" ref="BK8:BK71" si="60">IFERROR((BH8*100)/BC8,0)</f>
        <v>0</v>
      </c>
      <c r="BL8" s="35">
        <f t="shared" si="15"/>
        <v>0.7</v>
      </c>
      <c r="BM8" s="157">
        <f t="shared" si="16"/>
        <v>0</v>
      </c>
      <c r="BN8" s="438"/>
      <c r="BO8" s="14">
        <f t="shared" si="17"/>
        <v>10</v>
      </c>
      <c r="BP8" s="442">
        <f t="shared" ref="BP8:BP71" si="61">IFERROR((BN8/BC8)*1000,0)</f>
        <v>0</v>
      </c>
      <c r="BQ8" s="747">
        <f>BQ7+BP8</f>
        <v>0</v>
      </c>
      <c r="BR8" s="51">
        <f t="shared" si="18"/>
        <v>40</v>
      </c>
      <c r="BS8" s="103">
        <f>BS7</f>
        <v>0</v>
      </c>
      <c r="BT8" s="59">
        <f t="shared" si="19"/>
        <v>40</v>
      </c>
      <c r="BU8" s="12">
        <f t="shared" si="20"/>
        <v>77</v>
      </c>
      <c r="BV8" s="103">
        <f t="shared" ref="BV8:BV12" si="62">BV7</f>
        <v>0</v>
      </c>
      <c r="BW8" s="46">
        <f t="shared" si="44"/>
        <v>77</v>
      </c>
      <c r="BY8" s="120">
        <f t="shared" ref="BY8:BY11" si="63">BY7+1</f>
        <v>27</v>
      </c>
      <c r="BZ8" s="7">
        <f t="shared" ref="BZ8:BZ12" si="64">BZ7</f>
        <v>0</v>
      </c>
      <c r="CA8" s="133"/>
      <c r="CB8" s="14">
        <f>IFERROR(CC7+CA8,0)</f>
        <v>0</v>
      </c>
      <c r="CC8" s="46">
        <f t="shared" si="45"/>
        <v>0</v>
      </c>
      <c r="CD8" s="405"/>
      <c r="CE8" s="406"/>
      <c r="CF8" s="406"/>
      <c r="CG8" s="14">
        <f>SUM(CD8:CF8)</f>
        <v>0</v>
      </c>
      <c r="CH8" s="14">
        <f>CH7+CG8</f>
        <v>0</v>
      </c>
      <c r="CI8" s="14">
        <f t="shared" si="21"/>
        <v>0.7</v>
      </c>
      <c r="CJ8" s="47">
        <f t="shared" ref="CJ8:CJ71" si="65">IFERROR((CG8*1000)/CB8,0)</f>
        <v>0</v>
      </c>
      <c r="CK8" s="35">
        <f t="shared" si="22"/>
        <v>0.7</v>
      </c>
      <c r="CL8" s="157">
        <f>IFERROR((CH8*100)/CB8,0)</f>
        <v>0</v>
      </c>
      <c r="CM8" s="134"/>
      <c r="CN8" s="14">
        <f t="shared" si="23"/>
        <v>10</v>
      </c>
      <c r="CO8" s="48">
        <f>IFERROR(CM8/CB8,0)</f>
        <v>0</v>
      </c>
      <c r="CP8" s="68">
        <f t="shared" ref="CP8:CP71" si="66">CP7+CO8</f>
        <v>0</v>
      </c>
      <c r="CQ8" s="51">
        <f t="shared" si="24"/>
        <v>40</v>
      </c>
      <c r="CR8" s="103">
        <f t="shared" ref="CR8:CR12" si="67">CR7</f>
        <v>0</v>
      </c>
      <c r="CS8" s="59">
        <f>CQ8-CR8</f>
        <v>40</v>
      </c>
      <c r="CT8" s="50">
        <f t="shared" si="25"/>
        <v>77</v>
      </c>
      <c r="CU8" s="103">
        <f t="shared" ref="CU8:CU12" si="68">CU7</f>
        <v>0</v>
      </c>
      <c r="CV8" s="46">
        <f t="shared" si="47"/>
        <v>77</v>
      </c>
      <c r="CX8" s="120">
        <f t="shared" ref="CX8:CX11" si="69">CX7+1</f>
        <v>27</v>
      </c>
      <c r="CY8" s="7">
        <f t="shared" ref="CY8:CY12" si="70">CY7</f>
        <v>0</v>
      </c>
      <c r="CZ8" s="133"/>
      <c r="DA8" s="14">
        <f>IFERROR(DB7+CZ8,0)</f>
        <v>0</v>
      </c>
      <c r="DB8" s="46">
        <f t="shared" si="48"/>
        <v>0</v>
      </c>
      <c r="DC8" s="405"/>
      <c r="DD8" s="406"/>
      <c r="DE8" s="406"/>
      <c r="DF8" s="14">
        <f>SUM(DC8:DE8)</f>
        <v>0</v>
      </c>
      <c r="DG8" s="14">
        <f>DG7+DF8</f>
        <v>0</v>
      </c>
      <c r="DH8" s="14">
        <f t="shared" si="26"/>
        <v>0.7</v>
      </c>
      <c r="DI8" s="47">
        <f t="shared" ref="DI8:DI9" si="71">IFERROR((DF8*1000)/DA8,0)</f>
        <v>0</v>
      </c>
      <c r="DJ8" s="35">
        <f t="shared" si="27"/>
        <v>0.7</v>
      </c>
      <c r="DK8" s="157">
        <f>IFERROR((DG8*100)/DA8,0)</f>
        <v>0</v>
      </c>
      <c r="DL8" s="134"/>
      <c r="DM8" s="14">
        <f t="shared" si="28"/>
        <v>10</v>
      </c>
      <c r="DN8" s="48">
        <f>IFERROR(DL8/DA8,0)</f>
        <v>0</v>
      </c>
      <c r="DO8" s="68">
        <f t="shared" ref="DO8:DO9" si="72">DO7+DN8</f>
        <v>0</v>
      </c>
      <c r="DP8" s="51">
        <f t="shared" si="29"/>
        <v>40</v>
      </c>
      <c r="DQ8" s="103">
        <f t="shared" ref="DQ8:DQ12" si="73">DQ7</f>
        <v>0</v>
      </c>
      <c r="DR8" s="59">
        <f>DP8-DQ8</f>
        <v>40</v>
      </c>
      <c r="DS8" s="50">
        <f t="shared" si="30"/>
        <v>77</v>
      </c>
      <c r="DT8" s="103">
        <f t="shared" ref="DT8:DT12" si="74">DT7</f>
        <v>0</v>
      </c>
      <c r="DU8" s="46">
        <f t="shared" si="50"/>
        <v>77</v>
      </c>
    </row>
    <row r="9" spans="1:125" ht="17.25" thickBot="1" x14ac:dyDescent="0.3">
      <c r="A9" s="499"/>
      <c r="B9" s="403">
        <f t="shared" si="51"/>
        <v>26</v>
      </c>
      <c r="C9" s="571">
        <f t="shared" si="52"/>
        <v>0</v>
      </c>
      <c r="D9" s="494"/>
      <c r="E9" s="445">
        <f t="shared" si="31"/>
        <v>0</v>
      </c>
      <c r="F9" s="49">
        <f t="shared" si="0"/>
        <v>0</v>
      </c>
      <c r="G9" s="134"/>
      <c r="H9" s="135"/>
      <c r="I9" s="135"/>
      <c r="J9" s="14">
        <f t="shared" ref="J9:J11" si="75">SUM(G9:I9)</f>
        <v>0</v>
      </c>
      <c r="K9" s="14">
        <f t="shared" si="32"/>
        <v>0</v>
      </c>
      <c r="L9" s="14">
        <f t="shared" si="1"/>
        <v>0.7</v>
      </c>
      <c r="M9" s="47">
        <f t="shared" si="53"/>
        <v>0</v>
      </c>
      <c r="N9" s="35">
        <f t="shared" si="2"/>
        <v>0.7</v>
      </c>
      <c r="O9" s="132">
        <f t="shared" si="33"/>
        <v>0</v>
      </c>
      <c r="P9" s="594"/>
      <c r="Q9" s="14">
        <f t="shared" si="3"/>
        <v>10</v>
      </c>
      <c r="R9" s="442">
        <f t="shared" si="4"/>
        <v>0</v>
      </c>
      <c r="S9" s="470">
        <f t="shared" si="34"/>
        <v>0</v>
      </c>
      <c r="T9" s="51">
        <f t="shared" si="5"/>
        <v>40</v>
      </c>
      <c r="U9" s="103">
        <f t="shared" ref="U9:U12" si="76">U8</f>
        <v>0</v>
      </c>
      <c r="V9" s="59">
        <f>T9-U9</f>
        <v>40</v>
      </c>
      <c r="W9" s="50">
        <f t="shared" si="6"/>
        <v>77</v>
      </c>
      <c r="X9" s="103">
        <f t="shared" si="54"/>
        <v>0</v>
      </c>
      <c r="Y9" s="62">
        <f t="shared" si="36"/>
        <v>77</v>
      </c>
      <c r="Z9" s="487"/>
      <c r="AA9" s="403">
        <f t="shared" si="55"/>
        <v>26</v>
      </c>
      <c r="AB9" s="404">
        <f t="shared" si="56"/>
        <v>0</v>
      </c>
      <c r="AC9" s="494"/>
      <c r="AD9" s="445">
        <f>IFERROR(AE8+AC9,0)</f>
        <v>0</v>
      </c>
      <c r="AE9" s="49">
        <f t="shared" si="7"/>
        <v>0</v>
      </c>
      <c r="AF9" s="134"/>
      <c r="AG9" s="135"/>
      <c r="AH9" s="135"/>
      <c r="AI9" s="14">
        <f t="shared" ref="AI9:AI11" si="77">SUM(AF9:AH9)</f>
        <v>0</v>
      </c>
      <c r="AJ9" s="14">
        <f t="shared" si="37"/>
        <v>0</v>
      </c>
      <c r="AK9" s="14">
        <f t="shared" si="8"/>
        <v>0.7</v>
      </c>
      <c r="AL9" s="47">
        <f t="shared" si="38"/>
        <v>0</v>
      </c>
      <c r="AM9" s="35">
        <f t="shared" si="9"/>
        <v>0.7</v>
      </c>
      <c r="AN9" s="157">
        <f>IFERROR((AJ9*100)/AD9,0)</f>
        <v>0</v>
      </c>
      <c r="AO9" s="478"/>
      <c r="AP9" s="14">
        <f t="shared" si="10"/>
        <v>10</v>
      </c>
      <c r="AQ9" s="480">
        <f t="shared" si="39"/>
        <v>0</v>
      </c>
      <c r="AR9" s="470">
        <f t="shared" ref="AR9:AR23" si="78">AR8+AQ9</f>
        <v>0</v>
      </c>
      <c r="AS9" s="51">
        <f t="shared" si="11"/>
        <v>40</v>
      </c>
      <c r="AT9" s="103">
        <f t="shared" ref="AT9:AT12" si="79">AT8</f>
        <v>0</v>
      </c>
      <c r="AU9" s="59">
        <f>AS9-AT9</f>
        <v>40</v>
      </c>
      <c r="AV9" s="50">
        <f t="shared" si="12"/>
        <v>77</v>
      </c>
      <c r="AW9" s="103">
        <f t="shared" si="57"/>
        <v>0</v>
      </c>
      <c r="AX9" s="62">
        <f t="shared" si="41"/>
        <v>77</v>
      </c>
      <c r="AZ9" s="120">
        <f t="shared" si="58"/>
        <v>26</v>
      </c>
      <c r="BA9" s="7">
        <f t="shared" si="59"/>
        <v>0</v>
      </c>
      <c r="BB9" s="133"/>
      <c r="BC9" s="445">
        <f t="shared" si="42"/>
        <v>0</v>
      </c>
      <c r="BD9" s="49">
        <f t="shared" si="13"/>
        <v>0</v>
      </c>
      <c r="BE9" s="134"/>
      <c r="BF9" s="135"/>
      <c r="BG9" s="135"/>
      <c r="BH9" s="14">
        <f t="shared" ref="BH9:BH11" si="80">SUM(BE9:BG9)</f>
        <v>0</v>
      </c>
      <c r="BI9" s="14">
        <f t="shared" si="43"/>
        <v>0</v>
      </c>
      <c r="BJ9" s="14">
        <f t="shared" si="14"/>
        <v>0.7</v>
      </c>
      <c r="BK9" s="47">
        <f t="shared" si="60"/>
        <v>0</v>
      </c>
      <c r="BL9" s="35">
        <f t="shared" si="15"/>
        <v>0.7</v>
      </c>
      <c r="BM9" s="157">
        <f t="shared" si="16"/>
        <v>0</v>
      </c>
      <c r="BN9" s="438"/>
      <c r="BO9" s="14">
        <f t="shared" si="17"/>
        <v>10</v>
      </c>
      <c r="BP9" s="442">
        <f t="shared" si="61"/>
        <v>0</v>
      </c>
      <c r="BQ9" s="747">
        <f t="shared" ref="BQ9:BQ72" si="81">BQ8+BP9</f>
        <v>0</v>
      </c>
      <c r="BR9" s="51">
        <f t="shared" si="18"/>
        <v>40</v>
      </c>
      <c r="BS9" s="103">
        <f t="shared" ref="BS9:BS12" si="82">BS8</f>
        <v>0</v>
      </c>
      <c r="BT9" s="59">
        <f t="shared" si="19"/>
        <v>40</v>
      </c>
      <c r="BU9" s="50">
        <f t="shared" si="20"/>
        <v>77</v>
      </c>
      <c r="BV9" s="103">
        <f t="shared" si="62"/>
        <v>0</v>
      </c>
      <c r="BW9" s="62">
        <f t="shared" si="44"/>
        <v>77</v>
      </c>
      <c r="BY9" s="120">
        <f t="shared" si="63"/>
        <v>28</v>
      </c>
      <c r="BZ9" s="7">
        <f t="shared" si="64"/>
        <v>0</v>
      </c>
      <c r="CA9" s="133"/>
      <c r="CB9" s="14">
        <f>IFERROR(CC8+CA9,0)</f>
        <v>0</v>
      </c>
      <c r="CC9" s="46">
        <f t="shared" si="45"/>
        <v>0</v>
      </c>
      <c r="CD9" s="405"/>
      <c r="CE9" s="406"/>
      <c r="CF9" s="406"/>
      <c r="CG9" s="14">
        <f t="shared" ref="CG9:CG11" si="83">SUM(CD9:CF9)</f>
        <v>0</v>
      </c>
      <c r="CH9" s="14">
        <f>CH8+CG9</f>
        <v>0</v>
      </c>
      <c r="CI9" s="14">
        <f t="shared" si="21"/>
        <v>0.7</v>
      </c>
      <c r="CJ9" s="47">
        <f t="shared" si="65"/>
        <v>0</v>
      </c>
      <c r="CK9" s="35">
        <f t="shared" si="22"/>
        <v>0.7</v>
      </c>
      <c r="CL9" s="157">
        <f t="shared" ref="CL9:CL72" si="84">IFERROR((CH9*100)/CB9,0)</f>
        <v>0</v>
      </c>
      <c r="CM9" s="134"/>
      <c r="CN9" s="14">
        <f t="shared" si="23"/>
        <v>10</v>
      </c>
      <c r="CO9" s="48">
        <f t="shared" ref="CO9:CO72" si="85">IFERROR(CM9/CB9,0)</f>
        <v>0</v>
      </c>
      <c r="CP9" s="68">
        <f t="shared" si="66"/>
        <v>0</v>
      </c>
      <c r="CQ9" s="51">
        <f t="shared" si="24"/>
        <v>40</v>
      </c>
      <c r="CR9" s="103">
        <f t="shared" si="67"/>
        <v>0</v>
      </c>
      <c r="CS9" s="59">
        <f t="shared" si="46"/>
        <v>40</v>
      </c>
      <c r="CT9" s="50">
        <f t="shared" si="25"/>
        <v>77</v>
      </c>
      <c r="CU9" s="103">
        <f t="shared" si="68"/>
        <v>0</v>
      </c>
      <c r="CV9" s="62">
        <f>CT9-CU9</f>
        <v>77</v>
      </c>
      <c r="CX9" s="120">
        <f t="shared" si="69"/>
        <v>28</v>
      </c>
      <c r="CY9" s="7">
        <f t="shared" si="70"/>
        <v>0</v>
      </c>
      <c r="CZ9" s="133"/>
      <c r="DA9" s="14">
        <f>IFERROR(DB8+CZ9,0)</f>
        <v>0</v>
      </c>
      <c r="DB9" s="46">
        <f t="shared" si="48"/>
        <v>0</v>
      </c>
      <c r="DC9" s="405"/>
      <c r="DD9" s="406"/>
      <c r="DE9" s="406"/>
      <c r="DF9" s="14">
        <f t="shared" ref="DF9:DF11" si="86">SUM(DC9:DE9)</f>
        <v>0</v>
      </c>
      <c r="DG9" s="14">
        <f>DG8+DF9</f>
        <v>0</v>
      </c>
      <c r="DH9" s="14">
        <f t="shared" si="26"/>
        <v>0.7</v>
      </c>
      <c r="DI9" s="47">
        <f t="shared" si="71"/>
        <v>0</v>
      </c>
      <c r="DJ9" s="35">
        <f t="shared" si="27"/>
        <v>0.7</v>
      </c>
      <c r="DK9" s="157">
        <f t="shared" ref="DK9" si="87">IFERROR((DG9*100)/DA9,0)</f>
        <v>0</v>
      </c>
      <c r="DL9" s="134"/>
      <c r="DM9" s="14">
        <f t="shared" si="28"/>
        <v>10</v>
      </c>
      <c r="DN9" s="48">
        <f t="shared" ref="DN9:DN15" si="88">IFERROR(DL9/DA9,0)</f>
        <v>0</v>
      </c>
      <c r="DO9" s="68">
        <f t="shared" si="72"/>
        <v>0</v>
      </c>
      <c r="DP9" s="51">
        <f t="shared" si="29"/>
        <v>40</v>
      </c>
      <c r="DQ9" s="103">
        <f t="shared" si="73"/>
        <v>0</v>
      </c>
      <c r="DR9" s="59">
        <f t="shared" ref="DR9:DR15" si="89">DP9-DQ9</f>
        <v>40</v>
      </c>
      <c r="DS9" s="50">
        <f t="shared" si="30"/>
        <v>77</v>
      </c>
      <c r="DT9" s="103">
        <f t="shared" si="74"/>
        <v>0</v>
      </c>
      <c r="DU9" s="62">
        <f>DS9-DT9</f>
        <v>77</v>
      </c>
    </row>
    <row r="10" spans="1:125" ht="17.25" thickBot="1" x14ac:dyDescent="0.3">
      <c r="A10" s="499"/>
      <c r="B10" s="403">
        <f t="shared" si="51"/>
        <v>27</v>
      </c>
      <c r="C10" s="571">
        <f t="shared" si="52"/>
        <v>0</v>
      </c>
      <c r="D10" s="496"/>
      <c r="E10" s="445">
        <f t="shared" si="31"/>
        <v>0</v>
      </c>
      <c r="F10" s="49">
        <f t="shared" si="0"/>
        <v>0</v>
      </c>
      <c r="G10" s="134"/>
      <c r="H10" s="135"/>
      <c r="I10" s="135"/>
      <c r="J10" s="14">
        <f t="shared" si="75"/>
        <v>0</v>
      </c>
      <c r="K10" s="14">
        <f t="shared" si="32"/>
        <v>0</v>
      </c>
      <c r="L10" s="14">
        <f t="shared" si="1"/>
        <v>0.7</v>
      </c>
      <c r="M10" s="47">
        <f t="shared" si="53"/>
        <v>0</v>
      </c>
      <c r="N10" s="35">
        <f t="shared" si="2"/>
        <v>0.7</v>
      </c>
      <c r="O10" s="132">
        <f t="shared" si="33"/>
        <v>0</v>
      </c>
      <c r="P10" s="595"/>
      <c r="Q10" s="14">
        <f t="shared" si="3"/>
        <v>10</v>
      </c>
      <c r="R10" s="442">
        <f t="shared" si="4"/>
        <v>0</v>
      </c>
      <c r="S10" s="470">
        <f t="shared" si="34"/>
        <v>0</v>
      </c>
      <c r="T10" s="51">
        <f t="shared" si="5"/>
        <v>40</v>
      </c>
      <c r="U10" s="103">
        <f t="shared" si="76"/>
        <v>0</v>
      </c>
      <c r="V10" s="46">
        <f t="shared" si="35"/>
        <v>40</v>
      </c>
      <c r="W10" s="50">
        <f t="shared" si="6"/>
        <v>77</v>
      </c>
      <c r="X10" s="103">
        <f t="shared" si="54"/>
        <v>0</v>
      </c>
      <c r="Y10" s="46">
        <f>W10-X10</f>
        <v>77</v>
      </c>
      <c r="Z10" s="788"/>
      <c r="AA10" s="403">
        <f t="shared" si="55"/>
        <v>27</v>
      </c>
      <c r="AB10" s="404">
        <f t="shared" si="56"/>
        <v>0</v>
      </c>
      <c r="AC10" s="493"/>
      <c r="AD10" s="445">
        <f t="shared" ref="AD10:AD11" si="90">IFERROR(AE9+AC10,0)</f>
        <v>0</v>
      </c>
      <c r="AE10" s="49">
        <f t="shared" si="7"/>
        <v>0</v>
      </c>
      <c r="AF10" s="134"/>
      <c r="AG10" s="135"/>
      <c r="AH10" s="135"/>
      <c r="AI10" s="14">
        <f t="shared" si="77"/>
        <v>0</v>
      </c>
      <c r="AJ10" s="14">
        <f t="shared" si="37"/>
        <v>0</v>
      </c>
      <c r="AK10" s="14">
        <f t="shared" si="8"/>
        <v>0.7</v>
      </c>
      <c r="AL10" s="231">
        <f t="shared" si="38"/>
        <v>0</v>
      </c>
      <c r="AM10" s="35">
        <f t="shared" si="9"/>
        <v>0.7</v>
      </c>
      <c r="AN10" s="157">
        <f>IFERROR((AJ10*100)/$AC$19,0)</f>
        <v>0</v>
      </c>
      <c r="AO10" s="438"/>
      <c r="AP10" s="14">
        <f t="shared" si="10"/>
        <v>10</v>
      </c>
      <c r="AQ10" s="442">
        <f t="shared" si="39"/>
        <v>0</v>
      </c>
      <c r="AR10" s="470">
        <f>AR9+AQ10</f>
        <v>0</v>
      </c>
      <c r="AS10" s="51">
        <f t="shared" si="11"/>
        <v>40</v>
      </c>
      <c r="AT10" s="103">
        <f t="shared" si="79"/>
        <v>0</v>
      </c>
      <c r="AU10" s="46">
        <f t="shared" ref="AU10:AU15" si="91">AS10-AT10</f>
        <v>40</v>
      </c>
      <c r="AV10" s="50">
        <f t="shared" si="12"/>
        <v>77</v>
      </c>
      <c r="AW10" s="103">
        <f t="shared" si="57"/>
        <v>0</v>
      </c>
      <c r="AX10" s="46">
        <f>AV10-AW10</f>
        <v>77</v>
      </c>
      <c r="AZ10" s="120">
        <f t="shared" si="58"/>
        <v>27</v>
      </c>
      <c r="BA10" s="7">
        <f t="shared" si="59"/>
        <v>0</v>
      </c>
      <c r="BB10" s="133"/>
      <c r="BC10" s="445">
        <f t="shared" si="42"/>
        <v>0</v>
      </c>
      <c r="BD10" s="49">
        <f t="shared" si="13"/>
        <v>0</v>
      </c>
      <c r="BE10" s="134"/>
      <c r="BF10" s="135"/>
      <c r="BG10" s="135"/>
      <c r="BH10" s="14">
        <f t="shared" si="80"/>
        <v>0</v>
      </c>
      <c r="BI10" s="14">
        <f t="shared" si="43"/>
        <v>0</v>
      </c>
      <c r="BJ10" s="14">
        <f t="shared" si="14"/>
        <v>0.7</v>
      </c>
      <c r="BK10" s="47">
        <f t="shared" si="60"/>
        <v>0</v>
      </c>
      <c r="BL10" s="35">
        <f t="shared" si="15"/>
        <v>0.7</v>
      </c>
      <c r="BM10" s="157">
        <f t="shared" si="16"/>
        <v>0</v>
      </c>
      <c r="BN10" s="438"/>
      <c r="BO10" s="14">
        <f t="shared" si="17"/>
        <v>10</v>
      </c>
      <c r="BP10" s="442">
        <f t="shared" si="61"/>
        <v>0</v>
      </c>
      <c r="BQ10" s="747">
        <f t="shared" si="81"/>
        <v>0</v>
      </c>
      <c r="BR10" s="51">
        <f t="shared" si="18"/>
        <v>40</v>
      </c>
      <c r="BS10" s="103">
        <f t="shared" si="82"/>
        <v>0</v>
      </c>
      <c r="BT10" s="46">
        <f t="shared" si="19"/>
        <v>40</v>
      </c>
      <c r="BU10" s="50">
        <f t="shared" si="20"/>
        <v>77</v>
      </c>
      <c r="BV10" s="103">
        <f t="shared" si="62"/>
        <v>0</v>
      </c>
      <c r="BW10" s="46">
        <f>BU10-BV10</f>
        <v>77</v>
      </c>
      <c r="BY10" s="120">
        <f t="shared" si="63"/>
        <v>29</v>
      </c>
      <c r="BZ10" s="7">
        <f t="shared" si="64"/>
        <v>0</v>
      </c>
      <c r="CA10" s="133"/>
      <c r="CB10" s="14">
        <f>IFERROR(CC9+CA10,0)</f>
        <v>0</v>
      </c>
      <c r="CC10" s="46">
        <f t="shared" si="45"/>
        <v>0</v>
      </c>
      <c r="CD10" s="405"/>
      <c r="CE10" s="406"/>
      <c r="CF10" s="406"/>
      <c r="CG10" s="14">
        <f t="shared" si="83"/>
        <v>0</v>
      </c>
      <c r="CH10" s="14">
        <f>CH9+CG10</f>
        <v>0</v>
      </c>
      <c r="CI10" s="14">
        <f t="shared" si="21"/>
        <v>0.7</v>
      </c>
      <c r="CJ10" s="47">
        <f>IFERROR((CG10*1000)/CB10,0)</f>
        <v>0</v>
      </c>
      <c r="CK10" s="35">
        <f t="shared" si="22"/>
        <v>0.7</v>
      </c>
      <c r="CL10" s="157">
        <f>IFERROR((CH10*100)/CB10,0)</f>
        <v>0</v>
      </c>
      <c r="CM10" s="134"/>
      <c r="CN10" s="14">
        <f t="shared" si="23"/>
        <v>10</v>
      </c>
      <c r="CO10" s="48">
        <f t="shared" si="85"/>
        <v>0</v>
      </c>
      <c r="CP10" s="68">
        <f>CP9+CO10</f>
        <v>0</v>
      </c>
      <c r="CQ10" s="51">
        <f t="shared" si="24"/>
        <v>40</v>
      </c>
      <c r="CR10" s="103">
        <f t="shared" si="67"/>
        <v>0</v>
      </c>
      <c r="CS10" s="46">
        <f t="shared" si="46"/>
        <v>40</v>
      </c>
      <c r="CT10" s="50">
        <f t="shared" si="25"/>
        <v>77</v>
      </c>
      <c r="CU10" s="103">
        <f t="shared" si="68"/>
        <v>0</v>
      </c>
      <c r="CV10" s="46">
        <f t="shared" si="47"/>
        <v>77</v>
      </c>
      <c r="CX10" s="120">
        <f t="shared" si="69"/>
        <v>29</v>
      </c>
      <c r="CY10" s="7">
        <f t="shared" si="70"/>
        <v>0</v>
      </c>
      <c r="CZ10" s="133"/>
      <c r="DA10" s="14">
        <f>IFERROR(DB9+CZ10,0)</f>
        <v>0</v>
      </c>
      <c r="DB10" s="46">
        <f t="shared" si="48"/>
        <v>0</v>
      </c>
      <c r="DC10" s="405"/>
      <c r="DD10" s="406"/>
      <c r="DE10" s="406"/>
      <c r="DF10" s="14">
        <f t="shared" si="86"/>
        <v>0</v>
      </c>
      <c r="DG10" s="14">
        <f>DG9+DF10</f>
        <v>0</v>
      </c>
      <c r="DH10" s="14">
        <f t="shared" si="26"/>
        <v>0.7</v>
      </c>
      <c r="DI10" s="47">
        <f>IFERROR((DF10*1000)/DA10,0)</f>
        <v>0</v>
      </c>
      <c r="DJ10" s="35">
        <f t="shared" si="27"/>
        <v>0.7</v>
      </c>
      <c r="DK10" s="157">
        <f>IFERROR((DG10*100)/DA10,0)</f>
        <v>0</v>
      </c>
      <c r="DL10" s="134"/>
      <c r="DM10" s="14">
        <f t="shared" si="28"/>
        <v>10</v>
      </c>
      <c r="DN10" s="48">
        <f t="shared" si="88"/>
        <v>0</v>
      </c>
      <c r="DO10" s="68">
        <f>DO9+DN10</f>
        <v>0</v>
      </c>
      <c r="DP10" s="51">
        <f t="shared" si="29"/>
        <v>40</v>
      </c>
      <c r="DQ10" s="103">
        <f t="shared" si="73"/>
        <v>0</v>
      </c>
      <c r="DR10" s="46">
        <f t="shared" si="89"/>
        <v>40</v>
      </c>
      <c r="DS10" s="50">
        <f t="shared" si="30"/>
        <v>77</v>
      </c>
      <c r="DT10" s="103">
        <f t="shared" si="74"/>
        <v>0</v>
      </c>
      <c r="DU10" s="46">
        <f t="shared" ref="DU10:DU73" si="92">DS10-DT10</f>
        <v>77</v>
      </c>
    </row>
    <row r="11" spans="1:125" ht="17.25" thickBot="1" x14ac:dyDescent="0.3">
      <c r="B11" s="120">
        <f t="shared" si="51"/>
        <v>28</v>
      </c>
      <c r="C11" s="570">
        <f t="shared" si="52"/>
        <v>0</v>
      </c>
      <c r="D11" s="133"/>
      <c r="E11" s="445">
        <f t="shared" si="31"/>
        <v>0</v>
      </c>
      <c r="F11" s="49">
        <f t="shared" si="0"/>
        <v>0</v>
      </c>
      <c r="G11" s="134"/>
      <c r="H11" s="135"/>
      <c r="I11" s="135"/>
      <c r="J11" s="14">
        <f t="shared" si="75"/>
        <v>0</v>
      </c>
      <c r="K11" s="14">
        <f t="shared" si="32"/>
        <v>0</v>
      </c>
      <c r="L11" s="14">
        <f t="shared" si="1"/>
        <v>0.7</v>
      </c>
      <c r="M11" s="47">
        <f t="shared" si="53"/>
        <v>0</v>
      </c>
      <c r="N11" s="35">
        <f t="shared" si="2"/>
        <v>0.7</v>
      </c>
      <c r="O11" s="132">
        <f t="shared" si="33"/>
        <v>0</v>
      </c>
      <c r="P11" s="593"/>
      <c r="Q11" s="14">
        <f t="shared" si="3"/>
        <v>10</v>
      </c>
      <c r="R11" s="442">
        <f t="shared" si="4"/>
        <v>0</v>
      </c>
      <c r="S11" s="470">
        <f t="shared" si="34"/>
        <v>0</v>
      </c>
      <c r="T11" s="51">
        <f t="shared" si="5"/>
        <v>40</v>
      </c>
      <c r="U11" s="103">
        <f t="shared" si="76"/>
        <v>0</v>
      </c>
      <c r="V11" s="62">
        <f t="shared" si="35"/>
        <v>40</v>
      </c>
      <c r="W11" s="50">
        <f t="shared" si="6"/>
        <v>77</v>
      </c>
      <c r="X11" s="103">
        <f t="shared" si="54"/>
        <v>0</v>
      </c>
      <c r="Y11" s="62">
        <f t="shared" si="36"/>
        <v>77</v>
      </c>
      <c r="Z11" s="487"/>
      <c r="AA11" s="403">
        <f t="shared" si="55"/>
        <v>28</v>
      </c>
      <c r="AB11" s="404">
        <f t="shared" si="56"/>
        <v>0</v>
      </c>
      <c r="AC11" s="229"/>
      <c r="AD11" s="445">
        <f t="shared" si="90"/>
        <v>0</v>
      </c>
      <c r="AE11" s="49">
        <f t="shared" si="7"/>
        <v>0</v>
      </c>
      <c r="AF11" s="134"/>
      <c r="AG11" s="135"/>
      <c r="AH11" s="135"/>
      <c r="AI11" s="14">
        <f t="shared" si="77"/>
        <v>0</v>
      </c>
      <c r="AJ11" s="14">
        <f t="shared" si="37"/>
        <v>0</v>
      </c>
      <c r="AK11" s="14">
        <f t="shared" si="8"/>
        <v>0.7</v>
      </c>
      <c r="AL11" s="47">
        <f t="shared" si="38"/>
        <v>0</v>
      </c>
      <c r="AM11" s="35">
        <f t="shared" si="9"/>
        <v>0.7</v>
      </c>
      <c r="AN11" s="157">
        <f t="shared" ref="AN11:AN74" si="93">IFERROR((AJ11*100)/$AC$19,0)</f>
        <v>0</v>
      </c>
      <c r="AO11" s="438"/>
      <c r="AP11" s="14">
        <f t="shared" si="10"/>
        <v>10</v>
      </c>
      <c r="AQ11" s="480">
        <f>IFERROR((AO11/AD11)*1000,0)</f>
        <v>0</v>
      </c>
      <c r="AR11" s="470">
        <f>AR10+AQ11</f>
        <v>0</v>
      </c>
      <c r="AS11" s="51">
        <f t="shared" si="11"/>
        <v>40</v>
      </c>
      <c r="AT11" s="103">
        <f t="shared" si="79"/>
        <v>0</v>
      </c>
      <c r="AU11" s="62">
        <f t="shared" si="91"/>
        <v>40</v>
      </c>
      <c r="AV11" s="50">
        <f t="shared" si="12"/>
        <v>77</v>
      </c>
      <c r="AW11" s="103">
        <f t="shared" si="57"/>
        <v>0</v>
      </c>
      <c r="AX11" s="62">
        <f t="shared" ref="AX11:AX74" si="94">AV11-AW11</f>
        <v>77</v>
      </c>
      <c r="AZ11" s="120">
        <f t="shared" si="58"/>
        <v>28</v>
      </c>
      <c r="BA11" s="7">
        <f t="shared" si="59"/>
        <v>0</v>
      </c>
      <c r="BB11" s="133"/>
      <c r="BC11" s="445">
        <f t="shared" si="42"/>
        <v>0</v>
      </c>
      <c r="BD11" s="49">
        <f t="shared" si="13"/>
        <v>0</v>
      </c>
      <c r="BE11" s="134"/>
      <c r="BF11" s="135"/>
      <c r="BG11" s="135"/>
      <c r="BH11" s="14">
        <f t="shared" si="80"/>
        <v>0</v>
      </c>
      <c r="BI11" s="14">
        <f t="shared" si="43"/>
        <v>0</v>
      </c>
      <c r="BJ11" s="14">
        <f t="shared" si="14"/>
        <v>0.7</v>
      </c>
      <c r="BK11" s="47">
        <f t="shared" si="60"/>
        <v>0</v>
      </c>
      <c r="BL11" s="35">
        <f t="shared" si="15"/>
        <v>0.7</v>
      </c>
      <c r="BM11" s="157">
        <f t="shared" si="16"/>
        <v>0</v>
      </c>
      <c r="BN11" s="438"/>
      <c r="BO11" s="14">
        <f t="shared" si="17"/>
        <v>10</v>
      </c>
      <c r="BP11" s="442">
        <f t="shared" si="61"/>
        <v>0</v>
      </c>
      <c r="BQ11" s="747">
        <f t="shared" si="81"/>
        <v>0</v>
      </c>
      <c r="BR11" s="51">
        <f t="shared" si="18"/>
        <v>40</v>
      </c>
      <c r="BS11" s="103">
        <f t="shared" si="82"/>
        <v>0</v>
      </c>
      <c r="BT11" s="62">
        <f t="shared" si="19"/>
        <v>40</v>
      </c>
      <c r="BU11" s="50">
        <f t="shared" si="20"/>
        <v>77</v>
      </c>
      <c r="BV11" s="103">
        <f t="shared" si="62"/>
        <v>0</v>
      </c>
      <c r="BW11" s="62">
        <f t="shared" ref="BW11:BW74" si="95">BU11-BV11</f>
        <v>77</v>
      </c>
      <c r="BY11" s="120">
        <f t="shared" si="63"/>
        <v>30</v>
      </c>
      <c r="BZ11" s="7">
        <f t="shared" si="64"/>
        <v>0</v>
      </c>
      <c r="CA11" s="133"/>
      <c r="CB11" s="14">
        <f t="shared" ref="CB11:CB74" si="96">IFERROR(CC10+CA11,0)</f>
        <v>0</v>
      </c>
      <c r="CC11" s="46">
        <f>IFERROR(CB11-CG11,0)</f>
        <v>0</v>
      </c>
      <c r="CD11" s="405"/>
      <c r="CE11" s="406"/>
      <c r="CF11" s="406"/>
      <c r="CG11" s="14">
        <f t="shared" si="83"/>
        <v>0</v>
      </c>
      <c r="CH11" s="14">
        <f t="shared" ref="CH11:CH74" si="97">CH10+CG11</f>
        <v>0</v>
      </c>
      <c r="CI11" s="14">
        <f t="shared" si="21"/>
        <v>0.7</v>
      </c>
      <c r="CJ11" s="47">
        <f t="shared" si="65"/>
        <v>0</v>
      </c>
      <c r="CK11" s="35">
        <f t="shared" si="22"/>
        <v>0.7</v>
      </c>
      <c r="CL11" s="157">
        <f t="shared" si="84"/>
        <v>0</v>
      </c>
      <c r="CM11" s="134"/>
      <c r="CN11" s="14">
        <f t="shared" si="23"/>
        <v>10</v>
      </c>
      <c r="CO11" s="48">
        <f t="shared" si="85"/>
        <v>0</v>
      </c>
      <c r="CP11" s="68">
        <f t="shared" si="66"/>
        <v>0</v>
      </c>
      <c r="CQ11" s="51">
        <f t="shared" si="24"/>
        <v>40</v>
      </c>
      <c r="CR11" s="103">
        <f t="shared" si="67"/>
        <v>0</v>
      </c>
      <c r="CS11" s="62">
        <f t="shared" si="46"/>
        <v>40</v>
      </c>
      <c r="CT11" s="51">
        <f t="shared" si="25"/>
        <v>77</v>
      </c>
      <c r="CU11" s="103">
        <f t="shared" si="68"/>
        <v>0</v>
      </c>
      <c r="CV11" s="62">
        <f t="shared" si="47"/>
        <v>77</v>
      </c>
      <c r="CX11" s="120">
        <f t="shared" si="69"/>
        <v>30</v>
      </c>
      <c r="CY11" s="7">
        <f t="shared" si="70"/>
        <v>0</v>
      </c>
      <c r="CZ11" s="133"/>
      <c r="DA11" s="14">
        <f t="shared" ref="DA11:DA43" si="98">IFERROR(DB10+CZ11,0)</f>
        <v>0</v>
      </c>
      <c r="DB11" s="46">
        <f>IFERROR(DA11-DF11,0)</f>
        <v>0</v>
      </c>
      <c r="DC11" s="405"/>
      <c r="DD11" s="406"/>
      <c r="DE11" s="406"/>
      <c r="DF11" s="14">
        <f t="shared" si="86"/>
        <v>0</v>
      </c>
      <c r="DG11" s="14">
        <f t="shared" ref="DG11:DG74" si="99">DG10+DF11</f>
        <v>0</v>
      </c>
      <c r="DH11" s="14">
        <f t="shared" si="26"/>
        <v>0.7</v>
      </c>
      <c r="DI11" s="47">
        <f t="shared" ref="DI11" si="100">IFERROR((DF11*1000)/DA11,0)</f>
        <v>0</v>
      </c>
      <c r="DJ11" s="35">
        <f t="shared" si="27"/>
        <v>0.7</v>
      </c>
      <c r="DK11" s="157">
        <f t="shared" ref="DK11:DK74" si="101">IFERROR((DG11*100)/DA11,0)</f>
        <v>0</v>
      </c>
      <c r="DL11" s="134"/>
      <c r="DM11" s="14">
        <f t="shared" si="28"/>
        <v>10</v>
      </c>
      <c r="DN11" s="48">
        <f t="shared" si="88"/>
        <v>0</v>
      </c>
      <c r="DO11" s="68">
        <f t="shared" ref="DO11:DO74" si="102">DO10+DN11</f>
        <v>0</v>
      </c>
      <c r="DP11" s="51">
        <f t="shared" si="29"/>
        <v>40</v>
      </c>
      <c r="DQ11" s="103">
        <f t="shared" si="73"/>
        <v>0</v>
      </c>
      <c r="DR11" s="62">
        <f t="shared" si="89"/>
        <v>40</v>
      </c>
      <c r="DS11" s="51">
        <f t="shared" si="30"/>
        <v>77</v>
      </c>
      <c r="DT11" s="103">
        <f t="shared" si="74"/>
        <v>0</v>
      </c>
      <c r="DU11" s="62">
        <f t="shared" si="92"/>
        <v>77</v>
      </c>
    </row>
    <row r="12" spans="1:125" ht="18.75" thickBot="1" x14ac:dyDescent="0.3">
      <c r="A12" s="534" t="s">
        <v>156</v>
      </c>
      <c r="B12" s="586">
        <v>1</v>
      </c>
      <c r="C12" s="573">
        <f t="shared" si="52"/>
        <v>0</v>
      </c>
      <c r="D12" s="745"/>
      <c r="E12" s="504">
        <f>IFERROR(F11+D13,0)</f>
        <v>0</v>
      </c>
      <c r="F12" s="505">
        <f t="shared" si="0"/>
        <v>0</v>
      </c>
      <c r="G12" s="506"/>
      <c r="H12" s="507"/>
      <c r="I12" s="507"/>
      <c r="J12" s="508">
        <f>SUM(G12:I12)</f>
        <v>0</v>
      </c>
      <c r="K12" s="508">
        <f t="shared" si="32"/>
        <v>0</v>
      </c>
      <c r="L12" s="508">
        <f t="shared" si="1"/>
        <v>0.7</v>
      </c>
      <c r="M12" s="587">
        <f>IFERROR((J12*100)/E12,0)</f>
        <v>0</v>
      </c>
      <c r="N12" s="588">
        <f t="shared" si="2"/>
        <v>0.7</v>
      </c>
      <c r="O12" s="132">
        <f t="shared" si="33"/>
        <v>0</v>
      </c>
      <c r="P12" s="686"/>
      <c r="Q12" s="508">
        <f t="shared" si="3"/>
        <v>10</v>
      </c>
      <c r="R12" s="511">
        <f t="shared" si="4"/>
        <v>0</v>
      </c>
      <c r="S12" s="512">
        <f t="shared" si="34"/>
        <v>0</v>
      </c>
      <c r="T12" s="516">
        <f t="shared" si="5"/>
        <v>40</v>
      </c>
      <c r="U12" s="589">
        <f t="shared" si="76"/>
        <v>0</v>
      </c>
      <c r="V12" s="515">
        <f t="shared" si="35"/>
        <v>40</v>
      </c>
      <c r="W12" s="516">
        <f t="shared" si="6"/>
        <v>77</v>
      </c>
      <c r="X12" s="589">
        <f t="shared" si="54"/>
        <v>0</v>
      </c>
      <c r="Y12" s="515">
        <f t="shared" si="36"/>
        <v>77</v>
      </c>
      <c r="Z12" s="534" t="s">
        <v>156</v>
      </c>
      <c r="AA12" s="502">
        <v>1</v>
      </c>
      <c r="AB12" s="690">
        <f t="shared" si="56"/>
        <v>0</v>
      </c>
      <c r="AC12" s="503"/>
      <c r="AD12" s="504">
        <f>IFERROR(AE11+AC12,0)</f>
        <v>0</v>
      </c>
      <c r="AE12" s="505">
        <f t="shared" si="7"/>
        <v>0</v>
      </c>
      <c r="AF12" s="506"/>
      <c r="AG12" s="507"/>
      <c r="AH12" s="507"/>
      <c r="AI12" s="508">
        <f>SUM(AF12:AH12)</f>
        <v>0</v>
      </c>
      <c r="AJ12" s="508">
        <f t="shared" si="37"/>
        <v>0</v>
      </c>
      <c r="AK12" s="691">
        <f t="shared" si="8"/>
        <v>0.7</v>
      </c>
      <c r="AL12" s="509">
        <f t="shared" si="38"/>
        <v>0</v>
      </c>
      <c r="AM12" s="692">
        <f t="shared" si="9"/>
        <v>0.7</v>
      </c>
      <c r="AN12" s="157">
        <f>IFERROR((AJ12*100)/$AC$19,0)</f>
        <v>0</v>
      </c>
      <c r="AO12" s="693"/>
      <c r="AP12" s="510">
        <f t="shared" si="10"/>
        <v>10</v>
      </c>
      <c r="AQ12" s="511">
        <f t="shared" si="39"/>
        <v>0</v>
      </c>
      <c r="AR12" s="512">
        <f t="shared" si="78"/>
        <v>0</v>
      </c>
      <c r="AS12" s="513">
        <f t="shared" si="11"/>
        <v>40</v>
      </c>
      <c r="AT12" s="514">
        <f t="shared" si="79"/>
        <v>0</v>
      </c>
      <c r="AU12" s="515">
        <f t="shared" si="91"/>
        <v>40</v>
      </c>
      <c r="AV12" s="516">
        <f t="shared" si="12"/>
        <v>77</v>
      </c>
      <c r="AW12" s="514">
        <f t="shared" si="57"/>
        <v>0</v>
      </c>
      <c r="AX12" s="515">
        <f t="shared" si="94"/>
        <v>77</v>
      </c>
      <c r="AY12" s="534" t="s">
        <v>156</v>
      </c>
      <c r="AZ12" s="718">
        <v>1</v>
      </c>
      <c r="BA12" s="719">
        <f t="shared" si="59"/>
        <v>0</v>
      </c>
      <c r="BB12" s="720"/>
      <c r="BC12" s="721">
        <f t="shared" si="42"/>
        <v>0</v>
      </c>
      <c r="BD12" s="695">
        <f t="shared" si="13"/>
        <v>0</v>
      </c>
      <c r="BE12" s="722"/>
      <c r="BF12" s="723"/>
      <c r="BG12" s="723"/>
      <c r="BH12" s="510">
        <f>SUM(BE12:BG12)</f>
        <v>0</v>
      </c>
      <c r="BI12" s="510">
        <f t="shared" si="43"/>
        <v>0</v>
      </c>
      <c r="BJ12" s="724">
        <f t="shared" si="14"/>
        <v>0.7</v>
      </c>
      <c r="BK12" s="725">
        <f t="shared" si="60"/>
        <v>0</v>
      </c>
      <c r="BL12" s="726">
        <f t="shared" si="15"/>
        <v>0.7</v>
      </c>
      <c r="BM12" s="523">
        <f t="shared" si="16"/>
        <v>0</v>
      </c>
      <c r="BN12" s="727"/>
      <c r="BO12" s="510">
        <f t="shared" si="17"/>
        <v>10</v>
      </c>
      <c r="BP12" s="696">
        <f t="shared" si="61"/>
        <v>0</v>
      </c>
      <c r="BQ12" s="748">
        <f t="shared" si="81"/>
        <v>0</v>
      </c>
      <c r="BR12" s="513">
        <f t="shared" si="18"/>
        <v>40</v>
      </c>
      <c r="BS12" s="538">
        <f t="shared" si="82"/>
        <v>0</v>
      </c>
      <c r="BT12" s="728">
        <f t="shared" si="19"/>
        <v>40</v>
      </c>
      <c r="BU12" s="513">
        <f t="shared" si="20"/>
        <v>77</v>
      </c>
      <c r="BV12" s="538">
        <f t="shared" si="62"/>
        <v>0</v>
      </c>
      <c r="BW12" s="728">
        <f t="shared" si="95"/>
        <v>77</v>
      </c>
      <c r="BY12" s="197">
        <f>BY11+1</f>
        <v>31</v>
      </c>
      <c r="BZ12" s="8">
        <f t="shared" si="64"/>
        <v>0</v>
      </c>
      <c r="CA12" s="136"/>
      <c r="CB12" s="14">
        <f t="shared" si="96"/>
        <v>0</v>
      </c>
      <c r="CC12" s="53">
        <f>IFERROR(CB12-CG12,0)</f>
        <v>0</v>
      </c>
      <c r="CD12" s="421"/>
      <c r="CE12" s="426"/>
      <c r="CF12" s="426"/>
      <c r="CG12" s="32">
        <f>SUM(CD12:CF12)</f>
        <v>0</v>
      </c>
      <c r="CH12" s="32">
        <f t="shared" si="97"/>
        <v>0</v>
      </c>
      <c r="CI12" s="17">
        <f t="shared" si="21"/>
        <v>0.7</v>
      </c>
      <c r="CJ12" s="166">
        <f>IFERROR((CG12*1000)/CB12,0)</f>
        <v>0</v>
      </c>
      <c r="CK12" s="33">
        <f t="shared" si="22"/>
        <v>0.7</v>
      </c>
      <c r="CL12" s="156">
        <f t="shared" si="84"/>
        <v>0</v>
      </c>
      <c r="CM12" s="137"/>
      <c r="CN12" s="13">
        <f t="shared" si="23"/>
        <v>10</v>
      </c>
      <c r="CO12" s="54">
        <f t="shared" si="85"/>
        <v>0</v>
      </c>
      <c r="CP12" s="70">
        <f t="shared" si="66"/>
        <v>0</v>
      </c>
      <c r="CQ12" s="50">
        <f t="shared" si="24"/>
        <v>40</v>
      </c>
      <c r="CR12" s="103">
        <f t="shared" si="67"/>
        <v>0</v>
      </c>
      <c r="CS12" s="53">
        <f t="shared" si="46"/>
        <v>40</v>
      </c>
      <c r="CT12" s="12">
        <f t="shared" si="25"/>
        <v>77</v>
      </c>
      <c r="CU12" s="103">
        <f t="shared" si="68"/>
        <v>0</v>
      </c>
      <c r="CV12" s="53">
        <f t="shared" si="47"/>
        <v>77</v>
      </c>
      <c r="CX12" s="197">
        <f>CX11+1</f>
        <v>31</v>
      </c>
      <c r="CY12" s="8">
        <f t="shared" si="70"/>
        <v>0</v>
      </c>
      <c r="CZ12" s="136"/>
      <c r="DA12" s="14">
        <f t="shared" si="98"/>
        <v>0</v>
      </c>
      <c r="DB12" s="53">
        <f>IFERROR(DA12-DF12,0)</f>
        <v>0</v>
      </c>
      <c r="DC12" s="421"/>
      <c r="DD12" s="426"/>
      <c r="DE12" s="426"/>
      <c r="DF12" s="32">
        <f>SUM(DC12:DE12)</f>
        <v>0</v>
      </c>
      <c r="DG12" s="32">
        <f t="shared" si="99"/>
        <v>0</v>
      </c>
      <c r="DH12" s="17">
        <f t="shared" si="26"/>
        <v>0.7</v>
      </c>
      <c r="DI12" s="166">
        <f>IFERROR((DF12*1000)/DA12,0)</f>
        <v>0</v>
      </c>
      <c r="DJ12" s="33">
        <f t="shared" si="27"/>
        <v>0.7</v>
      </c>
      <c r="DK12" s="156">
        <f t="shared" si="101"/>
        <v>0</v>
      </c>
      <c r="DL12" s="137"/>
      <c r="DM12" s="13">
        <f t="shared" si="28"/>
        <v>10</v>
      </c>
      <c r="DN12" s="54">
        <f t="shared" si="88"/>
        <v>0</v>
      </c>
      <c r="DO12" s="70">
        <f t="shared" si="102"/>
        <v>0</v>
      </c>
      <c r="DP12" s="50">
        <f t="shared" si="29"/>
        <v>40</v>
      </c>
      <c r="DQ12" s="103">
        <f t="shared" si="73"/>
        <v>0</v>
      </c>
      <c r="DR12" s="53">
        <f t="shared" si="89"/>
        <v>40</v>
      </c>
      <c r="DS12" s="12">
        <f t="shared" si="30"/>
        <v>77</v>
      </c>
      <c r="DT12" s="103">
        <f t="shared" si="74"/>
        <v>0</v>
      </c>
      <c r="DU12" s="53">
        <f t="shared" si="92"/>
        <v>77</v>
      </c>
    </row>
    <row r="13" spans="1:125" ht="17.25" thickBot="1" x14ac:dyDescent="0.3">
      <c r="A13" s="412"/>
      <c r="B13" s="584">
        <v>2</v>
      </c>
      <c r="C13" s="585">
        <v>1</v>
      </c>
      <c r="D13" s="396"/>
      <c r="E13" s="400">
        <f t="shared" si="31"/>
        <v>0</v>
      </c>
      <c r="F13" s="561">
        <f>IFERROR(E13-J13,0)</f>
        <v>0</v>
      </c>
      <c r="G13" s="398"/>
      <c r="H13" s="399"/>
      <c r="I13" s="399"/>
      <c r="J13" s="379">
        <f t="shared" ref="J13:J76" si="103">SUM(G13:I13)</f>
        <v>0</v>
      </c>
      <c r="K13" s="379">
        <f t="shared" si="32"/>
        <v>0</v>
      </c>
      <c r="L13" s="379">
        <f t="shared" si="1"/>
        <v>0.7</v>
      </c>
      <c r="M13" s="42">
        <f t="shared" si="53"/>
        <v>0</v>
      </c>
      <c r="N13" s="590">
        <f t="shared" si="2"/>
        <v>0.7</v>
      </c>
      <c r="O13" s="132">
        <f t="shared" si="33"/>
        <v>0</v>
      </c>
      <c r="P13" s="687"/>
      <c r="Q13" s="379">
        <f t="shared" si="3"/>
        <v>10</v>
      </c>
      <c r="R13" s="441">
        <f t="shared" si="4"/>
        <v>0</v>
      </c>
      <c r="S13" s="472">
        <f t="shared" si="34"/>
        <v>0</v>
      </c>
      <c r="T13" s="386">
        <f t="shared" si="5"/>
        <v>70</v>
      </c>
      <c r="U13" s="399"/>
      <c r="V13" s="402">
        <f t="shared" si="35"/>
        <v>70</v>
      </c>
      <c r="W13" s="414">
        <f t="shared" si="6"/>
        <v>77</v>
      </c>
      <c r="X13" s="399"/>
      <c r="Y13" s="402">
        <f t="shared" si="36"/>
        <v>77</v>
      </c>
      <c r="Z13" s="487"/>
      <c r="AA13" s="394">
        <v>2</v>
      </c>
      <c r="AB13" s="395">
        <v>1</v>
      </c>
      <c r="AC13" s="396"/>
      <c r="AD13" s="400">
        <f t="shared" ref="AD13" si="104">IFERROR(AE12+AC13,0)</f>
        <v>0</v>
      </c>
      <c r="AE13" s="446">
        <f t="shared" si="7"/>
        <v>0</v>
      </c>
      <c r="AF13" s="398"/>
      <c r="AG13" s="399"/>
      <c r="AH13" s="399"/>
      <c r="AI13" s="379">
        <f t="shared" ref="AI13:AI76" si="105">SUM(AF13:AH13)</f>
        <v>0</v>
      </c>
      <c r="AJ13" s="379">
        <f t="shared" si="37"/>
        <v>0</v>
      </c>
      <c r="AK13" s="413">
        <f t="shared" si="8"/>
        <v>0.7</v>
      </c>
      <c r="AL13" s="42">
        <f t="shared" si="38"/>
        <v>0</v>
      </c>
      <c r="AM13" s="418">
        <f t="shared" si="9"/>
        <v>0.7</v>
      </c>
      <c r="AN13" s="157">
        <f t="shared" si="93"/>
        <v>0</v>
      </c>
      <c r="AO13" s="440"/>
      <c r="AP13" s="379">
        <f t="shared" si="10"/>
        <v>10</v>
      </c>
      <c r="AQ13" s="481">
        <f t="shared" si="39"/>
        <v>0</v>
      </c>
      <c r="AR13" s="472">
        <f t="shared" si="78"/>
        <v>0</v>
      </c>
      <c r="AS13" s="386">
        <f t="shared" si="11"/>
        <v>70</v>
      </c>
      <c r="AT13" s="399"/>
      <c r="AU13" s="402">
        <f t="shared" si="91"/>
        <v>70</v>
      </c>
      <c r="AV13" s="414">
        <f t="shared" si="12"/>
        <v>77</v>
      </c>
      <c r="AW13" s="399"/>
      <c r="AX13" s="402">
        <f t="shared" si="94"/>
        <v>77</v>
      </c>
      <c r="AY13" s="393"/>
      <c r="AZ13" s="394">
        <v>2</v>
      </c>
      <c r="BA13" s="395">
        <v>1</v>
      </c>
      <c r="BB13" s="396"/>
      <c r="BC13" s="400">
        <f t="shared" si="42"/>
        <v>0</v>
      </c>
      <c r="BD13" s="446">
        <f t="shared" si="13"/>
        <v>0</v>
      </c>
      <c r="BE13" s="398"/>
      <c r="BF13" s="399"/>
      <c r="BG13" s="399"/>
      <c r="BH13" s="379">
        <f t="shared" ref="BH13:BH76" si="106">SUM(BE13:BG13)</f>
        <v>0</v>
      </c>
      <c r="BI13" s="379">
        <f t="shared" si="43"/>
        <v>0</v>
      </c>
      <c r="BJ13" s="413">
        <f t="shared" si="14"/>
        <v>0.7</v>
      </c>
      <c r="BK13" s="42">
        <f t="shared" si="60"/>
        <v>0</v>
      </c>
      <c r="BL13" s="418">
        <f t="shared" si="15"/>
        <v>0.7</v>
      </c>
      <c r="BM13" s="602">
        <f t="shared" si="16"/>
        <v>0</v>
      </c>
      <c r="BN13" s="440"/>
      <c r="BO13" s="379">
        <f t="shared" si="17"/>
        <v>10</v>
      </c>
      <c r="BP13" s="441">
        <f t="shared" si="61"/>
        <v>0</v>
      </c>
      <c r="BQ13" s="749">
        <f t="shared" si="81"/>
        <v>0</v>
      </c>
      <c r="BR13" s="386">
        <f t="shared" si="18"/>
        <v>70</v>
      </c>
      <c r="BS13" s="399"/>
      <c r="BT13" s="402">
        <f t="shared" si="19"/>
        <v>70</v>
      </c>
      <c r="BU13" s="414">
        <f t="shared" si="20"/>
        <v>77</v>
      </c>
      <c r="BV13" s="399"/>
      <c r="BW13" s="402">
        <f t="shared" si="95"/>
        <v>77</v>
      </c>
      <c r="BX13" s="412"/>
      <c r="BY13" s="394">
        <v>1</v>
      </c>
      <c r="BZ13" s="395">
        <v>1</v>
      </c>
      <c r="CA13" s="396"/>
      <c r="CB13" s="379">
        <f t="shared" si="96"/>
        <v>0</v>
      </c>
      <c r="CC13" s="397">
        <f t="shared" ref="CC13:CC76" si="107">IFERROR(CB13-CG13,0)</f>
        <v>0</v>
      </c>
      <c r="CD13" s="398"/>
      <c r="CE13" s="399"/>
      <c r="CF13" s="399"/>
      <c r="CG13" s="379">
        <f t="shared" ref="CG13:CG76" si="108">SUM(CD13:CF13)</f>
        <v>0</v>
      </c>
      <c r="CH13" s="379">
        <f t="shared" si="97"/>
        <v>0</v>
      </c>
      <c r="CI13" s="413">
        <f t="shared" si="21"/>
        <v>0.7</v>
      </c>
      <c r="CJ13" s="429">
        <f t="shared" si="65"/>
        <v>0</v>
      </c>
      <c r="CK13" s="418">
        <f t="shared" si="22"/>
        <v>0.7</v>
      </c>
      <c r="CL13" s="422">
        <f t="shared" si="84"/>
        <v>0</v>
      </c>
      <c r="CM13" s="398"/>
      <c r="CN13" s="379">
        <f t="shared" si="23"/>
        <v>10</v>
      </c>
      <c r="CO13" s="430">
        <f t="shared" si="85"/>
        <v>0</v>
      </c>
      <c r="CP13" s="401">
        <f t="shared" si="66"/>
        <v>0</v>
      </c>
      <c r="CQ13" s="386">
        <f t="shared" si="24"/>
        <v>70</v>
      </c>
      <c r="CR13" s="399"/>
      <c r="CS13" s="402">
        <f t="shared" si="46"/>
        <v>70</v>
      </c>
      <c r="CT13" s="386">
        <f t="shared" si="25"/>
        <v>77</v>
      </c>
      <c r="CU13" s="399"/>
      <c r="CV13" s="402">
        <f t="shared" si="47"/>
        <v>77</v>
      </c>
      <c r="CX13" s="394">
        <v>1</v>
      </c>
      <c r="CY13" s="395">
        <v>1</v>
      </c>
      <c r="CZ13" s="396"/>
      <c r="DA13" s="379">
        <f t="shared" si="98"/>
        <v>0</v>
      </c>
      <c r="DB13" s="397">
        <f t="shared" ref="DB13:DB14" si="109">IFERROR(DA13-DF13,0)</f>
        <v>0</v>
      </c>
      <c r="DC13" s="398"/>
      <c r="DD13" s="399"/>
      <c r="DE13" s="399"/>
      <c r="DF13" s="379">
        <f t="shared" ref="DF13:DF76" si="110">SUM(DC13:DE13)</f>
        <v>0</v>
      </c>
      <c r="DG13" s="379">
        <f t="shared" si="99"/>
        <v>0</v>
      </c>
      <c r="DH13" s="413">
        <f t="shared" si="26"/>
        <v>0.7</v>
      </c>
      <c r="DI13" s="429">
        <f t="shared" ref="DI13:DI76" si="111">IFERROR((DF13*1000)/DA13,0)</f>
        <v>0</v>
      </c>
      <c r="DJ13" s="418">
        <f t="shared" si="27"/>
        <v>0.7</v>
      </c>
      <c r="DK13" s="422">
        <f t="shared" si="101"/>
        <v>0</v>
      </c>
      <c r="DL13" s="398"/>
      <c r="DM13" s="379">
        <f t="shared" si="28"/>
        <v>10</v>
      </c>
      <c r="DN13" s="430">
        <f t="shared" si="88"/>
        <v>0</v>
      </c>
      <c r="DO13" s="401">
        <f t="shared" si="102"/>
        <v>0</v>
      </c>
      <c r="DP13" s="386">
        <f t="shared" si="29"/>
        <v>70</v>
      </c>
      <c r="DQ13" s="399"/>
      <c r="DR13" s="402">
        <f t="shared" si="89"/>
        <v>70</v>
      </c>
      <c r="DS13" s="386">
        <f t="shared" si="30"/>
        <v>77</v>
      </c>
      <c r="DT13" s="399"/>
      <c r="DU13" s="402">
        <f t="shared" si="92"/>
        <v>77</v>
      </c>
    </row>
    <row r="14" spans="1:125" ht="17.25" thickBot="1" x14ac:dyDescent="0.3">
      <c r="B14" s="120">
        <f t="shared" ref="B14:B19" si="112">B13+1</f>
        <v>3</v>
      </c>
      <c r="C14" s="570">
        <f>C13</f>
        <v>1</v>
      </c>
      <c r="D14" s="133"/>
      <c r="E14" s="408">
        <f t="shared" si="31"/>
        <v>0</v>
      </c>
      <c r="F14" s="562">
        <f>IFERROR(E14-J14,0)</f>
        <v>0</v>
      </c>
      <c r="G14" s="134"/>
      <c r="H14" s="135"/>
      <c r="I14" s="135"/>
      <c r="J14" s="14">
        <f t="shared" si="103"/>
        <v>0</v>
      </c>
      <c r="K14" s="14">
        <f t="shared" si="32"/>
        <v>0</v>
      </c>
      <c r="L14" s="14">
        <f t="shared" si="1"/>
        <v>0.7</v>
      </c>
      <c r="M14" s="47">
        <f t="shared" si="53"/>
        <v>0</v>
      </c>
      <c r="N14" s="35">
        <f t="shared" si="2"/>
        <v>0.7</v>
      </c>
      <c r="O14" s="132">
        <f t="shared" si="33"/>
        <v>0</v>
      </c>
      <c r="P14" s="142"/>
      <c r="Q14" s="14">
        <f t="shared" si="3"/>
        <v>10</v>
      </c>
      <c r="R14" s="442">
        <f t="shared" si="4"/>
        <v>0</v>
      </c>
      <c r="S14" s="470">
        <f t="shared" si="34"/>
        <v>0</v>
      </c>
      <c r="T14" s="51">
        <f t="shared" si="5"/>
        <v>70</v>
      </c>
      <c r="U14" s="103">
        <f>U13</f>
        <v>0</v>
      </c>
      <c r="V14" s="71">
        <f t="shared" si="35"/>
        <v>70</v>
      </c>
      <c r="W14" s="50">
        <f t="shared" si="6"/>
        <v>77</v>
      </c>
      <c r="X14" s="103">
        <f>X13</f>
        <v>0</v>
      </c>
      <c r="Y14" s="71">
        <f t="shared" si="36"/>
        <v>77</v>
      </c>
      <c r="Z14" s="487"/>
      <c r="AA14" s="120">
        <f t="shared" ref="AA14:AA19" si="113">AA13+1</f>
        <v>3</v>
      </c>
      <c r="AB14" s="7">
        <f>AB13</f>
        <v>1</v>
      </c>
      <c r="AC14" s="229"/>
      <c r="AD14" s="48">
        <f>IFERROR(AE13+AC14,0)</f>
        <v>0</v>
      </c>
      <c r="AE14" s="196">
        <f t="shared" si="7"/>
        <v>0</v>
      </c>
      <c r="AF14" s="134"/>
      <c r="AG14" s="135"/>
      <c r="AH14" s="135"/>
      <c r="AI14" s="14">
        <f t="shared" si="105"/>
        <v>0</v>
      </c>
      <c r="AJ14" s="14">
        <f t="shared" si="37"/>
        <v>0</v>
      </c>
      <c r="AK14" s="14">
        <f t="shared" si="8"/>
        <v>0.7</v>
      </c>
      <c r="AL14" s="231">
        <f t="shared" si="38"/>
        <v>0</v>
      </c>
      <c r="AM14" s="35">
        <f t="shared" si="9"/>
        <v>0.7</v>
      </c>
      <c r="AN14" s="157">
        <f t="shared" si="93"/>
        <v>0</v>
      </c>
      <c r="AO14" s="134"/>
      <c r="AP14" s="14">
        <f t="shared" si="10"/>
        <v>10</v>
      </c>
      <c r="AQ14" s="482">
        <f t="shared" si="39"/>
        <v>0</v>
      </c>
      <c r="AR14" s="470">
        <f t="shared" si="78"/>
        <v>0</v>
      </c>
      <c r="AS14" s="51">
        <f t="shared" si="11"/>
        <v>70</v>
      </c>
      <c r="AT14" s="103">
        <f>AT13</f>
        <v>0</v>
      </c>
      <c r="AU14" s="71">
        <f t="shared" si="91"/>
        <v>70</v>
      </c>
      <c r="AV14" s="50">
        <f t="shared" si="12"/>
        <v>77</v>
      </c>
      <c r="AW14" s="103">
        <f>AW13</f>
        <v>0</v>
      </c>
      <c r="AX14" s="71">
        <f t="shared" si="94"/>
        <v>77</v>
      </c>
      <c r="AZ14" s="120">
        <f t="shared" ref="AZ14:AZ19" si="114">AZ13+1</f>
        <v>3</v>
      </c>
      <c r="BA14" s="7">
        <f>BA13</f>
        <v>1</v>
      </c>
      <c r="BB14" s="133"/>
      <c r="BC14" s="48">
        <f t="shared" si="42"/>
        <v>0</v>
      </c>
      <c r="BD14" s="196">
        <f t="shared" si="13"/>
        <v>0</v>
      </c>
      <c r="BE14" s="134"/>
      <c r="BF14" s="135"/>
      <c r="BG14" s="135"/>
      <c r="BH14" s="14">
        <f t="shared" si="106"/>
        <v>0</v>
      </c>
      <c r="BI14" s="14">
        <f t="shared" si="43"/>
        <v>0</v>
      </c>
      <c r="BJ14" s="14">
        <f t="shared" si="14"/>
        <v>0.7</v>
      </c>
      <c r="BK14" s="47">
        <f t="shared" si="60"/>
        <v>0</v>
      </c>
      <c r="BL14" s="35">
        <f t="shared" si="15"/>
        <v>0.7</v>
      </c>
      <c r="BM14" s="157">
        <f t="shared" si="16"/>
        <v>0</v>
      </c>
      <c r="BN14" s="134"/>
      <c r="BO14" s="14">
        <f t="shared" si="17"/>
        <v>10</v>
      </c>
      <c r="BP14" s="442">
        <f t="shared" si="61"/>
        <v>0</v>
      </c>
      <c r="BQ14" s="747">
        <f t="shared" si="81"/>
        <v>0</v>
      </c>
      <c r="BR14" s="51">
        <f t="shared" si="18"/>
        <v>70</v>
      </c>
      <c r="BS14" s="103">
        <f>BS13</f>
        <v>0</v>
      </c>
      <c r="BT14" s="71">
        <f t="shared" si="19"/>
        <v>70</v>
      </c>
      <c r="BU14" s="50">
        <f t="shared" si="20"/>
        <v>77</v>
      </c>
      <c r="BV14" s="103">
        <f>BV13</f>
        <v>0</v>
      </c>
      <c r="BW14" s="71">
        <f t="shared" si="95"/>
        <v>77</v>
      </c>
      <c r="BY14" s="120">
        <f>BY13+1</f>
        <v>2</v>
      </c>
      <c r="BZ14" s="7">
        <f>BZ13</f>
        <v>1</v>
      </c>
      <c r="CA14" s="133"/>
      <c r="CB14" s="14">
        <f t="shared" si="96"/>
        <v>0</v>
      </c>
      <c r="CC14" s="59">
        <f t="shared" si="107"/>
        <v>0</v>
      </c>
      <c r="CD14" s="405"/>
      <c r="CE14" s="406"/>
      <c r="CF14" s="406"/>
      <c r="CG14" s="14">
        <f t="shared" si="108"/>
        <v>0</v>
      </c>
      <c r="CH14" s="14">
        <f t="shared" si="97"/>
        <v>0</v>
      </c>
      <c r="CI14" s="14">
        <f t="shared" si="21"/>
        <v>0.7</v>
      </c>
      <c r="CJ14" s="47">
        <f t="shared" si="65"/>
        <v>0</v>
      </c>
      <c r="CK14" s="35">
        <f t="shared" si="22"/>
        <v>0.7</v>
      </c>
      <c r="CL14" s="157">
        <f t="shared" si="84"/>
        <v>0</v>
      </c>
      <c r="CM14" s="134"/>
      <c r="CN14" s="14">
        <f t="shared" si="23"/>
        <v>10</v>
      </c>
      <c r="CO14" s="48">
        <f t="shared" si="85"/>
        <v>0</v>
      </c>
      <c r="CP14" s="68">
        <f t="shared" si="66"/>
        <v>0</v>
      </c>
      <c r="CQ14" s="51">
        <f t="shared" si="24"/>
        <v>70</v>
      </c>
      <c r="CR14" s="103">
        <f>CR13</f>
        <v>0</v>
      </c>
      <c r="CS14" s="46">
        <f t="shared" si="46"/>
        <v>70</v>
      </c>
      <c r="CT14" s="51">
        <f t="shared" si="25"/>
        <v>77</v>
      </c>
      <c r="CU14" s="112">
        <f>CU13</f>
        <v>0</v>
      </c>
      <c r="CV14" s="71">
        <f t="shared" si="47"/>
        <v>77</v>
      </c>
      <c r="CX14" s="120">
        <f>CX13+1</f>
        <v>2</v>
      </c>
      <c r="CY14" s="7">
        <f>CY13</f>
        <v>1</v>
      </c>
      <c r="CZ14" s="133"/>
      <c r="DA14" s="14">
        <f t="shared" si="98"/>
        <v>0</v>
      </c>
      <c r="DB14" s="59">
        <f t="shared" si="109"/>
        <v>0</v>
      </c>
      <c r="DC14" s="405"/>
      <c r="DD14" s="406"/>
      <c r="DE14" s="406"/>
      <c r="DF14" s="14">
        <f t="shared" si="110"/>
        <v>0</v>
      </c>
      <c r="DG14" s="14">
        <f t="shared" si="99"/>
        <v>0</v>
      </c>
      <c r="DH14" s="14">
        <f t="shared" si="26"/>
        <v>0.7</v>
      </c>
      <c r="DI14" s="47">
        <f t="shared" si="111"/>
        <v>0</v>
      </c>
      <c r="DJ14" s="35">
        <f t="shared" si="27"/>
        <v>0.7</v>
      </c>
      <c r="DK14" s="157">
        <f t="shared" si="101"/>
        <v>0</v>
      </c>
      <c r="DL14" s="134"/>
      <c r="DM14" s="14">
        <f t="shared" si="28"/>
        <v>10</v>
      </c>
      <c r="DN14" s="48">
        <f t="shared" si="88"/>
        <v>0</v>
      </c>
      <c r="DO14" s="68">
        <f t="shared" si="102"/>
        <v>0</v>
      </c>
      <c r="DP14" s="51">
        <f t="shared" si="29"/>
        <v>70</v>
      </c>
      <c r="DQ14" s="103">
        <f>DQ13</f>
        <v>0</v>
      </c>
      <c r="DR14" s="46">
        <f t="shared" si="89"/>
        <v>70</v>
      </c>
      <c r="DS14" s="51">
        <f t="shared" si="30"/>
        <v>77</v>
      </c>
      <c r="DT14" s="112">
        <f>DT13</f>
        <v>0</v>
      </c>
      <c r="DU14" s="71">
        <f t="shared" si="92"/>
        <v>77</v>
      </c>
    </row>
    <row r="15" spans="1:125" ht="17.25" thickBot="1" x14ac:dyDescent="0.3">
      <c r="B15" s="120">
        <f t="shared" si="112"/>
        <v>4</v>
      </c>
      <c r="C15" s="570">
        <f t="shared" ref="C15:C19" si="115">C14</f>
        <v>1</v>
      </c>
      <c r="D15" s="133"/>
      <c r="E15" s="408">
        <f t="shared" si="31"/>
        <v>0</v>
      </c>
      <c r="F15" s="562">
        <f t="shared" si="0"/>
        <v>0</v>
      </c>
      <c r="G15" s="134"/>
      <c r="H15" s="135"/>
      <c r="I15" s="135"/>
      <c r="J15" s="14">
        <f t="shared" si="103"/>
        <v>0</v>
      </c>
      <c r="K15" s="14">
        <f t="shared" si="32"/>
        <v>0</v>
      </c>
      <c r="L15" s="14">
        <f t="shared" si="1"/>
        <v>0.7</v>
      </c>
      <c r="M15" s="47">
        <f t="shared" si="53"/>
        <v>0</v>
      </c>
      <c r="N15" s="35">
        <f t="shared" si="2"/>
        <v>0.7</v>
      </c>
      <c r="O15" s="132">
        <f t="shared" si="33"/>
        <v>0</v>
      </c>
      <c r="P15" s="142"/>
      <c r="Q15" s="14">
        <f t="shared" si="3"/>
        <v>10</v>
      </c>
      <c r="R15" s="442">
        <f t="shared" si="4"/>
        <v>0</v>
      </c>
      <c r="S15" s="470">
        <f t="shared" si="34"/>
        <v>0</v>
      </c>
      <c r="T15" s="51">
        <f t="shared" si="5"/>
        <v>70</v>
      </c>
      <c r="U15" s="103">
        <f t="shared" ref="U15:U19" si="116">U14</f>
        <v>0</v>
      </c>
      <c r="V15" s="46">
        <f t="shared" si="35"/>
        <v>70</v>
      </c>
      <c r="W15" s="50">
        <f t="shared" si="6"/>
        <v>77</v>
      </c>
      <c r="X15" s="103">
        <f t="shared" ref="X15:X19" si="117">X14</f>
        <v>0</v>
      </c>
      <c r="Y15" s="71">
        <f t="shared" si="36"/>
        <v>77</v>
      </c>
      <c r="Z15" s="487"/>
      <c r="AA15" s="120">
        <f t="shared" si="113"/>
        <v>4</v>
      </c>
      <c r="AB15" s="7">
        <f t="shared" ref="AB15:AB19" si="118">AB14</f>
        <v>1</v>
      </c>
      <c r="AC15" s="229"/>
      <c r="AD15" s="48">
        <f>IFERROR(AE14+AC15,0)</f>
        <v>0</v>
      </c>
      <c r="AE15" s="49">
        <f t="shared" si="7"/>
        <v>0</v>
      </c>
      <c r="AF15" s="134"/>
      <c r="AG15" s="135"/>
      <c r="AH15" s="135"/>
      <c r="AI15" s="31">
        <f t="shared" si="105"/>
        <v>0</v>
      </c>
      <c r="AJ15" s="14">
        <f t="shared" si="37"/>
        <v>0</v>
      </c>
      <c r="AK15" s="14">
        <f t="shared" si="8"/>
        <v>0.7</v>
      </c>
      <c r="AL15" s="230">
        <f t="shared" si="38"/>
        <v>0</v>
      </c>
      <c r="AM15" s="35">
        <f t="shared" si="9"/>
        <v>0.7</v>
      </c>
      <c r="AN15" s="157">
        <f t="shared" si="93"/>
        <v>0</v>
      </c>
      <c r="AO15" s="134"/>
      <c r="AP15" s="14">
        <f t="shared" si="10"/>
        <v>10</v>
      </c>
      <c r="AQ15" s="482">
        <f t="shared" si="39"/>
        <v>0</v>
      </c>
      <c r="AR15" s="470">
        <f t="shared" si="78"/>
        <v>0</v>
      </c>
      <c r="AS15" s="51">
        <f t="shared" si="11"/>
        <v>70</v>
      </c>
      <c r="AT15" s="103">
        <f t="shared" ref="AT15:AT19" si="119">AT14</f>
        <v>0</v>
      </c>
      <c r="AU15" s="46">
        <f t="shared" si="91"/>
        <v>70</v>
      </c>
      <c r="AV15" s="50">
        <f t="shared" si="12"/>
        <v>77</v>
      </c>
      <c r="AW15" s="103">
        <f t="shared" ref="AW15:AW19" si="120">AW14</f>
        <v>0</v>
      </c>
      <c r="AX15" s="71">
        <f t="shared" si="94"/>
        <v>77</v>
      </c>
      <c r="AZ15" s="120">
        <f t="shared" si="114"/>
        <v>4</v>
      </c>
      <c r="BA15" s="7">
        <f t="shared" ref="BA15:BA19" si="121">BA14</f>
        <v>1</v>
      </c>
      <c r="BB15" s="133"/>
      <c r="BC15" s="48">
        <f t="shared" si="42"/>
        <v>0</v>
      </c>
      <c r="BD15" s="49">
        <f t="shared" si="13"/>
        <v>0</v>
      </c>
      <c r="BE15" s="134"/>
      <c r="BF15" s="135"/>
      <c r="BG15" s="135"/>
      <c r="BH15" s="31">
        <f t="shared" si="106"/>
        <v>0</v>
      </c>
      <c r="BI15" s="14">
        <f t="shared" si="43"/>
        <v>0</v>
      </c>
      <c r="BJ15" s="14">
        <f t="shared" si="14"/>
        <v>0.7</v>
      </c>
      <c r="BK15" s="47">
        <f t="shared" si="60"/>
        <v>0</v>
      </c>
      <c r="BL15" s="35">
        <f t="shared" si="15"/>
        <v>0.7</v>
      </c>
      <c r="BM15" s="157">
        <f t="shared" si="16"/>
        <v>0</v>
      </c>
      <c r="BN15" s="134"/>
      <c r="BO15" s="14">
        <f t="shared" si="17"/>
        <v>10</v>
      </c>
      <c r="BP15" s="442">
        <f t="shared" si="61"/>
        <v>0</v>
      </c>
      <c r="BQ15" s="747">
        <f t="shared" si="81"/>
        <v>0</v>
      </c>
      <c r="BR15" s="51">
        <f t="shared" si="18"/>
        <v>70</v>
      </c>
      <c r="BS15" s="103">
        <f t="shared" ref="BS15:BS19" si="122">BS14</f>
        <v>0</v>
      </c>
      <c r="BT15" s="46">
        <f t="shared" si="19"/>
        <v>70</v>
      </c>
      <c r="BU15" s="50">
        <f t="shared" si="20"/>
        <v>77</v>
      </c>
      <c r="BV15" s="103">
        <f t="shared" ref="BV15:BV19" si="123">BV14</f>
        <v>0</v>
      </c>
      <c r="BW15" s="71">
        <f t="shared" si="95"/>
        <v>77</v>
      </c>
      <c r="BY15" s="120">
        <f t="shared" ref="BY15:BY16" si="124">BY14+1</f>
        <v>3</v>
      </c>
      <c r="BZ15" s="7">
        <f t="shared" ref="BZ15:BZ19" si="125">BZ14</f>
        <v>1</v>
      </c>
      <c r="CA15" s="133"/>
      <c r="CB15" s="14">
        <f t="shared" si="96"/>
        <v>0</v>
      </c>
      <c r="CC15" s="46">
        <f>IFERROR(CB15-CG15,0)</f>
        <v>0</v>
      </c>
      <c r="CD15" s="405"/>
      <c r="CE15" s="406"/>
      <c r="CF15" s="406"/>
      <c r="CG15" s="31">
        <f t="shared" si="108"/>
        <v>0</v>
      </c>
      <c r="CH15" s="14">
        <f t="shared" si="97"/>
        <v>0</v>
      </c>
      <c r="CI15" s="14">
        <f t="shared" si="21"/>
        <v>0.7</v>
      </c>
      <c r="CJ15" s="47">
        <f t="shared" si="65"/>
        <v>0</v>
      </c>
      <c r="CK15" s="35">
        <f t="shared" si="22"/>
        <v>0.7</v>
      </c>
      <c r="CL15" s="157">
        <f t="shared" si="84"/>
        <v>0</v>
      </c>
      <c r="CM15" s="134"/>
      <c r="CN15" s="14">
        <f t="shared" si="23"/>
        <v>10</v>
      </c>
      <c r="CO15" s="48">
        <f t="shared" si="85"/>
        <v>0</v>
      </c>
      <c r="CP15" s="68">
        <f t="shared" si="66"/>
        <v>0</v>
      </c>
      <c r="CQ15" s="51">
        <f t="shared" si="24"/>
        <v>70</v>
      </c>
      <c r="CR15" s="103">
        <f t="shared" ref="CR15:CR19" si="126">CR14</f>
        <v>0</v>
      </c>
      <c r="CS15" s="46">
        <f t="shared" si="46"/>
        <v>70</v>
      </c>
      <c r="CT15" s="51">
        <f t="shared" si="25"/>
        <v>77</v>
      </c>
      <c r="CU15" s="112">
        <f t="shared" ref="CU15:CU19" si="127">CU14</f>
        <v>0</v>
      </c>
      <c r="CV15" s="71">
        <f t="shared" si="47"/>
        <v>77</v>
      </c>
      <c r="CX15" s="120">
        <f t="shared" ref="CX15:CX16" si="128">CX14+1</f>
        <v>3</v>
      </c>
      <c r="CY15" s="7">
        <f t="shared" ref="CY15:CY19" si="129">CY14</f>
        <v>1</v>
      </c>
      <c r="CZ15" s="133"/>
      <c r="DA15" s="14">
        <f t="shared" si="98"/>
        <v>0</v>
      </c>
      <c r="DB15" s="46">
        <f>IFERROR(DA15-DF15,0)</f>
        <v>0</v>
      </c>
      <c r="DC15" s="405"/>
      <c r="DD15" s="406"/>
      <c r="DE15" s="406"/>
      <c r="DF15" s="31">
        <f t="shared" si="110"/>
        <v>0</v>
      </c>
      <c r="DG15" s="14">
        <f t="shared" si="99"/>
        <v>0</v>
      </c>
      <c r="DH15" s="14">
        <f t="shared" si="26"/>
        <v>0.7</v>
      </c>
      <c r="DI15" s="47">
        <f t="shared" si="111"/>
        <v>0</v>
      </c>
      <c r="DJ15" s="35">
        <f t="shared" si="27"/>
        <v>0.7</v>
      </c>
      <c r="DK15" s="157">
        <f t="shared" si="101"/>
        <v>0</v>
      </c>
      <c r="DL15" s="134"/>
      <c r="DM15" s="14">
        <f t="shared" si="28"/>
        <v>10</v>
      </c>
      <c r="DN15" s="48">
        <f t="shared" si="88"/>
        <v>0</v>
      </c>
      <c r="DO15" s="68">
        <f t="shared" si="102"/>
        <v>0</v>
      </c>
      <c r="DP15" s="51">
        <f t="shared" si="29"/>
        <v>70</v>
      </c>
      <c r="DQ15" s="103">
        <f t="shared" ref="DQ15:DQ19" si="130">DQ14</f>
        <v>0</v>
      </c>
      <c r="DR15" s="46">
        <f t="shared" si="89"/>
        <v>70</v>
      </c>
      <c r="DS15" s="51">
        <f t="shared" si="30"/>
        <v>77</v>
      </c>
      <c r="DT15" s="112">
        <f t="shared" ref="DT15:DT19" si="131">DT14</f>
        <v>0</v>
      </c>
      <c r="DU15" s="71">
        <f t="shared" si="92"/>
        <v>77</v>
      </c>
    </row>
    <row r="16" spans="1:125" ht="17.25" thickBot="1" x14ac:dyDescent="0.3">
      <c r="B16" s="120">
        <f t="shared" si="112"/>
        <v>5</v>
      </c>
      <c r="C16" s="570">
        <f t="shared" si="115"/>
        <v>1</v>
      </c>
      <c r="D16" s="133"/>
      <c r="E16" s="408">
        <f t="shared" si="31"/>
        <v>0</v>
      </c>
      <c r="F16" s="562">
        <f t="shared" si="0"/>
        <v>0</v>
      </c>
      <c r="G16" s="134"/>
      <c r="H16" s="135"/>
      <c r="I16" s="135"/>
      <c r="J16" s="14">
        <f t="shared" si="103"/>
        <v>0</v>
      </c>
      <c r="K16" s="14">
        <f t="shared" si="32"/>
        <v>0</v>
      </c>
      <c r="L16" s="14">
        <f t="shared" si="1"/>
        <v>0.7</v>
      </c>
      <c r="M16" s="47">
        <f t="shared" si="53"/>
        <v>0</v>
      </c>
      <c r="N16" s="35">
        <f t="shared" si="2"/>
        <v>0.7</v>
      </c>
      <c r="O16" s="132">
        <f t="shared" si="33"/>
        <v>0</v>
      </c>
      <c r="P16" s="142"/>
      <c r="Q16" s="14">
        <f t="shared" si="3"/>
        <v>10</v>
      </c>
      <c r="R16" s="442">
        <f t="shared" si="4"/>
        <v>0</v>
      </c>
      <c r="S16" s="470">
        <f t="shared" si="34"/>
        <v>0</v>
      </c>
      <c r="T16" s="51">
        <f t="shared" si="5"/>
        <v>70</v>
      </c>
      <c r="U16" s="103">
        <f t="shared" si="116"/>
        <v>0</v>
      </c>
      <c r="V16" s="46">
        <f>T16-U16</f>
        <v>70</v>
      </c>
      <c r="W16" s="51">
        <f t="shared" si="6"/>
        <v>77</v>
      </c>
      <c r="X16" s="103">
        <f t="shared" si="117"/>
        <v>0</v>
      </c>
      <c r="Y16" s="71">
        <f t="shared" si="36"/>
        <v>77</v>
      </c>
      <c r="Z16" s="487"/>
      <c r="AA16" s="120">
        <f t="shared" si="113"/>
        <v>5</v>
      </c>
      <c r="AB16" s="7">
        <f t="shared" si="118"/>
        <v>1</v>
      </c>
      <c r="AC16" s="229"/>
      <c r="AD16" s="48">
        <f>IFERROR(AE15+AC16,0)</f>
        <v>0</v>
      </c>
      <c r="AE16" s="447">
        <f t="shared" si="7"/>
        <v>0</v>
      </c>
      <c r="AF16" s="134"/>
      <c r="AG16" s="135"/>
      <c r="AH16" s="135"/>
      <c r="AI16" s="14">
        <f t="shared" si="105"/>
        <v>0</v>
      </c>
      <c r="AJ16" s="14">
        <f t="shared" si="37"/>
        <v>0</v>
      </c>
      <c r="AK16" s="14">
        <f t="shared" si="8"/>
        <v>0.7</v>
      </c>
      <c r="AL16" s="230">
        <f t="shared" si="38"/>
        <v>0</v>
      </c>
      <c r="AM16" s="35">
        <f t="shared" si="9"/>
        <v>0.7</v>
      </c>
      <c r="AN16" s="157">
        <f t="shared" si="93"/>
        <v>0</v>
      </c>
      <c r="AO16" s="134"/>
      <c r="AP16" s="14">
        <f t="shared" si="10"/>
        <v>10</v>
      </c>
      <c r="AQ16" s="482">
        <f t="shared" si="39"/>
        <v>0</v>
      </c>
      <c r="AR16" s="470">
        <f t="shared" si="78"/>
        <v>0</v>
      </c>
      <c r="AS16" s="51">
        <f t="shared" si="11"/>
        <v>70</v>
      </c>
      <c r="AT16" s="103">
        <f t="shared" si="119"/>
        <v>0</v>
      </c>
      <c r="AU16" s="46">
        <f>AS16-AT16</f>
        <v>70</v>
      </c>
      <c r="AV16" s="51">
        <f t="shared" si="12"/>
        <v>77</v>
      </c>
      <c r="AW16" s="103">
        <f t="shared" si="120"/>
        <v>0</v>
      </c>
      <c r="AX16" s="71">
        <f t="shared" si="94"/>
        <v>77</v>
      </c>
      <c r="AZ16" s="120">
        <f t="shared" si="114"/>
        <v>5</v>
      </c>
      <c r="BA16" s="7">
        <f t="shared" si="121"/>
        <v>1</v>
      </c>
      <c r="BB16" s="133"/>
      <c r="BC16" s="48">
        <f t="shared" si="42"/>
        <v>0</v>
      </c>
      <c r="BD16" s="447">
        <f t="shared" si="13"/>
        <v>0</v>
      </c>
      <c r="BE16" s="134"/>
      <c r="BF16" s="135"/>
      <c r="BG16" s="135"/>
      <c r="BH16" s="14">
        <f t="shared" si="106"/>
        <v>0</v>
      </c>
      <c r="BI16" s="14">
        <f t="shared" si="43"/>
        <v>0</v>
      </c>
      <c r="BJ16" s="14">
        <f t="shared" si="14"/>
        <v>0.7</v>
      </c>
      <c r="BK16" s="47">
        <f t="shared" si="60"/>
        <v>0</v>
      </c>
      <c r="BL16" s="35">
        <f t="shared" si="15"/>
        <v>0.7</v>
      </c>
      <c r="BM16" s="157">
        <f t="shared" si="16"/>
        <v>0</v>
      </c>
      <c r="BN16" s="134"/>
      <c r="BO16" s="14">
        <f t="shared" si="17"/>
        <v>10</v>
      </c>
      <c r="BP16" s="442">
        <f t="shared" si="61"/>
        <v>0</v>
      </c>
      <c r="BQ16" s="747">
        <f t="shared" si="81"/>
        <v>0</v>
      </c>
      <c r="BR16" s="51">
        <f t="shared" si="18"/>
        <v>70</v>
      </c>
      <c r="BS16" s="103">
        <f t="shared" si="122"/>
        <v>0</v>
      </c>
      <c r="BT16" s="46">
        <f>BR16-BS16</f>
        <v>70</v>
      </c>
      <c r="BU16" s="51">
        <f t="shared" si="20"/>
        <v>77</v>
      </c>
      <c r="BV16" s="103">
        <f t="shared" si="123"/>
        <v>0</v>
      </c>
      <c r="BW16" s="71">
        <f t="shared" si="95"/>
        <v>77</v>
      </c>
      <c r="BY16" s="120">
        <f t="shared" si="124"/>
        <v>4</v>
      </c>
      <c r="BZ16" s="7">
        <f t="shared" si="125"/>
        <v>1</v>
      </c>
      <c r="CA16" s="133"/>
      <c r="CB16" s="14">
        <f t="shared" si="96"/>
        <v>0</v>
      </c>
      <c r="CC16" s="62">
        <f>IFERROR(CB16-CG16,0)</f>
        <v>0</v>
      </c>
      <c r="CD16" s="405"/>
      <c r="CE16" s="406"/>
      <c r="CF16" s="406"/>
      <c r="CG16" s="14">
        <f t="shared" si="108"/>
        <v>0</v>
      </c>
      <c r="CH16" s="14">
        <f t="shared" si="97"/>
        <v>0</v>
      </c>
      <c r="CI16" s="14">
        <f t="shared" si="21"/>
        <v>0.7</v>
      </c>
      <c r="CJ16" s="47">
        <f t="shared" si="65"/>
        <v>0</v>
      </c>
      <c r="CK16" s="35">
        <f t="shared" si="22"/>
        <v>0.7</v>
      </c>
      <c r="CL16" s="157">
        <f t="shared" si="84"/>
        <v>0</v>
      </c>
      <c r="CM16" s="134"/>
      <c r="CN16" s="14">
        <f t="shared" si="23"/>
        <v>10</v>
      </c>
      <c r="CO16" s="48">
        <f>IFERROR(CM16/CB16,0)</f>
        <v>0</v>
      </c>
      <c r="CP16" s="68">
        <f t="shared" si="66"/>
        <v>0</v>
      </c>
      <c r="CQ16" s="51">
        <f t="shared" si="24"/>
        <v>70</v>
      </c>
      <c r="CR16" s="103">
        <f t="shared" si="126"/>
        <v>0</v>
      </c>
      <c r="CS16" s="46">
        <f>CQ16-CR16</f>
        <v>70</v>
      </c>
      <c r="CT16" s="12">
        <f t="shared" si="25"/>
        <v>77</v>
      </c>
      <c r="CU16" s="112">
        <f t="shared" si="127"/>
        <v>0</v>
      </c>
      <c r="CV16" s="71">
        <f t="shared" si="47"/>
        <v>77</v>
      </c>
      <c r="CX16" s="120">
        <f t="shared" si="128"/>
        <v>4</v>
      </c>
      <c r="CY16" s="7">
        <f t="shared" si="129"/>
        <v>1</v>
      </c>
      <c r="CZ16" s="133"/>
      <c r="DA16" s="14">
        <f t="shared" si="98"/>
        <v>0</v>
      </c>
      <c r="DB16" s="62">
        <f>IFERROR(DA16-DF16,0)</f>
        <v>0</v>
      </c>
      <c r="DC16" s="405"/>
      <c r="DD16" s="406"/>
      <c r="DE16" s="406"/>
      <c r="DF16" s="14">
        <f t="shared" si="110"/>
        <v>0</v>
      </c>
      <c r="DG16" s="14">
        <f t="shared" si="99"/>
        <v>0</v>
      </c>
      <c r="DH16" s="14">
        <f t="shared" si="26"/>
        <v>0.7</v>
      </c>
      <c r="DI16" s="47">
        <f t="shared" si="111"/>
        <v>0</v>
      </c>
      <c r="DJ16" s="35">
        <f t="shared" si="27"/>
        <v>0.7</v>
      </c>
      <c r="DK16" s="157">
        <f t="shared" si="101"/>
        <v>0</v>
      </c>
      <c r="DL16" s="134"/>
      <c r="DM16" s="14">
        <f t="shared" si="28"/>
        <v>10</v>
      </c>
      <c r="DN16" s="48">
        <f>IFERROR(DL16/DA16,0)</f>
        <v>0</v>
      </c>
      <c r="DO16" s="68">
        <f t="shared" si="102"/>
        <v>0</v>
      </c>
      <c r="DP16" s="51">
        <f t="shared" si="29"/>
        <v>70</v>
      </c>
      <c r="DQ16" s="103">
        <f t="shared" si="130"/>
        <v>0</v>
      </c>
      <c r="DR16" s="46">
        <f>DP16-DQ16</f>
        <v>70</v>
      </c>
      <c r="DS16" s="12">
        <f t="shared" si="30"/>
        <v>77</v>
      </c>
      <c r="DT16" s="112">
        <f t="shared" si="131"/>
        <v>0</v>
      </c>
      <c r="DU16" s="71">
        <f t="shared" si="92"/>
        <v>77</v>
      </c>
    </row>
    <row r="17" spans="1:125" ht="17.25" thickBot="1" x14ac:dyDescent="0.3">
      <c r="B17" s="120">
        <f t="shared" si="112"/>
        <v>6</v>
      </c>
      <c r="C17" s="570">
        <f t="shared" si="115"/>
        <v>1</v>
      </c>
      <c r="D17" s="133"/>
      <c r="E17" s="408">
        <f t="shared" si="31"/>
        <v>0</v>
      </c>
      <c r="F17" s="562">
        <f t="shared" si="0"/>
        <v>0</v>
      </c>
      <c r="G17" s="134"/>
      <c r="H17" s="135"/>
      <c r="I17" s="135"/>
      <c r="J17" s="14">
        <f t="shared" si="103"/>
        <v>0</v>
      </c>
      <c r="K17" s="14">
        <f t="shared" si="32"/>
        <v>0</v>
      </c>
      <c r="L17" s="14">
        <f t="shared" si="1"/>
        <v>0.7</v>
      </c>
      <c r="M17" s="47">
        <f t="shared" si="53"/>
        <v>0</v>
      </c>
      <c r="N17" s="35">
        <f t="shared" si="2"/>
        <v>0.7</v>
      </c>
      <c r="O17" s="132">
        <f t="shared" si="33"/>
        <v>0</v>
      </c>
      <c r="P17" s="142"/>
      <c r="Q17" s="14">
        <f t="shared" si="3"/>
        <v>10</v>
      </c>
      <c r="R17" s="442">
        <f t="shared" si="4"/>
        <v>0</v>
      </c>
      <c r="S17" s="470">
        <f t="shared" si="34"/>
        <v>0</v>
      </c>
      <c r="T17" s="51">
        <f t="shared" si="5"/>
        <v>70</v>
      </c>
      <c r="U17" s="103">
        <f t="shared" si="116"/>
        <v>0</v>
      </c>
      <c r="V17" s="62">
        <f>T17-U17</f>
        <v>70</v>
      </c>
      <c r="W17" s="51">
        <f t="shared" si="6"/>
        <v>77</v>
      </c>
      <c r="X17" s="103">
        <f t="shared" si="117"/>
        <v>0</v>
      </c>
      <c r="Y17" s="71">
        <f t="shared" si="36"/>
        <v>77</v>
      </c>
      <c r="Z17" s="788"/>
      <c r="AA17" s="403">
        <f t="shared" si="113"/>
        <v>6</v>
      </c>
      <c r="AB17" s="404">
        <f t="shared" si="118"/>
        <v>1</v>
      </c>
      <c r="AC17" s="493"/>
      <c r="AD17" s="48">
        <f>IFERROR(AE16+AC17,0)</f>
        <v>0</v>
      </c>
      <c r="AE17" s="196">
        <f t="shared" si="7"/>
        <v>0</v>
      </c>
      <c r="AF17" s="134"/>
      <c r="AG17" s="135"/>
      <c r="AH17" s="135"/>
      <c r="AI17" s="14">
        <f t="shared" si="105"/>
        <v>0</v>
      </c>
      <c r="AJ17" s="14">
        <f t="shared" si="37"/>
        <v>0</v>
      </c>
      <c r="AK17" s="14">
        <f t="shared" si="8"/>
        <v>0.7</v>
      </c>
      <c r="AL17" s="230">
        <f t="shared" si="38"/>
        <v>0</v>
      </c>
      <c r="AM17" s="35">
        <f t="shared" si="9"/>
        <v>0.7</v>
      </c>
      <c r="AN17" s="157">
        <f t="shared" si="93"/>
        <v>0</v>
      </c>
      <c r="AO17" s="134"/>
      <c r="AP17" s="14">
        <f t="shared" si="10"/>
        <v>10</v>
      </c>
      <c r="AQ17" s="482">
        <f t="shared" si="39"/>
        <v>0</v>
      </c>
      <c r="AR17" s="470">
        <f t="shared" si="78"/>
        <v>0</v>
      </c>
      <c r="AS17" s="51">
        <f t="shared" si="11"/>
        <v>70</v>
      </c>
      <c r="AT17" s="103">
        <f t="shared" si="119"/>
        <v>0</v>
      </c>
      <c r="AU17" s="62">
        <f>AS17-AT17</f>
        <v>70</v>
      </c>
      <c r="AV17" s="51">
        <f t="shared" si="12"/>
        <v>77</v>
      </c>
      <c r="AW17" s="103">
        <f t="shared" si="120"/>
        <v>0</v>
      </c>
      <c r="AX17" s="71">
        <f t="shared" si="94"/>
        <v>77</v>
      </c>
      <c r="AZ17" s="120">
        <f t="shared" si="114"/>
        <v>6</v>
      </c>
      <c r="BA17" s="7">
        <f t="shared" si="121"/>
        <v>1</v>
      </c>
      <c r="BB17" s="133"/>
      <c r="BC17" s="48">
        <f t="shared" si="42"/>
        <v>0</v>
      </c>
      <c r="BD17" s="196">
        <f t="shared" si="13"/>
        <v>0</v>
      </c>
      <c r="BE17" s="134"/>
      <c r="BF17" s="135"/>
      <c r="BG17" s="135"/>
      <c r="BH17" s="14">
        <f t="shared" si="106"/>
        <v>0</v>
      </c>
      <c r="BI17" s="14">
        <f t="shared" si="43"/>
        <v>0</v>
      </c>
      <c r="BJ17" s="14">
        <f t="shared" si="14"/>
        <v>0.7</v>
      </c>
      <c r="BK17" s="47">
        <f t="shared" si="60"/>
        <v>0</v>
      </c>
      <c r="BL17" s="35">
        <f t="shared" si="15"/>
        <v>0.7</v>
      </c>
      <c r="BM17" s="157">
        <f t="shared" si="16"/>
        <v>0</v>
      </c>
      <c r="BN17" s="134"/>
      <c r="BO17" s="14">
        <f t="shared" si="17"/>
        <v>10</v>
      </c>
      <c r="BP17" s="442">
        <f t="shared" si="61"/>
        <v>0</v>
      </c>
      <c r="BQ17" s="747">
        <f t="shared" si="81"/>
        <v>0</v>
      </c>
      <c r="BR17" s="51">
        <f t="shared" si="18"/>
        <v>70</v>
      </c>
      <c r="BS17" s="103">
        <f t="shared" si="122"/>
        <v>0</v>
      </c>
      <c r="BT17" s="62">
        <f>BR17-BS17</f>
        <v>70</v>
      </c>
      <c r="BU17" s="51">
        <f t="shared" si="20"/>
        <v>77</v>
      </c>
      <c r="BV17" s="103">
        <f t="shared" si="123"/>
        <v>0</v>
      </c>
      <c r="BW17" s="71">
        <f t="shared" si="95"/>
        <v>77</v>
      </c>
      <c r="BY17" s="120">
        <f>BY16+1</f>
        <v>5</v>
      </c>
      <c r="BZ17" s="7">
        <f t="shared" si="125"/>
        <v>1</v>
      </c>
      <c r="CA17" s="133"/>
      <c r="CB17" s="14">
        <f t="shared" si="96"/>
        <v>0</v>
      </c>
      <c r="CC17" s="59">
        <f>IFERROR(CB17-CG17,0)</f>
        <v>0</v>
      </c>
      <c r="CD17" s="405"/>
      <c r="CE17" s="406"/>
      <c r="CF17" s="406"/>
      <c r="CG17" s="14">
        <f t="shared" si="108"/>
        <v>0</v>
      </c>
      <c r="CH17" s="14">
        <f t="shared" si="97"/>
        <v>0</v>
      </c>
      <c r="CI17" s="14">
        <f t="shared" si="21"/>
        <v>0.7</v>
      </c>
      <c r="CJ17" s="47">
        <f t="shared" si="65"/>
        <v>0</v>
      </c>
      <c r="CK17" s="35">
        <f t="shared" si="22"/>
        <v>0.7</v>
      </c>
      <c r="CL17" s="157">
        <f t="shared" si="84"/>
        <v>0</v>
      </c>
      <c r="CM17" s="134"/>
      <c r="CN17" s="14">
        <f t="shared" si="23"/>
        <v>10</v>
      </c>
      <c r="CO17" s="48">
        <f t="shared" si="85"/>
        <v>0</v>
      </c>
      <c r="CP17" s="68">
        <f t="shared" si="66"/>
        <v>0</v>
      </c>
      <c r="CQ17" s="51">
        <f t="shared" si="24"/>
        <v>70</v>
      </c>
      <c r="CR17" s="103">
        <f t="shared" si="126"/>
        <v>0</v>
      </c>
      <c r="CS17" s="62">
        <f>CQ17-CR17</f>
        <v>70</v>
      </c>
      <c r="CT17" s="50">
        <f t="shared" si="25"/>
        <v>77</v>
      </c>
      <c r="CU17" s="112">
        <f t="shared" si="127"/>
        <v>0</v>
      </c>
      <c r="CV17" s="71">
        <f t="shared" si="47"/>
        <v>77</v>
      </c>
      <c r="CX17" s="120">
        <f>CX16+1</f>
        <v>5</v>
      </c>
      <c r="CY17" s="7">
        <f t="shared" si="129"/>
        <v>1</v>
      </c>
      <c r="CZ17" s="133"/>
      <c r="DA17" s="14">
        <f t="shared" si="98"/>
        <v>0</v>
      </c>
      <c r="DB17" s="59">
        <f>IFERROR(DA17-DF17,0)</f>
        <v>0</v>
      </c>
      <c r="DC17" s="405"/>
      <c r="DD17" s="406"/>
      <c r="DE17" s="406"/>
      <c r="DF17" s="14">
        <f t="shared" si="110"/>
        <v>0</v>
      </c>
      <c r="DG17" s="14">
        <f t="shared" si="99"/>
        <v>0</v>
      </c>
      <c r="DH17" s="14">
        <f t="shared" si="26"/>
        <v>0.7</v>
      </c>
      <c r="DI17" s="47">
        <f t="shared" si="111"/>
        <v>0</v>
      </c>
      <c r="DJ17" s="35">
        <f t="shared" si="27"/>
        <v>0.7</v>
      </c>
      <c r="DK17" s="157">
        <f t="shared" si="101"/>
        <v>0</v>
      </c>
      <c r="DL17" s="134"/>
      <c r="DM17" s="14">
        <f t="shared" si="28"/>
        <v>10</v>
      </c>
      <c r="DN17" s="48">
        <f t="shared" ref="DN17:DN80" si="132">IFERROR(DL17/DA17,0)</f>
        <v>0</v>
      </c>
      <c r="DO17" s="68">
        <f t="shared" si="102"/>
        <v>0</v>
      </c>
      <c r="DP17" s="51">
        <f t="shared" si="29"/>
        <v>70</v>
      </c>
      <c r="DQ17" s="103">
        <f t="shared" si="130"/>
        <v>0</v>
      </c>
      <c r="DR17" s="62">
        <f>DP17-DQ17</f>
        <v>70</v>
      </c>
      <c r="DS17" s="50">
        <f t="shared" si="30"/>
        <v>77</v>
      </c>
      <c r="DT17" s="112">
        <f t="shared" si="131"/>
        <v>0</v>
      </c>
      <c r="DU17" s="71">
        <f t="shared" si="92"/>
        <v>77</v>
      </c>
    </row>
    <row r="18" spans="1:125" ht="17.25" thickBot="1" x14ac:dyDescent="0.3">
      <c r="B18" s="120">
        <f t="shared" si="112"/>
        <v>7</v>
      </c>
      <c r="C18" s="570">
        <f t="shared" si="115"/>
        <v>1</v>
      </c>
      <c r="D18" s="133"/>
      <c r="E18" s="408">
        <f t="shared" si="31"/>
        <v>0</v>
      </c>
      <c r="F18" s="562">
        <f t="shared" si="0"/>
        <v>0</v>
      </c>
      <c r="G18" s="134"/>
      <c r="H18" s="135"/>
      <c r="I18" s="135"/>
      <c r="J18" s="14">
        <f t="shared" si="103"/>
        <v>0</v>
      </c>
      <c r="K18" s="14">
        <f t="shared" si="32"/>
        <v>0</v>
      </c>
      <c r="L18" s="14">
        <f t="shared" si="1"/>
        <v>0.7</v>
      </c>
      <c r="M18" s="47">
        <f t="shared" si="53"/>
        <v>0</v>
      </c>
      <c r="N18" s="35">
        <f t="shared" si="2"/>
        <v>0.7</v>
      </c>
      <c r="O18" s="132">
        <f t="shared" si="33"/>
        <v>0</v>
      </c>
      <c r="P18" s="142"/>
      <c r="Q18" s="14">
        <f t="shared" si="3"/>
        <v>10</v>
      </c>
      <c r="R18" s="442">
        <f t="shared" si="4"/>
        <v>0</v>
      </c>
      <c r="S18" s="470">
        <f t="shared" si="34"/>
        <v>0</v>
      </c>
      <c r="T18" s="51">
        <f t="shared" si="5"/>
        <v>70</v>
      </c>
      <c r="U18" s="103">
        <f t="shared" si="116"/>
        <v>0</v>
      </c>
      <c r="V18" s="46">
        <f>T18-U18</f>
        <v>70</v>
      </c>
      <c r="W18" s="12">
        <f t="shared" si="6"/>
        <v>77</v>
      </c>
      <c r="X18" s="103">
        <f t="shared" si="117"/>
        <v>0</v>
      </c>
      <c r="Y18" s="71">
        <f t="shared" si="36"/>
        <v>77</v>
      </c>
      <c r="Z18" s="487"/>
      <c r="AA18" s="120">
        <f t="shared" si="113"/>
        <v>7</v>
      </c>
      <c r="AB18" s="7">
        <f t="shared" si="118"/>
        <v>1</v>
      </c>
      <c r="AC18" s="229"/>
      <c r="AD18" s="48">
        <f t="shared" ref="AD18:AD25" si="133">IFERROR(AE17+AC18,0)</f>
        <v>0</v>
      </c>
      <c r="AE18" s="49">
        <f t="shared" si="7"/>
        <v>0</v>
      </c>
      <c r="AF18" s="134"/>
      <c r="AG18" s="135"/>
      <c r="AH18" s="135"/>
      <c r="AI18" s="14">
        <f t="shared" si="105"/>
        <v>0</v>
      </c>
      <c r="AJ18" s="14">
        <f t="shared" si="37"/>
        <v>0</v>
      </c>
      <c r="AK18" s="14">
        <f t="shared" si="8"/>
        <v>0.7</v>
      </c>
      <c r="AL18" s="230">
        <f t="shared" si="38"/>
        <v>0</v>
      </c>
      <c r="AM18" s="35">
        <f t="shared" si="9"/>
        <v>0.7</v>
      </c>
      <c r="AN18" s="157">
        <f t="shared" si="93"/>
        <v>0</v>
      </c>
      <c r="AO18" s="134"/>
      <c r="AP18" s="14">
        <f t="shared" si="10"/>
        <v>10</v>
      </c>
      <c r="AQ18" s="482">
        <f t="shared" si="39"/>
        <v>0</v>
      </c>
      <c r="AR18" s="470">
        <f t="shared" si="78"/>
        <v>0</v>
      </c>
      <c r="AS18" s="51">
        <f t="shared" si="11"/>
        <v>70</v>
      </c>
      <c r="AT18" s="103">
        <f t="shared" si="119"/>
        <v>0</v>
      </c>
      <c r="AU18" s="46">
        <f>AS18-AT18</f>
        <v>70</v>
      </c>
      <c r="AV18" s="12">
        <f t="shared" si="12"/>
        <v>77</v>
      </c>
      <c r="AW18" s="103">
        <f t="shared" si="120"/>
        <v>0</v>
      </c>
      <c r="AX18" s="71">
        <f t="shared" si="94"/>
        <v>77</v>
      </c>
      <c r="AZ18" s="120">
        <f t="shared" si="114"/>
        <v>7</v>
      </c>
      <c r="BA18" s="7">
        <f t="shared" si="121"/>
        <v>1</v>
      </c>
      <c r="BB18" s="133"/>
      <c r="BC18" s="48">
        <f t="shared" si="42"/>
        <v>0</v>
      </c>
      <c r="BD18" s="49">
        <f t="shared" si="13"/>
        <v>0</v>
      </c>
      <c r="BE18" s="134"/>
      <c r="BF18" s="135"/>
      <c r="BG18" s="135"/>
      <c r="BH18" s="14">
        <f t="shared" si="106"/>
        <v>0</v>
      </c>
      <c r="BI18" s="14">
        <f t="shared" si="43"/>
        <v>0</v>
      </c>
      <c r="BJ18" s="14">
        <f t="shared" si="14"/>
        <v>0.7</v>
      </c>
      <c r="BK18" s="47">
        <f t="shared" si="60"/>
        <v>0</v>
      </c>
      <c r="BL18" s="35">
        <f t="shared" si="15"/>
        <v>0.7</v>
      </c>
      <c r="BM18" s="157">
        <f t="shared" si="16"/>
        <v>0</v>
      </c>
      <c r="BN18" s="134"/>
      <c r="BO18" s="14">
        <f t="shared" si="17"/>
        <v>10</v>
      </c>
      <c r="BP18" s="442">
        <f t="shared" si="61"/>
        <v>0</v>
      </c>
      <c r="BQ18" s="747">
        <f t="shared" si="81"/>
        <v>0</v>
      </c>
      <c r="BR18" s="51">
        <f t="shared" si="18"/>
        <v>70</v>
      </c>
      <c r="BS18" s="103">
        <f t="shared" si="122"/>
        <v>0</v>
      </c>
      <c r="BT18" s="46">
        <f>BR18-BS18</f>
        <v>70</v>
      </c>
      <c r="BU18" s="12">
        <f t="shared" si="20"/>
        <v>77</v>
      </c>
      <c r="BV18" s="103">
        <f t="shared" si="123"/>
        <v>0</v>
      </c>
      <c r="BW18" s="71">
        <f t="shared" si="95"/>
        <v>77</v>
      </c>
      <c r="BY18" s="120">
        <f t="shared" ref="BY18:BY19" si="134">BY17+1</f>
        <v>6</v>
      </c>
      <c r="BZ18" s="7">
        <f t="shared" si="125"/>
        <v>1</v>
      </c>
      <c r="CA18" s="133"/>
      <c r="CB18" s="14">
        <f t="shared" si="96"/>
        <v>0</v>
      </c>
      <c r="CC18" s="46">
        <f>IFERROR(CB18-CG18,0)</f>
        <v>0</v>
      </c>
      <c r="CD18" s="405"/>
      <c r="CE18" s="406"/>
      <c r="CF18" s="406"/>
      <c r="CG18" s="14">
        <f t="shared" si="108"/>
        <v>0</v>
      </c>
      <c r="CH18" s="14">
        <f t="shared" si="97"/>
        <v>0</v>
      </c>
      <c r="CI18" s="14">
        <f t="shared" si="21"/>
        <v>0.7</v>
      </c>
      <c r="CJ18" s="47">
        <f t="shared" si="65"/>
        <v>0</v>
      </c>
      <c r="CK18" s="35">
        <f t="shared" si="22"/>
        <v>0.7</v>
      </c>
      <c r="CL18" s="157">
        <f t="shared" si="84"/>
        <v>0</v>
      </c>
      <c r="CM18" s="134"/>
      <c r="CN18" s="14">
        <f t="shared" si="23"/>
        <v>10</v>
      </c>
      <c r="CO18" s="48">
        <f t="shared" si="85"/>
        <v>0</v>
      </c>
      <c r="CP18" s="68">
        <f t="shared" si="66"/>
        <v>0</v>
      </c>
      <c r="CQ18" s="51">
        <f t="shared" si="24"/>
        <v>70</v>
      </c>
      <c r="CR18" s="103">
        <f t="shared" si="126"/>
        <v>0</v>
      </c>
      <c r="CS18" s="46">
        <f>CQ18-CR18</f>
        <v>70</v>
      </c>
      <c r="CT18" s="50">
        <f t="shared" si="25"/>
        <v>77</v>
      </c>
      <c r="CU18" s="112">
        <f t="shared" si="127"/>
        <v>0</v>
      </c>
      <c r="CV18" s="71">
        <f t="shared" si="47"/>
        <v>77</v>
      </c>
      <c r="CX18" s="120">
        <f t="shared" ref="CX18:CX19" si="135">CX17+1</f>
        <v>6</v>
      </c>
      <c r="CY18" s="7">
        <f t="shared" si="129"/>
        <v>1</v>
      </c>
      <c r="CZ18" s="133"/>
      <c r="DA18" s="14">
        <f t="shared" si="98"/>
        <v>0</v>
      </c>
      <c r="DB18" s="46">
        <f>IFERROR(DA18-DF18,0)</f>
        <v>0</v>
      </c>
      <c r="DC18" s="405"/>
      <c r="DD18" s="406"/>
      <c r="DE18" s="406"/>
      <c r="DF18" s="14">
        <f t="shared" si="110"/>
        <v>0</v>
      </c>
      <c r="DG18" s="14">
        <f t="shared" si="99"/>
        <v>0</v>
      </c>
      <c r="DH18" s="14">
        <f t="shared" si="26"/>
        <v>0.7</v>
      </c>
      <c r="DI18" s="47">
        <f t="shared" si="111"/>
        <v>0</v>
      </c>
      <c r="DJ18" s="35">
        <f t="shared" si="27"/>
        <v>0.7</v>
      </c>
      <c r="DK18" s="157">
        <f t="shared" si="101"/>
        <v>0</v>
      </c>
      <c r="DL18" s="134"/>
      <c r="DM18" s="14">
        <f t="shared" si="28"/>
        <v>10</v>
      </c>
      <c r="DN18" s="48">
        <f t="shared" si="132"/>
        <v>0</v>
      </c>
      <c r="DO18" s="68">
        <f t="shared" si="102"/>
        <v>0</v>
      </c>
      <c r="DP18" s="51">
        <f t="shared" si="29"/>
        <v>70</v>
      </c>
      <c r="DQ18" s="103">
        <f t="shared" si="130"/>
        <v>0</v>
      </c>
      <c r="DR18" s="46">
        <f>DP18-DQ18</f>
        <v>70</v>
      </c>
      <c r="DS18" s="50">
        <f t="shared" si="30"/>
        <v>77</v>
      </c>
      <c r="DT18" s="112">
        <f t="shared" si="131"/>
        <v>0</v>
      </c>
      <c r="DU18" s="71">
        <f t="shared" si="92"/>
        <v>77</v>
      </c>
    </row>
    <row r="19" spans="1:125" ht="17.25" thickBot="1" x14ac:dyDescent="0.3">
      <c r="B19" s="197">
        <f t="shared" si="112"/>
        <v>8</v>
      </c>
      <c r="C19" s="574">
        <f t="shared" si="115"/>
        <v>1</v>
      </c>
      <c r="D19" s="136"/>
      <c r="E19" s="436">
        <f>IFERROR(F18+D19,0)</f>
        <v>0</v>
      </c>
      <c r="F19" s="562">
        <f t="shared" si="0"/>
        <v>0</v>
      </c>
      <c r="G19" s="137"/>
      <c r="H19" s="138"/>
      <c r="I19" s="138"/>
      <c r="J19" s="32">
        <f t="shared" si="103"/>
        <v>0</v>
      </c>
      <c r="K19" s="32">
        <f t="shared" si="32"/>
        <v>0</v>
      </c>
      <c r="L19" s="32">
        <f t="shared" si="1"/>
        <v>0.7</v>
      </c>
      <c r="M19" s="96">
        <f t="shared" si="53"/>
        <v>0</v>
      </c>
      <c r="N19" s="36">
        <f t="shared" si="2"/>
        <v>0.7</v>
      </c>
      <c r="O19" s="132">
        <f t="shared" si="33"/>
        <v>0</v>
      </c>
      <c r="P19" s="139"/>
      <c r="Q19" s="32">
        <f t="shared" si="3"/>
        <v>10</v>
      </c>
      <c r="R19" s="443">
        <f t="shared" si="4"/>
        <v>0</v>
      </c>
      <c r="S19" s="471">
        <f t="shared" si="34"/>
        <v>0</v>
      </c>
      <c r="T19" s="56">
        <f t="shared" si="5"/>
        <v>70</v>
      </c>
      <c r="U19" s="109">
        <f t="shared" si="116"/>
        <v>0</v>
      </c>
      <c r="V19" s="63">
        <f>T19-U19</f>
        <v>70</v>
      </c>
      <c r="W19" s="56">
        <f t="shared" si="6"/>
        <v>77</v>
      </c>
      <c r="X19" s="109">
        <f t="shared" si="117"/>
        <v>0</v>
      </c>
      <c r="Y19" s="63">
        <f t="shared" si="36"/>
        <v>77</v>
      </c>
      <c r="Z19" s="487"/>
      <c r="AA19" s="197">
        <f t="shared" si="113"/>
        <v>8</v>
      </c>
      <c r="AB19" s="8">
        <f t="shared" si="118"/>
        <v>1</v>
      </c>
      <c r="AC19" s="434"/>
      <c r="AD19" s="54">
        <f>IFERROR(AE18+AC20,0)</f>
        <v>0</v>
      </c>
      <c r="AE19" s="448">
        <f t="shared" si="7"/>
        <v>0</v>
      </c>
      <c r="AF19" s="137"/>
      <c r="AG19" s="138"/>
      <c r="AH19" s="138"/>
      <c r="AI19" s="34">
        <f t="shared" si="105"/>
        <v>0</v>
      </c>
      <c r="AJ19" s="34">
        <f t="shared" si="37"/>
        <v>0</v>
      </c>
      <c r="AK19" s="17">
        <f t="shared" si="8"/>
        <v>0.7</v>
      </c>
      <c r="AL19" s="96">
        <f t="shared" si="38"/>
        <v>0</v>
      </c>
      <c r="AM19" s="33">
        <f t="shared" si="9"/>
        <v>0.7</v>
      </c>
      <c r="AN19" s="157">
        <f>IFERROR((AJ19*100)/$AC$19,0)</f>
        <v>0</v>
      </c>
      <c r="AO19" s="137"/>
      <c r="AP19" s="13">
        <f t="shared" si="10"/>
        <v>10</v>
      </c>
      <c r="AQ19" s="443">
        <f t="shared" si="39"/>
        <v>0</v>
      </c>
      <c r="AR19" s="471">
        <f t="shared" si="78"/>
        <v>0</v>
      </c>
      <c r="AS19" s="56">
        <f t="shared" si="11"/>
        <v>70</v>
      </c>
      <c r="AT19" s="103">
        <f t="shared" si="119"/>
        <v>0</v>
      </c>
      <c r="AU19" s="63">
        <f>AS19-AT19</f>
        <v>70</v>
      </c>
      <c r="AV19" s="56">
        <f t="shared" si="12"/>
        <v>77</v>
      </c>
      <c r="AW19" s="103">
        <f t="shared" si="120"/>
        <v>0</v>
      </c>
      <c r="AX19" s="63">
        <f t="shared" si="94"/>
        <v>77</v>
      </c>
      <c r="AZ19" s="197">
        <f t="shared" si="114"/>
        <v>8</v>
      </c>
      <c r="BA19" s="8">
        <f t="shared" si="121"/>
        <v>1</v>
      </c>
      <c r="BB19" s="136"/>
      <c r="BC19" s="54">
        <f t="shared" si="42"/>
        <v>0</v>
      </c>
      <c r="BD19" s="448">
        <f t="shared" si="13"/>
        <v>0</v>
      </c>
      <c r="BE19" s="137"/>
      <c r="BF19" s="138"/>
      <c r="BG19" s="138"/>
      <c r="BH19" s="34">
        <f t="shared" si="106"/>
        <v>0</v>
      </c>
      <c r="BI19" s="34">
        <f t="shared" si="43"/>
        <v>0</v>
      </c>
      <c r="BJ19" s="34">
        <f t="shared" si="14"/>
        <v>0.7</v>
      </c>
      <c r="BK19" s="96">
        <f t="shared" si="60"/>
        <v>0</v>
      </c>
      <c r="BL19" s="40">
        <f t="shared" si="15"/>
        <v>0.7</v>
      </c>
      <c r="BM19" s="156">
        <f t="shared" si="16"/>
        <v>0</v>
      </c>
      <c r="BN19" s="137"/>
      <c r="BO19" s="32">
        <f t="shared" si="17"/>
        <v>10</v>
      </c>
      <c r="BP19" s="443">
        <f t="shared" si="61"/>
        <v>0</v>
      </c>
      <c r="BQ19" s="750">
        <f t="shared" si="81"/>
        <v>0</v>
      </c>
      <c r="BR19" s="56">
        <f t="shared" si="18"/>
        <v>70</v>
      </c>
      <c r="BS19" s="109">
        <f t="shared" si="122"/>
        <v>0</v>
      </c>
      <c r="BT19" s="63">
        <f>BR19-BS19</f>
        <v>70</v>
      </c>
      <c r="BU19" s="56">
        <f t="shared" si="20"/>
        <v>77</v>
      </c>
      <c r="BV19" s="109">
        <f t="shared" si="123"/>
        <v>0</v>
      </c>
      <c r="BW19" s="63">
        <f t="shared" si="95"/>
        <v>77</v>
      </c>
      <c r="BY19" s="120">
        <f t="shared" si="134"/>
        <v>7</v>
      </c>
      <c r="BZ19" s="8">
        <f t="shared" si="125"/>
        <v>1</v>
      </c>
      <c r="CA19" s="136"/>
      <c r="CB19" s="32">
        <f t="shared" si="96"/>
        <v>0</v>
      </c>
      <c r="CC19" s="63">
        <f>IFERROR(CB19-CG19,0)</f>
        <v>0</v>
      </c>
      <c r="CD19" s="421"/>
      <c r="CE19" s="426"/>
      <c r="CF19" s="426"/>
      <c r="CG19" s="34">
        <f t="shared" si="108"/>
        <v>0</v>
      </c>
      <c r="CH19" s="34">
        <f t="shared" si="97"/>
        <v>0</v>
      </c>
      <c r="CI19" s="17">
        <f t="shared" si="21"/>
        <v>0.7</v>
      </c>
      <c r="CJ19" s="166">
        <f t="shared" si="65"/>
        <v>0</v>
      </c>
      <c r="CK19" s="33">
        <f t="shared" si="22"/>
        <v>0.7</v>
      </c>
      <c r="CL19" s="156">
        <f t="shared" si="84"/>
        <v>0</v>
      </c>
      <c r="CM19" s="137"/>
      <c r="CN19" s="32">
        <f t="shared" si="23"/>
        <v>10</v>
      </c>
      <c r="CO19" s="54">
        <f t="shared" si="85"/>
        <v>0</v>
      </c>
      <c r="CP19" s="70">
        <f t="shared" si="66"/>
        <v>0</v>
      </c>
      <c r="CQ19" s="56">
        <f t="shared" si="24"/>
        <v>70</v>
      </c>
      <c r="CR19" s="103">
        <f t="shared" si="126"/>
        <v>0</v>
      </c>
      <c r="CS19" s="63">
        <f>CQ19-CR19</f>
        <v>70</v>
      </c>
      <c r="CT19" s="56">
        <f t="shared" si="25"/>
        <v>77</v>
      </c>
      <c r="CU19" s="112">
        <f t="shared" si="127"/>
        <v>0</v>
      </c>
      <c r="CV19" s="63">
        <f t="shared" si="47"/>
        <v>77</v>
      </c>
      <c r="CX19" s="120">
        <f t="shared" si="135"/>
        <v>7</v>
      </c>
      <c r="CY19" s="8">
        <f t="shared" si="129"/>
        <v>1</v>
      </c>
      <c r="CZ19" s="136"/>
      <c r="DA19" s="32">
        <f t="shared" si="98"/>
        <v>0</v>
      </c>
      <c r="DB19" s="63">
        <f>IFERROR(DA19-DF19,0)</f>
        <v>0</v>
      </c>
      <c r="DC19" s="421"/>
      <c r="DD19" s="426"/>
      <c r="DE19" s="426"/>
      <c r="DF19" s="34">
        <f t="shared" si="110"/>
        <v>0</v>
      </c>
      <c r="DG19" s="34">
        <f t="shared" si="99"/>
        <v>0</v>
      </c>
      <c r="DH19" s="17">
        <f t="shared" si="26"/>
        <v>0.7</v>
      </c>
      <c r="DI19" s="166">
        <f t="shared" si="111"/>
        <v>0</v>
      </c>
      <c r="DJ19" s="33">
        <f t="shared" si="27"/>
        <v>0.7</v>
      </c>
      <c r="DK19" s="156">
        <f t="shared" si="101"/>
        <v>0</v>
      </c>
      <c r="DL19" s="137"/>
      <c r="DM19" s="32">
        <f t="shared" si="28"/>
        <v>10</v>
      </c>
      <c r="DN19" s="54">
        <f t="shared" si="132"/>
        <v>0</v>
      </c>
      <c r="DO19" s="70">
        <f t="shared" si="102"/>
        <v>0</v>
      </c>
      <c r="DP19" s="56">
        <f t="shared" si="29"/>
        <v>70</v>
      </c>
      <c r="DQ19" s="103">
        <f t="shared" si="130"/>
        <v>0</v>
      </c>
      <c r="DR19" s="63">
        <f>DP19-DQ19</f>
        <v>70</v>
      </c>
      <c r="DS19" s="56">
        <f t="shared" si="30"/>
        <v>77</v>
      </c>
      <c r="DT19" s="112">
        <f t="shared" si="131"/>
        <v>0</v>
      </c>
      <c r="DU19" s="63">
        <f t="shared" si="92"/>
        <v>77</v>
      </c>
    </row>
    <row r="20" spans="1:125" ht="17.25" thickBot="1" x14ac:dyDescent="0.3">
      <c r="B20" s="118">
        <v>9</v>
      </c>
      <c r="C20" s="575">
        <v>2</v>
      </c>
      <c r="D20" s="129"/>
      <c r="E20" s="400">
        <f t="shared" si="31"/>
        <v>0</v>
      </c>
      <c r="F20" s="561">
        <f t="shared" si="0"/>
        <v>0</v>
      </c>
      <c r="G20" s="130"/>
      <c r="H20" s="131"/>
      <c r="I20" s="131"/>
      <c r="J20" s="11">
        <f t="shared" si="103"/>
        <v>0</v>
      </c>
      <c r="K20" s="11">
        <f t="shared" si="32"/>
        <v>0</v>
      </c>
      <c r="L20" s="11">
        <f t="shared" si="1"/>
        <v>0.7</v>
      </c>
      <c r="M20" s="42">
        <f t="shared" si="53"/>
        <v>0</v>
      </c>
      <c r="N20" s="21">
        <f t="shared" si="2"/>
        <v>1.4</v>
      </c>
      <c r="O20" s="132">
        <f t="shared" si="33"/>
        <v>0</v>
      </c>
      <c r="P20" s="158"/>
      <c r="Q20" s="11">
        <f t="shared" si="3"/>
        <v>17</v>
      </c>
      <c r="R20" s="441">
        <f t="shared" si="4"/>
        <v>0</v>
      </c>
      <c r="S20" s="469">
        <f t="shared" si="34"/>
        <v>0</v>
      </c>
      <c r="T20" s="58">
        <f t="shared" si="5"/>
        <v>120</v>
      </c>
      <c r="U20" s="131"/>
      <c r="V20" s="57">
        <f t="shared" si="35"/>
        <v>120</v>
      </c>
      <c r="W20" s="58">
        <f t="shared" si="6"/>
        <v>77</v>
      </c>
      <c r="X20" s="131"/>
      <c r="Y20" s="41">
        <f t="shared" si="36"/>
        <v>77</v>
      </c>
      <c r="Z20" s="487"/>
      <c r="AA20" s="118">
        <v>9</v>
      </c>
      <c r="AB20" s="9">
        <v>2</v>
      </c>
      <c r="AC20" s="396"/>
      <c r="AD20" s="43">
        <f t="shared" si="133"/>
        <v>0</v>
      </c>
      <c r="AE20" s="449">
        <f t="shared" si="7"/>
        <v>0</v>
      </c>
      <c r="AF20" s="130"/>
      <c r="AG20" s="131"/>
      <c r="AH20" s="131"/>
      <c r="AI20" s="11">
        <f t="shared" si="105"/>
        <v>0</v>
      </c>
      <c r="AJ20" s="11">
        <f t="shared" si="37"/>
        <v>0</v>
      </c>
      <c r="AK20" s="16">
        <f t="shared" si="8"/>
        <v>0.7</v>
      </c>
      <c r="AL20" s="153">
        <f t="shared" si="38"/>
        <v>0</v>
      </c>
      <c r="AM20" s="154">
        <f t="shared" si="9"/>
        <v>1.4</v>
      </c>
      <c r="AN20" s="157">
        <f t="shared" si="93"/>
        <v>0</v>
      </c>
      <c r="AO20" s="130"/>
      <c r="AP20" s="11">
        <f t="shared" si="10"/>
        <v>17</v>
      </c>
      <c r="AQ20" s="481">
        <f t="shared" si="39"/>
        <v>0</v>
      </c>
      <c r="AR20" s="469">
        <f t="shared" si="78"/>
        <v>0</v>
      </c>
      <c r="AS20" s="61">
        <f t="shared" si="11"/>
        <v>120</v>
      </c>
      <c r="AT20" s="131"/>
      <c r="AU20" s="57">
        <f t="shared" ref="AU20:AU83" si="136">AS20-AT20</f>
        <v>120</v>
      </c>
      <c r="AV20" s="58">
        <f t="shared" si="12"/>
        <v>77</v>
      </c>
      <c r="AW20" s="131"/>
      <c r="AX20" s="41">
        <f t="shared" si="94"/>
        <v>77</v>
      </c>
      <c r="AZ20" s="198">
        <v>9</v>
      </c>
      <c r="BA20" s="38">
        <v>2</v>
      </c>
      <c r="BB20" s="143"/>
      <c r="BC20" s="60">
        <f t="shared" si="42"/>
        <v>0</v>
      </c>
      <c r="BD20" s="447">
        <f t="shared" si="13"/>
        <v>0</v>
      </c>
      <c r="BE20" s="144"/>
      <c r="BF20" s="141"/>
      <c r="BG20" s="141"/>
      <c r="BH20" s="17">
        <f t="shared" si="106"/>
        <v>0</v>
      </c>
      <c r="BI20" s="17">
        <f t="shared" si="43"/>
        <v>0</v>
      </c>
      <c r="BJ20" s="31">
        <f t="shared" si="14"/>
        <v>0.7</v>
      </c>
      <c r="BK20" s="235">
        <f t="shared" si="60"/>
        <v>0</v>
      </c>
      <c r="BL20" s="37">
        <f t="shared" si="15"/>
        <v>1.4</v>
      </c>
      <c r="BM20" s="155">
        <f t="shared" si="16"/>
        <v>0</v>
      </c>
      <c r="BN20" s="144"/>
      <c r="BO20" s="17">
        <f t="shared" si="17"/>
        <v>17</v>
      </c>
      <c r="BP20" s="479">
        <f t="shared" si="61"/>
        <v>0</v>
      </c>
      <c r="BQ20" s="751">
        <f t="shared" si="81"/>
        <v>0</v>
      </c>
      <c r="BR20" s="61">
        <f t="shared" si="18"/>
        <v>120</v>
      </c>
      <c r="BS20" s="141"/>
      <c r="BT20" s="62">
        <f t="shared" ref="BT20:BT83" si="137">BR20-BS20</f>
        <v>120</v>
      </c>
      <c r="BU20" s="61">
        <f t="shared" si="20"/>
        <v>77</v>
      </c>
      <c r="BV20" s="141"/>
      <c r="BW20" s="71">
        <f t="shared" si="95"/>
        <v>77</v>
      </c>
      <c r="BY20" s="118">
        <v>8</v>
      </c>
      <c r="BZ20" s="9">
        <v>2</v>
      </c>
      <c r="CA20" s="129"/>
      <c r="CB20" s="11">
        <f t="shared" si="96"/>
        <v>0</v>
      </c>
      <c r="CC20" s="57">
        <f t="shared" si="107"/>
        <v>0</v>
      </c>
      <c r="CD20" s="398"/>
      <c r="CE20" s="399"/>
      <c r="CF20" s="399"/>
      <c r="CG20" s="11">
        <f t="shared" si="108"/>
        <v>0</v>
      </c>
      <c r="CH20" s="11">
        <f t="shared" si="97"/>
        <v>0</v>
      </c>
      <c r="CI20" s="16">
        <f t="shared" si="21"/>
        <v>0.7</v>
      </c>
      <c r="CJ20" s="231">
        <f t="shared" si="65"/>
        <v>0</v>
      </c>
      <c r="CK20" s="154">
        <f t="shared" si="22"/>
        <v>1.4</v>
      </c>
      <c r="CL20" s="155">
        <f t="shared" si="84"/>
        <v>0</v>
      </c>
      <c r="CM20" s="130"/>
      <c r="CN20" s="17">
        <f t="shared" si="23"/>
        <v>17</v>
      </c>
      <c r="CO20" s="60">
        <f t="shared" si="85"/>
        <v>0</v>
      </c>
      <c r="CP20" s="377">
        <f t="shared" si="66"/>
        <v>0</v>
      </c>
      <c r="CQ20" s="61">
        <f t="shared" si="24"/>
        <v>120</v>
      </c>
      <c r="CR20" s="131"/>
      <c r="CS20" s="57">
        <f t="shared" ref="CS20:CS83" si="138">CQ20-CR20</f>
        <v>120</v>
      </c>
      <c r="CT20" s="58">
        <f t="shared" si="25"/>
        <v>77</v>
      </c>
      <c r="CU20" s="131"/>
      <c r="CV20" s="41">
        <f t="shared" si="47"/>
        <v>77</v>
      </c>
      <c r="CX20" s="118">
        <v>8</v>
      </c>
      <c r="CY20" s="9">
        <v>2</v>
      </c>
      <c r="CZ20" s="129"/>
      <c r="DA20" s="11">
        <f t="shared" si="98"/>
        <v>0</v>
      </c>
      <c r="DB20" s="57">
        <f t="shared" ref="DB20:DB52" si="139">IFERROR(DA20-DF20,0)</f>
        <v>0</v>
      </c>
      <c r="DC20" s="398"/>
      <c r="DD20" s="399"/>
      <c r="DE20" s="399"/>
      <c r="DF20" s="11">
        <f t="shared" si="110"/>
        <v>0</v>
      </c>
      <c r="DG20" s="11">
        <f t="shared" si="99"/>
        <v>0</v>
      </c>
      <c r="DH20" s="16">
        <f t="shared" si="26"/>
        <v>0.7</v>
      </c>
      <c r="DI20" s="231">
        <f t="shared" si="111"/>
        <v>0</v>
      </c>
      <c r="DJ20" s="154">
        <f t="shared" si="27"/>
        <v>1.4</v>
      </c>
      <c r="DK20" s="155">
        <f t="shared" si="101"/>
        <v>0</v>
      </c>
      <c r="DL20" s="130"/>
      <c r="DM20" s="17">
        <f t="shared" si="28"/>
        <v>17</v>
      </c>
      <c r="DN20" s="60">
        <f t="shared" si="132"/>
        <v>0</v>
      </c>
      <c r="DO20" s="377">
        <f t="shared" si="102"/>
        <v>0</v>
      </c>
      <c r="DP20" s="61">
        <f t="shared" si="29"/>
        <v>120</v>
      </c>
      <c r="DQ20" s="131"/>
      <c r="DR20" s="57">
        <f t="shared" ref="DR20:DR83" si="140">DP20-DQ20</f>
        <v>120</v>
      </c>
      <c r="DS20" s="58">
        <f t="shared" si="30"/>
        <v>77</v>
      </c>
      <c r="DT20" s="131"/>
      <c r="DU20" s="41">
        <f t="shared" si="92"/>
        <v>77</v>
      </c>
    </row>
    <row r="21" spans="1:125" ht="17.25" thickBot="1" x14ac:dyDescent="0.3">
      <c r="B21" s="120">
        <f>B20+1</f>
        <v>10</v>
      </c>
      <c r="C21" s="570">
        <f>C20</f>
        <v>2</v>
      </c>
      <c r="D21" s="133"/>
      <c r="E21" s="408">
        <f t="shared" si="31"/>
        <v>0</v>
      </c>
      <c r="F21" s="562">
        <f t="shared" si="0"/>
        <v>0</v>
      </c>
      <c r="G21" s="134"/>
      <c r="H21" s="135"/>
      <c r="I21" s="135"/>
      <c r="J21" s="14">
        <f t="shared" si="103"/>
        <v>0</v>
      </c>
      <c r="K21" s="14">
        <f>K20+J21</f>
        <v>0</v>
      </c>
      <c r="L21" s="14">
        <f t="shared" si="1"/>
        <v>0.7</v>
      </c>
      <c r="M21" s="47">
        <f t="shared" si="53"/>
        <v>0</v>
      </c>
      <c r="N21" s="35">
        <f t="shared" si="2"/>
        <v>1.4</v>
      </c>
      <c r="O21" s="132">
        <f t="shared" si="33"/>
        <v>0</v>
      </c>
      <c r="P21" s="142"/>
      <c r="Q21" s="14">
        <f t="shared" si="3"/>
        <v>17</v>
      </c>
      <c r="R21" s="442">
        <f t="shared" si="4"/>
        <v>0</v>
      </c>
      <c r="S21" s="470">
        <f t="shared" si="34"/>
        <v>0</v>
      </c>
      <c r="T21" s="51">
        <f t="shared" si="5"/>
        <v>120</v>
      </c>
      <c r="U21" s="103">
        <f>U20</f>
        <v>0</v>
      </c>
      <c r="V21" s="59">
        <f t="shared" si="35"/>
        <v>120</v>
      </c>
      <c r="W21" s="12">
        <f t="shared" si="6"/>
        <v>77</v>
      </c>
      <c r="X21" s="103">
        <f>X20</f>
        <v>0</v>
      </c>
      <c r="Y21" s="71">
        <f t="shared" si="36"/>
        <v>77</v>
      </c>
      <c r="Z21" s="487"/>
      <c r="AA21" s="120">
        <f>AA20+1</f>
        <v>10</v>
      </c>
      <c r="AB21" s="7">
        <f>AB20</f>
        <v>2</v>
      </c>
      <c r="AC21" s="229"/>
      <c r="AD21" s="48">
        <f t="shared" si="133"/>
        <v>0</v>
      </c>
      <c r="AE21" s="196">
        <f t="shared" si="7"/>
        <v>0</v>
      </c>
      <c r="AF21" s="134"/>
      <c r="AG21" s="135"/>
      <c r="AH21" s="135"/>
      <c r="AI21" s="14">
        <f t="shared" si="105"/>
        <v>0</v>
      </c>
      <c r="AJ21" s="14">
        <f>AJ20+AI21</f>
        <v>0</v>
      </c>
      <c r="AK21" s="14">
        <f t="shared" si="8"/>
        <v>0.7</v>
      </c>
      <c r="AL21" s="47">
        <f t="shared" si="38"/>
        <v>0</v>
      </c>
      <c r="AM21" s="35">
        <f t="shared" si="9"/>
        <v>1.4</v>
      </c>
      <c r="AN21" s="157">
        <f t="shared" si="93"/>
        <v>0</v>
      </c>
      <c r="AO21" s="134"/>
      <c r="AP21" s="14">
        <f t="shared" si="10"/>
        <v>17</v>
      </c>
      <c r="AQ21" s="482">
        <f t="shared" si="39"/>
        <v>0</v>
      </c>
      <c r="AR21" s="470">
        <f t="shared" si="78"/>
        <v>0</v>
      </c>
      <c r="AS21" s="51">
        <f t="shared" si="11"/>
        <v>120</v>
      </c>
      <c r="AT21" s="103">
        <f>AT20</f>
        <v>0</v>
      </c>
      <c r="AU21" s="59">
        <f t="shared" si="136"/>
        <v>120</v>
      </c>
      <c r="AV21" s="12">
        <f t="shared" si="12"/>
        <v>77</v>
      </c>
      <c r="AW21" s="103">
        <f>AW20</f>
        <v>0</v>
      </c>
      <c r="AX21" s="71">
        <f t="shared" si="94"/>
        <v>77</v>
      </c>
      <c r="AZ21" s="120">
        <f>AZ20+1</f>
        <v>10</v>
      </c>
      <c r="BA21" s="7">
        <f>BA20</f>
        <v>2</v>
      </c>
      <c r="BB21" s="133"/>
      <c r="BC21" s="48">
        <f t="shared" si="42"/>
        <v>0</v>
      </c>
      <c r="BD21" s="196">
        <f t="shared" si="13"/>
        <v>0</v>
      </c>
      <c r="BE21" s="134"/>
      <c r="BF21" s="135"/>
      <c r="BG21" s="135"/>
      <c r="BH21" s="14">
        <f t="shared" si="106"/>
        <v>0</v>
      </c>
      <c r="BI21" s="14">
        <f>BI20+BH21</f>
        <v>0</v>
      </c>
      <c r="BJ21" s="14">
        <f t="shared" si="14"/>
        <v>0.7</v>
      </c>
      <c r="BK21" s="47">
        <f t="shared" si="60"/>
        <v>0</v>
      </c>
      <c r="BL21" s="35">
        <f t="shared" si="15"/>
        <v>1.4</v>
      </c>
      <c r="BM21" s="157">
        <f t="shared" si="16"/>
        <v>0</v>
      </c>
      <c r="BN21" s="134"/>
      <c r="BO21" s="14">
        <f t="shared" si="17"/>
        <v>17</v>
      </c>
      <c r="BP21" s="442">
        <f t="shared" si="61"/>
        <v>0</v>
      </c>
      <c r="BQ21" s="747">
        <f t="shared" si="81"/>
        <v>0</v>
      </c>
      <c r="BR21" s="51">
        <f t="shared" si="18"/>
        <v>120</v>
      </c>
      <c r="BS21" s="103">
        <f>BS20</f>
        <v>0</v>
      </c>
      <c r="BT21" s="59">
        <f t="shared" si="137"/>
        <v>120</v>
      </c>
      <c r="BU21" s="12">
        <f t="shared" si="20"/>
        <v>77</v>
      </c>
      <c r="BV21" s="103">
        <f>BV20</f>
        <v>0</v>
      </c>
      <c r="BW21" s="71">
        <f t="shared" si="95"/>
        <v>77</v>
      </c>
      <c r="BY21" s="120">
        <f>BY20+1</f>
        <v>9</v>
      </c>
      <c r="BZ21" s="7">
        <f>BZ20</f>
        <v>2</v>
      </c>
      <c r="CA21" s="133"/>
      <c r="CB21" s="14">
        <f t="shared" si="96"/>
        <v>0</v>
      </c>
      <c r="CC21" s="59">
        <f t="shared" si="107"/>
        <v>0</v>
      </c>
      <c r="CD21" s="405"/>
      <c r="CE21" s="406"/>
      <c r="CF21" s="406"/>
      <c r="CG21" s="14">
        <f t="shared" si="108"/>
        <v>0</v>
      </c>
      <c r="CH21" s="14">
        <f t="shared" si="97"/>
        <v>0</v>
      </c>
      <c r="CI21" s="14">
        <f t="shared" si="21"/>
        <v>0.7</v>
      </c>
      <c r="CJ21" s="47">
        <f t="shared" si="65"/>
        <v>0</v>
      </c>
      <c r="CK21" s="35">
        <f t="shared" si="22"/>
        <v>1.4</v>
      </c>
      <c r="CL21" s="157">
        <f t="shared" si="84"/>
        <v>0</v>
      </c>
      <c r="CM21" s="134"/>
      <c r="CN21" s="14">
        <f t="shared" si="23"/>
        <v>17</v>
      </c>
      <c r="CO21" s="48">
        <f t="shared" si="85"/>
        <v>0</v>
      </c>
      <c r="CP21" s="68">
        <f t="shared" si="66"/>
        <v>0</v>
      </c>
      <c r="CQ21" s="51">
        <f t="shared" si="24"/>
        <v>120</v>
      </c>
      <c r="CR21" s="103">
        <f>CR20</f>
        <v>0</v>
      </c>
      <c r="CS21" s="59">
        <f t="shared" si="138"/>
        <v>120</v>
      </c>
      <c r="CT21" s="61">
        <f t="shared" si="25"/>
        <v>77</v>
      </c>
      <c r="CU21" s="112">
        <f>CU20</f>
        <v>0</v>
      </c>
      <c r="CV21" s="71">
        <f t="shared" si="47"/>
        <v>77</v>
      </c>
      <c r="CX21" s="120">
        <f>CX20+1</f>
        <v>9</v>
      </c>
      <c r="CY21" s="7">
        <f>CY20</f>
        <v>2</v>
      </c>
      <c r="CZ21" s="133"/>
      <c r="DA21" s="14">
        <f t="shared" si="98"/>
        <v>0</v>
      </c>
      <c r="DB21" s="59">
        <f t="shared" si="139"/>
        <v>0</v>
      </c>
      <c r="DC21" s="405"/>
      <c r="DD21" s="406"/>
      <c r="DE21" s="406"/>
      <c r="DF21" s="14">
        <f t="shared" si="110"/>
        <v>0</v>
      </c>
      <c r="DG21" s="14">
        <f t="shared" si="99"/>
        <v>0</v>
      </c>
      <c r="DH21" s="14">
        <f t="shared" si="26"/>
        <v>0.7</v>
      </c>
      <c r="DI21" s="47">
        <f t="shared" si="111"/>
        <v>0</v>
      </c>
      <c r="DJ21" s="35">
        <f t="shared" si="27"/>
        <v>1.4</v>
      </c>
      <c r="DK21" s="157">
        <f t="shared" si="101"/>
        <v>0</v>
      </c>
      <c r="DL21" s="134"/>
      <c r="DM21" s="14">
        <f t="shared" si="28"/>
        <v>17</v>
      </c>
      <c r="DN21" s="48">
        <f t="shared" si="132"/>
        <v>0</v>
      </c>
      <c r="DO21" s="68">
        <f t="shared" si="102"/>
        <v>0</v>
      </c>
      <c r="DP21" s="51">
        <f t="shared" si="29"/>
        <v>120</v>
      </c>
      <c r="DQ21" s="103">
        <f>DQ20</f>
        <v>0</v>
      </c>
      <c r="DR21" s="59">
        <f t="shared" si="140"/>
        <v>120</v>
      </c>
      <c r="DS21" s="61">
        <f t="shared" si="30"/>
        <v>77</v>
      </c>
      <c r="DT21" s="112">
        <f>DT20</f>
        <v>0</v>
      </c>
      <c r="DU21" s="71">
        <f t="shared" si="92"/>
        <v>77</v>
      </c>
    </row>
    <row r="22" spans="1:125" ht="17.25" thickBot="1" x14ac:dyDescent="0.3">
      <c r="B22" s="120">
        <f t="shared" ref="B22:B25" si="141">B21+1</f>
        <v>11</v>
      </c>
      <c r="C22" s="570">
        <f t="shared" ref="C22:C26" si="142">C21</f>
        <v>2</v>
      </c>
      <c r="D22" s="133"/>
      <c r="E22" s="408">
        <f t="shared" si="31"/>
        <v>0</v>
      </c>
      <c r="F22" s="562">
        <f t="shared" si="0"/>
        <v>0</v>
      </c>
      <c r="G22" s="134"/>
      <c r="H22" s="135"/>
      <c r="I22" s="135"/>
      <c r="J22" s="14">
        <f t="shared" si="103"/>
        <v>0</v>
      </c>
      <c r="K22" s="14">
        <f>K21+J22</f>
        <v>0</v>
      </c>
      <c r="L22" s="14">
        <f t="shared" si="1"/>
        <v>0.7</v>
      </c>
      <c r="M22" s="47">
        <f t="shared" si="53"/>
        <v>0</v>
      </c>
      <c r="N22" s="35">
        <f t="shared" si="2"/>
        <v>1.4</v>
      </c>
      <c r="O22" s="132">
        <f t="shared" si="33"/>
        <v>0</v>
      </c>
      <c r="P22" s="142"/>
      <c r="Q22" s="14">
        <f t="shared" si="3"/>
        <v>17</v>
      </c>
      <c r="R22" s="442">
        <f t="shared" si="4"/>
        <v>0</v>
      </c>
      <c r="S22" s="470">
        <f t="shared" si="34"/>
        <v>0</v>
      </c>
      <c r="T22" s="51">
        <f t="shared" si="5"/>
        <v>120</v>
      </c>
      <c r="U22" s="103">
        <f t="shared" ref="U22:U26" si="143">U21</f>
        <v>0</v>
      </c>
      <c r="V22" s="59">
        <f t="shared" si="35"/>
        <v>120</v>
      </c>
      <c r="W22" s="50">
        <f t="shared" si="6"/>
        <v>77</v>
      </c>
      <c r="X22" s="103">
        <f t="shared" ref="X22:X26" si="144">X21</f>
        <v>0</v>
      </c>
      <c r="Y22" s="71">
        <f t="shared" si="36"/>
        <v>77</v>
      </c>
      <c r="Z22" s="487"/>
      <c r="AA22" s="120">
        <f t="shared" ref="AA22:AA25" si="145">AA21+1</f>
        <v>11</v>
      </c>
      <c r="AB22" s="7">
        <f t="shared" ref="AB22:AB26" si="146">AB21</f>
        <v>2</v>
      </c>
      <c r="AC22" s="229"/>
      <c r="AD22" s="48">
        <f t="shared" si="133"/>
        <v>0</v>
      </c>
      <c r="AE22" s="196">
        <f t="shared" si="7"/>
        <v>0</v>
      </c>
      <c r="AF22" s="134"/>
      <c r="AG22" s="135"/>
      <c r="AH22" s="135"/>
      <c r="AI22" s="14">
        <f t="shared" si="105"/>
        <v>0</v>
      </c>
      <c r="AJ22" s="14">
        <f>AJ21+AI22</f>
        <v>0</v>
      </c>
      <c r="AK22" s="14">
        <f t="shared" si="8"/>
        <v>0.7</v>
      </c>
      <c r="AL22" s="231">
        <f t="shared" si="38"/>
        <v>0</v>
      </c>
      <c r="AM22" s="35">
        <f t="shared" si="9"/>
        <v>1.4</v>
      </c>
      <c r="AN22" s="157">
        <f t="shared" si="93"/>
        <v>0</v>
      </c>
      <c r="AO22" s="134"/>
      <c r="AP22" s="14">
        <f t="shared" si="10"/>
        <v>17</v>
      </c>
      <c r="AQ22" s="442">
        <f t="shared" si="39"/>
        <v>0</v>
      </c>
      <c r="AR22" s="470">
        <f t="shared" si="78"/>
        <v>0</v>
      </c>
      <c r="AS22" s="51">
        <f t="shared" si="11"/>
        <v>120</v>
      </c>
      <c r="AT22" s="103">
        <f t="shared" ref="AT22:AT26" si="147">AT21</f>
        <v>0</v>
      </c>
      <c r="AU22" s="59">
        <f t="shared" si="136"/>
        <v>120</v>
      </c>
      <c r="AV22" s="50">
        <f t="shared" si="12"/>
        <v>77</v>
      </c>
      <c r="AW22" s="103">
        <f t="shared" ref="AW22:AW26" si="148">AW21</f>
        <v>0</v>
      </c>
      <c r="AX22" s="71">
        <f t="shared" si="94"/>
        <v>77</v>
      </c>
      <c r="AZ22" s="120">
        <f t="shared" ref="AZ22:AZ25" si="149">AZ21+1</f>
        <v>11</v>
      </c>
      <c r="BA22" s="7">
        <f t="shared" ref="BA22:BA26" si="150">BA21</f>
        <v>2</v>
      </c>
      <c r="BB22" s="133"/>
      <c r="BC22" s="48">
        <f t="shared" si="42"/>
        <v>0</v>
      </c>
      <c r="BD22" s="196">
        <f t="shared" si="13"/>
        <v>0</v>
      </c>
      <c r="BE22" s="134"/>
      <c r="BF22" s="135"/>
      <c r="BG22" s="135"/>
      <c r="BH22" s="14">
        <f t="shared" si="106"/>
        <v>0</v>
      </c>
      <c r="BI22" s="14">
        <f t="shared" ref="BI22:BI85" si="151">BI21+BH22</f>
        <v>0</v>
      </c>
      <c r="BJ22" s="14">
        <f t="shared" si="14"/>
        <v>0.7</v>
      </c>
      <c r="BK22" s="47">
        <f t="shared" si="60"/>
        <v>0</v>
      </c>
      <c r="BL22" s="35">
        <f t="shared" si="15"/>
        <v>1.4</v>
      </c>
      <c r="BM22" s="157">
        <f t="shared" si="16"/>
        <v>0</v>
      </c>
      <c r="BN22" s="134"/>
      <c r="BO22" s="14">
        <f t="shared" si="17"/>
        <v>17</v>
      </c>
      <c r="BP22" s="442">
        <f t="shared" si="61"/>
        <v>0</v>
      </c>
      <c r="BQ22" s="747">
        <f t="shared" si="81"/>
        <v>0</v>
      </c>
      <c r="BR22" s="51">
        <f t="shared" si="18"/>
        <v>120</v>
      </c>
      <c r="BS22" s="103">
        <f t="shared" ref="BS22:BS26" si="152">BS21</f>
        <v>0</v>
      </c>
      <c r="BT22" s="59">
        <f t="shared" si="137"/>
        <v>120</v>
      </c>
      <c r="BU22" s="50">
        <f t="shared" si="20"/>
        <v>77</v>
      </c>
      <c r="BV22" s="103">
        <f t="shared" ref="BV22:BV26" si="153">BV21</f>
        <v>0</v>
      </c>
      <c r="BW22" s="71">
        <f t="shared" si="95"/>
        <v>77</v>
      </c>
      <c r="BY22" s="120">
        <f t="shared" ref="BY22:BY25" si="154">BY21+1</f>
        <v>10</v>
      </c>
      <c r="BZ22" s="7">
        <f t="shared" ref="BZ22:BZ26" si="155">BZ21</f>
        <v>2</v>
      </c>
      <c r="CA22" s="133"/>
      <c r="CB22" s="14">
        <f t="shared" si="96"/>
        <v>0</v>
      </c>
      <c r="CC22" s="59">
        <f t="shared" si="107"/>
        <v>0</v>
      </c>
      <c r="CD22" s="405"/>
      <c r="CE22" s="406"/>
      <c r="CF22" s="406"/>
      <c r="CG22" s="14">
        <f t="shared" si="108"/>
        <v>0</v>
      </c>
      <c r="CH22" s="14">
        <f t="shared" si="97"/>
        <v>0</v>
      </c>
      <c r="CI22" s="14">
        <f t="shared" si="21"/>
        <v>0.7</v>
      </c>
      <c r="CJ22" s="47">
        <f t="shared" si="65"/>
        <v>0</v>
      </c>
      <c r="CK22" s="35">
        <f t="shared" si="22"/>
        <v>1.4</v>
      </c>
      <c r="CL22" s="157">
        <f t="shared" si="84"/>
        <v>0</v>
      </c>
      <c r="CM22" s="134"/>
      <c r="CN22" s="14">
        <f t="shared" si="23"/>
        <v>17</v>
      </c>
      <c r="CO22" s="48">
        <f t="shared" si="85"/>
        <v>0</v>
      </c>
      <c r="CP22" s="68">
        <f t="shared" si="66"/>
        <v>0</v>
      </c>
      <c r="CQ22" s="51">
        <f t="shared" si="24"/>
        <v>120</v>
      </c>
      <c r="CR22" s="103">
        <f t="shared" ref="CR22:CR26" si="156">CR21</f>
        <v>0</v>
      </c>
      <c r="CS22" s="59">
        <f t="shared" si="138"/>
        <v>120</v>
      </c>
      <c r="CT22" s="12">
        <f t="shared" si="25"/>
        <v>77</v>
      </c>
      <c r="CU22" s="112">
        <f t="shared" ref="CU22:CU26" si="157">CU21</f>
        <v>0</v>
      </c>
      <c r="CV22" s="71">
        <f t="shared" si="47"/>
        <v>77</v>
      </c>
      <c r="CX22" s="120">
        <f t="shared" ref="CX22:CX25" si="158">CX21+1</f>
        <v>10</v>
      </c>
      <c r="CY22" s="7">
        <f t="shared" ref="CY22:CY26" si="159">CY21</f>
        <v>2</v>
      </c>
      <c r="CZ22" s="133"/>
      <c r="DA22" s="14">
        <f t="shared" si="98"/>
        <v>0</v>
      </c>
      <c r="DB22" s="59">
        <f t="shared" si="139"/>
        <v>0</v>
      </c>
      <c r="DC22" s="405"/>
      <c r="DD22" s="406"/>
      <c r="DE22" s="406"/>
      <c r="DF22" s="14">
        <f t="shared" si="110"/>
        <v>0</v>
      </c>
      <c r="DG22" s="14">
        <f t="shared" si="99"/>
        <v>0</v>
      </c>
      <c r="DH22" s="14">
        <f t="shared" si="26"/>
        <v>0.7</v>
      </c>
      <c r="DI22" s="47">
        <f t="shared" si="111"/>
        <v>0</v>
      </c>
      <c r="DJ22" s="35">
        <f t="shared" si="27"/>
        <v>1.4</v>
      </c>
      <c r="DK22" s="157">
        <f t="shared" si="101"/>
        <v>0</v>
      </c>
      <c r="DL22" s="134"/>
      <c r="DM22" s="14">
        <f t="shared" si="28"/>
        <v>17</v>
      </c>
      <c r="DN22" s="48">
        <f t="shared" si="132"/>
        <v>0</v>
      </c>
      <c r="DO22" s="68">
        <f t="shared" si="102"/>
        <v>0</v>
      </c>
      <c r="DP22" s="51">
        <f t="shared" si="29"/>
        <v>120</v>
      </c>
      <c r="DQ22" s="103">
        <f t="shared" ref="DQ22:DQ26" si="160">DQ21</f>
        <v>0</v>
      </c>
      <c r="DR22" s="59">
        <f t="shared" si="140"/>
        <v>120</v>
      </c>
      <c r="DS22" s="12">
        <f t="shared" si="30"/>
        <v>77</v>
      </c>
      <c r="DT22" s="112">
        <f t="shared" ref="DT22:DT26" si="161">DT21</f>
        <v>0</v>
      </c>
      <c r="DU22" s="71">
        <f t="shared" si="92"/>
        <v>77</v>
      </c>
    </row>
    <row r="23" spans="1:125" ht="17.25" thickBot="1" x14ac:dyDescent="0.3">
      <c r="B23" s="120">
        <f t="shared" si="141"/>
        <v>12</v>
      </c>
      <c r="C23" s="570">
        <f t="shared" si="142"/>
        <v>2</v>
      </c>
      <c r="D23" s="133"/>
      <c r="E23" s="408">
        <f t="shared" si="31"/>
        <v>0</v>
      </c>
      <c r="F23" s="562">
        <f t="shared" si="0"/>
        <v>0</v>
      </c>
      <c r="G23" s="134"/>
      <c r="H23" s="135"/>
      <c r="I23" s="135"/>
      <c r="J23" s="14">
        <f t="shared" si="103"/>
        <v>0</v>
      </c>
      <c r="K23" s="14">
        <f t="shared" si="32"/>
        <v>0</v>
      </c>
      <c r="L23" s="14">
        <f t="shared" si="1"/>
        <v>0.7</v>
      </c>
      <c r="M23" s="47">
        <f t="shared" si="53"/>
        <v>0</v>
      </c>
      <c r="N23" s="35">
        <f t="shared" si="2"/>
        <v>1.4</v>
      </c>
      <c r="O23" s="132">
        <f t="shared" si="33"/>
        <v>0</v>
      </c>
      <c r="P23" s="142"/>
      <c r="Q23" s="14">
        <f t="shared" si="3"/>
        <v>17</v>
      </c>
      <c r="R23" s="442">
        <f t="shared" si="4"/>
        <v>0</v>
      </c>
      <c r="S23" s="470">
        <f t="shared" si="34"/>
        <v>0</v>
      </c>
      <c r="T23" s="51">
        <f t="shared" si="5"/>
        <v>120</v>
      </c>
      <c r="U23" s="103">
        <f t="shared" si="143"/>
        <v>0</v>
      </c>
      <c r="V23" s="59">
        <f t="shared" si="35"/>
        <v>120</v>
      </c>
      <c r="W23" s="51">
        <f t="shared" si="6"/>
        <v>77</v>
      </c>
      <c r="X23" s="103">
        <f t="shared" si="144"/>
        <v>0</v>
      </c>
      <c r="Y23" s="71">
        <f t="shared" si="36"/>
        <v>77</v>
      </c>
      <c r="Z23" s="487"/>
      <c r="AA23" s="120">
        <f t="shared" si="145"/>
        <v>12</v>
      </c>
      <c r="AB23" s="7">
        <f t="shared" si="146"/>
        <v>2</v>
      </c>
      <c r="AC23" s="229"/>
      <c r="AD23" s="48">
        <f t="shared" si="133"/>
        <v>0</v>
      </c>
      <c r="AE23" s="196">
        <f t="shared" si="7"/>
        <v>0</v>
      </c>
      <c r="AF23" s="134"/>
      <c r="AG23" s="135"/>
      <c r="AH23" s="135"/>
      <c r="AI23" s="14">
        <f t="shared" si="105"/>
        <v>0</v>
      </c>
      <c r="AJ23" s="14">
        <f t="shared" ref="AJ23:AJ86" si="162">AJ22+AI23</f>
        <v>0</v>
      </c>
      <c r="AK23" s="14">
        <f t="shared" si="8"/>
        <v>0.7</v>
      </c>
      <c r="AL23" s="230">
        <f t="shared" si="38"/>
        <v>0</v>
      </c>
      <c r="AM23" s="35">
        <f t="shared" si="9"/>
        <v>1.4</v>
      </c>
      <c r="AN23" s="157">
        <f t="shared" si="93"/>
        <v>0</v>
      </c>
      <c r="AO23" s="134"/>
      <c r="AP23" s="14">
        <f t="shared" si="10"/>
        <v>17</v>
      </c>
      <c r="AQ23" s="480">
        <f t="shared" si="39"/>
        <v>0</v>
      </c>
      <c r="AR23" s="470">
        <f t="shared" si="78"/>
        <v>0</v>
      </c>
      <c r="AS23" s="51">
        <f t="shared" si="11"/>
        <v>120</v>
      </c>
      <c r="AT23" s="103">
        <f t="shared" si="147"/>
        <v>0</v>
      </c>
      <c r="AU23" s="59">
        <f t="shared" si="136"/>
        <v>120</v>
      </c>
      <c r="AV23" s="51">
        <f t="shared" si="12"/>
        <v>77</v>
      </c>
      <c r="AW23" s="103">
        <f t="shared" si="148"/>
        <v>0</v>
      </c>
      <c r="AX23" s="71">
        <f t="shared" si="94"/>
        <v>77</v>
      </c>
      <c r="AZ23" s="120">
        <f t="shared" si="149"/>
        <v>12</v>
      </c>
      <c r="BA23" s="7">
        <f t="shared" si="150"/>
        <v>2</v>
      </c>
      <c r="BB23" s="133"/>
      <c r="BC23" s="48">
        <f t="shared" si="42"/>
        <v>0</v>
      </c>
      <c r="BD23" s="196">
        <f t="shared" si="13"/>
        <v>0</v>
      </c>
      <c r="BE23" s="134"/>
      <c r="BF23" s="135"/>
      <c r="BG23" s="135"/>
      <c r="BH23" s="14">
        <f t="shared" si="106"/>
        <v>0</v>
      </c>
      <c r="BI23" s="14">
        <f t="shared" si="151"/>
        <v>0</v>
      </c>
      <c r="BJ23" s="14">
        <f t="shared" si="14"/>
        <v>0.7</v>
      </c>
      <c r="BK23" s="47">
        <f t="shared" si="60"/>
        <v>0</v>
      </c>
      <c r="BL23" s="35">
        <f t="shared" si="15"/>
        <v>1.4</v>
      </c>
      <c r="BM23" s="157">
        <f t="shared" si="16"/>
        <v>0</v>
      </c>
      <c r="BN23" s="134"/>
      <c r="BO23" s="14">
        <f t="shared" si="17"/>
        <v>17</v>
      </c>
      <c r="BP23" s="442">
        <f t="shared" si="61"/>
        <v>0</v>
      </c>
      <c r="BQ23" s="747">
        <f t="shared" si="81"/>
        <v>0</v>
      </c>
      <c r="BR23" s="51">
        <f t="shared" si="18"/>
        <v>120</v>
      </c>
      <c r="BS23" s="103">
        <f t="shared" si="152"/>
        <v>0</v>
      </c>
      <c r="BT23" s="59">
        <f t="shared" si="137"/>
        <v>120</v>
      </c>
      <c r="BU23" s="51">
        <f t="shared" si="20"/>
        <v>77</v>
      </c>
      <c r="BV23" s="103">
        <f t="shared" si="153"/>
        <v>0</v>
      </c>
      <c r="BW23" s="71">
        <f t="shared" si="95"/>
        <v>77</v>
      </c>
      <c r="BY23" s="120">
        <f t="shared" si="154"/>
        <v>11</v>
      </c>
      <c r="BZ23" s="7">
        <f t="shared" si="155"/>
        <v>2</v>
      </c>
      <c r="CA23" s="133"/>
      <c r="CB23" s="14">
        <f t="shared" si="96"/>
        <v>0</v>
      </c>
      <c r="CC23" s="59">
        <f t="shared" si="107"/>
        <v>0</v>
      </c>
      <c r="CD23" s="405"/>
      <c r="CE23" s="406"/>
      <c r="CF23" s="406"/>
      <c r="CG23" s="14">
        <f t="shared" si="108"/>
        <v>0</v>
      </c>
      <c r="CH23" s="14">
        <f t="shared" si="97"/>
        <v>0</v>
      </c>
      <c r="CI23" s="14">
        <f t="shared" si="21"/>
        <v>0.7</v>
      </c>
      <c r="CJ23" s="47">
        <f t="shared" si="65"/>
        <v>0</v>
      </c>
      <c r="CK23" s="35">
        <f t="shared" si="22"/>
        <v>1.4</v>
      </c>
      <c r="CL23" s="157">
        <f t="shared" si="84"/>
        <v>0</v>
      </c>
      <c r="CM23" s="134"/>
      <c r="CN23" s="14">
        <f t="shared" si="23"/>
        <v>17</v>
      </c>
      <c r="CO23" s="48">
        <f t="shared" si="85"/>
        <v>0</v>
      </c>
      <c r="CP23" s="68">
        <f t="shared" si="66"/>
        <v>0</v>
      </c>
      <c r="CQ23" s="51">
        <f t="shared" si="24"/>
        <v>120</v>
      </c>
      <c r="CR23" s="103">
        <f t="shared" si="156"/>
        <v>0</v>
      </c>
      <c r="CS23" s="59">
        <f t="shared" si="138"/>
        <v>120</v>
      </c>
      <c r="CT23" s="51">
        <f t="shared" si="25"/>
        <v>77</v>
      </c>
      <c r="CU23" s="112">
        <f t="shared" si="157"/>
        <v>0</v>
      </c>
      <c r="CV23" s="71">
        <f t="shared" si="47"/>
        <v>77</v>
      </c>
      <c r="CX23" s="120">
        <f t="shared" si="158"/>
        <v>11</v>
      </c>
      <c r="CY23" s="7">
        <f t="shared" si="159"/>
        <v>2</v>
      </c>
      <c r="CZ23" s="133"/>
      <c r="DA23" s="14">
        <f t="shared" si="98"/>
        <v>0</v>
      </c>
      <c r="DB23" s="59">
        <f t="shared" si="139"/>
        <v>0</v>
      </c>
      <c r="DC23" s="405"/>
      <c r="DD23" s="406"/>
      <c r="DE23" s="406"/>
      <c r="DF23" s="14">
        <f t="shared" si="110"/>
        <v>0</v>
      </c>
      <c r="DG23" s="14">
        <f t="shared" si="99"/>
        <v>0</v>
      </c>
      <c r="DH23" s="14">
        <f t="shared" si="26"/>
        <v>0.7</v>
      </c>
      <c r="DI23" s="47">
        <f t="shared" si="111"/>
        <v>0</v>
      </c>
      <c r="DJ23" s="35">
        <f t="shared" si="27"/>
        <v>1.4</v>
      </c>
      <c r="DK23" s="157">
        <f t="shared" si="101"/>
        <v>0</v>
      </c>
      <c r="DL23" s="134"/>
      <c r="DM23" s="14">
        <f t="shared" si="28"/>
        <v>17</v>
      </c>
      <c r="DN23" s="48">
        <f t="shared" si="132"/>
        <v>0</v>
      </c>
      <c r="DO23" s="68">
        <f t="shared" si="102"/>
        <v>0</v>
      </c>
      <c r="DP23" s="51">
        <f t="shared" si="29"/>
        <v>120</v>
      </c>
      <c r="DQ23" s="103">
        <f t="shared" si="160"/>
        <v>0</v>
      </c>
      <c r="DR23" s="59">
        <f t="shared" si="140"/>
        <v>120</v>
      </c>
      <c r="DS23" s="51">
        <f t="shared" si="30"/>
        <v>77</v>
      </c>
      <c r="DT23" s="112">
        <f t="shared" si="161"/>
        <v>0</v>
      </c>
      <c r="DU23" s="71">
        <f t="shared" si="92"/>
        <v>77</v>
      </c>
    </row>
    <row r="24" spans="1:125" ht="17.25" thickBot="1" x14ac:dyDescent="0.3">
      <c r="B24" s="120">
        <f t="shared" si="141"/>
        <v>13</v>
      </c>
      <c r="C24" s="570">
        <f t="shared" si="142"/>
        <v>2</v>
      </c>
      <c r="D24" s="133"/>
      <c r="E24" s="408">
        <f t="shared" si="31"/>
        <v>0</v>
      </c>
      <c r="F24" s="562">
        <f t="shared" si="0"/>
        <v>0</v>
      </c>
      <c r="G24" s="134"/>
      <c r="H24" s="135"/>
      <c r="I24" s="135"/>
      <c r="J24" s="14">
        <f t="shared" si="103"/>
        <v>0</v>
      </c>
      <c r="K24" s="14">
        <f t="shared" si="32"/>
        <v>0</v>
      </c>
      <c r="L24" s="14">
        <f t="shared" si="1"/>
        <v>0.7</v>
      </c>
      <c r="M24" s="47">
        <f t="shared" si="53"/>
        <v>0</v>
      </c>
      <c r="N24" s="35">
        <f t="shared" si="2"/>
        <v>1.4</v>
      </c>
      <c r="O24" s="132">
        <f t="shared" si="33"/>
        <v>0</v>
      </c>
      <c r="P24" s="142"/>
      <c r="Q24" s="14">
        <f t="shared" si="3"/>
        <v>17</v>
      </c>
      <c r="R24" s="442">
        <f t="shared" si="4"/>
        <v>0</v>
      </c>
      <c r="S24" s="470">
        <f>S23+R24</f>
        <v>0</v>
      </c>
      <c r="T24" s="51">
        <f t="shared" si="5"/>
        <v>120</v>
      </c>
      <c r="U24" s="103">
        <f t="shared" si="143"/>
        <v>0</v>
      </c>
      <c r="V24" s="59">
        <f t="shared" si="35"/>
        <v>120</v>
      </c>
      <c r="W24" s="12">
        <f t="shared" si="6"/>
        <v>77</v>
      </c>
      <c r="X24" s="103">
        <f t="shared" si="144"/>
        <v>0</v>
      </c>
      <c r="Y24" s="71">
        <f t="shared" si="36"/>
        <v>77</v>
      </c>
      <c r="Z24" s="487"/>
      <c r="AA24" s="120">
        <f t="shared" si="145"/>
        <v>13</v>
      </c>
      <c r="AB24" s="7">
        <f t="shared" si="146"/>
        <v>2</v>
      </c>
      <c r="AC24" s="229"/>
      <c r="AD24" s="48">
        <f t="shared" si="133"/>
        <v>0</v>
      </c>
      <c r="AE24" s="196">
        <f t="shared" si="7"/>
        <v>0</v>
      </c>
      <c r="AF24" s="134"/>
      <c r="AG24" s="135"/>
      <c r="AH24" s="135"/>
      <c r="AI24" s="14">
        <f t="shared" si="105"/>
        <v>0</v>
      </c>
      <c r="AJ24" s="14">
        <f t="shared" si="162"/>
        <v>0</v>
      </c>
      <c r="AK24" s="14">
        <f t="shared" si="8"/>
        <v>0.7</v>
      </c>
      <c r="AL24" s="230">
        <f t="shared" si="38"/>
        <v>0</v>
      </c>
      <c r="AM24" s="35">
        <f t="shared" si="9"/>
        <v>1.4</v>
      </c>
      <c r="AN24" s="157">
        <f>IFERROR((AJ24*100)/$AC$19,0)</f>
        <v>0</v>
      </c>
      <c r="AO24" s="134"/>
      <c r="AP24" s="14">
        <f t="shared" si="10"/>
        <v>17</v>
      </c>
      <c r="AQ24" s="442">
        <f t="shared" si="39"/>
        <v>0</v>
      </c>
      <c r="AR24" s="470">
        <f>AR23+AQ24</f>
        <v>0</v>
      </c>
      <c r="AS24" s="51">
        <f t="shared" si="11"/>
        <v>120</v>
      </c>
      <c r="AT24" s="103">
        <f t="shared" si="147"/>
        <v>0</v>
      </c>
      <c r="AU24" s="59">
        <f t="shared" si="136"/>
        <v>120</v>
      </c>
      <c r="AV24" s="12">
        <f t="shared" si="12"/>
        <v>77</v>
      </c>
      <c r="AW24" s="103">
        <f t="shared" si="148"/>
        <v>0</v>
      </c>
      <c r="AX24" s="71">
        <f t="shared" si="94"/>
        <v>77</v>
      </c>
      <c r="AZ24" s="120">
        <f t="shared" si="149"/>
        <v>13</v>
      </c>
      <c r="BA24" s="7">
        <f t="shared" si="150"/>
        <v>2</v>
      </c>
      <c r="BB24" s="133"/>
      <c r="BC24" s="48">
        <f t="shared" si="42"/>
        <v>0</v>
      </c>
      <c r="BD24" s="196">
        <f t="shared" si="13"/>
        <v>0</v>
      </c>
      <c r="BE24" s="134"/>
      <c r="BF24" s="135"/>
      <c r="BG24" s="135"/>
      <c r="BH24" s="14">
        <f t="shared" si="106"/>
        <v>0</v>
      </c>
      <c r="BI24" s="14">
        <f t="shared" si="151"/>
        <v>0</v>
      </c>
      <c r="BJ24" s="14">
        <f t="shared" si="14"/>
        <v>0.7</v>
      </c>
      <c r="BK24" s="47">
        <f t="shared" si="60"/>
        <v>0</v>
      </c>
      <c r="BL24" s="35">
        <f t="shared" si="15"/>
        <v>1.4</v>
      </c>
      <c r="BM24" s="157">
        <f t="shared" si="16"/>
        <v>0</v>
      </c>
      <c r="BN24" s="134"/>
      <c r="BO24" s="14">
        <f t="shared" si="17"/>
        <v>17</v>
      </c>
      <c r="BP24" s="442">
        <f t="shared" si="61"/>
        <v>0</v>
      </c>
      <c r="BQ24" s="747">
        <f t="shared" si="81"/>
        <v>0</v>
      </c>
      <c r="BR24" s="51">
        <f t="shared" si="18"/>
        <v>120</v>
      </c>
      <c r="BS24" s="103">
        <f t="shared" si="152"/>
        <v>0</v>
      </c>
      <c r="BT24" s="59">
        <f t="shared" si="137"/>
        <v>120</v>
      </c>
      <c r="BU24" s="12">
        <f t="shared" si="20"/>
        <v>77</v>
      </c>
      <c r="BV24" s="103">
        <f t="shared" si="153"/>
        <v>0</v>
      </c>
      <c r="BW24" s="71">
        <f t="shared" si="95"/>
        <v>77</v>
      </c>
      <c r="BY24" s="120">
        <f t="shared" si="154"/>
        <v>12</v>
      </c>
      <c r="BZ24" s="7">
        <f t="shared" si="155"/>
        <v>2</v>
      </c>
      <c r="CA24" s="133"/>
      <c r="CB24" s="14">
        <f t="shared" si="96"/>
        <v>0</v>
      </c>
      <c r="CC24" s="59">
        <f t="shared" si="107"/>
        <v>0</v>
      </c>
      <c r="CD24" s="405"/>
      <c r="CE24" s="406"/>
      <c r="CF24" s="406"/>
      <c r="CG24" s="14">
        <f t="shared" si="108"/>
        <v>0</v>
      </c>
      <c r="CH24" s="14">
        <f t="shared" si="97"/>
        <v>0</v>
      </c>
      <c r="CI24" s="14">
        <f t="shared" si="21"/>
        <v>0.7</v>
      </c>
      <c r="CJ24" s="47">
        <f t="shared" si="65"/>
        <v>0</v>
      </c>
      <c r="CK24" s="35">
        <f t="shared" si="22"/>
        <v>1.4</v>
      </c>
      <c r="CL24" s="157">
        <f t="shared" si="84"/>
        <v>0</v>
      </c>
      <c r="CM24" s="134"/>
      <c r="CN24" s="14">
        <f t="shared" si="23"/>
        <v>17</v>
      </c>
      <c r="CO24" s="48">
        <f t="shared" si="85"/>
        <v>0</v>
      </c>
      <c r="CP24" s="68">
        <f t="shared" si="66"/>
        <v>0</v>
      </c>
      <c r="CQ24" s="51">
        <f t="shared" si="24"/>
        <v>120</v>
      </c>
      <c r="CR24" s="103">
        <f t="shared" si="156"/>
        <v>0</v>
      </c>
      <c r="CS24" s="59">
        <f t="shared" si="138"/>
        <v>120</v>
      </c>
      <c r="CT24" s="12">
        <f t="shared" si="25"/>
        <v>77</v>
      </c>
      <c r="CU24" s="112">
        <f t="shared" si="157"/>
        <v>0</v>
      </c>
      <c r="CV24" s="71">
        <f t="shared" si="47"/>
        <v>77</v>
      </c>
      <c r="CX24" s="120">
        <f t="shared" si="158"/>
        <v>12</v>
      </c>
      <c r="CY24" s="7">
        <f t="shared" si="159"/>
        <v>2</v>
      </c>
      <c r="CZ24" s="133"/>
      <c r="DA24" s="14">
        <f t="shared" si="98"/>
        <v>0</v>
      </c>
      <c r="DB24" s="59">
        <f t="shared" si="139"/>
        <v>0</v>
      </c>
      <c r="DC24" s="405"/>
      <c r="DD24" s="406"/>
      <c r="DE24" s="406"/>
      <c r="DF24" s="14">
        <f t="shared" si="110"/>
        <v>0</v>
      </c>
      <c r="DG24" s="14">
        <f t="shared" si="99"/>
        <v>0</v>
      </c>
      <c r="DH24" s="14">
        <f t="shared" si="26"/>
        <v>0.7</v>
      </c>
      <c r="DI24" s="47">
        <f t="shared" si="111"/>
        <v>0</v>
      </c>
      <c r="DJ24" s="35">
        <f t="shared" si="27"/>
        <v>1.4</v>
      </c>
      <c r="DK24" s="157">
        <f t="shared" si="101"/>
        <v>0</v>
      </c>
      <c r="DL24" s="134"/>
      <c r="DM24" s="14">
        <f t="shared" si="28"/>
        <v>17</v>
      </c>
      <c r="DN24" s="48">
        <f t="shared" si="132"/>
        <v>0</v>
      </c>
      <c r="DO24" s="68">
        <f t="shared" si="102"/>
        <v>0</v>
      </c>
      <c r="DP24" s="51">
        <f t="shared" si="29"/>
        <v>120</v>
      </c>
      <c r="DQ24" s="103">
        <f t="shared" si="160"/>
        <v>0</v>
      </c>
      <c r="DR24" s="59">
        <f t="shared" si="140"/>
        <v>120</v>
      </c>
      <c r="DS24" s="12">
        <f t="shared" si="30"/>
        <v>77</v>
      </c>
      <c r="DT24" s="112">
        <f t="shared" si="161"/>
        <v>0</v>
      </c>
      <c r="DU24" s="71">
        <f t="shared" si="92"/>
        <v>77</v>
      </c>
    </row>
    <row r="25" spans="1:125" ht="17.25" thickBot="1" x14ac:dyDescent="0.3">
      <c r="B25" s="120">
        <f t="shared" si="141"/>
        <v>14</v>
      </c>
      <c r="C25" s="570">
        <f t="shared" si="142"/>
        <v>2</v>
      </c>
      <c r="D25" s="133"/>
      <c r="E25" s="408">
        <f t="shared" si="31"/>
        <v>0</v>
      </c>
      <c r="F25" s="562">
        <f t="shared" si="0"/>
        <v>0</v>
      </c>
      <c r="G25" s="134"/>
      <c r="H25" s="135"/>
      <c r="I25" s="135"/>
      <c r="J25" s="14">
        <f t="shared" si="103"/>
        <v>0</v>
      </c>
      <c r="K25" s="14">
        <f t="shared" si="32"/>
        <v>0</v>
      </c>
      <c r="L25" s="14">
        <f t="shared" si="1"/>
        <v>0.7</v>
      </c>
      <c r="M25" s="47">
        <f t="shared" si="53"/>
        <v>0</v>
      </c>
      <c r="N25" s="35">
        <f t="shared" si="2"/>
        <v>1.4</v>
      </c>
      <c r="O25" s="132">
        <f t="shared" si="33"/>
        <v>0</v>
      </c>
      <c r="P25" s="142"/>
      <c r="Q25" s="14">
        <f t="shared" si="3"/>
        <v>17</v>
      </c>
      <c r="R25" s="442">
        <f t="shared" si="4"/>
        <v>0</v>
      </c>
      <c r="S25" s="470">
        <f>S24+R25</f>
        <v>0</v>
      </c>
      <c r="T25" s="51">
        <f t="shared" si="5"/>
        <v>120</v>
      </c>
      <c r="U25" s="103">
        <f t="shared" si="143"/>
        <v>0</v>
      </c>
      <c r="V25" s="59">
        <f t="shared" si="35"/>
        <v>120</v>
      </c>
      <c r="W25" s="50">
        <f t="shared" si="6"/>
        <v>77</v>
      </c>
      <c r="X25" s="103">
        <f t="shared" si="144"/>
        <v>0</v>
      </c>
      <c r="Y25" s="71">
        <f t="shared" si="36"/>
        <v>77</v>
      </c>
      <c r="Z25" s="487"/>
      <c r="AA25" s="120">
        <f t="shared" si="145"/>
        <v>14</v>
      </c>
      <c r="AB25" s="7">
        <f t="shared" si="146"/>
        <v>2</v>
      </c>
      <c r="AC25" s="229"/>
      <c r="AD25" s="48">
        <f t="shared" si="133"/>
        <v>0</v>
      </c>
      <c r="AE25" s="196">
        <f>IFERROR(AD25-AI25,0)</f>
        <v>0</v>
      </c>
      <c r="AF25" s="134"/>
      <c r="AG25" s="135"/>
      <c r="AH25" s="135"/>
      <c r="AI25" s="14">
        <f t="shared" si="105"/>
        <v>0</v>
      </c>
      <c r="AJ25" s="14">
        <f t="shared" si="162"/>
        <v>0</v>
      </c>
      <c r="AK25" s="14">
        <f t="shared" si="8"/>
        <v>0.7</v>
      </c>
      <c r="AL25" s="47">
        <f t="shared" si="38"/>
        <v>0</v>
      </c>
      <c r="AM25" s="35">
        <f t="shared" si="9"/>
        <v>1.4</v>
      </c>
      <c r="AN25" s="157">
        <f t="shared" si="93"/>
        <v>0</v>
      </c>
      <c r="AO25" s="134"/>
      <c r="AP25" s="14">
        <f t="shared" si="10"/>
        <v>17</v>
      </c>
      <c r="AQ25" s="480">
        <f t="shared" si="39"/>
        <v>0</v>
      </c>
      <c r="AR25" s="470">
        <f>AR24+AQ25</f>
        <v>0</v>
      </c>
      <c r="AS25" s="51">
        <f t="shared" si="11"/>
        <v>120</v>
      </c>
      <c r="AT25" s="103">
        <f t="shared" si="147"/>
        <v>0</v>
      </c>
      <c r="AU25" s="59">
        <f t="shared" si="136"/>
        <v>120</v>
      </c>
      <c r="AV25" s="50">
        <f t="shared" si="12"/>
        <v>77</v>
      </c>
      <c r="AW25" s="103">
        <f t="shared" si="148"/>
        <v>0</v>
      </c>
      <c r="AX25" s="71">
        <f t="shared" si="94"/>
        <v>77</v>
      </c>
      <c r="AZ25" s="120">
        <f t="shared" si="149"/>
        <v>14</v>
      </c>
      <c r="BA25" s="7">
        <f t="shared" si="150"/>
        <v>2</v>
      </c>
      <c r="BB25" s="133"/>
      <c r="BC25" s="48">
        <f t="shared" si="42"/>
        <v>0</v>
      </c>
      <c r="BD25" s="196">
        <f>IFERROR(BC25-BH25,0)</f>
        <v>0</v>
      </c>
      <c r="BE25" s="134"/>
      <c r="BF25" s="135"/>
      <c r="BG25" s="135"/>
      <c r="BH25" s="14">
        <f t="shared" si="106"/>
        <v>0</v>
      </c>
      <c r="BI25" s="14">
        <f t="shared" si="151"/>
        <v>0</v>
      </c>
      <c r="BJ25" s="14">
        <f t="shared" si="14"/>
        <v>0.7</v>
      </c>
      <c r="BK25" s="47">
        <f t="shared" si="60"/>
        <v>0</v>
      </c>
      <c r="BL25" s="35">
        <f t="shared" si="15"/>
        <v>1.4</v>
      </c>
      <c r="BM25" s="157">
        <f t="shared" si="16"/>
        <v>0</v>
      </c>
      <c r="BN25" s="134"/>
      <c r="BO25" s="14">
        <f t="shared" si="17"/>
        <v>17</v>
      </c>
      <c r="BP25" s="442">
        <f t="shared" si="61"/>
        <v>0</v>
      </c>
      <c r="BQ25" s="747">
        <f t="shared" si="81"/>
        <v>0</v>
      </c>
      <c r="BR25" s="51">
        <f t="shared" si="18"/>
        <v>120</v>
      </c>
      <c r="BS25" s="103">
        <f t="shared" si="152"/>
        <v>0</v>
      </c>
      <c r="BT25" s="59">
        <f t="shared" si="137"/>
        <v>120</v>
      </c>
      <c r="BU25" s="50">
        <f t="shared" si="20"/>
        <v>77</v>
      </c>
      <c r="BV25" s="103">
        <f t="shared" si="153"/>
        <v>0</v>
      </c>
      <c r="BW25" s="71">
        <f t="shared" si="95"/>
        <v>77</v>
      </c>
      <c r="BY25" s="120">
        <f t="shared" si="154"/>
        <v>13</v>
      </c>
      <c r="BZ25" s="7">
        <f t="shared" si="155"/>
        <v>2</v>
      </c>
      <c r="CA25" s="133"/>
      <c r="CB25" s="14">
        <f t="shared" si="96"/>
        <v>0</v>
      </c>
      <c r="CC25" s="59">
        <f t="shared" si="107"/>
        <v>0</v>
      </c>
      <c r="CD25" s="405"/>
      <c r="CE25" s="406"/>
      <c r="CF25" s="406"/>
      <c r="CG25" s="14">
        <f t="shared" si="108"/>
        <v>0</v>
      </c>
      <c r="CH25" s="14">
        <f t="shared" si="97"/>
        <v>0</v>
      </c>
      <c r="CI25" s="14">
        <f t="shared" si="21"/>
        <v>0.7</v>
      </c>
      <c r="CJ25" s="235">
        <f t="shared" si="65"/>
        <v>0</v>
      </c>
      <c r="CK25" s="37">
        <f t="shared" si="22"/>
        <v>1.4</v>
      </c>
      <c r="CL25" s="157">
        <f t="shared" si="84"/>
        <v>0</v>
      </c>
      <c r="CM25" s="134"/>
      <c r="CN25" s="14">
        <f t="shared" si="23"/>
        <v>17</v>
      </c>
      <c r="CO25" s="48">
        <f t="shared" si="85"/>
        <v>0</v>
      </c>
      <c r="CP25" s="68">
        <f t="shared" si="66"/>
        <v>0</v>
      </c>
      <c r="CQ25" s="51">
        <f t="shared" si="24"/>
        <v>120</v>
      </c>
      <c r="CR25" s="103">
        <f t="shared" si="156"/>
        <v>0</v>
      </c>
      <c r="CS25" s="59">
        <f t="shared" si="138"/>
        <v>120</v>
      </c>
      <c r="CT25" s="50">
        <f t="shared" si="25"/>
        <v>77</v>
      </c>
      <c r="CU25" s="112">
        <f t="shared" si="157"/>
        <v>0</v>
      </c>
      <c r="CV25" s="71">
        <f t="shared" si="47"/>
        <v>77</v>
      </c>
      <c r="CX25" s="120">
        <f t="shared" si="158"/>
        <v>13</v>
      </c>
      <c r="CY25" s="7">
        <f t="shared" si="159"/>
        <v>2</v>
      </c>
      <c r="CZ25" s="133"/>
      <c r="DA25" s="14">
        <f t="shared" si="98"/>
        <v>0</v>
      </c>
      <c r="DB25" s="59">
        <f t="shared" si="139"/>
        <v>0</v>
      </c>
      <c r="DC25" s="405"/>
      <c r="DD25" s="406"/>
      <c r="DE25" s="406"/>
      <c r="DF25" s="14">
        <f t="shared" si="110"/>
        <v>0</v>
      </c>
      <c r="DG25" s="14">
        <f t="shared" si="99"/>
        <v>0</v>
      </c>
      <c r="DH25" s="14">
        <f t="shared" si="26"/>
        <v>0.7</v>
      </c>
      <c r="DI25" s="235">
        <f t="shared" si="111"/>
        <v>0</v>
      </c>
      <c r="DJ25" s="37">
        <f t="shared" si="27"/>
        <v>1.4</v>
      </c>
      <c r="DK25" s="157">
        <f t="shared" si="101"/>
        <v>0</v>
      </c>
      <c r="DL25" s="134"/>
      <c r="DM25" s="14">
        <f t="shared" si="28"/>
        <v>17</v>
      </c>
      <c r="DN25" s="48">
        <f t="shared" si="132"/>
        <v>0</v>
      </c>
      <c r="DO25" s="68">
        <f t="shared" si="102"/>
        <v>0</v>
      </c>
      <c r="DP25" s="51">
        <f t="shared" si="29"/>
        <v>120</v>
      </c>
      <c r="DQ25" s="103">
        <f t="shared" si="160"/>
        <v>0</v>
      </c>
      <c r="DR25" s="59">
        <f t="shared" si="140"/>
        <v>120</v>
      </c>
      <c r="DS25" s="50">
        <f t="shared" si="30"/>
        <v>77</v>
      </c>
      <c r="DT25" s="112">
        <f t="shared" si="161"/>
        <v>0</v>
      </c>
      <c r="DU25" s="71">
        <f t="shared" si="92"/>
        <v>77</v>
      </c>
    </row>
    <row r="26" spans="1:125" ht="17.25" thickBot="1" x14ac:dyDescent="0.3">
      <c r="B26" s="197">
        <f>B25+1</f>
        <v>15</v>
      </c>
      <c r="C26" s="574">
        <f t="shared" si="142"/>
        <v>2</v>
      </c>
      <c r="D26" s="136"/>
      <c r="E26" s="436">
        <f t="shared" si="31"/>
        <v>0</v>
      </c>
      <c r="F26" s="451">
        <f t="shared" si="0"/>
        <v>0</v>
      </c>
      <c r="G26" s="137"/>
      <c r="H26" s="138"/>
      <c r="I26" s="138"/>
      <c r="J26" s="32">
        <f t="shared" si="103"/>
        <v>0</v>
      </c>
      <c r="K26" s="32">
        <f t="shared" si="32"/>
        <v>0</v>
      </c>
      <c r="L26" s="32">
        <f t="shared" si="1"/>
        <v>0.7</v>
      </c>
      <c r="M26" s="96">
        <f t="shared" si="53"/>
        <v>0</v>
      </c>
      <c r="N26" s="36">
        <f t="shared" si="2"/>
        <v>1.4</v>
      </c>
      <c r="O26" s="132">
        <f t="shared" si="33"/>
        <v>0</v>
      </c>
      <c r="P26" s="139"/>
      <c r="Q26" s="32">
        <f t="shared" si="3"/>
        <v>17</v>
      </c>
      <c r="R26" s="443">
        <f t="shared" si="4"/>
        <v>0</v>
      </c>
      <c r="S26" s="471">
        <f>S25+R26</f>
        <v>0</v>
      </c>
      <c r="T26" s="56">
        <f t="shared" si="5"/>
        <v>120</v>
      </c>
      <c r="U26" s="109">
        <f t="shared" si="143"/>
        <v>0</v>
      </c>
      <c r="V26" s="53">
        <f t="shared" si="35"/>
        <v>120</v>
      </c>
      <c r="W26" s="56">
        <f t="shared" si="6"/>
        <v>77</v>
      </c>
      <c r="X26" s="109">
        <f t="shared" si="144"/>
        <v>0</v>
      </c>
      <c r="Y26" s="63">
        <f t="shared" si="36"/>
        <v>77</v>
      </c>
      <c r="Z26" s="487"/>
      <c r="AA26" s="197">
        <f>AA25+1</f>
        <v>15</v>
      </c>
      <c r="AB26" s="8">
        <f t="shared" si="146"/>
        <v>2</v>
      </c>
      <c r="AC26" s="434"/>
      <c r="AD26" s="54">
        <f>IFERROR(AE25+AC26,0)</f>
        <v>0</v>
      </c>
      <c r="AE26" s="55">
        <f>IFERROR(AD26-AI26,0)</f>
        <v>0</v>
      </c>
      <c r="AF26" s="137"/>
      <c r="AG26" s="138"/>
      <c r="AH26" s="138"/>
      <c r="AI26" s="34">
        <f t="shared" si="105"/>
        <v>0</v>
      </c>
      <c r="AJ26" s="34">
        <f t="shared" si="162"/>
        <v>0</v>
      </c>
      <c r="AK26" s="17">
        <f t="shared" si="8"/>
        <v>0.7</v>
      </c>
      <c r="AL26" s="231">
        <f t="shared" si="38"/>
        <v>0</v>
      </c>
      <c r="AM26" s="33">
        <f t="shared" si="9"/>
        <v>1.4</v>
      </c>
      <c r="AN26" s="157">
        <f t="shared" si="93"/>
        <v>0</v>
      </c>
      <c r="AO26" s="137"/>
      <c r="AP26" s="32">
        <f t="shared" si="10"/>
        <v>17</v>
      </c>
      <c r="AQ26" s="443">
        <f t="shared" si="39"/>
        <v>0</v>
      </c>
      <c r="AR26" s="471">
        <f>AR25+AQ26</f>
        <v>0</v>
      </c>
      <c r="AS26" s="50">
        <f t="shared" si="11"/>
        <v>120</v>
      </c>
      <c r="AT26" s="103">
        <f t="shared" si="147"/>
        <v>0</v>
      </c>
      <c r="AU26" s="53">
        <f t="shared" si="136"/>
        <v>120</v>
      </c>
      <c r="AV26" s="56">
        <f t="shared" si="12"/>
        <v>77</v>
      </c>
      <c r="AW26" s="103">
        <f t="shared" si="148"/>
        <v>0</v>
      </c>
      <c r="AX26" s="63">
        <f t="shared" si="94"/>
        <v>77</v>
      </c>
      <c r="AZ26" s="119">
        <f>AZ25+1</f>
        <v>15</v>
      </c>
      <c r="BA26" s="95">
        <f t="shared" si="150"/>
        <v>2</v>
      </c>
      <c r="BB26" s="203"/>
      <c r="BC26" s="67">
        <f t="shared" si="42"/>
        <v>0</v>
      </c>
      <c r="BD26" s="196">
        <f>IFERROR(BC26-BH26,0)</f>
        <v>0</v>
      </c>
      <c r="BE26" s="204"/>
      <c r="BF26" s="205"/>
      <c r="BG26" s="205"/>
      <c r="BH26" s="31">
        <f t="shared" si="106"/>
        <v>0</v>
      </c>
      <c r="BI26" s="31">
        <f t="shared" si="151"/>
        <v>0</v>
      </c>
      <c r="BJ26" s="31">
        <f t="shared" si="14"/>
        <v>0.7</v>
      </c>
      <c r="BK26" s="230">
        <f t="shared" si="60"/>
        <v>0</v>
      </c>
      <c r="BL26" s="37">
        <f t="shared" si="15"/>
        <v>1.4</v>
      </c>
      <c r="BM26" s="157">
        <f t="shared" si="16"/>
        <v>0</v>
      </c>
      <c r="BN26" s="204"/>
      <c r="BO26" s="13">
        <f t="shared" si="17"/>
        <v>17</v>
      </c>
      <c r="BP26" s="482">
        <f t="shared" si="61"/>
        <v>0</v>
      </c>
      <c r="BQ26" s="752">
        <f t="shared" si="81"/>
        <v>0</v>
      </c>
      <c r="BR26" s="50">
        <f t="shared" si="18"/>
        <v>120</v>
      </c>
      <c r="BS26" s="202">
        <f t="shared" si="152"/>
        <v>0</v>
      </c>
      <c r="BT26" s="59">
        <f t="shared" si="137"/>
        <v>120</v>
      </c>
      <c r="BU26" s="50">
        <f t="shared" si="20"/>
        <v>77</v>
      </c>
      <c r="BV26" s="202">
        <f t="shared" si="153"/>
        <v>0</v>
      </c>
      <c r="BW26" s="62">
        <f t="shared" si="95"/>
        <v>77</v>
      </c>
      <c r="BY26" s="197">
        <f>BY25+1</f>
        <v>14</v>
      </c>
      <c r="BZ26" s="8">
        <f t="shared" si="155"/>
        <v>2</v>
      </c>
      <c r="CA26" s="136"/>
      <c r="CB26" s="32">
        <f t="shared" si="96"/>
        <v>0</v>
      </c>
      <c r="CC26" s="53">
        <f t="shared" si="107"/>
        <v>0</v>
      </c>
      <c r="CD26" s="421"/>
      <c r="CE26" s="426"/>
      <c r="CF26" s="426"/>
      <c r="CG26" s="34">
        <f t="shared" si="108"/>
        <v>0</v>
      </c>
      <c r="CH26" s="32">
        <f t="shared" si="97"/>
        <v>0</v>
      </c>
      <c r="CI26" s="32">
        <f t="shared" si="21"/>
        <v>0.7</v>
      </c>
      <c r="CJ26" s="96">
        <f t="shared" si="65"/>
        <v>0</v>
      </c>
      <c r="CK26" s="36">
        <f t="shared" si="22"/>
        <v>1.4</v>
      </c>
      <c r="CL26" s="156">
        <f t="shared" si="84"/>
        <v>0</v>
      </c>
      <c r="CM26" s="137"/>
      <c r="CN26" s="32">
        <f t="shared" si="23"/>
        <v>17</v>
      </c>
      <c r="CO26" s="54">
        <f t="shared" si="85"/>
        <v>0</v>
      </c>
      <c r="CP26" s="70">
        <f t="shared" si="66"/>
        <v>0</v>
      </c>
      <c r="CQ26" s="56">
        <f t="shared" si="24"/>
        <v>120</v>
      </c>
      <c r="CR26" s="103">
        <f t="shared" si="156"/>
        <v>0</v>
      </c>
      <c r="CS26" s="53">
        <f t="shared" si="138"/>
        <v>120</v>
      </c>
      <c r="CT26" s="56">
        <f t="shared" si="25"/>
        <v>77</v>
      </c>
      <c r="CU26" s="112">
        <f t="shared" si="157"/>
        <v>0</v>
      </c>
      <c r="CV26" s="63">
        <f t="shared" si="47"/>
        <v>77</v>
      </c>
      <c r="CX26" s="197">
        <f>CX25+1</f>
        <v>14</v>
      </c>
      <c r="CY26" s="8">
        <f t="shared" si="159"/>
        <v>2</v>
      </c>
      <c r="CZ26" s="136"/>
      <c r="DA26" s="32">
        <f t="shared" si="98"/>
        <v>0</v>
      </c>
      <c r="DB26" s="53">
        <f t="shared" si="139"/>
        <v>0</v>
      </c>
      <c r="DC26" s="421"/>
      <c r="DD26" s="426"/>
      <c r="DE26" s="426"/>
      <c r="DF26" s="34">
        <f t="shared" si="110"/>
        <v>0</v>
      </c>
      <c r="DG26" s="32">
        <f t="shared" si="99"/>
        <v>0</v>
      </c>
      <c r="DH26" s="32">
        <f t="shared" si="26"/>
        <v>0.7</v>
      </c>
      <c r="DI26" s="96">
        <f t="shared" si="111"/>
        <v>0</v>
      </c>
      <c r="DJ26" s="36">
        <f t="shared" si="27"/>
        <v>1.4</v>
      </c>
      <c r="DK26" s="156">
        <f t="shared" si="101"/>
        <v>0</v>
      </c>
      <c r="DL26" s="137"/>
      <c r="DM26" s="32">
        <f t="shared" si="28"/>
        <v>17</v>
      </c>
      <c r="DN26" s="54">
        <f t="shared" si="132"/>
        <v>0</v>
      </c>
      <c r="DO26" s="70">
        <f t="shared" si="102"/>
        <v>0</v>
      </c>
      <c r="DP26" s="56">
        <f t="shared" si="29"/>
        <v>120</v>
      </c>
      <c r="DQ26" s="103">
        <f t="shared" si="160"/>
        <v>0</v>
      </c>
      <c r="DR26" s="53">
        <f t="shared" si="140"/>
        <v>120</v>
      </c>
      <c r="DS26" s="56">
        <f t="shared" si="30"/>
        <v>77</v>
      </c>
      <c r="DT26" s="112">
        <f t="shared" si="161"/>
        <v>0</v>
      </c>
      <c r="DU26" s="63">
        <f t="shared" si="92"/>
        <v>77</v>
      </c>
    </row>
    <row r="27" spans="1:125" ht="17.25" thickBot="1" x14ac:dyDescent="0.3">
      <c r="A27" s="787"/>
      <c r="B27" s="394">
        <f>B26+1</f>
        <v>16</v>
      </c>
      <c r="C27" s="785">
        <v>3</v>
      </c>
      <c r="D27" s="498"/>
      <c r="E27" s="400">
        <f>IFERROR(F26-D27,0)</f>
        <v>0</v>
      </c>
      <c r="F27" s="561">
        <f t="shared" si="0"/>
        <v>0</v>
      </c>
      <c r="G27" s="130"/>
      <c r="H27" s="131"/>
      <c r="I27" s="131"/>
      <c r="J27" s="11">
        <f t="shared" si="103"/>
        <v>0</v>
      </c>
      <c r="K27" s="11">
        <f t="shared" si="32"/>
        <v>0</v>
      </c>
      <c r="L27" s="11">
        <f t="shared" si="1"/>
        <v>0.5</v>
      </c>
      <c r="M27" s="42">
        <f t="shared" si="53"/>
        <v>0</v>
      </c>
      <c r="N27" s="21">
        <f t="shared" si="2"/>
        <v>1.9</v>
      </c>
      <c r="O27" s="132">
        <f t="shared" si="33"/>
        <v>0</v>
      </c>
      <c r="P27" s="158"/>
      <c r="Q27" s="11">
        <f t="shared" si="3"/>
        <v>23</v>
      </c>
      <c r="R27" s="441">
        <f t="shared" si="4"/>
        <v>0</v>
      </c>
      <c r="S27" s="469">
        <f t="shared" si="34"/>
        <v>0</v>
      </c>
      <c r="T27" s="58">
        <f t="shared" si="5"/>
        <v>185</v>
      </c>
      <c r="U27" s="131"/>
      <c r="V27" s="41">
        <f t="shared" si="35"/>
        <v>185</v>
      </c>
      <c r="W27" s="18">
        <f t="shared" si="6"/>
        <v>77</v>
      </c>
      <c r="X27" s="131"/>
      <c r="Y27" s="41">
        <f t="shared" si="36"/>
        <v>77</v>
      </c>
      <c r="Z27" s="487"/>
      <c r="AA27" s="118">
        <f>AA26+1</f>
        <v>16</v>
      </c>
      <c r="AB27" s="9">
        <v>3</v>
      </c>
      <c r="AC27" s="396"/>
      <c r="AD27" s="43">
        <f t="shared" ref="AD27:AD29" si="163">IFERROR(AE26+AC27,0)</f>
        <v>0</v>
      </c>
      <c r="AE27" s="44">
        <f>IFERROR(AD27-AI27,0)</f>
        <v>0</v>
      </c>
      <c r="AF27" s="130"/>
      <c r="AG27" s="131"/>
      <c r="AH27" s="131"/>
      <c r="AI27" s="11">
        <f t="shared" si="105"/>
        <v>0</v>
      </c>
      <c r="AJ27" s="11">
        <f t="shared" si="162"/>
        <v>0</v>
      </c>
      <c r="AK27" s="16">
        <f t="shared" si="8"/>
        <v>0.5</v>
      </c>
      <c r="AL27" s="42">
        <f t="shared" si="38"/>
        <v>0</v>
      </c>
      <c r="AM27" s="154">
        <f t="shared" si="9"/>
        <v>1.9</v>
      </c>
      <c r="AN27" s="157">
        <f t="shared" si="93"/>
        <v>0</v>
      </c>
      <c r="AO27" s="130"/>
      <c r="AP27" s="17">
        <f t="shared" si="10"/>
        <v>23</v>
      </c>
      <c r="AQ27" s="481">
        <f t="shared" si="39"/>
        <v>0</v>
      </c>
      <c r="AR27" s="469">
        <f t="shared" ref="AR27:AR90" si="164">AR26+AQ27</f>
        <v>0</v>
      </c>
      <c r="AS27" s="58">
        <f t="shared" si="11"/>
        <v>185</v>
      </c>
      <c r="AT27" s="131"/>
      <c r="AU27" s="41">
        <f t="shared" si="136"/>
        <v>185</v>
      </c>
      <c r="AV27" s="18">
        <f t="shared" si="12"/>
        <v>77</v>
      </c>
      <c r="AW27" s="131"/>
      <c r="AX27" s="41">
        <f t="shared" si="94"/>
        <v>77</v>
      </c>
      <c r="AY27" s="787"/>
      <c r="AZ27" s="394">
        <f>AZ26+1</f>
        <v>16</v>
      </c>
      <c r="BA27" s="395">
        <v>3</v>
      </c>
      <c r="BB27" s="498"/>
      <c r="BC27" s="43">
        <f t="shared" si="42"/>
        <v>0</v>
      </c>
      <c r="BD27" s="44">
        <f>IFERROR(BC27-BH27,0)</f>
        <v>0</v>
      </c>
      <c r="BE27" s="130"/>
      <c r="BF27" s="131"/>
      <c r="BG27" s="131"/>
      <c r="BH27" s="11">
        <f t="shared" si="106"/>
        <v>0</v>
      </c>
      <c r="BI27" s="11">
        <f t="shared" si="151"/>
        <v>0</v>
      </c>
      <c r="BJ27" s="16">
        <f t="shared" si="14"/>
        <v>0.5</v>
      </c>
      <c r="BK27" s="42">
        <f t="shared" si="60"/>
        <v>0</v>
      </c>
      <c r="BL27" s="154">
        <f t="shared" si="15"/>
        <v>1.9</v>
      </c>
      <c r="BM27" s="132">
        <f>IFERROR((BI27*100)/$BB$33,0)</f>
        <v>0</v>
      </c>
      <c r="BN27" s="130"/>
      <c r="BO27" s="11">
        <f t="shared" si="17"/>
        <v>23</v>
      </c>
      <c r="BP27" s="441">
        <f t="shared" si="61"/>
        <v>0</v>
      </c>
      <c r="BQ27" s="746">
        <f t="shared" si="81"/>
        <v>0</v>
      </c>
      <c r="BR27" s="58">
        <f t="shared" si="18"/>
        <v>185</v>
      </c>
      <c r="BS27" s="131"/>
      <c r="BT27" s="41">
        <f t="shared" si="137"/>
        <v>185</v>
      </c>
      <c r="BU27" s="18">
        <f t="shared" si="20"/>
        <v>77</v>
      </c>
      <c r="BV27" s="131"/>
      <c r="BW27" s="41">
        <f t="shared" si="95"/>
        <v>77</v>
      </c>
      <c r="BY27" s="118">
        <v>15</v>
      </c>
      <c r="BZ27" s="9">
        <v>3</v>
      </c>
      <c r="CA27" s="129"/>
      <c r="CB27" s="11">
        <f t="shared" si="96"/>
        <v>0</v>
      </c>
      <c r="CC27" s="41">
        <f t="shared" si="107"/>
        <v>0</v>
      </c>
      <c r="CD27" s="398"/>
      <c r="CE27" s="399"/>
      <c r="CF27" s="399"/>
      <c r="CG27" s="11">
        <f t="shared" si="108"/>
        <v>0</v>
      </c>
      <c r="CH27" s="17">
        <f t="shared" si="97"/>
        <v>0</v>
      </c>
      <c r="CI27" s="17">
        <f t="shared" si="21"/>
        <v>0.5</v>
      </c>
      <c r="CJ27" s="235">
        <f t="shared" si="65"/>
        <v>0</v>
      </c>
      <c r="CK27" s="33">
        <f t="shared" si="22"/>
        <v>1.9</v>
      </c>
      <c r="CL27" s="155">
        <f t="shared" si="84"/>
        <v>0</v>
      </c>
      <c r="CM27" s="130"/>
      <c r="CN27" s="17">
        <f t="shared" si="23"/>
        <v>23</v>
      </c>
      <c r="CO27" s="60">
        <f t="shared" si="85"/>
        <v>0</v>
      </c>
      <c r="CP27" s="377">
        <f t="shared" si="66"/>
        <v>0</v>
      </c>
      <c r="CQ27" s="61">
        <f t="shared" si="24"/>
        <v>185</v>
      </c>
      <c r="CR27" s="131"/>
      <c r="CS27" s="41">
        <f t="shared" si="138"/>
        <v>185</v>
      </c>
      <c r="CT27" s="18">
        <f t="shared" si="25"/>
        <v>77</v>
      </c>
      <c r="CU27" s="131"/>
      <c r="CV27" s="41">
        <f t="shared" si="47"/>
        <v>77</v>
      </c>
      <c r="CX27" s="118">
        <v>15</v>
      </c>
      <c r="CY27" s="9">
        <v>3</v>
      </c>
      <c r="CZ27" s="129"/>
      <c r="DA27" s="11">
        <f t="shared" si="98"/>
        <v>0</v>
      </c>
      <c r="DB27" s="41">
        <f t="shared" si="139"/>
        <v>0</v>
      </c>
      <c r="DC27" s="398"/>
      <c r="DD27" s="399"/>
      <c r="DE27" s="399"/>
      <c r="DF27" s="11">
        <f t="shared" si="110"/>
        <v>0</v>
      </c>
      <c r="DG27" s="17">
        <f t="shared" si="99"/>
        <v>0</v>
      </c>
      <c r="DH27" s="17">
        <f t="shared" si="26"/>
        <v>0.5</v>
      </c>
      <c r="DI27" s="235">
        <f t="shared" si="111"/>
        <v>0</v>
      </c>
      <c r="DJ27" s="33">
        <f t="shared" si="27"/>
        <v>1.9</v>
      </c>
      <c r="DK27" s="155">
        <f t="shared" si="101"/>
        <v>0</v>
      </c>
      <c r="DL27" s="130"/>
      <c r="DM27" s="17">
        <f t="shared" si="28"/>
        <v>23</v>
      </c>
      <c r="DN27" s="60">
        <f t="shared" si="132"/>
        <v>0</v>
      </c>
      <c r="DO27" s="377">
        <f t="shared" si="102"/>
        <v>0</v>
      </c>
      <c r="DP27" s="61">
        <f t="shared" si="29"/>
        <v>185</v>
      </c>
      <c r="DQ27" s="131"/>
      <c r="DR27" s="41">
        <f t="shared" si="140"/>
        <v>185</v>
      </c>
      <c r="DS27" s="18">
        <f t="shared" si="30"/>
        <v>77</v>
      </c>
      <c r="DT27" s="131"/>
      <c r="DU27" s="41">
        <f t="shared" si="92"/>
        <v>77</v>
      </c>
    </row>
    <row r="28" spans="1:125" ht="17.25" thickBot="1" x14ac:dyDescent="0.3">
      <c r="A28" s="787"/>
      <c r="B28" s="403">
        <f>B27+1</f>
        <v>17</v>
      </c>
      <c r="C28" s="571">
        <f>C27</f>
        <v>3</v>
      </c>
      <c r="D28" s="496"/>
      <c r="E28" s="408">
        <f>IFERROR(F27-D28,0)</f>
        <v>0</v>
      </c>
      <c r="F28" s="562">
        <f t="shared" si="0"/>
        <v>0</v>
      </c>
      <c r="G28" s="134"/>
      <c r="H28" s="135"/>
      <c r="I28" s="135"/>
      <c r="J28" s="14">
        <f t="shared" si="103"/>
        <v>0</v>
      </c>
      <c r="K28" s="14">
        <f t="shared" si="32"/>
        <v>0</v>
      </c>
      <c r="L28" s="14">
        <f t="shared" si="1"/>
        <v>0.5</v>
      </c>
      <c r="M28" s="47">
        <f t="shared" si="53"/>
        <v>0</v>
      </c>
      <c r="N28" s="35">
        <f t="shared" si="2"/>
        <v>1.9</v>
      </c>
      <c r="O28" s="132">
        <f t="shared" si="33"/>
        <v>0</v>
      </c>
      <c r="P28" s="142"/>
      <c r="Q28" s="14">
        <f t="shared" si="3"/>
        <v>23</v>
      </c>
      <c r="R28" s="442">
        <f t="shared" si="4"/>
        <v>0</v>
      </c>
      <c r="S28" s="470">
        <f t="shared" si="34"/>
        <v>0</v>
      </c>
      <c r="T28" s="51">
        <f t="shared" si="5"/>
        <v>185</v>
      </c>
      <c r="U28" s="112">
        <f>U27</f>
        <v>0</v>
      </c>
      <c r="V28" s="71">
        <f t="shared" si="35"/>
        <v>185</v>
      </c>
      <c r="W28" s="50">
        <f t="shared" si="6"/>
        <v>77</v>
      </c>
      <c r="X28" s="112">
        <f>X27</f>
        <v>0</v>
      </c>
      <c r="Y28" s="71">
        <f t="shared" si="36"/>
        <v>77</v>
      </c>
      <c r="Z28" s="487"/>
      <c r="AA28" s="120">
        <f>AA27+1</f>
        <v>17</v>
      </c>
      <c r="AB28" s="7">
        <f>AB27</f>
        <v>3</v>
      </c>
      <c r="AC28" s="229"/>
      <c r="AD28" s="48">
        <f t="shared" si="163"/>
        <v>0</v>
      </c>
      <c r="AE28" s="447">
        <f t="shared" ref="AE28:AE45" si="165">IFERROR(AD28-AI28,0)</f>
        <v>0</v>
      </c>
      <c r="AF28" s="134"/>
      <c r="AG28" s="135"/>
      <c r="AH28" s="135"/>
      <c r="AI28" s="14">
        <f t="shared" si="105"/>
        <v>0</v>
      </c>
      <c r="AJ28" s="14">
        <f t="shared" si="162"/>
        <v>0</v>
      </c>
      <c r="AK28" s="14">
        <f t="shared" si="8"/>
        <v>0.5</v>
      </c>
      <c r="AL28" s="47">
        <f t="shared" si="38"/>
        <v>0</v>
      </c>
      <c r="AM28" s="35">
        <f t="shared" si="9"/>
        <v>1.9</v>
      </c>
      <c r="AN28" s="157">
        <f t="shared" si="93"/>
        <v>0</v>
      </c>
      <c r="AO28" s="134"/>
      <c r="AP28" s="14">
        <f t="shared" si="10"/>
        <v>23</v>
      </c>
      <c r="AQ28" s="482">
        <f t="shared" si="39"/>
        <v>0</v>
      </c>
      <c r="AR28" s="470">
        <f t="shared" si="164"/>
        <v>0</v>
      </c>
      <c r="AS28" s="51">
        <f t="shared" si="11"/>
        <v>185</v>
      </c>
      <c r="AT28" s="112">
        <f>AT27</f>
        <v>0</v>
      </c>
      <c r="AU28" s="71">
        <f t="shared" si="136"/>
        <v>185</v>
      </c>
      <c r="AV28" s="50">
        <f t="shared" si="12"/>
        <v>77</v>
      </c>
      <c r="AW28" s="112">
        <f>AW27</f>
        <v>0</v>
      </c>
      <c r="AX28" s="71">
        <f t="shared" si="94"/>
        <v>77</v>
      </c>
      <c r="AY28" s="787"/>
      <c r="AZ28" s="403">
        <f>AZ27+1</f>
        <v>17</v>
      </c>
      <c r="BA28" s="404">
        <f>BA27</f>
        <v>3</v>
      </c>
      <c r="BB28" s="496"/>
      <c r="BC28" s="48">
        <f t="shared" si="42"/>
        <v>0</v>
      </c>
      <c r="BD28" s="447">
        <f t="shared" ref="BD28:BD48" si="166">IFERROR(BC28-BH28,0)</f>
        <v>0</v>
      </c>
      <c r="BE28" s="134"/>
      <c r="BF28" s="135"/>
      <c r="BG28" s="135"/>
      <c r="BH28" s="14">
        <f t="shared" si="106"/>
        <v>0</v>
      </c>
      <c r="BI28" s="14">
        <f t="shared" si="151"/>
        <v>0</v>
      </c>
      <c r="BJ28" s="14">
        <f t="shared" si="14"/>
        <v>0.5</v>
      </c>
      <c r="BK28" s="47">
        <f t="shared" si="60"/>
        <v>0</v>
      </c>
      <c r="BL28" s="35">
        <f t="shared" si="15"/>
        <v>1.9</v>
      </c>
      <c r="BM28" s="132">
        <f t="shared" ref="BM28:BM91" si="167">IFERROR((BI28*100)/$BB$33,0)</f>
        <v>0</v>
      </c>
      <c r="BN28" s="134"/>
      <c r="BO28" s="14">
        <f t="shared" si="17"/>
        <v>23</v>
      </c>
      <c r="BP28" s="442">
        <f t="shared" si="61"/>
        <v>0</v>
      </c>
      <c r="BQ28" s="747">
        <f t="shared" si="81"/>
        <v>0</v>
      </c>
      <c r="BR28" s="51">
        <f t="shared" si="18"/>
        <v>185</v>
      </c>
      <c r="BS28" s="112">
        <f>BS27</f>
        <v>0</v>
      </c>
      <c r="BT28" s="71">
        <f t="shared" si="137"/>
        <v>185</v>
      </c>
      <c r="BU28" s="50">
        <f t="shared" si="20"/>
        <v>77</v>
      </c>
      <c r="BV28" s="112">
        <f>BV27</f>
        <v>0</v>
      </c>
      <c r="BW28" s="71">
        <f t="shared" si="95"/>
        <v>77</v>
      </c>
      <c r="BY28" s="120">
        <f>BY27+1</f>
        <v>16</v>
      </c>
      <c r="BZ28" s="7">
        <f>BZ27</f>
        <v>3</v>
      </c>
      <c r="CA28" s="133"/>
      <c r="CB28" s="14">
        <f t="shared" si="96"/>
        <v>0</v>
      </c>
      <c r="CC28" s="62">
        <f t="shared" si="107"/>
        <v>0</v>
      </c>
      <c r="CD28" s="405"/>
      <c r="CE28" s="406"/>
      <c r="CF28" s="406"/>
      <c r="CG28" s="14">
        <f t="shared" si="108"/>
        <v>0</v>
      </c>
      <c r="CH28" s="14">
        <f t="shared" si="97"/>
        <v>0</v>
      </c>
      <c r="CI28" s="14">
        <f t="shared" si="21"/>
        <v>0.5</v>
      </c>
      <c r="CJ28" s="47">
        <f t="shared" si="65"/>
        <v>0</v>
      </c>
      <c r="CK28" s="35">
        <f t="shared" si="22"/>
        <v>1.9</v>
      </c>
      <c r="CL28" s="157">
        <f t="shared" si="84"/>
        <v>0</v>
      </c>
      <c r="CM28" s="134"/>
      <c r="CN28" s="14">
        <f t="shared" si="23"/>
        <v>23</v>
      </c>
      <c r="CO28" s="48">
        <f t="shared" si="85"/>
        <v>0</v>
      </c>
      <c r="CP28" s="68">
        <f t="shared" si="66"/>
        <v>0</v>
      </c>
      <c r="CQ28" s="51">
        <f t="shared" si="24"/>
        <v>185</v>
      </c>
      <c r="CR28" s="112">
        <f>CR27</f>
        <v>0</v>
      </c>
      <c r="CS28" s="71">
        <f t="shared" si="138"/>
        <v>185</v>
      </c>
      <c r="CT28" s="51">
        <f t="shared" si="25"/>
        <v>77</v>
      </c>
      <c r="CU28" s="112">
        <f>CU27</f>
        <v>0</v>
      </c>
      <c r="CV28" s="71">
        <f t="shared" si="47"/>
        <v>77</v>
      </c>
      <c r="CX28" s="120">
        <f>CX27+1</f>
        <v>16</v>
      </c>
      <c r="CY28" s="7">
        <f>CY27</f>
        <v>3</v>
      </c>
      <c r="CZ28" s="133"/>
      <c r="DA28" s="14">
        <f t="shared" si="98"/>
        <v>0</v>
      </c>
      <c r="DB28" s="62">
        <f t="shared" si="139"/>
        <v>0</v>
      </c>
      <c r="DC28" s="405"/>
      <c r="DD28" s="406"/>
      <c r="DE28" s="406"/>
      <c r="DF28" s="14">
        <f t="shared" si="110"/>
        <v>0</v>
      </c>
      <c r="DG28" s="14">
        <f t="shared" si="99"/>
        <v>0</v>
      </c>
      <c r="DH28" s="14">
        <f t="shared" si="26"/>
        <v>0.5</v>
      </c>
      <c r="DI28" s="47">
        <f t="shared" si="111"/>
        <v>0</v>
      </c>
      <c r="DJ28" s="35">
        <f t="shared" si="27"/>
        <v>1.9</v>
      </c>
      <c r="DK28" s="157">
        <f t="shared" si="101"/>
        <v>0</v>
      </c>
      <c r="DL28" s="134"/>
      <c r="DM28" s="14">
        <f t="shared" si="28"/>
        <v>23</v>
      </c>
      <c r="DN28" s="48">
        <f t="shared" si="132"/>
        <v>0</v>
      </c>
      <c r="DO28" s="68">
        <f t="shared" si="102"/>
        <v>0</v>
      </c>
      <c r="DP28" s="51">
        <f t="shared" si="29"/>
        <v>185</v>
      </c>
      <c r="DQ28" s="112">
        <f>DQ27</f>
        <v>0</v>
      </c>
      <c r="DR28" s="71">
        <f t="shared" si="140"/>
        <v>185</v>
      </c>
      <c r="DS28" s="51">
        <f t="shared" si="30"/>
        <v>77</v>
      </c>
      <c r="DT28" s="112">
        <f>DT27</f>
        <v>0</v>
      </c>
      <c r="DU28" s="71">
        <f t="shared" si="92"/>
        <v>77</v>
      </c>
    </row>
    <row r="29" spans="1:125" ht="17.25" thickBot="1" x14ac:dyDescent="0.3">
      <c r="B29" s="120">
        <f t="shared" ref="B29:B33" si="168">B28+1</f>
        <v>18</v>
      </c>
      <c r="C29" s="570">
        <f t="shared" ref="C29:C33" si="169">C28</f>
        <v>3</v>
      </c>
      <c r="D29" s="133"/>
      <c r="E29" s="408">
        <f t="shared" si="31"/>
        <v>0</v>
      </c>
      <c r="F29" s="562">
        <f t="shared" si="0"/>
        <v>0</v>
      </c>
      <c r="G29" s="134"/>
      <c r="H29" s="135"/>
      <c r="I29" s="135"/>
      <c r="J29" s="14">
        <f t="shared" si="103"/>
        <v>0</v>
      </c>
      <c r="K29" s="14">
        <f t="shared" si="32"/>
        <v>0</v>
      </c>
      <c r="L29" s="14">
        <f t="shared" si="1"/>
        <v>0.5</v>
      </c>
      <c r="M29" s="47">
        <f t="shared" si="53"/>
        <v>0</v>
      </c>
      <c r="N29" s="35">
        <f t="shared" si="2"/>
        <v>1.9</v>
      </c>
      <c r="O29" s="132">
        <f t="shared" si="33"/>
        <v>0</v>
      </c>
      <c r="P29" s="142"/>
      <c r="Q29" s="14">
        <f t="shared" si="3"/>
        <v>23</v>
      </c>
      <c r="R29" s="442">
        <f t="shared" si="4"/>
        <v>0</v>
      </c>
      <c r="S29" s="470">
        <f t="shared" si="34"/>
        <v>0</v>
      </c>
      <c r="T29" s="51">
        <f t="shared" si="5"/>
        <v>185</v>
      </c>
      <c r="U29" s="112">
        <f t="shared" ref="U29:U33" si="170">U28</f>
        <v>0</v>
      </c>
      <c r="V29" s="46">
        <f t="shared" si="35"/>
        <v>185</v>
      </c>
      <c r="W29" s="50">
        <f t="shared" si="6"/>
        <v>77</v>
      </c>
      <c r="X29" s="112">
        <f t="shared" ref="X29:X33" si="171">X28</f>
        <v>0</v>
      </c>
      <c r="Y29" s="46">
        <f t="shared" si="36"/>
        <v>77</v>
      </c>
      <c r="Z29" s="487"/>
      <c r="AA29" s="120">
        <f t="shared" ref="AA29:AA31" si="172">AA28+1</f>
        <v>18</v>
      </c>
      <c r="AB29" s="7">
        <f t="shared" ref="AB29:AB33" si="173">AB28</f>
        <v>3</v>
      </c>
      <c r="AC29" s="229"/>
      <c r="AD29" s="48">
        <f t="shared" si="163"/>
        <v>0</v>
      </c>
      <c r="AE29" s="196">
        <f t="shared" si="165"/>
        <v>0</v>
      </c>
      <c r="AF29" s="134"/>
      <c r="AG29" s="135"/>
      <c r="AH29" s="135"/>
      <c r="AI29" s="14">
        <f t="shared" si="105"/>
        <v>0</v>
      </c>
      <c r="AJ29" s="14">
        <f t="shared" si="162"/>
        <v>0</v>
      </c>
      <c r="AK29" s="14">
        <f t="shared" si="8"/>
        <v>0.5</v>
      </c>
      <c r="AL29" s="47">
        <f t="shared" si="38"/>
        <v>0</v>
      </c>
      <c r="AM29" s="35">
        <f t="shared" si="9"/>
        <v>1.9</v>
      </c>
      <c r="AN29" s="157">
        <f t="shared" si="93"/>
        <v>0</v>
      </c>
      <c r="AO29" s="134"/>
      <c r="AP29" s="14">
        <f t="shared" si="10"/>
        <v>23</v>
      </c>
      <c r="AQ29" s="482">
        <f t="shared" si="39"/>
        <v>0</v>
      </c>
      <c r="AR29" s="470">
        <f t="shared" si="164"/>
        <v>0</v>
      </c>
      <c r="AS29" s="51">
        <f t="shared" si="11"/>
        <v>185</v>
      </c>
      <c r="AT29" s="112">
        <f t="shared" ref="AT29:AT33" si="174">AT28</f>
        <v>0</v>
      </c>
      <c r="AU29" s="46">
        <f t="shared" si="136"/>
        <v>185</v>
      </c>
      <c r="AV29" s="50">
        <f t="shared" si="12"/>
        <v>77</v>
      </c>
      <c r="AW29" s="112">
        <f t="shared" ref="AW29:AW33" si="175">AW28</f>
        <v>0</v>
      </c>
      <c r="AX29" s="46">
        <f t="shared" si="94"/>
        <v>77</v>
      </c>
      <c r="AY29" s="362"/>
      <c r="AZ29" s="403">
        <f t="shared" ref="AZ29:AZ31" si="176">AZ28+1</f>
        <v>18</v>
      </c>
      <c r="BA29" s="404">
        <f t="shared" ref="BA29:BA33" si="177">BA28</f>
        <v>3</v>
      </c>
      <c r="BB29" s="229"/>
      <c r="BC29" s="48">
        <f t="shared" si="42"/>
        <v>0</v>
      </c>
      <c r="BD29" s="196">
        <f t="shared" si="166"/>
        <v>0</v>
      </c>
      <c r="BE29" s="134"/>
      <c r="BF29" s="135"/>
      <c r="BG29" s="135"/>
      <c r="BH29" s="14">
        <f t="shared" si="106"/>
        <v>0</v>
      </c>
      <c r="BI29" s="14">
        <f t="shared" si="151"/>
        <v>0</v>
      </c>
      <c r="BJ29" s="14">
        <f t="shared" si="14"/>
        <v>0.5</v>
      </c>
      <c r="BK29" s="47">
        <f t="shared" si="60"/>
        <v>0</v>
      </c>
      <c r="BL29" s="35">
        <f t="shared" si="15"/>
        <v>1.9</v>
      </c>
      <c r="BM29" s="132">
        <f t="shared" si="167"/>
        <v>0</v>
      </c>
      <c r="BN29" s="134"/>
      <c r="BO29" s="14">
        <f t="shared" si="17"/>
        <v>23</v>
      </c>
      <c r="BP29" s="442">
        <f t="shared" si="61"/>
        <v>0</v>
      </c>
      <c r="BQ29" s="747">
        <f t="shared" si="81"/>
        <v>0</v>
      </c>
      <c r="BR29" s="51">
        <f t="shared" si="18"/>
        <v>185</v>
      </c>
      <c r="BS29" s="112">
        <f t="shared" ref="BS29:BS33" si="178">BS28</f>
        <v>0</v>
      </c>
      <c r="BT29" s="46">
        <f t="shared" si="137"/>
        <v>185</v>
      </c>
      <c r="BU29" s="50">
        <f t="shared" si="20"/>
        <v>77</v>
      </c>
      <c r="BV29" s="112">
        <f t="shared" ref="BV29:BV33" si="179">BV28</f>
        <v>0</v>
      </c>
      <c r="BW29" s="46">
        <f t="shared" si="95"/>
        <v>77</v>
      </c>
      <c r="BY29" s="120">
        <f t="shared" ref="BY29:BY31" si="180">BY28+1</f>
        <v>17</v>
      </c>
      <c r="BZ29" s="7">
        <f t="shared" ref="BZ29:BZ33" si="181">BZ28</f>
        <v>3</v>
      </c>
      <c r="CA29" s="133"/>
      <c r="CB29" s="14">
        <f t="shared" si="96"/>
        <v>0</v>
      </c>
      <c r="CC29" s="59">
        <f t="shared" si="107"/>
        <v>0</v>
      </c>
      <c r="CD29" s="405"/>
      <c r="CE29" s="406"/>
      <c r="CF29" s="406"/>
      <c r="CG29" s="14">
        <f t="shared" si="108"/>
        <v>0</v>
      </c>
      <c r="CH29" s="14">
        <f t="shared" si="97"/>
        <v>0</v>
      </c>
      <c r="CI29" s="14">
        <f t="shared" si="21"/>
        <v>0.5</v>
      </c>
      <c r="CJ29" s="47">
        <f t="shared" si="65"/>
        <v>0</v>
      </c>
      <c r="CK29" s="35">
        <f t="shared" si="22"/>
        <v>1.9</v>
      </c>
      <c r="CL29" s="157">
        <f t="shared" si="84"/>
        <v>0</v>
      </c>
      <c r="CM29" s="134"/>
      <c r="CN29" s="14">
        <f t="shared" si="23"/>
        <v>23</v>
      </c>
      <c r="CO29" s="48">
        <f t="shared" si="85"/>
        <v>0</v>
      </c>
      <c r="CP29" s="68">
        <f t="shared" si="66"/>
        <v>0</v>
      </c>
      <c r="CQ29" s="51">
        <f t="shared" si="24"/>
        <v>185</v>
      </c>
      <c r="CR29" s="112">
        <f t="shared" ref="CR29:CR33" si="182">CR28</f>
        <v>0</v>
      </c>
      <c r="CS29" s="46">
        <f t="shared" si="138"/>
        <v>185</v>
      </c>
      <c r="CT29" s="12">
        <f t="shared" si="25"/>
        <v>77</v>
      </c>
      <c r="CU29" s="112">
        <f t="shared" ref="CU29:CU33" si="183">CU28</f>
        <v>0</v>
      </c>
      <c r="CV29" s="46">
        <f t="shared" si="47"/>
        <v>77</v>
      </c>
      <c r="CX29" s="120">
        <f t="shared" ref="CX29:CX31" si="184">CX28+1</f>
        <v>17</v>
      </c>
      <c r="CY29" s="7">
        <f t="shared" ref="CY29:CY33" si="185">CY28</f>
        <v>3</v>
      </c>
      <c r="CZ29" s="133"/>
      <c r="DA29" s="14">
        <f t="shared" si="98"/>
        <v>0</v>
      </c>
      <c r="DB29" s="59">
        <f t="shared" si="139"/>
        <v>0</v>
      </c>
      <c r="DC29" s="405"/>
      <c r="DD29" s="406"/>
      <c r="DE29" s="406"/>
      <c r="DF29" s="14">
        <f t="shared" si="110"/>
        <v>0</v>
      </c>
      <c r="DG29" s="14">
        <f t="shared" si="99"/>
        <v>0</v>
      </c>
      <c r="DH29" s="14">
        <f t="shared" si="26"/>
        <v>0.5</v>
      </c>
      <c r="DI29" s="47">
        <f t="shared" si="111"/>
        <v>0</v>
      </c>
      <c r="DJ29" s="35">
        <f t="shared" si="27"/>
        <v>1.9</v>
      </c>
      <c r="DK29" s="157">
        <f t="shared" si="101"/>
        <v>0</v>
      </c>
      <c r="DL29" s="134"/>
      <c r="DM29" s="14">
        <f t="shared" si="28"/>
        <v>23</v>
      </c>
      <c r="DN29" s="48">
        <f t="shared" si="132"/>
        <v>0</v>
      </c>
      <c r="DO29" s="68">
        <f t="shared" si="102"/>
        <v>0</v>
      </c>
      <c r="DP29" s="51">
        <f t="shared" si="29"/>
        <v>185</v>
      </c>
      <c r="DQ29" s="112">
        <f t="shared" ref="DQ29:DQ33" si="186">DQ28</f>
        <v>0</v>
      </c>
      <c r="DR29" s="46">
        <f t="shared" si="140"/>
        <v>185</v>
      </c>
      <c r="DS29" s="12">
        <f t="shared" si="30"/>
        <v>77</v>
      </c>
      <c r="DT29" s="112">
        <f t="shared" ref="DT29:DT33" si="187">DT28</f>
        <v>0</v>
      </c>
      <c r="DU29" s="46">
        <f t="shared" si="92"/>
        <v>77</v>
      </c>
    </row>
    <row r="30" spans="1:125" ht="17.25" thickBot="1" x14ac:dyDescent="0.3">
      <c r="A30" s="362"/>
      <c r="B30" s="403">
        <f t="shared" si="168"/>
        <v>19</v>
      </c>
      <c r="C30" s="571">
        <f t="shared" si="169"/>
        <v>3</v>
      </c>
      <c r="D30" s="496"/>
      <c r="E30" s="408">
        <f>IFERROR(F29-D30,0)</f>
        <v>0</v>
      </c>
      <c r="F30" s="562">
        <f>IFERROR(E30-J30,0)</f>
        <v>0</v>
      </c>
      <c r="G30" s="134"/>
      <c r="H30" s="135"/>
      <c r="I30" s="135"/>
      <c r="J30" s="14">
        <f t="shared" si="103"/>
        <v>0</v>
      </c>
      <c r="K30" s="14">
        <f t="shared" si="32"/>
        <v>0</v>
      </c>
      <c r="L30" s="14">
        <f t="shared" si="1"/>
        <v>0.5</v>
      </c>
      <c r="M30" s="47">
        <f t="shared" si="53"/>
        <v>0</v>
      </c>
      <c r="N30" s="35">
        <f t="shared" si="2"/>
        <v>1.9</v>
      </c>
      <c r="O30" s="132">
        <f t="shared" si="33"/>
        <v>0</v>
      </c>
      <c r="P30" s="142"/>
      <c r="Q30" s="14">
        <f t="shared" si="3"/>
        <v>23</v>
      </c>
      <c r="R30" s="442">
        <f t="shared" si="4"/>
        <v>0</v>
      </c>
      <c r="S30" s="470">
        <f t="shared" si="34"/>
        <v>0</v>
      </c>
      <c r="T30" s="51">
        <f t="shared" si="5"/>
        <v>185</v>
      </c>
      <c r="U30" s="112">
        <f t="shared" si="170"/>
        <v>0</v>
      </c>
      <c r="V30" s="46">
        <f t="shared" si="35"/>
        <v>185</v>
      </c>
      <c r="W30" s="50">
        <f t="shared" si="6"/>
        <v>77</v>
      </c>
      <c r="X30" s="112">
        <f t="shared" si="171"/>
        <v>0</v>
      </c>
      <c r="Y30" s="46">
        <f t="shared" si="36"/>
        <v>77</v>
      </c>
      <c r="Z30" s="487"/>
      <c r="AA30" s="120">
        <f t="shared" si="172"/>
        <v>19</v>
      </c>
      <c r="AB30" s="7">
        <f t="shared" si="173"/>
        <v>3</v>
      </c>
      <c r="AC30" s="496"/>
      <c r="AD30" s="48">
        <f>IFERROR(AE29-AC30,0)</f>
        <v>0</v>
      </c>
      <c r="AE30" s="196">
        <f t="shared" si="165"/>
        <v>0</v>
      </c>
      <c r="AF30" s="134"/>
      <c r="AG30" s="135"/>
      <c r="AH30" s="135"/>
      <c r="AI30" s="14">
        <f t="shared" si="105"/>
        <v>0</v>
      </c>
      <c r="AJ30" s="14">
        <f t="shared" si="162"/>
        <v>0</v>
      </c>
      <c r="AK30" s="14">
        <f t="shared" si="8"/>
        <v>0.5</v>
      </c>
      <c r="AL30" s="47">
        <f t="shared" si="38"/>
        <v>0</v>
      </c>
      <c r="AM30" s="35">
        <f t="shared" si="9"/>
        <v>1.9</v>
      </c>
      <c r="AN30" s="157">
        <f t="shared" si="93"/>
        <v>0</v>
      </c>
      <c r="AO30" s="134"/>
      <c r="AP30" s="14">
        <f t="shared" si="10"/>
        <v>23</v>
      </c>
      <c r="AQ30" s="482">
        <f t="shared" si="39"/>
        <v>0</v>
      </c>
      <c r="AR30" s="470">
        <f t="shared" si="164"/>
        <v>0</v>
      </c>
      <c r="AS30" s="51">
        <f t="shared" si="11"/>
        <v>185</v>
      </c>
      <c r="AT30" s="112">
        <f t="shared" si="174"/>
        <v>0</v>
      </c>
      <c r="AU30" s="46">
        <f t="shared" si="136"/>
        <v>185</v>
      </c>
      <c r="AV30" s="50">
        <f t="shared" si="12"/>
        <v>77</v>
      </c>
      <c r="AW30" s="112">
        <f t="shared" si="175"/>
        <v>0</v>
      </c>
      <c r="AX30" s="46">
        <f t="shared" si="94"/>
        <v>77</v>
      </c>
      <c r="AY30" s="362"/>
      <c r="AZ30" s="403">
        <f t="shared" si="176"/>
        <v>19</v>
      </c>
      <c r="BA30" s="404">
        <f t="shared" si="177"/>
        <v>3</v>
      </c>
      <c r="BB30" s="496"/>
      <c r="BC30" s="48">
        <f>IFERROR(BD29+BB30,0)</f>
        <v>0</v>
      </c>
      <c r="BD30" s="196">
        <f t="shared" si="166"/>
        <v>0</v>
      </c>
      <c r="BE30" s="134"/>
      <c r="BF30" s="135"/>
      <c r="BG30" s="135"/>
      <c r="BH30" s="14">
        <f t="shared" si="106"/>
        <v>0</v>
      </c>
      <c r="BI30" s="14">
        <f t="shared" si="151"/>
        <v>0</v>
      </c>
      <c r="BJ30" s="14">
        <f t="shared" si="14"/>
        <v>0.5</v>
      </c>
      <c r="BK30" s="47">
        <f t="shared" si="60"/>
        <v>0</v>
      </c>
      <c r="BL30" s="35">
        <f t="shared" si="15"/>
        <v>1.9</v>
      </c>
      <c r="BM30" s="132">
        <f t="shared" si="167"/>
        <v>0</v>
      </c>
      <c r="BN30" s="134"/>
      <c r="BO30" s="14">
        <f t="shared" si="17"/>
        <v>23</v>
      </c>
      <c r="BP30" s="442">
        <f t="shared" si="61"/>
        <v>0</v>
      </c>
      <c r="BQ30" s="747">
        <f t="shared" si="81"/>
        <v>0</v>
      </c>
      <c r="BR30" s="51">
        <f t="shared" si="18"/>
        <v>185</v>
      </c>
      <c r="BS30" s="112">
        <f t="shared" si="178"/>
        <v>0</v>
      </c>
      <c r="BT30" s="46">
        <f t="shared" si="137"/>
        <v>185</v>
      </c>
      <c r="BU30" s="50">
        <f t="shared" si="20"/>
        <v>77</v>
      </c>
      <c r="BV30" s="112">
        <f t="shared" si="179"/>
        <v>0</v>
      </c>
      <c r="BW30" s="46">
        <f t="shared" si="95"/>
        <v>77</v>
      </c>
      <c r="BY30" s="120">
        <f t="shared" si="180"/>
        <v>18</v>
      </c>
      <c r="BZ30" s="7">
        <f t="shared" si="181"/>
        <v>3</v>
      </c>
      <c r="CA30" s="133"/>
      <c r="CB30" s="14">
        <f t="shared" si="96"/>
        <v>0</v>
      </c>
      <c r="CC30" s="59">
        <f t="shared" si="107"/>
        <v>0</v>
      </c>
      <c r="CD30" s="405"/>
      <c r="CE30" s="406"/>
      <c r="CF30" s="406"/>
      <c r="CG30" s="14">
        <f t="shared" si="108"/>
        <v>0</v>
      </c>
      <c r="CH30" s="14">
        <f t="shared" si="97"/>
        <v>0</v>
      </c>
      <c r="CI30" s="14">
        <f t="shared" si="21"/>
        <v>0.5</v>
      </c>
      <c r="CJ30" s="47">
        <f t="shared" si="65"/>
        <v>0</v>
      </c>
      <c r="CK30" s="35">
        <f t="shared" si="22"/>
        <v>1.9</v>
      </c>
      <c r="CL30" s="157">
        <f t="shared" si="84"/>
        <v>0</v>
      </c>
      <c r="CM30" s="134"/>
      <c r="CN30" s="14">
        <f t="shared" si="23"/>
        <v>23</v>
      </c>
      <c r="CO30" s="48">
        <f t="shared" si="85"/>
        <v>0</v>
      </c>
      <c r="CP30" s="68">
        <f t="shared" si="66"/>
        <v>0</v>
      </c>
      <c r="CQ30" s="51">
        <f t="shared" si="24"/>
        <v>185</v>
      </c>
      <c r="CR30" s="112">
        <f t="shared" si="182"/>
        <v>0</v>
      </c>
      <c r="CS30" s="46">
        <f t="shared" si="138"/>
        <v>185</v>
      </c>
      <c r="CT30" s="51">
        <f t="shared" si="25"/>
        <v>77</v>
      </c>
      <c r="CU30" s="112">
        <f t="shared" si="183"/>
        <v>0</v>
      </c>
      <c r="CV30" s="46">
        <f t="shared" si="47"/>
        <v>77</v>
      </c>
      <c r="CX30" s="120">
        <f t="shared" si="184"/>
        <v>18</v>
      </c>
      <c r="CY30" s="7">
        <f t="shared" si="185"/>
        <v>3</v>
      </c>
      <c r="CZ30" s="133"/>
      <c r="DA30" s="14">
        <f t="shared" si="98"/>
        <v>0</v>
      </c>
      <c r="DB30" s="59">
        <f t="shared" si="139"/>
        <v>0</v>
      </c>
      <c r="DC30" s="405"/>
      <c r="DD30" s="406"/>
      <c r="DE30" s="406"/>
      <c r="DF30" s="14">
        <f t="shared" si="110"/>
        <v>0</v>
      </c>
      <c r="DG30" s="14">
        <f t="shared" si="99"/>
        <v>0</v>
      </c>
      <c r="DH30" s="14">
        <f t="shared" si="26"/>
        <v>0.5</v>
      </c>
      <c r="DI30" s="47">
        <f t="shared" si="111"/>
        <v>0</v>
      </c>
      <c r="DJ30" s="35">
        <f t="shared" si="27"/>
        <v>1.9</v>
      </c>
      <c r="DK30" s="157">
        <f t="shared" si="101"/>
        <v>0</v>
      </c>
      <c r="DL30" s="134"/>
      <c r="DM30" s="14">
        <f t="shared" si="28"/>
        <v>23</v>
      </c>
      <c r="DN30" s="48">
        <f t="shared" si="132"/>
        <v>0</v>
      </c>
      <c r="DO30" s="68">
        <f t="shared" si="102"/>
        <v>0</v>
      </c>
      <c r="DP30" s="51">
        <f t="shared" si="29"/>
        <v>185</v>
      </c>
      <c r="DQ30" s="112">
        <f t="shared" si="186"/>
        <v>0</v>
      </c>
      <c r="DR30" s="46">
        <f t="shared" si="140"/>
        <v>185</v>
      </c>
      <c r="DS30" s="51">
        <f t="shared" si="30"/>
        <v>77</v>
      </c>
      <c r="DT30" s="112">
        <f t="shared" si="187"/>
        <v>0</v>
      </c>
      <c r="DU30" s="46">
        <f t="shared" si="92"/>
        <v>77</v>
      </c>
    </row>
    <row r="31" spans="1:125" ht="17.25" thickBot="1" x14ac:dyDescent="0.3">
      <c r="B31" s="120">
        <f t="shared" si="168"/>
        <v>20</v>
      </c>
      <c r="C31" s="570">
        <f t="shared" si="169"/>
        <v>3</v>
      </c>
      <c r="D31" s="496"/>
      <c r="E31" s="408">
        <f>IFERROR(F30-D31,0)</f>
        <v>0</v>
      </c>
      <c r="F31" s="562">
        <f t="shared" si="0"/>
        <v>0</v>
      </c>
      <c r="G31" s="134"/>
      <c r="H31" s="135"/>
      <c r="I31" s="135"/>
      <c r="J31" s="14">
        <f t="shared" si="103"/>
        <v>0</v>
      </c>
      <c r="K31" s="14">
        <f t="shared" si="32"/>
        <v>0</v>
      </c>
      <c r="L31" s="14">
        <f t="shared" si="1"/>
        <v>0.5</v>
      </c>
      <c r="M31" s="47">
        <f t="shared" si="53"/>
        <v>0</v>
      </c>
      <c r="N31" s="35">
        <f t="shared" si="2"/>
        <v>1.9</v>
      </c>
      <c r="O31" s="132">
        <f t="shared" si="33"/>
        <v>0</v>
      </c>
      <c r="P31" s="142"/>
      <c r="Q31" s="14">
        <f t="shared" si="3"/>
        <v>23</v>
      </c>
      <c r="R31" s="442">
        <f t="shared" si="4"/>
        <v>0</v>
      </c>
      <c r="S31" s="470">
        <f t="shared" si="34"/>
        <v>0</v>
      </c>
      <c r="T31" s="51">
        <f t="shared" si="5"/>
        <v>185</v>
      </c>
      <c r="U31" s="112">
        <f t="shared" si="170"/>
        <v>0</v>
      </c>
      <c r="V31" s="46">
        <f t="shared" si="35"/>
        <v>185</v>
      </c>
      <c r="W31" s="50">
        <f t="shared" si="6"/>
        <v>77</v>
      </c>
      <c r="X31" s="112">
        <f t="shared" si="171"/>
        <v>0</v>
      </c>
      <c r="Y31" s="46">
        <f t="shared" si="36"/>
        <v>77</v>
      </c>
      <c r="Z31" s="487"/>
      <c r="AA31" s="120">
        <f t="shared" si="172"/>
        <v>20</v>
      </c>
      <c r="AB31" s="7">
        <f t="shared" si="173"/>
        <v>3</v>
      </c>
      <c r="AC31" s="496"/>
      <c r="AD31" s="48">
        <f>IFERROR(AE30-AC31,0)</f>
        <v>0</v>
      </c>
      <c r="AE31" s="196">
        <f t="shared" si="165"/>
        <v>0</v>
      </c>
      <c r="AF31" s="134"/>
      <c r="AG31" s="135"/>
      <c r="AH31" s="135"/>
      <c r="AI31" s="14">
        <f t="shared" si="105"/>
        <v>0</v>
      </c>
      <c r="AJ31" s="14">
        <f t="shared" si="162"/>
        <v>0</v>
      </c>
      <c r="AK31" s="14">
        <f t="shared" si="8"/>
        <v>0.5</v>
      </c>
      <c r="AL31" s="47">
        <f t="shared" si="38"/>
        <v>0</v>
      </c>
      <c r="AM31" s="35">
        <f t="shared" si="9"/>
        <v>1.9</v>
      </c>
      <c r="AN31" s="157">
        <f t="shared" si="93"/>
        <v>0</v>
      </c>
      <c r="AO31" s="134"/>
      <c r="AP31" s="14">
        <f t="shared" si="10"/>
        <v>23</v>
      </c>
      <c r="AQ31" s="442">
        <f t="shared" si="39"/>
        <v>0</v>
      </c>
      <c r="AR31" s="470">
        <f t="shared" si="164"/>
        <v>0</v>
      </c>
      <c r="AS31" s="51">
        <f t="shared" si="11"/>
        <v>185</v>
      </c>
      <c r="AT31" s="112">
        <f t="shared" si="174"/>
        <v>0</v>
      </c>
      <c r="AU31" s="46">
        <f t="shared" si="136"/>
        <v>185</v>
      </c>
      <c r="AV31" s="50">
        <f t="shared" si="12"/>
        <v>77</v>
      </c>
      <c r="AW31" s="112">
        <f t="shared" si="175"/>
        <v>0</v>
      </c>
      <c r="AX31" s="46">
        <f t="shared" si="94"/>
        <v>77</v>
      </c>
      <c r="AY31" s="362"/>
      <c r="AZ31" s="403">
        <f t="shared" si="176"/>
        <v>20</v>
      </c>
      <c r="BA31" s="404">
        <f t="shared" si="177"/>
        <v>3</v>
      </c>
      <c r="BB31" s="496"/>
      <c r="BC31" s="48">
        <f>IFERROR(BD30+BB31,0)</f>
        <v>0</v>
      </c>
      <c r="BD31" s="196">
        <f t="shared" si="166"/>
        <v>0</v>
      </c>
      <c r="BE31" s="134"/>
      <c r="BF31" s="135"/>
      <c r="BG31" s="135"/>
      <c r="BH31" s="14">
        <f t="shared" si="106"/>
        <v>0</v>
      </c>
      <c r="BI31" s="14">
        <f t="shared" si="151"/>
        <v>0</v>
      </c>
      <c r="BJ31" s="14">
        <f t="shared" si="14"/>
        <v>0.5</v>
      </c>
      <c r="BK31" s="47">
        <f t="shared" si="60"/>
        <v>0</v>
      </c>
      <c r="BL31" s="35">
        <f t="shared" si="15"/>
        <v>1.9</v>
      </c>
      <c r="BM31" s="132">
        <f t="shared" si="167"/>
        <v>0</v>
      </c>
      <c r="BN31" s="134"/>
      <c r="BO31" s="14">
        <f t="shared" si="17"/>
        <v>23</v>
      </c>
      <c r="BP31" s="442">
        <f t="shared" si="61"/>
        <v>0</v>
      </c>
      <c r="BQ31" s="747">
        <f t="shared" si="81"/>
        <v>0</v>
      </c>
      <c r="BR31" s="51">
        <f t="shared" si="18"/>
        <v>185</v>
      </c>
      <c r="BS31" s="112">
        <f t="shared" si="178"/>
        <v>0</v>
      </c>
      <c r="BT31" s="46">
        <f t="shared" si="137"/>
        <v>185</v>
      </c>
      <c r="BU31" s="50">
        <f t="shared" si="20"/>
        <v>77</v>
      </c>
      <c r="BV31" s="112">
        <f t="shared" si="179"/>
        <v>0</v>
      </c>
      <c r="BW31" s="46">
        <f t="shared" si="95"/>
        <v>77</v>
      </c>
      <c r="BY31" s="120">
        <f t="shared" si="180"/>
        <v>19</v>
      </c>
      <c r="BZ31" s="7">
        <f t="shared" si="181"/>
        <v>3</v>
      </c>
      <c r="CA31" s="133"/>
      <c r="CB31" s="14">
        <f t="shared" si="96"/>
        <v>0</v>
      </c>
      <c r="CC31" s="59">
        <f t="shared" si="107"/>
        <v>0</v>
      </c>
      <c r="CD31" s="405"/>
      <c r="CE31" s="406"/>
      <c r="CF31" s="406"/>
      <c r="CG31" s="14">
        <f t="shared" si="108"/>
        <v>0</v>
      </c>
      <c r="CH31" s="14">
        <f t="shared" si="97"/>
        <v>0</v>
      </c>
      <c r="CI31" s="14">
        <f t="shared" si="21"/>
        <v>0.5</v>
      </c>
      <c r="CJ31" s="47">
        <f t="shared" si="65"/>
        <v>0</v>
      </c>
      <c r="CK31" s="35">
        <f t="shared" si="22"/>
        <v>1.9</v>
      </c>
      <c r="CL31" s="157">
        <f t="shared" si="84"/>
        <v>0</v>
      </c>
      <c r="CM31" s="134"/>
      <c r="CN31" s="14">
        <f t="shared" si="23"/>
        <v>23</v>
      </c>
      <c r="CO31" s="48">
        <f t="shared" si="85"/>
        <v>0</v>
      </c>
      <c r="CP31" s="68">
        <f t="shared" si="66"/>
        <v>0</v>
      </c>
      <c r="CQ31" s="51">
        <f t="shared" si="24"/>
        <v>185</v>
      </c>
      <c r="CR31" s="112">
        <f t="shared" si="182"/>
        <v>0</v>
      </c>
      <c r="CS31" s="46">
        <f t="shared" si="138"/>
        <v>185</v>
      </c>
      <c r="CT31" s="51">
        <f t="shared" si="25"/>
        <v>77</v>
      </c>
      <c r="CU31" s="112">
        <f t="shared" si="183"/>
        <v>0</v>
      </c>
      <c r="CV31" s="46">
        <f t="shared" si="47"/>
        <v>77</v>
      </c>
      <c r="CX31" s="120">
        <f t="shared" si="184"/>
        <v>19</v>
      </c>
      <c r="CY31" s="7">
        <f t="shared" si="185"/>
        <v>3</v>
      </c>
      <c r="CZ31" s="133"/>
      <c r="DA31" s="14">
        <f t="shared" si="98"/>
        <v>0</v>
      </c>
      <c r="DB31" s="59">
        <f t="shared" si="139"/>
        <v>0</v>
      </c>
      <c r="DC31" s="405"/>
      <c r="DD31" s="406"/>
      <c r="DE31" s="406"/>
      <c r="DF31" s="14">
        <f t="shared" si="110"/>
        <v>0</v>
      </c>
      <c r="DG31" s="14">
        <f t="shared" si="99"/>
        <v>0</v>
      </c>
      <c r="DH31" s="14">
        <f t="shared" si="26"/>
        <v>0.5</v>
      </c>
      <c r="DI31" s="47">
        <f t="shared" si="111"/>
        <v>0</v>
      </c>
      <c r="DJ31" s="35">
        <f t="shared" si="27"/>
        <v>1.9</v>
      </c>
      <c r="DK31" s="157">
        <f t="shared" si="101"/>
        <v>0</v>
      </c>
      <c r="DL31" s="134"/>
      <c r="DM31" s="14">
        <f t="shared" si="28"/>
        <v>23</v>
      </c>
      <c r="DN31" s="48">
        <f t="shared" si="132"/>
        <v>0</v>
      </c>
      <c r="DO31" s="68">
        <f t="shared" si="102"/>
        <v>0</v>
      </c>
      <c r="DP31" s="51">
        <f t="shared" si="29"/>
        <v>185</v>
      </c>
      <c r="DQ31" s="112">
        <f t="shared" si="186"/>
        <v>0</v>
      </c>
      <c r="DR31" s="46">
        <f t="shared" si="140"/>
        <v>185</v>
      </c>
      <c r="DS31" s="51">
        <f t="shared" si="30"/>
        <v>77</v>
      </c>
      <c r="DT31" s="112">
        <f t="shared" si="187"/>
        <v>0</v>
      </c>
      <c r="DU31" s="46">
        <f t="shared" si="92"/>
        <v>77</v>
      </c>
    </row>
    <row r="32" spans="1:125" ht="17.25" thickBot="1" x14ac:dyDescent="0.3">
      <c r="A32" s="517"/>
      <c r="B32" s="120">
        <f t="shared" si="168"/>
        <v>21</v>
      </c>
      <c r="C32" s="571">
        <f t="shared" si="169"/>
        <v>3</v>
      </c>
      <c r="D32" s="496"/>
      <c r="E32" s="408">
        <f>IFERROR(F31+D32,0)</f>
        <v>0</v>
      </c>
      <c r="F32" s="562">
        <f t="shared" si="0"/>
        <v>0</v>
      </c>
      <c r="G32" s="405"/>
      <c r="H32" s="406"/>
      <c r="I32" s="406"/>
      <c r="J32" s="380">
        <f t="shared" si="103"/>
        <v>0</v>
      </c>
      <c r="K32" s="380">
        <f t="shared" si="32"/>
        <v>0</v>
      </c>
      <c r="L32" s="380">
        <f t="shared" si="1"/>
        <v>0.5</v>
      </c>
      <c r="M32" s="410">
        <f t="shared" si="53"/>
        <v>0</v>
      </c>
      <c r="N32" s="407">
        <f t="shared" si="2"/>
        <v>1.9</v>
      </c>
      <c r="O32" s="132">
        <f t="shared" si="33"/>
        <v>0</v>
      </c>
      <c r="P32" s="411"/>
      <c r="Q32" s="380">
        <f t="shared" si="3"/>
        <v>23</v>
      </c>
      <c r="R32" s="536">
        <f t="shared" si="4"/>
        <v>0</v>
      </c>
      <c r="S32" s="474">
        <f t="shared" si="34"/>
        <v>0</v>
      </c>
      <c r="T32" s="182">
        <f t="shared" si="5"/>
        <v>185</v>
      </c>
      <c r="U32" s="431">
        <f t="shared" si="170"/>
        <v>0</v>
      </c>
      <c r="V32" s="206">
        <f t="shared" si="35"/>
        <v>185</v>
      </c>
      <c r="W32" s="385">
        <f t="shared" si="6"/>
        <v>77</v>
      </c>
      <c r="X32" s="431">
        <f t="shared" si="171"/>
        <v>0</v>
      </c>
      <c r="Y32" s="206">
        <f t="shared" si="36"/>
        <v>77</v>
      </c>
      <c r="Z32" s="789"/>
      <c r="AA32" s="403">
        <v>21</v>
      </c>
      <c r="AB32" s="404">
        <f t="shared" si="173"/>
        <v>3</v>
      </c>
      <c r="AC32" s="496"/>
      <c r="AD32" s="408">
        <f>IFERROR(AE31-AC32,0)</f>
        <v>0</v>
      </c>
      <c r="AE32" s="450">
        <f t="shared" si="165"/>
        <v>0</v>
      </c>
      <c r="AF32" s="405"/>
      <c r="AG32" s="406"/>
      <c r="AH32" s="406"/>
      <c r="AI32" s="380">
        <f t="shared" si="105"/>
        <v>0</v>
      </c>
      <c r="AJ32" s="380">
        <f t="shared" si="162"/>
        <v>0</v>
      </c>
      <c r="AK32" s="380">
        <f t="shared" si="8"/>
        <v>0.5</v>
      </c>
      <c r="AL32" s="410">
        <f t="shared" si="38"/>
        <v>0</v>
      </c>
      <c r="AM32" s="407">
        <f t="shared" si="9"/>
        <v>1.9</v>
      </c>
      <c r="AN32" s="157">
        <f t="shared" si="93"/>
        <v>0</v>
      </c>
      <c r="AO32" s="405"/>
      <c r="AP32" s="380">
        <f t="shared" si="10"/>
        <v>23</v>
      </c>
      <c r="AQ32" s="518">
        <f t="shared" si="39"/>
        <v>0</v>
      </c>
      <c r="AR32" s="474">
        <f t="shared" si="164"/>
        <v>0</v>
      </c>
      <c r="AS32" s="182">
        <f t="shared" si="11"/>
        <v>185</v>
      </c>
      <c r="AT32" s="431">
        <f t="shared" si="174"/>
        <v>0</v>
      </c>
      <c r="AU32" s="206">
        <f t="shared" si="136"/>
        <v>185</v>
      </c>
      <c r="AV32" s="385">
        <f t="shared" si="12"/>
        <v>77</v>
      </c>
      <c r="AW32" s="431">
        <f t="shared" si="175"/>
        <v>0</v>
      </c>
      <c r="AX32" s="206">
        <f t="shared" si="94"/>
        <v>77</v>
      </c>
      <c r="AZ32" s="403">
        <f>AZ31+1</f>
        <v>21</v>
      </c>
      <c r="BA32" s="404">
        <f t="shared" si="177"/>
        <v>3</v>
      </c>
      <c r="BB32" s="496"/>
      <c r="BC32" s="408">
        <f t="shared" si="42"/>
        <v>0</v>
      </c>
      <c r="BD32" s="450">
        <f t="shared" si="166"/>
        <v>0</v>
      </c>
      <c r="BE32" s="405"/>
      <c r="BF32" s="406"/>
      <c r="BG32" s="406"/>
      <c r="BH32" s="380">
        <f t="shared" si="106"/>
        <v>0</v>
      </c>
      <c r="BI32" s="380">
        <f t="shared" si="151"/>
        <v>0</v>
      </c>
      <c r="BJ32" s="380">
        <f t="shared" si="14"/>
        <v>0.5</v>
      </c>
      <c r="BK32" s="410">
        <f t="shared" si="60"/>
        <v>0</v>
      </c>
      <c r="BL32" s="407">
        <f t="shared" si="15"/>
        <v>1.9</v>
      </c>
      <c r="BM32" s="132">
        <f t="shared" si="167"/>
        <v>0</v>
      </c>
      <c r="BN32" s="405"/>
      <c r="BO32" s="380">
        <f t="shared" si="17"/>
        <v>23</v>
      </c>
      <c r="BP32" s="536">
        <f t="shared" si="61"/>
        <v>0</v>
      </c>
      <c r="BQ32" s="753">
        <f t="shared" si="81"/>
        <v>0</v>
      </c>
      <c r="BR32" s="182">
        <f t="shared" si="18"/>
        <v>185</v>
      </c>
      <c r="BS32" s="431">
        <f t="shared" si="178"/>
        <v>0</v>
      </c>
      <c r="BT32" s="206">
        <f t="shared" si="137"/>
        <v>185</v>
      </c>
      <c r="BU32" s="385">
        <f t="shared" si="20"/>
        <v>77</v>
      </c>
      <c r="BV32" s="431">
        <f t="shared" si="179"/>
        <v>0</v>
      </c>
      <c r="BW32" s="206">
        <f t="shared" si="95"/>
        <v>77</v>
      </c>
      <c r="BX32" s="608"/>
      <c r="BY32" s="403">
        <v>1</v>
      </c>
      <c r="BZ32" s="404">
        <f t="shared" si="181"/>
        <v>3</v>
      </c>
      <c r="CA32" s="229"/>
      <c r="CB32" s="380">
        <f t="shared" si="96"/>
        <v>0</v>
      </c>
      <c r="CC32" s="267">
        <f t="shared" si="107"/>
        <v>0</v>
      </c>
      <c r="CD32" s="405"/>
      <c r="CE32" s="406"/>
      <c r="CF32" s="406"/>
      <c r="CG32" s="380">
        <f t="shared" si="108"/>
        <v>0</v>
      </c>
      <c r="CH32" s="380">
        <f t="shared" si="97"/>
        <v>0</v>
      </c>
      <c r="CI32" s="380">
        <f t="shared" si="21"/>
        <v>0.5</v>
      </c>
      <c r="CJ32" s="410">
        <f t="shared" si="65"/>
        <v>0</v>
      </c>
      <c r="CK32" s="407">
        <f t="shared" si="22"/>
        <v>1.9</v>
      </c>
      <c r="CL32" s="424">
        <f t="shared" si="84"/>
        <v>0</v>
      </c>
      <c r="CM32" s="405"/>
      <c r="CN32" s="380">
        <f t="shared" si="23"/>
        <v>23</v>
      </c>
      <c r="CO32" s="408">
        <f t="shared" si="85"/>
        <v>0</v>
      </c>
      <c r="CP32" s="409">
        <f t="shared" si="66"/>
        <v>0</v>
      </c>
      <c r="CQ32" s="182">
        <f t="shared" si="24"/>
        <v>185</v>
      </c>
      <c r="CR32" s="431">
        <f t="shared" si="182"/>
        <v>0</v>
      </c>
      <c r="CS32" s="206">
        <f t="shared" si="138"/>
        <v>185</v>
      </c>
      <c r="CT32" s="182">
        <f t="shared" si="25"/>
        <v>77</v>
      </c>
      <c r="CU32" s="431">
        <f t="shared" si="183"/>
        <v>0</v>
      </c>
      <c r="CV32" s="206">
        <f t="shared" si="47"/>
        <v>77</v>
      </c>
      <c r="CX32" s="403">
        <v>1</v>
      </c>
      <c r="CY32" s="404">
        <f t="shared" si="185"/>
        <v>3</v>
      </c>
      <c r="CZ32" s="229"/>
      <c r="DA32" s="380">
        <f t="shared" si="98"/>
        <v>0</v>
      </c>
      <c r="DB32" s="267">
        <f t="shared" si="139"/>
        <v>0</v>
      </c>
      <c r="DC32" s="405"/>
      <c r="DD32" s="406"/>
      <c r="DE32" s="406"/>
      <c r="DF32" s="380">
        <f t="shared" si="110"/>
        <v>0</v>
      </c>
      <c r="DG32" s="380">
        <f t="shared" si="99"/>
        <v>0</v>
      </c>
      <c r="DH32" s="380">
        <f t="shared" si="26"/>
        <v>0.5</v>
      </c>
      <c r="DI32" s="410">
        <f t="shared" si="111"/>
        <v>0</v>
      </c>
      <c r="DJ32" s="407">
        <f t="shared" si="27"/>
        <v>1.9</v>
      </c>
      <c r="DK32" s="424">
        <f t="shared" si="101"/>
        <v>0</v>
      </c>
      <c r="DL32" s="405"/>
      <c r="DM32" s="380">
        <f t="shared" si="28"/>
        <v>23</v>
      </c>
      <c r="DN32" s="408">
        <f t="shared" si="132"/>
        <v>0</v>
      </c>
      <c r="DO32" s="409">
        <f t="shared" si="102"/>
        <v>0</v>
      </c>
      <c r="DP32" s="182">
        <f t="shared" si="29"/>
        <v>185</v>
      </c>
      <c r="DQ32" s="431">
        <f t="shared" si="186"/>
        <v>0</v>
      </c>
      <c r="DR32" s="206">
        <f t="shared" si="140"/>
        <v>185</v>
      </c>
      <c r="DS32" s="182">
        <f t="shared" si="30"/>
        <v>77</v>
      </c>
      <c r="DT32" s="431">
        <f t="shared" si="187"/>
        <v>0</v>
      </c>
      <c r="DU32" s="206">
        <f t="shared" si="92"/>
        <v>77</v>
      </c>
    </row>
    <row r="33" spans="1:125" ht="17.25" thickBot="1" x14ac:dyDescent="0.3">
      <c r="A33" s="362"/>
      <c r="B33" s="120">
        <f t="shared" si="168"/>
        <v>22</v>
      </c>
      <c r="C33" s="576">
        <f t="shared" si="169"/>
        <v>3</v>
      </c>
      <c r="D33" s="497"/>
      <c r="E33" s="436">
        <f>IFERROR(F32+D33,0)</f>
        <v>0</v>
      </c>
      <c r="F33" s="451">
        <f t="shared" si="0"/>
        <v>0</v>
      </c>
      <c r="G33" s="421"/>
      <c r="H33" s="426"/>
      <c r="I33" s="426"/>
      <c r="J33" s="384">
        <f t="shared" si="103"/>
        <v>0</v>
      </c>
      <c r="K33" s="384">
        <f t="shared" si="32"/>
        <v>0</v>
      </c>
      <c r="L33" s="384">
        <f t="shared" si="1"/>
        <v>0.5</v>
      </c>
      <c r="M33" s="96">
        <f t="shared" si="53"/>
        <v>0</v>
      </c>
      <c r="N33" s="420">
        <f t="shared" si="2"/>
        <v>1.9</v>
      </c>
      <c r="O33" s="132">
        <f t="shared" si="33"/>
        <v>0</v>
      </c>
      <c r="P33" s="567"/>
      <c r="Q33" s="384">
        <f t="shared" si="3"/>
        <v>23</v>
      </c>
      <c r="R33" s="443">
        <f t="shared" si="4"/>
        <v>0</v>
      </c>
      <c r="S33" s="473">
        <f t="shared" si="34"/>
        <v>0</v>
      </c>
      <c r="T33" s="382">
        <f t="shared" si="5"/>
        <v>185</v>
      </c>
      <c r="U33" s="183">
        <f t="shared" si="170"/>
        <v>0</v>
      </c>
      <c r="V33" s="453">
        <f t="shared" si="35"/>
        <v>185</v>
      </c>
      <c r="W33" s="382">
        <f t="shared" si="6"/>
        <v>77</v>
      </c>
      <c r="X33" s="183">
        <f t="shared" si="171"/>
        <v>0</v>
      </c>
      <c r="Y33" s="453">
        <f t="shared" si="36"/>
        <v>77</v>
      </c>
      <c r="Z33" s="487"/>
      <c r="AA33" s="432">
        <v>22</v>
      </c>
      <c r="AB33" s="433">
        <f t="shared" si="173"/>
        <v>3</v>
      </c>
      <c r="AC33" s="497"/>
      <c r="AD33" s="436">
        <f>IFERROR(AE32-AC33,0)</f>
        <v>0</v>
      </c>
      <c r="AE33" s="451">
        <f t="shared" si="165"/>
        <v>0</v>
      </c>
      <c r="AF33" s="421"/>
      <c r="AG33" s="426"/>
      <c r="AH33" s="426"/>
      <c r="AI33" s="452">
        <f t="shared" si="105"/>
        <v>0</v>
      </c>
      <c r="AJ33" s="452">
        <f t="shared" si="162"/>
        <v>0</v>
      </c>
      <c r="AK33" s="383">
        <f t="shared" si="8"/>
        <v>0.5</v>
      </c>
      <c r="AL33" s="231">
        <f t="shared" si="38"/>
        <v>0</v>
      </c>
      <c r="AM33" s="419">
        <f t="shared" si="9"/>
        <v>1.9</v>
      </c>
      <c r="AN33" s="157">
        <f t="shared" si="93"/>
        <v>0</v>
      </c>
      <c r="AO33" s="421"/>
      <c r="AP33" s="387">
        <f t="shared" si="10"/>
        <v>23</v>
      </c>
      <c r="AQ33" s="443">
        <f t="shared" si="39"/>
        <v>0</v>
      </c>
      <c r="AR33" s="473">
        <f t="shared" si="164"/>
        <v>0</v>
      </c>
      <c r="AS33" s="382">
        <f t="shared" si="11"/>
        <v>185</v>
      </c>
      <c r="AT33" s="431">
        <f t="shared" si="174"/>
        <v>0</v>
      </c>
      <c r="AU33" s="453">
        <f t="shared" si="136"/>
        <v>185</v>
      </c>
      <c r="AV33" s="382">
        <f t="shared" si="12"/>
        <v>77</v>
      </c>
      <c r="AW33" s="431">
        <f t="shared" si="175"/>
        <v>0</v>
      </c>
      <c r="AX33" s="453">
        <f t="shared" si="94"/>
        <v>77</v>
      </c>
      <c r="AZ33" s="432">
        <f>AZ32+1</f>
        <v>22</v>
      </c>
      <c r="BA33" s="433">
        <f t="shared" si="177"/>
        <v>3</v>
      </c>
      <c r="BB33" s="434"/>
      <c r="BC33" s="408">
        <f t="shared" si="42"/>
        <v>0</v>
      </c>
      <c r="BD33" s="451">
        <f t="shared" si="166"/>
        <v>0</v>
      </c>
      <c r="BE33" s="421"/>
      <c r="BF33" s="426"/>
      <c r="BG33" s="426"/>
      <c r="BH33" s="452">
        <f t="shared" si="106"/>
        <v>0</v>
      </c>
      <c r="BI33" s="452">
        <f t="shared" si="151"/>
        <v>0</v>
      </c>
      <c r="BJ33" s="452">
        <f t="shared" si="14"/>
        <v>0.5</v>
      </c>
      <c r="BK33" s="96">
        <f t="shared" si="60"/>
        <v>0</v>
      </c>
      <c r="BL33" s="603">
        <f t="shared" si="15"/>
        <v>1.9</v>
      </c>
      <c r="BM33" s="132">
        <f t="shared" si="167"/>
        <v>0</v>
      </c>
      <c r="BN33" s="421"/>
      <c r="BO33" s="384">
        <f t="shared" si="17"/>
        <v>23</v>
      </c>
      <c r="BP33" s="443">
        <f t="shared" si="61"/>
        <v>0</v>
      </c>
      <c r="BQ33" s="754">
        <f t="shared" si="81"/>
        <v>0</v>
      </c>
      <c r="BR33" s="382">
        <f t="shared" si="18"/>
        <v>185</v>
      </c>
      <c r="BS33" s="183">
        <f t="shared" si="178"/>
        <v>0</v>
      </c>
      <c r="BT33" s="453">
        <f t="shared" si="137"/>
        <v>185</v>
      </c>
      <c r="BU33" s="382">
        <f t="shared" si="20"/>
        <v>77</v>
      </c>
      <c r="BV33" s="183">
        <f t="shared" si="179"/>
        <v>0</v>
      </c>
      <c r="BW33" s="453">
        <f t="shared" si="95"/>
        <v>77</v>
      </c>
      <c r="BY33" s="197">
        <v>2</v>
      </c>
      <c r="BZ33" s="8">
        <f t="shared" si="181"/>
        <v>3</v>
      </c>
      <c r="CA33" s="136"/>
      <c r="CB33" s="32">
        <f t="shared" si="96"/>
        <v>0</v>
      </c>
      <c r="CC33" s="53">
        <f t="shared" si="107"/>
        <v>0</v>
      </c>
      <c r="CD33" s="421"/>
      <c r="CE33" s="426"/>
      <c r="CF33" s="426"/>
      <c r="CG33" s="34">
        <f t="shared" si="108"/>
        <v>0</v>
      </c>
      <c r="CH33" s="34">
        <f t="shared" si="97"/>
        <v>0</v>
      </c>
      <c r="CI33" s="32">
        <f t="shared" si="21"/>
        <v>0.5</v>
      </c>
      <c r="CJ33" s="96">
        <f t="shared" si="65"/>
        <v>0</v>
      </c>
      <c r="CK33" s="36">
        <f t="shared" si="22"/>
        <v>1.9</v>
      </c>
      <c r="CL33" s="156">
        <f t="shared" si="84"/>
        <v>0</v>
      </c>
      <c r="CM33" s="137"/>
      <c r="CN33" s="32">
        <f t="shared" si="23"/>
        <v>23</v>
      </c>
      <c r="CO33" s="54">
        <f t="shared" si="85"/>
        <v>0</v>
      </c>
      <c r="CP33" s="70">
        <f t="shared" si="66"/>
        <v>0</v>
      </c>
      <c r="CQ33" s="56">
        <f t="shared" si="24"/>
        <v>185</v>
      </c>
      <c r="CR33" s="112">
        <f t="shared" si="182"/>
        <v>0</v>
      </c>
      <c r="CS33" s="63">
        <f t="shared" si="138"/>
        <v>185</v>
      </c>
      <c r="CT33" s="12">
        <f t="shared" si="25"/>
        <v>77</v>
      </c>
      <c r="CU33" s="112">
        <f t="shared" si="183"/>
        <v>0</v>
      </c>
      <c r="CV33" s="63">
        <f t="shared" si="47"/>
        <v>77</v>
      </c>
      <c r="CX33" s="197">
        <v>2</v>
      </c>
      <c r="CY33" s="8">
        <f t="shared" si="185"/>
        <v>3</v>
      </c>
      <c r="CZ33" s="136"/>
      <c r="DA33" s="32">
        <f t="shared" si="98"/>
        <v>0</v>
      </c>
      <c r="DB33" s="53">
        <f t="shared" si="139"/>
        <v>0</v>
      </c>
      <c r="DC33" s="421"/>
      <c r="DD33" s="426"/>
      <c r="DE33" s="426"/>
      <c r="DF33" s="34">
        <f t="shared" si="110"/>
        <v>0</v>
      </c>
      <c r="DG33" s="34">
        <f t="shared" si="99"/>
        <v>0</v>
      </c>
      <c r="DH33" s="32">
        <f t="shared" si="26"/>
        <v>0.5</v>
      </c>
      <c r="DI33" s="96">
        <f t="shared" si="111"/>
        <v>0</v>
      </c>
      <c r="DJ33" s="36">
        <f t="shared" si="27"/>
        <v>1.9</v>
      </c>
      <c r="DK33" s="156">
        <f t="shared" si="101"/>
        <v>0</v>
      </c>
      <c r="DL33" s="137"/>
      <c r="DM33" s="32">
        <f t="shared" si="28"/>
        <v>23</v>
      </c>
      <c r="DN33" s="54">
        <f t="shared" si="132"/>
        <v>0</v>
      </c>
      <c r="DO33" s="70">
        <f t="shared" si="102"/>
        <v>0</v>
      </c>
      <c r="DP33" s="56">
        <f t="shared" si="29"/>
        <v>185</v>
      </c>
      <c r="DQ33" s="112">
        <f t="shared" si="186"/>
        <v>0</v>
      </c>
      <c r="DR33" s="63">
        <f t="shared" si="140"/>
        <v>185</v>
      </c>
      <c r="DS33" s="12">
        <f t="shared" si="30"/>
        <v>77</v>
      </c>
      <c r="DT33" s="112">
        <f t="shared" si="187"/>
        <v>0</v>
      </c>
      <c r="DU33" s="63">
        <f t="shared" si="92"/>
        <v>77</v>
      </c>
    </row>
    <row r="34" spans="1:125" ht="17.25" thickBot="1" x14ac:dyDescent="0.3">
      <c r="B34" s="118">
        <v>23</v>
      </c>
      <c r="C34" s="575">
        <v>4</v>
      </c>
      <c r="D34" s="760"/>
      <c r="E34" s="400">
        <f>IFERROR(F33+D34,0)</f>
        <v>0</v>
      </c>
      <c r="F34" s="561">
        <f t="shared" si="0"/>
        <v>0</v>
      </c>
      <c r="G34" s="130"/>
      <c r="H34" s="131"/>
      <c r="I34" s="131"/>
      <c r="J34" s="11">
        <f t="shared" si="103"/>
        <v>0</v>
      </c>
      <c r="K34" s="11">
        <f t="shared" si="32"/>
        <v>0</v>
      </c>
      <c r="L34" s="11">
        <f t="shared" si="1"/>
        <v>0.3</v>
      </c>
      <c r="M34" s="42">
        <f t="shared" si="53"/>
        <v>0</v>
      </c>
      <c r="N34" s="21">
        <f t="shared" si="2"/>
        <v>2.1999999999999997</v>
      </c>
      <c r="O34" s="132">
        <f t="shared" si="33"/>
        <v>0</v>
      </c>
      <c r="P34" s="158"/>
      <c r="Q34" s="11">
        <f t="shared" si="3"/>
        <v>29</v>
      </c>
      <c r="R34" s="441">
        <f t="shared" si="4"/>
        <v>0</v>
      </c>
      <c r="S34" s="469">
        <f t="shared" si="34"/>
        <v>0</v>
      </c>
      <c r="T34" s="58">
        <f t="shared" si="5"/>
        <v>255</v>
      </c>
      <c r="U34" s="131"/>
      <c r="V34" s="41">
        <f t="shared" si="35"/>
        <v>255</v>
      </c>
      <c r="W34" s="18">
        <f t="shared" si="6"/>
        <v>79</v>
      </c>
      <c r="X34" s="131"/>
      <c r="Y34" s="41">
        <f t="shared" si="36"/>
        <v>79</v>
      </c>
      <c r="Z34" s="487"/>
      <c r="AA34" s="394">
        <v>23</v>
      </c>
      <c r="AB34" s="395">
        <v>4</v>
      </c>
      <c r="AC34" s="498"/>
      <c r="AD34" s="43">
        <f>IFERROR(AE33-AC34,0)</f>
        <v>0</v>
      </c>
      <c r="AE34" s="449">
        <f t="shared" si="165"/>
        <v>0</v>
      </c>
      <c r="AF34" s="130"/>
      <c r="AG34" s="131"/>
      <c r="AH34" s="131"/>
      <c r="AI34" s="11">
        <f t="shared" si="105"/>
        <v>0</v>
      </c>
      <c r="AJ34" s="11">
        <f t="shared" si="162"/>
        <v>0</v>
      </c>
      <c r="AK34" s="16">
        <f t="shared" si="8"/>
        <v>0.3</v>
      </c>
      <c r="AL34" s="153">
        <f t="shared" si="38"/>
        <v>0</v>
      </c>
      <c r="AM34" s="154">
        <f t="shared" si="9"/>
        <v>2.1999999999999997</v>
      </c>
      <c r="AN34" s="157">
        <f t="shared" si="93"/>
        <v>0</v>
      </c>
      <c r="AO34" s="130"/>
      <c r="AP34" s="11">
        <f t="shared" si="10"/>
        <v>29</v>
      </c>
      <c r="AQ34" s="481">
        <f t="shared" si="39"/>
        <v>0</v>
      </c>
      <c r="AR34" s="469">
        <f t="shared" si="164"/>
        <v>0</v>
      </c>
      <c r="AS34" s="61">
        <f t="shared" si="11"/>
        <v>255</v>
      </c>
      <c r="AT34" s="131"/>
      <c r="AU34" s="41">
        <f t="shared" si="136"/>
        <v>255</v>
      </c>
      <c r="AV34" s="18">
        <f t="shared" si="12"/>
        <v>79</v>
      </c>
      <c r="AW34" s="131"/>
      <c r="AX34" s="41">
        <f t="shared" si="94"/>
        <v>79</v>
      </c>
      <c r="AZ34" s="198">
        <v>23</v>
      </c>
      <c r="BA34" s="38">
        <v>4</v>
      </c>
      <c r="BB34" s="143"/>
      <c r="BC34" s="60">
        <f t="shared" si="42"/>
        <v>0</v>
      </c>
      <c r="BD34" s="447">
        <f t="shared" si="166"/>
        <v>0</v>
      </c>
      <c r="BE34" s="144"/>
      <c r="BF34" s="141"/>
      <c r="BG34" s="141"/>
      <c r="BH34" s="17">
        <f t="shared" si="106"/>
        <v>0</v>
      </c>
      <c r="BI34" s="17">
        <f t="shared" si="151"/>
        <v>0</v>
      </c>
      <c r="BJ34" s="31">
        <f t="shared" si="14"/>
        <v>0.3</v>
      </c>
      <c r="BK34" s="235">
        <f t="shared" si="60"/>
        <v>0</v>
      </c>
      <c r="BL34" s="37">
        <f t="shared" si="15"/>
        <v>2.1999999999999997</v>
      </c>
      <c r="BM34" s="132">
        <f t="shared" si="167"/>
        <v>0</v>
      </c>
      <c r="BN34" s="144"/>
      <c r="BO34" s="17">
        <f t="shared" si="17"/>
        <v>29</v>
      </c>
      <c r="BP34" s="479">
        <f t="shared" si="61"/>
        <v>0</v>
      </c>
      <c r="BQ34" s="751">
        <f t="shared" si="81"/>
        <v>0</v>
      </c>
      <c r="BR34" s="61">
        <f t="shared" si="18"/>
        <v>255</v>
      </c>
      <c r="BS34" s="141"/>
      <c r="BT34" s="71">
        <f t="shared" si="137"/>
        <v>255</v>
      </c>
      <c r="BU34" s="12">
        <f t="shared" si="20"/>
        <v>79</v>
      </c>
      <c r="BV34" s="141"/>
      <c r="BW34" s="71">
        <f t="shared" si="95"/>
        <v>79</v>
      </c>
      <c r="BY34" s="118">
        <v>3</v>
      </c>
      <c r="BZ34" s="9">
        <v>4</v>
      </c>
      <c r="CA34" s="129"/>
      <c r="CB34" s="11">
        <f t="shared" si="96"/>
        <v>0</v>
      </c>
      <c r="CC34" s="57">
        <f t="shared" si="107"/>
        <v>0</v>
      </c>
      <c r="CD34" s="398"/>
      <c r="CE34" s="399"/>
      <c r="CF34" s="399"/>
      <c r="CG34" s="11">
        <f t="shared" si="108"/>
        <v>0</v>
      </c>
      <c r="CH34" s="11">
        <f t="shared" si="97"/>
        <v>0</v>
      </c>
      <c r="CI34" s="17">
        <f t="shared" si="21"/>
        <v>0.3</v>
      </c>
      <c r="CJ34" s="235">
        <f t="shared" si="65"/>
        <v>0</v>
      </c>
      <c r="CK34" s="33">
        <f t="shared" si="22"/>
        <v>2.1999999999999997</v>
      </c>
      <c r="CL34" s="155">
        <f t="shared" si="84"/>
        <v>0</v>
      </c>
      <c r="CM34" s="130"/>
      <c r="CN34" s="17">
        <f t="shared" si="23"/>
        <v>29</v>
      </c>
      <c r="CO34" s="60">
        <f t="shared" si="85"/>
        <v>0</v>
      </c>
      <c r="CP34" s="377">
        <f t="shared" si="66"/>
        <v>0</v>
      </c>
      <c r="CQ34" s="61">
        <f t="shared" si="24"/>
        <v>255</v>
      </c>
      <c r="CR34" s="131"/>
      <c r="CS34" s="41">
        <f t="shared" si="138"/>
        <v>255</v>
      </c>
      <c r="CT34" s="18">
        <f t="shared" si="25"/>
        <v>79</v>
      </c>
      <c r="CU34" s="131"/>
      <c r="CV34" s="41">
        <f t="shared" si="47"/>
        <v>79</v>
      </c>
      <c r="CX34" s="118">
        <v>3</v>
      </c>
      <c r="CY34" s="9">
        <v>4</v>
      </c>
      <c r="CZ34" s="129"/>
      <c r="DA34" s="11">
        <f t="shared" si="98"/>
        <v>0</v>
      </c>
      <c r="DB34" s="57">
        <f t="shared" si="139"/>
        <v>0</v>
      </c>
      <c r="DC34" s="398"/>
      <c r="DD34" s="399"/>
      <c r="DE34" s="399"/>
      <c r="DF34" s="11">
        <f t="shared" si="110"/>
        <v>0</v>
      </c>
      <c r="DG34" s="11">
        <f t="shared" si="99"/>
        <v>0</v>
      </c>
      <c r="DH34" s="17">
        <f t="shared" si="26"/>
        <v>0.3</v>
      </c>
      <c r="DI34" s="235">
        <f t="shared" si="111"/>
        <v>0</v>
      </c>
      <c r="DJ34" s="33">
        <f t="shared" si="27"/>
        <v>2.1999999999999997</v>
      </c>
      <c r="DK34" s="155">
        <f t="shared" si="101"/>
        <v>0</v>
      </c>
      <c r="DL34" s="130"/>
      <c r="DM34" s="17">
        <f t="shared" si="28"/>
        <v>29</v>
      </c>
      <c r="DN34" s="60">
        <f t="shared" si="132"/>
        <v>0</v>
      </c>
      <c r="DO34" s="377">
        <f t="shared" si="102"/>
        <v>0</v>
      </c>
      <c r="DP34" s="61">
        <f t="shared" si="29"/>
        <v>255</v>
      </c>
      <c r="DQ34" s="131"/>
      <c r="DR34" s="41">
        <f t="shared" si="140"/>
        <v>255</v>
      </c>
      <c r="DS34" s="18">
        <f t="shared" si="30"/>
        <v>79</v>
      </c>
      <c r="DT34" s="131"/>
      <c r="DU34" s="41">
        <f t="shared" si="92"/>
        <v>79</v>
      </c>
    </row>
    <row r="35" spans="1:125" ht="17.25" thickBot="1" x14ac:dyDescent="0.3">
      <c r="B35" s="120">
        <f>B34+1</f>
        <v>24</v>
      </c>
      <c r="C35" s="570">
        <f>C34</f>
        <v>4</v>
      </c>
      <c r="D35" s="133"/>
      <c r="E35" s="408">
        <f t="shared" si="31"/>
        <v>0</v>
      </c>
      <c r="F35" s="562">
        <f t="shared" si="0"/>
        <v>0</v>
      </c>
      <c r="G35" s="134"/>
      <c r="H35" s="135"/>
      <c r="I35" s="135"/>
      <c r="J35" s="14">
        <f t="shared" si="103"/>
        <v>0</v>
      </c>
      <c r="K35" s="14">
        <f t="shared" si="32"/>
        <v>0</v>
      </c>
      <c r="L35" s="14">
        <f t="shared" si="1"/>
        <v>0.3</v>
      </c>
      <c r="M35" s="47">
        <f t="shared" si="53"/>
        <v>0</v>
      </c>
      <c r="N35" s="35">
        <f t="shared" si="2"/>
        <v>2.1999999999999997</v>
      </c>
      <c r="O35" s="132">
        <f t="shared" si="33"/>
        <v>0</v>
      </c>
      <c r="P35" s="142"/>
      <c r="Q35" s="14">
        <f t="shared" si="3"/>
        <v>29</v>
      </c>
      <c r="R35" s="442">
        <f t="shared" si="4"/>
        <v>0</v>
      </c>
      <c r="S35" s="470">
        <f t="shared" si="34"/>
        <v>0</v>
      </c>
      <c r="T35" s="51">
        <f t="shared" si="5"/>
        <v>255</v>
      </c>
      <c r="U35" s="103">
        <f>U34</f>
        <v>0</v>
      </c>
      <c r="V35" s="46">
        <f t="shared" si="35"/>
        <v>255</v>
      </c>
      <c r="W35" s="50">
        <f t="shared" si="6"/>
        <v>79</v>
      </c>
      <c r="X35" s="103">
        <f>X34</f>
        <v>0</v>
      </c>
      <c r="Y35" s="46">
        <f t="shared" si="36"/>
        <v>79</v>
      </c>
      <c r="Z35" s="487"/>
      <c r="AA35" s="403">
        <f>AA34+1</f>
        <v>24</v>
      </c>
      <c r="AB35" s="404">
        <f>AB34</f>
        <v>4</v>
      </c>
      <c r="AC35" s="229"/>
      <c r="AD35" s="48">
        <f t="shared" ref="AD35:AD36" si="188">IFERROR(AE34+AC35,0)</f>
        <v>0</v>
      </c>
      <c r="AE35" s="49">
        <f t="shared" si="165"/>
        <v>0</v>
      </c>
      <c r="AF35" s="134"/>
      <c r="AG35" s="135"/>
      <c r="AH35" s="135"/>
      <c r="AI35" s="14">
        <f t="shared" si="105"/>
        <v>0</v>
      </c>
      <c r="AJ35" s="14">
        <f t="shared" si="162"/>
        <v>0</v>
      </c>
      <c r="AK35" s="14">
        <f t="shared" si="8"/>
        <v>0.3</v>
      </c>
      <c r="AL35" s="47">
        <f t="shared" si="38"/>
        <v>0</v>
      </c>
      <c r="AM35" s="35">
        <f t="shared" si="9"/>
        <v>2.1999999999999997</v>
      </c>
      <c r="AN35" s="157">
        <f t="shared" si="93"/>
        <v>0</v>
      </c>
      <c r="AO35" s="134"/>
      <c r="AP35" s="14">
        <f t="shared" si="10"/>
        <v>29</v>
      </c>
      <c r="AQ35" s="482">
        <f t="shared" si="39"/>
        <v>0</v>
      </c>
      <c r="AR35" s="470">
        <f t="shared" si="164"/>
        <v>0</v>
      </c>
      <c r="AS35" s="51">
        <f t="shared" si="11"/>
        <v>255</v>
      </c>
      <c r="AT35" s="103">
        <f>AT34</f>
        <v>0</v>
      </c>
      <c r="AU35" s="46">
        <f t="shared" si="136"/>
        <v>255</v>
      </c>
      <c r="AV35" s="50">
        <f t="shared" si="12"/>
        <v>79</v>
      </c>
      <c r="AW35" s="103">
        <f>AW34</f>
        <v>0</v>
      </c>
      <c r="AX35" s="46">
        <f t="shared" si="94"/>
        <v>79</v>
      </c>
      <c r="AZ35" s="120">
        <f>AZ34+1</f>
        <v>24</v>
      </c>
      <c r="BA35" s="7">
        <f>BA34</f>
        <v>4</v>
      </c>
      <c r="BB35" s="133"/>
      <c r="BC35" s="48">
        <f t="shared" si="42"/>
        <v>0</v>
      </c>
      <c r="BD35" s="49">
        <f t="shared" si="166"/>
        <v>0</v>
      </c>
      <c r="BE35" s="134"/>
      <c r="BF35" s="135"/>
      <c r="BG35" s="135"/>
      <c r="BH35" s="14">
        <f t="shared" si="106"/>
        <v>0</v>
      </c>
      <c r="BI35" s="14">
        <f t="shared" si="151"/>
        <v>0</v>
      </c>
      <c r="BJ35" s="14">
        <f t="shared" si="14"/>
        <v>0.3</v>
      </c>
      <c r="BK35" s="47">
        <f t="shared" si="60"/>
        <v>0</v>
      </c>
      <c r="BL35" s="35">
        <f t="shared" si="15"/>
        <v>2.1999999999999997</v>
      </c>
      <c r="BM35" s="132">
        <f t="shared" si="167"/>
        <v>0</v>
      </c>
      <c r="BN35" s="134"/>
      <c r="BO35" s="14">
        <f t="shared" si="17"/>
        <v>29</v>
      </c>
      <c r="BP35" s="442">
        <f t="shared" si="61"/>
        <v>0</v>
      </c>
      <c r="BQ35" s="747">
        <f t="shared" si="81"/>
        <v>0</v>
      </c>
      <c r="BR35" s="51">
        <f t="shared" si="18"/>
        <v>255</v>
      </c>
      <c r="BS35" s="103">
        <f>BS34</f>
        <v>0</v>
      </c>
      <c r="BT35" s="46">
        <f t="shared" si="137"/>
        <v>255</v>
      </c>
      <c r="BU35" s="50">
        <f t="shared" si="20"/>
        <v>79</v>
      </c>
      <c r="BV35" s="103">
        <f>BV34</f>
        <v>0</v>
      </c>
      <c r="BW35" s="46">
        <f t="shared" si="95"/>
        <v>79</v>
      </c>
      <c r="BY35" s="120">
        <v>4</v>
      </c>
      <c r="BZ35" s="7">
        <f>BZ34</f>
        <v>4</v>
      </c>
      <c r="CA35" s="133"/>
      <c r="CB35" s="14">
        <f t="shared" si="96"/>
        <v>0</v>
      </c>
      <c r="CC35" s="46">
        <f t="shared" si="107"/>
        <v>0</v>
      </c>
      <c r="CD35" s="405"/>
      <c r="CE35" s="406"/>
      <c r="CF35" s="406"/>
      <c r="CG35" s="14">
        <f t="shared" si="108"/>
        <v>0</v>
      </c>
      <c r="CH35" s="14">
        <f t="shared" si="97"/>
        <v>0</v>
      </c>
      <c r="CI35" s="14">
        <f t="shared" si="21"/>
        <v>0.3</v>
      </c>
      <c r="CJ35" s="47">
        <f t="shared" si="65"/>
        <v>0</v>
      </c>
      <c r="CK35" s="35">
        <f t="shared" si="22"/>
        <v>2.1999999999999997</v>
      </c>
      <c r="CL35" s="157">
        <f t="shared" si="84"/>
        <v>0</v>
      </c>
      <c r="CM35" s="134"/>
      <c r="CN35" s="14">
        <f t="shared" si="23"/>
        <v>29</v>
      </c>
      <c r="CO35" s="48">
        <f t="shared" si="85"/>
        <v>0</v>
      </c>
      <c r="CP35" s="68">
        <f t="shared" si="66"/>
        <v>0</v>
      </c>
      <c r="CQ35" s="51">
        <f t="shared" si="24"/>
        <v>255</v>
      </c>
      <c r="CR35" s="103">
        <f>CR34</f>
        <v>0</v>
      </c>
      <c r="CS35" s="46">
        <f t="shared" si="138"/>
        <v>255</v>
      </c>
      <c r="CT35" s="50">
        <f t="shared" si="25"/>
        <v>79</v>
      </c>
      <c r="CU35" s="103">
        <f>CU34</f>
        <v>0</v>
      </c>
      <c r="CV35" s="46">
        <f t="shared" si="47"/>
        <v>79</v>
      </c>
      <c r="CX35" s="120">
        <v>4</v>
      </c>
      <c r="CY35" s="7">
        <f>CY34</f>
        <v>4</v>
      </c>
      <c r="CZ35" s="133"/>
      <c r="DA35" s="14">
        <f t="shared" si="98"/>
        <v>0</v>
      </c>
      <c r="DB35" s="46">
        <f t="shared" si="139"/>
        <v>0</v>
      </c>
      <c r="DC35" s="405"/>
      <c r="DD35" s="406"/>
      <c r="DE35" s="406"/>
      <c r="DF35" s="14">
        <f t="shared" si="110"/>
        <v>0</v>
      </c>
      <c r="DG35" s="14">
        <f t="shared" si="99"/>
        <v>0</v>
      </c>
      <c r="DH35" s="14">
        <f t="shared" si="26"/>
        <v>0.3</v>
      </c>
      <c r="DI35" s="47">
        <f t="shared" si="111"/>
        <v>0</v>
      </c>
      <c r="DJ35" s="35">
        <f t="shared" si="27"/>
        <v>2.1999999999999997</v>
      </c>
      <c r="DK35" s="157">
        <f t="shared" si="101"/>
        <v>0</v>
      </c>
      <c r="DL35" s="134"/>
      <c r="DM35" s="14">
        <f t="shared" si="28"/>
        <v>29</v>
      </c>
      <c r="DN35" s="48">
        <f t="shared" si="132"/>
        <v>0</v>
      </c>
      <c r="DO35" s="68">
        <f t="shared" si="102"/>
        <v>0</v>
      </c>
      <c r="DP35" s="51">
        <f t="shared" si="29"/>
        <v>255</v>
      </c>
      <c r="DQ35" s="103">
        <f>DQ34</f>
        <v>0</v>
      </c>
      <c r="DR35" s="46">
        <f t="shared" si="140"/>
        <v>255</v>
      </c>
      <c r="DS35" s="50">
        <f t="shared" si="30"/>
        <v>79</v>
      </c>
      <c r="DT35" s="103">
        <f>DT34</f>
        <v>0</v>
      </c>
      <c r="DU35" s="46">
        <f t="shared" si="92"/>
        <v>79</v>
      </c>
    </row>
    <row r="36" spans="1:125" ht="17.25" thickBot="1" x14ac:dyDescent="0.3">
      <c r="B36" s="120">
        <f t="shared" ref="B36:B39" si="189">B35+1</f>
        <v>25</v>
      </c>
      <c r="C36" s="570">
        <f t="shared" ref="C36:C40" si="190">C35</f>
        <v>4</v>
      </c>
      <c r="D36" s="133"/>
      <c r="E36" s="408">
        <f t="shared" si="31"/>
        <v>0</v>
      </c>
      <c r="F36" s="562">
        <f>IFERROR(E36-J36,0)</f>
        <v>0</v>
      </c>
      <c r="G36" s="134"/>
      <c r="H36" s="135"/>
      <c r="I36" s="135"/>
      <c r="J36" s="14">
        <f t="shared" si="103"/>
        <v>0</v>
      </c>
      <c r="K36" s="14">
        <f t="shared" si="32"/>
        <v>0</v>
      </c>
      <c r="L36" s="14">
        <f t="shared" si="1"/>
        <v>0.3</v>
      </c>
      <c r="M36" s="47">
        <f t="shared" si="53"/>
        <v>0</v>
      </c>
      <c r="N36" s="35">
        <f t="shared" si="2"/>
        <v>2.1999999999999997</v>
      </c>
      <c r="O36" s="132">
        <f t="shared" si="33"/>
        <v>0</v>
      </c>
      <c r="P36" s="142"/>
      <c r="Q36" s="14">
        <f t="shared" si="3"/>
        <v>29</v>
      </c>
      <c r="R36" s="442">
        <f t="shared" si="4"/>
        <v>0</v>
      </c>
      <c r="S36" s="470">
        <f t="shared" si="34"/>
        <v>0</v>
      </c>
      <c r="T36" s="51">
        <f t="shared" si="5"/>
        <v>255</v>
      </c>
      <c r="U36" s="103">
        <f t="shared" ref="U36:U40" si="191">U35</f>
        <v>0</v>
      </c>
      <c r="V36" s="46">
        <f t="shared" si="35"/>
        <v>255</v>
      </c>
      <c r="W36" s="50">
        <f t="shared" si="6"/>
        <v>79</v>
      </c>
      <c r="X36" s="103">
        <f t="shared" ref="X36:X40" si="192">X35</f>
        <v>0</v>
      </c>
      <c r="Y36" s="46">
        <f t="shared" si="36"/>
        <v>79</v>
      </c>
      <c r="Z36" s="487"/>
      <c r="AA36" s="403">
        <f t="shared" ref="AA36:AA39" si="193">AA35+1</f>
        <v>25</v>
      </c>
      <c r="AB36" s="404">
        <f t="shared" ref="AB36:AB40" si="194">AB35</f>
        <v>4</v>
      </c>
      <c r="AC36" s="229"/>
      <c r="AD36" s="48">
        <f t="shared" si="188"/>
        <v>0</v>
      </c>
      <c r="AE36" s="447">
        <f t="shared" si="165"/>
        <v>0</v>
      </c>
      <c r="AF36" s="134"/>
      <c r="AG36" s="135"/>
      <c r="AH36" s="135"/>
      <c r="AI36" s="14">
        <f t="shared" si="105"/>
        <v>0</v>
      </c>
      <c r="AJ36" s="14">
        <f t="shared" si="162"/>
        <v>0</v>
      </c>
      <c r="AK36" s="14">
        <f t="shared" si="8"/>
        <v>0.3</v>
      </c>
      <c r="AL36" s="231">
        <f t="shared" si="38"/>
        <v>0</v>
      </c>
      <c r="AM36" s="35">
        <f t="shared" si="9"/>
        <v>2.1999999999999997</v>
      </c>
      <c r="AN36" s="157">
        <f t="shared" si="93"/>
        <v>0</v>
      </c>
      <c r="AO36" s="134"/>
      <c r="AP36" s="14">
        <f t="shared" si="10"/>
        <v>29</v>
      </c>
      <c r="AQ36" s="442">
        <f t="shared" si="39"/>
        <v>0</v>
      </c>
      <c r="AR36" s="470">
        <f t="shared" si="164"/>
        <v>0</v>
      </c>
      <c r="AS36" s="51">
        <f t="shared" si="11"/>
        <v>255</v>
      </c>
      <c r="AT36" s="103">
        <f t="shared" ref="AT36:AT40" si="195">AT35</f>
        <v>0</v>
      </c>
      <c r="AU36" s="46">
        <f t="shared" si="136"/>
        <v>255</v>
      </c>
      <c r="AV36" s="50">
        <f t="shared" si="12"/>
        <v>79</v>
      </c>
      <c r="AW36" s="103">
        <f t="shared" ref="AW36:AW40" si="196">AW35</f>
        <v>0</v>
      </c>
      <c r="AX36" s="46">
        <f t="shared" si="94"/>
        <v>79</v>
      </c>
      <c r="AZ36" s="120">
        <f t="shared" ref="AZ36:AZ39" si="197">AZ35+1</f>
        <v>25</v>
      </c>
      <c r="BA36" s="7">
        <f t="shared" ref="BA36:BA40" si="198">BA35</f>
        <v>4</v>
      </c>
      <c r="BB36" s="133"/>
      <c r="BC36" s="48">
        <f t="shared" si="42"/>
        <v>0</v>
      </c>
      <c r="BD36" s="447">
        <f t="shared" si="166"/>
        <v>0</v>
      </c>
      <c r="BE36" s="134"/>
      <c r="BF36" s="135"/>
      <c r="BG36" s="135"/>
      <c r="BH36" s="14">
        <f t="shared" si="106"/>
        <v>0</v>
      </c>
      <c r="BI36" s="14">
        <f t="shared" si="151"/>
        <v>0</v>
      </c>
      <c r="BJ36" s="14">
        <f t="shared" si="14"/>
        <v>0.3</v>
      </c>
      <c r="BK36" s="47">
        <f t="shared" si="60"/>
        <v>0</v>
      </c>
      <c r="BL36" s="35">
        <f t="shared" si="15"/>
        <v>2.1999999999999997</v>
      </c>
      <c r="BM36" s="132">
        <f t="shared" si="167"/>
        <v>0</v>
      </c>
      <c r="BN36" s="134"/>
      <c r="BO36" s="14">
        <f t="shared" si="17"/>
        <v>29</v>
      </c>
      <c r="BP36" s="442">
        <f t="shared" si="61"/>
        <v>0</v>
      </c>
      <c r="BQ36" s="747">
        <f t="shared" si="81"/>
        <v>0</v>
      </c>
      <c r="BR36" s="51">
        <f t="shared" si="18"/>
        <v>255</v>
      </c>
      <c r="BS36" s="103">
        <f t="shared" ref="BS36:BS40" si="199">BS35</f>
        <v>0</v>
      </c>
      <c r="BT36" s="46">
        <f t="shared" si="137"/>
        <v>255</v>
      </c>
      <c r="BU36" s="50">
        <f t="shared" si="20"/>
        <v>79</v>
      </c>
      <c r="BV36" s="103">
        <f t="shared" ref="BV36:BV40" si="200">BV35</f>
        <v>0</v>
      </c>
      <c r="BW36" s="46">
        <f t="shared" si="95"/>
        <v>79</v>
      </c>
      <c r="BY36" s="120">
        <v>5</v>
      </c>
      <c r="BZ36" s="7">
        <f t="shared" ref="BZ36:BZ40" si="201">BZ35</f>
        <v>4</v>
      </c>
      <c r="CA36" s="229"/>
      <c r="CB36" s="14">
        <f t="shared" si="96"/>
        <v>0</v>
      </c>
      <c r="CC36" s="62">
        <f t="shared" si="107"/>
        <v>0</v>
      </c>
      <c r="CD36" s="405"/>
      <c r="CE36" s="406"/>
      <c r="CF36" s="406"/>
      <c r="CG36" s="14">
        <f t="shared" si="108"/>
        <v>0</v>
      </c>
      <c r="CH36" s="14">
        <f t="shared" si="97"/>
        <v>0</v>
      </c>
      <c r="CI36" s="14">
        <f t="shared" si="21"/>
        <v>0.3</v>
      </c>
      <c r="CJ36" s="47">
        <f t="shared" si="65"/>
        <v>0</v>
      </c>
      <c r="CK36" s="35">
        <f t="shared" si="22"/>
        <v>2.1999999999999997</v>
      </c>
      <c r="CL36" s="157">
        <f t="shared" si="84"/>
        <v>0</v>
      </c>
      <c r="CM36" s="134"/>
      <c r="CN36" s="14">
        <f t="shared" si="23"/>
        <v>29</v>
      </c>
      <c r="CO36" s="48">
        <f t="shared" si="85"/>
        <v>0</v>
      </c>
      <c r="CP36" s="68">
        <f t="shared" si="66"/>
        <v>0</v>
      </c>
      <c r="CQ36" s="51">
        <f t="shared" si="24"/>
        <v>255</v>
      </c>
      <c r="CR36" s="103">
        <f t="shared" ref="CR36:CR40" si="202">CR35</f>
        <v>0</v>
      </c>
      <c r="CS36" s="46">
        <f t="shared" si="138"/>
        <v>255</v>
      </c>
      <c r="CT36" s="50">
        <f t="shared" si="25"/>
        <v>79</v>
      </c>
      <c r="CU36" s="103">
        <f t="shared" ref="CU36:CU40" si="203">CU35</f>
        <v>0</v>
      </c>
      <c r="CV36" s="46">
        <f t="shared" si="47"/>
        <v>79</v>
      </c>
      <c r="CX36" s="120">
        <v>5</v>
      </c>
      <c r="CY36" s="7">
        <f t="shared" ref="CY36:CY40" si="204">CY35</f>
        <v>4</v>
      </c>
      <c r="CZ36" s="229"/>
      <c r="DA36" s="14">
        <f t="shared" si="98"/>
        <v>0</v>
      </c>
      <c r="DB36" s="62">
        <f t="shared" si="139"/>
        <v>0</v>
      </c>
      <c r="DC36" s="405"/>
      <c r="DD36" s="406"/>
      <c r="DE36" s="406"/>
      <c r="DF36" s="14">
        <f t="shared" si="110"/>
        <v>0</v>
      </c>
      <c r="DG36" s="14">
        <f t="shared" si="99"/>
        <v>0</v>
      </c>
      <c r="DH36" s="14">
        <f t="shared" si="26"/>
        <v>0.3</v>
      </c>
      <c r="DI36" s="47">
        <f t="shared" si="111"/>
        <v>0</v>
      </c>
      <c r="DJ36" s="35">
        <f t="shared" si="27"/>
        <v>2.1999999999999997</v>
      </c>
      <c r="DK36" s="157">
        <f t="shared" si="101"/>
        <v>0</v>
      </c>
      <c r="DL36" s="134"/>
      <c r="DM36" s="14">
        <f t="shared" si="28"/>
        <v>29</v>
      </c>
      <c r="DN36" s="48">
        <f t="shared" si="132"/>
        <v>0</v>
      </c>
      <c r="DO36" s="68">
        <f t="shared" si="102"/>
        <v>0</v>
      </c>
      <c r="DP36" s="51">
        <f t="shared" si="29"/>
        <v>255</v>
      </c>
      <c r="DQ36" s="103">
        <f t="shared" ref="DQ36:DQ40" si="205">DQ35</f>
        <v>0</v>
      </c>
      <c r="DR36" s="46">
        <f t="shared" si="140"/>
        <v>255</v>
      </c>
      <c r="DS36" s="50">
        <f t="shared" si="30"/>
        <v>79</v>
      </c>
      <c r="DT36" s="103">
        <f t="shared" ref="DT36:DT40" si="206">DT35</f>
        <v>0</v>
      </c>
      <c r="DU36" s="46">
        <f t="shared" si="92"/>
        <v>79</v>
      </c>
    </row>
    <row r="37" spans="1:125" ht="17.25" thickBot="1" x14ac:dyDescent="0.3">
      <c r="B37" s="120">
        <f t="shared" si="189"/>
        <v>26</v>
      </c>
      <c r="C37" s="570">
        <f t="shared" si="190"/>
        <v>4</v>
      </c>
      <c r="D37" s="496"/>
      <c r="E37" s="408">
        <f>IFERROR(F36+D37-D38,0)</f>
        <v>0</v>
      </c>
      <c r="F37" s="562">
        <f>IFERROR(E37-J37,0)</f>
        <v>0</v>
      </c>
      <c r="G37" s="134"/>
      <c r="H37" s="135"/>
      <c r="I37" s="135"/>
      <c r="J37" s="14">
        <f t="shared" si="103"/>
        <v>0</v>
      </c>
      <c r="K37" s="14">
        <f t="shared" si="32"/>
        <v>0</v>
      </c>
      <c r="L37" s="14">
        <f t="shared" si="1"/>
        <v>0.3</v>
      </c>
      <c r="M37" s="47">
        <f t="shared" si="53"/>
        <v>0</v>
      </c>
      <c r="N37" s="35">
        <f t="shared" si="2"/>
        <v>2.1999999999999997</v>
      </c>
      <c r="O37" s="132">
        <f t="shared" si="33"/>
        <v>0</v>
      </c>
      <c r="P37" s="142"/>
      <c r="Q37" s="14">
        <f t="shared" si="3"/>
        <v>29</v>
      </c>
      <c r="R37" s="442">
        <f t="shared" si="4"/>
        <v>0</v>
      </c>
      <c r="S37" s="470">
        <f t="shared" si="34"/>
        <v>0</v>
      </c>
      <c r="T37" s="51">
        <f t="shared" si="5"/>
        <v>255</v>
      </c>
      <c r="U37" s="103">
        <f t="shared" si="191"/>
        <v>0</v>
      </c>
      <c r="V37" s="46">
        <f t="shared" si="35"/>
        <v>255</v>
      </c>
      <c r="W37" s="51">
        <f t="shared" si="6"/>
        <v>79</v>
      </c>
      <c r="X37" s="103">
        <f t="shared" si="192"/>
        <v>0</v>
      </c>
      <c r="Y37" s="46">
        <f t="shared" si="36"/>
        <v>79</v>
      </c>
      <c r="Z37" s="788"/>
      <c r="AA37" s="403">
        <f t="shared" si="193"/>
        <v>26</v>
      </c>
      <c r="AB37" s="404">
        <f t="shared" si="194"/>
        <v>4</v>
      </c>
      <c r="AC37" s="496"/>
      <c r="AD37" s="48">
        <f>IFERROR(AE36-AC37,0)</f>
        <v>0</v>
      </c>
      <c r="AE37" s="49">
        <f>IFERROR(AD37-AI37,0)</f>
        <v>0</v>
      </c>
      <c r="AF37" s="134"/>
      <c r="AG37" s="135"/>
      <c r="AH37" s="135"/>
      <c r="AI37" s="14">
        <f t="shared" si="105"/>
        <v>0</v>
      </c>
      <c r="AJ37" s="14">
        <f t="shared" si="162"/>
        <v>0</v>
      </c>
      <c r="AK37" s="14">
        <f t="shared" si="8"/>
        <v>0.3</v>
      </c>
      <c r="AL37" s="230">
        <f t="shared" si="38"/>
        <v>0</v>
      </c>
      <c r="AM37" s="35">
        <f t="shared" si="9"/>
        <v>2.1999999999999997</v>
      </c>
      <c r="AN37" s="157">
        <f>IFERROR((AJ37*100)/$AC$19,0)</f>
        <v>0</v>
      </c>
      <c r="AO37" s="134"/>
      <c r="AP37" s="14">
        <f t="shared" si="10"/>
        <v>29</v>
      </c>
      <c r="AQ37" s="482">
        <f t="shared" si="39"/>
        <v>0</v>
      </c>
      <c r="AR37" s="470">
        <f t="shared" si="164"/>
        <v>0</v>
      </c>
      <c r="AS37" s="51">
        <f t="shared" si="11"/>
        <v>255</v>
      </c>
      <c r="AT37" s="103">
        <f t="shared" si="195"/>
        <v>0</v>
      </c>
      <c r="AU37" s="46">
        <f t="shared" si="136"/>
        <v>255</v>
      </c>
      <c r="AV37" s="51">
        <f t="shared" si="12"/>
        <v>79</v>
      </c>
      <c r="AW37" s="103">
        <f t="shared" si="196"/>
        <v>0</v>
      </c>
      <c r="AX37" s="46">
        <f t="shared" si="94"/>
        <v>79</v>
      </c>
      <c r="AZ37" s="120">
        <f t="shared" si="197"/>
        <v>26</v>
      </c>
      <c r="BA37" s="7">
        <f t="shared" si="198"/>
        <v>4</v>
      </c>
      <c r="BB37" s="133"/>
      <c r="BC37" s="48">
        <f t="shared" si="42"/>
        <v>0</v>
      </c>
      <c r="BD37" s="49">
        <f>IFERROR(BC37-BH37,0)</f>
        <v>0</v>
      </c>
      <c r="BE37" s="134"/>
      <c r="BF37" s="135"/>
      <c r="BG37" s="135"/>
      <c r="BH37" s="14">
        <f t="shared" si="106"/>
        <v>0</v>
      </c>
      <c r="BI37" s="14">
        <f t="shared" si="151"/>
        <v>0</v>
      </c>
      <c r="BJ37" s="14">
        <f t="shared" si="14"/>
        <v>0.3</v>
      </c>
      <c r="BK37" s="47">
        <f t="shared" si="60"/>
        <v>0</v>
      </c>
      <c r="BL37" s="35">
        <f t="shared" si="15"/>
        <v>2.1999999999999997</v>
      </c>
      <c r="BM37" s="132">
        <f t="shared" si="167"/>
        <v>0</v>
      </c>
      <c r="BN37" s="134"/>
      <c r="BO37" s="14">
        <f t="shared" si="17"/>
        <v>29</v>
      </c>
      <c r="BP37" s="442">
        <f t="shared" si="61"/>
        <v>0</v>
      </c>
      <c r="BQ37" s="747">
        <f>BQ36+BP37</f>
        <v>0</v>
      </c>
      <c r="BR37" s="51">
        <f t="shared" si="18"/>
        <v>255</v>
      </c>
      <c r="BS37" s="103">
        <f t="shared" si="199"/>
        <v>0</v>
      </c>
      <c r="BT37" s="46">
        <f t="shared" si="137"/>
        <v>255</v>
      </c>
      <c r="BU37" s="51">
        <f t="shared" si="20"/>
        <v>79</v>
      </c>
      <c r="BV37" s="103">
        <f t="shared" si="200"/>
        <v>0</v>
      </c>
      <c r="BW37" s="46">
        <f t="shared" si="95"/>
        <v>79</v>
      </c>
      <c r="BY37" s="120">
        <v>6</v>
      </c>
      <c r="BZ37" s="7">
        <f t="shared" si="201"/>
        <v>4</v>
      </c>
      <c r="CA37" s="496"/>
      <c r="CB37" s="14">
        <f t="shared" si="96"/>
        <v>0</v>
      </c>
      <c r="CC37" s="46">
        <f t="shared" si="107"/>
        <v>0</v>
      </c>
      <c r="CD37" s="405"/>
      <c r="CE37" s="406"/>
      <c r="CF37" s="406"/>
      <c r="CG37" s="14">
        <f t="shared" si="108"/>
        <v>0</v>
      </c>
      <c r="CH37" s="14">
        <f t="shared" si="97"/>
        <v>0</v>
      </c>
      <c r="CI37" s="14">
        <f t="shared" si="21"/>
        <v>0.3</v>
      </c>
      <c r="CJ37" s="47">
        <f t="shared" si="65"/>
        <v>0</v>
      </c>
      <c r="CK37" s="35">
        <f t="shared" si="22"/>
        <v>2.1999999999999997</v>
      </c>
      <c r="CL37" s="157">
        <f t="shared" si="84"/>
        <v>0</v>
      </c>
      <c r="CM37" s="134"/>
      <c r="CN37" s="14">
        <f t="shared" si="23"/>
        <v>29</v>
      </c>
      <c r="CO37" s="48">
        <f t="shared" si="85"/>
        <v>0</v>
      </c>
      <c r="CP37" s="68">
        <f t="shared" si="66"/>
        <v>0</v>
      </c>
      <c r="CQ37" s="51">
        <f t="shared" si="24"/>
        <v>255</v>
      </c>
      <c r="CR37" s="103">
        <f t="shared" si="202"/>
        <v>0</v>
      </c>
      <c r="CS37" s="46">
        <f t="shared" si="138"/>
        <v>255</v>
      </c>
      <c r="CT37" s="50">
        <f t="shared" si="25"/>
        <v>79</v>
      </c>
      <c r="CU37" s="103">
        <f t="shared" si="203"/>
        <v>0</v>
      </c>
      <c r="CV37" s="46">
        <f t="shared" si="47"/>
        <v>79</v>
      </c>
      <c r="CX37" s="120">
        <v>6</v>
      </c>
      <c r="CY37" s="7">
        <f t="shared" si="204"/>
        <v>4</v>
      </c>
      <c r="CZ37" s="496"/>
      <c r="DA37" s="14">
        <f t="shared" si="98"/>
        <v>0</v>
      </c>
      <c r="DB37" s="46">
        <f t="shared" si="139"/>
        <v>0</v>
      </c>
      <c r="DC37" s="405"/>
      <c r="DD37" s="406"/>
      <c r="DE37" s="406"/>
      <c r="DF37" s="14">
        <f t="shared" si="110"/>
        <v>0</v>
      </c>
      <c r="DG37" s="14">
        <f t="shared" si="99"/>
        <v>0</v>
      </c>
      <c r="DH37" s="14">
        <f t="shared" si="26"/>
        <v>0.3</v>
      </c>
      <c r="DI37" s="47">
        <f t="shared" si="111"/>
        <v>0</v>
      </c>
      <c r="DJ37" s="35">
        <f t="shared" si="27"/>
        <v>2.1999999999999997</v>
      </c>
      <c r="DK37" s="157">
        <f t="shared" si="101"/>
        <v>0</v>
      </c>
      <c r="DL37" s="134"/>
      <c r="DM37" s="14">
        <f t="shared" si="28"/>
        <v>29</v>
      </c>
      <c r="DN37" s="48">
        <f t="shared" si="132"/>
        <v>0</v>
      </c>
      <c r="DO37" s="68">
        <f t="shared" si="102"/>
        <v>0</v>
      </c>
      <c r="DP37" s="51">
        <f t="shared" si="29"/>
        <v>255</v>
      </c>
      <c r="DQ37" s="103">
        <f t="shared" si="205"/>
        <v>0</v>
      </c>
      <c r="DR37" s="46">
        <f t="shared" si="140"/>
        <v>255</v>
      </c>
      <c r="DS37" s="50">
        <f t="shared" si="30"/>
        <v>79</v>
      </c>
      <c r="DT37" s="103">
        <f t="shared" si="206"/>
        <v>0</v>
      </c>
      <c r="DU37" s="46">
        <f t="shared" si="92"/>
        <v>79</v>
      </c>
    </row>
    <row r="38" spans="1:125" ht="17.25" thickBot="1" x14ac:dyDescent="0.3">
      <c r="B38" s="120">
        <f t="shared" si="189"/>
        <v>27</v>
      </c>
      <c r="C38" s="570">
        <f t="shared" si="190"/>
        <v>4</v>
      </c>
      <c r="D38" s="496"/>
      <c r="E38" s="408">
        <f>IFERROR(F37+A38,0)</f>
        <v>0</v>
      </c>
      <c r="F38" s="562">
        <f>IFERROR(E38-J38,0)</f>
        <v>0</v>
      </c>
      <c r="G38" s="134"/>
      <c r="H38" s="135"/>
      <c r="I38" s="135"/>
      <c r="J38" s="14">
        <f t="shared" si="103"/>
        <v>0</v>
      </c>
      <c r="K38" s="14">
        <f t="shared" si="32"/>
        <v>0</v>
      </c>
      <c r="L38" s="14">
        <f t="shared" si="1"/>
        <v>0.3</v>
      </c>
      <c r="M38" s="47">
        <f t="shared" si="53"/>
        <v>0</v>
      </c>
      <c r="N38" s="35">
        <f t="shared" si="2"/>
        <v>2.1999999999999997</v>
      </c>
      <c r="O38" s="132">
        <f t="shared" si="33"/>
        <v>0</v>
      </c>
      <c r="P38" s="142"/>
      <c r="Q38" s="14">
        <f t="shared" si="3"/>
        <v>29</v>
      </c>
      <c r="R38" s="442">
        <f t="shared" si="4"/>
        <v>0</v>
      </c>
      <c r="S38" s="470">
        <f t="shared" si="34"/>
        <v>0</v>
      </c>
      <c r="T38" s="51">
        <f t="shared" si="5"/>
        <v>255</v>
      </c>
      <c r="U38" s="103">
        <f t="shared" si="191"/>
        <v>0</v>
      </c>
      <c r="V38" s="46">
        <f t="shared" si="35"/>
        <v>255</v>
      </c>
      <c r="W38" s="12">
        <f t="shared" si="6"/>
        <v>79</v>
      </c>
      <c r="X38" s="103">
        <f t="shared" si="192"/>
        <v>0</v>
      </c>
      <c r="Y38" s="46">
        <f t="shared" si="36"/>
        <v>79</v>
      </c>
      <c r="Z38" s="487"/>
      <c r="AA38" s="403">
        <f t="shared" si="193"/>
        <v>27</v>
      </c>
      <c r="AB38" s="404">
        <f t="shared" si="194"/>
        <v>4</v>
      </c>
      <c r="AC38" s="496"/>
      <c r="AD38" s="48">
        <f t="shared" ref="AD38:AD42" si="207">IFERROR(AE37-AC38,0)</f>
        <v>0</v>
      </c>
      <c r="AE38" s="49">
        <f t="shared" si="165"/>
        <v>0</v>
      </c>
      <c r="AF38" s="134"/>
      <c r="AG38" s="135"/>
      <c r="AH38" s="135"/>
      <c r="AI38" s="14">
        <f t="shared" si="105"/>
        <v>0</v>
      </c>
      <c r="AJ38" s="14">
        <f t="shared" si="162"/>
        <v>0</v>
      </c>
      <c r="AK38" s="14">
        <f t="shared" si="8"/>
        <v>0.3</v>
      </c>
      <c r="AL38" s="47">
        <f t="shared" si="38"/>
        <v>0</v>
      </c>
      <c r="AM38" s="35">
        <f t="shared" si="9"/>
        <v>2.1999999999999997</v>
      </c>
      <c r="AN38" s="157">
        <f t="shared" si="93"/>
        <v>0</v>
      </c>
      <c r="AO38" s="134"/>
      <c r="AP38" s="14">
        <f t="shared" si="10"/>
        <v>29</v>
      </c>
      <c r="AQ38" s="482">
        <f t="shared" si="39"/>
        <v>0</v>
      </c>
      <c r="AR38" s="470">
        <f t="shared" si="164"/>
        <v>0</v>
      </c>
      <c r="AS38" s="51">
        <f t="shared" si="11"/>
        <v>255</v>
      </c>
      <c r="AT38" s="103">
        <f t="shared" si="195"/>
        <v>0</v>
      </c>
      <c r="AU38" s="46">
        <f t="shared" si="136"/>
        <v>255</v>
      </c>
      <c r="AV38" s="12">
        <f t="shared" si="12"/>
        <v>79</v>
      </c>
      <c r="AW38" s="103">
        <f t="shared" si="196"/>
        <v>0</v>
      </c>
      <c r="AX38" s="46">
        <f t="shared" si="94"/>
        <v>79</v>
      </c>
      <c r="AY38" s="362"/>
      <c r="AZ38" s="403">
        <f t="shared" si="197"/>
        <v>27</v>
      </c>
      <c r="BA38" s="404">
        <f t="shared" si="198"/>
        <v>4</v>
      </c>
      <c r="BB38" s="496"/>
      <c r="BC38" s="48">
        <f t="shared" si="42"/>
        <v>0</v>
      </c>
      <c r="BD38" s="49">
        <f>IFERROR(BC38-BH38,0)</f>
        <v>0</v>
      </c>
      <c r="BE38" s="134"/>
      <c r="BF38" s="135"/>
      <c r="BG38" s="135"/>
      <c r="BH38" s="14">
        <f t="shared" si="106"/>
        <v>0</v>
      </c>
      <c r="BI38" s="14">
        <f t="shared" si="151"/>
        <v>0</v>
      </c>
      <c r="BJ38" s="14">
        <f t="shared" si="14"/>
        <v>0.3</v>
      </c>
      <c r="BK38" s="47">
        <f t="shared" si="60"/>
        <v>0</v>
      </c>
      <c r="BL38" s="35">
        <f t="shared" si="15"/>
        <v>2.1999999999999997</v>
      </c>
      <c r="BM38" s="132">
        <f t="shared" si="167"/>
        <v>0</v>
      </c>
      <c r="BN38" s="134"/>
      <c r="BO38" s="14">
        <f t="shared" si="17"/>
        <v>29</v>
      </c>
      <c r="BP38" s="442">
        <f t="shared" si="61"/>
        <v>0</v>
      </c>
      <c r="BQ38" s="747">
        <f t="shared" si="81"/>
        <v>0</v>
      </c>
      <c r="BR38" s="51">
        <f t="shared" si="18"/>
        <v>255</v>
      </c>
      <c r="BS38" s="103">
        <f t="shared" si="199"/>
        <v>0</v>
      </c>
      <c r="BT38" s="46">
        <f t="shared" si="137"/>
        <v>255</v>
      </c>
      <c r="BU38" s="12">
        <f t="shared" si="20"/>
        <v>79</v>
      </c>
      <c r="BV38" s="103">
        <f t="shared" si="200"/>
        <v>0</v>
      </c>
      <c r="BW38" s="46">
        <f t="shared" si="95"/>
        <v>79</v>
      </c>
      <c r="BY38" s="120">
        <f t="shared" ref="BY38:BY39" si="208">BY37+1</f>
        <v>7</v>
      </c>
      <c r="BZ38" s="7">
        <f t="shared" si="201"/>
        <v>4</v>
      </c>
      <c r="CA38" s="496"/>
      <c r="CB38" s="14">
        <f t="shared" si="96"/>
        <v>0</v>
      </c>
      <c r="CC38" s="46">
        <f t="shared" si="107"/>
        <v>0</v>
      </c>
      <c r="CD38" s="405"/>
      <c r="CE38" s="406"/>
      <c r="CF38" s="406"/>
      <c r="CG38" s="14">
        <f t="shared" si="108"/>
        <v>0</v>
      </c>
      <c r="CH38" s="14">
        <f t="shared" si="97"/>
        <v>0</v>
      </c>
      <c r="CI38" s="14">
        <f t="shared" si="21"/>
        <v>0.3</v>
      </c>
      <c r="CJ38" s="47">
        <f t="shared" si="65"/>
        <v>0</v>
      </c>
      <c r="CK38" s="35">
        <f t="shared" si="22"/>
        <v>2.1999999999999997</v>
      </c>
      <c r="CL38" s="157">
        <f t="shared" si="84"/>
        <v>0</v>
      </c>
      <c r="CM38" s="134"/>
      <c r="CN38" s="14">
        <f t="shared" si="23"/>
        <v>29</v>
      </c>
      <c r="CO38" s="48">
        <f t="shared" si="85"/>
        <v>0</v>
      </c>
      <c r="CP38" s="68">
        <f t="shared" si="66"/>
        <v>0</v>
      </c>
      <c r="CQ38" s="51">
        <f t="shared" si="24"/>
        <v>255</v>
      </c>
      <c r="CR38" s="103">
        <f t="shared" si="202"/>
        <v>0</v>
      </c>
      <c r="CS38" s="46">
        <f t="shared" si="138"/>
        <v>255</v>
      </c>
      <c r="CT38" s="50">
        <f t="shared" si="25"/>
        <v>79</v>
      </c>
      <c r="CU38" s="103">
        <f t="shared" si="203"/>
        <v>0</v>
      </c>
      <c r="CV38" s="46">
        <f t="shared" si="47"/>
        <v>79</v>
      </c>
      <c r="CX38" s="120">
        <f t="shared" ref="CX38:CX39" si="209">CX37+1</f>
        <v>7</v>
      </c>
      <c r="CY38" s="7">
        <f t="shared" si="204"/>
        <v>4</v>
      </c>
      <c r="CZ38" s="496"/>
      <c r="DA38" s="14">
        <f t="shared" si="98"/>
        <v>0</v>
      </c>
      <c r="DB38" s="46">
        <f t="shared" si="139"/>
        <v>0</v>
      </c>
      <c r="DC38" s="405"/>
      <c r="DD38" s="406"/>
      <c r="DE38" s="406"/>
      <c r="DF38" s="14">
        <f t="shared" si="110"/>
        <v>0</v>
      </c>
      <c r="DG38" s="14">
        <f t="shared" si="99"/>
        <v>0</v>
      </c>
      <c r="DH38" s="14">
        <f t="shared" si="26"/>
        <v>0.3</v>
      </c>
      <c r="DI38" s="47">
        <f t="shared" si="111"/>
        <v>0</v>
      </c>
      <c r="DJ38" s="35">
        <f t="shared" si="27"/>
        <v>2.1999999999999997</v>
      </c>
      <c r="DK38" s="157">
        <f t="shared" si="101"/>
        <v>0</v>
      </c>
      <c r="DL38" s="134"/>
      <c r="DM38" s="14">
        <f t="shared" si="28"/>
        <v>29</v>
      </c>
      <c r="DN38" s="48">
        <f t="shared" si="132"/>
        <v>0</v>
      </c>
      <c r="DO38" s="68">
        <f t="shared" si="102"/>
        <v>0</v>
      </c>
      <c r="DP38" s="51">
        <f t="shared" si="29"/>
        <v>255</v>
      </c>
      <c r="DQ38" s="103">
        <f t="shared" si="205"/>
        <v>0</v>
      </c>
      <c r="DR38" s="46">
        <f t="shared" si="140"/>
        <v>255</v>
      </c>
      <c r="DS38" s="50">
        <f t="shared" si="30"/>
        <v>79</v>
      </c>
      <c r="DT38" s="103">
        <f t="shared" si="206"/>
        <v>0</v>
      </c>
      <c r="DU38" s="46">
        <f t="shared" si="92"/>
        <v>79</v>
      </c>
    </row>
    <row r="39" spans="1:125" ht="17.25" thickBot="1" x14ac:dyDescent="0.3">
      <c r="A39" s="787"/>
      <c r="B39" s="403">
        <f t="shared" si="189"/>
        <v>28</v>
      </c>
      <c r="C39" s="571">
        <f t="shared" si="190"/>
        <v>4</v>
      </c>
      <c r="D39" s="496"/>
      <c r="E39" s="408">
        <f>IFERROR(F38-D39,0)</f>
        <v>0</v>
      </c>
      <c r="F39" s="562">
        <f t="shared" si="0"/>
        <v>0</v>
      </c>
      <c r="G39" s="134"/>
      <c r="H39" s="135"/>
      <c r="I39" s="135"/>
      <c r="J39" s="14">
        <f t="shared" si="103"/>
        <v>0</v>
      </c>
      <c r="K39" s="14">
        <f t="shared" si="32"/>
        <v>0</v>
      </c>
      <c r="L39" s="14">
        <f t="shared" si="1"/>
        <v>0.3</v>
      </c>
      <c r="M39" s="47">
        <f t="shared" si="53"/>
        <v>0</v>
      </c>
      <c r="N39" s="35">
        <f t="shared" si="2"/>
        <v>2.1999999999999997</v>
      </c>
      <c r="O39" s="132">
        <f t="shared" si="33"/>
        <v>0</v>
      </c>
      <c r="P39" s="142"/>
      <c r="Q39" s="14">
        <f t="shared" si="3"/>
        <v>29</v>
      </c>
      <c r="R39" s="442">
        <f t="shared" si="4"/>
        <v>0</v>
      </c>
      <c r="S39" s="470">
        <f t="shared" si="34"/>
        <v>0</v>
      </c>
      <c r="T39" s="51">
        <f t="shared" si="5"/>
        <v>255</v>
      </c>
      <c r="U39" s="103">
        <f t="shared" si="191"/>
        <v>0</v>
      </c>
      <c r="V39" s="46">
        <f t="shared" si="35"/>
        <v>255</v>
      </c>
      <c r="W39" s="50">
        <f t="shared" si="6"/>
        <v>79</v>
      </c>
      <c r="X39" s="103">
        <f t="shared" si="192"/>
        <v>0</v>
      </c>
      <c r="Y39" s="46">
        <f t="shared" si="36"/>
        <v>79</v>
      </c>
      <c r="Z39" s="487"/>
      <c r="AA39" s="403">
        <f t="shared" si="193"/>
        <v>28</v>
      </c>
      <c r="AB39" s="404">
        <f t="shared" si="194"/>
        <v>4</v>
      </c>
      <c r="AC39" s="496"/>
      <c r="AD39" s="48">
        <f t="shared" si="207"/>
        <v>0</v>
      </c>
      <c r="AE39" s="447">
        <f t="shared" si="165"/>
        <v>0</v>
      </c>
      <c r="AF39" s="134"/>
      <c r="AG39" s="135"/>
      <c r="AH39" s="135"/>
      <c r="AI39" s="14">
        <f t="shared" si="105"/>
        <v>0</v>
      </c>
      <c r="AJ39" s="14">
        <f t="shared" si="162"/>
        <v>0</v>
      </c>
      <c r="AK39" s="14">
        <f t="shared" si="8"/>
        <v>0.3</v>
      </c>
      <c r="AL39" s="47">
        <f t="shared" si="38"/>
        <v>0</v>
      </c>
      <c r="AM39" s="35">
        <f t="shared" si="9"/>
        <v>2.1999999999999997</v>
      </c>
      <c r="AN39" s="157">
        <f t="shared" si="93"/>
        <v>0</v>
      </c>
      <c r="AO39" s="134"/>
      <c r="AP39" s="14">
        <f t="shared" si="10"/>
        <v>29</v>
      </c>
      <c r="AQ39" s="482">
        <f t="shared" si="39"/>
        <v>0</v>
      </c>
      <c r="AR39" s="470">
        <f t="shared" si="164"/>
        <v>0</v>
      </c>
      <c r="AS39" s="51">
        <f t="shared" si="11"/>
        <v>255</v>
      </c>
      <c r="AT39" s="103">
        <f t="shared" si="195"/>
        <v>0</v>
      </c>
      <c r="AU39" s="46">
        <f t="shared" si="136"/>
        <v>255</v>
      </c>
      <c r="AV39" s="50">
        <f t="shared" si="12"/>
        <v>79</v>
      </c>
      <c r="AW39" s="103">
        <f t="shared" si="196"/>
        <v>0</v>
      </c>
      <c r="AX39" s="46">
        <f t="shared" si="94"/>
        <v>79</v>
      </c>
      <c r="AY39" s="362"/>
      <c r="AZ39" s="403">
        <f t="shared" si="197"/>
        <v>28</v>
      </c>
      <c r="BA39" s="404">
        <f t="shared" si="198"/>
        <v>4</v>
      </c>
      <c r="BB39" s="496"/>
      <c r="BC39" s="48">
        <f t="shared" si="42"/>
        <v>0</v>
      </c>
      <c r="BD39" s="447">
        <f t="shared" si="166"/>
        <v>0</v>
      </c>
      <c r="BE39" s="134"/>
      <c r="BF39" s="135"/>
      <c r="BG39" s="135"/>
      <c r="BH39" s="14">
        <f t="shared" si="106"/>
        <v>0</v>
      </c>
      <c r="BI39" s="14">
        <f t="shared" si="151"/>
        <v>0</v>
      </c>
      <c r="BJ39" s="14">
        <f t="shared" si="14"/>
        <v>0.3</v>
      </c>
      <c r="BK39" s="47">
        <f t="shared" si="60"/>
        <v>0</v>
      </c>
      <c r="BL39" s="35">
        <f t="shared" si="15"/>
        <v>2.1999999999999997</v>
      </c>
      <c r="BM39" s="132">
        <f t="shared" si="167"/>
        <v>0</v>
      </c>
      <c r="BN39" s="134"/>
      <c r="BO39" s="14">
        <f t="shared" si="17"/>
        <v>29</v>
      </c>
      <c r="BP39" s="442">
        <f t="shared" si="61"/>
        <v>0</v>
      </c>
      <c r="BQ39" s="747">
        <f t="shared" si="81"/>
        <v>0</v>
      </c>
      <c r="BR39" s="51">
        <f t="shared" si="18"/>
        <v>255</v>
      </c>
      <c r="BS39" s="103">
        <f t="shared" si="199"/>
        <v>0</v>
      </c>
      <c r="BT39" s="46">
        <f t="shared" si="137"/>
        <v>255</v>
      </c>
      <c r="BU39" s="50">
        <f t="shared" si="20"/>
        <v>79</v>
      </c>
      <c r="BV39" s="103">
        <f t="shared" si="200"/>
        <v>0</v>
      </c>
      <c r="BW39" s="46">
        <f t="shared" si="95"/>
        <v>79</v>
      </c>
      <c r="BY39" s="120">
        <f t="shared" si="208"/>
        <v>8</v>
      </c>
      <c r="BZ39" s="7">
        <f t="shared" si="201"/>
        <v>4</v>
      </c>
      <c r="CA39" s="496"/>
      <c r="CB39" s="14">
        <f t="shared" si="96"/>
        <v>0</v>
      </c>
      <c r="CC39" s="62">
        <f t="shared" si="107"/>
        <v>0</v>
      </c>
      <c r="CD39" s="405"/>
      <c r="CE39" s="406"/>
      <c r="CF39" s="406"/>
      <c r="CG39" s="14">
        <f t="shared" si="108"/>
        <v>0</v>
      </c>
      <c r="CH39" s="14">
        <f t="shared" si="97"/>
        <v>0</v>
      </c>
      <c r="CI39" s="14">
        <f t="shared" si="21"/>
        <v>0.3</v>
      </c>
      <c r="CJ39" s="47">
        <f t="shared" si="65"/>
        <v>0</v>
      </c>
      <c r="CK39" s="35">
        <f t="shared" si="22"/>
        <v>2.1999999999999997</v>
      </c>
      <c r="CL39" s="157">
        <f t="shared" si="84"/>
        <v>0</v>
      </c>
      <c r="CM39" s="134"/>
      <c r="CN39" s="14">
        <f t="shared" si="23"/>
        <v>29</v>
      </c>
      <c r="CO39" s="48">
        <f t="shared" si="85"/>
        <v>0</v>
      </c>
      <c r="CP39" s="68">
        <f t="shared" si="66"/>
        <v>0</v>
      </c>
      <c r="CQ39" s="51">
        <f t="shared" si="24"/>
        <v>255</v>
      </c>
      <c r="CR39" s="103">
        <f t="shared" si="202"/>
        <v>0</v>
      </c>
      <c r="CS39" s="46">
        <f t="shared" si="138"/>
        <v>255</v>
      </c>
      <c r="CT39" s="51">
        <f t="shared" si="25"/>
        <v>79</v>
      </c>
      <c r="CU39" s="103">
        <f t="shared" si="203"/>
        <v>0</v>
      </c>
      <c r="CV39" s="46">
        <f t="shared" si="47"/>
        <v>79</v>
      </c>
      <c r="CX39" s="120">
        <f t="shared" si="209"/>
        <v>8</v>
      </c>
      <c r="CY39" s="7">
        <f t="shared" si="204"/>
        <v>4</v>
      </c>
      <c r="CZ39" s="496"/>
      <c r="DA39" s="14">
        <f t="shared" si="98"/>
        <v>0</v>
      </c>
      <c r="DB39" s="62">
        <f t="shared" si="139"/>
        <v>0</v>
      </c>
      <c r="DC39" s="405"/>
      <c r="DD39" s="406"/>
      <c r="DE39" s="406"/>
      <c r="DF39" s="14">
        <f t="shared" si="110"/>
        <v>0</v>
      </c>
      <c r="DG39" s="14">
        <f t="shared" si="99"/>
        <v>0</v>
      </c>
      <c r="DH39" s="14">
        <f t="shared" si="26"/>
        <v>0.3</v>
      </c>
      <c r="DI39" s="47">
        <f t="shared" si="111"/>
        <v>0</v>
      </c>
      <c r="DJ39" s="35">
        <f t="shared" si="27"/>
        <v>2.1999999999999997</v>
      </c>
      <c r="DK39" s="157">
        <f t="shared" si="101"/>
        <v>0</v>
      </c>
      <c r="DL39" s="134"/>
      <c r="DM39" s="14">
        <f t="shared" si="28"/>
        <v>29</v>
      </c>
      <c r="DN39" s="48">
        <f t="shared" si="132"/>
        <v>0</v>
      </c>
      <c r="DO39" s="68">
        <f t="shared" si="102"/>
        <v>0</v>
      </c>
      <c r="DP39" s="51">
        <f t="shared" si="29"/>
        <v>255</v>
      </c>
      <c r="DQ39" s="103">
        <f t="shared" si="205"/>
        <v>0</v>
      </c>
      <c r="DR39" s="46">
        <f t="shared" si="140"/>
        <v>255</v>
      </c>
      <c r="DS39" s="51">
        <f t="shared" si="30"/>
        <v>79</v>
      </c>
      <c r="DT39" s="103">
        <f t="shared" si="206"/>
        <v>0</v>
      </c>
      <c r="DU39" s="46">
        <f t="shared" si="92"/>
        <v>79</v>
      </c>
    </row>
    <row r="40" spans="1:125" ht="17.25" thickBot="1" x14ac:dyDescent="0.3">
      <c r="A40" s="787"/>
      <c r="B40" s="432">
        <f>B39+1</f>
        <v>29</v>
      </c>
      <c r="C40" s="576">
        <f t="shared" si="190"/>
        <v>4</v>
      </c>
      <c r="D40" s="497"/>
      <c r="E40" s="436">
        <f>IFERROR(F39+D40,0)</f>
        <v>0</v>
      </c>
      <c r="F40" s="451">
        <f t="shared" si="0"/>
        <v>0</v>
      </c>
      <c r="G40" s="137"/>
      <c r="H40" s="138"/>
      <c r="I40" s="138"/>
      <c r="J40" s="32">
        <f t="shared" si="103"/>
        <v>0</v>
      </c>
      <c r="K40" s="32">
        <f t="shared" si="32"/>
        <v>0</v>
      </c>
      <c r="L40" s="32">
        <f t="shared" si="1"/>
        <v>0.3</v>
      </c>
      <c r="M40" s="96">
        <f t="shared" si="53"/>
        <v>0</v>
      </c>
      <c r="N40" s="36">
        <f t="shared" si="2"/>
        <v>2.1999999999999997</v>
      </c>
      <c r="O40" s="132">
        <f t="shared" si="33"/>
        <v>0</v>
      </c>
      <c r="P40" s="139"/>
      <c r="Q40" s="32">
        <f t="shared" si="3"/>
        <v>29</v>
      </c>
      <c r="R40" s="443">
        <f t="shared" si="4"/>
        <v>0</v>
      </c>
      <c r="S40" s="471">
        <f t="shared" si="34"/>
        <v>0</v>
      </c>
      <c r="T40" s="56">
        <f t="shared" si="5"/>
        <v>255</v>
      </c>
      <c r="U40" s="109">
        <f t="shared" si="191"/>
        <v>0</v>
      </c>
      <c r="V40" s="63">
        <f t="shared" si="35"/>
        <v>255</v>
      </c>
      <c r="W40" s="56">
        <f t="shared" si="6"/>
        <v>79</v>
      </c>
      <c r="X40" s="109">
        <f t="shared" si="192"/>
        <v>0</v>
      </c>
      <c r="Y40" s="63">
        <f t="shared" si="36"/>
        <v>79</v>
      </c>
      <c r="Z40" s="788"/>
      <c r="AA40" s="432">
        <f>AA39+1</f>
        <v>29</v>
      </c>
      <c r="AB40" s="433">
        <f t="shared" si="194"/>
        <v>4</v>
      </c>
      <c r="AC40" s="497"/>
      <c r="AD40" s="54">
        <f>IFERROR(AE39-AC40,0)</f>
        <v>0</v>
      </c>
      <c r="AE40" s="55">
        <f t="shared" si="165"/>
        <v>0</v>
      </c>
      <c r="AF40" s="137"/>
      <c r="AG40" s="138"/>
      <c r="AH40" s="138"/>
      <c r="AI40" s="34">
        <f t="shared" si="105"/>
        <v>0</v>
      </c>
      <c r="AJ40" s="34">
        <f t="shared" si="162"/>
        <v>0</v>
      </c>
      <c r="AK40" s="17">
        <f t="shared" si="8"/>
        <v>0.3</v>
      </c>
      <c r="AL40" s="231">
        <f t="shared" si="38"/>
        <v>0</v>
      </c>
      <c r="AM40" s="33">
        <f t="shared" si="9"/>
        <v>2.1999999999999997</v>
      </c>
      <c r="AN40" s="157">
        <f t="shared" si="93"/>
        <v>0</v>
      </c>
      <c r="AO40" s="137"/>
      <c r="AP40" s="32">
        <f t="shared" si="10"/>
        <v>29</v>
      </c>
      <c r="AQ40" s="443">
        <f t="shared" si="39"/>
        <v>0</v>
      </c>
      <c r="AR40" s="471">
        <f t="shared" si="164"/>
        <v>0</v>
      </c>
      <c r="AS40" s="50">
        <f t="shared" si="11"/>
        <v>255</v>
      </c>
      <c r="AT40" s="103">
        <f t="shared" si="195"/>
        <v>0</v>
      </c>
      <c r="AU40" s="63">
        <f t="shared" si="136"/>
        <v>255</v>
      </c>
      <c r="AV40" s="56">
        <f t="shared" si="12"/>
        <v>79</v>
      </c>
      <c r="AW40" s="103">
        <f t="shared" si="196"/>
        <v>0</v>
      </c>
      <c r="AX40" s="63">
        <f t="shared" si="94"/>
        <v>79</v>
      </c>
      <c r="AZ40" s="119">
        <f>AZ39+1</f>
        <v>29</v>
      </c>
      <c r="BA40" s="95">
        <f t="shared" si="198"/>
        <v>4</v>
      </c>
      <c r="BB40" s="203"/>
      <c r="BC40" s="67">
        <f t="shared" si="42"/>
        <v>0</v>
      </c>
      <c r="BD40" s="196">
        <f t="shared" si="166"/>
        <v>0</v>
      </c>
      <c r="BE40" s="204"/>
      <c r="BF40" s="205"/>
      <c r="BG40" s="205"/>
      <c r="BH40" s="31">
        <f t="shared" si="106"/>
        <v>0</v>
      </c>
      <c r="BI40" s="31">
        <f t="shared" si="151"/>
        <v>0</v>
      </c>
      <c r="BJ40" s="31">
        <f t="shared" si="14"/>
        <v>0.3</v>
      </c>
      <c r="BK40" s="230">
        <f t="shared" si="60"/>
        <v>0</v>
      </c>
      <c r="BL40" s="37">
        <f t="shared" si="15"/>
        <v>2.1999999999999997</v>
      </c>
      <c r="BM40" s="132">
        <f t="shared" si="167"/>
        <v>0</v>
      </c>
      <c r="BN40" s="204"/>
      <c r="BO40" s="13">
        <f t="shared" si="17"/>
        <v>29</v>
      </c>
      <c r="BP40" s="482">
        <f t="shared" si="61"/>
        <v>0</v>
      </c>
      <c r="BQ40" s="752">
        <f t="shared" si="81"/>
        <v>0</v>
      </c>
      <c r="BR40" s="50">
        <f t="shared" si="18"/>
        <v>255</v>
      </c>
      <c r="BS40" s="202">
        <f t="shared" si="199"/>
        <v>0</v>
      </c>
      <c r="BT40" s="62">
        <f t="shared" si="137"/>
        <v>255</v>
      </c>
      <c r="BU40" s="50">
        <f t="shared" si="20"/>
        <v>79</v>
      </c>
      <c r="BV40" s="202">
        <f t="shared" si="200"/>
        <v>0</v>
      </c>
      <c r="BW40" s="62">
        <f t="shared" si="95"/>
        <v>79</v>
      </c>
      <c r="BY40" s="197">
        <f>BY39+1</f>
        <v>9</v>
      </c>
      <c r="BZ40" s="8">
        <f t="shared" si="201"/>
        <v>4</v>
      </c>
      <c r="CA40" s="497"/>
      <c r="CB40" s="32">
        <f t="shared" si="96"/>
        <v>0</v>
      </c>
      <c r="CC40" s="53">
        <f t="shared" si="107"/>
        <v>0</v>
      </c>
      <c r="CD40" s="421"/>
      <c r="CE40" s="426"/>
      <c r="CF40" s="426"/>
      <c r="CG40" s="34">
        <f t="shared" si="108"/>
        <v>0</v>
      </c>
      <c r="CH40" s="34">
        <f t="shared" si="97"/>
        <v>0</v>
      </c>
      <c r="CI40" s="32">
        <f t="shared" si="21"/>
        <v>0.3</v>
      </c>
      <c r="CJ40" s="96">
        <f t="shared" si="65"/>
        <v>0</v>
      </c>
      <c r="CK40" s="36">
        <f t="shared" si="22"/>
        <v>2.1999999999999997</v>
      </c>
      <c r="CL40" s="156">
        <f t="shared" si="84"/>
        <v>0</v>
      </c>
      <c r="CM40" s="137"/>
      <c r="CN40" s="13">
        <f t="shared" si="23"/>
        <v>29</v>
      </c>
      <c r="CO40" s="54">
        <f t="shared" si="85"/>
        <v>0</v>
      </c>
      <c r="CP40" s="70">
        <f t="shared" si="66"/>
        <v>0</v>
      </c>
      <c r="CQ40" s="56">
        <f t="shared" si="24"/>
        <v>255</v>
      </c>
      <c r="CR40" s="103">
        <f t="shared" si="202"/>
        <v>0</v>
      </c>
      <c r="CS40" s="63">
        <f t="shared" si="138"/>
        <v>255</v>
      </c>
      <c r="CT40" s="12">
        <f t="shared" si="25"/>
        <v>79</v>
      </c>
      <c r="CU40" s="103">
        <f t="shared" si="203"/>
        <v>0</v>
      </c>
      <c r="CV40" s="63">
        <f t="shared" si="47"/>
        <v>79</v>
      </c>
      <c r="CX40" s="197">
        <f>CX39+1</f>
        <v>9</v>
      </c>
      <c r="CY40" s="8">
        <f t="shared" si="204"/>
        <v>4</v>
      </c>
      <c r="CZ40" s="497"/>
      <c r="DA40" s="32">
        <f t="shared" si="98"/>
        <v>0</v>
      </c>
      <c r="DB40" s="53">
        <f t="shared" si="139"/>
        <v>0</v>
      </c>
      <c r="DC40" s="421"/>
      <c r="DD40" s="426"/>
      <c r="DE40" s="426"/>
      <c r="DF40" s="34">
        <f t="shared" si="110"/>
        <v>0</v>
      </c>
      <c r="DG40" s="34">
        <f t="shared" si="99"/>
        <v>0</v>
      </c>
      <c r="DH40" s="32">
        <f t="shared" si="26"/>
        <v>0.3</v>
      </c>
      <c r="DI40" s="96">
        <f t="shared" si="111"/>
        <v>0</v>
      </c>
      <c r="DJ40" s="36">
        <f t="shared" si="27"/>
        <v>2.1999999999999997</v>
      </c>
      <c r="DK40" s="156">
        <f t="shared" si="101"/>
        <v>0</v>
      </c>
      <c r="DL40" s="137"/>
      <c r="DM40" s="13">
        <f t="shared" si="28"/>
        <v>29</v>
      </c>
      <c r="DN40" s="54">
        <f t="shared" si="132"/>
        <v>0</v>
      </c>
      <c r="DO40" s="70">
        <f t="shared" si="102"/>
        <v>0</v>
      </c>
      <c r="DP40" s="56">
        <f t="shared" si="29"/>
        <v>255</v>
      </c>
      <c r="DQ40" s="103">
        <f t="shared" si="205"/>
        <v>0</v>
      </c>
      <c r="DR40" s="63">
        <f t="shared" si="140"/>
        <v>255</v>
      </c>
      <c r="DS40" s="12">
        <f t="shared" si="30"/>
        <v>79</v>
      </c>
      <c r="DT40" s="103">
        <f t="shared" si="206"/>
        <v>0</v>
      </c>
      <c r="DU40" s="63">
        <f t="shared" si="92"/>
        <v>79</v>
      </c>
    </row>
    <row r="41" spans="1:125" ht="17.25" thickBot="1" x14ac:dyDescent="0.3">
      <c r="B41" s="118">
        <v>30</v>
      </c>
      <c r="C41" s="575">
        <v>5</v>
      </c>
      <c r="D41" s="498"/>
      <c r="E41" s="400">
        <f t="shared" si="31"/>
        <v>0</v>
      </c>
      <c r="F41" s="561">
        <f t="shared" si="0"/>
        <v>0</v>
      </c>
      <c r="G41" s="130"/>
      <c r="H41" s="131"/>
      <c r="I41" s="131"/>
      <c r="J41" s="11">
        <f t="shared" si="103"/>
        <v>0</v>
      </c>
      <c r="K41" s="11">
        <f t="shared" si="32"/>
        <v>0</v>
      </c>
      <c r="L41" s="11">
        <f t="shared" si="1"/>
        <v>0.18</v>
      </c>
      <c r="M41" s="42">
        <f t="shared" si="53"/>
        <v>0</v>
      </c>
      <c r="N41" s="21">
        <f t="shared" si="2"/>
        <v>2.38</v>
      </c>
      <c r="O41" s="132">
        <f t="shared" si="33"/>
        <v>0</v>
      </c>
      <c r="P41" s="158"/>
      <c r="Q41" s="11">
        <f t="shared" si="3"/>
        <v>34</v>
      </c>
      <c r="R41" s="441">
        <f t="shared" si="4"/>
        <v>0</v>
      </c>
      <c r="S41" s="469">
        <f t="shared" si="34"/>
        <v>0</v>
      </c>
      <c r="T41" s="58">
        <f t="shared" si="5"/>
        <v>334</v>
      </c>
      <c r="U41" s="131"/>
      <c r="V41" s="41">
        <f t="shared" si="35"/>
        <v>334</v>
      </c>
      <c r="W41" s="18">
        <f t="shared" si="6"/>
        <v>79</v>
      </c>
      <c r="X41" s="131"/>
      <c r="Y41" s="41">
        <f t="shared" si="36"/>
        <v>79</v>
      </c>
      <c r="Z41" s="487"/>
      <c r="AA41" s="118">
        <v>30</v>
      </c>
      <c r="AB41" s="9">
        <v>5</v>
      </c>
      <c r="AC41" s="498"/>
      <c r="AD41" s="43">
        <f t="shared" si="207"/>
        <v>0</v>
      </c>
      <c r="AE41" s="44">
        <f t="shared" si="165"/>
        <v>0</v>
      </c>
      <c r="AF41" s="130"/>
      <c r="AG41" s="131"/>
      <c r="AH41" s="131"/>
      <c r="AI41" s="11">
        <f t="shared" si="105"/>
        <v>0</v>
      </c>
      <c r="AJ41" s="11">
        <f t="shared" si="162"/>
        <v>0</v>
      </c>
      <c r="AK41" s="16">
        <f t="shared" si="8"/>
        <v>0.18</v>
      </c>
      <c r="AL41" s="153">
        <f t="shared" si="38"/>
        <v>0</v>
      </c>
      <c r="AM41" s="154">
        <f t="shared" si="9"/>
        <v>2.38</v>
      </c>
      <c r="AN41" s="157">
        <f t="shared" si="93"/>
        <v>0</v>
      </c>
      <c r="AO41" s="130"/>
      <c r="AP41" s="17">
        <f t="shared" si="10"/>
        <v>34</v>
      </c>
      <c r="AQ41" s="481">
        <f t="shared" si="39"/>
        <v>0</v>
      </c>
      <c r="AR41" s="469">
        <f t="shared" si="164"/>
        <v>0</v>
      </c>
      <c r="AS41" s="58">
        <f t="shared" si="11"/>
        <v>334</v>
      </c>
      <c r="AT41" s="131"/>
      <c r="AU41" s="41">
        <f t="shared" si="136"/>
        <v>334</v>
      </c>
      <c r="AV41" s="18">
        <f t="shared" si="12"/>
        <v>79</v>
      </c>
      <c r="AW41" s="131"/>
      <c r="AX41" s="41">
        <f t="shared" si="94"/>
        <v>79</v>
      </c>
      <c r="AZ41" s="118">
        <v>30</v>
      </c>
      <c r="BA41" s="9">
        <v>5</v>
      </c>
      <c r="BB41" s="129"/>
      <c r="BC41" s="43">
        <f t="shared" si="42"/>
        <v>0</v>
      </c>
      <c r="BD41" s="44">
        <f t="shared" si="166"/>
        <v>0</v>
      </c>
      <c r="BE41" s="130"/>
      <c r="BF41" s="131"/>
      <c r="BG41" s="131"/>
      <c r="BH41" s="11">
        <f t="shared" si="106"/>
        <v>0</v>
      </c>
      <c r="BI41" s="11">
        <f t="shared" si="151"/>
        <v>0</v>
      </c>
      <c r="BJ41" s="16">
        <f t="shared" si="14"/>
        <v>0.18</v>
      </c>
      <c r="BK41" s="42">
        <f t="shared" si="60"/>
        <v>0</v>
      </c>
      <c r="BL41" s="154">
        <f t="shared" si="15"/>
        <v>2.38</v>
      </c>
      <c r="BM41" s="132">
        <f t="shared" si="167"/>
        <v>0</v>
      </c>
      <c r="BN41" s="130"/>
      <c r="BO41" s="11">
        <f t="shared" si="17"/>
        <v>34</v>
      </c>
      <c r="BP41" s="441">
        <f t="shared" si="61"/>
        <v>0</v>
      </c>
      <c r="BQ41" s="746">
        <f t="shared" si="81"/>
        <v>0</v>
      </c>
      <c r="BR41" s="58">
        <f t="shared" si="18"/>
        <v>334</v>
      </c>
      <c r="BS41" s="131"/>
      <c r="BT41" s="41">
        <f t="shared" si="137"/>
        <v>334</v>
      </c>
      <c r="BU41" s="18">
        <f t="shared" si="20"/>
        <v>79</v>
      </c>
      <c r="BV41" s="131"/>
      <c r="BW41" s="41">
        <f t="shared" si="95"/>
        <v>79</v>
      </c>
      <c r="BY41" s="118">
        <v>10</v>
      </c>
      <c r="BZ41" s="9">
        <v>5</v>
      </c>
      <c r="CA41" s="498"/>
      <c r="CB41" s="11">
        <f t="shared" si="96"/>
        <v>0</v>
      </c>
      <c r="CC41" s="41">
        <f t="shared" si="107"/>
        <v>0</v>
      </c>
      <c r="CD41" s="398"/>
      <c r="CE41" s="399"/>
      <c r="CF41" s="399"/>
      <c r="CG41" s="11">
        <f t="shared" si="108"/>
        <v>0</v>
      </c>
      <c r="CH41" s="11">
        <f t="shared" si="97"/>
        <v>0</v>
      </c>
      <c r="CI41" s="17">
        <f t="shared" si="21"/>
        <v>0.18</v>
      </c>
      <c r="CJ41" s="235">
        <f t="shared" si="65"/>
        <v>0</v>
      </c>
      <c r="CK41" s="33">
        <f t="shared" si="22"/>
        <v>2.38</v>
      </c>
      <c r="CL41" s="155">
        <f t="shared" si="84"/>
        <v>0</v>
      </c>
      <c r="CM41" s="130"/>
      <c r="CN41" s="11">
        <f t="shared" si="23"/>
        <v>34</v>
      </c>
      <c r="CO41" s="60">
        <f t="shared" si="85"/>
        <v>0</v>
      </c>
      <c r="CP41" s="377">
        <f t="shared" si="66"/>
        <v>0</v>
      </c>
      <c r="CQ41" s="61">
        <f t="shared" si="24"/>
        <v>334</v>
      </c>
      <c r="CR41" s="131"/>
      <c r="CS41" s="41">
        <f t="shared" si="138"/>
        <v>334</v>
      </c>
      <c r="CT41" s="18">
        <f t="shared" si="25"/>
        <v>79</v>
      </c>
      <c r="CU41" s="131"/>
      <c r="CV41" s="41">
        <f t="shared" si="47"/>
        <v>79</v>
      </c>
      <c r="CX41" s="118">
        <v>10</v>
      </c>
      <c r="CY41" s="9">
        <v>5</v>
      </c>
      <c r="CZ41" s="498"/>
      <c r="DA41" s="11">
        <f t="shared" si="98"/>
        <v>0</v>
      </c>
      <c r="DB41" s="41">
        <f t="shared" si="139"/>
        <v>0</v>
      </c>
      <c r="DC41" s="398"/>
      <c r="DD41" s="399"/>
      <c r="DE41" s="399"/>
      <c r="DF41" s="11">
        <f t="shared" si="110"/>
        <v>0</v>
      </c>
      <c r="DG41" s="11">
        <f t="shared" si="99"/>
        <v>0</v>
      </c>
      <c r="DH41" s="17">
        <f t="shared" si="26"/>
        <v>0.18</v>
      </c>
      <c r="DI41" s="235">
        <f t="shared" si="111"/>
        <v>0</v>
      </c>
      <c r="DJ41" s="33">
        <f t="shared" si="27"/>
        <v>2.38</v>
      </c>
      <c r="DK41" s="155">
        <f t="shared" si="101"/>
        <v>0</v>
      </c>
      <c r="DL41" s="130"/>
      <c r="DM41" s="11">
        <f t="shared" si="28"/>
        <v>34</v>
      </c>
      <c r="DN41" s="60">
        <f t="shared" si="132"/>
        <v>0</v>
      </c>
      <c r="DO41" s="377">
        <f t="shared" si="102"/>
        <v>0</v>
      </c>
      <c r="DP41" s="61">
        <f t="shared" si="29"/>
        <v>334</v>
      </c>
      <c r="DQ41" s="131"/>
      <c r="DR41" s="41">
        <f t="shared" si="140"/>
        <v>334</v>
      </c>
      <c r="DS41" s="18">
        <f t="shared" si="30"/>
        <v>79</v>
      </c>
      <c r="DT41" s="131"/>
      <c r="DU41" s="41">
        <f t="shared" si="92"/>
        <v>79</v>
      </c>
    </row>
    <row r="42" spans="1:125" ht="17.25" thickBot="1" x14ac:dyDescent="0.3">
      <c r="B42" s="120">
        <f>B41+1</f>
        <v>31</v>
      </c>
      <c r="C42" s="570">
        <f>C41</f>
        <v>5</v>
      </c>
      <c r="D42" s="229"/>
      <c r="E42" s="408">
        <f t="shared" si="31"/>
        <v>0</v>
      </c>
      <c r="F42" s="562">
        <f t="shared" si="0"/>
        <v>0</v>
      </c>
      <c r="G42" s="134"/>
      <c r="H42" s="135"/>
      <c r="I42" s="135"/>
      <c r="J42" s="14">
        <f t="shared" si="103"/>
        <v>0</v>
      </c>
      <c r="K42" s="14">
        <f t="shared" si="32"/>
        <v>0</v>
      </c>
      <c r="L42" s="14">
        <f t="shared" si="1"/>
        <v>0.18</v>
      </c>
      <c r="M42" s="47">
        <f t="shared" si="53"/>
        <v>0</v>
      </c>
      <c r="N42" s="35">
        <f t="shared" si="2"/>
        <v>2.38</v>
      </c>
      <c r="O42" s="132">
        <f t="shared" si="33"/>
        <v>0</v>
      </c>
      <c r="P42" s="142"/>
      <c r="Q42" s="14">
        <f t="shared" si="3"/>
        <v>34</v>
      </c>
      <c r="R42" s="442">
        <f t="shared" si="4"/>
        <v>0</v>
      </c>
      <c r="S42" s="470">
        <f t="shared" si="34"/>
        <v>0</v>
      </c>
      <c r="T42" s="51">
        <f t="shared" si="5"/>
        <v>334</v>
      </c>
      <c r="U42" s="103">
        <f>U41</f>
        <v>0</v>
      </c>
      <c r="V42" s="46">
        <f t="shared" si="35"/>
        <v>334</v>
      </c>
      <c r="W42" s="50">
        <f t="shared" si="6"/>
        <v>79</v>
      </c>
      <c r="X42" s="103">
        <f>X41</f>
        <v>0</v>
      </c>
      <c r="Y42" s="46">
        <f t="shared" si="36"/>
        <v>79</v>
      </c>
      <c r="Z42" s="487"/>
      <c r="AA42" s="120">
        <f>AA41+1</f>
        <v>31</v>
      </c>
      <c r="AB42" s="7">
        <f>AB41</f>
        <v>5</v>
      </c>
      <c r="AC42" s="229"/>
      <c r="AD42" s="48">
        <f t="shared" si="207"/>
        <v>0</v>
      </c>
      <c r="AE42" s="447">
        <f t="shared" si="165"/>
        <v>0</v>
      </c>
      <c r="AF42" s="134"/>
      <c r="AG42" s="135"/>
      <c r="AH42" s="135"/>
      <c r="AI42" s="14">
        <f t="shared" si="105"/>
        <v>0</v>
      </c>
      <c r="AJ42" s="14">
        <f t="shared" si="162"/>
        <v>0</v>
      </c>
      <c r="AK42" s="14">
        <f t="shared" si="8"/>
        <v>0.18</v>
      </c>
      <c r="AL42" s="47">
        <f t="shared" si="38"/>
        <v>0</v>
      </c>
      <c r="AM42" s="35">
        <f t="shared" si="9"/>
        <v>2.38</v>
      </c>
      <c r="AN42" s="157">
        <f t="shared" si="93"/>
        <v>0</v>
      </c>
      <c r="AO42" s="134"/>
      <c r="AP42" s="14">
        <f t="shared" si="10"/>
        <v>34</v>
      </c>
      <c r="AQ42" s="482">
        <f t="shared" si="39"/>
        <v>0</v>
      </c>
      <c r="AR42" s="470">
        <f t="shared" si="164"/>
        <v>0</v>
      </c>
      <c r="AS42" s="51">
        <f t="shared" si="11"/>
        <v>334</v>
      </c>
      <c r="AT42" s="103">
        <f>AT41</f>
        <v>0</v>
      </c>
      <c r="AU42" s="46">
        <f t="shared" si="136"/>
        <v>334</v>
      </c>
      <c r="AV42" s="50">
        <f t="shared" si="12"/>
        <v>79</v>
      </c>
      <c r="AW42" s="103">
        <f>AW41</f>
        <v>0</v>
      </c>
      <c r="AX42" s="46">
        <f t="shared" si="94"/>
        <v>79</v>
      </c>
      <c r="AZ42" s="120">
        <f>AZ41+1</f>
        <v>31</v>
      </c>
      <c r="BA42" s="7">
        <f>BA41</f>
        <v>5</v>
      </c>
      <c r="BB42" s="133"/>
      <c r="BC42" s="48">
        <f t="shared" si="42"/>
        <v>0</v>
      </c>
      <c r="BD42" s="447">
        <f t="shared" si="166"/>
        <v>0</v>
      </c>
      <c r="BE42" s="134"/>
      <c r="BF42" s="135"/>
      <c r="BG42" s="135"/>
      <c r="BH42" s="14">
        <f t="shared" si="106"/>
        <v>0</v>
      </c>
      <c r="BI42" s="14">
        <f t="shared" si="151"/>
        <v>0</v>
      </c>
      <c r="BJ42" s="14">
        <f t="shared" si="14"/>
        <v>0.18</v>
      </c>
      <c r="BK42" s="47">
        <f t="shared" si="60"/>
        <v>0</v>
      </c>
      <c r="BL42" s="35">
        <f t="shared" si="15"/>
        <v>2.38</v>
      </c>
      <c r="BM42" s="132">
        <f t="shared" si="167"/>
        <v>0</v>
      </c>
      <c r="BN42" s="134"/>
      <c r="BO42" s="14">
        <f t="shared" si="17"/>
        <v>34</v>
      </c>
      <c r="BP42" s="442">
        <f t="shared" si="61"/>
        <v>0</v>
      </c>
      <c r="BQ42" s="747">
        <f t="shared" si="81"/>
        <v>0</v>
      </c>
      <c r="BR42" s="51">
        <f t="shared" si="18"/>
        <v>334</v>
      </c>
      <c r="BS42" s="103">
        <f>BS41</f>
        <v>0</v>
      </c>
      <c r="BT42" s="46">
        <f t="shared" si="137"/>
        <v>334</v>
      </c>
      <c r="BU42" s="50">
        <f t="shared" si="20"/>
        <v>79</v>
      </c>
      <c r="BV42" s="103">
        <f>BV41</f>
        <v>0</v>
      </c>
      <c r="BW42" s="46">
        <f t="shared" si="95"/>
        <v>79</v>
      </c>
      <c r="BY42" s="120">
        <f>BY41+1</f>
        <v>11</v>
      </c>
      <c r="BZ42" s="7">
        <f>BZ41</f>
        <v>5</v>
      </c>
      <c r="CA42" s="229"/>
      <c r="CB42" s="14">
        <f t="shared" si="96"/>
        <v>0</v>
      </c>
      <c r="CC42" s="62">
        <f t="shared" si="107"/>
        <v>0</v>
      </c>
      <c r="CD42" s="405"/>
      <c r="CE42" s="406"/>
      <c r="CF42" s="406"/>
      <c r="CG42" s="14">
        <f t="shared" si="108"/>
        <v>0</v>
      </c>
      <c r="CH42" s="14">
        <f t="shared" si="97"/>
        <v>0</v>
      </c>
      <c r="CI42" s="14">
        <f t="shared" si="21"/>
        <v>0.18</v>
      </c>
      <c r="CJ42" s="47">
        <f t="shared" si="65"/>
        <v>0</v>
      </c>
      <c r="CK42" s="35">
        <f t="shared" si="22"/>
        <v>2.38</v>
      </c>
      <c r="CL42" s="157">
        <f t="shared" si="84"/>
        <v>0</v>
      </c>
      <c r="CM42" s="134"/>
      <c r="CN42" s="14">
        <f t="shared" si="23"/>
        <v>34</v>
      </c>
      <c r="CO42" s="48">
        <f t="shared" si="85"/>
        <v>0</v>
      </c>
      <c r="CP42" s="68">
        <f t="shared" si="66"/>
        <v>0</v>
      </c>
      <c r="CQ42" s="51">
        <f t="shared" si="24"/>
        <v>334</v>
      </c>
      <c r="CR42" s="103">
        <f>CR41</f>
        <v>0</v>
      </c>
      <c r="CS42" s="46">
        <f t="shared" si="138"/>
        <v>334</v>
      </c>
      <c r="CT42" s="51">
        <f t="shared" si="25"/>
        <v>79</v>
      </c>
      <c r="CU42" s="103">
        <f>CU41</f>
        <v>0</v>
      </c>
      <c r="CV42" s="46">
        <f t="shared" si="47"/>
        <v>79</v>
      </c>
      <c r="CX42" s="120">
        <f>CX41+1</f>
        <v>11</v>
      </c>
      <c r="CY42" s="7">
        <f>CY41</f>
        <v>5</v>
      </c>
      <c r="CZ42" s="229"/>
      <c r="DA42" s="14">
        <f t="shared" si="98"/>
        <v>0</v>
      </c>
      <c r="DB42" s="62">
        <f t="shared" si="139"/>
        <v>0</v>
      </c>
      <c r="DC42" s="405"/>
      <c r="DD42" s="406"/>
      <c r="DE42" s="406"/>
      <c r="DF42" s="14">
        <f t="shared" si="110"/>
        <v>0</v>
      </c>
      <c r="DG42" s="14">
        <f t="shared" si="99"/>
        <v>0</v>
      </c>
      <c r="DH42" s="14">
        <f t="shared" si="26"/>
        <v>0.18</v>
      </c>
      <c r="DI42" s="47">
        <f t="shared" si="111"/>
        <v>0</v>
      </c>
      <c r="DJ42" s="35">
        <f t="shared" si="27"/>
        <v>2.38</v>
      </c>
      <c r="DK42" s="157">
        <f t="shared" si="101"/>
        <v>0</v>
      </c>
      <c r="DL42" s="134"/>
      <c r="DM42" s="14">
        <f t="shared" si="28"/>
        <v>34</v>
      </c>
      <c r="DN42" s="48">
        <f t="shared" si="132"/>
        <v>0</v>
      </c>
      <c r="DO42" s="68">
        <f t="shared" si="102"/>
        <v>0</v>
      </c>
      <c r="DP42" s="51">
        <f t="shared" si="29"/>
        <v>334</v>
      </c>
      <c r="DQ42" s="103">
        <f>DQ41</f>
        <v>0</v>
      </c>
      <c r="DR42" s="46">
        <f t="shared" si="140"/>
        <v>334</v>
      </c>
      <c r="DS42" s="51">
        <f t="shared" si="30"/>
        <v>79</v>
      </c>
      <c r="DT42" s="103">
        <f>DT41</f>
        <v>0</v>
      </c>
      <c r="DU42" s="46">
        <f t="shared" si="92"/>
        <v>79</v>
      </c>
    </row>
    <row r="43" spans="1:125" ht="17.25" thickBot="1" x14ac:dyDescent="0.3">
      <c r="A43" s="533" t="s">
        <v>157</v>
      </c>
      <c r="B43" s="502">
        <v>1</v>
      </c>
      <c r="C43" s="577">
        <f t="shared" ref="C43:C47" si="210">C42</f>
        <v>5</v>
      </c>
      <c r="D43" s="501"/>
      <c r="E43" s="564">
        <f t="shared" si="31"/>
        <v>0</v>
      </c>
      <c r="F43" s="582">
        <f t="shared" si="0"/>
        <v>0</v>
      </c>
      <c r="G43" s="519"/>
      <c r="H43" s="520"/>
      <c r="I43" s="520"/>
      <c r="J43" s="521">
        <f t="shared" si="103"/>
        <v>0</v>
      </c>
      <c r="K43" s="521">
        <f t="shared" si="32"/>
        <v>0</v>
      </c>
      <c r="L43" s="521">
        <f t="shared" si="1"/>
        <v>0.18</v>
      </c>
      <c r="M43" s="529">
        <f t="shared" si="53"/>
        <v>0</v>
      </c>
      <c r="N43" s="522">
        <f t="shared" si="2"/>
        <v>2.38</v>
      </c>
      <c r="O43" s="132">
        <f t="shared" si="33"/>
        <v>0</v>
      </c>
      <c r="P43" s="578"/>
      <c r="Q43" s="521">
        <f t="shared" si="3"/>
        <v>34</v>
      </c>
      <c r="R43" s="537">
        <f t="shared" si="4"/>
        <v>0</v>
      </c>
      <c r="S43" s="524">
        <f t="shared" si="34"/>
        <v>0</v>
      </c>
      <c r="T43" s="525">
        <f t="shared" si="5"/>
        <v>334</v>
      </c>
      <c r="U43" s="514">
        <f t="shared" ref="U43:U47" si="211">U42</f>
        <v>0</v>
      </c>
      <c r="V43" s="526">
        <f t="shared" si="35"/>
        <v>334</v>
      </c>
      <c r="W43" s="513">
        <f t="shared" si="6"/>
        <v>79</v>
      </c>
      <c r="X43" s="514">
        <f t="shared" ref="X43:X47" si="212">X42</f>
        <v>0</v>
      </c>
      <c r="Y43" s="526">
        <f t="shared" si="36"/>
        <v>79</v>
      </c>
      <c r="Z43" s="533" t="s">
        <v>157</v>
      </c>
      <c r="AA43" s="502">
        <v>1</v>
      </c>
      <c r="AB43" s="694">
        <f t="shared" ref="AB43:AB47" si="213">AB42</f>
        <v>5</v>
      </c>
      <c r="AC43" s="501"/>
      <c r="AD43" s="564">
        <f>IFERROR(AE42-AC43,0)</f>
        <v>0</v>
      </c>
      <c r="AE43" s="695">
        <f t="shared" si="165"/>
        <v>0</v>
      </c>
      <c r="AF43" s="519"/>
      <c r="AG43" s="520"/>
      <c r="AH43" s="520"/>
      <c r="AI43" s="521">
        <f t="shared" si="105"/>
        <v>0</v>
      </c>
      <c r="AJ43" s="521">
        <f t="shared" si="162"/>
        <v>0</v>
      </c>
      <c r="AK43" s="521">
        <f t="shared" si="8"/>
        <v>0.18</v>
      </c>
      <c r="AL43" s="509">
        <f t="shared" si="38"/>
        <v>0</v>
      </c>
      <c r="AM43" s="522">
        <f t="shared" si="9"/>
        <v>2.38</v>
      </c>
      <c r="AN43" s="157">
        <f t="shared" si="93"/>
        <v>0</v>
      </c>
      <c r="AO43" s="519"/>
      <c r="AP43" s="521">
        <f t="shared" si="10"/>
        <v>34</v>
      </c>
      <c r="AQ43" s="696">
        <f t="shared" si="39"/>
        <v>0</v>
      </c>
      <c r="AR43" s="524">
        <f t="shared" si="164"/>
        <v>0</v>
      </c>
      <c r="AS43" s="525">
        <f t="shared" si="11"/>
        <v>334</v>
      </c>
      <c r="AT43" s="514">
        <f t="shared" ref="AT43:AT47" si="214">AT42</f>
        <v>0</v>
      </c>
      <c r="AU43" s="526">
        <f t="shared" si="136"/>
        <v>334</v>
      </c>
      <c r="AV43" s="513">
        <f t="shared" si="12"/>
        <v>79</v>
      </c>
      <c r="AW43" s="514">
        <f t="shared" ref="AW43:AW47" si="215">AW42</f>
        <v>0</v>
      </c>
      <c r="AX43" s="526">
        <f t="shared" si="94"/>
        <v>79</v>
      </c>
      <c r="AY43" s="533" t="s">
        <v>157</v>
      </c>
      <c r="AZ43" s="502">
        <v>1</v>
      </c>
      <c r="BA43" s="694">
        <f t="shared" ref="BA43:BA47" si="216">BA42</f>
        <v>5</v>
      </c>
      <c r="BB43" s="528"/>
      <c r="BC43" s="564">
        <f t="shared" si="42"/>
        <v>0</v>
      </c>
      <c r="BD43" s="695">
        <f>IFERROR(BC43-BH43,0)</f>
        <v>0</v>
      </c>
      <c r="BE43" s="519"/>
      <c r="BF43" s="520"/>
      <c r="BG43" s="520"/>
      <c r="BH43" s="521">
        <f t="shared" si="106"/>
        <v>0</v>
      </c>
      <c r="BI43" s="521">
        <f t="shared" si="151"/>
        <v>0</v>
      </c>
      <c r="BJ43" s="521">
        <f t="shared" si="14"/>
        <v>0.18</v>
      </c>
      <c r="BK43" s="529">
        <f t="shared" si="60"/>
        <v>0</v>
      </c>
      <c r="BL43" s="522">
        <f t="shared" si="15"/>
        <v>2.38</v>
      </c>
      <c r="BM43" s="132">
        <f t="shared" si="167"/>
        <v>0</v>
      </c>
      <c r="BN43" s="519"/>
      <c r="BO43" s="521">
        <f t="shared" si="17"/>
        <v>34</v>
      </c>
      <c r="BP43" s="537">
        <f t="shared" si="61"/>
        <v>0</v>
      </c>
      <c r="BQ43" s="755">
        <f t="shared" si="81"/>
        <v>0</v>
      </c>
      <c r="BR43" s="525">
        <f t="shared" si="18"/>
        <v>334</v>
      </c>
      <c r="BS43" s="514">
        <f t="shared" ref="BS43:BS47" si="217">BS42</f>
        <v>0</v>
      </c>
      <c r="BT43" s="526">
        <f t="shared" si="137"/>
        <v>334</v>
      </c>
      <c r="BU43" s="513">
        <f t="shared" si="20"/>
        <v>79</v>
      </c>
      <c r="BV43" s="514">
        <f t="shared" ref="BV43:BV47" si="218">BV42</f>
        <v>0</v>
      </c>
      <c r="BW43" s="526">
        <f t="shared" si="95"/>
        <v>79</v>
      </c>
      <c r="BY43" s="120">
        <f>BY42+1</f>
        <v>12</v>
      </c>
      <c r="BZ43" s="7">
        <f t="shared" ref="BZ43:BZ47" si="219">BZ42</f>
        <v>5</v>
      </c>
      <c r="CA43" s="496"/>
      <c r="CB43" s="14">
        <f t="shared" si="96"/>
        <v>0</v>
      </c>
      <c r="CC43" s="59">
        <f t="shared" si="107"/>
        <v>0</v>
      </c>
      <c r="CD43" s="405"/>
      <c r="CE43" s="406"/>
      <c r="CF43" s="406"/>
      <c r="CG43" s="14">
        <f t="shared" si="108"/>
        <v>0</v>
      </c>
      <c r="CH43" s="14">
        <f t="shared" si="97"/>
        <v>0</v>
      </c>
      <c r="CI43" s="14">
        <f t="shared" si="21"/>
        <v>0.18</v>
      </c>
      <c r="CJ43" s="47">
        <f t="shared" si="65"/>
        <v>0</v>
      </c>
      <c r="CK43" s="35">
        <f t="shared" si="22"/>
        <v>2.38</v>
      </c>
      <c r="CL43" s="157">
        <f t="shared" si="84"/>
        <v>0</v>
      </c>
      <c r="CM43" s="134"/>
      <c r="CN43" s="14">
        <f t="shared" si="23"/>
        <v>34</v>
      </c>
      <c r="CO43" s="48">
        <f t="shared" si="85"/>
        <v>0</v>
      </c>
      <c r="CP43" s="68">
        <f t="shared" si="66"/>
        <v>0</v>
      </c>
      <c r="CQ43" s="51">
        <f t="shared" si="24"/>
        <v>334</v>
      </c>
      <c r="CR43" s="103">
        <f t="shared" ref="CR43:CR47" si="220">CR42</f>
        <v>0</v>
      </c>
      <c r="CS43" s="46">
        <f t="shared" si="138"/>
        <v>334</v>
      </c>
      <c r="CT43" s="12">
        <f t="shared" si="25"/>
        <v>79</v>
      </c>
      <c r="CU43" s="103">
        <f t="shared" ref="CU43:CU47" si="221">CU42</f>
        <v>0</v>
      </c>
      <c r="CV43" s="46">
        <f t="shared" si="47"/>
        <v>79</v>
      </c>
      <c r="CX43" s="120">
        <f>CX42+1</f>
        <v>12</v>
      </c>
      <c r="CY43" s="7">
        <f t="shared" ref="CY43:CY47" si="222">CY42</f>
        <v>5</v>
      </c>
      <c r="CZ43" s="496"/>
      <c r="DA43" s="14">
        <f t="shared" si="98"/>
        <v>0</v>
      </c>
      <c r="DB43" s="59">
        <f t="shared" si="139"/>
        <v>0</v>
      </c>
      <c r="DC43" s="405"/>
      <c r="DD43" s="406"/>
      <c r="DE43" s="406"/>
      <c r="DF43" s="14">
        <f t="shared" si="110"/>
        <v>0</v>
      </c>
      <c r="DG43" s="14">
        <f t="shared" si="99"/>
        <v>0</v>
      </c>
      <c r="DH43" s="14">
        <f t="shared" si="26"/>
        <v>0.18</v>
      </c>
      <c r="DI43" s="47">
        <f t="shared" si="111"/>
        <v>0</v>
      </c>
      <c r="DJ43" s="35">
        <f t="shared" si="27"/>
        <v>2.38</v>
      </c>
      <c r="DK43" s="157">
        <f t="shared" si="101"/>
        <v>0</v>
      </c>
      <c r="DL43" s="134"/>
      <c r="DM43" s="14">
        <f t="shared" si="28"/>
        <v>34</v>
      </c>
      <c r="DN43" s="48">
        <f t="shared" si="132"/>
        <v>0</v>
      </c>
      <c r="DO43" s="68">
        <f t="shared" si="102"/>
        <v>0</v>
      </c>
      <c r="DP43" s="51">
        <f t="shared" si="29"/>
        <v>334</v>
      </c>
      <c r="DQ43" s="103">
        <f t="shared" ref="DQ43:DQ47" si="223">DQ42</f>
        <v>0</v>
      </c>
      <c r="DR43" s="46">
        <f t="shared" si="140"/>
        <v>334</v>
      </c>
      <c r="DS43" s="12">
        <f t="shared" si="30"/>
        <v>79</v>
      </c>
      <c r="DT43" s="103">
        <f t="shared" ref="DT43:DT47" si="224">DT42</f>
        <v>0</v>
      </c>
      <c r="DU43" s="46">
        <f t="shared" si="92"/>
        <v>79</v>
      </c>
    </row>
    <row r="44" spans="1:125" ht="17.25" thickBot="1" x14ac:dyDescent="0.3">
      <c r="A44" s="423"/>
      <c r="B44" s="120">
        <f t="shared" ref="B44:B47" si="225">B43+1</f>
        <v>2</v>
      </c>
      <c r="C44" s="571">
        <f t="shared" si="210"/>
        <v>5</v>
      </c>
      <c r="D44" s="496"/>
      <c r="E44" s="408">
        <f t="shared" si="31"/>
        <v>0</v>
      </c>
      <c r="F44" s="562">
        <f t="shared" si="0"/>
        <v>0</v>
      </c>
      <c r="G44" s="405"/>
      <c r="H44" s="406"/>
      <c r="I44" s="406"/>
      <c r="J44" s="380">
        <f t="shared" si="103"/>
        <v>0</v>
      </c>
      <c r="K44" s="380">
        <f t="shared" si="32"/>
        <v>0</v>
      </c>
      <c r="L44" s="380">
        <f t="shared" si="1"/>
        <v>0.18</v>
      </c>
      <c r="M44" s="47">
        <f t="shared" si="53"/>
        <v>0</v>
      </c>
      <c r="N44" s="407">
        <f t="shared" si="2"/>
        <v>2.38</v>
      </c>
      <c r="O44" s="132">
        <f t="shared" si="33"/>
        <v>0</v>
      </c>
      <c r="P44" s="411"/>
      <c r="Q44" s="380">
        <f t="shared" si="3"/>
        <v>34</v>
      </c>
      <c r="R44" s="442">
        <f t="shared" si="4"/>
        <v>0</v>
      </c>
      <c r="S44" s="474">
        <f t="shared" si="34"/>
        <v>0</v>
      </c>
      <c r="T44" s="182">
        <f t="shared" si="5"/>
        <v>334</v>
      </c>
      <c r="U44" s="181">
        <f t="shared" si="211"/>
        <v>0</v>
      </c>
      <c r="V44" s="206">
        <f t="shared" si="35"/>
        <v>334</v>
      </c>
      <c r="W44" s="182">
        <f t="shared" si="6"/>
        <v>79</v>
      </c>
      <c r="X44" s="181">
        <f t="shared" si="212"/>
        <v>0</v>
      </c>
      <c r="Y44" s="206">
        <f t="shared" si="36"/>
        <v>79</v>
      </c>
      <c r="Z44" s="487"/>
      <c r="AA44" s="120">
        <f t="shared" ref="AA44:AA47" si="226">AA43+1</f>
        <v>2</v>
      </c>
      <c r="AB44" s="404">
        <f t="shared" si="213"/>
        <v>5</v>
      </c>
      <c r="AC44" s="496"/>
      <c r="AD44" s="408">
        <f>IFERROR(AE43-AC44,0)</f>
        <v>0</v>
      </c>
      <c r="AE44" s="450">
        <f t="shared" si="165"/>
        <v>0</v>
      </c>
      <c r="AF44" s="405"/>
      <c r="AG44" s="406"/>
      <c r="AH44" s="406"/>
      <c r="AI44" s="380">
        <f t="shared" si="105"/>
        <v>0</v>
      </c>
      <c r="AJ44" s="380">
        <f t="shared" si="162"/>
        <v>0</v>
      </c>
      <c r="AK44" s="380">
        <f t="shared" si="8"/>
        <v>0.18</v>
      </c>
      <c r="AL44" s="47">
        <f t="shared" si="38"/>
        <v>0</v>
      </c>
      <c r="AM44" s="407">
        <f t="shared" si="9"/>
        <v>2.38</v>
      </c>
      <c r="AN44" s="157">
        <f t="shared" si="93"/>
        <v>0</v>
      </c>
      <c r="AO44" s="405"/>
      <c r="AP44" s="380">
        <f t="shared" si="10"/>
        <v>34</v>
      </c>
      <c r="AQ44" s="482">
        <f t="shared" si="39"/>
        <v>0</v>
      </c>
      <c r="AR44" s="474">
        <f t="shared" si="164"/>
        <v>0</v>
      </c>
      <c r="AS44" s="182">
        <f t="shared" si="11"/>
        <v>334</v>
      </c>
      <c r="AT44" s="181">
        <f t="shared" si="214"/>
        <v>0</v>
      </c>
      <c r="AU44" s="206">
        <f t="shared" si="136"/>
        <v>334</v>
      </c>
      <c r="AV44" s="182">
        <f t="shared" si="12"/>
        <v>79</v>
      </c>
      <c r="AW44" s="181">
        <f t="shared" si="215"/>
        <v>0</v>
      </c>
      <c r="AX44" s="206">
        <f t="shared" si="94"/>
        <v>79</v>
      </c>
      <c r="AY44" s="412"/>
      <c r="AZ44" s="120">
        <f t="shared" ref="AZ44:AZ47" si="227">AZ43+1</f>
        <v>2</v>
      </c>
      <c r="BA44" s="404">
        <f t="shared" si="216"/>
        <v>5</v>
      </c>
      <c r="BB44" s="229"/>
      <c r="BC44" s="408">
        <f>IFERROR(BD43+BB44,0)</f>
        <v>0</v>
      </c>
      <c r="BD44" s="450">
        <f t="shared" si="166"/>
        <v>0</v>
      </c>
      <c r="BE44" s="405"/>
      <c r="BF44" s="406"/>
      <c r="BG44" s="406"/>
      <c r="BH44" s="380">
        <f t="shared" si="106"/>
        <v>0</v>
      </c>
      <c r="BI44" s="380">
        <f t="shared" si="151"/>
        <v>0</v>
      </c>
      <c r="BJ44" s="380">
        <f t="shared" si="14"/>
        <v>0.18</v>
      </c>
      <c r="BK44" s="47">
        <f t="shared" si="60"/>
        <v>0</v>
      </c>
      <c r="BL44" s="407">
        <f t="shared" si="15"/>
        <v>2.38</v>
      </c>
      <c r="BM44" s="132">
        <f t="shared" si="167"/>
        <v>0</v>
      </c>
      <c r="BN44" s="405"/>
      <c r="BO44" s="380">
        <f t="shared" si="17"/>
        <v>34</v>
      </c>
      <c r="BP44" s="442">
        <f t="shared" si="61"/>
        <v>0</v>
      </c>
      <c r="BQ44" s="753">
        <f t="shared" si="81"/>
        <v>0</v>
      </c>
      <c r="BR44" s="182">
        <f t="shared" si="18"/>
        <v>334</v>
      </c>
      <c r="BS44" s="181">
        <f t="shared" si="217"/>
        <v>0</v>
      </c>
      <c r="BT44" s="206">
        <f t="shared" si="137"/>
        <v>334</v>
      </c>
      <c r="BU44" s="182">
        <f t="shared" si="20"/>
        <v>79</v>
      </c>
      <c r="BV44" s="181">
        <f t="shared" si="218"/>
        <v>0</v>
      </c>
      <c r="BW44" s="206">
        <f t="shared" si="95"/>
        <v>79</v>
      </c>
      <c r="BX44" s="412"/>
      <c r="BY44" s="403">
        <f>BY43+1</f>
        <v>13</v>
      </c>
      <c r="BZ44" s="404">
        <f t="shared" si="219"/>
        <v>5</v>
      </c>
      <c r="CA44" s="496"/>
      <c r="CB44" s="380">
        <f>IFERROR(CC43+CA44,0)</f>
        <v>0</v>
      </c>
      <c r="CC44" s="267">
        <f t="shared" si="107"/>
        <v>0</v>
      </c>
      <c r="CD44" s="405"/>
      <c r="CE44" s="406"/>
      <c r="CF44" s="406"/>
      <c r="CG44" s="380">
        <f t="shared" si="108"/>
        <v>0</v>
      </c>
      <c r="CH44" s="380">
        <f t="shared" si="97"/>
        <v>0</v>
      </c>
      <c r="CI44" s="380">
        <f t="shared" si="21"/>
        <v>0.18</v>
      </c>
      <c r="CJ44" s="410">
        <f t="shared" si="65"/>
        <v>0</v>
      </c>
      <c r="CK44" s="407">
        <f t="shared" si="22"/>
        <v>2.38</v>
      </c>
      <c r="CL44" s="424">
        <f t="shared" si="84"/>
        <v>0</v>
      </c>
      <c r="CM44" s="405"/>
      <c r="CN44" s="380">
        <f t="shared" si="23"/>
        <v>34</v>
      </c>
      <c r="CO44" s="408">
        <f t="shared" si="85"/>
        <v>0</v>
      </c>
      <c r="CP44" s="409">
        <f t="shared" si="66"/>
        <v>0</v>
      </c>
      <c r="CQ44" s="182">
        <f t="shared" si="24"/>
        <v>334</v>
      </c>
      <c r="CR44" s="181">
        <f t="shared" si="220"/>
        <v>0</v>
      </c>
      <c r="CS44" s="206">
        <f t="shared" si="138"/>
        <v>334</v>
      </c>
      <c r="CT44" s="385">
        <f t="shared" si="25"/>
        <v>79</v>
      </c>
      <c r="CU44" s="181">
        <f t="shared" si="221"/>
        <v>0</v>
      </c>
      <c r="CV44" s="206">
        <f t="shared" si="47"/>
        <v>79</v>
      </c>
      <c r="CX44" s="403">
        <f>CX43+1</f>
        <v>13</v>
      </c>
      <c r="CY44" s="404">
        <f t="shared" si="222"/>
        <v>5</v>
      </c>
      <c r="CZ44" s="496"/>
      <c r="DA44" s="380">
        <f>IFERROR(DB43+CZ44,0)</f>
        <v>0</v>
      </c>
      <c r="DB44" s="267">
        <f t="shared" si="139"/>
        <v>0</v>
      </c>
      <c r="DC44" s="405"/>
      <c r="DD44" s="406"/>
      <c r="DE44" s="406"/>
      <c r="DF44" s="380">
        <f t="shared" si="110"/>
        <v>0</v>
      </c>
      <c r="DG44" s="380">
        <f t="shared" si="99"/>
        <v>0</v>
      </c>
      <c r="DH44" s="380">
        <f t="shared" si="26"/>
        <v>0.18</v>
      </c>
      <c r="DI44" s="410">
        <f t="shared" si="111"/>
        <v>0</v>
      </c>
      <c r="DJ44" s="407">
        <f t="shared" si="27"/>
        <v>2.38</v>
      </c>
      <c r="DK44" s="424">
        <f t="shared" si="101"/>
        <v>0</v>
      </c>
      <c r="DL44" s="405"/>
      <c r="DM44" s="380">
        <f t="shared" si="28"/>
        <v>34</v>
      </c>
      <c r="DN44" s="408">
        <f t="shared" si="132"/>
        <v>0</v>
      </c>
      <c r="DO44" s="409">
        <f t="shared" si="102"/>
        <v>0</v>
      </c>
      <c r="DP44" s="182">
        <f t="shared" si="29"/>
        <v>334</v>
      </c>
      <c r="DQ44" s="181">
        <f t="shared" si="223"/>
        <v>0</v>
      </c>
      <c r="DR44" s="206">
        <f t="shared" si="140"/>
        <v>334</v>
      </c>
      <c r="DS44" s="385">
        <f t="shared" si="30"/>
        <v>79</v>
      </c>
      <c r="DT44" s="181">
        <f t="shared" si="224"/>
        <v>0</v>
      </c>
      <c r="DU44" s="206">
        <f t="shared" si="92"/>
        <v>79</v>
      </c>
    </row>
    <row r="45" spans="1:125" ht="17.25" thickBot="1" x14ac:dyDescent="0.3">
      <c r="B45" s="120">
        <f t="shared" si="225"/>
        <v>3</v>
      </c>
      <c r="C45" s="570">
        <f t="shared" si="210"/>
        <v>5</v>
      </c>
      <c r="D45" s="496"/>
      <c r="E45" s="408">
        <f t="shared" si="31"/>
        <v>0</v>
      </c>
      <c r="F45" s="562">
        <f t="shared" si="0"/>
        <v>0</v>
      </c>
      <c r="G45" s="134"/>
      <c r="H45" s="135"/>
      <c r="I45" s="135"/>
      <c r="J45" s="14">
        <f t="shared" si="103"/>
        <v>0</v>
      </c>
      <c r="K45" s="14">
        <f t="shared" si="32"/>
        <v>0</v>
      </c>
      <c r="L45" s="14">
        <f t="shared" si="1"/>
        <v>0.18</v>
      </c>
      <c r="M45" s="47">
        <f t="shared" si="53"/>
        <v>0</v>
      </c>
      <c r="N45" s="35">
        <f t="shared" si="2"/>
        <v>2.38</v>
      </c>
      <c r="O45" s="132">
        <f t="shared" si="33"/>
        <v>0</v>
      </c>
      <c r="P45" s="142"/>
      <c r="Q45" s="14">
        <f t="shared" si="3"/>
        <v>34</v>
      </c>
      <c r="R45" s="442">
        <f t="shared" si="4"/>
        <v>0</v>
      </c>
      <c r="S45" s="470">
        <f t="shared" si="34"/>
        <v>0</v>
      </c>
      <c r="T45" s="51">
        <f t="shared" si="5"/>
        <v>334</v>
      </c>
      <c r="U45" s="103">
        <f t="shared" si="211"/>
        <v>0</v>
      </c>
      <c r="V45" s="46">
        <f t="shared" si="35"/>
        <v>334</v>
      </c>
      <c r="W45" s="51">
        <f t="shared" si="6"/>
        <v>79</v>
      </c>
      <c r="X45" s="103">
        <f t="shared" si="212"/>
        <v>0</v>
      </c>
      <c r="Y45" s="46">
        <f t="shared" si="36"/>
        <v>79</v>
      </c>
      <c r="Z45" s="487"/>
      <c r="AA45" s="120">
        <f t="shared" si="226"/>
        <v>3</v>
      </c>
      <c r="AB45" s="7">
        <f t="shared" si="213"/>
        <v>5</v>
      </c>
      <c r="AC45" s="496"/>
      <c r="AD45" s="48">
        <f>IFERROR(AE44-AC45,0)</f>
        <v>0</v>
      </c>
      <c r="AE45" s="196">
        <f t="shared" si="165"/>
        <v>0</v>
      </c>
      <c r="AF45" s="134"/>
      <c r="AG45" s="135"/>
      <c r="AH45" s="135"/>
      <c r="AI45" s="14">
        <f t="shared" si="105"/>
        <v>0</v>
      </c>
      <c r="AJ45" s="14">
        <f t="shared" si="162"/>
        <v>0</v>
      </c>
      <c r="AK45" s="14">
        <f t="shared" si="8"/>
        <v>0.18</v>
      </c>
      <c r="AL45" s="47">
        <f t="shared" si="38"/>
        <v>0</v>
      </c>
      <c r="AM45" s="35">
        <f t="shared" si="9"/>
        <v>2.38</v>
      </c>
      <c r="AN45" s="157">
        <f t="shared" si="93"/>
        <v>0</v>
      </c>
      <c r="AO45" s="134"/>
      <c r="AP45" s="14">
        <f t="shared" si="10"/>
        <v>34</v>
      </c>
      <c r="AQ45" s="482">
        <f t="shared" si="39"/>
        <v>0</v>
      </c>
      <c r="AR45" s="470">
        <f t="shared" si="164"/>
        <v>0</v>
      </c>
      <c r="AS45" s="51">
        <f t="shared" si="11"/>
        <v>334</v>
      </c>
      <c r="AT45" s="103">
        <f t="shared" si="214"/>
        <v>0</v>
      </c>
      <c r="AU45" s="46">
        <f t="shared" si="136"/>
        <v>334</v>
      </c>
      <c r="AV45" s="51">
        <f t="shared" si="12"/>
        <v>79</v>
      </c>
      <c r="AW45" s="103">
        <f t="shared" si="215"/>
        <v>0</v>
      </c>
      <c r="AX45" s="46">
        <f t="shared" si="94"/>
        <v>79</v>
      </c>
      <c r="AZ45" s="120">
        <f t="shared" si="227"/>
        <v>3</v>
      </c>
      <c r="BA45" s="7">
        <f t="shared" si="216"/>
        <v>5</v>
      </c>
      <c r="BB45" s="133"/>
      <c r="BC45" s="48">
        <f t="shared" si="42"/>
        <v>0</v>
      </c>
      <c r="BD45" s="196">
        <f t="shared" si="166"/>
        <v>0</v>
      </c>
      <c r="BE45" s="134"/>
      <c r="BF45" s="135"/>
      <c r="BG45" s="135"/>
      <c r="BH45" s="14">
        <f t="shared" si="106"/>
        <v>0</v>
      </c>
      <c r="BI45" s="14">
        <f t="shared" si="151"/>
        <v>0</v>
      </c>
      <c r="BJ45" s="14">
        <f t="shared" si="14"/>
        <v>0.18</v>
      </c>
      <c r="BK45" s="47">
        <f t="shared" si="60"/>
        <v>0</v>
      </c>
      <c r="BL45" s="35">
        <f t="shared" si="15"/>
        <v>2.38</v>
      </c>
      <c r="BM45" s="132">
        <f t="shared" si="167"/>
        <v>0</v>
      </c>
      <c r="BN45" s="134"/>
      <c r="BO45" s="14">
        <f t="shared" si="17"/>
        <v>34</v>
      </c>
      <c r="BP45" s="442">
        <f t="shared" si="61"/>
        <v>0</v>
      </c>
      <c r="BQ45" s="747">
        <f t="shared" si="81"/>
        <v>0</v>
      </c>
      <c r="BR45" s="51">
        <f t="shared" si="18"/>
        <v>334</v>
      </c>
      <c r="BS45" s="103">
        <f t="shared" si="217"/>
        <v>0</v>
      </c>
      <c r="BT45" s="46">
        <f t="shared" si="137"/>
        <v>334</v>
      </c>
      <c r="BU45" s="51">
        <f t="shared" si="20"/>
        <v>79</v>
      </c>
      <c r="BV45" s="103">
        <f t="shared" si="218"/>
        <v>0</v>
      </c>
      <c r="BW45" s="46">
        <f t="shared" si="95"/>
        <v>79</v>
      </c>
      <c r="BY45" s="120">
        <f>BY44+1</f>
        <v>14</v>
      </c>
      <c r="BZ45" s="7">
        <f t="shared" si="219"/>
        <v>5</v>
      </c>
      <c r="CA45" s="496"/>
      <c r="CB45" s="14">
        <f t="shared" si="96"/>
        <v>0</v>
      </c>
      <c r="CC45" s="59">
        <f t="shared" si="107"/>
        <v>0</v>
      </c>
      <c r="CD45" s="405"/>
      <c r="CE45" s="406"/>
      <c r="CF45" s="406"/>
      <c r="CG45" s="14">
        <f t="shared" si="108"/>
        <v>0</v>
      </c>
      <c r="CH45" s="14">
        <f t="shared" si="97"/>
        <v>0</v>
      </c>
      <c r="CI45" s="14">
        <f t="shared" si="21"/>
        <v>0.18</v>
      </c>
      <c r="CJ45" s="47">
        <f t="shared" si="65"/>
        <v>0</v>
      </c>
      <c r="CK45" s="35">
        <f t="shared" si="22"/>
        <v>2.38</v>
      </c>
      <c r="CL45" s="157">
        <f t="shared" si="84"/>
        <v>0</v>
      </c>
      <c r="CM45" s="134"/>
      <c r="CN45" s="14">
        <f t="shared" si="23"/>
        <v>34</v>
      </c>
      <c r="CO45" s="48">
        <f t="shared" si="85"/>
        <v>0</v>
      </c>
      <c r="CP45" s="68">
        <f t="shared" si="66"/>
        <v>0</v>
      </c>
      <c r="CQ45" s="51">
        <f t="shared" si="24"/>
        <v>334</v>
      </c>
      <c r="CR45" s="103">
        <f t="shared" si="220"/>
        <v>0</v>
      </c>
      <c r="CS45" s="46">
        <f t="shared" si="138"/>
        <v>334</v>
      </c>
      <c r="CT45" s="51">
        <f t="shared" si="25"/>
        <v>79</v>
      </c>
      <c r="CU45" s="103">
        <f t="shared" si="221"/>
        <v>0</v>
      </c>
      <c r="CV45" s="46">
        <f t="shared" si="47"/>
        <v>79</v>
      </c>
      <c r="CX45" s="120">
        <f>CX44+1</f>
        <v>14</v>
      </c>
      <c r="CY45" s="7">
        <f t="shared" si="222"/>
        <v>5</v>
      </c>
      <c r="CZ45" s="496"/>
      <c r="DA45" s="14">
        <f t="shared" ref="DA45:DA108" si="228">IFERROR(DB44+CZ45,0)</f>
        <v>0</v>
      </c>
      <c r="DB45" s="59">
        <f t="shared" si="139"/>
        <v>0</v>
      </c>
      <c r="DC45" s="405"/>
      <c r="DD45" s="406"/>
      <c r="DE45" s="406"/>
      <c r="DF45" s="14">
        <f t="shared" si="110"/>
        <v>0</v>
      </c>
      <c r="DG45" s="14">
        <f t="shared" si="99"/>
        <v>0</v>
      </c>
      <c r="DH45" s="14">
        <f t="shared" si="26"/>
        <v>0.18</v>
      </c>
      <c r="DI45" s="47">
        <f t="shared" si="111"/>
        <v>0</v>
      </c>
      <c r="DJ45" s="35">
        <f t="shared" si="27"/>
        <v>2.38</v>
      </c>
      <c r="DK45" s="157">
        <f t="shared" si="101"/>
        <v>0</v>
      </c>
      <c r="DL45" s="134"/>
      <c r="DM45" s="14">
        <f t="shared" si="28"/>
        <v>34</v>
      </c>
      <c r="DN45" s="48">
        <f t="shared" si="132"/>
        <v>0</v>
      </c>
      <c r="DO45" s="68">
        <f t="shared" si="102"/>
        <v>0</v>
      </c>
      <c r="DP45" s="51">
        <f t="shared" si="29"/>
        <v>334</v>
      </c>
      <c r="DQ45" s="103">
        <f t="shared" si="223"/>
        <v>0</v>
      </c>
      <c r="DR45" s="46">
        <f t="shared" si="140"/>
        <v>334</v>
      </c>
      <c r="DS45" s="51">
        <f t="shared" si="30"/>
        <v>79</v>
      </c>
      <c r="DT45" s="103">
        <f t="shared" si="224"/>
        <v>0</v>
      </c>
      <c r="DU45" s="46">
        <f t="shared" si="92"/>
        <v>79</v>
      </c>
    </row>
    <row r="46" spans="1:125" ht="18" customHeight="1" thickBot="1" x14ac:dyDescent="0.3">
      <c r="B46" s="120">
        <f t="shared" si="225"/>
        <v>4</v>
      </c>
      <c r="C46" s="570">
        <f t="shared" si="210"/>
        <v>5</v>
      </c>
      <c r="D46" s="496"/>
      <c r="E46" s="408">
        <f t="shared" si="31"/>
        <v>0</v>
      </c>
      <c r="F46" s="562">
        <f t="shared" si="0"/>
        <v>0</v>
      </c>
      <c r="G46" s="134"/>
      <c r="H46" s="135"/>
      <c r="I46" s="135"/>
      <c r="J46" s="14">
        <f t="shared" si="103"/>
        <v>0</v>
      </c>
      <c r="K46" s="14">
        <f>K45+J46</f>
        <v>0</v>
      </c>
      <c r="L46" s="14">
        <f t="shared" si="1"/>
        <v>0.18</v>
      </c>
      <c r="M46" s="47">
        <f t="shared" si="53"/>
        <v>0</v>
      </c>
      <c r="N46" s="35">
        <f t="shared" si="2"/>
        <v>2.38</v>
      </c>
      <c r="O46" s="132">
        <f t="shared" si="33"/>
        <v>0</v>
      </c>
      <c r="P46" s="142"/>
      <c r="Q46" s="14">
        <f t="shared" si="3"/>
        <v>34</v>
      </c>
      <c r="R46" s="442">
        <f t="shared" si="4"/>
        <v>0</v>
      </c>
      <c r="S46" s="470">
        <f t="shared" si="34"/>
        <v>0</v>
      </c>
      <c r="T46" s="51">
        <f t="shared" si="5"/>
        <v>334</v>
      </c>
      <c r="U46" s="103">
        <f t="shared" si="211"/>
        <v>0</v>
      </c>
      <c r="V46" s="46">
        <f t="shared" si="35"/>
        <v>334</v>
      </c>
      <c r="W46" s="12">
        <f t="shared" si="6"/>
        <v>79</v>
      </c>
      <c r="X46" s="103">
        <f t="shared" si="212"/>
        <v>0</v>
      </c>
      <c r="Y46" s="46">
        <f t="shared" si="36"/>
        <v>79</v>
      </c>
      <c r="Z46" s="487"/>
      <c r="AA46" s="120">
        <f t="shared" si="226"/>
        <v>4</v>
      </c>
      <c r="AB46" s="7">
        <f t="shared" si="213"/>
        <v>5</v>
      </c>
      <c r="AC46" s="496"/>
      <c r="AD46" s="48">
        <f t="shared" ref="AD46:AD47" si="229">IFERROR(AE45-AC46,0)</f>
        <v>0</v>
      </c>
      <c r="AE46" s="196">
        <f>IFERROR(AD46-AI46,0)</f>
        <v>0</v>
      </c>
      <c r="AF46" s="134"/>
      <c r="AG46" s="135"/>
      <c r="AH46" s="135"/>
      <c r="AI46" s="14">
        <f t="shared" si="105"/>
        <v>0</v>
      </c>
      <c r="AJ46" s="14">
        <f t="shared" si="162"/>
        <v>0</v>
      </c>
      <c r="AK46" s="14">
        <f t="shared" si="8"/>
        <v>0.18</v>
      </c>
      <c r="AL46" s="47">
        <f t="shared" si="38"/>
        <v>0</v>
      </c>
      <c r="AM46" s="35">
        <f t="shared" si="9"/>
        <v>2.38</v>
      </c>
      <c r="AN46" s="157">
        <f t="shared" si="93"/>
        <v>0</v>
      </c>
      <c r="AO46" s="134"/>
      <c r="AP46" s="14">
        <f t="shared" si="10"/>
        <v>34</v>
      </c>
      <c r="AQ46" s="482">
        <f t="shared" si="39"/>
        <v>0</v>
      </c>
      <c r="AR46" s="470">
        <f t="shared" si="164"/>
        <v>0</v>
      </c>
      <c r="AS46" s="51">
        <f t="shared" si="11"/>
        <v>334</v>
      </c>
      <c r="AT46" s="103">
        <f t="shared" si="214"/>
        <v>0</v>
      </c>
      <c r="AU46" s="46">
        <f t="shared" si="136"/>
        <v>334</v>
      </c>
      <c r="AV46" s="12">
        <f t="shared" si="12"/>
        <v>79</v>
      </c>
      <c r="AW46" s="103">
        <f t="shared" si="215"/>
        <v>0</v>
      </c>
      <c r="AX46" s="46">
        <f t="shared" si="94"/>
        <v>79</v>
      </c>
      <c r="AZ46" s="120">
        <f t="shared" si="227"/>
        <v>4</v>
      </c>
      <c r="BA46" s="7">
        <f t="shared" si="216"/>
        <v>5</v>
      </c>
      <c r="BB46" s="133"/>
      <c r="BC46" s="48">
        <f t="shared" si="42"/>
        <v>0</v>
      </c>
      <c r="BD46" s="196">
        <f t="shared" si="166"/>
        <v>0</v>
      </c>
      <c r="BE46" s="134"/>
      <c r="BF46" s="135"/>
      <c r="BG46" s="135"/>
      <c r="BH46" s="14">
        <f t="shared" si="106"/>
        <v>0</v>
      </c>
      <c r="BI46" s="14">
        <f t="shared" si="151"/>
        <v>0</v>
      </c>
      <c r="BJ46" s="14">
        <f t="shared" si="14"/>
        <v>0.18</v>
      </c>
      <c r="BK46" s="47">
        <f t="shared" si="60"/>
        <v>0</v>
      </c>
      <c r="BL46" s="35">
        <f t="shared" si="15"/>
        <v>2.38</v>
      </c>
      <c r="BM46" s="132">
        <f t="shared" si="167"/>
        <v>0</v>
      </c>
      <c r="BN46" s="134"/>
      <c r="BO46" s="14">
        <f t="shared" si="17"/>
        <v>34</v>
      </c>
      <c r="BP46" s="442">
        <f t="shared" si="61"/>
        <v>0</v>
      </c>
      <c r="BQ46" s="747">
        <f t="shared" si="81"/>
        <v>0</v>
      </c>
      <c r="BR46" s="51">
        <f t="shared" si="18"/>
        <v>334</v>
      </c>
      <c r="BS46" s="103">
        <f t="shared" si="217"/>
        <v>0</v>
      </c>
      <c r="BT46" s="46">
        <f t="shared" si="137"/>
        <v>334</v>
      </c>
      <c r="BU46" s="12">
        <f t="shared" si="20"/>
        <v>79</v>
      </c>
      <c r="BV46" s="103">
        <f t="shared" si="218"/>
        <v>0</v>
      </c>
      <c r="BW46" s="46">
        <f t="shared" si="95"/>
        <v>79</v>
      </c>
      <c r="BY46" s="120">
        <f t="shared" ref="BY46:BY47" si="230">BY45+1</f>
        <v>15</v>
      </c>
      <c r="BZ46" s="7">
        <f t="shared" si="219"/>
        <v>5</v>
      </c>
      <c r="CA46" s="496"/>
      <c r="CB46" s="14">
        <f t="shared" si="96"/>
        <v>0</v>
      </c>
      <c r="CC46" s="59">
        <f t="shared" si="107"/>
        <v>0</v>
      </c>
      <c r="CD46" s="405"/>
      <c r="CE46" s="406"/>
      <c r="CF46" s="406"/>
      <c r="CG46" s="14">
        <f t="shared" si="108"/>
        <v>0</v>
      </c>
      <c r="CH46" s="14">
        <f t="shared" si="97"/>
        <v>0</v>
      </c>
      <c r="CI46" s="14">
        <f t="shared" si="21"/>
        <v>0.18</v>
      </c>
      <c r="CJ46" s="47">
        <f t="shared" si="65"/>
        <v>0</v>
      </c>
      <c r="CK46" s="35">
        <f t="shared" si="22"/>
        <v>2.38</v>
      </c>
      <c r="CL46" s="157">
        <f t="shared" si="84"/>
        <v>0</v>
      </c>
      <c r="CM46" s="134"/>
      <c r="CN46" s="14">
        <f t="shared" si="23"/>
        <v>34</v>
      </c>
      <c r="CO46" s="48">
        <f t="shared" si="85"/>
        <v>0</v>
      </c>
      <c r="CP46" s="68">
        <f t="shared" si="66"/>
        <v>0</v>
      </c>
      <c r="CQ46" s="51">
        <f t="shared" si="24"/>
        <v>334</v>
      </c>
      <c r="CR46" s="103">
        <f t="shared" si="220"/>
        <v>0</v>
      </c>
      <c r="CS46" s="46">
        <f t="shared" si="138"/>
        <v>334</v>
      </c>
      <c r="CT46" s="12">
        <f t="shared" si="25"/>
        <v>79</v>
      </c>
      <c r="CU46" s="103">
        <f t="shared" si="221"/>
        <v>0</v>
      </c>
      <c r="CV46" s="46">
        <f t="shared" si="47"/>
        <v>79</v>
      </c>
      <c r="CX46" s="120">
        <f t="shared" ref="CX46:CX47" si="231">CX45+1</f>
        <v>15</v>
      </c>
      <c r="CY46" s="7">
        <f t="shared" si="222"/>
        <v>5</v>
      </c>
      <c r="CZ46" s="496"/>
      <c r="DA46" s="14">
        <f t="shared" si="228"/>
        <v>0</v>
      </c>
      <c r="DB46" s="59">
        <f t="shared" si="139"/>
        <v>0</v>
      </c>
      <c r="DC46" s="405"/>
      <c r="DD46" s="406"/>
      <c r="DE46" s="406"/>
      <c r="DF46" s="14">
        <f t="shared" si="110"/>
        <v>0</v>
      </c>
      <c r="DG46" s="14">
        <f t="shared" si="99"/>
        <v>0</v>
      </c>
      <c r="DH46" s="14">
        <f t="shared" si="26"/>
        <v>0.18</v>
      </c>
      <c r="DI46" s="47">
        <f t="shared" si="111"/>
        <v>0</v>
      </c>
      <c r="DJ46" s="35">
        <f t="shared" si="27"/>
        <v>2.38</v>
      </c>
      <c r="DK46" s="157">
        <f t="shared" si="101"/>
        <v>0</v>
      </c>
      <c r="DL46" s="134"/>
      <c r="DM46" s="14">
        <f t="shared" si="28"/>
        <v>34</v>
      </c>
      <c r="DN46" s="48">
        <f t="shared" si="132"/>
        <v>0</v>
      </c>
      <c r="DO46" s="68">
        <f t="shared" si="102"/>
        <v>0</v>
      </c>
      <c r="DP46" s="51">
        <f t="shared" si="29"/>
        <v>334</v>
      </c>
      <c r="DQ46" s="103">
        <f t="shared" si="223"/>
        <v>0</v>
      </c>
      <c r="DR46" s="46">
        <f t="shared" si="140"/>
        <v>334</v>
      </c>
      <c r="DS46" s="12">
        <f t="shared" si="30"/>
        <v>79</v>
      </c>
      <c r="DT46" s="103">
        <f t="shared" si="224"/>
        <v>0</v>
      </c>
      <c r="DU46" s="46">
        <f t="shared" si="92"/>
        <v>79</v>
      </c>
    </row>
    <row r="47" spans="1:125" ht="17.25" thickBot="1" x14ac:dyDescent="0.3">
      <c r="B47" s="120">
        <f t="shared" si="225"/>
        <v>5</v>
      </c>
      <c r="C47" s="574">
        <f t="shared" si="210"/>
        <v>5</v>
      </c>
      <c r="D47" s="136"/>
      <c r="E47" s="436">
        <f t="shared" si="31"/>
        <v>0</v>
      </c>
      <c r="F47" s="451">
        <f t="shared" si="0"/>
        <v>0</v>
      </c>
      <c r="G47" s="137"/>
      <c r="H47" s="138"/>
      <c r="I47" s="138"/>
      <c r="J47" s="32">
        <f t="shared" si="103"/>
        <v>0</v>
      </c>
      <c r="K47" s="32">
        <f>K46+J47</f>
        <v>0</v>
      </c>
      <c r="L47" s="32">
        <f t="shared" si="1"/>
        <v>0.18</v>
      </c>
      <c r="M47" s="96">
        <f t="shared" si="53"/>
        <v>0</v>
      </c>
      <c r="N47" s="36">
        <f t="shared" si="2"/>
        <v>2.38</v>
      </c>
      <c r="O47" s="132">
        <f t="shared" si="33"/>
        <v>0</v>
      </c>
      <c r="P47" s="139"/>
      <c r="Q47" s="32">
        <f t="shared" si="3"/>
        <v>34</v>
      </c>
      <c r="R47" s="443">
        <f t="shared" si="4"/>
        <v>0</v>
      </c>
      <c r="S47" s="471">
        <f t="shared" si="34"/>
        <v>0</v>
      </c>
      <c r="T47" s="56">
        <f t="shared" si="5"/>
        <v>334</v>
      </c>
      <c r="U47" s="109">
        <f t="shared" si="211"/>
        <v>0</v>
      </c>
      <c r="V47" s="63">
        <f t="shared" si="35"/>
        <v>334</v>
      </c>
      <c r="W47" s="56">
        <f t="shared" si="6"/>
        <v>79</v>
      </c>
      <c r="X47" s="109">
        <f t="shared" si="212"/>
        <v>0</v>
      </c>
      <c r="Y47" s="63">
        <f t="shared" si="36"/>
        <v>79</v>
      </c>
      <c r="Z47" s="487"/>
      <c r="AA47" s="120">
        <f t="shared" si="226"/>
        <v>5</v>
      </c>
      <c r="AB47" s="8">
        <f t="shared" si="213"/>
        <v>5</v>
      </c>
      <c r="AC47" s="136"/>
      <c r="AD47" s="48">
        <f t="shared" si="229"/>
        <v>0</v>
      </c>
      <c r="AE47" s="196">
        <f>IFERROR(AD47-AI47,0)</f>
        <v>0</v>
      </c>
      <c r="AF47" s="137"/>
      <c r="AG47" s="138"/>
      <c r="AH47" s="138"/>
      <c r="AI47" s="34">
        <f t="shared" si="105"/>
        <v>0</v>
      </c>
      <c r="AJ47" s="34">
        <f t="shared" si="162"/>
        <v>0</v>
      </c>
      <c r="AK47" s="17">
        <f t="shared" si="8"/>
        <v>0.18</v>
      </c>
      <c r="AL47" s="231">
        <f t="shared" si="38"/>
        <v>0</v>
      </c>
      <c r="AM47" s="33">
        <f t="shared" si="9"/>
        <v>2.38</v>
      </c>
      <c r="AN47" s="157">
        <f t="shared" si="93"/>
        <v>0</v>
      </c>
      <c r="AO47" s="137"/>
      <c r="AP47" s="32">
        <f t="shared" si="10"/>
        <v>34</v>
      </c>
      <c r="AQ47" s="443">
        <f t="shared" si="39"/>
        <v>0</v>
      </c>
      <c r="AR47" s="471">
        <f t="shared" si="164"/>
        <v>0</v>
      </c>
      <c r="AS47" s="50">
        <f t="shared" si="11"/>
        <v>334</v>
      </c>
      <c r="AT47" s="103">
        <f t="shared" si="214"/>
        <v>0</v>
      </c>
      <c r="AU47" s="63">
        <f t="shared" si="136"/>
        <v>334</v>
      </c>
      <c r="AV47" s="56">
        <f t="shared" si="12"/>
        <v>79</v>
      </c>
      <c r="AW47" s="103">
        <f t="shared" si="215"/>
        <v>0</v>
      </c>
      <c r="AX47" s="63">
        <f t="shared" si="94"/>
        <v>79</v>
      </c>
      <c r="AZ47" s="197">
        <f t="shared" si="227"/>
        <v>5</v>
      </c>
      <c r="BA47" s="8">
        <f t="shared" si="216"/>
        <v>5</v>
      </c>
      <c r="BB47" s="136"/>
      <c r="BC47" s="54">
        <f t="shared" si="42"/>
        <v>0</v>
      </c>
      <c r="BD47" s="55">
        <f t="shared" si="166"/>
        <v>0</v>
      </c>
      <c r="BE47" s="137"/>
      <c r="BF47" s="138"/>
      <c r="BG47" s="138"/>
      <c r="BH47" s="34">
        <f t="shared" si="106"/>
        <v>0</v>
      </c>
      <c r="BI47" s="34">
        <f t="shared" si="151"/>
        <v>0</v>
      </c>
      <c r="BJ47" s="34">
        <f t="shared" si="14"/>
        <v>0.18</v>
      </c>
      <c r="BK47" s="96">
        <f t="shared" si="60"/>
        <v>0</v>
      </c>
      <c r="BL47" s="40">
        <f t="shared" si="15"/>
        <v>2.38</v>
      </c>
      <c r="BM47" s="132">
        <f t="shared" si="167"/>
        <v>0</v>
      </c>
      <c r="BN47" s="137"/>
      <c r="BO47" s="32">
        <f t="shared" si="17"/>
        <v>34</v>
      </c>
      <c r="BP47" s="443">
        <f t="shared" si="61"/>
        <v>0</v>
      </c>
      <c r="BQ47" s="750">
        <f t="shared" si="81"/>
        <v>0</v>
      </c>
      <c r="BR47" s="56">
        <f t="shared" si="18"/>
        <v>334</v>
      </c>
      <c r="BS47" s="109">
        <f t="shared" si="217"/>
        <v>0</v>
      </c>
      <c r="BT47" s="63">
        <f t="shared" si="137"/>
        <v>334</v>
      </c>
      <c r="BU47" s="56">
        <f t="shared" si="20"/>
        <v>79</v>
      </c>
      <c r="BV47" s="109">
        <f t="shared" si="218"/>
        <v>0</v>
      </c>
      <c r="BW47" s="63">
        <f t="shared" si="95"/>
        <v>79</v>
      </c>
      <c r="BY47" s="120">
        <f t="shared" si="230"/>
        <v>16</v>
      </c>
      <c r="BZ47" s="8">
        <f t="shared" si="219"/>
        <v>5</v>
      </c>
      <c r="CA47" s="434"/>
      <c r="CB47" s="32">
        <f t="shared" si="96"/>
        <v>0</v>
      </c>
      <c r="CC47" s="53">
        <f t="shared" si="107"/>
        <v>0</v>
      </c>
      <c r="CD47" s="421"/>
      <c r="CE47" s="426"/>
      <c r="CF47" s="426"/>
      <c r="CG47" s="34">
        <f t="shared" si="108"/>
        <v>0</v>
      </c>
      <c r="CH47" s="34">
        <f t="shared" si="97"/>
        <v>0</v>
      </c>
      <c r="CI47" s="17">
        <f t="shared" si="21"/>
        <v>0.18</v>
      </c>
      <c r="CJ47" s="166">
        <f t="shared" si="65"/>
        <v>0</v>
      </c>
      <c r="CK47" s="33">
        <f t="shared" si="22"/>
        <v>2.38</v>
      </c>
      <c r="CL47" s="156">
        <f t="shared" si="84"/>
        <v>0</v>
      </c>
      <c r="CM47" s="137"/>
      <c r="CN47" s="13">
        <f t="shared" si="23"/>
        <v>34</v>
      </c>
      <c r="CO47" s="54">
        <f t="shared" si="85"/>
        <v>0</v>
      </c>
      <c r="CP47" s="70">
        <f t="shared" si="66"/>
        <v>0</v>
      </c>
      <c r="CQ47" s="50">
        <f t="shared" si="24"/>
        <v>334</v>
      </c>
      <c r="CR47" s="103">
        <f t="shared" si="220"/>
        <v>0</v>
      </c>
      <c r="CS47" s="63">
        <f t="shared" si="138"/>
        <v>334</v>
      </c>
      <c r="CT47" s="56">
        <f t="shared" si="25"/>
        <v>79</v>
      </c>
      <c r="CU47" s="103">
        <f t="shared" si="221"/>
        <v>0</v>
      </c>
      <c r="CV47" s="63">
        <f t="shared" si="47"/>
        <v>79</v>
      </c>
      <c r="CX47" s="120">
        <f t="shared" si="231"/>
        <v>16</v>
      </c>
      <c r="CY47" s="8">
        <f t="shared" si="222"/>
        <v>5</v>
      </c>
      <c r="CZ47" s="434"/>
      <c r="DA47" s="32">
        <f t="shared" si="228"/>
        <v>0</v>
      </c>
      <c r="DB47" s="53">
        <f t="shared" si="139"/>
        <v>0</v>
      </c>
      <c r="DC47" s="421"/>
      <c r="DD47" s="426"/>
      <c r="DE47" s="426"/>
      <c r="DF47" s="34">
        <f t="shared" si="110"/>
        <v>0</v>
      </c>
      <c r="DG47" s="34">
        <f t="shared" si="99"/>
        <v>0</v>
      </c>
      <c r="DH47" s="17">
        <f t="shared" si="26"/>
        <v>0.18</v>
      </c>
      <c r="DI47" s="166">
        <f t="shared" si="111"/>
        <v>0</v>
      </c>
      <c r="DJ47" s="33">
        <f t="shared" si="27"/>
        <v>2.38</v>
      </c>
      <c r="DK47" s="156">
        <f t="shared" si="101"/>
        <v>0</v>
      </c>
      <c r="DL47" s="137"/>
      <c r="DM47" s="13">
        <f t="shared" si="28"/>
        <v>34</v>
      </c>
      <c r="DN47" s="54">
        <f t="shared" si="132"/>
        <v>0</v>
      </c>
      <c r="DO47" s="70">
        <f t="shared" si="102"/>
        <v>0</v>
      </c>
      <c r="DP47" s="50">
        <f t="shared" si="29"/>
        <v>334</v>
      </c>
      <c r="DQ47" s="103">
        <f t="shared" si="223"/>
        <v>0</v>
      </c>
      <c r="DR47" s="63">
        <f t="shared" si="140"/>
        <v>334</v>
      </c>
      <c r="DS47" s="56">
        <f t="shared" si="30"/>
        <v>79</v>
      </c>
      <c r="DT47" s="103">
        <f t="shared" si="224"/>
        <v>0</v>
      </c>
      <c r="DU47" s="63">
        <f t="shared" si="92"/>
        <v>79</v>
      </c>
    </row>
    <row r="48" spans="1:125" ht="17.25" thickBot="1" x14ac:dyDescent="0.3">
      <c r="B48" s="118">
        <v>6</v>
      </c>
      <c r="C48" s="575">
        <v>6</v>
      </c>
      <c r="D48" s="129"/>
      <c r="E48" s="400">
        <f t="shared" si="31"/>
        <v>0</v>
      </c>
      <c r="F48" s="561">
        <f t="shared" si="0"/>
        <v>0</v>
      </c>
      <c r="G48" s="130"/>
      <c r="H48" s="131"/>
      <c r="I48" s="131"/>
      <c r="J48" s="11">
        <f t="shared" si="103"/>
        <v>0</v>
      </c>
      <c r="K48" s="11">
        <f>K47+J48</f>
        <v>0</v>
      </c>
      <c r="L48" s="11">
        <f t="shared" si="1"/>
        <v>0.18</v>
      </c>
      <c r="M48" s="42">
        <f t="shared" si="53"/>
        <v>0</v>
      </c>
      <c r="N48" s="21">
        <f t="shared" si="2"/>
        <v>2.56</v>
      </c>
      <c r="O48" s="132">
        <f>IFERROR((K48*100)/$D$12,0)</f>
        <v>0</v>
      </c>
      <c r="P48" s="158"/>
      <c r="Q48" s="11">
        <f t="shared" si="3"/>
        <v>38</v>
      </c>
      <c r="R48" s="441">
        <f t="shared" si="4"/>
        <v>0</v>
      </c>
      <c r="S48" s="469">
        <f t="shared" si="34"/>
        <v>0</v>
      </c>
      <c r="T48" s="58">
        <f t="shared" si="5"/>
        <v>425</v>
      </c>
      <c r="U48" s="131"/>
      <c r="V48" s="41">
        <f t="shared" si="35"/>
        <v>425</v>
      </c>
      <c r="W48" s="18">
        <f t="shared" si="6"/>
        <v>79</v>
      </c>
      <c r="X48" s="131"/>
      <c r="Y48" s="41">
        <f t="shared" si="36"/>
        <v>79</v>
      </c>
      <c r="Z48" s="487"/>
      <c r="AA48" s="118">
        <v>6</v>
      </c>
      <c r="AB48" s="9">
        <v>6</v>
      </c>
      <c r="AC48" s="129"/>
      <c r="AD48" s="43">
        <f>IFERROR(AE47+AC48,0)</f>
        <v>0</v>
      </c>
      <c r="AE48" s="44">
        <f>IFERROR(AD48-AI48,0)</f>
        <v>0</v>
      </c>
      <c r="AF48" s="130"/>
      <c r="AG48" s="131"/>
      <c r="AH48" s="131"/>
      <c r="AI48" s="11">
        <f t="shared" si="105"/>
        <v>0</v>
      </c>
      <c r="AJ48" s="11">
        <f t="shared" si="162"/>
        <v>0</v>
      </c>
      <c r="AK48" s="16">
        <f t="shared" si="8"/>
        <v>0.18</v>
      </c>
      <c r="AL48" s="153">
        <f t="shared" si="38"/>
        <v>0</v>
      </c>
      <c r="AM48" s="154">
        <f t="shared" si="9"/>
        <v>2.56</v>
      </c>
      <c r="AN48" s="157">
        <f t="shared" si="93"/>
        <v>0</v>
      </c>
      <c r="AO48" s="130"/>
      <c r="AP48" s="17">
        <f t="shared" si="10"/>
        <v>38</v>
      </c>
      <c r="AQ48" s="441">
        <f t="shared" si="39"/>
        <v>0</v>
      </c>
      <c r="AR48" s="469">
        <f t="shared" si="164"/>
        <v>0</v>
      </c>
      <c r="AS48" s="58">
        <f t="shared" si="11"/>
        <v>425</v>
      </c>
      <c r="AT48" s="131"/>
      <c r="AU48" s="41">
        <f t="shared" si="136"/>
        <v>425</v>
      </c>
      <c r="AV48" s="18">
        <f t="shared" si="12"/>
        <v>79</v>
      </c>
      <c r="AW48" s="131"/>
      <c r="AX48" s="41">
        <f t="shared" si="94"/>
        <v>79</v>
      </c>
      <c r="AZ48" s="118">
        <v>6</v>
      </c>
      <c r="BA48" s="9">
        <v>6</v>
      </c>
      <c r="BB48" s="129"/>
      <c r="BC48" s="43">
        <f t="shared" si="42"/>
        <v>0</v>
      </c>
      <c r="BD48" s="44">
        <f t="shared" si="166"/>
        <v>0</v>
      </c>
      <c r="BE48" s="130"/>
      <c r="BF48" s="131"/>
      <c r="BG48" s="131"/>
      <c r="BH48" s="11">
        <f t="shared" si="106"/>
        <v>0</v>
      </c>
      <c r="BI48" s="11">
        <f t="shared" si="151"/>
        <v>0</v>
      </c>
      <c r="BJ48" s="16">
        <f t="shared" si="14"/>
        <v>0.18</v>
      </c>
      <c r="BK48" s="42">
        <f t="shared" si="60"/>
        <v>0</v>
      </c>
      <c r="BL48" s="154">
        <f t="shared" si="15"/>
        <v>2.56</v>
      </c>
      <c r="BM48" s="132">
        <f t="shared" si="167"/>
        <v>0</v>
      </c>
      <c r="BN48" s="130"/>
      <c r="BO48" s="11">
        <f t="shared" si="17"/>
        <v>38</v>
      </c>
      <c r="BP48" s="441">
        <f t="shared" si="61"/>
        <v>0</v>
      </c>
      <c r="BQ48" s="746">
        <f t="shared" si="81"/>
        <v>0</v>
      </c>
      <c r="BR48" s="58">
        <f t="shared" si="18"/>
        <v>425</v>
      </c>
      <c r="BS48" s="131"/>
      <c r="BT48" s="41">
        <f t="shared" si="137"/>
        <v>425</v>
      </c>
      <c r="BU48" s="18">
        <f t="shared" si="20"/>
        <v>79</v>
      </c>
      <c r="BV48" s="131"/>
      <c r="BW48" s="41">
        <f t="shared" si="95"/>
        <v>79</v>
      </c>
      <c r="BY48" s="118">
        <v>17</v>
      </c>
      <c r="BZ48" s="9">
        <v>6</v>
      </c>
      <c r="CA48" s="396"/>
      <c r="CB48" s="11">
        <f t="shared" si="96"/>
        <v>0</v>
      </c>
      <c r="CC48" s="41">
        <f t="shared" si="107"/>
        <v>0</v>
      </c>
      <c r="CD48" s="398"/>
      <c r="CE48" s="399"/>
      <c r="CF48" s="399"/>
      <c r="CG48" s="11">
        <f t="shared" si="108"/>
        <v>0</v>
      </c>
      <c r="CH48" s="11">
        <f t="shared" si="97"/>
        <v>0</v>
      </c>
      <c r="CI48" s="16">
        <f t="shared" si="21"/>
        <v>0.18</v>
      </c>
      <c r="CJ48" s="231">
        <f t="shared" si="65"/>
        <v>0</v>
      </c>
      <c r="CK48" s="154">
        <f t="shared" si="22"/>
        <v>2.56</v>
      </c>
      <c r="CL48" s="155">
        <f t="shared" si="84"/>
        <v>0</v>
      </c>
      <c r="CM48" s="130"/>
      <c r="CN48" s="11">
        <f t="shared" si="23"/>
        <v>38</v>
      </c>
      <c r="CO48" s="60">
        <f t="shared" si="85"/>
        <v>0</v>
      </c>
      <c r="CP48" s="377">
        <f t="shared" si="66"/>
        <v>0</v>
      </c>
      <c r="CQ48" s="58">
        <f t="shared" si="24"/>
        <v>425</v>
      </c>
      <c r="CR48" s="131"/>
      <c r="CS48" s="41">
        <f t="shared" si="138"/>
        <v>425</v>
      </c>
      <c r="CT48" s="18">
        <f t="shared" si="25"/>
        <v>79</v>
      </c>
      <c r="CU48" s="131"/>
      <c r="CV48" s="41">
        <f t="shared" si="47"/>
        <v>79</v>
      </c>
      <c r="CX48" s="118">
        <v>17</v>
      </c>
      <c r="CY48" s="9">
        <v>6</v>
      </c>
      <c r="CZ48" s="396"/>
      <c r="DA48" s="11">
        <f t="shared" si="228"/>
        <v>0</v>
      </c>
      <c r="DB48" s="41">
        <f t="shared" si="139"/>
        <v>0</v>
      </c>
      <c r="DC48" s="398"/>
      <c r="DD48" s="399"/>
      <c r="DE48" s="399"/>
      <c r="DF48" s="11">
        <f t="shared" si="110"/>
        <v>0</v>
      </c>
      <c r="DG48" s="11">
        <f t="shared" si="99"/>
        <v>0</v>
      </c>
      <c r="DH48" s="16">
        <f t="shared" si="26"/>
        <v>0.18</v>
      </c>
      <c r="DI48" s="231">
        <f t="shared" si="111"/>
        <v>0</v>
      </c>
      <c r="DJ48" s="154">
        <f t="shared" si="27"/>
        <v>2.56</v>
      </c>
      <c r="DK48" s="155">
        <f t="shared" si="101"/>
        <v>0</v>
      </c>
      <c r="DL48" s="130"/>
      <c r="DM48" s="11">
        <f t="shared" si="28"/>
        <v>38</v>
      </c>
      <c r="DN48" s="60">
        <f t="shared" si="132"/>
        <v>0</v>
      </c>
      <c r="DO48" s="377">
        <f t="shared" si="102"/>
        <v>0</v>
      </c>
      <c r="DP48" s="58">
        <f t="shared" si="29"/>
        <v>425</v>
      </c>
      <c r="DQ48" s="131"/>
      <c r="DR48" s="41">
        <f t="shared" si="140"/>
        <v>425</v>
      </c>
      <c r="DS48" s="18">
        <f t="shared" si="30"/>
        <v>79</v>
      </c>
      <c r="DT48" s="131"/>
      <c r="DU48" s="41">
        <f t="shared" si="92"/>
        <v>79</v>
      </c>
    </row>
    <row r="49" spans="1:125" ht="17.25" thickBot="1" x14ac:dyDescent="0.3">
      <c r="B49" s="120">
        <f>B48+1</f>
        <v>7</v>
      </c>
      <c r="C49" s="570">
        <f>C48</f>
        <v>6</v>
      </c>
      <c r="D49" s="133"/>
      <c r="E49" s="408">
        <f t="shared" si="31"/>
        <v>0</v>
      </c>
      <c r="F49" s="562">
        <f t="shared" si="0"/>
        <v>0</v>
      </c>
      <c r="G49" s="134"/>
      <c r="H49" s="135"/>
      <c r="I49" s="135"/>
      <c r="J49" s="14">
        <f t="shared" si="103"/>
        <v>0</v>
      </c>
      <c r="K49" s="14">
        <f t="shared" si="32"/>
        <v>0</v>
      </c>
      <c r="L49" s="14">
        <f t="shared" si="1"/>
        <v>0.18</v>
      </c>
      <c r="M49" s="47">
        <f t="shared" si="53"/>
        <v>0</v>
      </c>
      <c r="N49" s="35">
        <f t="shared" si="2"/>
        <v>2.56</v>
      </c>
      <c r="O49" s="132">
        <f t="shared" si="33"/>
        <v>0</v>
      </c>
      <c r="P49" s="142"/>
      <c r="Q49" s="14">
        <f t="shared" si="3"/>
        <v>38</v>
      </c>
      <c r="R49" s="442">
        <f t="shared" si="4"/>
        <v>0</v>
      </c>
      <c r="S49" s="470">
        <f t="shared" si="34"/>
        <v>0</v>
      </c>
      <c r="T49" s="51">
        <f t="shared" si="5"/>
        <v>425</v>
      </c>
      <c r="U49" s="103">
        <f>U48</f>
        <v>0</v>
      </c>
      <c r="V49" s="46">
        <f t="shared" si="35"/>
        <v>425</v>
      </c>
      <c r="W49" s="50">
        <f t="shared" si="6"/>
        <v>79</v>
      </c>
      <c r="X49" s="103">
        <f>X48</f>
        <v>0</v>
      </c>
      <c r="Y49" s="46">
        <f t="shared" si="36"/>
        <v>79</v>
      </c>
      <c r="Z49" s="487"/>
      <c r="AA49" s="120">
        <f>AA48+1</f>
        <v>7</v>
      </c>
      <c r="AB49" s="7">
        <f>AB48</f>
        <v>6</v>
      </c>
      <c r="AC49" s="133"/>
      <c r="AD49" s="48">
        <f t="shared" ref="AD49" si="232">IFERROR(AE48+AC49,0)</f>
        <v>0</v>
      </c>
      <c r="AE49" s="49">
        <f>IFERROR(AD49-AI49,0)</f>
        <v>0</v>
      </c>
      <c r="AF49" s="134"/>
      <c r="AG49" s="135"/>
      <c r="AH49" s="135"/>
      <c r="AI49" s="14">
        <f t="shared" si="105"/>
        <v>0</v>
      </c>
      <c r="AJ49" s="14">
        <f t="shared" si="162"/>
        <v>0</v>
      </c>
      <c r="AK49" s="14">
        <f t="shared" si="8"/>
        <v>0.18</v>
      </c>
      <c r="AL49" s="230">
        <f t="shared" si="38"/>
        <v>0</v>
      </c>
      <c r="AM49" s="35">
        <f t="shared" si="9"/>
        <v>2.56</v>
      </c>
      <c r="AN49" s="157">
        <f t="shared" si="93"/>
        <v>0</v>
      </c>
      <c r="AO49" s="142"/>
      <c r="AP49" s="14">
        <f t="shared" si="10"/>
        <v>38</v>
      </c>
      <c r="AQ49" s="480">
        <f t="shared" si="39"/>
        <v>0</v>
      </c>
      <c r="AR49" s="470">
        <f t="shared" si="164"/>
        <v>0</v>
      </c>
      <c r="AS49" s="51">
        <f t="shared" si="11"/>
        <v>425</v>
      </c>
      <c r="AT49" s="103">
        <f>AT48</f>
        <v>0</v>
      </c>
      <c r="AU49" s="46">
        <f t="shared" si="136"/>
        <v>425</v>
      </c>
      <c r="AV49" s="50">
        <f t="shared" si="12"/>
        <v>79</v>
      </c>
      <c r="AW49" s="103">
        <f>AW48</f>
        <v>0</v>
      </c>
      <c r="AX49" s="46">
        <f t="shared" si="94"/>
        <v>79</v>
      </c>
      <c r="AZ49" s="120">
        <f>AZ48+1</f>
        <v>7</v>
      </c>
      <c r="BA49" s="7">
        <f>BA48</f>
        <v>6</v>
      </c>
      <c r="BB49" s="133"/>
      <c r="BC49" s="48">
        <f t="shared" si="42"/>
        <v>0</v>
      </c>
      <c r="BD49" s="49">
        <f>IFERROR(BC49-BH49,0)</f>
        <v>0</v>
      </c>
      <c r="BE49" s="134"/>
      <c r="BF49" s="135"/>
      <c r="BG49" s="135"/>
      <c r="BH49" s="14">
        <f t="shared" si="106"/>
        <v>0</v>
      </c>
      <c r="BI49" s="14">
        <f t="shared" si="151"/>
        <v>0</v>
      </c>
      <c r="BJ49" s="14">
        <f t="shared" si="14"/>
        <v>0.18</v>
      </c>
      <c r="BK49" s="47">
        <f t="shared" si="60"/>
        <v>0</v>
      </c>
      <c r="BL49" s="35">
        <f t="shared" si="15"/>
        <v>2.56</v>
      </c>
      <c r="BM49" s="132">
        <f t="shared" si="167"/>
        <v>0</v>
      </c>
      <c r="BN49" s="142"/>
      <c r="BO49" s="14">
        <f t="shared" si="17"/>
        <v>38</v>
      </c>
      <c r="BP49" s="442">
        <f t="shared" si="61"/>
        <v>0</v>
      </c>
      <c r="BQ49" s="747">
        <f t="shared" si="81"/>
        <v>0</v>
      </c>
      <c r="BR49" s="51">
        <f t="shared" si="18"/>
        <v>425</v>
      </c>
      <c r="BS49" s="103">
        <f>BS48</f>
        <v>0</v>
      </c>
      <c r="BT49" s="46">
        <f t="shared" si="137"/>
        <v>425</v>
      </c>
      <c r="BU49" s="50">
        <f t="shared" si="20"/>
        <v>79</v>
      </c>
      <c r="BV49" s="103">
        <f>BV48</f>
        <v>0</v>
      </c>
      <c r="BW49" s="46">
        <f t="shared" si="95"/>
        <v>79</v>
      </c>
      <c r="BY49" s="120">
        <f>BY48+1</f>
        <v>18</v>
      </c>
      <c r="BZ49" s="7">
        <f>BZ48</f>
        <v>6</v>
      </c>
      <c r="CA49" s="133"/>
      <c r="CB49" s="14">
        <f t="shared" si="96"/>
        <v>0</v>
      </c>
      <c r="CC49" s="46">
        <f t="shared" si="107"/>
        <v>0</v>
      </c>
      <c r="CD49" s="405"/>
      <c r="CE49" s="406"/>
      <c r="CF49" s="406"/>
      <c r="CG49" s="14">
        <f t="shared" si="108"/>
        <v>0</v>
      </c>
      <c r="CH49" s="14">
        <f t="shared" si="97"/>
        <v>0</v>
      </c>
      <c r="CI49" s="14">
        <f t="shared" si="21"/>
        <v>0.18</v>
      </c>
      <c r="CJ49" s="47">
        <f t="shared" si="65"/>
        <v>0</v>
      </c>
      <c r="CK49" s="35">
        <f t="shared" si="22"/>
        <v>2.56</v>
      </c>
      <c r="CL49" s="157">
        <f t="shared" si="84"/>
        <v>0</v>
      </c>
      <c r="CM49" s="142"/>
      <c r="CN49" s="14">
        <f t="shared" si="23"/>
        <v>38</v>
      </c>
      <c r="CO49" s="48">
        <f t="shared" si="85"/>
        <v>0</v>
      </c>
      <c r="CP49" s="68">
        <f t="shared" si="66"/>
        <v>0</v>
      </c>
      <c r="CQ49" s="51">
        <f t="shared" si="24"/>
        <v>425</v>
      </c>
      <c r="CR49" s="103">
        <f>CR48</f>
        <v>0</v>
      </c>
      <c r="CS49" s="46">
        <f t="shared" si="138"/>
        <v>425</v>
      </c>
      <c r="CT49" s="50">
        <f t="shared" si="25"/>
        <v>79</v>
      </c>
      <c r="CU49" s="103">
        <f>CU48</f>
        <v>0</v>
      </c>
      <c r="CV49" s="46">
        <f t="shared" si="47"/>
        <v>79</v>
      </c>
      <c r="CX49" s="120">
        <f>CX48+1</f>
        <v>18</v>
      </c>
      <c r="CY49" s="7">
        <f>CY48</f>
        <v>6</v>
      </c>
      <c r="CZ49" s="133"/>
      <c r="DA49" s="14">
        <f t="shared" si="228"/>
        <v>0</v>
      </c>
      <c r="DB49" s="46">
        <f t="shared" si="139"/>
        <v>0</v>
      </c>
      <c r="DC49" s="405"/>
      <c r="DD49" s="406"/>
      <c r="DE49" s="406"/>
      <c r="DF49" s="14">
        <f t="shared" si="110"/>
        <v>0</v>
      </c>
      <c r="DG49" s="14">
        <f t="shared" si="99"/>
        <v>0</v>
      </c>
      <c r="DH49" s="14">
        <f t="shared" si="26"/>
        <v>0.18</v>
      </c>
      <c r="DI49" s="47">
        <f t="shared" si="111"/>
        <v>0</v>
      </c>
      <c r="DJ49" s="35">
        <f t="shared" si="27"/>
        <v>2.56</v>
      </c>
      <c r="DK49" s="157">
        <f t="shared" si="101"/>
        <v>0</v>
      </c>
      <c r="DL49" s="142"/>
      <c r="DM49" s="14">
        <f t="shared" si="28"/>
        <v>38</v>
      </c>
      <c r="DN49" s="48">
        <f t="shared" si="132"/>
        <v>0</v>
      </c>
      <c r="DO49" s="68">
        <f t="shared" si="102"/>
        <v>0</v>
      </c>
      <c r="DP49" s="51">
        <f t="shared" si="29"/>
        <v>425</v>
      </c>
      <c r="DQ49" s="103">
        <f>DQ48</f>
        <v>0</v>
      </c>
      <c r="DR49" s="46">
        <f t="shared" si="140"/>
        <v>425</v>
      </c>
      <c r="DS49" s="50">
        <f t="shared" si="30"/>
        <v>79</v>
      </c>
      <c r="DT49" s="103">
        <f>DT48</f>
        <v>0</v>
      </c>
      <c r="DU49" s="46">
        <f t="shared" si="92"/>
        <v>79</v>
      </c>
    </row>
    <row r="50" spans="1:125" ht="17.25" thickBot="1" x14ac:dyDescent="0.3">
      <c r="B50" s="120">
        <f t="shared" ref="B50:B54" si="233">B49+1</f>
        <v>8</v>
      </c>
      <c r="C50" s="570">
        <f t="shared" ref="C50:C61" si="234">C49</f>
        <v>6</v>
      </c>
      <c r="D50" s="133"/>
      <c r="E50" s="408">
        <f t="shared" si="31"/>
        <v>0</v>
      </c>
      <c r="F50" s="562">
        <f t="shared" si="0"/>
        <v>0</v>
      </c>
      <c r="G50" s="134"/>
      <c r="H50" s="135"/>
      <c r="I50" s="135"/>
      <c r="J50" s="14">
        <f t="shared" si="103"/>
        <v>0</v>
      </c>
      <c r="K50" s="14">
        <f t="shared" si="32"/>
        <v>0</v>
      </c>
      <c r="L50" s="14">
        <f t="shared" si="1"/>
        <v>0.18</v>
      </c>
      <c r="M50" s="47">
        <f t="shared" si="53"/>
        <v>0</v>
      </c>
      <c r="N50" s="35">
        <f t="shared" si="2"/>
        <v>2.56</v>
      </c>
      <c r="O50" s="132">
        <f t="shared" si="33"/>
        <v>0</v>
      </c>
      <c r="P50" s="142"/>
      <c r="Q50" s="14">
        <f t="shared" si="3"/>
        <v>38</v>
      </c>
      <c r="R50" s="442">
        <f t="shared" si="4"/>
        <v>0</v>
      </c>
      <c r="S50" s="470">
        <f t="shared" si="34"/>
        <v>0</v>
      </c>
      <c r="T50" s="51">
        <f t="shared" si="5"/>
        <v>425</v>
      </c>
      <c r="U50" s="103">
        <f t="shared" ref="U50:U54" si="235">U49</f>
        <v>0</v>
      </c>
      <c r="V50" s="46">
        <f t="shared" si="35"/>
        <v>425</v>
      </c>
      <c r="W50" s="50">
        <f t="shared" si="6"/>
        <v>79</v>
      </c>
      <c r="X50" s="103">
        <f t="shared" ref="X50:X54" si="236">X49</f>
        <v>0</v>
      </c>
      <c r="Y50" s="46">
        <f t="shared" si="36"/>
        <v>79</v>
      </c>
      <c r="Z50" s="487"/>
      <c r="AA50" s="120">
        <f t="shared" ref="AA50:AA54" si="237">AA49+1</f>
        <v>8</v>
      </c>
      <c r="AB50" s="7">
        <f t="shared" ref="AB50:AB61" si="238">AB49</f>
        <v>6</v>
      </c>
      <c r="AC50" s="133"/>
      <c r="AD50" s="48">
        <f>IFERROR(AE49+AC50,0)</f>
        <v>0</v>
      </c>
      <c r="AE50" s="447">
        <f>IFERROR(AD50-AI50,0)</f>
        <v>0</v>
      </c>
      <c r="AF50" s="134"/>
      <c r="AG50" s="135"/>
      <c r="AH50" s="135"/>
      <c r="AI50" s="14">
        <f t="shared" si="105"/>
        <v>0</v>
      </c>
      <c r="AJ50" s="14">
        <f t="shared" si="162"/>
        <v>0</v>
      </c>
      <c r="AK50" s="14">
        <f t="shared" si="8"/>
        <v>0.18</v>
      </c>
      <c r="AL50" s="230">
        <f t="shared" si="38"/>
        <v>0</v>
      </c>
      <c r="AM50" s="35">
        <f t="shared" si="9"/>
        <v>2.56</v>
      </c>
      <c r="AN50" s="157">
        <f t="shared" si="93"/>
        <v>0</v>
      </c>
      <c r="AO50" s="134"/>
      <c r="AP50" s="14">
        <f t="shared" si="10"/>
        <v>38</v>
      </c>
      <c r="AQ50" s="482">
        <f t="shared" si="39"/>
        <v>0</v>
      </c>
      <c r="AR50" s="470">
        <f t="shared" si="164"/>
        <v>0</v>
      </c>
      <c r="AS50" s="51">
        <f t="shared" si="11"/>
        <v>425</v>
      </c>
      <c r="AT50" s="103">
        <f t="shared" ref="AT50:AT54" si="239">AT49</f>
        <v>0</v>
      </c>
      <c r="AU50" s="46">
        <f t="shared" si="136"/>
        <v>425</v>
      </c>
      <c r="AV50" s="50">
        <f t="shared" si="12"/>
        <v>79</v>
      </c>
      <c r="AW50" s="103">
        <f t="shared" ref="AW50:AW54" si="240">AW49</f>
        <v>0</v>
      </c>
      <c r="AX50" s="46">
        <f t="shared" si="94"/>
        <v>79</v>
      </c>
      <c r="AZ50" s="120">
        <f t="shared" ref="AZ50:AZ54" si="241">AZ49+1</f>
        <v>8</v>
      </c>
      <c r="BA50" s="7">
        <f t="shared" ref="BA50:BA61" si="242">BA49</f>
        <v>6</v>
      </c>
      <c r="BB50" s="133"/>
      <c r="BC50" s="48">
        <f t="shared" si="42"/>
        <v>0</v>
      </c>
      <c r="BD50" s="447">
        <f>IFERROR(BC50-BH50,0)</f>
        <v>0</v>
      </c>
      <c r="BE50" s="134"/>
      <c r="BF50" s="135"/>
      <c r="BG50" s="135"/>
      <c r="BH50" s="14">
        <f t="shared" si="106"/>
        <v>0</v>
      </c>
      <c r="BI50" s="14">
        <f t="shared" si="151"/>
        <v>0</v>
      </c>
      <c r="BJ50" s="14">
        <f t="shared" si="14"/>
        <v>0.18</v>
      </c>
      <c r="BK50" s="47">
        <f t="shared" si="60"/>
        <v>0</v>
      </c>
      <c r="BL50" s="35">
        <f t="shared" si="15"/>
        <v>2.56</v>
      </c>
      <c r="BM50" s="132">
        <f t="shared" si="167"/>
        <v>0</v>
      </c>
      <c r="BN50" s="134"/>
      <c r="BO50" s="14">
        <f t="shared" si="17"/>
        <v>38</v>
      </c>
      <c r="BP50" s="442">
        <f t="shared" si="61"/>
        <v>0</v>
      </c>
      <c r="BQ50" s="747">
        <f t="shared" si="81"/>
        <v>0</v>
      </c>
      <c r="BR50" s="51">
        <f t="shared" si="18"/>
        <v>425</v>
      </c>
      <c r="BS50" s="103">
        <f t="shared" ref="BS50:BS54" si="243">BS49</f>
        <v>0</v>
      </c>
      <c r="BT50" s="46">
        <f t="shared" si="137"/>
        <v>425</v>
      </c>
      <c r="BU50" s="50">
        <f t="shared" si="20"/>
        <v>79</v>
      </c>
      <c r="BV50" s="103">
        <f t="shared" ref="BV50:BV54" si="244">BV49</f>
        <v>0</v>
      </c>
      <c r="BW50" s="46">
        <f t="shared" si="95"/>
        <v>79</v>
      </c>
      <c r="BY50" s="120">
        <f t="shared" ref="BY50:BY54" si="245">BY49+1</f>
        <v>19</v>
      </c>
      <c r="BZ50" s="7">
        <f t="shared" ref="BZ50:BZ61" si="246">BZ49</f>
        <v>6</v>
      </c>
      <c r="CA50" s="133"/>
      <c r="CB50" s="14">
        <f t="shared" si="96"/>
        <v>0</v>
      </c>
      <c r="CC50" s="62">
        <f t="shared" si="107"/>
        <v>0</v>
      </c>
      <c r="CD50" s="405"/>
      <c r="CE50" s="406"/>
      <c r="CF50" s="406"/>
      <c r="CG50" s="14">
        <f t="shared" si="108"/>
        <v>0</v>
      </c>
      <c r="CH50" s="14">
        <f t="shared" si="97"/>
        <v>0</v>
      </c>
      <c r="CI50" s="14">
        <f t="shared" si="21"/>
        <v>0.18</v>
      </c>
      <c r="CJ50" s="47">
        <f t="shared" si="65"/>
        <v>0</v>
      </c>
      <c r="CK50" s="35">
        <f t="shared" si="22"/>
        <v>2.56</v>
      </c>
      <c r="CL50" s="157">
        <f t="shared" si="84"/>
        <v>0</v>
      </c>
      <c r="CM50" s="134"/>
      <c r="CN50" s="14">
        <f t="shared" si="23"/>
        <v>38</v>
      </c>
      <c r="CO50" s="48">
        <f t="shared" si="85"/>
        <v>0</v>
      </c>
      <c r="CP50" s="68">
        <f t="shared" si="66"/>
        <v>0</v>
      </c>
      <c r="CQ50" s="51">
        <f t="shared" si="24"/>
        <v>425</v>
      </c>
      <c r="CR50" s="103">
        <f t="shared" ref="CR50:CR54" si="247">CR49</f>
        <v>0</v>
      </c>
      <c r="CS50" s="46">
        <f t="shared" si="138"/>
        <v>425</v>
      </c>
      <c r="CT50" s="50">
        <f t="shared" si="25"/>
        <v>79</v>
      </c>
      <c r="CU50" s="103">
        <f t="shared" ref="CU50:CU54" si="248">CU49</f>
        <v>0</v>
      </c>
      <c r="CV50" s="46">
        <f t="shared" si="47"/>
        <v>79</v>
      </c>
      <c r="CX50" s="120">
        <f t="shared" ref="CX50:CX54" si="249">CX49+1</f>
        <v>19</v>
      </c>
      <c r="CY50" s="7">
        <f t="shared" ref="CY50:CY61" si="250">CY49</f>
        <v>6</v>
      </c>
      <c r="CZ50" s="133"/>
      <c r="DA50" s="14">
        <f t="shared" si="228"/>
        <v>0</v>
      </c>
      <c r="DB50" s="62">
        <f t="shared" si="139"/>
        <v>0</v>
      </c>
      <c r="DC50" s="405"/>
      <c r="DD50" s="406"/>
      <c r="DE50" s="406"/>
      <c r="DF50" s="14">
        <f t="shared" si="110"/>
        <v>0</v>
      </c>
      <c r="DG50" s="14">
        <f t="shared" si="99"/>
        <v>0</v>
      </c>
      <c r="DH50" s="14">
        <f t="shared" si="26"/>
        <v>0.18</v>
      </c>
      <c r="DI50" s="47">
        <f t="shared" si="111"/>
        <v>0</v>
      </c>
      <c r="DJ50" s="35">
        <f t="shared" si="27"/>
        <v>2.56</v>
      </c>
      <c r="DK50" s="157">
        <f t="shared" si="101"/>
        <v>0</v>
      </c>
      <c r="DL50" s="134"/>
      <c r="DM50" s="14">
        <f t="shared" si="28"/>
        <v>38</v>
      </c>
      <c r="DN50" s="48">
        <f t="shared" si="132"/>
        <v>0</v>
      </c>
      <c r="DO50" s="68">
        <f t="shared" si="102"/>
        <v>0</v>
      </c>
      <c r="DP50" s="51">
        <f t="shared" si="29"/>
        <v>425</v>
      </c>
      <c r="DQ50" s="103">
        <f t="shared" ref="DQ50:DQ54" si="251">DQ49</f>
        <v>0</v>
      </c>
      <c r="DR50" s="46">
        <f t="shared" si="140"/>
        <v>425</v>
      </c>
      <c r="DS50" s="50">
        <f t="shared" si="30"/>
        <v>79</v>
      </c>
      <c r="DT50" s="103">
        <f t="shared" ref="DT50:DT54" si="252">DT49</f>
        <v>0</v>
      </c>
      <c r="DU50" s="46">
        <f t="shared" si="92"/>
        <v>79</v>
      </c>
    </row>
    <row r="51" spans="1:125" ht="17.25" thickBot="1" x14ac:dyDescent="0.3">
      <c r="B51" s="120">
        <f t="shared" si="233"/>
        <v>9</v>
      </c>
      <c r="C51" s="570">
        <f t="shared" si="234"/>
        <v>6</v>
      </c>
      <c r="D51" s="133"/>
      <c r="E51" s="408">
        <f t="shared" si="31"/>
        <v>0</v>
      </c>
      <c r="F51" s="562">
        <f t="shared" si="0"/>
        <v>0</v>
      </c>
      <c r="G51" s="134"/>
      <c r="H51" s="135"/>
      <c r="I51" s="135"/>
      <c r="J51" s="14">
        <f t="shared" si="103"/>
        <v>0</v>
      </c>
      <c r="K51" s="14">
        <f t="shared" si="32"/>
        <v>0</v>
      </c>
      <c r="L51" s="14">
        <f t="shared" si="1"/>
        <v>0.18</v>
      </c>
      <c r="M51" s="47">
        <f t="shared" si="53"/>
        <v>0</v>
      </c>
      <c r="N51" s="35">
        <f t="shared" si="2"/>
        <v>2.56</v>
      </c>
      <c r="O51" s="132">
        <f t="shared" si="33"/>
        <v>0</v>
      </c>
      <c r="P51" s="142"/>
      <c r="Q51" s="14">
        <f t="shared" si="3"/>
        <v>38</v>
      </c>
      <c r="R51" s="442">
        <f t="shared" si="4"/>
        <v>0</v>
      </c>
      <c r="S51" s="470">
        <f t="shared" si="34"/>
        <v>0</v>
      </c>
      <c r="T51" s="51">
        <f t="shared" si="5"/>
        <v>425</v>
      </c>
      <c r="U51" s="103">
        <f t="shared" si="235"/>
        <v>0</v>
      </c>
      <c r="V51" s="46">
        <f t="shared" si="35"/>
        <v>425</v>
      </c>
      <c r="W51" s="50">
        <f t="shared" si="6"/>
        <v>79</v>
      </c>
      <c r="X51" s="103">
        <f t="shared" si="236"/>
        <v>0</v>
      </c>
      <c r="Y51" s="46">
        <f t="shared" si="36"/>
        <v>79</v>
      </c>
      <c r="Z51" s="487"/>
      <c r="AA51" s="120">
        <f t="shared" si="237"/>
        <v>9</v>
      </c>
      <c r="AB51" s="7">
        <f t="shared" si="238"/>
        <v>6</v>
      </c>
      <c r="AC51" s="133"/>
      <c r="AD51" s="48">
        <f t="shared" ref="AD51:AD102" si="253">IFERROR(AE50+AC51,0)</f>
        <v>0</v>
      </c>
      <c r="AE51" s="196">
        <f t="shared" ref="AE51:AE114" si="254">IFERROR(AD51-AI51,0)</f>
        <v>0</v>
      </c>
      <c r="AF51" s="134"/>
      <c r="AG51" s="135"/>
      <c r="AH51" s="135"/>
      <c r="AI51" s="14">
        <f t="shared" si="105"/>
        <v>0</v>
      </c>
      <c r="AJ51" s="14">
        <f t="shared" si="162"/>
        <v>0</v>
      </c>
      <c r="AK51" s="14">
        <f t="shared" si="8"/>
        <v>0.18</v>
      </c>
      <c r="AL51" s="47">
        <f t="shared" si="38"/>
        <v>0</v>
      </c>
      <c r="AM51" s="35">
        <f t="shared" si="9"/>
        <v>2.56</v>
      </c>
      <c r="AN51" s="157">
        <f t="shared" si="93"/>
        <v>0</v>
      </c>
      <c r="AO51" s="134"/>
      <c r="AP51" s="14">
        <f t="shared" si="10"/>
        <v>38</v>
      </c>
      <c r="AQ51" s="482">
        <f t="shared" si="39"/>
        <v>0</v>
      </c>
      <c r="AR51" s="470">
        <f t="shared" si="164"/>
        <v>0</v>
      </c>
      <c r="AS51" s="51">
        <f t="shared" si="11"/>
        <v>425</v>
      </c>
      <c r="AT51" s="103">
        <f t="shared" si="239"/>
        <v>0</v>
      </c>
      <c r="AU51" s="46">
        <f t="shared" si="136"/>
        <v>425</v>
      </c>
      <c r="AV51" s="50">
        <f t="shared" si="12"/>
        <v>79</v>
      </c>
      <c r="AW51" s="103">
        <f t="shared" si="240"/>
        <v>0</v>
      </c>
      <c r="AX51" s="46">
        <f t="shared" si="94"/>
        <v>79</v>
      </c>
      <c r="AZ51" s="120">
        <f t="shared" si="241"/>
        <v>9</v>
      </c>
      <c r="BA51" s="7">
        <f t="shared" si="242"/>
        <v>6</v>
      </c>
      <c r="BB51" s="133"/>
      <c r="BC51" s="48">
        <f t="shared" si="42"/>
        <v>0</v>
      </c>
      <c r="BD51" s="196">
        <f t="shared" ref="BD51:BD114" si="255">IFERROR(BC51-BH51,0)</f>
        <v>0</v>
      </c>
      <c r="BE51" s="134"/>
      <c r="BF51" s="135"/>
      <c r="BG51" s="135"/>
      <c r="BH51" s="14">
        <f t="shared" si="106"/>
        <v>0</v>
      </c>
      <c r="BI51" s="14">
        <f t="shared" si="151"/>
        <v>0</v>
      </c>
      <c r="BJ51" s="14">
        <f t="shared" si="14"/>
        <v>0.18</v>
      </c>
      <c r="BK51" s="47">
        <f t="shared" si="60"/>
        <v>0</v>
      </c>
      <c r="BL51" s="35">
        <f t="shared" si="15"/>
        <v>2.56</v>
      </c>
      <c r="BM51" s="132">
        <f t="shared" si="167"/>
        <v>0</v>
      </c>
      <c r="BN51" s="134"/>
      <c r="BO51" s="14">
        <f t="shared" si="17"/>
        <v>38</v>
      </c>
      <c r="BP51" s="442">
        <f t="shared" si="61"/>
        <v>0</v>
      </c>
      <c r="BQ51" s="747">
        <f t="shared" si="81"/>
        <v>0</v>
      </c>
      <c r="BR51" s="51">
        <f t="shared" si="18"/>
        <v>425</v>
      </c>
      <c r="BS51" s="103">
        <f t="shared" si="243"/>
        <v>0</v>
      </c>
      <c r="BT51" s="46">
        <f t="shared" si="137"/>
        <v>425</v>
      </c>
      <c r="BU51" s="50">
        <f t="shared" si="20"/>
        <v>79</v>
      </c>
      <c r="BV51" s="103">
        <f t="shared" si="244"/>
        <v>0</v>
      </c>
      <c r="BW51" s="46">
        <f t="shared" si="95"/>
        <v>79</v>
      </c>
      <c r="BY51" s="120">
        <f t="shared" si="245"/>
        <v>20</v>
      </c>
      <c r="BZ51" s="7">
        <f t="shared" si="246"/>
        <v>6</v>
      </c>
      <c r="CA51" s="133"/>
      <c r="CB51" s="14">
        <f t="shared" si="96"/>
        <v>0</v>
      </c>
      <c r="CC51" s="59">
        <f t="shared" si="107"/>
        <v>0</v>
      </c>
      <c r="CD51" s="405"/>
      <c r="CE51" s="406"/>
      <c r="CF51" s="406"/>
      <c r="CG51" s="14">
        <f t="shared" si="108"/>
        <v>0</v>
      </c>
      <c r="CH51" s="14">
        <f t="shared" si="97"/>
        <v>0</v>
      </c>
      <c r="CI51" s="14">
        <f t="shared" si="21"/>
        <v>0.18</v>
      </c>
      <c r="CJ51" s="47">
        <f t="shared" si="65"/>
        <v>0</v>
      </c>
      <c r="CK51" s="35">
        <f t="shared" si="22"/>
        <v>2.56</v>
      </c>
      <c r="CL51" s="157">
        <f t="shared" si="84"/>
        <v>0</v>
      </c>
      <c r="CM51" s="134"/>
      <c r="CN51" s="14">
        <f t="shared" si="23"/>
        <v>38</v>
      </c>
      <c r="CO51" s="48">
        <f t="shared" si="85"/>
        <v>0</v>
      </c>
      <c r="CP51" s="68">
        <f t="shared" si="66"/>
        <v>0</v>
      </c>
      <c r="CQ51" s="51">
        <f t="shared" si="24"/>
        <v>425</v>
      </c>
      <c r="CR51" s="103">
        <f t="shared" si="247"/>
        <v>0</v>
      </c>
      <c r="CS51" s="46">
        <f t="shared" si="138"/>
        <v>425</v>
      </c>
      <c r="CT51" s="50">
        <f t="shared" si="25"/>
        <v>79</v>
      </c>
      <c r="CU51" s="103">
        <f t="shared" si="248"/>
        <v>0</v>
      </c>
      <c r="CV51" s="46">
        <f t="shared" si="47"/>
        <v>79</v>
      </c>
      <c r="CX51" s="120">
        <f t="shared" si="249"/>
        <v>20</v>
      </c>
      <c r="CY51" s="7">
        <f t="shared" si="250"/>
        <v>6</v>
      </c>
      <c r="CZ51" s="133"/>
      <c r="DA51" s="14">
        <f t="shared" si="228"/>
        <v>0</v>
      </c>
      <c r="DB51" s="59">
        <f t="shared" si="139"/>
        <v>0</v>
      </c>
      <c r="DC51" s="405"/>
      <c r="DD51" s="406"/>
      <c r="DE51" s="406"/>
      <c r="DF51" s="14">
        <f t="shared" si="110"/>
        <v>0</v>
      </c>
      <c r="DG51" s="14">
        <f t="shared" si="99"/>
        <v>0</v>
      </c>
      <c r="DH51" s="14">
        <f t="shared" si="26"/>
        <v>0.18</v>
      </c>
      <c r="DI51" s="47">
        <f t="shared" si="111"/>
        <v>0</v>
      </c>
      <c r="DJ51" s="35">
        <f t="shared" si="27"/>
        <v>2.56</v>
      </c>
      <c r="DK51" s="157">
        <f t="shared" si="101"/>
        <v>0</v>
      </c>
      <c r="DL51" s="134"/>
      <c r="DM51" s="14">
        <f t="shared" si="28"/>
        <v>38</v>
      </c>
      <c r="DN51" s="48">
        <f t="shared" si="132"/>
        <v>0</v>
      </c>
      <c r="DO51" s="68">
        <f t="shared" si="102"/>
        <v>0</v>
      </c>
      <c r="DP51" s="51">
        <f t="shared" si="29"/>
        <v>425</v>
      </c>
      <c r="DQ51" s="103">
        <f t="shared" si="251"/>
        <v>0</v>
      </c>
      <c r="DR51" s="46">
        <f t="shared" si="140"/>
        <v>425</v>
      </c>
      <c r="DS51" s="50">
        <f t="shared" si="30"/>
        <v>79</v>
      </c>
      <c r="DT51" s="103">
        <f t="shared" si="252"/>
        <v>0</v>
      </c>
      <c r="DU51" s="46">
        <f t="shared" si="92"/>
        <v>79</v>
      </c>
    </row>
    <row r="52" spans="1:125" ht="17.25" thickBot="1" x14ac:dyDescent="0.3">
      <c r="B52" s="120">
        <f t="shared" si="233"/>
        <v>10</v>
      </c>
      <c r="C52" s="570">
        <f t="shared" si="234"/>
        <v>6</v>
      </c>
      <c r="D52" s="133"/>
      <c r="E52" s="408">
        <f t="shared" si="31"/>
        <v>0</v>
      </c>
      <c r="F52" s="562">
        <f t="shared" si="0"/>
        <v>0</v>
      </c>
      <c r="G52" s="134"/>
      <c r="H52" s="135"/>
      <c r="I52" s="135"/>
      <c r="J52" s="14">
        <f t="shared" si="103"/>
        <v>0</v>
      </c>
      <c r="K52" s="14">
        <f t="shared" si="32"/>
        <v>0</v>
      </c>
      <c r="L52" s="14">
        <f t="shared" si="1"/>
        <v>0.18</v>
      </c>
      <c r="M52" s="47">
        <f t="shared" si="53"/>
        <v>0</v>
      </c>
      <c r="N52" s="35">
        <f t="shared" si="2"/>
        <v>2.56</v>
      </c>
      <c r="O52" s="132">
        <f t="shared" si="33"/>
        <v>0</v>
      </c>
      <c r="P52" s="142"/>
      <c r="Q52" s="14">
        <f t="shared" si="3"/>
        <v>38</v>
      </c>
      <c r="R52" s="442">
        <f t="shared" si="4"/>
        <v>0</v>
      </c>
      <c r="S52" s="470">
        <f t="shared" si="34"/>
        <v>0</v>
      </c>
      <c r="T52" s="51">
        <f t="shared" si="5"/>
        <v>425</v>
      </c>
      <c r="U52" s="103">
        <f t="shared" si="235"/>
        <v>0</v>
      </c>
      <c r="V52" s="46">
        <f t="shared" si="35"/>
        <v>425</v>
      </c>
      <c r="W52" s="51">
        <f t="shared" si="6"/>
        <v>79</v>
      </c>
      <c r="X52" s="103">
        <f t="shared" si="236"/>
        <v>0</v>
      </c>
      <c r="Y52" s="46">
        <f t="shared" si="36"/>
        <v>79</v>
      </c>
      <c r="Z52" s="487"/>
      <c r="AA52" s="120">
        <f t="shared" si="237"/>
        <v>10</v>
      </c>
      <c r="AB52" s="7">
        <f t="shared" si="238"/>
        <v>6</v>
      </c>
      <c r="AC52" s="133"/>
      <c r="AD52" s="48">
        <f t="shared" si="253"/>
        <v>0</v>
      </c>
      <c r="AE52" s="196">
        <f t="shared" si="254"/>
        <v>0</v>
      </c>
      <c r="AF52" s="134"/>
      <c r="AG52" s="135"/>
      <c r="AH52" s="135"/>
      <c r="AI52" s="14">
        <f t="shared" si="105"/>
        <v>0</v>
      </c>
      <c r="AJ52" s="14">
        <f t="shared" si="162"/>
        <v>0</v>
      </c>
      <c r="AK52" s="14">
        <f t="shared" si="8"/>
        <v>0.18</v>
      </c>
      <c r="AL52" s="47">
        <f t="shared" si="38"/>
        <v>0</v>
      </c>
      <c r="AM52" s="35">
        <f t="shared" si="9"/>
        <v>2.56</v>
      </c>
      <c r="AN52" s="157">
        <f t="shared" si="93"/>
        <v>0</v>
      </c>
      <c r="AO52" s="134"/>
      <c r="AP52" s="14">
        <f t="shared" si="10"/>
        <v>38</v>
      </c>
      <c r="AQ52" s="482">
        <f t="shared" si="39"/>
        <v>0</v>
      </c>
      <c r="AR52" s="470">
        <f t="shared" si="164"/>
        <v>0</v>
      </c>
      <c r="AS52" s="51">
        <f t="shared" si="11"/>
        <v>425</v>
      </c>
      <c r="AT52" s="103">
        <f t="shared" si="239"/>
        <v>0</v>
      </c>
      <c r="AU52" s="46">
        <f t="shared" si="136"/>
        <v>425</v>
      </c>
      <c r="AV52" s="51">
        <f t="shared" si="12"/>
        <v>79</v>
      </c>
      <c r="AW52" s="103">
        <f t="shared" si="240"/>
        <v>0</v>
      </c>
      <c r="AX52" s="46">
        <f t="shared" si="94"/>
        <v>79</v>
      </c>
      <c r="AZ52" s="120">
        <f t="shared" si="241"/>
        <v>10</v>
      </c>
      <c r="BA52" s="7">
        <f t="shared" si="242"/>
        <v>6</v>
      </c>
      <c r="BB52" s="133"/>
      <c r="BC52" s="48">
        <f t="shared" si="42"/>
        <v>0</v>
      </c>
      <c r="BD52" s="196">
        <f t="shared" si="255"/>
        <v>0</v>
      </c>
      <c r="BE52" s="134"/>
      <c r="BF52" s="135"/>
      <c r="BG52" s="135"/>
      <c r="BH52" s="14">
        <f t="shared" si="106"/>
        <v>0</v>
      </c>
      <c r="BI52" s="14">
        <f t="shared" si="151"/>
        <v>0</v>
      </c>
      <c r="BJ52" s="14">
        <f t="shared" si="14"/>
        <v>0.18</v>
      </c>
      <c r="BK52" s="47">
        <f t="shared" si="60"/>
        <v>0</v>
      </c>
      <c r="BL52" s="35">
        <f t="shared" si="15"/>
        <v>2.56</v>
      </c>
      <c r="BM52" s="132">
        <f t="shared" si="167"/>
        <v>0</v>
      </c>
      <c r="BN52" s="134"/>
      <c r="BO52" s="14">
        <f t="shared" si="17"/>
        <v>38</v>
      </c>
      <c r="BP52" s="442">
        <f t="shared" si="61"/>
        <v>0</v>
      </c>
      <c r="BQ52" s="747">
        <f t="shared" si="81"/>
        <v>0</v>
      </c>
      <c r="BR52" s="51">
        <f t="shared" si="18"/>
        <v>425</v>
      </c>
      <c r="BS52" s="103">
        <f t="shared" si="243"/>
        <v>0</v>
      </c>
      <c r="BT52" s="46">
        <f t="shared" si="137"/>
        <v>425</v>
      </c>
      <c r="BU52" s="51">
        <f t="shared" si="20"/>
        <v>79</v>
      </c>
      <c r="BV52" s="103">
        <f t="shared" si="244"/>
        <v>0</v>
      </c>
      <c r="BW52" s="46">
        <f t="shared" si="95"/>
        <v>79</v>
      </c>
      <c r="BY52" s="120">
        <f t="shared" si="245"/>
        <v>21</v>
      </c>
      <c r="BZ52" s="7">
        <f t="shared" si="246"/>
        <v>6</v>
      </c>
      <c r="CA52" s="133"/>
      <c r="CB52" s="14">
        <f t="shared" si="96"/>
        <v>0</v>
      </c>
      <c r="CC52" s="59">
        <f t="shared" si="107"/>
        <v>0</v>
      </c>
      <c r="CD52" s="405"/>
      <c r="CE52" s="406"/>
      <c r="CF52" s="406"/>
      <c r="CG52" s="14">
        <f t="shared" si="108"/>
        <v>0</v>
      </c>
      <c r="CH52" s="14">
        <f t="shared" si="97"/>
        <v>0</v>
      </c>
      <c r="CI52" s="14">
        <f t="shared" si="21"/>
        <v>0.18</v>
      </c>
      <c r="CJ52" s="47">
        <f t="shared" si="65"/>
        <v>0</v>
      </c>
      <c r="CK52" s="35">
        <f t="shared" si="22"/>
        <v>2.56</v>
      </c>
      <c r="CL52" s="157">
        <f t="shared" si="84"/>
        <v>0</v>
      </c>
      <c r="CM52" s="134"/>
      <c r="CN52" s="14">
        <f t="shared" si="23"/>
        <v>38</v>
      </c>
      <c r="CO52" s="48">
        <f t="shared" si="85"/>
        <v>0</v>
      </c>
      <c r="CP52" s="68">
        <f t="shared" si="66"/>
        <v>0</v>
      </c>
      <c r="CQ52" s="51">
        <f t="shared" si="24"/>
        <v>425</v>
      </c>
      <c r="CR52" s="103">
        <f t="shared" si="247"/>
        <v>0</v>
      </c>
      <c r="CS52" s="46">
        <f t="shared" si="138"/>
        <v>425</v>
      </c>
      <c r="CT52" s="50">
        <f t="shared" si="25"/>
        <v>79</v>
      </c>
      <c r="CU52" s="103">
        <f t="shared" si="248"/>
        <v>0</v>
      </c>
      <c r="CV52" s="46">
        <f t="shared" si="47"/>
        <v>79</v>
      </c>
      <c r="CX52" s="120">
        <f t="shared" si="249"/>
        <v>21</v>
      </c>
      <c r="CY52" s="7">
        <f t="shared" si="250"/>
        <v>6</v>
      </c>
      <c r="CZ52" s="133"/>
      <c r="DA52" s="14">
        <f t="shared" si="228"/>
        <v>0</v>
      </c>
      <c r="DB52" s="59">
        <f t="shared" si="139"/>
        <v>0</v>
      </c>
      <c r="DC52" s="405"/>
      <c r="DD52" s="406"/>
      <c r="DE52" s="406"/>
      <c r="DF52" s="14">
        <f t="shared" si="110"/>
        <v>0</v>
      </c>
      <c r="DG52" s="14">
        <f t="shared" si="99"/>
        <v>0</v>
      </c>
      <c r="DH52" s="14">
        <f t="shared" si="26"/>
        <v>0.18</v>
      </c>
      <c r="DI52" s="47">
        <f t="shared" si="111"/>
        <v>0</v>
      </c>
      <c r="DJ52" s="35">
        <f t="shared" si="27"/>
        <v>2.56</v>
      </c>
      <c r="DK52" s="157">
        <f t="shared" si="101"/>
        <v>0</v>
      </c>
      <c r="DL52" s="134"/>
      <c r="DM52" s="14">
        <f t="shared" si="28"/>
        <v>38</v>
      </c>
      <c r="DN52" s="48">
        <f t="shared" si="132"/>
        <v>0</v>
      </c>
      <c r="DO52" s="68">
        <f t="shared" si="102"/>
        <v>0</v>
      </c>
      <c r="DP52" s="51">
        <f t="shared" si="29"/>
        <v>425</v>
      </c>
      <c r="DQ52" s="103">
        <f t="shared" si="251"/>
        <v>0</v>
      </c>
      <c r="DR52" s="46">
        <f t="shared" si="140"/>
        <v>425</v>
      </c>
      <c r="DS52" s="50">
        <f t="shared" si="30"/>
        <v>79</v>
      </c>
      <c r="DT52" s="103">
        <f t="shared" si="252"/>
        <v>0</v>
      </c>
      <c r="DU52" s="46">
        <f t="shared" si="92"/>
        <v>79</v>
      </c>
    </row>
    <row r="53" spans="1:125" ht="17.25" thickBot="1" x14ac:dyDescent="0.3">
      <c r="B53" s="120">
        <f t="shared" si="233"/>
        <v>11</v>
      </c>
      <c r="C53" s="570">
        <f t="shared" si="234"/>
        <v>6</v>
      </c>
      <c r="D53" s="133"/>
      <c r="E53" s="408">
        <f t="shared" si="31"/>
        <v>0</v>
      </c>
      <c r="F53" s="562">
        <f t="shared" si="0"/>
        <v>0</v>
      </c>
      <c r="G53" s="134"/>
      <c r="H53" s="135"/>
      <c r="I53" s="135"/>
      <c r="J53" s="14">
        <f t="shared" si="103"/>
        <v>0</v>
      </c>
      <c r="K53" s="14">
        <f t="shared" si="32"/>
        <v>0</v>
      </c>
      <c r="L53" s="14">
        <f t="shared" si="1"/>
        <v>0.18</v>
      </c>
      <c r="M53" s="47">
        <f t="shared" si="53"/>
        <v>0</v>
      </c>
      <c r="N53" s="35">
        <f t="shared" si="2"/>
        <v>2.56</v>
      </c>
      <c r="O53" s="132">
        <f t="shared" si="33"/>
        <v>0</v>
      </c>
      <c r="P53" s="142"/>
      <c r="Q53" s="14">
        <f t="shared" si="3"/>
        <v>38</v>
      </c>
      <c r="R53" s="442">
        <f t="shared" si="4"/>
        <v>0</v>
      </c>
      <c r="S53" s="470">
        <f t="shared" si="34"/>
        <v>0</v>
      </c>
      <c r="T53" s="51">
        <f t="shared" si="5"/>
        <v>425</v>
      </c>
      <c r="U53" s="103">
        <f t="shared" si="235"/>
        <v>0</v>
      </c>
      <c r="V53" s="46">
        <f t="shared" si="35"/>
        <v>425</v>
      </c>
      <c r="W53" s="12">
        <f t="shared" si="6"/>
        <v>79</v>
      </c>
      <c r="X53" s="103">
        <f t="shared" si="236"/>
        <v>0</v>
      </c>
      <c r="Y53" s="46">
        <f t="shared" si="36"/>
        <v>79</v>
      </c>
      <c r="Z53" s="487"/>
      <c r="AA53" s="120">
        <f t="shared" si="237"/>
        <v>11</v>
      </c>
      <c r="AB53" s="7">
        <f t="shared" si="238"/>
        <v>6</v>
      </c>
      <c r="AC53" s="133"/>
      <c r="AD53" s="48">
        <f t="shared" si="253"/>
        <v>0</v>
      </c>
      <c r="AE53" s="49">
        <f t="shared" si="254"/>
        <v>0</v>
      </c>
      <c r="AF53" s="134"/>
      <c r="AG53" s="135"/>
      <c r="AH53" s="135"/>
      <c r="AI53" s="14">
        <f t="shared" si="105"/>
        <v>0</v>
      </c>
      <c r="AJ53" s="14">
        <f t="shared" si="162"/>
        <v>0</v>
      </c>
      <c r="AK53" s="14">
        <f t="shared" si="8"/>
        <v>0.18</v>
      </c>
      <c r="AL53" s="47">
        <f t="shared" si="38"/>
        <v>0</v>
      </c>
      <c r="AM53" s="35">
        <f t="shared" si="9"/>
        <v>2.56</v>
      </c>
      <c r="AN53" s="157">
        <f t="shared" si="93"/>
        <v>0</v>
      </c>
      <c r="AO53" s="134"/>
      <c r="AP53" s="14">
        <f t="shared" si="10"/>
        <v>38</v>
      </c>
      <c r="AQ53" s="482">
        <f t="shared" si="39"/>
        <v>0</v>
      </c>
      <c r="AR53" s="470">
        <f t="shared" si="164"/>
        <v>0</v>
      </c>
      <c r="AS53" s="51">
        <f t="shared" si="11"/>
        <v>425</v>
      </c>
      <c r="AT53" s="103">
        <f t="shared" si="239"/>
        <v>0</v>
      </c>
      <c r="AU53" s="46">
        <f t="shared" si="136"/>
        <v>425</v>
      </c>
      <c r="AV53" s="12">
        <f t="shared" si="12"/>
        <v>79</v>
      </c>
      <c r="AW53" s="103">
        <f t="shared" si="240"/>
        <v>0</v>
      </c>
      <c r="AX53" s="46">
        <f t="shared" si="94"/>
        <v>79</v>
      </c>
      <c r="AZ53" s="120">
        <f t="shared" si="241"/>
        <v>11</v>
      </c>
      <c r="BA53" s="7">
        <f t="shared" si="242"/>
        <v>6</v>
      </c>
      <c r="BB53" s="133"/>
      <c r="BC53" s="48">
        <f t="shared" si="42"/>
        <v>0</v>
      </c>
      <c r="BD53" s="49">
        <f t="shared" si="255"/>
        <v>0</v>
      </c>
      <c r="BE53" s="134"/>
      <c r="BF53" s="135"/>
      <c r="BG53" s="135"/>
      <c r="BH53" s="14">
        <f t="shared" si="106"/>
        <v>0</v>
      </c>
      <c r="BI53" s="14">
        <f t="shared" si="151"/>
        <v>0</v>
      </c>
      <c r="BJ53" s="14">
        <f t="shared" si="14"/>
        <v>0.18</v>
      </c>
      <c r="BK53" s="47">
        <f t="shared" si="60"/>
        <v>0</v>
      </c>
      <c r="BL53" s="35">
        <f t="shared" si="15"/>
        <v>2.56</v>
      </c>
      <c r="BM53" s="132">
        <f t="shared" si="167"/>
        <v>0</v>
      </c>
      <c r="BN53" s="134"/>
      <c r="BO53" s="14">
        <f t="shared" si="17"/>
        <v>38</v>
      </c>
      <c r="BP53" s="442">
        <f t="shared" si="61"/>
        <v>0</v>
      </c>
      <c r="BQ53" s="747">
        <f t="shared" si="81"/>
        <v>0</v>
      </c>
      <c r="BR53" s="51">
        <f t="shared" si="18"/>
        <v>425</v>
      </c>
      <c r="BS53" s="103">
        <f t="shared" si="243"/>
        <v>0</v>
      </c>
      <c r="BT53" s="46">
        <f t="shared" si="137"/>
        <v>425</v>
      </c>
      <c r="BU53" s="12">
        <f t="shared" si="20"/>
        <v>79</v>
      </c>
      <c r="BV53" s="103">
        <f t="shared" si="244"/>
        <v>0</v>
      </c>
      <c r="BW53" s="46">
        <f t="shared" si="95"/>
        <v>79</v>
      </c>
      <c r="BY53" s="120">
        <f t="shared" si="245"/>
        <v>22</v>
      </c>
      <c r="BZ53" s="7">
        <f t="shared" si="246"/>
        <v>6</v>
      </c>
      <c r="CA53" s="133"/>
      <c r="CB53" s="14">
        <f t="shared" si="96"/>
        <v>0</v>
      </c>
      <c r="CC53" s="46">
        <f>IFERROR(CB53-CG53,0)</f>
        <v>0</v>
      </c>
      <c r="CD53" s="405"/>
      <c r="CE53" s="406"/>
      <c r="CF53" s="406"/>
      <c r="CG53" s="14">
        <f t="shared" si="108"/>
        <v>0</v>
      </c>
      <c r="CH53" s="14">
        <f t="shared" si="97"/>
        <v>0</v>
      </c>
      <c r="CI53" s="14">
        <f t="shared" si="21"/>
        <v>0.18</v>
      </c>
      <c r="CJ53" s="47">
        <f t="shared" si="65"/>
        <v>0</v>
      </c>
      <c r="CK53" s="35">
        <f t="shared" si="22"/>
        <v>2.56</v>
      </c>
      <c r="CL53" s="157">
        <f t="shared" si="84"/>
        <v>0</v>
      </c>
      <c r="CM53" s="134"/>
      <c r="CN53" s="14">
        <f t="shared" si="23"/>
        <v>38</v>
      </c>
      <c r="CO53" s="48">
        <f t="shared" si="85"/>
        <v>0</v>
      </c>
      <c r="CP53" s="68">
        <f t="shared" si="66"/>
        <v>0</v>
      </c>
      <c r="CQ53" s="51">
        <f t="shared" si="24"/>
        <v>425</v>
      </c>
      <c r="CR53" s="103">
        <f t="shared" si="247"/>
        <v>0</v>
      </c>
      <c r="CS53" s="46">
        <f t="shared" si="138"/>
        <v>425</v>
      </c>
      <c r="CT53" s="50">
        <f t="shared" si="25"/>
        <v>79</v>
      </c>
      <c r="CU53" s="103">
        <f t="shared" si="248"/>
        <v>0</v>
      </c>
      <c r="CV53" s="46">
        <f t="shared" si="47"/>
        <v>79</v>
      </c>
      <c r="CX53" s="120">
        <f t="shared" si="249"/>
        <v>22</v>
      </c>
      <c r="CY53" s="7">
        <f t="shared" si="250"/>
        <v>6</v>
      </c>
      <c r="CZ53" s="133"/>
      <c r="DA53" s="14">
        <f t="shared" si="228"/>
        <v>0</v>
      </c>
      <c r="DB53" s="46">
        <f>IFERROR(DA53-DF53,0)</f>
        <v>0</v>
      </c>
      <c r="DC53" s="405"/>
      <c r="DD53" s="406"/>
      <c r="DE53" s="406"/>
      <c r="DF53" s="14">
        <f t="shared" si="110"/>
        <v>0</v>
      </c>
      <c r="DG53" s="14">
        <f t="shared" si="99"/>
        <v>0</v>
      </c>
      <c r="DH53" s="14">
        <f t="shared" si="26"/>
        <v>0.18</v>
      </c>
      <c r="DI53" s="47">
        <f t="shared" si="111"/>
        <v>0</v>
      </c>
      <c r="DJ53" s="35">
        <f t="shared" si="27"/>
        <v>2.56</v>
      </c>
      <c r="DK53" s="157">
        <f t="shared" si="101"/>
        <v>0</v>
      </c>
      <c r="DL53" s="134"/>
      <c r="DM53" s="14">
        <f t="shared" si="28"/>
        <v>38</v>
      </c>
      <c r="DN53" s="48">
        <f t="shared" si="132"/>
        <v>0</v>
      </c>
      <c r="DO53" s="68">
        <f t="shared" si="102"/>
        <v>0</v>
      </c>
      <c r="DP53" s="51">
        <f t="shared" si="29"/>
        <v>425</v>
      </c>
      <c r="DQ53" s="103">
        <f t="shared" si="251"/>
        <v>0</v>
      </c>
      <c r="DR53" s="46">
        <f t="shared" si="140"/>
        <v>425</v>
      </c>
      <c r="DS53" s="50">
        <f t="shared" si="30"/>
        <v>79</v>
      </c>
      <c r="DT53" s="103">
        <f t="shared" si="252"/>
        <v>0</v>
      </c>
      <c r="DU53" s="46">
        <f t="shared" si="92"/>
        <v>79</v>
      </c>
    </row>
    <row r="54" spans="1:125" ht="17.25" thickBot="1" x14ac:dyDescent="0.3">
      <c r="B54" s="120">
        <f t="shared" si="233"/>
        <v>12</v>
      </c>
      <c r="C54" s="574">
        <f t="shared" si="234"/>
        <v>6</v>
      </c>
      <c r="D54" s="136"/>
      <c r="E54" s="436">
        <f t="shared" si="31"/>
        <v>0</v>
      </c>
      <c r="F54" s="451">
        <f t="shared" si="0"/>
        <v>0</v>
      </c>
      <c r="G54" s="137"/>
      <c r="H54" s="138"/>
      <c r="I54" s="138"/>
      <c r="J54" s="32">
        <f t="shared" si="103"/>
        <v>0</v>
      </c>
      <c r="K54" s="32">
        <f t="shared" si="32"/>
        <v>0</v>
      </c>
      <c r="L54" s="32">
        <f t="shared" si="1"/>
        <v>0.18</v>
      </c>
      <c r="M54" s="96">
        <f t="shared" si="53"/>
        <v>0</v>
      </c>
      <c r="N54" s="36">
        <f t="shared" si="2"/>
        <v>2.56</v>
      </c>
      <c r="O54" s="132">
        <f t="shared" si="33"/>
        <v>0</v>
      </c>
      <c r="P54" s="139"/>
      <c r="Q54" s="32">
        <f t="shared" si="3"/>
        <v>38</v>
      </c>
      <c r="R54" s="443">
        <f t="shared" si="4"/>
        <v>0</v>
      </c>
      <c r="S54" s="471">
        <f t="shared" si="34"/>
        <v>0</v>
      </c>
      <c r="T54" s="56">
        <f t="shared" si="5"/>
        <v>425</v>
      </c>
      <c r="U54" s="109">
        <f t="shared" si="235"/>
        <v>0</v>
      </c>
      <c r="V54" s="63">
        <f t="shared" si="35"/>
        <v>425</v>
      </c>
      <c r="W54" s="56">
        <f t="shared" si="6"/>
        <v>79</v>
      </c>
      <c r="X54" s="109">
        <f t="shared" si="236"/>
        <v>0</v>
      </c>
      <c r="Y54" s="63">
        <f t="shared" si="36"/>
        <v>79</v>
      </c>
      <c r="Z54" s="487"/>
      <c r="AA54" s="120">
        <f t="shared" si="237"/>
        <v>12</v>
      </c>
      <c r="AB54" s="8">
        <f t="shared" si="238"/>
        <v>6</v>
      </c>
      <c r="AC54" s="136"/>
      <c r="AD54" s="54">
        <f t="shared" si="253"/>
        <v>0</v>
      </c>
      <c r="AE54" s="448">
        <f t="shared" si="254"/>
        <v>0</v>
      </c>
      <c r="AF54" s="137"/>
      <c r="AG54" s="138"/>
      <c r="AH54" s="138"/>
      <c r="AI54" s="34">
        <f t="shared" si="105"/>
        <v>0</v>
      </c>
      <c r="AJ54" s="34">
        <f t="shared" si="162"/>
        <v>0</v>
      </c>
      <c r="AK54" s="32">
        <f t="shared" si="8"/>
        <v>0.18</v>
      </c>
      <c r="AL54" s="231">
        <f t="shared" si="38"/>
        <v>0</v>
      </c>
      <c r="AM54" s="36">
        <f t="shared" si="9"/>
        <v>2.56</v>
      </c>
      <c r="AN54" s="157">
        <f t="shared" si="93"/>
        <v>0</v>
      </c>
      <c r="AO54" s="137"/>
      <c r="AP54" s="13">
        <f t="shared" si="10"/>
        <v>38</v>
      </c>
      <c r="AQ54" s="443">
        <f t="shared" si="39"/>
        <v>0</v>
      </c>
      <c r="AR54" s="471">
        <f t="shared" si="164"/>
        <v>0</v>
      </c>
      <c r="AS54" s="50">
        <f t="shared" si="11"/>
        <v>425</v>
      </c>
      <c r="AT54" s="103">
        <f t="shared" si="239"/>
        <v>0</v>
      </c>
      <c r="AU54" s="63">
        <f t="shared" si="136"/>
        <v>425</v>
      </c>
      <c r="AV54" s="56">
        <f t="shared" si="12"/>
        <v>79</v>
      </c>
      <c r="AW54" s="103">
        <f t="shared" si="240"/>
        <v>0</v>
      </c>
      <c r="AX54" s="63">
        <f t="shared" si="94"/>
        <v>79</v>
      </c>
      <c r="AZ54" s="197">
        <f t="shared" si="241"/>
        <v>12</v>
      </c>
      <c r="BA54" s="8">
        <f t="shared" si="242"/>
        <v>6</v>
      </c>
      <c r="BB54" s="136"/>
      <c r="BC54" s="54">
        <f t="shared" si="42"/>
        <v>0</v>
      </c>
      <c r="BD54" s="448">
        <f t="shared" si="255"/>
        <v>0</v>
      </c>
      <c r="BE54" s="137"/>
      <c r="BF54" s="138"/>
      <c r="BG54" s="138"/>
      <c r="BH54" s="34">
        <f t="shared" si="106"/>
        <v>0</v>
      </c>
      <c r="BI54" s="34">
        <f t="shared" si="151"/>
        <v>0</v>
      </c>
      <c r="BJ54" s="32">
        <f t="shared" si="14"/>
        <v>0.18</v>
      </c>
      <c r="BK54" s="96">
        <f t="shared" si="60"/>
        <v>0</v>
      </c>
      <c r="BL54" s="36">
        <f t="shared" si="15"/>
        <v>2.56</v>
      </c>
      <c r="BM54" s="132">
        <f t="shared" si="167"/>
        <v>0</v>
      </c>
      <c r="BN54" s="137"/>
      <c r="BO54" s="32">
        <f t="shared" si="17"/>
        <v>38</v>
      </c>
      <c r="BP54" s="443">
        <f t="shared" si="61"/>
        <v>0</v>
      </c>
      <c r="BQ54" s="750">
        <f t="shared" si="81"/>
        <v>0</v>
      </c>
      <c r="BR54" s="56">
        <f t="shared" si="18"/>
        <v>425</v>
      </c>
      <c r="BS54" s="109">
        <f t="shared" si="243"/>
        <v>0</v>
      </c>
      <c r="BT54" s="63">
        <f t="shared" si="137"/>
        <v>425</v>
      </c>
      <c r="BU54" s="56">
        <f t="shared" si="20"/>
        <v>79</v>
      </c>
      <c r="BV54" s="109">
        <f t="shared" si="244"/>
        <v>0</v>
      </c>
      <c r="BW54" s="63">
        <f t="shared" si="95"/>
        <v>79</v>
      </c>
      <c r="BY54" s="120">
        <f t="shared" si="245"/>
        <v>23</v>
      </c>
      <c r="BZ54" s="8">
        <f t="shared" si="246"/>
        <v>6</v>
      </c>
      <c r="CA54" s="136"/>
      <c r="CB54" s="32">
        <f t="shared" si="96"/>
        <v>0</v>
      </c>
      <c r="CC54" s="63">
        <f t="shared" si="107"/>
        <v>0</v>
      </c>
      <c r="CD54" s="421"/>
      <c r="CE54" s="426"/>
      <c r="CF54" s="426"/>
      <c r="CG54" s="34">
        <f t="shared" si="108"/>
        <v>0</v>
      </c>
      <c r="CH54" s="34">
        <f t="shared" si="97"/>
        <v>0</v>
      </c>
      <c r="CI54" s="32">
        <f t="shared" si="21"/>
        <v>0.18</v>
      </c>
      <c r="CJ54" s="96">
        <f t="shared" si="65"/>
        <v>0</v>
      </c>
      <c r="CK54" s="36">
        <f t="shared" si="22"/>
        <v>2.56</v>
      </c>
      <c r="CL54" s="156">
        <f t="shared" si="84"/>
        <v>0</v>
      </c>
      <c r="CM54" s="137"/>
      <c r="CN54" s="13">
        <f t="shared" si="23"/>
        <v>38</v>
      </c>
      <c r="CO54" s="54">
        <f t="shared" si="85"/>
        <v>0</v>
      </c>
      <c r="CP54" s="70">
        <f t="shared" si="66"/>
        <v>0</v>
      </c>
      <c r="CQ54" s="50">
        <f t="shared" si="24"/>
        <v>425</v>
      </c>
      <c r="CR54" s="103">
        <f t="shared" si="247"/>
        <v>0</v>
      </c>
      <c r="CS54" s="63">
        <f t="shared" si="138"/>
        <v>425</v>
      </c>
      <c r="CT54" s="56">
        <f t="shared" si="25"/>
        <v>79</v>
      </c>
      <c r="CU54" s="103">
        <f t="shared" si="248"/>
        <v>0</v>
      </c>
      <c r="CV54" s="63">
        <f t="shared" si="47"/>
        <v>79</v>
      </c>
      <c r="CX54" s="120">
        <f t="shared" si="249"/>
        <v>23</v>
      </c>
      <c r="CY54" s="8">
        <f t="shared" si="250"/>
        <v>6</v>
      </c>
      <c r="CZ54" s="136"/>
      <c r="DA54" s="32">
        <f t="shared" si="228"/>
        <v>0</v>
      </c>
      <c r="DB54" s="63">
        <f t="shared" ref="DB54:DB117" si="256">IFERROR(DA54-DF54,0)</f>
        <v>0</v>
      </c>
      <c r="DC54" s="421"/>
      <c r="DD54" s="426"/>
      <c r="DE54" s="426"/>
      <c r="DF54" s="34">
        <f t="shared" si="110"/>
        <v>0</v>
      </c>
      <c r="DG54" s="34">
        <f t="shared" si="99"/>
        <v>0</v>
      </c>
      <c r="DH54" s="32">
        <f t="shared" si="26"/>
        <v>0.18</v>
      </c>
      <c r="DI54" s="96">
        <f t="shared" si="111"/>
        <v>0</v>
      </c>
      <c r="DJ54" s="36">
        <f t="shared" si="27"/>
        <v>2.56</v>
      </c>
      <c r="DK54" s="156">
        <f t="shared" si="101"/>
        <v>0</v>
      </c>
      <c r="DL54" s="137"/>
      <c r="DM54" s="13">
        <f t="shared" si="28"/>
        <v>38</v>
      </c>
      <c r="DN54" s="54">
        <f t="shared" si="132"/>
        <v>0</v>
      </c>
      <c r="DO54" s="70">
        <f t="shared" si="102"/>
        <v>0</v>
      </c>
      <c r="DP54" s="50">
        <f t="shared" si="29"/>
        <v>425</v>
      </c>
      <c r="DQ54" s="103">
        <f t="shared" si="251"/>
        <v>0</v>
      </c>
      <c r="DR54" s="63">
        <f t="shared" si="140"/>
        <v>425</v>
      </c>
      <c r="DS54" s="56">
        <f t="shared" si="30"/>
        <v>79</v>
      </c>
      <c r="DT54" s="103">
        <f t="shared" si="252"/>
        <v>0</v>
      </c>
      <c r="DU54" s="63">
        <f t="shared" si="92"/>
        <v>79</v>
      </c>
    </row>
    <row r="55" spans="1:125" ht="17.25" thickBot="1" x14ac:dyDescent="0.3">
      <c r="B55" s="118">
        <v>13</v>
      </c>
      <c r="C55" s="575">
        <v>7</v>
      </c>
      <c r="D55" s="129"/>
      <c r="E55" s="400">
        <f t="shared" si="31"/>
        <v>0</v>
      </c>
      <c r="F55" s="561">
        <f t="shared" si="0"/>
        <v>0</v>
      </c>
      <c r="G55" s="130"/>
      <c r="H55" s="131"/>
      <c r="I55" s="131"/>
      <c r="J55" s="11">
        <f t="shared" si="103"/>
        <v>0</v>
      </c>
      <c r="K55" s="11">
        <f t="shared" si="32"/>
        <v>0</v>
      </c>
      <c r="L55" s="16">
        <f t="shared" si="1"/>
        <v>0.16</v>
      </c>
      <c r="M55" s="153">
        <f t="shared" si="53"/>
        <v>0</v>
      </c>
      <c r="N55" s="154">
        <f t="shared" si="2"/>
        <v>2.72</v>
      </c>
      <c r="O55" s="132">
        <f t="shared" si="33"/>
        <v>0</v>
      </c>
      <c r="P55" s="158"/>
      <c r="Q55" s="11">
        <f t="shared" si="3"/>
        <v>42</v>
      </c>
      <c r="R55" s="481">
        <f t="shared" si="4"/>
        <v>0</v>
      </c>
      <c r="S55" s="469">
        <f t="shared" si="34"/>
        <v>0</v>
      </c>
      <c r="T55" s="58">
        <f t="shared" si="5"/>
        <v>524</v>
      </c>
      <c r="U55" s="131"/>
      <c r="V55" s="41">
        <f t="shared" si="35"/>
        <v>524</v>
      </c>
      <c r="W55" s="18">
        <f t="shared" si="6"/>
        <v>79</v>
      </c>
      <c r="X55" s="131"/>
      <c r="Y55" s="41">
        <f t="shared" si="36"/>
        <v>79</v>
      </c>
      <c r="Z55" s="487"/>
      <c r="AA55" s="118">
        <v>13</v>
      </c>
      <c r="AB55" s="9">
        <v>7</v>
      </c>
      <c r="AC55" s="129"/>
      <c r="AD55" s="43">
        <f t="shared" si="253"/>
        <v>0</v>
      </c>
      <c r="AE55" s="44">
        <f t="shared" si="254"/>
        <v>0</v>
      </c>
      <c r="AF55" s="130"/>
      <c r="AG55" s="131"/>
      <c r="AH55" s="131"/>
      <c r="AI55" s="11">
        <f t="shared" si="105"/>
        <v>0</v>
      </c>
      <c r="AJ55" s="11">
        <f t="shared" si="162"/>
        <v>0</v>
      </c>
      <c r="AK55" s="31">
        <f t="shared" si="8"/>
        <v>0.16</v>
      </c>
      <c r="AL55" s="153">
        <f t="shared" si="38"/>
        <v>0</v>
      </c>
      <c r="AM55" s="37">
        <f t="shared" si="9"/>
        <v>2.72</v>
      </c>
      <c r="AN55" s="157">
        <f t="shared" si="93"/>
        <v>0</v>
      </c>
      <c r="AO55" s="130"/>
      <c r="AP55" s="11">
        <f t="shared" si="10"/>
        <v>42</v>
      </c>
      <c r="AQ55" s="481">
        <f t="shared" si="39"/>
        <v>0</v>
      </c>
      <c r="AR55" s="469">
        <f t="shared" si="164"/>
        <v>0</v>
      </c>
      <c r="AS55" s="58">
        <f t="shared" si="11"/>
        <v>524</v>
      </c>
      <c r="AT55" s="131"/>
      <c r="AU55" s="41">
        <f t="shared" si="136"/>
        <v>524</v>
      </c>
      <c r="AV55" s="18">
        <f t="shared" si="12"/>
        <v>79</v>
      </c>
      <c r="AW55" s="131"/>
      <c r="AX55" s="41">
        <f t="shared" si="94"/>
        <v>79</v>
      </c>
      <c r="AZ55" s="118">
        <v>13</v>
      </c>
      <c r="BA55" s="9">
        <v>7</v>
      </c>
      <c r="BB55" s="129"/>
      <c r="BC55" s="43">
        <f t="shared" si="42"/>
        <v>0</v>
      </c>
      <c r="BD55" s="44">
        <f t="shared" si="255"/>
        <v>0</v>
      </c>
      <c r="BE55" s="130"/>
      <c r="BF55" s="131"/>
      <c r="BG55" s="131"/>
      <c r="BH55" s="11">
        <f t="shared" si="106"/>
        <v>0</v>
      </c>
      <c r="BI55" s="11">
        <f t="shared" si="151"/>
        <v>0</v>
      </c>
      <c r="BJ55" s="16">
        <f t="shared" si="14"/>
        <v>0.16</v>
      </c>
      <c r="BK55" s="42">
        <f t="shared" si="60"/>
        <v>0</v>
      </c>
      <c r="BL55" s="154">
        <f t="shared" si="15"/>
        <v>2.72</v>
      </c>
      <c r="BM55" s="132">
        <f t="shared" si="167"/>
        <v>0</v>
      </c>
      <c r="BN55" s="130"/>
      <c r="BO55" s="11">
        <f t="shared" si="17"/>
        <v>42</v>
      </c>
      <c r="BP55" s="441">
        <f t="shared" si="61"/>
        <v>0</v>
      </c>
      <c r="BQ55" s="746">
        <f t="shared" si="81"/>
        <v>0</v>
      </c>
      <c r="BR55" s="58">
        <f t="shared" si="18"/>
        <v>524</v>
      </c>
      <c r="BS55" s="131"/>
      <c r="BT55" s="41">
        <f t="shared" si="137"/>
        <v>524</v>
      </c>
      <c r="BU55" s="18">
        <f t="shared" si="20"/>
        <v>79</v>
      </c>
      <c r="BV55" s="131"/>
      <c r="BW55" s="41">
        <f t="shared" si="95"/>
        <v>79</v>
      </c>
      <c r="BY55" s="118">
        <v>24</v>
      </c>
      <c r="BZ55" s="9">
        <v>7</v>
      </c>
      <c r="CA55" s="129"/>
      <c r="CB55" s="11">
        <f t="shared" si="96"/>
        <v>0</v>
      </c>
      <c r="CC55" s="41">
        <f t="shared" si="107"/>
        <v>0</v>
      </c>
      <c r="CD55" s="398"/>
      <c r="CE55" s="399"/>
      <c r="CF55" s="399"/>
      <c r="CG55" s="11">
        <f t="shared" si="108"/>
        <v>0</v>
      </c>
      <c r="CH55" s="11">
        <f t="shared" si="97"/>
        <v>0</v>
      </c>
      <c r="CI55" s="17">
        <f t="shared" si="21"/>
        <v>0.16</v>
      </c>
      <c r="CJ55" s="235">
        <f t="shared" si="65"/>
        <v>0</v>
      </c>
      <c r="CK55" s="33">
        <f t="shared" si="22"/>
        <v>2.72</v>
      </c>
      <c r="CL55" s="155">
        <f t="shared" si="84"/>
        <v>0</v>
      </c>
      <c r="CM55" s="130"/>
      <c r="CN55" s="11">
        <f t="shared" si="23"/>
        <v>42</v>
      </c>
      <c r="CO55" s="60">
        <f t="shared" si="85"/>
        <v>0</v>
      </c>
      <c r="CP55" s="377">
        <f t="shared" si="66"/>
        <v>0</v>
      </c>
      <c r="CQ55" s="58">
        <f t="shared" si="24"/>
        <v>524</v>
      </c>
      <c r="CR55" s="131"/>
      <c r="CS55" s="41">
        <f t="shared" si="138"/>
        <v>524</v>
      </c>
      <c r="CT55" s="18">
        <f t="shared" si="25"/>
        <v>79</v>
      </c>
      <c r="CU55" s="131"/>
      <c r="CV55" s="41">
        <f t="shared" si="47"/>
        <v>79</v>
      </c>
      <c r="CX55" s="118">
        <v>24</v>
      </c>
      <c r="CY55" s="9">
        <v>7</v>
      </c>
      <c r="CZ55" s="129"/>
      <c r="DA55" s="11">
        <f t="shared" si="228"/>
        <v>0</v>
      </c>
      <c r="DB55" s="41">
        <f t="shared" si="256"/>
        <v>0</v>
      </c>
      <c r="DC55" s="398"/>
      <c r="DD55" s="399"/>
      <c r="DE55" s="399"/>
      <c r="DF55" s="11">
        <f t="shared" si="110"/>
        <v>0</v>
      </c>
      <c r="DG55" s="11">
        <f t="shared" si="99"/>
        <v>0</v>
      </c>
      <c r="DH55" s="17">
        <f t="shared" si="26"/>
        <v>0.16</v>
      </c>
      <c r="DI55" s="235">
        <f t="shared" si="111"/>
        <v>0</v>
      </c>
      <c r="DJ55" s="33">
        <f t="shared" si="27"/>
        <v>2.72</v>
      </c>
      <c r="DK55" s="155">
        <f t="shared" si="101"/>
        <v>0</v>
      </c>
      <c r="DL55" s="130"/>
      <c r="DM55" s="11">
        <f t="shared" si="28"/>
        <v>42</v>
      </c>
      <c r="DN55" s="60">
        <f t="shared" si="132"/>
        <v>0</v>
      </c>
      <c r="DO55" s="377">
        <f t="shared" si="102"/>
        <v>0</v>
      </c>
      <c r="DP55" s="58">
        <f t="shared" si="29"/>
        <v>524</v>
      </c>
      <c r="DQ55" s="131"/>
      <c r="DR55" s="41">
        <f t="shared" si="140"/>
        <v>524</v>
      </c>
      <c r="DS55" s="18">
        <f t="shared" si="30"/>
        <v>79</v>
      </c>
      <c r="DT55" s="131"/>
      <c r="DU55" s="41">
        <f t="shared" si="92"/>
        <v>79</v>
      </c>
    </row>
    <row r="56" spans="1:125" ht="17.25" thickBot="1" x14ac:dyDescent="0.3">
      <c r="B56" s="120">
        <f>B55+1</f>
        <v>14</v>
      </c>
      <c r="C56" s="570">
        <f t="shared" si="234"/>
        <v>7</v>
      </c>
      <c r="D56" s="133"/>
      <c r="E56" s="408">
        <f t="shared" si="31"/>
        <v>0</v>
      </c>
      <c r="F56" s="562">
        <f t="shared" si="0"/>
        <v>0</v>
      </c>
      <c r="G56" s="134"/>
      <c r="H56" s="135"/>
      <c r="I56" s="135"/>
      <c r="J56" s="14">
        <f t="shared" si="103"/>
        <v>0</v>
      </c>
      <c r="K56" s="14">
        <f t="shared" si="32"/>
        <v>0</v>
      </c>
      <c r="L56" s="14">
        <f t="shared" si="1"/>
        <v>0.16</v>
      </c>
      <c r="M56" s="47">
        <f t="shared" si="53"/>
        <v>0</v>
      </c>
      <c r="N56" s="35">
        <f t="shared" si="2"/>
        <v>2.72</v>
      </c>
      <c r="O56" s="132">
        <f t="shared" si="33"/>
        <v>0</v>
      </c>
      <c r="P56" s="142"/>
      <c r="Q56" s="14">
        <f t="shared" si="3"/>
        <v>42</v>
      </c>
      <c r="R56" s="442">
        <f t="shared" si="4"/>
        <v>0</v>
      </c>
      <c r="S56" s="470">
        <f t="shared" si="34"/>
        <v>0</v>
      </c>
      <c r="T56" s="51">
        <f t="shared" si="5"/>
        <v>524</v>
      </c>
      <c r="U56" s="103">
        <f>U55</f>
        <v>0</v>
      </c>
      <c r="V56" s="46">
        <f t="shared" si="35"/>
        <v>524</v>
      </c>
      <c r="W56" s="51">
        <f t="shared" si="6"/>
        <v>79</v>
      </c>
      <c r="X56" s="103">
        <f>X55</f>
        <v>0</v>
      </c>
      <c r="Y56" s="46">
        <f t="shared" si="36"/>
        <v>79</v>
      </c>
      <c r="Z56" s="487"/>
      <c r="AA56" s="120">
        <f>AA55+1</f>
        <v>14</v>
      </c>
      <c r="AB56" s="7">
        <f t="shared" si="238"/>
        <v>7</v>
      </c>
      <c r="AC56" s="133"/>
      <c r="AD56" s="48">
        <f t="shared" si="253"/>
        <v>0</v>
      </c>
      <c r="AE56" s="447">
        <f t="shared" si="254"/>
        <v>0</v>
      </c>
      <c r="AF56" s="134"/>
      <c r="AG56" s="135"/>
      <c r="AH56" s="135"/>
      <c r="AI56" s="14">
        <f t="shared" si="105"/>
        <v>0</v>
      </c>
      <c r="AJ56" s="14">
        <f t="shared" si="162"/>
        <v>0</v>
      </c>
      <c r="AK56" s="14">
        <f t="shared" si="8"/>
        <v>0.16</v>
      </c>
      <c r="AL56" s="47">
        <f t="shared" si="38"/>
        <v>0</v>
      </c>
      <c r="AM56" s="35">
        <f t="shared" si="9"/>
        <v>2.72</v>
      </c>
      <c r="AN56" s="157">
        <f t="shared" si="93"/>
        <v>0</v>
      </c>
      <c r="AO56" s="134"/>
      <c r="AP56" s="14">
        <f t="shared" si="10"/>
        <v>42</v>
      </c>
      <c r="AQ56" s="442">
        <f t="shared" si="39"/>
        <v>0</v>
      </c>
      <c r="AR56" s="470">
        <f t="shared" si="164"/>
        <v>0</v>
      </c>
      <c r="AS56" s="51">
        <f t="shared" si="11"/>
        <v>524</v>
      </c>
      <c r="AT56" s="103">
        <f>AT55</f>
        <v>0</v>
      </c>
      <c r="AU56" s="46">
        <f t="shared" si="136"/>
        <v>524</v>
      </c>
      <c r="AV56" s="51">
        <f t="shared" si="12"/>
        <v>79</v>
      </c>
      <c r="AW56" s="103">
        <f>AW55</f>
        <v>0</v>
      </c>
      <c r="AX56" s="46">
        <f t="shared" si="94"/>
        <v>79</v>
      </c>
      <c r="AZ56" s="120">
        <f>AZ55+1</f>
        <v>14</v>
      </c>
      <c r="BA56" s="7">
        <f t="shared" si="242"/>
        <v>7</v>
      </c>
      <c r="BB56" s="133"/>
      <c r="BC56" s="48">
        <f t="shared" si="42"/>
        <v>0</v>
      </c>
      <c r="BD56" s="447">
        <f t="shared" si="255"/>
        <v>0</v>
      </c>
      <c r="BE56" s="134"/>
      <c r="BF56" s="135"/>
      <c r="BG56" s="135"/>
      <c r="BH56" s="14">
        <f t="shared" si="106"/>
        <v>0</v>
      </c>
      <c r="BI56" s="14">
        <f t="shared" si="151"/>
        <v>0</v>
      </c>
      <c r="BJ56" s="14">
        <f t="shared" si="14"/>
        <v>0.16</v>
      </c>
      <c r="BK56" s="47">
        <f t="shared" si="60"/>
        <v>0</v>
      </c>
      <c r="BL56" s="35">
        <f t="shared" si="15"/>
        <v>2.72</v>
      </c>
      <c r="BM56" s="132">
        <f t="shared" si="167"/>
        <v>0</v>
      </c>
      <c r="BN56" s="134"/>
      <c r="BO56" s="14">
        <f t="shared" si="17"/>
        <v>42</v>
      </c>
      <c r="BP56" s="442">
        <f t="shared" si="61"/>
        <v>0</v>
      </c>
      <c r="BQ56" s="747">
        <f t="shared" si="81"/>
        <v>0</v>
      </c>
      <c r="BR56" s="51">
        <f t="shared" si="18"/>
        <v>524</v>
      </c>
      <c r="BS56" s="103">
        <f>BS55</f>
        <v>0</v>
      </c>
      <c r="BT56" s="46">
        <f t="shared" si="137"/>
        <v>524</v>
      </c>
      <c r="BU56" s="51">
        <f t="shared" si="20"/>
        <v>79</v>
      </c>
      <c r="BV56" s="103">
        <f>BV55</f>
        <v>0</v>
      </c>
      <c r="BW56" s="46">
        <f t="shared" si="95"/>
        <v>79</v>
      </c>
      <c r="BY56" s="120">
        <f>BY55+1</f>
        <v>25</v>
      </c>
      <c r="BZ56" s="7">
        <f t="shared" si="246"/>
        <v>7</v>
      </c>
      <c r="CA56" s="133"/>
      <c r="CB56" s="14">
        <f t="shared" si="96"/>
        <v>0</v>
      </c>
      <c r="CC56" s="62">
        <f t="shared" si="107"/>
        <v>0</v>
      </c>
      <c r="CD56" s="405"/>
      <c r="CE56" s="406"/>
      <c r="CF56" s="406"/>
      <c r="CG56" s="14">
        <f t="shared" si="108"/>
        <v>0</v>
      </c>
      <c r="CH56" s="14">
        <f t="shared" si="97"/>
        <v>0</v>
      </c>
      <c r="CI56" s="14">
        <f t="shared" si="21"/>
        <v>0.16</v>
      </c>
      <c r="CJ56" s="47">
        <f t="shared" si="65"/>
        <v>0</v>
      </c>
      <c r="CK56" s="35">
        <f t="shared" si="22"/>
        <v>2.72</v>
      </c>
      <c r="CL56" s="157">
        <f t="shared" si="84"/>
        <v>0</v>
      </c>
      <c r="CM56" s="134"/>
      <c r="CN56" s="14">
        <f t="shared" si="23"/>
        <v>42</v>
      </c>
      <c r="CO56" s="48">
        <f t="shared" si="85"/>
        <v>0</v>
      </c>
      <c r="CP56" s="68">
        <f t="shared" si="66"/>
        <v>0</v>
      </c>
      <c r="CQ56" s="51">
        <f t="shared" si="24"/>
        <v>524</v>
      </c>
      <c r="CR56" s="103">
        <f>CR55</f>
        <v>0</v>
      </c>
      <c r="CS56" s="46">
        <f t="shared" si="138"/>
        <v>524</v>
      </c>
      <c r="CT56" s="51">
        <f t="shared" si="25"/>
        <v>79</v>
      </c>
      <c r="CU56" s="103">
        <f>CU55</f>
        <v>0</v>
      </c>
      <c r="CV56" s="46">
        <f t="shared" si="47"/>
        <v>79</v>
      </c>
      <c r="CX56" s="120">
        <f>CX55+1</f>
        <v>25</v>
      </c>
      <c r="CY56" s="7">
        <f t="shared" si="250"/>
        <v>7</v>
      </c>
      <c r="CZ56" s="133"/>
      <c r="DA56" s="14">
        <f t="shared" si="228"/>
        <v>0</v>
      </c>
      <c r="DB56" s="62">
        <f t="shared" si="256"/>
        <v>0</v>
      </c>
      <c r="DC56" s="405"/>
      <c r="DD56" s="406"/>
      <c r="DE56" s="406"/>
      <c r="DF56" s="14">
        <f t="shared" si="110"/>
        <v>0</v>
      </c>
      <c r="DG56" s="14">
        <f t="shared" si="99"/>
        <v>0</v>
      </c>
      <c r="DH56" s="14">
        <f t="shared" si="26"/>
        <v>0.16</v>
      </c>
      <c r="DI56" s="47">
        <f t="shared" si="111"/>
        <v>0</v>
      </c>
      <c r="DJ56" s="35">
        <f t="shared" si="27"/>
        <v>2.72</v>
      </c>
      <c r="DK56" s="157">
        <f t="shared" si="101"/>
        <v>0</v>
      </c>
      <c r="DL56" s="134"/>
      <c r="DM56" s="14">
        <f t="shared" si="28"/>
        <v>42</v>
      </c>
      <c r="DN56" s="48">
        <f t="shared" si="132"/>
        <v>0</v>
      </c>
      <c r="DO56" s="68">
        <f t="shared" si="102"/>
        <v>0</v>
      </c>
      <c r="DP56" s="51">
        <f t="shared" si="29"/>
        <v>524</v>
      </c>
      <c r="DQ56" s="103">
        <f>DQ55</f>
        <v>0</v>
      </c>
      <c r="DR56" s="46">
        <f t="shared" si="140"/>
        <v>524</v>
      </c>
      <c r="DS56" s="51">
        <f t="shared" si="30"/>
        <v>79</v>
      </c>
      <c r="DT56" s="103">
        <f>DT55</f>
        <v>0</v>
      </c>
      <c r="DU56" s="46">
        <f t="shared" si="92"/>
        <v>79</v>
      </c>
    </row>
    <row r="57" spans="1:125" ht="17.25" thickBot="1" x14ac:dyDescent="0.3">
      <c r="B57" s="120">
        <f t="shared" ref="B57:B59" si="257">B56+1</f>
        <v>15</v>
      </c>
      <c r="C57" s="570">
        <f t="shared" si="234"/>
        <v>7</v>
      </c>
      <c r="D57" s="133"/>
      <c r="E57" s="408">
        <f t="shared" si="31"/>
        <v>0</v>
      </c>
      <c r="F57" s="562">
        <f t="shared" si="0"/>
        <v>0</v>
      </c>
      <c r="G57" s="134"/>
      <c r="H57" s="135"/>
      <c r="I57" s="135"/>
      <c r="J57" s="14">
        <f t="shared" si="103"/>
        <v>0</v>
      </c>
      <c r="K57" s="14">
        <f t="shared" si="32"/>
        <v>0</v>
      </c>
      <c r="L57" s="14">
        <f t="shared" si="1"/>
        <v>0.16</v>
      </c>
      <c r="M57" s="231">
        <f t="shared" si="53"/>
        <v>0</v>
      </c>
      <c r="N57" s="35">
        <f t="shared" si="2"/>
        <v>2.72</v>
      </c>
      <c r="O57" s="132">
        <f t="shared" si="33"/>
        <v>0</v>
      </c>
      <c r="P57" s="142"/>
      <c r="Q57" s="14">
        <f t="shared" si="3"/>
        <v>42</v>
      </c>
      <c r="R57" s="480">
        <f t="shared" si="4"/>
        <v>0</v>
      </c>
      <c r="S57" s="470">
        <f t="shared" si="34"/>
        <v>0</v>
      </c>
      <c r="T57" s="51">
        <f t="shared" si="5"/>
        <v>524</v>
      </c>
      <c r="U57" s="103">
        <f t="shared" ref="U57:U61" si="258">U56</f>
        <v>0</v>
      </c>
      <c r="V57" s="46">
        <f t="shared" si="35"/>
        <v>524</v>
      </c>
      <c r="W57" s="50">
        <f t="shared" si="6"/>
        <v>79</v>
      </c>
      <c r="X57" s="103">
        <f t="shared" ref="X57:X61" si="259">X56</f>
        <v>0</v>
      </c>
      <c r="Y57" s="46">
        <f t="shared" si="36"/>
        <v>79</v>
      </c>
      <c r="Z57" s="487"/>
      <c r="AA57" s="120">
        <f t="shared" ref="AA57:AA59" si="260">AA56+1</f>
        <v>15</v>
      </c>
      <c r="AB57" s="7">
        <f t="shared" si="238"/>
        <v>7</v>
      </c>
      <c r="AC57" s="133"/>
      <c r="AD57" s="48">
        <f t="shared" si="253"/>
        <v>0</v>
      </c>
      <c r="AE57" s="196">
        <f t="shared" si="254"/>
        <v>0</v>
      </c>
      <c r="AF57" s="134"/>
      <c r="AG57" s="135"/>
      <c r="AH57" s="135"/>
      <c r="AI57" s="14">
        <f t="shared" si="105"/>
        <v>0</v>
      </c>
      <c r="AJ57" s="14">
        <f t="shared" si="162"/>
        <v>0</v>
      </c>
      <c r="AK57" s="14">
        <f t="shared" si="8"/>
        <v>0.16</v>
      </c>
      <c r="AL57" s="231">
        <f t="shared" si="38"/>
        <v>0</v>
      </c>
      <c r="AM57" s="35">
        <f t="shared" si="9"/>
        <v>2.72</v>
      </c>
      <c r="AN57" s="157">
        <f t="shared" si="93"/>
        <v>0</v>
      </c>
      <c r="AO57" s="134"/>
      <c r="AP57" s="14">
        <f t="shared" si="10"/>
        <v>42</v>
      </c>
      <c r="AQ57" s="480">
        <f t="shared" si="39"/>
        <v>0</v>
      </c>
      <c r="AR57" s="470">
        <f t="shared" si="164"/>
        <v>0</v>
      </c>
      <c r="AS57" s="51">
        <f t="shared" si="11"/>
        <v>524</v>
      </c>
      <c r="AT57" s="103">
        <f t="shared" ref="AT57:AT61" si="261">AT56</f>
        <v>0</v>
      </c>
      <c r="AU57" s="46">
        <f t="shared" si="136"/>
        <v>524</v>
      </c>
      <c r="AV57" s="50">
        <f t="shared" si="12"/>
        <v>79</v>
      </c>
      <c r="AW57" s="103">
        <f t="shared" ref="AW57:AW61" si="262">AW56</f>
        <v>0</v>
      </c>
      <c r="AX57" s="46">
        <f t="shared" si="94"/>
        <v>79</v>
      </c>
      <c r="AZ57" s="120">
        <f t="shared" ref="AZ57:AZ59" si="263">AZ56+1</f>
        <v>15</v>
      </c>
      <c r="BA57" s="7">
        <f t="shared" si="242"/>
        <v>7</v>
      </c>
      <c r="BB57" s="133"/>
      <c r="BC57" s="48">
        <f t="shared" si="42"/>
        <v>0</v>
      </c>
      <c r="BD57" s="196">
        <f t="shared" si="255"/>
        <v>0</v>
      </c>
      <c r="BE57" s="134"/>
      <c r="BF57" s="135"/>
      <c r="BG57" s="135"/>
      <c r="BH57" s="14">
        <f t="shared" si="106"/>
        <v>0</v>
      </c>
      <c r="BI57" s="14">
        <f t="shared" si="151"/>
        <v>0</v>
      </c>
      <c r="BJ57" s="14">
        <f t="shared" si="14"/>
        <v>0.16</v>
      </c>
      <c r="BK57" s="47">
        <f t="shared" si="60"/>
        <v>0</v>
      </c>
      <c r="BL57" s="35">
        <f t="shared" si="15"/>
        <v>2.72</v>
      </c>
      <c r="BM57" s="132">
        <f t="shared" si="167"/>
        <v>0</v>
      </c>
      <c r="BN57" s="134"/>
      <c r="BO57" s="14">
        <f t="shared" si="17"/>
        <v>42</v>
      </c>
      <c r="BP57" s="442">
        <f t="shared" si="61"/>
        <v>0</v>
      </c>
      <c r="BQ57" s="747">
        <f t="shared" si="81"/>
        <v>0</v>
      </c>
      <c r="BR57" s="51">
        <f t="shared" si="18"/>
        <v>524</v>
      </c>
      <c r="BS57" s="103">
        <f t="shared" ref="BS57:BS61" si="264">BS56</f>
        <v>0</v>
      </c>
      <c r="BT57" s="46">
        <f t="shared" si="137"/>
        <v>524</v>
      </c>
      <c r="BU57" s="50">
        <f t="shared" si="20"/>
        <v>79</v>
      </c>
      <c r="BV57" s="103">
        <f t="shared" ref="BV57:BV61" si="265">BV56</f>
        <v>0</v>
      </c>
      <c r="BW57" s="46">
        <f t="shared" si="95"/>
        <v>79</v>
      </c>
      <c r="BY57" s="120">
        <f t="shared" ref="BY57:BY61" si="266">BY56+1</f>
        <v>26</v>
      </c>
      <c r="BZ57" s="7">
        <f t="shared" si="246"/>
        <v>7</v>
      </c>
      <c r="CA57" s="133"/>
      <c r="CB57" s="14">
        <f t="shared" si="96"/>
        <v>0</v>
      </c>
      <c r="CC57" s="59">
        <f t="shared" si="107"/>
        <v>0</v>
      </c>
      <c r="CD57" s="405"/>
      <c r="CE57" s="406"/>
      <c r="CF57" s="406"/>
      <c r="CG57" s="14">
        <f t="shared" si="108"/>
        <v>0</v>
      </c>
      <c r="CH57" s="14">
        <f t="shared" si="97"/>
        <v>0</v>
      </c>
      <c r="CI57" s="14">
        <f t="shared" si="21"/>
        <v>0.16</v>
      </c>
      <c r="CJ57" s="47">
        <f t="shared" si="65"/>
        <v>0</v>
      </c>
      <c r="CK57" s="35">
        <f t="shared" si="22"/>
        <v>2.72</v>
      </c>
      <c r="CL57" s="157">
        <f t="shared" si="84"/>
        <v>0</v>
      </c>
      <c r="CM57" s="134"/>
      <c r="CN57" s="14">
        <f t="shared" si="23"/>
        <v>42</v>
      </c>
      <c r="CO57" s="48">
        <f t="shared" si="85"/>
        <v>0</v>
      </c>
      <c r="CP57" s="68">
        <f t="shared" si="66"/>
        <v>0</v>
      </c>
      <c r="CQ57" s="51">
        <f t="shared" si="24"/>
        <v>524</v>
      </c>
      <c r="CR57" s="103">
        <f t="shared" ref="CR57:CR61" si="267">CR56</f>
        <v>0</v>
      </c>
      <c r="CS57" s="46">
        <f t="shared" si="138"/>
        <v>524</v>
      </c>
      <c r="CT57" s="51">
        <f t="shared" si="25"/>
        <v>79</v>
      </c>
      <c r="CU57" s="103">
        <f t="shared" ref="CU57:CU61" si="268">CU56</f>
        <v>0</v>
      </c>
      <c r="CV57" s="46">
        <f t="shared" si="47"/>
        <v>79</v>
      </c>
      <c r="CX57" s="120">
        <f t="shared" ref="CX57:CX61" si="269">CX56+1</f>
        <v>26</v>
      </c>
      <c r="CY57" s="7">
        <f t="shared" si="250"/>
        <v>7</v>
      </c>
      <c r="CZ57" s="133"/>
      <c r="DA57" s="14">
        <f t="shared" si="228"/>
        <v>0</v>
      </c>
      <c r="DB57" s="59">
        <f t="shared" si="256"/>
        <v>0</v>
      </c>
      <c r="DC57" s="405"/>
      <c r="DD57" s="406"/>
      <c r="DE57" s="406"/>
      <c r="DF57" s="14">
        <f t="shared" si="110"/>
        <v>0</v>
      </c>
      <c r="DG57" s="14">
        <f t="shared" si="99"/>
        <v>0</v>
      </c>
      <c r="DH57" s="14">
        <f t="shared" si="26"/>
        <v>0.16</v>
      </c>
      <c r="DI57" s="47">
        <f t="shared" si="111"/>
        <v>0</v>
      </c>
      <c r="DJ57" s="35">
        <f t="shared" si="27"/>
        <v>2.72</v>
      </c>
      <c r="DK57" s="157">
        <f t="shared" si="101"/>
        <v>0</v>
      </c>
      <c r="DL57" s="134"/>
      <c r="DM57" s="14">
        <f t="shared" si="28"/>
        <v>42</v>
      </c>
      <c r="DN57" s="48">
        <f t="shared" si="132"/>
        <v>0</v>
      </c>
      <c r="DO57" s="68">
        <f t="shared" si="102"/>
        <v>0</v>
      </c>
      <c r="DP57" s="51">
        <f t="shared" si="29"/>
        <v>524</v>
      </c>
      <c r="DQ57" s="103">
        <f t="shared" ref="DQ57:DQ61" si="270">DQ56</f>
        <v>0</v>
      </c>
      <c r="DR57" s="46">
        <f t="shared" si="140"/>
        <v>524</v>
      </c>
      <c r="DS57" s="51">
        <f t="shared" si="30"/>
        <v>79</v>
      </c>
      <c r="DT57" s="103">
        <f t="shared" ref="DT57:DT61" si="271">DT56</f>
        <v>0</v>
      </c>
      <c r="DU57" s="46">
        <f t="shared" si="92"/>
        <v>79</v>
      </c>
    </row>
    <row r="58" spans="1:125" ht="17.25" thickBot="1" x14ac:dyDescent="0.3">
      <c r="B58" s="120">
        <f t="shared" si="257"/>
        <v>16</v>
      </c>
      <c r="C58" s="570">
        <f t="shared" si="234"/>
        <v>7</v>
      </c>
      <c r="D58" s="133"/>
      <c r="E58" s="408">
        <f t="shared" si="31"/>
        <v>0</v>
      </c>
      <c r="F58" s="562">
        <f t="shared" si="0"/>
        <v>0</v>
      </c>
      <c r="G58" s="134"/>
      <c r="H58" s="135"/>
      <c r="I58" s="135"/>
      <c r="J58" s="14">
        <f t="shared" si="103"/>
        <v>0</v>
      </c>
      <c r="K58" s="14">
        <f t="shared" si="32"/>
        <v>0</v>
      </c>
      <c r="L58" s="14">
        <f t="shared" si="1"/>
        <v>0.16</v>
      </c>
      <c r="M58" s="230">
        <f t="shared" si="53"/>
        <v>0</v>
      </c>
      <c r="N58" s="35">
        <f t="shared" si="2"/>
        <v>2.72</v>
      </c>
      <c r="O58" s="132">
        <f t="shared" si="33"/>
        <v>0</v>
      </c>
      <c r="P58" s="142"/>
      <c r="Q58" s="14">
        <f t="shared" si="3"/>
        <v>42</v>
      </c>
      <c r="R58" s="442">
        <f t="shared" si="4"/>
        <v>0</v>
      </c>
      <c r="S58" s="470">
        <f t="shared" si="34"/>
        <v>0</v>
      </c>
      <c r="T58" s="51">
        <f t="shared" si="5"/>
        <v>524</v>
      </c>
      <c r="U58" s="103">
        <f t="shared" si="258"/>
        <v>0</v>
      </c>
      <c r="V58" s="46">
        <f t="shared" si="35"/>
        <v>524</v>
      </c>
      <c r="W58" s="51">
        <f t="shared" si="6"/>
        <v>79</v>
      </c>
      <c r="X58" s="103">
        <f t="shared" si="259"/>
        <v>0</v>
      </c>
      <c r="Y58" s="46">
        <f t="shared" si="36"/>
        <v>79</v>
      </c>
      <c r="Z58" s="487"/>
      <c r="AA58" s="120">
        <f t="shared" si="260"/>
        <v>16</v>
      </c>
      <c r="AB58" s="7">
        <f t="shared" si="238"/>
        <v>7</v>
      </c>
      <c r="AC58" s="133"/>
      <c r="AD58" s="48">
        <f t="shared" si="253"/>
        <v>0</v>
      </c>
      <c r="AE58" s="49">
        <f t="shared" si="254"/>
        <v>0</v>
      </c>
      <c r="AF58" s="134"/>
      <c r="AG58" s="135"/>
      <c r="AH58" s="135"/>
      <c r="AI58" s="14">
        <f t="shared" si="105"/>
        <v>0</v>
      </c>
      <c r="AJ58" s="14">
        <f t="shared" si="162"/>
        <v>0</v>
      </c>
      <c r="AK58" s="14">
        <f t="shared" si="8"/>
        <v>0.16</v>
      </c>
      <c r="AL58" s="230">
        <f t="shared" si="38"/>
        <v>0</v>
      </c>
      <c r="AM58" s="35">
        <f t="shared" si="9"/>
        <v>2.72</v>
      </c>
      <c r="AN58" s="157">
        <f t="shared" si="93"/>
        <v>0</v>
      </c>
      <c r="AO58" s="134"/>
      <c r="AP58" s="14">
        <f t="shared" si="10"/>
        <v>42</v>
      </c>
      <c r="AQ58" s="442">
        <f t="shared" si="39"/>
        <v>0</v>
      </c>
      <c r="AR58" s="470">
        <f t="shared" si="164"/>
        <v>0</v>
      </c>
      <c r="AS58" s="51">
        <f t="shared" si="11"/>
        <v>524</v>
      </c>
      <c r="AT58" s="103">
        <f t="shared" si="261"/>
        <v>0</v>
      </c>
      <c r="AU58" s="46">
        <f t="shared" si="136"/>
        <v>524</v>
      </c>
      <c r="AV58" s="51">
        <f t="shared" si="12"/>
        <v>79</v>
      </c>
      <c r="AW58" s="103">
        <f t="shared" si="262"/>
        <v>0</v>
      </c>
      <c r="AX58" s="46">
        <f t="shared" si="94"/>
        <v>79</v>
      </c>
      <c r="AZ58" s="120">
        <f t="shared" si="263"/>
        <v>16</v>
      </c>
      <c r="BA58" s="7">
        <f t="shared" si="242"/>
        <v>7</v>
      </c>
      <c r="BB58" s="133"/>
      <c r="BC58" s="48">
        <f t="shared" si="42"/>
        <v>0</v>
      </c>
      <c r="BD58" s="49">
        <f t="shared" si="255"/>
        <v>0</v>
      </c>
      <c r="BE58" s="134"/>
      <c r="BF58" s="135"/>
      <c r="BG58" s="135"/>
      <c r="BH58" s="14">
        <f t="shared" si="106"/>
        <v>0</v>
      </c>
      <c r="BI58" s="14">
        <f t="shared" si="151"/>
        <v>0</v>
      </c>
      <c r="BJ58" s="14">
        <f t="shared" si="14"/>
        <v>0.16</v>
      </c>
      <c r="BK58" s="47">
        <f t="shared" si="60"/>
        <v>0</v>
      </c>
      <c r="BL58" s="35">
        <f t="shared" si="15"/>
        <v>2.72</v>
      </c>
      <c r="BM58" s="132">
        <f t="shared" si="167"/>
        <v>0</v>
      </c>
      <c r="BN58" s="134"/>
      <c r="BO58" s="14">
        <f t="shared" si="17"/>
        <v>42</v>
      </c>
      <c r="BP58" s="442">
        <f t="shared" si="61"/>
        <v>0</v>
      </c>
      <c r="BQ58" s="747">
        <f t="shared" si="81"/>
        <v>0</v>
      </c>
      <c r="BR58" s="51">
        <f t="shared" si="18"/>
        <v>524</v>
      </c>
      <c r="BS58" s="103">
        <f t="shared" si="264"/>
        <v>0</v>
      </c>
      <c r="BT58" s="46">
        <f t="shared" si="137"/>
        <v>524</v>
      </c>
      <c r="BU58" s="51">
        <f t="shared" si="20"/>
        <v>79</v>
      </c>
      <c r="BV58" s="103">
        <f t="shared" si="265"/>
        <v>0</v>
      </c>
      <c r="BW58" s="46">
        <f t="shared" si="95"/>
        <v>79</v>
      </c>
      <c r="BY58" s="120">
        <f t="shared" si="266"/>
        <v>27</v>
      </c>
      <c r="BZ58" s="7">
        <f t="shared" si="246"/>
        <v>7</v>
      </c>
      <c r="CA58" s="133"/>
      <c r="CB58" s="14">
        <f t="shared" si="96"/>
        <v>0</v>
      </c>
      <c r="CC58" s="46">
        <f t="shared" si="107"/>
        <v>0</v>
      </c>
      <c r="CD58" s="405"/>
      <c r="CE58" s="406"/>
      <c r="CF58" s="406"/>
      <c r="CG58" s="14">
        <f t="shared" si="108"/>
        <v>0</v>
      </c>
      <c r="CH58" s="14">
        <f t="shared" si="97"/>
        <v>0</v>
      </c>
      <c r="CI58" s="14">
        <f t="shared" si="21"/>
        <v>0.16</v>
      </c>
      <c r="CJ58" s="47">
        <f t="shared" si="65"/>
        <v>0</v>
      </c>
      <c r="CK58" s="35">
        <f t="shared" si="22"/>
        <v>2.72</v>
      </c>
      <c r="CL58" s="157">
        <f t="shared" si="84"/>
        <v>0</v>
      </c>
      <c r="CM58" s="134"/>
      <c r="CN58" s="14">
        <f t="shared" si="23"/>
        <v>42</v>
      </c>
      <c r="CO58" s="48">
        <f t="shared" si="85"/>
        <v>0</v>
      </c>
      <c r="CP58" s="68">
        <f t="shared" si="66"/>
        <v>0</v>
      </c>
      <c r="CQ58" s="51">
        <f t="shared" si="24"/>
        <v>524</v>
      </c>
      <c r="CR58" s="103">
        <f t="shared" si="267"/>
        <v>0</v>
      </c>
      <c r="CS58" s="46">
        <f t="shared" si="138"/>
        <v>524</v>
      </c>
      <c r="CT58" s="12">
        <f t="shared" si="25"/>
        <v>79</v>
      </c>
      <c r="CU58" s="103">
        <f t="shared" si="268"/>
        <v>0</v>
      </c>
      <c r="CV58" s="46">
        <f t="shared" si="47"/>
        <v>79</v>
      </c>
      <c r="CX58" s="120">
        <f t="shared" si="269"/>
        <v>27</v>
      </c>
      <c r="CY58" s="7">
        <f t="shared" si="250"/>
        <v>7</v>
      </c>
      <c r="CZ58" s="133"/>
      <c r="DA58" s="14">
        <f t="shared" si="228"/>
        <v>0</v>
      </c>
      <c r="DB58" s="46">
        <f t="shared" si="256"/>
        <v>0</v>
      </c>
      <c r="DC58" s="405"/>
      <c r="DD58" s="406"/>
      <c r="DE58" s="406"/>
      <c r="DF58" s="14">
        <f t="shared" si="110"/>
        <v>0</v>
      </c>
      <c r="DG58" s="14">
        <f t="shared" si="99"/>
        <v>0</v>
      </c>
      <c r="DH58" s="14">
        <f t="shared" si="26"/>
        <v>0.16</v>
      </c>
      <c r="DI58" s="47">
        <f t="shared" si="111"/>
        <v>0</v>
      </c>
      <c r="DJ58" s="35">
        <f t="shared" si="27"/>
        <v>2.72</v>
      </c>
      <c r="DK58" s="157">
        <f t="shared" si="101"/>
        <v>0</v>
      </c>
      <c r="DL58" s="134"/>
      <c r="DM58" s="14">
        <f t="shared" si="28"/>
        <v>42</v>
      </c>
      <c r="DN58" s="48">
        <f t="shared" si="132"/>
        <v>0</v>
      </c>
      <c r="DO58" s="68">
        <f t="shared" si="102"/>
        <v>0</v>
      </c>
      <c r="DP58" s="51">
        <f t="shared" si="29"/>
        <v>524</v>
      </c>
      <c r="DQ58" s="103">
        <f t="shared" si="270"/>
        <v>0</v>
      </c>
      <c r="DR58" s="46">
        <f t="shared" si="140"/>
        <v>524</v>
      </c>
      <c r="DS58" s="12">
        <f t="shared" si="30"/>
        <v>79</v>
      </c>
      <c r="DT58" s="103">
        <f t="shared" si="271"/>
        <v>0</v>
      </c>
      <c r="DU58" s="46">
        <f t="shared" si="92"/>
        <v>79</v>
      </c>
    </row>
    <row r="59" spans="1:125" ht="17.25" thickBot="1" x14ac:dyDescent="0.3">
      <c r="B59" s="120">
        <f t="shared" si="257"/>
        <v>17</v>
      </c>
      <c r="C59" s="570">
        <f t="shared" si="234"/>
        <v>7</v>
      </c>
      <c r="D59" s="133"/>
      <c r="E59" s="408">
        <f t="shared" si="31"/>
        <v>0</v>
      </c>
      <c r="F59" s="562">
        <f t="shared" si="0"/>
        <v>0</v>
      </c>
      <c r="G59" s="134"/>
      <c r="H59" s="135"/>
      <c r="I59" s="135"/>
      <c r="J59" s="14">
        <f t="shared" si="103"/>
        <v>0</v>
      </c>
      <c r="K59" s="14">
        <f t="shared" si="32"/>
        <v>0</v>
      </c>
      <c r="L59" s="14">
        <f t="shared" si="1"/>
        <v>0.16</v>
      </c>
      <c r="M59" s="230">
        <f t="shared" si="53"/>
        <v>0</v>
      </c>
      <c r="N59" s="35">
        <f t="shared" si="2"/>
        <v>2.72</v>
      </c>
      <c r="O59" s="132">
        <f t="shared" si="33"/>
        <v>0</v>
      </c>
      <c r="P59" s="142"/>
      <c r="Q59" s="14">
        <f t="shared" si="3"/>
        <v>42</v>
      </c>
      <c r="R59" s="442">
        <f t="shared" si="4"/>
        <v>0</v>
      </c>
      <c r="S59" s="470">
        <f t="shared" si="34"/>
        <v>0</v>
      </c>
      <c r="T59" s="51">
        <f t="shared" si="5"/>
        <v>524</v>
      </c>
      <c r="U59" s="103">
        <f t="shared" si="258"/>
        <v>0</v>
      </c>
      <c r="V59" s="71">
        <f t="shared" si="35"/>
        <v>524</v>
      </c>
      <c r="W59" s="12">
        <f t="shared" si="6"/>
        <v>79</v>
      </c>
      <c r="X59" s="103">
        <f t="shared" si="259"/>
        <v>0</v>
      </c>
      <c r="Y59" s="71">
        <f t="shared" si="36"/>
        <v>79</v>
      </c>
      <c r="Z59" s="487"/>
      <c r="AA59" s="120">
        <f t="shared" si="260"/>
        <v>17</v>
      </c>
      <c r="AB59" s="7">
        <f t="shared" si="238"/>
        <v>7</v>
      </c>
      <c r="AC59" s="133"/>
      <c r="AD59" s="48">
        <f t="shared" si="253"/>
        <v>0</v>
      </c>
      <c r="AE59" s="447">
        <f t="shared" si="254"/>
        <v>0</v>
      </c>
      <c r="AF59" s="134"/>
      <c r="AG59" s="135"/>
      <c r="AH59" s="135"/>
      <c r="AI59" s="14">
        <f t="shared" si="105"/>
        <v>0</v>
      </c>
      <c r="AJ59" s="14">
        <f t="shared" si="162"/>
        <v>0</v>
      </c>
      <c r="AK59" s="14">
        <f t="shared" si="8"/>
        <v>0.16</v>
      </c>
      <c r="AL59" s="230">
        <f t="shared" si="38"/>
        <v>0</v>
      </c>
      <c r="AM59" s="35">
        <f t="shared" si="9"/>
        <v>2.72</v>
      </c>
      <c r="AN59" s="157">
        <f t="shared" si="93"/>
        <v>0</v>
      </c>
      <c r="AO59" s="134"/>
      <c r="AP59" s="14">
        <f t="shared" si="10"/>
        <v>42</v>
      </c>
      <c r="AQ59" s="442">
        <f t="shared" si="39"/>
        <v>0</v>
      </c>
      <c r="AR59" s="470">
        <f t="shared" si="164"/>
        <v>0</v>
      </c>
      <c r="AS59" s="51">
        <f t="shared" si="11"/>
        <v>524</v>
      </c>
      <c r="AT59" s="103">
        <f t="shared" si="261"/>
        <v>0</v>
      </c>
      <c r="AU59" s="71">
        <f t="shared" si="136"/>
        <v>524</v>
      </c>
      <c r="AV59" s="12">
        <f t="shared" si="12"/>
        <v>79</v>
      </c>
      <c r="AW59" s="103">
        <f t="shared" si="262"/>
        <v>0</v>
      </c>
      <c r="AX59" s="71">
        <f t="shared" si="94"/>
        <v>79</v>
      </c>
      <c r="AZ59" s="120">
        <f t="shared" si="263"/>
        <v>17</v>
      </c>
      <c r="BA59" s="7">
        <f t="shared" si="242"/>
        <v>7</v>
      </c>
      <c r="BB59" s="133"/>
      <c r="BC59" s="48">
        <f t="shared" si="42"/>
        <v>0</v>
      </c>
      <c r="BD59" s="447">
        <f t="shared" si="255"/>
        <v>0</v>
      </c>
      <c r="BE59" s="134"/>
      <c r="BF59" s="135"/>
      <c r="BG59" s="135"/>
      <c r="BH59" s="14">
        <f t="shared" si="106"/>
        <v>0</v>
      </c>
      <c r="BI59" s="14">
        <f t="shared" si="151"/>
        <v>0</v>
      </c>
      <c r="BJ59" s="14">
        <f t="shared" si="14"/>
        <v>0.16</v>
      </c>
      <c r="BK59" s="47">
        <f t="shared" si="60"/>
        <v>0</v>
      </c>
      <c r="BL59" s="35">
        <f t="shared" si="15"/>
        <v>2.72</v>
      </c>
      <c r="BM59" s="132">
        <f t="shared" si="167"/>
        <v>0</v>
      </c>
      <c r="BN59" s="134"/>
      <c r="BO59" s="14">
        <f t="shared" si="17"/>
        <v>42</v>
      </c>
      <c r="BP59" s="442">
        <f t="shared" si="61"/>
        <v>0</v>
      </c>
      <c r="BQ59" s="747">
        <f t="shared" si="81"/>
        <v>0</v>
      </c>
      <c r="BR59" s="51">
        <f t="shared" si="18"/>
        <v>524</v>
      </c>
      <c r="BS59" s="103">
        <f t="shared" si="264"/>
        <v>0</v>
      </c>
      <c r="BT59" s="71">
        <f t="shared" si="137"/>
        <v>524</v>
      </c>
      <c r="BU59" s="12">
        <f t="shared" si="20"/>
        <v>79</v>
      </c>
      <c r="BV59" s="103">
        <f t="shared" si="265"/>
        <v>0</v>
      </c>
      <c r="BW59" s="71">
        <f t="shared" si="95"/>
        <v>79</v>
      </c>
      <c r="BY59" s="120">
        <f t="shared" si="266"/>
        <v>28</v>
      </c>
      <c r="BZ59" s="7">
        <f t="shared" si="246"/>
        <v>7</v>
      </c>
      <c r="CA59" s="133"/>
      <c r="CB59" s="14">
        <f t="shared" si="96"/>
        <v>0</v>
      </c>
      <c r="CC59" s="62">
        <f t="shared" si="107"/>
        <v>0</v>
      </c>
      <c r="CD59" s="405"/>
      <c r="CE59" s="406"/>
      <c r="CF59" s="406"/>
      <c r="CG59" s="14">
        <f t="shared" si="108"/>
        <v>0</v>
      </c>
      <c r="CH59" s="14">
        <f t="shared" si="97"/>
        <v>0</v>
      </c>
      <c r="CI59" s="14">
        <f t="shared" si="21"/>
        <v>0.16</v>
      </c>
      <c r="CJ59" s="47">
        <f t="shared" si="65"/>
        <v>0</v>
      </c>
      <c r="CK59" s="35">
        <f t="shared" si="22"/>
        <v>2.72</v>
      </c>
      <c r="CL59" s="157">
        <f t="shared" si="84"/>
        <v>0</v>
      </c>
      <c r="CM59" s="134"/>
      <c r="CN59" s="14">
        <f t="shared" si="23"/>
        <v>42</v>
      </c>
      <c r="CO59" s="48">
        <f t="shared" si="85"/>
        <v>0</v>
      </c>
      <c r="CP59" s="68">
        <f t="shared" si="66"/>
        <v>0</v>
      </c>
      <c r="CQ59" s="51">
        <f t="shared" si="24"/>
        <v>524</v>
      </c>
      <c r="CR59" s="103">
        <f t="shared" si="267"/>
        <v>0</v>
      </c>
      <c r="CS59" s="71">
        <f t="shared" si="138"/>
        <v>524</v>
      </c>
      <c r="CT59" s="50">
        <f t="shared" si="25"/>
        <v>79</v>
      </c>
      <c r="CU59" s="103">
        <f t="shared" si="268"/>
        <v>0</v>
      </c>
      <c r="CV59" s="71">
        <f t="shared" si="47"/>
        <v>79</v>
      </c>
      <c r="CX59" s="120">
        <f t="shared" si="269"/>
        <v>28</v>
      </c>
      <c r="CY59" s="7">
        <f t="shared" si="250"/>
        <v>7</v>
      </c>
      <c r="CZ59" s="133"/>
      <c r="DA59" s="14">
        <f t="shared" si="228"/>
        <v>0</v>
      </c>
      <c r="DB59" s="62">
        <f t="shared" si="256"/>
        <v>0</v>
      </c>
      <c r="DC59" s="405"/>
      <c r="DD59" s="406"/>
      <c r="DE59" s="406"/>
      <c r="DF59" s="14">
        <f t="shared" si="110"/>
        <v>0</v>
      </c>
      <c r="DG59" s="14">
        <f t="shared" si="99"/>
        <v>0</v>
      </c>
      <c r="DH59" s="14">
        <f t="shared" si="26"/>
        <v>0.16</v>
      </c>
      <c r="DI59" s="47">
        <f t="shared" si="111"/>
        <v>0</v>
      </c>
      <c r="DJ59" s="35">
        <f t="shared" si="27"/>
        <v>2.72</v>
      </c>
      <c r="DK59" s="157">
        <f t="shared" si="101"/>
        <v>0</v>
      </c>
      <c r="DL59" s="134"/>
      <c r="DM59" s="14">
        <f t="shared" si="28"/>
        <v>42</v>
      </c>
      <c r="DN59" s="48">
        <f t="shared" si="132"/>
        <v>0</v>
      </c>
      <c r="DO59" s="68">
        <f t="shared" si="102"/>
        <v>0</v>
      </c>
      <c r="DP59" s="51">
        <f t="shared" si="29"/>
        <v>524</v>
      </c>
      <c r="DQ59" s="103">
        <f t="shared" si="270"/>
        <v>0</v>
      </c>
      <c r="DR59" s="71">
        <f t="shared" si="140"/>
        <v>524</v>
      </c>
      <c r="DS59" s="50">
        <f t="shared" si="30"/>
        <v>79</v>
      </c>
      <c r="DT59" s="103">
        <f t="shared" si="271"/>
        <v>0</v>
      </c>
      <c r="DU59" s="71">
        <f t="shared" si="92"/>
        <v>79</v>
      </c>
    </row>
    <row r="60" spans="1:125" ht="17.25" thickBot="1" x14ac:dyDescent="0.3">
      <c r="A60" s="517"/>
      <c r="B60" s="403">
        <v>18</v>
      </c>
      <c r="C60" s="571">
        <f t="shared" si="234"/>
        <v>7</v>
      </c>
      <c r="D60" s="229"/>
      <c r="E60" s="408">
        <f t="shared" si="31"/>
        <v>0</v>
      </c>
      <c r="F60" s="562">
        <f t="shared" si="0"/>
        <v>0</v>
      </c>
      <c r="G60" s="405"/>
      <c r="H60" s="406"/>
      <c r="I60" s="406"/>
      <c r="J60" s="380">
        <f t="shared" si="103"/>
        <v>0</v>
      </c>
      <c r="K60" s="380">
        <f t="shared" si="32"/>
        <v>0</v>
      </c>
      <c r="L60" s="380">
        <f t="shared" si="1"/>
        <v>0.16</v>
      </c>
      <c r="M60" s="527">
        <f t="shared" si="53"/>
        <v>0</v>
      </c>
      <c r="N60" s="407">
        <f t="shared" si="2"/>
        <v>2.72</v>
      </c>
      <c r="O60" s="132">
        <f t="shared" si="33"/>
        <v>0</v>
      </c>
      <c r="P60" s="411"/>
      <c r="Q60" s="380">
        <f t="shared" si="3"/>
        <v>42</v>
      </c>
      <c r="R60" s="518">
        <f t="shared" si="4"/>
        <v>0</v>
      </c>
      <c r="S60" s="474">
        <f t="shared" si="34"/>
        <v>0</v>
      </c>
      <c r="T60" s="182">
        <f t="shared" si="5"/>
        <v>524</v>
      </c>
      <c r="U60" s="181">
        <f t="shared" si="258"/>
        <v>0</v>
      </c>
      <c r="V60" s="266">
        <f t="shared" si="35"/>
        <v>524</v>
      </c>
      <c r="W60" s="385">
        <f t="shared" si="6"/>
        <v>79</v>
      </c>
      <c r="X60" s="181">
        <f t="shared" si="259"/>
        <v>0</v>
      </c>
      <c r="Y60" s="266">
        <f t="shared" si="36"/>
        <v>79</v>
      </c>
      <c r="Z60" s="487"/>
      <c r="AA60" s="403">
        <f>AA59+1</f>
        <v>18</v>
      </c>
      <c r="AB60" s="404">
        <f t="shared" si="238"/>
        <v>7</v>
      </c>
      <c r="AC60" s="229"/>
      <c r="AD60" s="408">
        <f t="shared" si="253"/>
        <v>0</v>
      </c>
      <c r="AE60" s="450">
        <f t="shared" si="254"/>
        <v>0</v>
      </c>
      <c r="AF60" s="405"/>
      <c r="AG60" s="406"/>
      <c r="AH60" s="406"/>
      <c r="AI60" s="380">
        <f t="shared" si="105"/>
        <v>0</v>
      </c>
      <c r="AJ60" s="380">
        <f t="shared" si="162"/>
        <v>0</v>
      </c>
      <c r="AK60" s="380">
        <f t="shared" si="8"/>
        <v>0.16</v>
      </c>
      <c r="AL60" s="527">
        <f t="shared" si="38"/>
        <v>0</v>
      </c>
      <c r="AM60" s="407">
        <f t="shared" si="9"/>
        <v>2.72</v>
      </c>
      <c r="AN60" s="157">
        <f t="shared" si="93"/>
        <v>0</v>
      </c>
      <c r="AO60" s="405"/>
      <c r="AP60" s="380">
        <f t="shared" si="10"/>
        <v>42</v>
      </c>
      <c r="AQ60" s="518">
        <f t="shared" si="39"/>
        <v>0</v>
      </c>
      <c r="AR60" s="474">
        <f t="shared" si="164"/>
        <v>0</v>
      </c>
      <c r="AS60" s="182">
        <f t="shared" si="11"/>
        <v>524</v>
      </c>
      <c r="AT60" s="181">
        <f t="shared" si="261"/>
        <v>0</v>
      </c>
      <c r="AU60" s="266">
        <f t="shared" si="136"/>
        <v>524</v>
      </c>
      <c r="AV60" s="385">
        <f t="shared" si="12"/>
        <v>79</v>
      </c>
      <c r="AW60" s="181">
        <f t="shared" si="262"/>
        <v>0</v>
      </c>
      <c r="AX60" s="266">
        <f t="shared" si="94"/>
        <v>79</v>
      </c>
      <c r="AZ60" s="403">
        <v>18</v>
      </c>
      <c r="BA60" s="404">
        <f t="shared" si="242"/>
        <v>7</v>
      </c>
      <c r="BB60" s="229"/>
      <c r="BC60" s="408">
        <f t="shared" si="42"/>
        <v>0</v>
      </c>
      <c r="BD60" s="450">
        <f t="shared" si="255"/>
        <v>0</v>
      </c>
      <c r="BE60" s="405"/>
      <c r="BF60" s="406"/>
      <c r="BG60" s="406"/>
      <c r="BH60" s="380">
        <f t="shared" si="106"/>
        <v>0</v>
      </c>
      <c r="BI60" s="380">
        <f t="shared" si="151"/>
        <v>0</v>
      </c>
      <c r="BJ60" s="380">
        <f t="shared" si="14"/>
        <v>0.16</v>
      </c>
      <c r="BK60" s="410">
        <f t="shared" si="60"/>
        <v>0</v>
      </c>
      <c r="BL60" s="407">
        <f t="shared" si="15"/>
        <v>2.72</v>
      </c>
      <c r="BM60" s="132">
        <f t="shared" si="167"/>
        <v>0</v>
      </c>
      <c r="BN60" s="405"/>
      <c r="BO60" s="380">
        <f t="shared" si="17"/>
        <v>42</v>
      </c>
      <c r="BP60" s="536">
        <f t="shared" si="61"/>
        <v>0</v>
      </c>
      <c r="BQ60" s="753">
        <f t="shared" si="81"/>
        <v>0</v>
      </c>
      <c r="BR60" s="182">
        <f t="shared" si="18"/>
        <v>524</v>
      </c>
      <c r="BS60" s="181">
        <f t="shared" si="264"/>
        <v>0</v>
      </c>
      <c r="BT60" s="266">
        <f t="shared" si="137"/>
        <v>524</v>
      </c>
      <c r="BU60" s="385">
        <f t="shared" si="20"/>
        <v>79</v>
      </c>
      <c r="BV60" s="181">
        <f t="shared" si="265"/>
        <v>0</v>
      </c>
      <c r="BW60" s="266">
        <f t="shared" si="95"/>
        <v>79</v>
      </c>
      <c r="BX60" s="425"/>
      <c r="BY60" s="403">
        <v>1</v>
      </c>
      <c r="BZ60" s="404">
        <f t="shared" si="246"/>
        <v>7</v>
      </c>
      <c r="CA60" s="229"/>
      <c r="CB60" s="380">
        <f t="shared" si="96"/>
        <v>0</v>
      </c>
      <c r="CC60" s="267">
        <f t="shared" si="107"/>
        <v>0</v>
      </c>
      <c r="CD60" s="405"/>
      <c r="CE60" s="406"/>
      <c r="CF60" s="406"/>
      <c r="CG60" s="380">
        <f t="shared" si="108"/>
        <v>0</v>
      </c>
      <c r="CH60" s="380">
        <f t="shared" si="97"/>
        <v>0</v>
      </c>
      <c r="CI60" s="380">
        <f t="shared" si="21"/>
        <v>0.16</v>
      </c>
      <c r="CJ60" s="410">
        <f t="shared" si="65"/>
        <v>0</v>
      </c>
      <c r="CK60" s="407">
        <f t="shared" si="22"/>
        <v>2.72</v>
      </c>
      <c r="CL60" s="424">
        <f t="shared" si="84"/>
        <v>0</v>
      </c>
      <c r="CM60" s="405"/>
      <c r="CN60" s="380">
        <f t="shared" si="23"/>
        <v>42</v>
      </c>
      <c r="CO60" s="408">
        <f t="shared" si="85"/>
        <v>0</v>
      </c>
      <c r="CP60" s="409">
        <f t="shared" si="66"/>
        <v>0</v>
      </c>
      <c r="CQ60" s="182">
        <f t="shared" si="24"/>
        <v>524</v>
      </c>
      <c r="CR60" s="181">
        <f t="shared" si="267"/>
        <v>0</v>
      </c>
      <c r="CS60" s="266">
        <f t="shared" si="138"/>
        <v>524</v>
      </c>
      <c r="CT60" s="182">
        <f t="shared" si="25"/>
        <v>79</v>
      </c>
      <c r="CU60" s="181">
        <f t="shared" si="268"/>
        <v>0</v>
      </c>
      <c r="CV60" s="266">
        <f t="shared" si="47"/>
        <v>79</v>
      </c>
      <c r="CX60" s="403">
        <v>1</v>
      </c>
      <c r="CY60" s="404">
        <f t="shared" si="250"/>
        <v>7</v>
      </c>
      <c r="CZ60" s="229"/>
      <c r="DA60" s="380">
        <f t="shared" si="228"/>
        <v>0</v>
      </c>
      <c r="DB60" s="267">
        <f t="shared" si="256"/>
        <v>0</v>
      </c>
      <c r="DC60" s="405"/>
      <c r="DD60" s="406"/>
      <c r="DE60" s="406"/>
      <c r="DF60" s="380">
        <f t="shared" si="110"/>
        <v>0</v>
      </c>
      <c r="DG60" s="380">
        <f t="shared" si="99"/>
        <v>0</v>
      </c>
      <c r="DH60" s="380">
        <f t="shared" si="26"/>
        <v>0.16</v>
      </c>
      <c r="DI60" s="410">
        <f t="shared" si="111"/>
        <v>0</v>
      </c>
      <c r="DJ60" s="407">
        <f t="shared" si="27"/>
        <v>2.72</v>
      </c>
      <c r="DK60" s="424">
        <f t="shared" si="101"/>
        <v>0</v>
      </c>
      <c r="DL60" s="405"/>
      <c r="DM60" s="380">
        <f t="shared" si="28"/>
        <v>42</v>
      </c>
      <c r="DN60" s="408">
        <f t="shared" si="132"/>
        <v>0</v>
      </c>
      <c r="DO60" s="409">
        <f t="shared" si="102"/>
        <v>0</v>
      </c>
      <c r="DP60" s="182">
        <f t="shared" si="29"/>
        <v>524</v>
      </c>
      <c r="DQ60" s="181">
        <f t="shared" si="270"/>
        <v>0</v>
      </c>
      <c r="DR60" s="266">
        <f t="shared" si="140"/>
        <v>524</v>
      </c>
      <c r="DS60" s="182">
        <f t="shared" si="30"/>
        <v>79</v>
      </c>
      <c r="DT60" s="181">
        <f t="shared" si="271"/>
        <v>0</v>
      </c>
      <c r="DU60" s="266">
        <f t="shared" si="92"/>
        <v>79</v>
      </c>
    </row>
    <row r="61" spans="1:125" ht="17.25" thickBot="1" x14ac:dyDescent="0.3">
      <c r="A61" s="454"/>
      <c r="B61" s="403">
        <v>19</v>
      </c>
      <c r="C61" s="576">
        <f t="shared" si="234"/>
        <v>7</v>
      </c>
      <c r="D61" s="434"/>
      <c r="E61" s="436">
        <f t="shared" si="31"/>
        <v>0</v>
      </c>
      <c r="F61" s="451">
        <f t="shared" si="0"/>
        <v>0</v>
      </c>
      <c r="G61" s="421"/>
      <c r="H61" s="426"/>
      <c r="I61" s="426"/>
      <c r="J61" s="452">
        <f t="shared" si="103"/>
        <v>0</v>
      </c>
      <c r="K61" s="452">
        <f t="shared" si="32"/>
        <v>0</v>
      </c>
      <c r="L61" s="384">
        <f t="shared" si="1"/>
        <v>0.16</v>
      </c>
      <c r="M61" s="96">
        <f t="shared" si="53"/>
        <v>0</v>
      </c>
      <c r="N61" s="420">
        <f t="shared" si="2"/>
        <v>2.72</v>
      </c>
      <c r="O61" s="132">
        <f t="shared" si="33"/>
        <v>0</v>
      </c>
      <c r="P61" s="567"/>
      <c r="Q61" s="384">
        <f t="shared" si="3"/>
        <v>42</v>
      </c>
      <c r="R61" s="443">
        <f t="shared" si="4"/>
        <v>0</v>
      </c>
      <c r="S61" s="473">
        <f t="shared" si="34"/>
        <v>0</v>
      </c>
      <c r="T61" s="382">
        <f t="shared" si="5"/>
        <v>524</v>
      </c>
      <c r="U61" s="591">
        <f t="shared" si="258"/>
        <v>0</v>
      </c>
      <c r="V61" s="381">
        <f t="shared" si="35"/>
        <v>524</v>
      </c>
      <c r="W61" s="382">
        <f t="shared" si="6"/>
        <v>79</v>
      </c>
      <c r="X61" s="591">
        <f t="shared" si="259"/>
        <v>0</v>
      </c>
      <c r="Y61" s="381">
        <f t="shared" si="36"/>
        <v>79</v>
      </c>
      <c r="Z61" s="487"/>
      <c r="AA61" s="403">
        <f>AA60+1</f>
        <v>19</v>
      </c>
      <c r="AB61" s="433">
        <f t="shared" si="238"/>
        <v>7</v>
      </c>
      <c r="AC61" s="434"/>
      <c r="AD61" s="436">
        <f t="shared" si="253"/>
        <v>0</v>
      </c>
      <c r="AE61" s="437">
        <f t="shared" si="254"/>
        <v>0</v>
      </c>
      <c r="AF61" s="421"/>
      <c r="AG61" s="426"/>
      <c r="AH61" s="426"/>
      <c r="AI61" s="452">
        <f t="shared" si="105"/>
        <v>0</v>
      </c>
      <c r="AJ61" s="452">
        <f t="shared" si="162"/>
        <v>0</v>
      </c>
      <c r="AK61" s="384">
        <f t="shared" si="8"/>
        <v>0.16</v>
      </c>
      <c r="AL61" s="96">
        <f t="shared" si="38"/>
        <v>0</v>
      </c>
      <c r="AM61" s="420">
        <f t="shared" si="9"/>
        <v>2.72</v>
      </c>
      <c r="AN61" s="157">
        <f t="shared" si="93"/>
        <v>0</v>
      </c>
      <c r="AO61" s="421"/>
      <c r="AP61" s="387">
        <f t="shared" si="10"/>
        <v>42</v>
      </c>
      <c r="AQ61" s="443">
        <f t="shared" si="39"/>
        <v>0</v>
      </c>
      <c r="AR61" s="473">
        <f t="shared" si="164"/>
        <v>0</v>
      </c>
      <c r="AS61" s="382">
        <f t="shared" si="11"/>
        <v>524</v>
      </c>
      <c r="AT61" s="181">
        <f t="shared" si="261"/>
        <v>0</v>
      </c>
      <c r="AU61" s="381">
        <f t="shared" si="136"/>
        <v>524</v>
      </c>
      <c r="AV61" s="382">
        <f t="shared" si="12"/>
        <v>79</v>
      </c>
      <c r="AW61" s="181">
        <f t="shared" si="262"/>
        <v>0</v>
      </c>
      <c r="AX61" s="381">
        <f t="shared" si="94"/>
        <v>79</v>
      </c>
      <c r="AZ61" s="432">
        <v>19</v>
      </c>
      <c r="BA61" s="433">
        <f t="shared" si="242"/>
        <v>7</v>
      </c>
      <c r="BB61" s="434"/>
      <c r="BC61" s="436">
        <f t="shared" si="42"/>
        <v>0</v>
      </c>
      <c r="BD61" s="437">
        <f t="shared" si="255"/>
        <v>0</v>
      </c>
      <c r="BE61" s="421"/>
      <c r="BF61" s="426"/>
      <c r="BG61" s="426"/>
      <c r="BH61" s="452">
        <f t="shared" si="106"/>
        <v>0</v>
      </c>
      <c r="BI61" s="452">
        <f t="shared" si="151"/>
        <v>0</v>
      </c>
      <c r="BJ61" s="384">
        <f t="shared" si="14"/>
        <v>0.16</v>
      </c>
      <c r="BK61" s="96">
        <f t="shared" si="60"/>
        <v>0</v>
      </c>
      <c r="BL61" s="420">
        <f t="shared" si="15"/>
        <v>2.72</v>
      </c>
      <c r="BM61" s="132">
        <f t="shared" si="167"/>
        <v>0</v>
      </c>
      <c r="BN61" s="421"/>
      <c r="BO61" s="384">
        <f t="shared" si="17"/>
        <v>42</v>
      </c>
      <c r="BP61" s="443">
        <f t="shared" si="61"/>
        <v>0</v>
      </c>
      <c r="BQ61" s="754">
        <f t="shared" si="81"/>
        <v>0</v>
      </c>
      <c r="BR61" s="382">
        <f t="shared" si="18"/>
        <v>524</v>
      </c>
      <c r="BS61" s="591">
        <f t="shared" si="264"/>
        <v>0</v>
      </c>
      <c r="BT61" s="381">
        <f t="shared" si="137"/>
        <v>524</v>
      </c>
      <c r="BU61" s="382">
        <f t="shared" si="20"/>
        <v>79</v>
      </c>
      <c r="BV61" s="591">
        <f t="shared" si="265"/>
        <v>0</v>
      </c>
      <c r="BW61" s="381">
        <f t="shared" si="95"/>
        <v>79</v>
      </c>
      <c r="BY61" s="120">
        <f t="shared" si="266"/>
        <v>2</v>
      </c>
      <c r="BZ61" s="8">
        <f t="shared" si="246"/>
        <v>7</v>
      </c>
      <c r="CA61" s="136"/>
      <c r="CB61" s="32">
        <f t="shared" si="96"/>
        <v>0</v>
      </c>
      <c r="CC61" s="69">
        <f t="shared" si="107"/>
        <v>0</v>
      </c>
      <c r="CD61" s="421"/>
      <c r="CE61" s="426"/>
      <c r="CF61" s="426"/>
      <c r="CG61" s="34">
        <f t="shared" si="108"/>
        <v>0</v>
      </c>
      <c r="CH61" s="34">
        <f t="shared" si="97"/>
        <v>0</v>
      </c>
      <c r="CI61" s="17">
        <f t="shared" si="21"/>
        <v>0.16</v>
      </c>
      <c r="CJ61" s="166">
        <f t="shared" si="65"/>
        <v>0</v>
      </c>
      <c r="CK61" s="33">
        <f t="shared" si="22"/>
        <v>2.72</v>
      </c>
      <c r="CL61" s="156">
        <f t="shared" si="84"/>
        <v>0</v>
      </c>
      <c r="CM61" s="137"/>
      <c r="CN61" s="32">
        <f t="shared" si="23"/>
        <v>42</v>
      </c>
      <c r="CO61" s="54">
        <f t="shared" si="85"/>
        <v>0</v>
      </c>
      <c r="CP61" s="70">
        <f t="shared" si="66"/>
        <v>0</v>
      </c>
      <c r="CQ61" s="50">
        <f t="shared" si="24"/>
        <v>524</v>
      </c>
      <c r="CR61" s="103">
        <f t="shared" si="267"/>
        <v>0</v>
      </c>
      <c r="CS61" s="53">
        <f t="shared" si="138"/>
        <v>524</v>
      </c>
      <c r="CT61" s="12">
        <f t="shared" si="25"/>
        <v>79</v>
      </c>
      <c r="CU61" s="103">
        <f t="shared" si="268"/>
        <v>0</v>
      </c>
      <c r="CV61" s="53">
        <f t="shared" si="47"/>
        <v>79</v>
      </c>
      <c r="CX61" s="120">
        <f t="shared" si="269"/>
        <v>2</v>
      </c>
      <c r="CY61" s="8">
        <f t="shared" si="250"/>
        <v>7</v>
      </c>
      <c r="CZ61" s="136"/>
      <c r="DA61" s="32">
        <f t="shared" si="228"/>
        <v>0</v>
      </c>
      <c r="DB61" s="69">
        <f t="shared" si="256"/>
        <v>0</v>
      </c>
      <c r="DC61" s="421"/>
      <c r="DD61" s="426"/>
      <c r="DE61" s="426"/>
      <c r="DF61" s="34">
        <f t="shared" si="110"/>
        <v>0</v>
      </c>
      <c r="DG61" s="34">
        <f t="shared" si="99"/>
        <v>0</v>
      </c>
      <c r="DH61" s="17">
        <f t="shared" si="26"/>
        <v>0.16</v>
      </c>
      <c r="DI61" s="166">
        <f t="shared" si="111"/>
        <v>0</v>
      </c>
      <c r="DJ61" s="33">
        <f t="shared" si="27"/>
        <v>2.72</v>
      </c>
      <c r="DK61" s="156">
        <f t="shared" si="101"/>
        <v>0</v>
      </c>
      <c r="DL61" s="137"/>
      <c r="DM61" s="32">
        <f t="shared" si="28"/>
        <v>42</v>
      </c>
      <c r="DN61" s="54">
        <f t="shared" si="132"/>
        <v>0</v>
      </c>
      <c r="DO61" s="70">
        <f t="shared" si="102"/>
        <v>0</v>
      </c>
      <c r="DP61" s="50">
        <f t="shared" si="29"/>
        <v>524</v>
      </c>
      <c r="DQ61" s="103">
        <f t="shared" si="270"/>
        <v>0</v>
      </c>
      <c r="DR61" s="53">
        <f t="shared" si="140"/>
        <v>524</v>
      </c>
      <c r="DS61" s="12">
        <f t="shared" si="30"/>
        <v>79</v>
      </c>
      <c r="DT61" s="103">
        <f t="shared" si="271"/>
        <v>0</v>
      </c>
      <c r="DU61" s="53">
        <f t="shared" si="92"/>
        <v>79</v>
      </c>
    </row>
    <row r="62" spans="1:125" ht="17.25" thickBot="1" x14ac:dyDescent="0.3">
      <c r="B62" s="118">
        <v>20</v>
      </c>
      <c r="C62" s="575">
        <v>8</v>
      </c>
      <c r="D62" s="129"/>
      <c r="E62" s="400">
        <f t="shared" si="31"/>
        <v>0</v>
      </c>
      <c r="F62" s="561">
        <f t="shared" si="0"/>
        <v>0</v>
      </c>
      <c r="G62" s="130"/>
      <c r="H62" s="131"/>
      <c r="I62" s="131"/>
      <c r="J62" s="11">
        <f t="shared" si="103"/>
        <v>0</v>
      </c>
      <c r="K62" s="11">
        <f t="shared" si="32"/>
        <v>0</v>
      </c>
      <c r="L62" s="11">
        <f t="shared" si="1"/>
        <v>0.16</v>
      </c>
      <c r="M62" s="153">
        <f t="shared" si="53"/>
        <v>0</v>
      </c>
      <c r="N62" s="21">
        <f t="shared" si="2"/>
        <v>2.8800000000000003</v>
      </c>
      <c r="O62" s="132">
        <f t="shared" si="33"/>
        <v>0</v>
      </c>
      <c r="P62" s="158"/>
      <c r="Q62" s="11">
        <f t="shared" si="3"/>
        <v>46</v>
      </c>
      <c r="R62" s="441">
        <f t="shared" si="4"/>
        <v>0</v>
      </c>
      <c r="S62" s="469">
        <f t="shared" si="34"/>
        <v>0</v>
      </c>
      <c r="T62" s="58">
        <f t="shared" si="5"/>
        <v>618</v>
      </c>
      <c r="U62" s="131"/>
      <c r="V62" s="41">
        <f t="shared" si="35"/>
        <v>618</v>
      </c>
      <c r="W62" s="18">
        <f t="shared" si="6"/>
        <v>79</v>
      </c>
      <c r="X62" s="131"/>
      <c r="Y62" s="41">
        <f t="shared" si="36"/>
        <v>79</v>
      </c>
      <c r="Z62" s="487"/>
      <c r="AA62" s="118">
        <v>20</v>
      </c>
      <c r="AB62" s="9">
        <v>8</v>
      </c>
      <c r="AC62" s="129"/>
      <c r="AD62" s="43">
        <f t="shared" si="253"/>
        <v>0</v>
      </c>
      <c r="AE62" s="449">
        <f t="shared" si="254"/>
        <v>0</v>
      </c>
      <c r="AF62" s="130"/>
      <c r="AG62" s="131"/>
      <c r="AH62" s="131"/>
      <c r="AI62" s="11">
        <f t="shared" si="105"/>
        <v>0</v>
      </c>
      <c r="AJ62" s="11">
        <f t="shared" si="162"/>
        <v>0</v>
      </c>
      <c r="AK62" s="17">
        <f t="shared" si="8"/>
        <v>0.16</v>
      </c>
      <c r="AL62" s="153">
        <f t="shared" si="38"/>
        <v>0</v>
      </c>
      <c r="AM62" s="33">
        <f t="shared" si="9"/>
        <v>2.8800000000000003</v>
      </c>
      <c r="AN62" s="157">
        <f t="shared" si="93"/>
        <v>0</v>
      </c>
      <c r="AO62" s="130"/>
      <c r="AP62" s="11">
        <f t="shared" si="10"/>
        <v>46</v>
      </c>
      <c r="AQ62" s="441">
        <f t="shared" si="39"/>
        <v>0</v>
      </c>
      <c r="AR62" s="469">
        <f t="shared" si="164"/>
        <v>0</v>
      </c>
      <c r="AS62" s="61">
        <f t="shared" si="11"/>
        <v>618</v>
      </c>
      <c r="AT62" s="131"/>
      <c r="AU62" s="41">
        <f t="shared" si="136"/>
        <v>618</v>
      </c>
      <c r="AV62" s="18">
        <f t="shared" si="12"/>
        <v>79</v>
      </c>
      <c r="AW62" s="131"/>
      <c r="AX62" s="41">
        <f t="shared" si="94"/>
        <v>79</v>
      </c>
      <c r="AZ62" s="118">
        <v>20</v>
      </c>
      <c r="BA62" s="9">
        <v>8</v>
      </c>
      <c r="BB62" s="129"/>
      <c r="BC62" s="43">
        <f t="shared" si="42"/>
        <v>0</v>
      </c>
      <c r="BD62" s="449">
        <f t="shared" si="255"/>
        <v>0</v>
      </c>
      <c r="BE62" s="130"/>
      <c r="BF62" s="131"/>
      <c r="BG62" s="131"/>
      <c r="BH62" s="11">
        <f t="shared" si="106"/>
        <v>0</v>
      </c>
      <c r="BI62" s="11">
        <f t="shared" si="151"/>
        <v>0</v>
      </c>
      <c r="BJ62" s="11">
        <f t="shared" si="14"/>
        <v>0.16</v>
      </c>
      <c r="BK62" s="42">
        <f t="shared" si="60"/>
        <v>0</v>
      </c>
      <c r="BL62" s="21">
        <f t="shared" si="15"/>
        <v>2.8800000000000003</v>
      </c>
      <c r="BM62" s="132">
        <f t="shared" si="167"/>
        <v>0</v>
      </c>
      <c r="BN62" s="130"/>
      <c r="BO62" s="11">
        <f t="shared" si="17"/>
        <v>46</v>
      </c>
      <c r="BP62" s="441">
        <f t="shared" si="61"/>
        <v>0</v>
      </c>
      <c r="BQ62" s="746">
        <f t="shared" si="81"/>
        <v>0</v>
      </c>
      <c r="BR62" s="58">
        <f t="shared" si="18"/>
        <v>618</v>
      </c>
      <c r="BS62" s="131"/>
      <c r="BT62" s="41">
        <f t="shared" si="137"/>
        <v>618</v>
      </c>
      <c r="BU62" s="18">
        <f t="shared" si="20"/>
        <v>79</v>
      </c>
      <c r="BV62" s="131"/>
      <c r="BW62" s="41">
        <f t="shared" si="95"/>
        <v>79</v>
      </c>
      <c r="BY62" s="118">
        <v>3</v>
      </c>
      <c r="BZ62" s="9">
        <v>8</v>
      </c>
      <c r="CA62" s="129"/>
      <c r="CB62" s="11">
        <f t="shared" si="96"/>
        <v>0</v>
      </c>
      <c r="CC62" s="57">
        <f t="shared" si="107"/>
        <v>0</v>
      </c>
      <c r="CD62" s="398"/>
      <c r="CE62" s="399"/>
      <c r="CF62" s="399"/>
      <c r="CG62" s="11">
        <f t="shared" si="108"/>
        <v>0</v>
      </c>
      <c r="CH62" s="11">
        <f t="shared" si="97"/>
        <v>0</v>
      </c>
      <c r="CI62" s="16">
        <f t="shared" si="21"/>
        <v>0.16</v>
      </c>
      <c r="CJ62" s="231">
        <f t="shared" si="65"/>
        <v>0</v>
      </c>
      <c r="CK62" s="154">
        <f t="shared" si="22"/>
        <v>2.8800000000000003</v>
      </c>
      <c r="CL62" s="155">
        <f t="shared" si="84"/>
        <v>0</v>
      </c>
      <c r="CM62" s="130"/>
      <c r="CN62" s="17">
        <f t="shared" si="23"/>
        <v>46</v>
      </c>
      <c r="CO62" s="60">
        <f t="shared" si="85"/>
        <v>0</v>
      </c>
      <c r="CP62" s="377">
        <f t="shared" si="66"/>
        <v>0</v>
      </c>
      <c r="CQ62" s="58">
        <f t="shared" si="24"/>
        <v>618</v>
      </c>
      <c r="CR62" s="131"/>
      <c r="CS62" s="41">
        <f t="shared" si="138"/>
        <v>618</v>
      </c>
      <c r="CT62" s="58">
        <f t="shared" si="25"/>
        <v>79</v>
      </c>
      <c r="CU62" s="131"/>
      <c r="CV62" s="41">
        <f t="shared" si="47"/>
        <v>79</v>
      </c>
      <c r="CX62" s="118">
        <v>3</v>
      </c>
      <c r="CY62" s="9">
        <v>8</v>
      </c>
      <c r="CZ62" s="129"/>
      <c r="DA62" s="11">
        <f t="shared" si="228"/>
        <v>0</v>
      </c>
      <c r="DB62" s="57">
        <f t="shared" si="256"/>
        <v>0</v>
      </c>
      <c r="DC62" s="398"/>
      <c r="DD62" s="399"/>
      <c r="DE62" s="399"/>
      <c r="DF62" s="11">
        <f t="shared" si="110"/>
        <v>0</v>
      </c>
      <c r="DG62" s="11">
        <f t="shared" si="99"/>
        <v>0</v>
      </c>
      <c r="DH62" s="16">
        <f t="shared" si="26"/>
        <v>0.16</v>
      </c>
      <c r="DI62" s="231">
        <f t="shared" si="111"/>
        <v>0</v>
      </c>
      <c r="DJ62" s="154">
        <f t="shared" si="27"/>
        <v>2.8800000000000003</v>
      </c>
      <c r="DK62" s="155">
        <f t="shared" si="101"/>
        <v>0</v>
      </c>
      <c r="DL62" s="130"/>
      <c r="DM62" s="17">
        <f t="shared" si="28"/>
        <v>46</v>
      </c>
      <c r="DN62" s="60">
        <f t="shared" si="132"/>
        <v>0</v>
      </c>
      <c r="DO62" s="377">
        <f t="shared" si="102"/>
        <v>0</v>
      </c>
      <c r="DP62" s="58">
        <f t="shared" si="29"/>
        <v>618</v>
      </c>
      <c r="DQ62" s="131"/>
      <c r="DR62" s="41">
        <f t="shared" si="140"/>
        <v>618</v>
      </c>
      <c r="DS62" s="58">
        <f t="shared" si="30"/>
        <v>79</v>
      </c>
      <c r="DT62" s="131"/>
      <c r="DU62" s="41">
        <f t="shared" si="92"/>
        <v>79</v>
      </c>
    </row>
    <row r="63" spans="1:125" ht="17.25" thickBot="1" x14ac:dyDescent="0.3">
      <c r="B63" s="120">
        <f>B62+1</f>
        <v>21</v>
      </c>
      <c r="C63" s="570">
        <f>C62</f>
        <v>8</v>
      </c>
      <c r="D63" s="133"/>
      <c r="E63" s="408">
        <f t="shared" si="31"/>
        <v>0</v>
      </c>
      <c r="F63" s="562">
        <f t="shared" si="0"/>
        <v>0</v>
      </c>
      <c r="G63" s="134"/>
      <c r="H63" s="135"/>
      <c r="I63" s="135"/>
      <c r="J63" s="14">
        <f t="shared" si="103"/>
        <v>0</v>
      </c>
      <c r="K63" s="14">
        <f t="shared" si="32"/>
        <v>0</v>
      </c>
      <c r="L63" s="14">
        <f t="shared" si="1"/>
        <v>0.16</v>
      </c>
      <c r="M63" s="47">
        <f t="shared" si="53"/>
        <v>0</v>
      </c>
      <c r="N63" s="35">
        <f t="shared" si="2"/>
        <v>2.8800000000000003</v>
      </c>
      <c r="O63" s="132">
        <f t="shared" si="33"/>
        <v>0</v>
      </c>
      <c r="P63" s="142"/>
      <c r="Q63" s="14">
        <f t="shared" si="3"/>
        <v>46</v>
      </c>
      <c r="R63" s="442">
        <f t="shared" si="4"/>
        <v>0</v>
      </c>
      <c r="S63" s="470">
        <f t="shared" si="34"/>
        <v>0</v>
      </c>
      <c r="T63" s="51">
        <f t="shared" si="5"/>
        <v>618</v>
      </c>
      <c r="U63" s="103">
        <f>U62</f>
        <v>0</v>
      </c>
      <c r="V63" s="46">
        <f t="shared" si="35"/>
        <v>618</v>
      </c>
      <c r="W63" s="51">
        <f t="shared" si="6"/>
        <v>79</v>
      </c>
      <c r="X63" s="103">
        <f>X62</f>
        <v>0</v>
      </c>
      <c r="Y63" s="46">
        <f t="shared" si="36"/>
        <v>79</v>
      </c>
      <c r="Z63" s="487"/>
      <c r="AA63" s="120">
        <f>AA62+1</f>
        <v>21</v>
      </c>
      <c r="AB63" s="7">
        <f>AB62</f>
        <v>8</v>
      </c>
      <c r="AC63" s="133"/>
      <c r="AD63" s="48">
        <f t="shared" si="253"/>
        <v>0</v>
      </c>
      <c r="AE63" s="196">
        <f t="shared" si="254"/>
        <v>0</v>
      </c>
      <c r="AF63" s="134"/>
      <c r="AG63" s="135"/>
      <c r="AH63" s="135"/>
      <c r="AI63" s="14">
        <f t="shared" si="105"/>
        <v>0</v>
      </c>
      <c r="AJ63" s="14">
        <f t="shared" si="162"/>
        <v>0</v>
      </c>
      <c r="AK63" s="14">
        <f t="shared" si="8"/>
        <v>0.16</v>
      </c>
      <c r="AL63" s="47">
        <f t="shared" si="38"/>
        <v>0</v>
      </c>
      <c r="AM63" s="35">
        <f t="shared" si="9"/>
        <v>2.8800000000000003</v>
      </c>
      <c r="AN63" s="157">
        <f t="shared" si="93"/>
        <v>0</v>
      </c>
      <c r="AO63" s="134"/>
      <c r="AP63" s="14">
        <f t="shared" si="10"/>
        <v>46</v>
      </c>
      <c r="AQ63" s="442">
        <f t="shared" si="39"/>
        <v>0</v>
      </c>
      <c r="AR63" s="470">
        <f t="shared" si="164"/>
        <v>0</v>
      </c>
      <c r="AS63" s="51">
        <f t="shared" si="11"/>
        <v>618</v>
      </c>
      <c r="AT63" s="103">
        <f>AT62</f>
        <v>0</v>
      </c>
      <c r="AU63" s="46">
        <f t="shared" si="136"/>
        <v>618</v>
      </c>
      <c r="AV63" s="51">
        <f t="shared" si="12"/>
        <v>79</v>
      </c>
      <c r="AW63" s="103">
        <f>AW62</f>
        <v>0</v>
      </c>
      <c r="AX63" s="46">
        <f t="shared" si="94"/>
        <v>79</v>
      </c>
      <c r="AZ63" s="120">
        <f>AZ62+1</f>
        <v>21</v>
      </c>
      <c r="BA63" s="7">
        <f>BA62</f>
        <v>8</v>
      </c>
      <c r="BB63" s="133"/>
      <c r="BC63" s="48">
        <f t="shared" si="42"/>
        <v>0</v>
      </c>
      <c r="BD63" s="196">
        <f t="shared" si="255"/>
        <v>0</v>
      </c>
      <c r="BE63" s="134"/>
      <c r="BF63" s="135"/>
      <c r="BG63" s="135"/>
      <c r="BH63" s="14">
        <f t="shared" si="106"/>
        <v>0</v>
      </c>
      <c r="BI63" s="14">
        <f t="shared" si="151"/>
        <v>0</v>
      </c>
      <c r="BJ63" s="14">
        <f t="shared" si="14"/>
        <v>0.16</v>
      </c>
      <c r="BK63" s="47">
        <f t="shared" si="60"/>
        <v>0</v>
      </c>
      <c r="BL63" s="35">
        <f t="shared" si="15"/>
        <v>2.8800000000000003</v>
      </c>
      <c r="BM63" s="132">
        <f t="shared" si="167"/>
        <v>0</v>
      </c>
      <c r="BN63" s="134"/>
      <c r="BO63" s="14">
        <f t="shared" si="17"/>
        <v>46</v>
      </c>
      <c r="BP63" s="442">
        <f t="shared" si="61"/>
        <v>0</v>
      </c>
      <c r="BQ63" s="747">
        <f t="shared" si="81"/>
        <v>0</v>
      </c>
      <c r="BR63" s="51">
        <f t="shared" si="18"/>
        <v>618</v>
      </c>
      <c r="BS63" s="103">
        <f>BS62</f>
        <v>0</v>
      </c>
      <c r="BT63" s="46">
        <f t="shared" si="137"/>
        <v>618</v>
      </c>
      <c r="BU63" s="51">
        <f t="shared" si="20"/>
        <v>79</v>
      </c>
      <c r="BV63" s="103">
        <f>BV62</f>
        <v>0</v>
      </c>
      <c r="BW63" s="46">
        <f t="shared" si="95"/>
        <v>79</v>
      </c>
      <c r="BY63" s="120">
        <f>BY62+1</f>
        <v>4</v>
      </c>
      <c r="BZ63" s="7">
        <f>BZ62</f>
        <v>8</v>
      </c>
      <c r="CA63" s="133"/>
      <c r="CB63" s="14">
        <f t="shared" si="96"/>
        <v>0</v>
      </c>
      <c r="CC63" s="59">
        <f t="shared" si="107"/>
        <v>0</v>
      </c>
      <c r="CD63" s="405"/>
      <c r="CE63" s="406"/>
      <c r="CF63" s="406"/>
      <c r="CG63" s="14">
        <f t="shared" si="108"/>
        <v>0</v>
      </c>
      <c r="CH63" s="14">
        <f t="shared" si="97"/>
        <v>0</v>
      </c>
      <c r="CI63" s="14">
        <f t="shared" si="21"/>
        <v>0.16</v>
      </c>
      <c r="CJ63" s="47">
        <f t="shared" si="65"/>
        <v>0</v>
      </c>
      <c r="CK63" s="35">
        <f t="shared" si="22"/>
        <v>2.8800000000000003</v>
      </c>
      <c r="CL63" s="157">
        <f t="shared" si="84"/>
        <v>0</v>
      </c>
      <c r="CM63" s="134"/>
      <c r="CN63" s="14">
        <f t="shared" si="23"/>
        <v>46</v>
      </c>
      <c r="CO63" s="48">
        <f t="shared" si="85"/>
        <v>0</v>
      </c>
      <c r="CP63" s="68">
        <f t="shared" si="66"/>
        <v>0</v>
      </c>
      <c r="CQ63" s="51">
        <f t="shared" si="24"/>
        <v>618</v>
      </c>
      <c r="CR63" s="103">
        <f>CR62</f>
        <v>0</v>
      </c>
      <c r="CS63" s="46">
        <f t="shared" si="138"/>
        <v>618</v>
      </c>
      <c r="CT63" s="51">
        <f t="shared" si="25"/>
        <v>79</v>
      </c>
      <c r="CU63" s="103">
        <f>CU62</f>
        <v>0</v>
      </c>
      <c r="CV63" s="46">
        <f t="shared" si="47"/>
        <v>79</v>
      </c>
      <c r="CX63" s="120">
        <f>CX62+1</f>
        <v>4</v>
      </c>
      <c r="CY63" s="7">
        <f>CY62</f>
        <v>8</v>
      </c>
      <c r="CZ63" s="133"/>
      <c r="DA63" s="14">
        <f t="shared" si="228"/>
        <v>0</v>
      </c>
      <c r="DB63" s="59">
        <f t="shared" si="256"/>
        <v>0</v>
      </c>
      <c r="DC63" s="405"/>
      <c r="DD63" s="406"/>
      <c r="DE63" s="406"/>
      <c r="DF63" s="14">
        <f t="shared" si="110"/>
        <v>0</v>
      </c>
      <c r="DG63" s="14">
        <f t="shared" si="99"/>
        <v>0</v>
      </c>
      <c r="DH63" s="14">
        <f t="shared" si="26"/>
        <v>0.16</v>
      </c>
      <c r="DI63" s="47">
        <f t="shared" si="111"/>
        <v>0</v>
      </c>
      <c r="DJ63" s="35">
        <f t="shared" si="27"/>
        <v>2.8800000000000003</v>
      </c>
      <c r="DK63" s="157">
        <f t="shared" si="101"/>
        <v>0</v>
      </c>
      <c r="DL63" s="134"/>
      <c r="DM63" s="14">
        <f t="shared" si="28"/>
        <v>46</v>
      </c>
      <c r="DN63" s="48">
        <f t="shared" si="132"/>
        <v>0</v>
      </c>
      <c r="DO63" s="68">
        <f t="shared" si="102"/>
        <v>0</v>
      </c>
      <c r="DP63" s="51">
        <f t="shared" si="29"/>
        <v>618</v>
      </c>
      <c r="DQ63" s="103">
        <f>DQ62</f>
        <v>0</v>
      </c>
      <c r="DR63" s="46">
        <f t="shared" si="140"/>
        <v>618</v>
      </c>
      <c r="DS63" s="51">
        <f t="shared" si="30"/>
        <v>79</v>
      </c>
      <c r="DT63" s="103">
        <f>DT62</f>
        <v>0</v>
      </c>
      <c r="DU63" s="46">
        <f t="shared" si="92"/>
        <v>79</v>
      </c>
    </row>
    <row r="64" spans="1:125" ht="17.25" thickBot="1" x14ac:dyDescent="0.3">
      <c r="B64" s="120">
        <f t="shared" ref="B64:B68" si="272">B63+1</f>
        <v>22</v>
      </c>
      <c r="C64" s="570">
        <f t="shared" ref="C64:C68" si="273">C63</f>
        <v>8</v>
      </c>
      <c r="D64" s="133"/>
      <c r="E64" s="408">
        <f t="shared" si="31"/>
        <v>0</v>
      </c>
      <c r="F64" s="562">
        <f t="shared" si="0"/>
        <v>0</v>
      </c>
      <c r="G64" s="134"/>
      <c r="H64" s="135"/>
      <c r="I64" s="135"/>
      <c r="J64" s="14">
        <f t="shared" si="103"/>
        <v>0</v>
      </c>
      <c r="K64" s="14">
        <f t="shared" si="32"/>
        <v>0</v>
      </c>
      <c r="L64" s="14">
        <f t="shared" si="1"/>
        <v>0.16</v>
      </c>
      <c r="M64" s="231">
        <f t="shared" si="53"/>
        <v>0</v>
      </c>
      <c r="N64" s="35">
        <f t="shared" si="2"/>
        <v>2.8800000000000003</v>
      </c>
      <c r="O64" s="132">
        <f t="shared" si="33"/>
        <v>0</v>
      </c>
      <c r="P64" s="142"/>
      <c r="Q64" s="14">
        <f t="shared" si="3"/>
        <v>46</v>
      </c>
      <c r="R64" s="480">
        <f t="shared" si="4"/>
        <v>0</v>
      </c>
      <c r="S64" s="470">
        <f t="shared" si="34"/>
        <v>0</v>
      </c>
      <c r="T64" s="51">
        <f t="shared" si="5"/>
        <v>618</v>
      </c>
      <c r="U64" s="103">
        <f t="shared" ref="U64:U68" si="274">U63</f>
        <v>0</v>
      </c>
      <c r="V64" s="46">
        <f t="shared" si="35"/>
        <v>618</v>
      </c>
      <c r="W64" s="51">
        <f t="shared" si="6"/>
        <v>79</v>
      </c>
      <c r="X64" s="103">
        <f t="shared" ref="X64:X68" si="275">X63</f>
        <v>0</v>
      </c>
      <c r="Y64" s="46">
        <f t="shared" si="36"/>
        <v>79</v>
      </c>
      <c r="Z64" s="487"/>
      <c r="AA64" s="120">
        <f t="shared" ref="AA64:AA68" si="276">AA63+1</f>
        <v>22</v>
      </c>
      <c r="AB64" s="7">
        <f t="shared" ref="AB64:AB68" si="277">AB63</f>
        <v>8</v>
      </c>
      <c r="AC64" s="133"/>
      <c r="AD64" s="48">
        <f t="shared" si="253"/>
        <v>0</v>
      </c>
      <c r="AE64" s="196">
        <f t="shared" si="254"/>
        <v>0</v>
      </c>
      <c r="AF64" s="134"/>
      <c r="AG64" s="135"/>
      <c r="AH64" s="135"/>
      <c r="AI64" s="14">
        <f t="shared" si="105"/>
        <v>0</v>
      </c>
      <c r="AJ64" s="14">
        <f t="shared" si="162"/>
        <v>0</v>
      </c>
      <c r="AK64" s="14">
        <f t="shared" si="8"/>
        <v>0.16</v>
      </c>
      <c r="AL64" s="231">
        <f t="shared" si="38"/>
        <v>0</v>
      </c>
      <c r="AM64" s="35">
        <f t="shared" si="9"/>
        <v>2.8800000000000003</v>
      </c>
      <c r="AN64" s="157">
        <f t="shared" si="93"/>
        <v>0</v>
      </c>
      <c r="AO64" s="134"/>
      <c r="AP64" s="14">
        <f t="shared" si="10"/>
        <v>46</v>
      </c>
      <c r="AQ64" s="480">
        <f t="shared" si="39"/>
        <v>0</v>
      </c>
      <c r="AR64" s="470">
        <f t="shared" si="164"/>
        <v>0</v>
      </c>
      <c r="AS64" s="51">
        <f t="shared" si="11"/>
        <v>618</v>
      </c>
      <c r="AT64" s="103">
        <f t="shared" ref="AT64:AT68" si="278">AT63</f>
        <v>0</v>
      </c>
      <c r="AU64" s="46">
        <f t="shared" si="136"/>
        <v>618</v>
      </c>
      <c r="AV64" s="51">
        <f t="shared" si="12"/>
        <v>79</v>
      </c>
      <c r="AW64" s="103">
        <f t="shared" ref="AW64:AW68" si="279">AW63</f>
        <v>0</v>
      </c>
      <c r="AX64" s="46">
        <f t="shared" si="94"/>
        <v>79</v>
      </c>
      <c r="AZ64" s="120">
        <f t="shared" ref="AZ64:AZ68" si="280">AZ63+1</f>
        <v>22</v>
      </c>
      <c r="BA64" s="7">
        <f t="shared" ref="BA64:BA68" si="281">BA63</f>
        <v>8</v>
      </c>
      <c r="BB64" s="133"/>
      <c r="BC64" s="48">
        <f t="shared" si="42"/>
        <v>0</v>
      </c>
      <c r="BD64" s="196">
        <f t="shared" si="255"/>
        <v>0</v>
      </c>
      <c r="BE64" s="134"/>
      <c r="BF64" s="135"/>
      <c r="BG64" s="135"/>
      <c r="BH64" s="14">
        <f t="shared" si="106"/>
        <v>0</v>
      </c>
      <c r="BI64" s="14">
        <f t="shared" si="151"/>
        <v>0</v>
      </c>
      <c r="BJ64" s="14">
        <f t="shared" si="14"/>
        <v>0.16</v>
      </c>
      <c r="BK64" s="47">
        <f t="shared" si="60"/>
        <v>0</v>
      </c>
      <c r="BL64" s="35">
        <f t="shared" si="15"/>
        <v>2.8800000000000003</v>
      </c>
      <c r="BM64" s="132">
        <f t="shared" si="167"/>
        <v>0</v>
      </c>
      <c r="BN64" s="134"/>
      <c r="BO64" s="14">
        <f t="shared" si="17"/>
        <v>46</v>
      </c>
      <c r="BP64" s="442">
        <f t="shared" si="61"/>
        <v>0</v>
      </c>
      <c r="BQ64" s="747">
        <f t="shared" si="81"/>
        <v>0</v>
      </c>
      <c r="BR64" s="51">
        <f t="shared" si="18"/>
        <v>618</v>
      </c>
      <c r="BS64" s="103">
        <f t="shared" ref="BS64:BS68" si="282">BS63</f>
        <v>0</v>
      </c>
      <c r="BT64" s="46">
        <f t="shared" si="137"/>
        <v>618</v>
      </c>
      <c r="BU64" s="51">
        <f t="shared" si="20"/>
        <v>79</v>
      </c>
      <c r="BV64" s="103">
        <f t="shared" ref="BV64:BV68" si="283">BV63</f>
        <v>0</v>
      </c>
      <c r="BW64" s="46">
        <f t="shared" si="95"/>
        <v>79</v>
      </c>
      <c r="BY64" s="120">
        <f t="shared" ref="BY64:BY68" si="284">BY63+1</f>
        <v>5</v>
      </c>
      <c r="BZ64" s="7">
        <f t="shared" ref="BZ64:BZ68" si="285">BZ63</f>
        <v>8</v>
      </c>
      <c r="CA64" s="133"/>
      <c r="CB64" s="14">
        <f t="shared" si="96"/>
        <v>0</v>
      </c>
      <c r="CC64" s="59">
        <f t="shared" si="107"/>
        <v>0</v>
      </c>
      <c r="CD64" s="405"/>
      <c r="CE64" s="406"/>
      <c r="CF64" s="406"/>
      <c r="CG64" s="14">
        <f t="shared" si="108"/>
        <v>0</v>
      </c>
      <c r="CH64" s="14">
        <f t="shared" si="97"/>
        <v>0</v>
      </c>
      <c r="CI64" s="14">
        <f t="shared" si="21"/>
        <v>0.16</v>
      </c>
      <c r="CJ64" s="47">
        <f t="shared" si="65"/>
        <v>0</v>
      </c>
      <c r="CK64" s="35">
        <f t="shared" si="22"/>
        <v>2.8800000000000003</v>
      </c>
      <c r="CL64" s="157">
        <f t="shared" si="84"/>
        <v>0</v>
      </c>
      <c r="CM64" s="134"/>
      <c r="CN64" s="14">
        <f t="shared" si="23"/>
        <v>46</v>
      </c>
      <c r="CO64" s="48">
        <f t="shared" si="85"/>
        <v>0</v>
      </c>
      <c r="CP64" s="68">
        <f t="shared" si="66"/>
        <v>0</v>
      </c>
      <c r="CQ64" s="51">
        <f t="shared" si="24"/>
        <v>618</v>
      </c>
      <c r="CR64" s="103">
        <f t="shared" ref="CR64:CR68" si="286">CR63</f>
        <v>0</v>
      </c>
      <c r="CS64" s="46">
        <f t="shared" si="138"/>
        <v>618</v>
      </c>
      <c r="CT64" s="12">
        <f t="shared" si="25"/>
        <v>79</v>
      </c>
      <c r="CU64" s="103">
        <f t="shared" ref="CU64:CU68" si="287">CU63</f>
        <v>0</v>
      </c>
      <c r="CV64" s="46">
        <f t="shared" si="47"/>
        <v>79</v>
      </c>
      <c r="CX64" s="120">
        <f t="shared" ref="CX64:CX68" si="288">CX63+1</f>
        <v>5</v>
      </c>
      <c r="CY64" s="7">
        <f t="shared" ref="CY64:CY68" si="289">CY63</f>
        <v>8</v>
      </c>
      <c r="CZ64" s="133"/>
      <c r="DA64" s="14">
        <f t="shared" si="228"/>
        <v>0</v>
      </c>
      <c r="DB64" s="59">
        <f t="shared" si="256"/>
        <v>0</v>
      </c>
      <c r="DC64" s="405"/>
      <c r="DD64" s="406"/>
      <c r="DE64" s="406"/>
      <c r="DF64" s="14">
        <f t="shared" si="110"/>
        <v>0</v>
      </c>
      <c r="DG64" s="14">
        <f t="shared" si="99"/>
        <v>0</v>
      </c>
      <c r="DH64" s="14">
        <f t="shared" si="26"/>
        <v>0.16</v>
      </c>
      <c r="DI64" s="47">
        <f t="shared" si="111"/>
        <v>0</v>
      </c>
      <c r="DJ64" s="35">
        <f t="shared" si="27"/>
        <v>2.8800000000000003</v>
      </c>
      <c r="DK64" s="157">
        <f t="shared" si="101"/>
        <v>0</v>
      </c>
      <c r="DL64" s="134"/>
      <c r="DM64" s="14">
        <f t="shared" si="28"/>
        <v>46</v>
      </c>
      <c r="DN64" s="48">
        <f t="shared" si="132"/>
        <v>0</v>
      </c>
      <c r="DO64" s="68">
        <f t="shared" si="102"/>
        <v>0</v>
      </c>
      <c r="DP64" s="51">
        <f t="shared" si="29"/>
        <v>618</v>
      </c>
      <c r="DQ64" s="103">
        <f t="shared" ref="DQ64:DQ68" si="290">DQ63</f>
        <v>0</v>
      </c>
      <c r="DR64" s="46">
        <f t="shared" si="140"/>
        <v>618</v>
      </c>
      <c r="DS64" s="12">
        <f t="shared" si="30"/>
        <v>79</v>
      </c>
      <c r="DT64" s="103">
        <f t="shared" ref="DT64:DT68" si="291">DT63</f>
        <v>0</v>
      </c>
      <c r="DU64" s="46">
        <f t="shared" si="92"/>
        <v>79</v>
      </c>
    </row>
    <row r="65" spans="1:125" ht="17.25" thickBot="1" x14ac:dyDescent="0.3">
      <c r="B65" s="120">
        <f t="shared" si="272"/>
        <v>23</v>
      </c>
      <c r="C65" s="570">
        <f t="shared" si="273"/>
        <v>8</v>
      </c>
      <c r="D65" s="133"/>
      <c r="E65" s="408">
        <f t="shared" si="31"/>
        <v>0</v>
      </c>
      <c r="F65" s="562">
        <f t="shared" si="0"/>
        <v>0</v>
      </c>
      <c r="G65" s="134"/>
      <c r="H65" s="135"/>
      <c r="I65" s="135"/>
      <c r="J65" s="14">
        <f t="shared" si="103"/>
        <v>0</v>
      </c>
      <c r="K65" s="14">
        <f t="shared" si="32"/>
        <v>0</v>
      </c>
      <c r="L65" s="14">
        <f t="shared" si="1"/>
        <v>0.16</v>
      </c>
      <c r="M65" s="230">
        <f t="shared" si="53"/>
        <v>0</v>
      </c>
      <c r="N65" s="35">
        <f t="shared" si="2"/>
        <v>2.8800000000000003</v>
      </c>
      <c r="O65" s="132">
        <f t="shared" si="33"/>
        <v>0</v>
      </c>
      <c r="P65" s="142"/>
      <c r="Q65" s="14">
        <f t="shared" si="3"/>
        <v>46</v>
      </c>
      <c r="R65" s="442">
        <f t="shared" si="4"/>
        <v>0</v>
      </c>
      <c r="S65" s="470">
        <f t="shared" si="34"/>
        <v>0</v>
      </c>
      <c r="T65" s="51">
        <f t="shared" si="5"/>
        <v>618</v>
      </c>
      <c r="U65" s="103">
        <f t="shared" si="274"/>
        <v>0</v>
      </c>
      <c r="V65" s="46">
        <f t="shared" si="35"/>
        <v>618</v>
      </c>
      <c r="W65" s="12">
        <f t="shared" si="6"/>
        <v>79</v>
      </c>
      <c r="X65" s="103">
        <f t="shared" si="275"/>
        <v>0</v>
      </c>
      <c r="Y65" s="46">
        <f t="shared" si="36"/>
        <v>79</v>
      </c>
      <c r="Z65" s="487"/>
      <c r="AA65" s="120">
        <f t="shared" si="276"/>
        <v>23</v>
      </c>
      <c r="AB65" s="7">
        <f t="shared" si="277"/>
        <v>8</v>
      </c>
      <c r="AC65" s="133"/>
      <c r="AD65" s="48">
        <f t="shared" si="253"/>
        <v>0</v>
      </c>
      <c r="AE65" s="196">
        <f t="shared" si="254"/>
        <v>0</v>
      </c>
      <c r="AF65" s="134"/>
      <c r="AG65" s="135"/>
      <c r="AH65" s="135"/>
      <c r="AI65" s="14">
        <f t="shared" si="105"/>
        <v>0</v>
      </c>
      <c r="AJ65" s="14">
        <f t="shared" si="162"/>
        <v>0</v>
      </c>
      <c r="AK65" s="14">
        <f t="shared" si="8"/>
        <v>0.16</v>
      </c>
      <c r="AL65" s="230">
        <f t="shared" si="38"/>
        <v>0</v>
      </c>
      <c r="AM65" s="35">
        <f t="shared" si="9"/>
        <v>2.8800000000000003</v>
      </c>
      <c r="AN65" s="157">
        <f t="shared" si="93"/>
        <v>0</v>
      </c>
      <c r="AO65" s="134"/>
      <c r="AP65" s="14">
        <f t="shared" si="10"/>
        <v>46</v>
      </c>
      <c r="AQ65" s="442">
        <f t="shared" si="39"/>
        <v>0</v>
      </c>
      <c r="AR65" s="470">
        <f t="shared" si="164"/>
        <v>0</v>
      </c>
      <c r="AS65" s="51">
        <f t="shared" si="11"/>
        <v>618</v>
      </c>
      <c r="AT65" s="103">
        <f t="shared" si="278"/>
        <v>0</v>
      </c>
      <c r="AU65" s="46">
        <f t="shared" si="136"/>
        <v>618</v>
      </c>
      <c r="AV65" s="12">
        <f t="shared" si="12"/>
        <v>79</v>
      </c>
      <c r="AW65" s="103">
        <f t="shared" si="279"/>
        <v>0</v>
      </c>
      <c r="AX65" s="46">
        <f t="shared" si="94"/>
        <v>79</v>
      </c>
      <c r="AZ65" s="120">
        <f t="shared" si="280"/>
        <v>23</v>
      </c>
      <c r="BA65" s="7">
        <f t="shared" si="281"/>
        <v>8</v>
      </c>
      <c r="BB65" s="133"/>
      <c r="BC65" s="48">
        <f t="shared" si="42"/>
        <v>0</v>
      </c>
      <c r="BD65" s="196">
        <f t="shared" si="255"/>
        <v>0</v>
      </c>
      <c r="BE65" s="134"/>
      <c r="BF65" s="135"/>
      <c r="BG65" s="135"/>
      <c r="BH65" s="14">
        <f t="shared" si="106"/>
        <v>0</v>
      </c>
      <c r="BI65" s="14">
        <f t="shared" si="151"/>
        <v>0</v>
      </c>
      <c r="BJ65" s="14">
        <f t="shared" si="14"/>
        <v>0.16</v>
      </c>
      <c r="BK65" s="47">
        <f t="shared" si="60"/>
        <v>0</v>
      </c>
      <c r="BL65" s="35">
        <f t="shared" si="15"/>
        <v>2.8800000000000003</v>
      </c>
      <c r="BM65" s="132">
        <f t="shared" si="167"/>
        <v>0</v>
      </c>
      <c r="BN65" s="134"/>
      <c r="BO65" s="14">
        <f t="shared" si="17"/>
        <v>46</v>
      </c>
      <c r="BP65" s="442">
        <f t="shared" si="61"/>
        <v>0</v>
      </c>
      <c r="BQ65" s="747">
        <f t="shared" si="81"/>
        <v>0</v>
      </c>
      <c r="BR65" s="51">
        <f t="shared" si="18"/>
        <v>618</v>
      </c>
      <c r="BS65" s="103">
        <f t="shared" si="282"/>
        <v>0</v>
      </c>
      <c r="BT65" s="46">
        <f t="shared" si="137"/>
        <v>618</v>
      </c>
      <c r="BU65" s="12">
        <f t="shared" si="20"/>
        <v>79</v>
      </c>
      <c r="BV65" s="103">
        <f t="shared" si="283"/>
        <v>0</v>
      </c>
      <c r="BW65" s="46">
        <f t="shared" si="95"/>
        <v>79</v>
      </c>
      <c r="BY65" s="120">
        <f t="shared" si="284"/>
        <v>6</v>
      </c>
      <c r="BZ65" s="7">
        <f t="shared" si="285"/>
        <v>8</v>
      </c>
      <c r="CA65" s="133"/>
      <c r="CB65" s="14">
        <f t="shared" si="96"/>
        <v>0</v>
      </c>
      <c r="CC65" s="59">
        <f t="shared" si="107"/>
        <v>0</v>
      </c>
      <c r="CD65" s="405"/>
      <c r="CE65" s="406"/>
      <c r="CF65" s="406"/>
      <c r="CG65" s="14">
        <f t="shared" si="108"/>
        <v>0</v>
      </c>
      <c r="CH65" s="14">
        <f t="shared" si="97"/>
        <v>0</v>
      </c>
      <c r="CI65" s="14">
        <f t="shared" si="21"/>
        <v>0.16</v>
      </c>
      <c r="CJ65" s="47">
        <f t="shared" si="65"/>
        <v>0</v>
      </c>
      <c r="CK65" s="35">
        <f t="shared" si="22"/>
        <v>2.8800000000000003</v>
      </c>
      <c r="CL65" s="157">
        <f t="shared" si="84"/>
        <v>0</v>
      </c>
      <c r="CM65" s="134"/>
      <c r="CN65" s="14">
        <f t="shared" si="23"/>
        <v>46</v>
      </c>
      <c r="CO65" s="48">
        <f t="shared" si="85"/>
        <v>0</v>
      </c>
      <c r="CP65" s="68">
        <f t="shared" si="66"/>
        <v>0</v>
      </c>
      <c r="CQ65" s="51">
        <f t="shared" si="24"/>
        <v>618</v>
      </c>
      <c r="CR65" s="103">
        <f t="shared" si="286"/>
        <v>0</v>
      </c>
      <c r="CS65" s="46">
        <f t="shared" si="138"/>
        <v>618</v>
      </c>
      <c r="CT65" s="50">
        <f t="shared" si="25"/>
        <v>79</v>
      </c>
      <c r="CU65" s="103">
        <f t="shared" si="287"/>
        <v>0</v>
      </c>
      <c r="CV65" s="46">
        <f t="shared" si="47"/>
        <v>79</v>
      </c>
      <c r="CX65" s="120">
        <f t="shared" si="288"/>
        <v>6</v>
      </c>
      <c r="CY65" s="7">
        <f t="shared" si="289"/>
        <v>8</v>
      </c>
      <c r="CZ65" s="133"/>
      <c r="DA65" s="14">
        <f t="shared" si="228"/>
        <v>0</v>
      </c>
      <c r="DB65" s="59">
        <f t="shared" si="256"/>
        <v>0</v>
      </c>
      <c r="DC65" s="405"/>
      <c r="DD65" s="406"/>
      <c r="DE65" s="406"/>
      <c r="DF65" s="14">
        <f t="shared" si="110"/>
        <v>0</v>
      </c>
      <c r="DG65" s="14">
        <f t="shared" si="99"/>
        <v>0</v>
      </c>
      <c r="DH65" s="14">
        <f t="shared" si="26"/>
        <v>0.16</v>
      </c>
      <c r="DI65" s="47">
        <f t="shared" si="111"/>
        <v>0</v>
      </c>
      <c r="DJ65" s="35">
        <f t="shared" si="27"/>
        <v>2.8800000000000003</v>
      </c>
      <c r="DK65" s="157">
        <f t="shared" si="101"/>
        <v>0</v>
      </c>
      <c r="DL65" s="134"/>
      <c r="DM65" s="14">
        <f t="shared" si="28"/>
        <v>46</v>
      </c>
      <c r="DN65" s="48">
        <f t="shared" si="132"/>
        <v>0</v>
      </c>
      <c r="DO65" s="68">
        <f t="shared" si="102"/>
        <v>0</v>
      </c>
      <c r="DP65" s="51">
        <f t="shared" si="29"/>
        <v>618</v>
      </c>
      <c r="DQ65" s="103">
        <f t="shared" si="290"/>
        <v>0</v>
      </c>
      <c r="DR65" s="46">
        <f t="shared" si="140"/>
        <v>618</v>
      </c>
      <c r="DS65" s="50">
        <f t="shared" si="30"/>
        <v>79</v>
      </c>
      <c r="DT65" s="103">
        <f t="shared" si="291"/>
        <v>0</v>
      </c>
      <c r="DU65" s="46">
        <f t="shared" si="92"/>
        <v>79</v>
      </c>
    </row>
    <row r="66" spans="1:125" ht="17.25" thickBot="1" x14ac:dyDescent="0.3">
      <c r="B66" s="120">
        <f t="shared" si="272"/>
        <v>24</v>
      </c>
      <c r="C66" s="570">
        <f t="shared" si="273"/>
        <v>8</v>
      </c>
      <c r="D66" s="133"/>
      <c r="E66" s="563">
        <f t="shared" si="31"/>
        <v>0</v>
      </c>
      <c r="F66" s="560">
        <f t="shared" si="0"/>
        <v>0</v>
      </c>
      <c r="G66" s="565"/>
      <c r="H66" s="566"/>
      <c r="I66" s="205"/>
      <c r="J66" s="13">
        <f t="shared" si="103"/>
        <v>0</v>
      </c>
      <c r="K66" s="13">
        <f t="shared" si="32"/>
        <v>0</v>
      </c>
      <c r="L66" s="14">
        <f t="shared" si="1"/>
        <v>0.16</v>
      </c>
      <c r="M66" s="47">
        <f t="shared" si="53"/>
        <v>0</v>
      </c>
      <c r="N66" s="35">
        <f t="shared" si="2"/>
        <v>2.8800000000000003</v>
      </c>
      <c r="O66" s="132">
        <f t="shared" si="33"/>
        <v>0</v>
      </c>
      <c r="P66" s="142"/>
      <c r="Q66" s="14">
        <f t="shared" si="3"/>
        <v>46</v>
      </c>
      <c r="R66" s="480">
        <f t="shared" si="4"/>
        <v>0</v>
      </c>
      <c r="S66" s="470">
        <f t="shared" si="34"/>
        <v>0</v>
      </c>
      <c r="T66" s="51">
        <f t="shared" si="5"/>
        <v>618</v>
      </c>
      <c r="U66" s="103">
        <f t="shared" si="274"/>
        <v>0</v>
      </c>
      <c r="V66" s="46">
        <f t="shared" si="35"/>
        <v>618</v>
      </c>
      <c r="W66" s="50">
        <f t="shared" si="6"/>
        <v>79</v>
      </c>
      <c r="X66" s="103">
        <f t="shared" si="275"/>
        <v>0</v>
      </c>
      <c r="Y66" s="46">
        <f t="shared" si="36"/>
        <v>79</v>
      </c>
      <c r="Z66" s="487"/>
      <c r="AA66" s="120">
        <f t="shared" si="276"/>
        <v>24</v>
      </c>
      <c r="AB66" s="7">
        <f t="shared" si="277"/>
        <v>8</v>
      </c>
      <c r="AC66" s="133"/>
      <c r="AD66" s="48">
        <f t="shared" si="253"/>
        <v>0</v>
      </c>
      <c r="AE66" s="49">
        <f t="shared" si="254"/>
        <v>0</v>
      </c>
      <c r="AF66" s="134"/>
      <c r="AG66" s="135"/>
      <c r="AH66" s="135"/>
      <c r="AI66" s="14">
        <f t="shared" si="105"/>
        <v>0</v>
      </c>
      <c r="AJ66" s="14">
        <f t="shared" si="162"/>
        <v>0</v>
      </c>
      <c r="AK66" s="14">
        <f t="shared" si="8"/>
        <v>0.16</v>
      </c>
      <c r="AL66" s="47">
        <f t="shared" si="38"/>
        <v>0</v>
      </c>
      <c r="AM66" s="35">
        <f t="shared" si="9"/>
        <v>2.8800000000000003</v>
      </c>
      <c r="AN66" s="157">
        <f t="shared" si="93"/>
        <v>0</v>
      </c>
      <c r="AO66" s="134"/>
      <c r="AP66" s="14">
        <f t="shared" si="10"/>
        <v>46</v>
      </c>
      <c r="AQ66" s="480">
        <f t="shared" si="39"/>
        <v>0</v>
      </c>
      <c r="AR66" s="470">
        <f t="shared" si="164"/>
        <v>0</v>
      </c>
      <c r="AS66" s="51">
        <f t="shared" si="11"/>
        <v>618</v>
      </c>
      <c r="AT66" s="103">
        <f t="shared" si="278"/>
        <v>0</v>
      </c>
      <c r="AU66" s="46">
        <f t="shared" si="136"/>
        <v>618</v>
      </c>
      <c r="AV66" s="50">
        <f t="shared" si="12"/>
        <v>79</v>
      </c>
      <c r="AW66" s="103">
        <f t="shared" si="279"/>
        <v>0</v>
      </c>
      <c r="AX66" s="46">
        <f t="shared" si="94"/>
        <v>79</v>
      </c>
      <c r="AZ66" s="120">
        <f t="shared" si="280"/>
        <v>24</v>
      </c>
      <c r="BA66" s="7">
        <f t="shared" si="281"/>
        <v>8</v>
      </c>
      <c r="BB66" s="133"/>
      <c r="BC66" s="48">
        <f t="shared" si="42"/>
        <v>0</v>
      </c>
      <c r="BD66" s="49">
        <f t="shared" si="255"/>
        <v>0</v>
      </c>
      <c r="BE66" s="134"/>
      <c r="BF66" s="135"/>
      <c r="BG66" s="135"/>
      <c r="BH66" s="14">
        <f t="shared" si="106"/>
        <v>0</v>
      </c>
      <c r="BI66" s="14">
        <f t="shared" si="151"/>
        <v>0</v>
      </c>
      <c r="BJ66" s="14">
        <f t="shared" si="14"/>
        <v>0.16</v>
      </c>
      <c r="BK66" s="47">
        <f t="shared" si="60"/>
        <v>0</v>
      </c>
      <c r="BL66" s="35">
        <f t="shared" si="15"/>
        <v>2.8800000000000003</v>
      </c>
      <c r="BM66" s="132">
        <f t="shared" si="167"/>
        <v>0</v>
      </c>
      <c r="BN66" s="134"/>
      <c r="BO66" s="14">
        <f t="shared" si="17"/>
        <v>46</v>
      </c>
      <c r="BP66" s="442">
        <f t="shared" si="61"/>
        <v>0</v>
      </c>
      <c r="BQ66" s="747">
        <f t="shared" si="81"/>
        <v>0</v>
      </c>
      <c r="BR66" s="51">
        <f t="shared" si="18"/>
        <v>618</v>
      </c>
      <c r="BS66" s="103">
        <f t="shared" si="282"/>
        <v>0</v>
      </c>
      <c r="BT66" s="46">
        <f t="shared" si="137"/>
        <v>618</v>
      </c>
      <c r="BU66" s="50">
        <f t="shared" si="20"/>
        <v>79</v>
      </c>
      <c r="BV66" s="103">
        <f t="shared" si="283"/>
        <v>0</v>
      </c>
      <c r="BW66" s="46">
        <f t="shared" si="95"/>
        <v>79</v>
      </c>
      <c r="BY66" s="120">
        <f t="shared" si="284"/>
        <v>7</v>
      </c>
      <c r="BZ66" s="7">
        <f t="shared" si="285"/>
        <v>8</v>
      </c>
      <c r="CA66" s="133"/>
      <c r="CB66" s="14">
        <f t="shared" si="96"/>
        <v>0</v>
      </c>
      <c r="CC66" s="46">
        <f t="shared" si="107"/>
        <v>0</v>
      </c>
      <c r="CD66" s="405"/>
      <c r="CE66" s="406"/>
      <c r="CF66" s="406"/>
      <c r="CG66" s="14">
        <f t="shared" si="108"/>
        <v>0</v>
      </c>
      <c r="CH66" s="14">
        <f t="shared" si="97"/>
        <v>0</v>
      </c>
      <c r="CI66" s="14">
        <f t="shared" si="21"/>
        <v>0.16</v>
      </c>
      <c r="CJ66" s="47">
        <f t="shared" si="65"/>
        <v>0</v>
      </c>
      <c r="CK66" s="35">
        <f t="shared" si="22"/>
        <v>2.8800000000000003</v>
      </c>
      <c r="CL66" s="157">
        <f t="shared" si="84"/>
        <v>0</v>
      </c>
      <c r="CM66" s="134"/>
      <c r="CN66" s="14">
        <f t="shared" si="23"/>
        <v>46</v>
      </c>
      <c r="CO66" s="48">
        <f t="shared" si="85"/>
        <v>0</v>
      </c>
      <c r="CP66" s="68">
        <f t="shared" si="66"/>
        <v>0</v>
      </c>
      <c r="CQ66" s="51">
        <f t="shared" si="24"/>
        <v>618</v>
      </c>
      <c r="CR66" s="103">
        <f t="shared" si="286"/>
        <v>0</v>
      </c>
      <c r="CS66" s="46">
        <f t="shared" si="138"/>
        <v>618</v>
      </c>
      <c r="CT66" s="50">
        <f t="shared" si="25"/>
        <v>79</v>
      </c>
      <c r="CU66" s="103">
        <f t="shared" si="287"/>
        <v>0</v>
      </c>
      <c r="CV66" s="46">
        <f t="shared" si="47"/>
        <v>79</v>
      </c>
      <c r="CX66" s="120">
        <f t="shared" si="288"/>
        <v>7</v>
      </c>
      <c r="CY66" s="7">
        <f t="shared" si="289"/>
        <v>8</v>
      </c>
      <c r="CZ66" s="133"/>
      <c r="DA66" s="14">
        <f t="shared" si="228"/>
        <v>0</v>
      </c>
      <c r="DB66" s="46">
        <f t="shared" si="256"/>
        <v>0</v>
      </c>
      <c r="DC66" s="405"/>
      <c r="DD66" s="406"/>
      <c r="DE66" s="406"/>
      <c r="DF66" s="14">
        <f t="shared" si="110"/>
        <v>0</v>
      </c>
      <c r="DG66" s="14">
        <f t="shared" si="99"/>
        <v>0</v>
      </c>
      <c r="DH66" s="14">
        <f t="shared" si="26"/>
        <v>0.16</v>
      </c>
      <c r="DI66" s="47">
        <f t="shared" si="111"/>
        <v>0</v>
      </c>
      <c r="DJ66" s="35">
        <f t="shared" si="27"/>
        <v>2.8800000000000003</v>
      </c>
      <c r="DK66" s="157">
        <f t="shared" si="101"/>
        <v>0</v>
      </c>
      <c r="DL66" s="134"/>
      <c r="DM66" s="14">
        <f t="shared" si="28"/>
        <v>46</v>
      </c>
      <c r="DN66" s="48">
        <f t="shared" si="132"/>
        <v>0</v>
      </c>
      <c r="DO66" s="68">
        <f t="shared" si="102"/>
        <v>0</v>
      </c>
      <c r="DP66" s="51">
        <f t="shared" si="29"/>
        <v>618</v>
      </c>
      <c r="DQ66" s="103">
        <f t="shared" si="290"/>
        <v>0</v>
      </c>
      <c r="DR66" s="46">
        <f t="shared" si="140"/>
        <v>618</v>
      </c>
      <c r="DS66" s="50">
        <f t="shared" si="30"/>
        <v>79</v>
      </c>
      <c r="DT66" s="103">
        <f t="shared" si="291"/>
        <v>0</v>
      </c>
      <c r="DU66" s="46">
        <f t="shared" si="92"/>
        <v>79</v>
      </c>
    </row>
    <row r="67" spans="1:125" ht="17.25" thickBot="1" x14ac:dyDescent="0.3">
      <c r="B67" s="120">
        <f t="shared" si="272"/>
        <v>25</v>
      </c>
      <c r="C67" s="570">
        <f t="shared" si="273"/>
        <v>8</v>
      </c>
      <c r="D67" s="133"/>
      <c r="E67" s="408">
        <f t="shared" si="31"/>
        <v>0</v>
      </c>
      <c r="F67" s="562">
        <f t="shared" si="0"/>
        <v>0</v>
      </c>
      <c r="G67" s="134"/>
      <c r="H67" s="135"/>
      <c r="I67" s="135"/>
      <c r="J67" s="14">
        <f t="shared" si="103"/>
        <v>0</v>
      </c>
      <c r="K67" s="14">
        <f t="shared" si="32"/>
        <v>0</v>
      </c>
      <c r="L67" s="14">
        <f t="shared" si="1"/>
        <v>0.16</v>
      </c>
      <c r="M67" s="231">
        <f t="shared" si="53"/>
        <v>0</v>
      </c>
      <c r="N67" s="35">
        <f t="shared" si="2"/>
        <v>2.8800000000000003</v>
      </c>
      <c r="O67" s="132">
        <f t="shared" si="33"/>
        <v>0</v>
      </c>
      <c r="P67" s="142"/>
      <c r="Q67" s="14">
        <f t="shared" si="3"/>
        <v>46</v>
      </c>
      <c r="R67" s="482">
        <f t="shared" si="4"/>
        <v>0</v>
      </c>
      <c r="S67" s="470">
        <f t="shared" si="34"/>
        <v>0</v>
      </c>
      <c r="T67" s="51">
        <f t="shared" si="5"/>
        <v>618</v>
      </c>
      <c r="U67" s="103">
        <f t="shared" si="274"/>
        <v>0</v>
      </c>
      <c r="V67" s="46">
        <f t="shared" si="35"/>
        <v>618</v>
      </c>
      <c r="W67" s="50">
        <f t="shared" si="6"/>
        <v>79</v>
      </c>
      <c r="X67" s="103">
        <f t="shared" si="275"/>
        <v>0</v>
      </c>
      <c r="Y67" s="46">
        <f t="shared" si="36"/>
        <v>79</v>
      </c>
      <c r="Z67" s="487"/>
      <c r="AA67" s="120">
        <f t="shared" si="276"/>
        <v>25</v>
      </c>
      <c r="AB67" s="7">
        <f t="shared" si="277"/>
        <v>8</v>
      </c>
      <c r="AC67" s="133"/>
      <c r="AD67" s="48">
        <f t="shared" si="253"/>
        <v>0</v>
      </c>
      <c r="AE67" s="447">
        <f t="shared" si="254"/>
        <v>0</v>
      </c>
      <c r="AF67" s="134"/>
      <c r="AG67" s="135"/>
      <c r="AH67" s="135"/>
      <c r="AI67" s="14">
        <f t="shared" si="105"/>
        <v>0</v>
      </c>
      <c r="AJ67" s="14">
        <f t="shared" si="162"/>
        <v>0</v>
      </c>
      <c r="AK67" s="14">
        <f t="shared" si="8"/>
        <v>0.16</v>
      </c>
      <c r="AL67" s="231">
        <f t="shared" si="38"/>
        <v>0</v>
      </c>
      <c r="AM67" s="35">
        <f t="shared" si="9"/>
        <v>2.8800000000000003</v>
      </c>
      <c r="AN67" s="157">
        <f t="shared" si="93"/>
        <v>0</v>
      </c>
      <c r="AO67" s="134"/>
      <c r="AP67" s="14">
        <f t="shared" si="10"/>
        <v>46</v>
      </c>
      <c r="AQ67" s="482">
        <f t="shared" si="39"/>
        <v>0</v>
      </c>
      <c r="AR67" s="470">
        <f t="shared" si="164"/>
        <v>0</v>
      </c>
      <c r="AS67" s="51">
        <f t="shared" si="11"/>
        <v>618</v>
      </c>
      <c r="AT67" s="103">
        <f t="shared" si="278"/>
        <v>0</v>
      </c>
      <c r="AU67" s="46">
        <f t="shared" si="136"/>
        <v>618</v>
      </c>
      <c r="AV67" s="50">
        <f t="shared" si="12"/>
        <v>79</v>
      </c>
      <c r="AW67" s="103">
        <f t="shared" si="279"/>
        <v>0</v>
      </c>
      <c r="AX67" s="46">
        <f t="shared" si="94"/>
        <v>79</v>
      </c>
      <c r="AZ67" s="120">
        <f t="shared" si="280"/>
        <v>25</v>
      </c>
      <c r="BA67" s="7">
        <f t="shared" si="281"/>
        <v>8</v>
      </c>
      <c r="BB67" s="133"/>
      <c r="BC67" s="48">
        <f t="shared" si="42"/>
        <v>0</v>
      </c>
      <c r="BD67" s="447">
        <f t="shared" si="255"/>
        <v>0</v>
      </c>
      <c r="BE67" s="134"/>
      <c r="BF67" s="135"/>
      <c r="BG67" s="135"/>
      <c r="BH67" s="14">
        <f t="shared" si="106"/>
        <v>0</v>
      </c>
      <c r="BI67" s="14">
        <f t="shared" si="151"/>
        <v>0</v>
      </c>
      <c r="BJ67" s="14">
        <f t="shared" si="14"/>
        <v>0.16</v>
      </c>
      <c r="BK67" s="47">
        <f t="shared" si="60"/>
        <v>0</v>
      </c>
      <c r="BL67" s="35">
        <f t="shared" si="15"/>
        <v>2.8800000000000003</v>
      </c>
      <c r="BM67" s="132">
        <f t="shared" si="167"/>
        <v>0</v>
      </c>
      <c r="BN67" s="134"/>
      <c r="BO67" s="14">
        <f t="shared" si="17"/>
        <v>46</v>
      </c>
      <c r="BP67" s="442">
        <f t="shared" si="61"/>
        <v>0</v>
      </c>
      <c r="BQ67" s="747">
        <f t="shared" si="81"/>
        <v>0</v>
      </c>
      <c r="BR67" s="51">
        <f t="shared" si="18"/>
        <v>618</v>
      </c>
      <c r="BS67" s="103">
        <f t="shared" si="282"/>
        <v>0</v>
      </c>
      <c r="BT67" s="46">
        <f t="shared" si="137"/>
        <v>618</v>
      </c>
      <c r="BU67" s="50">
        <f t="shared" si="20"/>
        <v>79</v>
      </c>
      <c r="BV67" s="103">
        <f t="shared" si="283"/>
        <v>0</v>
      </c>
      <c r="BW67" s="46">
        <f t="shared" si="95"/>
        <v>79</v>
      </c>
      <c r="BY67" s="120">
        <f t="shared" si="284"/>
        <v>8</v>
      </c>
      <c r="BZ67" s="7">
        <f t="shared" si="285"/>
        <v>8</v>
      </c>
      <c r="CA67" s="133"/>
      <c r="CB67" s="14">
        <f t="shared" si="96"/>
        <v>0</v>
      </c>
      <c r="CC67" s="62">
        <f t="shared" si="107"/>
        <v>0</v>
      </c>
      <c r="CD67" s="405"/>
      <c r="CE67" s="406"/>
      <c r="CF67" s="406"/>
      <c r="CG67" s="14">
        <f t="shared" si="108"/>
        <v>0</v>
      </c>
      <c r="CH67" s="14">
        <f t="shared" si="97"/>
        <v>0</v>
      </c>
      <c r="CI67" s="14">
        <f t="shared" si="21"/>
        <v>0.16</v>
      </c>
      <c r="CJ67" s="47">
        <f t="shared" si="65"/>
        <v>0</v>
      </c>
      <c r="CK67" s="35">
        <f t="shared" si="22"/>
        <v>2.8800000000000003</v>
      </c>
      <c r="CL67" s="157">
        <f t="shared" si="84"/>
        <v>0</v>
      </c>
      <c r="CM67" s="134"/>
      <c r="CN67" s="14">
        <f t="shared" si="23"/>
        <v>46</v>
      </c>
      <c r="CO67" s="48">
        <f t="shared" si="85"/>
        <v>0</v>
      </c>
      <c r="CP67" s="68">
        <f t="shared" si="66"/>
        <v>0</v>
      </c>
      <c r="CQ67" s="51">
        <f t="shared" si="24"/>
        <v>618</v>
      </c>
      <c r="CR67" s="103">
        <f t="shared" si="286"/>
        <v>0</v>
      </c>
      <c r="CS67" s="46">
        <f t="shared" si="138"/>
        <v>618</v>
      </c>
      <c r="CT67" s="51">
        <f t="shared" si="25"/>
        <v>79</v>
      </c>
      <c r="CU67" s="103">
        <f t="shared" si="287"/>
        <v>0</v>
      </c>
      <c r="CV67" s="46">
        <f t="shared" si="47"/>
        <v>79</v>
      </c>
      <c r="CX67" s="120">
        <f t="shared" si="288"/>
        <v>8</v>
      </c>
      <c r="CY67" s="7">
        <f t="shared" si="289"/>
        <v>8</v>
      </c>
      <c r="CZ67" s="133"/>
      <c r="DA67" s="14">
        <f t="shared" si="228"/>
        <v>0</v>
      </c>
      <c r="DB67" s="62">
        <f t="shared" si="256"/>
        <v>0</v>
      </c>
      <c r="DC67" s="405"/>
      <c r="DD67" s="406"/>
      <c r="DE67" s="406"/>
      <c r="DF67" s="14">
        <f t="shared" si="110"/>
        <v>0</v>
      </c>
      <c r="DG67" s="14">
        <f t="shared" si="99"/>
        <v>0</v>
      </c>
      <c r="DH67" s="14">
        <f t="shared" si="26"/>
        <v>0.16</v>
      </c>
      <c r="DI67" s="47">
        <f t="shared" si="111"/>
        <v>0</v>
      </c>
      <c r="DJ67" s="35">
        <f t="shared" si="27"/>
        <v>2.8800000000000003</v>
      </c>
      <c r="DK67" s="157">
        <f t="shared" si="101"/>
        <v>0</v>
      </c>
      <c r="DL67" s="134"/>
      <c r="DM67" s="14">
        <f t="shared" si="28"/>
        <v>46</v>
      </c>
      <c r="DN67" s="48">
        <f t="shared" si="132"/>
        <v>0</v>
      </c>
      <c r="DO67" s="68">
        <f t="shared" si="102"/>
        <v>0</v>
      </c>
      <c r="DP67" s="51">
        <f t="shared" si="29"/>
        <v>618</v>
      </c>
      <c r="DQ67" s="103">
        <f t="shared" si="290"/>
        <v>0</v>
      </c>
      <c r="DR67" s="46">
        <f t="shared" si="140"/>
        <v>618</v>
      </c>
      <c r="DS67" s="51">
        <f t="shared" si="30"/>
        <v>79</v>
      </c>
      <c r="DT67" s="103">
        <f t="shared" si="291"/>
        <v>0</v>
      </c>
      <c r="DU67" s="46">
        <f t="shared" si="92"/>
        <v>79</v>
      </c>
    </row>
    <row r="68" spans="1:125" ht="17.25" thickBot="1" x14ac:dyDescent="0.3">
      <c r="B68" s="120">
        <f t="shared" si="272"/>
        <v>26</v>
      </c>
      <c r="C68" s="574">
        <f t="shared" si="273"/>
        <v>8</v>
      </c>
      <c r="D68" s="136"/>
      <c r="E68" s="436">
        <f t="shared" si="31"/>
        <v>0</v>
      </c>
      <c r="F68" s="451">
        <f t="shared" si="0"/>
        <v>0</v>
      </c>
      <c r="G68" s="137"/>
      <c r="H68" s="138"/>
      <c r="I68" s="138"/>
      <c r="J68" s="32">
        <f t="shared" si="103"/>
        <v>0</v>
      </c>
      <c r="K68" s="32">
        <f t="shared" si="32"/>
        <v>0</v>
      </c>
      <c r="L68" s="34">
        <f t="shared" si="1"/>
        <v>0.16</v>
      </c>
      <c r="M68" s="96">
        <f t="shared" si="53"/>
        <v>0</v>
      </c>
      <c r="N68" s="40">
        <f t="shared" si="2"/>
        <v>2.8800000000000003</v>
      </c>
      <c r="O68" s="132">
        <f t="shared" si="33"/>
        <v>0</v>
      </c>
      <c r="P68" s="139"/>
      <c r="Q68" s="32">
        <f t="shared" si="3"/>
        <v>46</v>
      </c>
      <c r="R68" s="443">
        <f t="shared" si="4"/>
        <v>0</v>
      </c>
      <c r="S68" s="471">
        <f t="shared" si="34"/>
        <v>0</v>
      </c>
      <c r="T68" s="56">
        <f t="shared" si="5"/>
        <v>618</v>
      </c>
      <c r="U68" s="109">
        <f t="shared" si="274"/>
        <v>0</v>
      </c>
      <c r="V68" s="63">
        <f t="shared" si="35"/>
        <v>618</v>
      </c>
      <c r="W68" s="56">
        <f t="shared" si="6"/>
        <v>79</v>
      </c>
      <c r="X68" s="109">
        <f t="shared" si="275"/>
        <v>0</v>
      </c>
      <c r="Y68" s="63">
        <f t="shared" si="36"/>
        <v>79</v>
      </c>
      <c r="Z68" s="487"/>
      <c r="AA68" s="120">
        <f t="shared" si="276"/>
        <v>26</v>
      </c>
      <c r="AB68" s="8">
        <f t="shared" si="277"/>
        <v>8</v>
      </c>
      <c r="AC68" s="136"/>
      <c r="AD68" s="54">
        <f t="shared" si="253"/>
        <v>0</v>
      </c>
      <c r="AE68" s="55">
        <f t="shared" si="254"/>
        <v>0</v>
      </c>
      <c r="AF68" s="137"/>
      <c r="AG68" s="138"/>
      <c r="AH68" s="138"/>
      <c r="AI68" s="34">
        <f t="shared" si="105"/>
        <v>0</v>
      </c>
      <c r="AJ68" s="34">
        <f t="shared" si="162"/>
        <v>0</v>
      </c>
      <c r="AK68" s="17">
        <f t="shared" si="8"/>
        <v>0.16</v>
      </c>
      <c r="AL68" s="96">
        <f t="shared" si="38"/>
        <v>0</v>
      </c>
      <c r="AM68" s="33">
        <f t="shared" si="9"/>
        <v>2.8800000000000003</v>
      </c>
      <c r="AN68" s="157">
        <f t="shared" si="93"/>
        <v>0</v>
      </c>
      <c r="AO68" s="137"/>
      <c r="AP68" s="32">
        <f t="shared" si="10"/>
        <v>46</v>
      </c>
      <c r="AQ68" s="443">
        <f t="shared" si="39"/>
        <v>0</v>
      </c>
      <c r="AR68" s="471">
        <f t="shared" si="164"/>
        <v>0</v>
      </c>
      <c r="AS68" s="50">
        <f t="shared" si="11"/>
        <v>618</v>
      </c>
      <c r="AT68" s="103">
        <f t="shared" si="278"/>
        <v>0</v>
      </c>
      <c r="AU68" s="63">
        <f t="shared" si="136"/>
        <v>618</v>
      </c>
      <c r="AV68" s="56">
        <f t="shared" si="12"/>
        <v>79</v>
      </c>
      <c r="AW68" s="103">
        <f t="shared" si="279"/>
        <v>0</v>
      </c>
      <c r="AX68" s="63">
        <f t="shared" si="94"/>
        <v>79</v>
      </c>
      <c r="AZ68" s="197">
        <f t="shared" si="280"/>
        <v>26</v>
      </c>
      <c r="BA68" s="8">
        <f t="shared" si="281"/>
        <v>8</v>
      </c>
      <c r="BB68" s="136"/>
      <c r="BC68" s="54">
        <f t="shared" si="42"/>
        <v>0</v>
      </c>
      <c r="BD68" s="55">
        <f t="shared" si="255"/>
        <v>0</v>
      </c>
      <c r="BE68" s="137"/>
      <c r="BF68" s="138"/>
      <c r="BG68" s="138"/>
      <c r="BH68" s="34">
        <f t="shared" si="106"/>
        <v>0</v>
      </c>
      <c r="BI68" s="34">
        <f t="shared" si="151"/>
        <v>0</v>
      </c>
      <c r="BJ68" s="34">
        <f t="shared" si="14"/>
        <v>0.16</v>
      </c>
      <c r="BK68" s="96">
        <f t="shared" si="60"/>
        <v>0</v>
      </c>
      <c r="BL68" s="40">
        <f t="shared" si="15"/>
        <v>2.8800000000000003</v>
      </c>
      <c r="BM68" s="132">
        <f t="shared" si="167"/>
        <v>0</v>
      </c>
      <c r="BN68" s="137"/>
      <c r="BO68" s="32">
        <f t="shared" si="17"/>
        <v>46</v>
      </c>
      <c r="BP68" s="443">
        <f t="shared" si="61"/>
        <v>0</v>
      </c>
      <c r="BQ68" s="750">
        <f t="shared" si="81"/>
        <v>0</v>
      </c>
      <c r="BR68" s="56">
        <f t="shared" si="18"/>
        <v>618</v>
      </c>
      <c r="BS68" s="109">
        <f t="shared" si="282"/>
        <v>0</v>
      </c>
      <c r="BT68" s="63">
        <f t="shared" si="137"/>
        <v>618</v>
      </c>
      <c r="BU68" s="56">
        <f t="shared" si="20"/>
        <v>79</v>
      </c>
      <c r="BV68" s="109">
        <f t="shared" si="283"/>
        <v>0</v>
      </c>
      <c r="BW68" s="63">
        <f t="shared" si="95"/>
        <v>79</v>
      </c>
      <c r="BY68" s="197">
        <f t="shared" si="284"/>
        <v>9</v>
      </c>
      <c r="BZ68" s="8">
        <f t="shared" si="285"/>
        <v>8</v>
      </c>
      <c r="CA68" s="136"/>
      <c r="CB68" s="32">
        <f t="shared" si="96"/>
        <v>0</v>
      </c>
      <c r="CC68" s="53">
        <f t="shared" si="107"/>
        <v>0</v>
      </c>
      <c r="CD68" s="421"/>
      <c r="CE68" s="426"/>
      <c r="CF68" s="426"/>
      <c r="CG68" s="34">
        <f t="shared" si="108"/>
        <v>0</v>
      </c>
      <c r="CH68" s="34">
        <f t="shared" si="97"/>
        <v>0</v>
      </c>
      <c r="CI68" s="32">
        <f t="shared" si="21"/>
        <v>0.16</v>
      </c>
      <c r="CJ68" s="96">
        <f t="shared" si="65"/>
        <v>0</v>
      </c>
      <c r="CK68" s="36">
        <f t="shared" si="22"/>
        <v>2.8800000000000003</v>
      </c>
      <c r="CL68" s="156">
        <f t="shared" si="84"/>
        <v>0</v>
      </c>
      <c r="CM68" s="137"/>
      <c r="CN68" s="13">
        <f t="shared" si="23"/>
        <v>46</v>
      </c>
      <c r="CO68" s="54">
        <f t="shared" si="85"/>
        <v>0</v>
      </c>
      <c r="CP68" s="70">
        <f t="shared" si="66"/>
        <v>0</v>
      </c>
      <c r="CQ68" s="56">
        <f t="shared" si="24"/>
        <v>618</v>
      </c>
      <c r="CR68" s="109">
        <f t="shared" si="286"/>
        <v>0</v>
      </c>
      <c r="CS68" s="63">
        <f t="shared" si="138"/>
        <v>618</v>
      </c>
      <c r="CT68" s="56">
        <f t="shared" si="25"/>
        <v>79</v>
      </c>
      <c r="CU68" s="109">
        <f t="shared" si="287"/>
        <v>0</v>
      </c>
      <c r="CV68" s="63">
        <f t="shared" si="47"/>
        <v>79</v>
      </c>
      <c r="CX68" s="197">
        <f t="shared" si="288"/>
        <v>9</v>
      </c>
      <c r="CY68" s="8">
        <f t="shared" si="289"/>
        <v>8</v>
      </c>
      <c r="CZ68" s="136"/>
      <c r="DA68" s="32">
        <f t="shared" si="228"/>
        <v>0</v>
      </c>
      <c r="DB68" s="53">
        <f t="shared" si="256"/>
        <v>0</v>
      </c>
      <c r="DC68" s="421"/>
      <c r="DD68" s="426"/>
      <c r="DE68" s="426"/>
      <c r="DF68" s="34">
        <f t="shared" si="110"/>
        <v>0</v>
      </c>
      <c r="DG68" s="34">
        <f t="shared" si="99"/>
        <v>0</v>
      </c>
      <c r="DH68" s="32">
        <f t="shared" si="26"/>
        <v>0.16</v>
      </c>
      <c r="DI68" s="96">
        <f t="shared" si="111"/>
        <v>0</v>
      </c>
      <c r="DJ68" s="36">
        <f t="shared" si="27"/>
        <v>2.8800000000000003</v>
      </c>
      <c r="DK68" s="156">
        <f t="shared" si="101"/>
        <v>0</v>
      </c>
      <c r="DL68" s="137"/>
      <c r="DM68" s="13">
        <f t="shared" si="28"/>
        <v>46</v>
      </c>
      <c r="DN68" s="54">
        <f t="shared" si="132"/>
        <v>0</v>
      </c>
      <c r="DO68" s="70">
        <f t="shared" si="102"/>
        <v>0</v>
      </c>
      <c r="DP68" s="56">
        <f t="shared" si="29"/>
        <v>618</v>
      </c>
      <c r="DQ68" s="109">
        <f t="shared" si="290"/>
        <v>0</v>
      </c>
      <c r="DR68" s="63">
        <f t="shared" si="140"/>
        <v>618</v>
      </c>
      <c r="DS68" s="56">
        <f t="shared" si="30"/>
        <v>79</v>
      </c>
      <c r="DT68" s="109">
        <f t="shared" si="291"/>
        <v>0</v>
      </c>
      <c r="DU68" s="63">
        <f t="shared" si="92"/>
        <v>79</v>
      </c>
    </row>
    <row r="69" spans="1:125" ht="17.25" thickBot="1" x14ac:dyDescent="0.3">
      <c r="B69" s="118">
        <v>27</v>
      </c>
      <c r="C69" s="575">
        <v>9</v>
      </c>
      <c r="D69" s="129"/>
      <c r="E69" s="400">
        <f t="shared" si="31"/>
        <v>0</v>
      </c>
      <c r="F69" s="561">
        <f t="shared" si="0"/>
        <v>0</v>
      </c>
      <c r="G69" s="130"/>
      <c r="H69" s="131"/>
      <c r="I69" s="131"/>
      <c r="J69" s="11">
        <f t="shared" si="103"/>
        <v>0</v>
      </c>
      <c r="K69" s="11">
        <f t="shared" si="32"/>
        <v>0</v>
      </c>
      <c r="L69" s="16">
        <f t="shared" si="1"/>
        <v>0.16</v>
      </c>
      <c r="M69" s="153">
        <f t="shared" si="53"/>
        <v>0</v>
      </c>
      <c r="N69" s="154">
        <f t="shared" si="2"/>
        <v>3.0400000000000005</v>
      </c>
      <c r="O69" s="132">
        <f t="shared" si="33"/>
        <v>0</v>
      </c>
      <c r="P69" s="158"/>
      <c r="Q69" s="11">
        <f t="shared" si="3"/>
        <v>49</v>
      </c>
      <c r="R69" s="441">
        <f t="shared" si="4"/>
        <v>0</v>
      </c>
      <c r="S69" s="469">
        <f t="shared" si="34"/>
        <v>0</v>
      </c>
      <c r="T69" s="58">
        <f t="shared" si="5"/>
        <v>712</v>
      </c>
      <c r="U69" s="131"/>
      <c r="V69" s="41">
        <f t="shared" si="35"/>
        <v>712</v>
      </c>
      <c r="W69" s="18">
        <f t="shared" si="6"/>
        <v>79</v>
      </c>
      <c r="X69" s="131"/>
      <c r="Y69" s="41">
        <f t="shared" si="36"/>
        <v>79</v>
      </c>
      <c r="Z69" s="487"/>
      <c r="AA69" s="118">
        <v>27</v>
      </c>
      <c r="AB69" s="9">
        <v>9</v>
      </c>
      <c r="AC69" s="129"/>
      <c r="AD69" s="43">
        <f t="shared" si="253"/>
        <v>0</v>
      </c>
      <c r="AE69" s="44">
        <f t="shared" si="254"/>
        <v>0</v>
      </c>
      <c r="AF69" s="130"/>
      <c r="AG69" s="131"/>
      <c r="AH69" s="131"/>
      <c r="AI69" s="11">
        <f t="shared" si="105"/>
        <v>0</v>
      </c>
      <c r="AJ69" s="11">
        <f t="shared" si="162"/>
        <v>0</v>
      </c>
      <c r="AK69" s="16">
        <f t="shared" si="8"/>
        <v>0.16</v>
      </c>
      <c r="AL69" s="153">
        <f t="shared" si="38"/>
        <v>0</v>
      </c>
      <c r="AM69" s="154">
        <f t="shared" si="9"/>
        <v>3.0400000000000005</v>
      </c>
      <c r="AN69" s="157">
        <f t="shared" si="93"/>
        <v>0</v>
      </c>
      <c r="AO69" s="158"/>
      <c r="AP69" s="17">
        <f t="shared" si="10"/>
        <v>49</v>
      </c>
      <c r="AQ69" s="441">
        <f t="shared" si="39"/>
        <v>0</v>
      </c>
      <c r="AR69" s="469">
        <f t="shared" si="164"/>
        <v>0</v>
      </c>
      <c r="AS69" s="58">
        <f t="shared" si="11"/>
        <v>712</v>
      </c>
      <c r="AT69" s="131"/>
      <c r="AU69" s="41">
        <f t="shared" si="136"/>
        <v>712</v>
      </c>
      <c r="AV69" s="18">
        <f t="shared" si="12"/>
        <v>79</v>
      </c>
      <c r="AW69" s="131"/>
      <c r="AX69" s="41">
        <f t="shared" si="94"/>
        <v>79</v>
      </c>
      <c r="AZ69" s="118">
        <v>27</v>
      </c>
      <c r="BA69" s="9">
        <v>9</v>
      </c>
      <c r="BB69" s="129"/>
      <c r="BC69" s="43">
        <f t="shared" si="42"/>
        <v>0</v>
      </c>
      <c r="BD69" s="44">
        <f t="shared" si="255"/>
        <v>0</v>
      </c>
      <c r="BE69" s="130"/>
      <c r="BF69" s="131"/>
      <c r="BG69" s="131"/>
      <c r="BH69" s="11">
        <f t="shared" si="106"/>
        <v>0</v>
      </c>
      <c r="BI69" s="11">
        <f t="shared" si="151"/>
        <v>0</v>
      </c>
      <c r="BJ69" s="16">
        <f t="shared" si="14"/>
        <v>0.16</v>
      </c>
      <c r="BK69" s="42">
        <f t="shared" si="60"/>
        <v>0</v>
      </c>
      <c r="BL69" s="154">
        <f t="shared" si="15"/>
        <v>3.0400000000000005</v>
      </c>
      <c r="BM69" s="132">
        <f t="shared" si="167"/>
        <v>0</v>
      </c>
      <c r="BN69" s="158"/>
      <c r="BO69" s="11">
        <f t="shared" si="17"/>
        <v>49</v>
      </c>
      <c r="BP69" s="441">
        <f t="shared" si="61"/>
        <v>0</v>
      </c>
      <c r="BQ69" s="746">
        <f t="shared" si="81"/>
        <v>0</v>
      </c>
      <c r="BR69" s="58">
        <f t="shared" si="18"/>
        <v>712</v>
      </c>
      <c r="BS69" s="131"/>
      <c r="BT69" s="41">
        <f t="shared" si="137"/>
        <v>712</v>
      </c>
      <c r="BU69" s="18">
        <f t="shared" si="20"/>
        <v>79</v>
      </c>
      <c r="BV69" s="131"/>
      <c r="BW69" s="41">
        <f t="shared" si="95"/>
        <v>79</v>
      </c>
      <c r="BY69" s="198">
        <v>10</v>
      </c>
      <c r="BZ69" s="38">
        <v>9</v>
      </c>
      <c r="CA69" s="143"/>
      <c r="CB69" s="17">
        <f t="shared" si="96"/>
        <v>0</v>
      </c>
      <c r="CC69" s="71">
        <f t="shared" si="107"/>
        <v>0</v>
      </c>
      <c r="CD69" s="427"/>
      <c r="CE69" s="428"/>
      <c r="CF69" s="428"/>
      <c r="CG69" s="17">
        <f t="shared" si="108"/>
        <v>0</v>
      </c>
      <c r="CH69" s="17">
        <f t="shared" si="97"/>
        <v>0</v>
      </c>
      <c r="CI69" s="17">
        <f t="shared" si="21"/>
        <v>0.16</v>
      </c>
      <c r="CJ69" s="235">
        <f t="shared" si="65"/>
        <v>0</v>
      </c>
      <c r="CK69" s="33">
        <f t="shared" si="22"/>
        <v>3.0400000000000005</v>
      </c>
      <c r="CL69" s="155">
        <f t="shared" si="84"/>
        <v>0</v>
      </c>
      <c r="CM69" s="145"/>
      <c r="CN69" s="11">
        <f t="shared" si="23"/>
        <v>49</v>
      </c>
      <c r="CO69" s="60">
        <f t="shared" si="85"/>
        <v>0</v>
      </c>
      <c r="CP69" s="73">
        <f t="shared" si="66"/>
        <v>0</v>
      </c>
      <c r="CQ69" s="61">
        <f t="shared" si="24"/>
        <v>712</v>
      </c>
      <c r="CR69" s="141"/>
      <c r="CS69" s="71">
        <f t="shared" si="138"/>
        <v>712</v>
      </c>
      <c r="CT69" s="18">
        <f t="shared" si="25"/>
        <v>79</v>
      </c>
      <c r="CU69" s="141"/>
      <c r="CV69" s="71">
        <f t="shared" si="47"/>
        <v>79</v>
      </c>
      <c r="CX69" s="198">
        <v>10</v>
      </c>
      <c r="CY69" s="38">
        <v>9</v>
      </c>
      <c r="CZ69" s="143"/>
      <c r="DA69" s="17">
        <f t="shared" si="228"/>
        <v>0</v>
      </c>
      <c r="DB69" s="71">
        <f t="shared" si="256"/>
        <v>0</v>
      </c>
      <c r="DC69" s="427"/>
      <c r="DD69" s="428"/>
      <c r="DE69" s="428"/>
      <c r="DF69" s="17">
        <f t="shared" si="110"/>
        <v>0</v>
      </c>
      <c r="DG69" s="17">
        <f t="shared" si="99"/>
        <v>0</v>
      </c>
      <c r="DH69" s="17">
        <f t="shared" si="26"/>
        <v>0.16</v>
      </c>
      <c r="DI69" s="235">
        <f t="shared" si="111"/>
        <v>0</v>
      </c>
      <c r="DJ69" s="33">
        <f t="shared" si="27"/>
        <v>3.0400000000000005</v>
      </c>
      <c r="DK69" s="155">
        <f t="shared" si="101"/>
        <v>0</v>
      </c>
      <c r="DL69" s="145"/>
      <c r="DM69" s="11">
        <f t="shared" si="28"/>
        <v>49</v>
      </c>
      <c r="DN69" s="60">
        <f t="shared" si="132"/>
        <v>0</v>
      </c>
      <c r="DO69" s="73">
        <f t="shared" si="102"/>
        <v>0</v>
      </c>
      <c r="DP69" s="61">
        <f t="shared" si="29"/>
        <v>712</v>
      </c>
      <c r="DQ69" s="141"/>
      <c r="DR69" s="71">
        <f t="shared" si="140"/>
        <v>712</v>
      </c>
      <c r="DS69" s="18">
        <f t="shared" si="30"/>
        <v>79</v>
      </c>
      <c r="DT69" s="141"/>
      <c r="DU69" s="71">
        <f t="shared" si="92"/>
        <v>79</v>
      </c>
    </row>
    <row r="70" spans="1:125" ht="17.25" thickBot="1" x14ac:dyDescent="0.3">
      <c r="B70" s="120">
        <f>B69+1</f>
        <v>28</v>
      </c>
      <c r="C70" s="570">
        <f>C69</f>
        <v>9</v>
      </c>
      <c r="D70" s="133"/>
      <c r="E70" s="408">
        <f t="shared" si="31"/>
        <v>0</v>
      </c>
      <c r="F70" s="562">
        <f t="shared" ref="F70:F133" si="292">IFERROR(E70-J70,0)</f>
        <v>0</v>
      </c>
      <c r="G70" s="134"/>
      <c r="H70" s="135"/>
      <c r="I70" s="135"/>
      <c r="J70" s="14">
        <f t="shared" si="103"/>
        <v>0</v>
      </c>
      <c r="K70" s="14">
        <f t="shared" si="32"/>
        <v>0</v>
      </c>
      <c r="L70" s="14">
        <f t="shared" ref="L70:L133" si="293">VLOOKUP($C70,LOHMANN,4,FALSE)</f>
        <v>0.16</v>
      </c>
      <c r="M70" s="230">
        <f t="shared" si="53"/>
        <v>0</v>
      </c>
      <c r="N70" s="35">
        <f t="shared" ref="N70:N133" si="294">VLOOKUP($C70,LOHMANN,5,FALSE)</f>
        <v>3.0400000000000005</v>
      </c>
      <c r="O70" s="132">
        <f t="shared" si="33"/>
        <v>0</v>
      </c>
      <c r="P70" s="145"/>
      <c r="Q70" s="14">
        <f t="shared" ref="Q70:Q133" si="295">VLOOKUP($C70,LOHMANN,6,FALSE)</f>
        <v>49</v>
      </c>
      <c r="R70" s="480">
        <f t="shared" ref="R70:R133" si="296">IFERROR((P70/E70)*1000,0)</f>
        <v>0</v>
      </c>
      <c r="S70" s="475">
        <f t="shared" si="34"/>
        <v>0</v>
      </c>
      <c r="T70" s="51">
        <f t="shared" ref="T70:T133" si="297">VLOOKUP($C70,LOHMANN,2,FALSE)</f>
        <v>712</v>
      </c>
      <c r="U70" s="103">
        <f>U69</f>
        <v>0</v>
      </c>
      <c r="V70" s="46">
        <f t="shared" si="35"/>
        <v>712</v>
      </c>
      <c r="W70" s="50">
        <f t="shared" ref="W70:W133" si="298">VLOOKUP(C70,LOHMANN,3,FALSE)</f>
        <v>79</v>
      </c>
      <c r="X70" s="103">
        <f>X69</f>
        <v>0</v>
      </c>
      <c r="Y70" s="46">
        <f t="shared" si="36"/>
        <v>79</v>
      </c>
      <c r="Z70" s="487"/>
      <c r="AA70" s="120">
        <f>AA69+1</f>
        <v>28</v>
      </c>
      <c r="AB70" s="7">
        <f>AB69</f>
        <v>9</v>
      </c>
      <c r="AC70" s="133"/>
      <c r="AD70" s="48">
        <f t="shared" si="253"/>
        <v>0</v>
      </c>
      <c r="AE70" s="447">
        <f t="shared" si="254"/>
        <v>0</v>
      </c>
      <c r="AF70" s="134"/>
      <c r="AG70" s="135"/>
      <c r="AH70" s="135"/>
      <c r="AI70" s="14">
        <f t="shared" si="105"/>
        <v>0</v>
      </c>
      <c r="AJ70" s="14">
        <f t="shared" si="162"/>
        <v>0</v>
      </c>
      <c r="AK70" s="14">
        <f t="shared" ref="AK70:AK133" si="299">VLOOKUP($C70,LOHMANN,4,FALSE)</f>
        <v>0.16</v>
      </c>
      <c r="AL70" s="230">
        <f t="shared" si="38"/>
        <v>0</v>
      </c>
      <c r="AM70" s="35">
        <f t="shared" ref="AM70:AM133" si="300">VLOOKUP($C70,LOHMANN,5,FALSE)</f>
        <v>3.0400000000000005</v>
      </c>
      <c r="AN70" s="157">
        <f t="shared" si="93"/>
        <v>0</v>
      </c>
      <c r="AO70" s="145"/>
      <c r="AP70" s="14">
        <f t="shared" ref="AP70:AP133" si="301">VLOOKUP($C70,LOHMANN,6,FALSE)</f>
        <v>49</v>
      </c>
      <c r="AQ70" s="480">
        <f t="shared" si="39"/>
        <v>0</v>
      </c>
      <c r="AR70" s="475">
        <f t="shared" si="164"/>
        <v>0</v>
      </c>
      <c r="AS70" s="51">
        <f t="shared" ref="AS70:AS133" si="302">VLOOKUP($C70,LOHMANN,2,FALSE)</f>
        <v>712</v>
      </c>
      <c r="AT70" s="103">
        <f>AT69</f>
        <v>0</v>
      </c>
      <c r="AU70" s="46">
        <f t="shared" si="136"/>
        <v>712</v>
      </c>
      <c r="AV70" s="50">
        <f t="shared" ref="AV70:AV133" si="303">VLOOKUP(AB70,LOHMANN,3,FALSE)</f>
        <v>79</v>
      </c>
      <c r="AW70" s="103">
        <f>AW69</f>
        <v>0</v>
      </c>
      <c r="AX70" s="46">
        <f t="shared" si="94"/>
        <v>79</v>
      </c>
      <c r="AZ70" s="120">
        <f>AZ69+1</f>
        <v>28</v>
      </c>
      <c r="BA70" s="7">
        <f>BA69</f>
        <v>9</v>
      </c>
      <c r="BB70" s="133"/>
      <c r="BC70" s="48">
        <f t="shared" si="42"/>
        <v>0</v>
      </c>
      <c r="BD70" s="447">
        <f t="shared" si="255"/>
        <v>0</v>
      </c>
      <c r="BE70" s="134"/>
      <c r="BF70" s="135"/>
      <c r="BG70" s="135"/>
      <c r="BH70" s="14">
        <f t="shared" si="106"/>
        <v>0</v>
      </c>
      <c r="BI70" s="14">
        <f t="shared" si="151"/>
        <v>0</v>
      </c>
      <c r="BJ70" s="14">
        <f t="shared" ref="BJ70:BJ133" si="304">VLOOKUP($C70,LOHMANN,4,FALSE)</f>
        <v>0.16</v>
      </c>
      <c r="BK70" s="47">
        <f t="shared" si="60"/>
        <v>0</v>
      </c>
      <c r="BL70" s="35">
        <f t="shared" ref="BL70:BL133" si="305">VLOOKUP($C70,LOHMANN,5,FALSE)</f>
        <v>3.0400000000000005</v>
      </c>
      <c r="BM70" s="132">
        <f t="shared" si="167"/>
        <v>0</v>
      </c>
      <c r="BN70" s="145"/>
      <c r="BO70" s="14">
        <f t="shared" ref="BO70:BO133" si="306">VLOOKUP($C70,LOHMANN,6,FALSE)</f>
        <v>49</v>
      </c>
      <c r="BP70" s="442">
        <f t="shared" si="61"/>
        <v>0</v>
      </c>
      <c r="BQ70" s="751">
        <f t="shared" si="81"/>
        <v>0</v>
      </c>
      <c r="BR70" s="51">
        <f t="shared" ref="BR70:BR133" si="307">VLOOKUP($C70,LOHMANN,2,FALSE)</f>
        <v>712</v>
      </c>
      <c r="BS70" s="103">
        <f>BS69</f>
        <v>0</v>
      </c>
      <c r="BT70" s="46">
        <f t="shared" si="137"/>
        <v>712</v>
      </c>
      <c r="BU70" s="50">
        <f t="shared" ref="BU70:BU133" si="308">VLOOKUP(BA70,LOHMANN,3,FALSE)</f>
        <v>79</v>
      </c>
      <c r="BV70" s="103">
        <f>BV69</f>
        <v>0</v>
      </c>
      <c r="BW70" s="46">
        <f t="shared" si="95"/>
        <v>79</v>
      </c>
      <c r="BY70" s="120">
        <f>BY69+1</f>
        <v>11</v>
      </c>
      <c r="BZ70" s="7">
        <f>BZ69</f>
        <v>9</v>
      </c>
      <c r="CA70" s="133"/>
      <c r="CB70" s="14">
        <f t="shared" si="96"/>
        <v>0</v>
      </c>
      <c r="CC70" s="62">
        <f t="shared" si="107"/>
        <v>0</v>
      </c>
      <c r="CD70" s="405"/>
      <c r="CE70" s="406"/>
      <c r="CF70" s="406"/>
      <c r="CG70" s="14">
        <f t="shared" si="108"/>
        <v>0</v>
      </c>
      <c r="CH70" s="14">
        <f t="shared" si="97"/>
        <v>0</v>
      </c>
      <c r="CI70" s="14">
        <f t="shared" ref="CI70:CI133" si="309">VLOOKUP($C70,LOHMANN,4,FALSE)</f>
        <v>0.16</v>
      </c>
      <c r="CJ70" s="47">
        <f t="shared" si="65"/>
        <v>0</v>
      </c>
      <c r="CK70" s="35">
        <f t="shared" ref="CK70:CK133" si="310">VLOOKUP($C70,LOHMANN,5,FALSE)</f>
        <v>3.0400000000000005</v>
      </c>
      <c r="CL70" s="157">
        <f t="shared" si="84"/>
        <v>0</v>
      </c>
      <c r="CM70" s="145"/>
      <c r="CN70" s="14">
        <f t="shared" ref="CN70:CN133" si="311">VLOOKUP($C70,LOHMANN,6,FALSE)</f>
        <v>49</v>
      </c>
      <c r="CO70" s="48">
        <f t="shared" si="85"/>
        <v>0</v>
      </c>
      <c r="CP70" s="73">
        <f t="shared" si="66"/>
        <v>0</v>
      </c>
      <c r="CQ70" s="51">
        <f t="shared" ref="CQ70:CQ133" si="312">VLOOKUP($C70,LOHMANN,2,FALSE)</f>
        <v>712</v>
      </c>
      <c r="CR70" s="103">
        <f>CR69</f>
        <v>0</v>
      </c>
      <c r="CS70" s="46">
        <f t="shared" si="138"/>
        <v>712</v>
      </c>
      <c r="CT70" s="51">
        <f t="shared" ref="CT70:CT133" si="313">VLOOKUP(BZ70,LOHMANN,3,FALSE)</f>
        <v>79</v>
      </c>
      <c r="CU70" s="103">
        <f>CU69</f>
        <v>0</v>
      </c>
      <c r="CV70" s="46">
        <f t="shared" si="47"/>
        <v>79</v>
      </c>
      <c r="CX70" s="120">
        <f>CX69+1</f>
        <v>11</v>
      </c>
      <c r="CY70" s="7">
        <f>CY69</f>
        <v>9</v>
      </c>
      <c r="CZ70" s="133"/>
      <c r="DA70" s="14">
        <f t="shared" si="228"/>
        <v>0</v>
      </c>
      <c r="DB70" s="62">
        <f t="shared" si="256"/>
        <v>0</v>
      </c>
      <c r="DC70" s="405"/>
      <c r="DD70" s="406"/>
      <c r="DE70" s="406"/>
      <c r="DF70" s="14">
        <f t="shared" si="110"/>
        <v>0</v>
      </c>
      <c r="DG70" s="14">
        <f t="shared" si="99"/>
        <v>0</v>
      </c>
      <c r="DH70" s="14">
        <f t="shared" ref="DH70:DH133" si="314">VLOOKUP($C70,LOHMANN,4,FALSE)</f>
        <v>0.16</v>
      </c>
      <c r="DI70" s="47">
        <f t="shared" si="111"/>
        <v>0</v>
      </c>
      <c r="DJ70" s="35">
        <f t="shared" ref="DJ70:DJ133" si="315">VLOOKUP($C70,LOHMANN,5,FALSE)</f>
        <v>3.0400000000000005</v>
      </c>
      <c r="DK70" s="157">
        <f t="shared" si="101"/>
        <v>0</v>
      </c>
      <c r="DL70" s="145"/>
      <c r="DM70" s="14">
        <f t="shared" ref="DM70:DM133" si="316">VLOOKUP($C70,LOHMANN,6,FALSE)</f>
        <v>49</v>
      </c>
      <c r="DN70" s="48">
        <f t="shared" si="132"/>
        <v>0</v>
      </c>
      <c r="DO70" s="73">
        <f t="shared" si="102"/>
        <v>0</v>
      </c>
      <c r="DP70" s="51">
        <f t="shared" ref="DP70:DP133" si="317">VLOOKUP($C70,LOHMANN,2,FALSE)</f>
        <v>712</v>
      </c>
      <c r="DQ70" s="103">
        <f>DQ69</f>
        <v>0</v>
      </c>
      <c r="DR70" s="46">
        <f t="shared" si="140"/>
        <v>712</v>
      </c>
      <c r="DS70" s="51">
        <f t="shared" ref="DS70:DS133" si="318">VLOOKUP(CY70,LOHMANN,3,FALSE)</f>
        <v>79</v>
      </c>
      <c r="DT70" s="103">
        <f>DT69</f>
        <v>0</v>
      </c>
      <c r="DU70" s="46">
        <f t="shared" si="92"/>
        <v>79</v>
      </c>
    </row>
    <row r="71" spans="1:125" ht="17.25" thickBot="1" x14ac:dyDescent="0.3">
      <c r="B71" s="120">
        <f t="shared" ref="B71:B75" si="319">B70+1</f>
        <v>29</v>
      </c>
      <c r="C71" s="570">
        <f t="shared" ref="C71:C75" si="320">C70</f>
        <v>9</v>
      </c>
      <c r="D71" s="133"/>
      <c r="E71" s="408">
        <f t="shared" ref="E71:E134" si="321">IFERROR(F70+D71,0)</f>
        <v>0</v>
      </c>
      <c r="F71" s="562">
        <f t="shared" si="292"/>
        <v>0</v>
      </c>
      <c r="G71" s="134"/>
      <c r="H71" s="135"/>
      <c r="I71" s="135"/>
      <c r="J71" s="14">
        <f t="shared" si="103"/>
        <v>0</v>
      </c>
      <c r="K71" s="14">
        <f t="shared" ref="K71:K134" si="322">K70+J71</f>
        <v>0</v>
      </c>
      <c r="L71" s="14">
        <f t="shared" si="293"/>
        <v>0.16</v>
      </c>
      <c r="M71" s="230">
        <f t="shared" si="53"/>
        <v>0</v>
      </c>
      <c r="N71" s="35">
        <f t="shared" si="294"/>
        <v>3.0400000000000005</v>
      </c>
      <c r="O71" s="132">
        <f t="shared" ref="O71:O134" si="323">IFERROR((K71*100)/$D$12,0)</f>
        <v>0</v>
      </c>
      <c r="P71" s="142"/>
      <c r="Q71" s="14">
        <f t="shared" si="295"/>
        <v>49</v>
      </c>
      <c r="R71" s="482">
        <f t="shared" si="296"/>
        <v>0</v>
      </c>
      <c r="S71" s="470">
        <f t="shared" ref="S71:S134" si="324">S70+R71</f>
        <v>0</v>
      </c>
      <c r="T71" s="51">
        <f t="shared" si="297"/>
        <v>712</v>
      </c>
      <c r="U71" s="103">
        <f t="shared" ref="U71:U75" si="325">U70</f>
        <v>0</v>
      </c>
      <c r="V71" s="46">
        <f t="shared" ref="V71:V134" si="326">T71-U71</f>
        <v>712</v>
      </c>
      <c r="W71" s="51">
        <f t="shared" si="298"/>
        <v>79</v>
      </c>
      <c r="X71" s="103">
        <f t="shared" ref="X71:X75" si="327">X70</f>
        <v>0</v>
      </c>
      <c r="Y71" s="46">
        <f t="shared" ref="Y71:Y134" si="328">W71-X71</f>
        <v>79</v>
      </c>
      <c r="Z71" s="487"/>
      <c r="AA71" s="120">
        <f t="shared" ref="AA71:AA75" si="329">AA70+1</f>
        <v>29</v>
      </c>
      <c r="AB71" s="7">
        <f t="shared" ref="AB71:AB75" si="330">AB70</f>
        <v>9</v>
      </c>
      <c r="AC71" s="133"/>
      <c r="AD71" s="48">
        <f t="shared" si="253"/>
        <v>0</v>
      </c>
      <c r="AE71" s="196">
        <f t="shared" si="254"/>
        <v>0</v>
      </c>
      <c r="AF71" s="134"/>
      <c r="AG71" s="135"/>
      <c r="AH71" s="135"/>
      <c r="AI71" s="14">
        <f t="shared" si="105"/>
        <v>0</v>
      </c>
      <c r="AJ71" s="14">
        <f t="shared" si="162"/>
        <v>0</v>
      </c>
      <c r="AK71" s="14">
        <f t="shared" si="299"/>
        <v>0.16</v>
      </c>
      <c r="AL71" s="230">
        <f t="shared" ref="AL71:AL134" si="331">IFERROR((AI71*100)/AD71,0)</f>
        <v>0</v>
      </c>
      <c r="AM71" s="35">
        <f t="shared" si="300"/>
        <v>3.0400000000000005</v>
      </c>
      <c r="AN71" s="157">
        <f t="shared" si="93"/>
        <v>0</v>
      </c>
      <c r="AO71" s="134"/>
      <c r="AP71" s="14">
        <f t="shared" si="301"/>
        <v>49</v>
      </c>
      <c r="AQ71" s="482">
        <f t="shared" ref="AQ71:AQ134" si="332">IFERROR((AO71/AD71)*1000,0)</f>
        <v>0</v>
      </c>
      <c r="AR71" s="470">
        <f t="shared" si="164"/>
        <v>0</v>
      </c>
      <c r="AS71" s="51">
        <f t="shared" si="302"/>
        <v>712</v>
      </c>
      <c r="AT71" s="103">
        <f t="shared" ref="AT71:AT75" si="333">AT70</f>
        <v>0</v>
      </c>
      <c r="AU71" s="46">
        <f t="shared" si="136"/>
        <v>712</v>
      </c>
      <c r="AV71" s="51">
        <f t="shared" si="303"/>
        <v>79</v>
      </c>
      <c r="AW71" s="103">
        <f t="shared" ref="AW71:AW75" si="334">AW70</f>
        <v>0</v>
      </c>
      <c r="AX71" s="46">
        <f t="shared" si="94"/>
        <v>79</v>
      </c>
      <c r="AZ71" s="120">
        <f t="shared" ref="AZ71:AZ75" si="335">AZ70+1</f>
        <v>29</v>
      </c>
      <c r="BA71" s="7">
        <f t="shared" ref="BA71:BA75" si="336">BA70</f>
        <v>9</v>
      </c>
      <c r="BB71" s="133"/>
      <c r="BC71" s="48">
        <f t="shared" ref="BC71:BC134" si="337">IFERROR(BD70+BB71,0)</f>
        <v>0</v>
      </c>
      <c r="BD71" s="196">
        <f t="shared" si="255"/>
        <v>0</v>
      </c>
      <c r="BE71" s="134"/>
      <c r="BF71" s="135"/>
      <c r="BG71" s="135"/>
      <c r="BH71" s="14">
        <f t="shared" si="106"/>
        <v>0</v>
      </c>
      <c r="BI71" s="14">
        <f t="shared" si="151"/>
        <v>0</v>
      </c>
      <c r="BJ71" s="14">
        <f t="shared" si="304"/>
        <v>0.16</v>
      </c>
      <c r="BK71" s="47">
        <f t="shared" si="60"/>
        <v>0</v>
      </c>
      <c r="BL71" s="35">
        <f t="shared" si="305"/>
        <v>3.0400000000000005</v>
      </c>
      <c r="BM71" s="132">
        <f t="shared" si="167"/>
        <v>0</v>
      </c>
      <c r="BN71" s="134"/>
      <c r="BO71" s="14">
        <f t="shared" si="306"/>
        <v>49</v>
      </c>
      <c r="BP71" s="442">
        <f t="shared" si="61"/>
        <v>0</v>
      </c>
      <c r="BQ71" s="747">
        <f t="shared" si="81"/>
        <v>0</v>
      </c>
      <c r="BR71" s="51">
        <f t="shared" si="307"/>
        <v>712</v>
      </c>
      <c r="BS71" s="103">
        <f t="shared" ref="BS71:BS75" si="338">BS70</f>
        <v>0</v>
      </c>
      <c r="BT71" s="46">
        <f t="shared" si="137"/>
        <v>712</v>
      </c>
      <c r="BU71" s="51">
        <f t="shared" si="308"/>
        <v>79</v>
      </c>
      <c r="BV71" s="103">
        <f t="shared" ref="BV71:BV75" si="339">BV70</f>
        <v>0</v>
      </c>
      <c r="BW71" s="46">
        <f t="shared" si="95"/>
        <v>79</v>
      </c>
      <c r="BY71" s="120">
        <f t="shared" ref="BY71:BY75" si="340">BY70+1</f>
        <v>12</v>
      </c>
      <c r="BZ71" s="7">
        <f t="shared" ref="BZ71:BZ75" si="341">BZ70</f>
        <v>9</v>
      </c>
      <c r="CA71" s="133"/>
      <c r="CB71" s="14">
        <f t="shared" si="96"/>
        <v>0</v>
      </c>
      <c r="CC71" s="59">
        <f t="shared" si="107"/>
        <v>0</v>
      </c>
      <c r="CD71" s="405"/>
      <c r="CE71" s="406"/>
      <c r="CF71" s="406"/>
      <c r="CG71" s="14">
        <f t="shared" si="108"/>
        <v>0</v>
      </c>
      <c r="CH71" s="14">
        <f t="shared" si="97"/>
        <v>0</v>
      </c>
      <c r="CI71" s="14">
        <f t="shared" si="309"/>
        <v>0.16</v>
      </c>
      <c r="CJ71" s="47">
        <f t="shared" si="65"/>
        <v>0</v>
      </c>
      <c r="CK71" s="35">
        <f t="shared" si="310"/>
        <v>3.0400000000000005</v>
      </c>
      <c r="CL71" s="157">
        <f t="shared" si="84"/>
        <v>0</v>
      </c>
      <c r="CM71" s="134"/>
      <c r="CN71" s="14">
        <f t="shared" si="311"/>
        <v>49</v>
      </c>
      <c r="CO71" s="48">
        <f t="shared" si="85"/>
        <v>0</v>
      </c>
      <c r="CP71" s="68">
        <f t="shared" si="66"/>
        <v>0</v>
      </c>
      <c r="CQ71" s="51">
        <f t="shared" si="312"/>
        <v>712</v>
      </c>
      <c r="CR71" s="103">
        <f t="shared" ref="CR71:CR75" si="342">CR70</f>
        <v>0</v>
      </c>
      <c r="CS71" s="46">
        <f t="shared" si="138"/>
        <v>712</v>
      </c>
      <c r="CT71" s="12">
        <f t="shared" si="313"/>
        <v>79</v>
      </c>
      <c r="CU71" s="103">
        <f t="shared" ref="CU71:CU75" si="343">CU70</f>
        <v>0</v>
      </c>
      <c r="CV71" s="46">
        <f t="shared" ref="CV71:CV134" si="344">CT71-CU71</f>
        <v>79</v>
      </c>
      <c r="CX71" s="120">
        <f t="shared" ref="CX71:CX75" si="345">CX70+1</f>
        <v>12</v>
      </c>
      <c r="CY71" s="7">
        <f t="shared" ref="CY71:CY75" si="346">CY70</f>
        <v>9</v>
      </c>
      <c r="CZ71" s="133"/>
      <c r="DA71" s="14">
        <f t="shared" si="228"/>
        <v>0</v>
      </c>
      <c r="DB71" s="59">
        <f t="shared" si="256"/>
        <v>0</v>
      </c>
      <c r="DC71" s="405"/>
      <c r="DD71" s="406"/>
      <c r="DE71" s="406"/>
      <c r="DF71" s="14">
        <f t="shared" si="110"/>
        <v>0</v>
      </c>
      <c r="DG71" s="14">
        <f t="shared" si="99"/>
        <v>0</v>
      </c>
      <c r="DH71" s="14">
        <f t="shared" si="314"/>
        <v>0.16</v>
      </c>
      <c r="DI71" s="47">
        <f t="shared" si="111"/>
        <v>0</v>
      </c>
      <c r="DJ71" s="35">
        <f t="shared" si="315"/>
        <v>3.0400000000000005</v>
      </c>
      <c r="DK71" s="157">
        <f t="shared" si="101"/>
        <v>0</v>
      </c>
      <c r="DL71" s="134"/>
      <c r="DM71" s="14">
        <f t="shared" si="316"/>
        <v>49</v>
      </c>
      <c r="DN71" s="48">
        <f t="shared" si="132"/>
        <v>0</v>
      </c>
      <c r="DO71" s="68">
        <f t="shared" si="102"/>
        <v>0</v>
      </c>
      <c r="DP71" s="51">
        <f t="shared" si="317"/>
        <v>712</v>
      </c>
      <c r="DQ71" s="103">
        <f t="shared" ref="DQ71:DQ75" si="347">DQ70</f>
        <v>0</v>
      </c>
      <c r="DR71" s="46">
        <f t="shared" si="140"/>
        <v>712</v>
      </c>
      <c r="DS71" s="12">
        <f t="shared" si="318"/>
        <v>79</v>
      </c>
      <c r="DT71" s="103">
        <f t="shared" ref="DT71:DT75" si="348">DT70</f>
        <v>0</v>
      </c>
      <c r="DU71" s="46">
        <f t="shared" si="92"/>
        <v>79</v>
      </c>
    </row>
    <row r="72" spans="1:125" ht="17.25" thickBot="1" x14ac:dyDescent="0.3">
      <c r="B72" s="120">
        <f t="shared" si="319"/>
        <v>30</v>
      </c>
      <c r="C72" s="570">
        <f t="shared" si="320"/>
        <v>9</v>
      </c>
      <c r="D72" s="133"/>
      <c r="E72" s="408">
        <f t="shared" si="321"/>
        <v>0</v>
      </c>
      <c r="F72" s="562">
        <f t="shared" si="292"/>
        <v>0</v>
      </c>
      <c r="G72" s="134"/>
      <c r="H72" s="135"/>
      <c r="I72" s="135"/>
      <c r="J72" s="14">
        <f t="shared" si="103"/>
        <v>0</v>
      </c>
      <c r="K72" s="14">
        <f t="shared" si="322"/>
        <v>0</v>
      </c>
      <c r="L72" s="14">
        <f t="shared" si="293"/>
        <v>0.16</v>
      </c>
      <c r="M72" s="230">
        <f t="shared" ref="M72:M135" si="349">IFERROR((J72*100)/E72,0)</f>
        <v>0</v>
      </c>
      <c r="N72" s="35">
        <f t="shared" si="294"/>
        <v>3.0400000000000005</v>
      </c>
      <c r="O72" s="132">
        <f t="shared" si="323"/>
        <v>0</v>
      </c>
      <c r="P72" s="142"/>
      <c r="Q72" s="14">
        <f t="shared" si="295"/>
        <v>49</v>
      </c>
      <c r="R72" s="442">
        <f t="shared" si="296"/>
        <v>0</v>
      </c>
      <c r="S72" s="470">
        <f t="shared" si="324"/>
        <v>0</v>
      </c>
      <c r="T72" s="51">
        <f t="shared" si="297"/>
        <v>712</v>
      </c>
      <c r="U72" s="103">
        <f t="shared" si="325"/>
        <v>0</v>
      </c>
      <c r="V72" s="46">
        <f t="shared" si="326"/>
        <v>712</v>
      </c>
      <c r="W72" s="51">
        <f t="shared" si="298"/>
        <v>79</v>
      </c>
      <c r="X72" s="103">
        <f t="shared" si="327"/>
        <v>0</v>
      </c>
      <c r="Y72" s="46">
        <f t="shared" si="328"/>
        <v>79</v>
      </c>
      <c r="Z72" s="487"/>
      <c r="AA72" s="120">
        <f t="shared" si="329"/>
        <v>30</v>
      </c>
      <c r="AB72" s="7">
        <f t="shared" si="330"/>
        <v>9</v>
      </c>
      <c r="AC72" s="133"/>
      <c r="AD72" s="48">
        <f t="shared" si="253"/>
        <v>0</v>
      </c>
      <c r="AE72" s="196">
        <f t="shared" si="254"/>
        <v>0</v>
      </c>
      <c r="AF72" s="134"/>
      <c r="AG72" s="135"/>
      <c r="AH72" s="135"/>
      <c r="AI72" s="14">
        <f t="shared" si="105"/>
        <v>0</v>
      </c>
      <c r="AJ72" s="14">
        <f t="shared" si="162"/>
        <v>0</v>
      </c>
      <c r="AK72" s="14">
        <f t="shared" si="299"/>
        <v>0.16</v>
      </c>
      <c r="AL72" s="230">
        <f t="shared" si="331"/>
        <v>0</v>
      </c>
      <c r="AM72" s="35">
        <f t="shared" si="300"/>
        <v>3.0400000000000005</v>
      </c>
      <c r="AN72" s="157">
        <f t="shared" si="93"/>
        <v>0</v>
      </c>
      <c r="AO72" s="134"/>
      <c r="AP72" s="14">
        <f t="shared" si="301"/>
        <v>49</v>
      </c>
      <c r="AQ72" s="442">
        <f t="shared" si="332"/>
        <v>0</v>
      </c>
      <c r="AR72" s="470">
        <f t="shared" si="164"/>
        <v>0</v>
      </c>
      <c r="AS72" s="51">
        <f t="shared" si="302"/>
        <v>712</v>
      </c>
      <c r="AT72" s="103">
        <f t="shared" si="333"/>
        <v>0</v>
      </c>
      <c r="AU72" s="46">
        <f t="shared" si="136"/>
        <v>712</v>
      </c>
      <c r="AV72" s="51">
        <f t="shared" si="303"/>
        <v>79</v>
      </c>
      <c r="AW72" s="103">
        <f t="shared" si="334"/>
        <v>0</v>
      </c>
      <c r="AX72" s="46">
        <f t="shared" si="94"/>
        <v>79</v>
      </c>
      <c r="AZ72" s="120">
        <f t="shared" si="335"/>
        <v>30</v>
      </c>
      <c r="BA72" s="7">
        <f t="shared" si="336"/>
        <v>9</v>
      </c>
      <c r="BB72" s="133"/>
      <c r="BC72" s="48">
        <f t="shared" si="337"/>
        <v>0</v>
      </c>
      <c r="BD72" s="196">
        <f t="shared" si="255"/>
        <v>0</v>
      </c>
      <c r="BE72" s="134"/>
      <c r="BF72" s="135"/>
      <c r="BG72" s="135"/>
      <c r="BH72" s="14">
        <f t="shared" si="106"/>
        <v>0</v>
      </c>
      <c r="BI72" s="14">
        <f t="shared" si="151"/>
        <v>0</v>
      </c>
      <c r="BJ72" s="14">
        <f t="shared" si="304"/>
        <v>0.16</v>
      </c>
      <c r="BK72" s="47">
        <f t="shared" ref="BK72:BK135" si="350">IFERROR((BH72*100)/BC72,0)</f>
        <v>0</v>
      </c>
      <c r="BL72" s="35">
        <f t="shared" si="305"/>
        <v>3.0400000000000005</v>
      </c>
      <c r="BM72" s="132">
        <f t="shared" si="167"/>
        <v>0</v>
      </c>
      <c r="BN72" s="134"/>
      <c r="BO72" s="14">
        <f t="shared" si="306"/>
        <v>49</v>
      </c>
      <c r="BP72" s="442">
        <f t="shared" ref="BP72:BP135" si="351">IFERROR((BN72/BC72)*1000,0)</f>
        <v>0</v>
      </c>
      <c r="BQ72" s="747">
        <f t="shared" si="81"/>
        <v>0</v>
      </c>
      <c r="BR72" s="51">
        <f t="shared" si="307"/>
        <v>712</v>
      </c>
      <c r="BS72" s="103">
        <f t="shared" si="338"/>
        <v>0</v>
      </c>
      <c r="BT72" s="46">
        <f t="shared" si="137"/>
        <v>712</v>
      </c>
      <c r="BU72" s="51">
        <f t="shared" si="308"/>
        <v>79</v>
      </c>
      <c r="BV72" s="103">
        <f t="shared" si="339"/>
        <v>0</v>
      </c>
      <c r="BW72" s="46">
        <f t="shared" si="95"/>
        <v>79</v>
      </c>
      <c r="BY72" s="120">
        <f t="shared" si="340"/>
        <v>13</v>
      </c>
      <c r="BZ72" s="7">
        <f t="shared" si="341"/>
        <v>9</v>
      </c>
      <c r="CA72" s="133"/>
      <c r="CB72" s="14">
        <f t="shared" si="96"/>
        <v>0</v>
      </c>
      <c r="CC72" s="59">
        <f t="shared" si="107"/>
        <v>0</v>
      </c>
      <c r="CD72" s="405"/>
      <c r="CE72" s="406"/>
      <c r="CF72" s="406"/>
      <c r="CG72" s="14">
        <f t="shared" si="108"/>
        <v>0</v>
      </c>
      <c r="CH72" s="14">
        <f t="shared" si="97"/>
        <v>0</v>
      </c>
      <c r="CI72" s="14">
        <f t="shared" si="309"/>
        <v>0.16</v>
      </c>
      <c r="CJ72" s="47">
        <f t="shared" ref="CJ72:CJ135" si="352">IFERROR((CG72*1000)/CB72,0)</f>
        <v>0</v>
      </c>
      <c r="CK72" s="35">
        <f t="shared" si="310"/>
        <v>3.0400000000000005</v>
      </c>
      <c r="CL72" s="157">
        <f t="shared" si="84"/>
        <v>0</v>
      </c>
      <c r="CM72" s="134"/>
      <c r="CN72" s="14">
        <f t="shared" si="311"/>
        <v>49</v>
      </c>
      <c r="CO72" s="48">
        <f t="shared" si="85"/>
        <v>0</v>
      </c>
      <c r="CP72" s="68">
        <f t="shared" ref="CP72:CP135" si="353">CP71+CO72</f>
        <v>0</v>
      </c>
      <c r="CQ72" s="51">
        <f t="shared" si="312"/>
        <v>712</v>
      </c>
      <c r="CR72" s="103">
        <f t="shared" si="342"/>
        <v>0</v>
      </c>
      <c r="CS72" s="46">
        <f t="shared" si="138"/>
        <v>712</v>
      </c>
      <c r="CT72" s="51">
        <f t="shared" si="313"/>
        <v>79</v>
      </c>
      <c r="CU72" s="103">
        <f t="shared" si="343"/>
        <v>0</v>
      </c>
      <c r="CV72" s="46">
        <f t="shared" si="344"/>
        <v>79</v>
      </c>
      <c r="CX72" s="120">
        <f t="shared" si="345"/>
        <v>13</v>
      </c>
      <c r="CY72" s="7">
        <f t="shared" si="346"/>
        <v>9</v>
      </c>
      <c r="CZ72" s="133"/>
      <c r="DA72" s="14">
        <f t="shared" si="228"/>
        <v>0</v>
      </c>
      <c r="DB72" s="59">
        <f t="shared" si="256"/>
        <v>0</v>
      </c>
      <c r="DC72" s="405"/>
      <c r="DD72" s="406"/>
      <c r="DE72" s="406"/>
      <c r="DF72" s="14">
        <f t="shared" si="110"/>
        <v>0</v>
      </c>
      <c r="DG72" s="14">
        <f t="shared" si="99"/>
        <v>0</v>
      </c>
      <c r="DH72" s="14">
        <f t="shared" si="314"/>
        <v>0.16</v>
      </c>
      <c r="DI72" s="47">
        <f t="shared" si="111"/>
        <v>0</v>
      </c>
      <c r="DJ72" s="35">
        <f t="shared" si="315"/>
        <v>3.0400000000000005</v>
      </c>
      <c r="DK72" s="157">
        <f t="shared" si="101"/>
        <v>0</v>
      </c>
      <c r="DL72" s="134"/>
      <c r="DM72" s="14">
        <f t="shared" si="316"/>
        <v>49</v>
      </c>
      <c r="DN72" s="48">
        <f t="shared" si="132"/>
        <v>0</v>
      </c>
      <c r="DO72" s="68">
        <f t="shared" si="102"/>
        <v>0</v>
      </c>
      <c r="DP72" s="51">
        <f t="shared" si="317"/>
        <v>712</v>
      </c>
      <c r="DQ72" s="103">
        <f t="shared" si="347"/>
        <v>0</v>
      </c>
      <c r="DR72" s="46">
        <f t="shared" si="140"/>
        <v>712</v>
      </c>
      <c r="DS72" s="51">
        <f t="shared" si="318"/>
        <v>79</v>
      </c>
      <c r="DT72" s="103">
        <f t="shared" si="348"/>
        <v>0</v>
      </c>
      <c r="DU72" s="46">
        <f t="shared" si="92"/>
        <v>79</v>
      </c>
    </row>
    <row r="73" spans="1:125" ht="18.75" thickBot="1" x14ac:dyDescent="0.3">
      <c r="A73" s="535" t="s">
        <v>80</v>
      </c>
      <c r="B73" s="502">
        <v>1</v>
      </c>
      <c r="C73" s="577">
        <f t="shared" si="320"/>
        <v>9</v>
      </c>
      <c r="D73" s="528"/>
      <c r="E73" s="564">
        <f t="shared" si="321"/>
        <v>0</v>
      </c>
      <c r="F73" s="582">
        <f t="shared" si="292"/>
        <v>0</v>
      </c>
      <c r="G73" s="519"/>
      <c r="H73" s="520"/>
      <c r="I73" s="520"/>
      <c r="J73" s="521">
        <f t="shared" si="103"/>
        <v>0</v>
      </c>
      <c r="K73" s="521">
        <f t="shared" si="322"/>
        <v>0</v>
      </c>
      <c r="L73" s="521">
        <f t="shared" si="293"/>
        <v>0.16</v>
      </c>
      <c r="M73" s="529">
        <f t="shared" si="349"/>
        <v>0</v>
      </c>
      <c r="N73" s="522">
        <f t="shared" si="294"/>
        <v>3.0400000000000005</v>
      </c>
      <c r="O73" s="132">
        <f t="shared" si="323"/>
        <v>0</v>
      </c>
      <c r="P73" s="578"/>
      <c r="Q73" s="521">
        <f t="shared" si="295"/>
        <v>49</v>
      </c>
      <c r="R73" s="530">
        <f t="shared" si="296"/>
        <v>0</v>
      </c>
      <c r="S73" s="524">
        <f t="shared" si="324"/>
        <v>0</v>
      </c>
      <c r="T73" s="525">
        <f t="shared" si="297"/>
        <v>712</v>
      </c>
      <c r="U73" s="514">
        <f t="shared" si="325"/>
        <v>0</v>
      </c>
      <c r="V73" s="531">
        <f t="shared" si="326"/>
        <v>712</v>
      </c>
      <c r="W73" s="532">
        <f t="shared" si="298"/>
        <v>79</v>
      </c>
      <c r="X73" s="514">
        <f t="shared" si="327"/>
        <v>0</v>
      </c>
      <c r="Y73" s="531">
        <f t="shared" si="328"/>
        <v>79</v>
      </c>
      <c r="Z73" s="535" t="s">
        <v>80</v>
      </c>
      <c r="AA73" s="502">
        <v>1</v>
      </c>
      <c r="AB73" s="694">
        <f t="shared" si="330"/>
        <v>9</v>
      </c>
      <c r="AC73" s="528"/>
      <c r="AD73" s="564">
        <f t="shared" si="253"/>
        <v>0</v>
      </c>
      <c r="AE73" s="695">
        <f t="shared" si="254"/>
        <v>0</v>
      </c>
      <c r="AF73" s="519"/>
      <c r="AG73" s="520"/>
      <c r="AH73" s="520"/>
      <c r="AI73" s="521">
        <f t="shared" si="105"/>
        <v>0</v>
      </c>
      <c r="AJ73" s="521">
        <f t="shared" si="162"/>
        <v>0</v>
      </c>
      <c r="AK73" s="521">
        <f t="shared" si="299"/>
        <v>0.16</v>
      </c>
      <c r="AL73" s="529">
        <f t="shared" si="331"/>
        <v>0</v>
      </c>
      <c r="AM73" s="522">
        <f t="shared" si="300"/>
        <v>3.0400000000000005</v>
      </c>
      <c r="AN73" s="157">
        <f t="shared" si="93"/>
        <v>0</v>
      </c>
      <c r="AO73" s="519"/>
      <c r="AP73" s="521">
        <f t="shared" si="301"/>
        <v>49</v>
      </c>
      <c r="AQ73" s="530">
        <f t="shared" si="332"/>
        <v>0</v>
      </c>
      <c r="AR73" s="524">
        <f t="shared" si="164"/>
        <v>0</v>
      </c>
      <c r="AS73" s="525">
        <f t="shared" si="302"/>
        <v>712</v>
      </c>
      <c r="AT73" s="514">
        <f t="shared" si="333"/>
        <v>0</v>
      </c>
      <c r="AU73" s="531">
        <f t="shared" si="136"/>
        <v>712</v>
      </c>
      <c r="AV73" s="532">
        <f t="shared" si="303"/>
        <v>79</v>
      </c>
      <c r="AW73" s="514">
        <f t="shared" si="334"/>
        <v>0</v>
      </c>
      <c r="AX73" s="531">
        <f t="shared" si="94"/>
        <v>79</v>
      </c>
      <c r="AY73" s="535" t="s">
        <v>80</v>
      </c>
      <c r="AZ73" s="502">
        <v>1</v>
      </c>
      <c r="BA73" s="694">
        <f t="shared" si="336"/>
        <v>9</v>
      </c>
      <c r="BB73" s="528"/>
      <c r="BC73" s="564">
        <f t="shared" si="337"/>
        <v>0</v>
      </c>
      <c r="BD73" s="695">
        <f t="shared" si="255"/>
        <v>0</v>
      </c>
      <c r="BE73" s="519"/>
      <c r="BF73" s="520"/>
      <c r="BG73" s="520"/>
      <c r="BH73" s="521">
        <f t="shared" si="106"/>
        <v>0</v>
      </c>
      <c r="BI73" s="521">
        <f t="shared" si="151"/>
        <v>0</v>
      </c>
      <c r="BJ73" s="521">
        <f t="shared" si="304"/>
        <v>0.16</v>
      </c>
      <c r="BK73" s="529">
        <f t="shared" si="350"/>
        <v>0</v>
      </c>
      <c r="BL73" s="522">
        <f t="shared" si="305"/>
        <v>3.0400000000000005</v>
      </c>
      <c r="BM73" s="132">
        <f t="shared" si="167"/>
        <v>0</v>
      </c>
      <c r="BN73" s="519"/>
      <c r="BO73" s="521">
        <f t="shared" si="306"/>
        <v>49</v>
      </c>
      <c r="BP73" s="537">
        <f t="shared" si="351"/>
        <v>0</v>
      </c>
      <c r="BQ73" s="755">
        <f t="shared" ref="BQ73:BQ136" si="354">BQ72+BP73</f>
        <v>0</v>
      </c>
      <c r="BR73" s="525">
        <f t="shared" si="307"/>
        <v>712</v>
      </c>
      <c r="BS73" s="514">
        <f t="shared" si="338"/>
        <v>0</v>
      </c>
      <c r="BT73" s="531">
        <f t="shared" si="137"/>
        <v>712</v>
      </c>
      <c r="BU73" s="532">
        <f t="shared" si="308"/>
        <v>79</v>
      </c>
      <c r="BV73" s="514">
        <f t="shared" si="339"/>
        <v>0</v>
      </c>
      <c r="BW73" s="531">
        <f t="shared" si="95"/>
        <v>79</v>
      </c>
      <c r="BY73" s="120">
        <f t="shared" si="340"/>
        <v>14</v>
      </c>
      <c r="BZ73" s="7">
        <f t="shared" si="341"/>
        <v>9</v>
      </c>
      <c r="CA73" s="133"/>
      <c r="CB73" s="14">
        <f t="shared" si="96"/>
        <v>0</v>
      </c>
      <c r="CC73" s="59">
        <f t="shared" si="107"/>
        <v>0</v>
      </c>
      <c r="CD73" s="405"/>
      <c r="CE73" s="406"/>
      <c r="CF73" s="406"/>
      <c r="CG73" s="14">
        <f t="shared" si="108"/>
        <v>0</v>
      </c>
      <c r="CH73" s="14">
        <f t="shared" si="97"/>
        <v>0</v>
      </c>
      <c r="CI73" s="14">
        <f t="shared" si="309"/>
        <v>0.16</v>
      </c>
      <c r="CJ73" s="47">
        <f t="shared" si="352"/>
        <v>0</v>
      </c>
      <c r="CK73" s="35">
        <f t="shared" si="310"/>
        <v>3.0400000000000005</v>
      </c>
      <c r="CL73" s="157">
        <f t="shared" ref="CL73:CL136" si="355">IFERROR((CH73*100)/CB73,0)</f>
        <v>0</v>
      </c>
      <c r="CM73" s="134"/>
      <c r="CN73" s="14">
        <f t="shared" si="311"/>
        <v>49</v>
      </c>
      <c r="CO73" s="48">
        <f t="shared" ref="CO73:CO136" si="356">IFERROR(CM73/CB73,0)</f>
        <v>0</v>
      </c>
      <c r="CP73" s="68">
        <f t="shared" si="353"/>
        <v>0</v>
      </c>
      <c r="CQ73" s="51">
        <f t="shared" si="312"/>
        <v>712</v>
      </c>
      <c r="CR73" s="103">
        <f t="shared" si="342"/>
        <v>0</v>
      </c>
      <c r="CS73" s="71">
        <f t="shared" si="138"/>
        <v>712</v>
      </c>
      <c r="CT73" s="12">
        <f t="shared" si="313"/>
        <v>79</v>
      </c>
      <c r="CU73" s="103">
        <f t="shared" si="343"/>
        <v>0</v>
      </c>
      <c r="CV73" s="71">
        <f t="shared" si="344"/>
        <v>79</v>
      </c>
      <c r="CX73" s="120">
        <f t="shared" si="345"/>
        <v>14</v>
      </c>
      <c r="CY73" s="7">
        <f t="shared" si="346"/>
        <v>9</v>
      </c>
      <c r="CZ73" s="133"/>
      <c r="DA73" s="14">
        <f t="shared" si="228"/>
        <v>0</v>
      </c>
      <c r="DB73" s="59">
        <f t="shared" si="256"/>
        <v>0</v>
      </c>
      <c r="DC73" s="405"/>
      <c r="DD73" s="406"/>
      <c r="DE73" s="406"/>
      <c r="DF73" s="14">
        <f t="shared" si="110"/>
        <v>0</v>
      </c>
      <c r="DG73" s="14">
        <f t="shared" si="99"/>
        <v>0</v>
      </c>
      <c r="DH73" s="14">
        <f t="shared" si="314"/>
        <v>0.16</v>
      </c>
      <c r="DI73" s="47">
        <f t="shared" si="111"/>
        <v>0</v>
      </c>
      <c r="DJ73" s="35">
        <f t="shared" si="315"/>
        <v>3.0400000000000005</v>
      </c>
      <c r="DK73" s="157">
        <f t="shared" si="101"/>
        <v>0</v>
      </c>
      <c r="DL73" s="134"/>
      <c r="DM73" s="14">
        <f t="shared" si="316"/>
        <v>49</v>
      </c>
      <c r="DN73" s="48">
        <f t="shared" si="132"/>
        <v>0</v>
      </c>
      <c r="DO73" s="68">
        <f t="shared" si="102"/>
        <v>0</v>
      </c>
      <c r="DP73" s="51">
        <f t="shared" si="317"/>
        <v>712</v>
      </c>
      <c r="DQ73" s="103">
        <f t="shared" si="347"/>
        <v>0</v>
      </c>
      <c r="DR73" s="71">
        <f t="shared" si="140"/>
        <v>712</v>
      </c>
      <c r="DS73" s="12">
        <f t="shared" si="318"/>
        <v>79</v>
      </c>
      <c r="DT73" s="103">
        <f t="shared" si="348"/>
        <v>0</v>
      </c>
      <c r="DU73" s="71">
        <f t="shared" si="92"/>
        <v>79</v>
      </c>
    </row>
    <row r="74" spans="1:125" ht="17.25" thickBot="1" x14ac:dyDescent="0.3">
      <c r="A74" s="423"/>
      <c r="B74" s="403">
        <f>B73+1</f>
        <v>2</v>
      </c>
      <c r="C74" s="571">
        <f t="shared" si="320"/>
        <v>9</v>
      </c>
      <c r="D74" s="229"/>
      <c r="E74" s="408">
        <f t="shared" si="321"/>
        <v>0</v>
      </c>
      <c r="F74" s="562">
        <f t="shared" si="292"/>
        <v>0</v>
      </c>
      <c r="G74" s="405"/>
      <c r="H74" s="406"/>
      <c r="I74" s="406"/>
      <c r="J74" s="380">
        <f t="shared" si="103"/>
        <v>0</v>
      </c>
      <c r="K74" s="380">
        <f t="shared" si="322"/>
        <v>0</v>
      </c>
      <c r="L74" s="380">
        <f t="shared" si="293"/>
        <v>0.16</v>
      </c>
      <c r="M74" s="231">
        <f t="shared" si="349"/>
        <v>0</v>
      </c>
      <c r="N74" s="407">
        <f t="shared" si="294"/>
        <v>3.0400000000000005</v>
      </c>
      <c r="O74" s="132">
        <f t="shared" si="323"/>
        <v>0</v>
      </c>
      <c r="P74" s="411"/>
      <c r="Q74" s="380">
        <f t="shared" si="295"/>
        <v>49</v>
      </c>
      <c r="R74" s="442">
        <f t="shared" si="296"/>
        <v>0</v>
      </c>
      <c r="S74" s="474">
        <f t="shared" si="324"/>
        <v>0</v>
      </c>
      <c r="T74" s="182">
        <f t="shared" si="297"/>
        <v>712</v>
      </c>
      <c r="U74" s="181">
        <f t="shared" si="325"/>
        <v>0</v>
      </c>
      <c r="V74" s="206">
        <f t="shared" si="326"/>
        <v>712</v>
      </c>
      <c r="W74" s="182">
        <f t="shared" si="298"/>
        <v>79</v>
      </c>
      <c r="X74" s="181">
        <f t="shared" si="327"/>
        <v>0</v>
      </c>
      <c r="Y74" s="206">
        <f t="shared" si="328"/>
        <v>79</v>
      </c>
      <c r="Z74" s="487"/>
      <c r="AA74" s="403">
        <f>AA73+1</f>
        <v>2</v>
      </c>
      <c r="AB74" s="404">
        <f t="shared" si="330"/>
        <v>9</v>
      </c>
      <c r="AC74" s="229"/>
      <c r="AD74" s="408">
        <f t="shared" si="253"/>
        <v>0</v>
      </c>
      <c r="AE74" s="450">
        <f t="shared" si="254"/>
        <v>0</v>
      </c>
      <c r="AF74" s="405"/>
      <c r="AG74" s="406"/>
      <c r="AH74" s="406"/>
      <c r="AI74" s="380">
        <f t="shared" si="105"/>
        <v>0</v>
      </c>
      <c r="AJ74" s="380">
        <f t="shared" si="162"/>
        <v>0</v>
      </c>
      <c r="AK74" s="380">
        <f t="shared" si="299"/>
        <v>0.16</v>
      </c>
      <c r="AL74" s="231">
        <f t="shared" si="331"/>
        <v>0</v>
      </c>
      <c r="AM74" s="407">
        <f t="shared" si="300"/>
        <v>3.0400000000000005</v>
      </c>
      <c r="AN74" s="157">
        <f t="shared" si="93"/>
        <v>0</v>
      </c>
      <c r="AO74" s="405"/>
      <c r="AP74" s="380">
        <f t="shared" si="301"/>
        <v>49</v>
      </c>
      <c r="AQ74" s="442">
        <f t="shared" si="332"/>
        <v>0</v>
      </c>
      <c r="AR74" s="474">
        <f t="shared" si="164"/>
        <v>0</v>
      </c>
      <c r="AS74" s="182">
        <f t="shared" si="302"/>
        <v>712</v>
      </c>
      <c r="AT74" s="181">
        <f t="shared" si="333"/>
        <v>0</v>
      </c>
      <c r="AU74" s="206">
        <f t="shared" si="136"/>
        <v>712</v>
      </c>
      <c r="AV74" s="182">
        <f t="shared" si="303"/>
        <v>79</v>
      </c>
      <c r="AW74" s="181">
        <f t="shared" si="334"/>
        <v>0</v>
      </c>
      <c r="AX74" s="206">
        <f t="shared" si="94"/>
        <v>79</v>
      </c>
      <c r="AY74" s="412"/>
      <c r="AZ74" s="403">
        <f>AZ73+1</f>
        <v>2</v>
      </c>
      <c r="BA74" s="404">
        <f t="shared" si="336"/>
        <v>9</v>
      </c>
      <c r="BB74" s="229"/>
      <c r="BC74" s="408">
        <f t="shared" si="337"/>
        <v>0</v>
      </c>
      <c r="BD74" s="450">
        <f t="shared" si="255"/>
        <v>0</v>
      </c>
      <c r="BE74" s="405"/>
      <c r="BF74" s="406"/>
      <c r="BG74" s="406"/>
      <c r="BH74" s="380">
        <f t="shared" si="106"/>
        <v>0</v>
      </c>
      <c r="BI74" s="380">
        <f t="shared" si="151"/>
        <v>0</v>
      </c>
      <c r="BJ74" s="380">
        <f t="shared" si="304"/>
        <v>0.16</v>
      </c>
      <c r="BK74" s="47">
        <f t="shared" si="350"/>
        <v>0</v>
      </c>
      <c r="BL74" s="407">
        <f t="shared" si="305"/>
        <v>3.0400000000000005</v>
      </c>
      <c r="BM74" s="132">
        <f t="shared" si="167"/>
        <v>0</v>
      </c>
      <c r="BN74" s="405"/>
      <c r="BO74" s="380">
        <f t="shared" si="306"/>
        <v>49</v>
      </c>
      <c r="BP74" s="442">
        <f t="shared" si="351"/>
        <v>0</v>
      </c>
      <c r="BQ74" s="753">
        <f t="shared" si="354"/>
        <v>0</v>
      </c>
      <c r="BR74" s="182">
        <f t="shared" si="307"/>
        <v>712</v>
      </c>
      <c r="BS74" s="181">
        <f t="shared" si="338"/>
        <v>0</v>
      </c>
      <c r="BT74" s="206">
        <f t="shared" si="137"/>
        <v>712</v>
      </c>
      <c r="BU74" s="182">
        <f t="shared" si="308"/>
        <v>79</v>
      </c>
      <c r="BV74" s="181">
        <f t="shared" si="339"/>
        <v>0</v>
      </c>
      <c r="BW74" s="206">
        <f t="shared" si="95"/>
        <v>79</v>
      </c>
      <c r="BX74" s="412"/>
      <c r="BY74" s="403">
        <f>BY73+1</f>
        <v>15</v>
      </c>
      <c r="BZ74" s="404">
        <f t="shared" si="341"/>
        <v>9</v>
      </c>
      <c r="CA74" s="229"/>
      <c r="CB74" s="380">
        <f t="shared" si="96"/>
        <v>0</v>
      </c>
      <c r="CC74" s="267">
        <f t="shared" si="107"/>
        <v>0</v>
      </c>
      <c r="CD74" s="405"/>
      <c r="CE74" s="406"/>
      <c r="CF74" s="406"/>
      <c r="CG74" s="380">
        <f t="shared" si="108"/>
        <v>0</v>
      </c>
      <c r="CH74" s="380">
        <f t="shared" si="97"/>
        <v>0</v>
      </c>
      <c r="CI74" s="380">
        <f t="shared" si="309"/>
        <v>0.16</v>
      </c>
      <c r="CJ74" s="410">
        <f t="shared" si="352"/>
        <v>0</v>
      </c>
      <c r="CK74" s="407">
        <f t="shared" si="310"/>
        <v>3.0400000000000005</v>
      </c>
      <c r="CL74" s="424">
        <f t="shared" si="355"/>
        <v>0</v>
      </c>
      <c r="CM74" s="405"/>
      <c r="CN74" s="380">
        <f t="shared" si="311"/>
        <v>49</v>
      </c>
      <c r="CO74" s="408">
        <f t="shared" si="356"/>
        <v>0</v>
      </c>
      <c r="CP74" s="409">
        <f t="shared" si="353"/>
        <v>0</v>
      </c>
      <c r="CQ74" s="182">
        <f t="shared" si="312"/>
        <v>712</v>
      </c>
      <c r="CR74" s="181">
        <f t="shared" si="342"/>
        <v>0</v>
      </c>
      <c r="CS74" s="206">
        <f t="shared" si="138"/>
        <v>712</v>
      </c>
      <c r="CT74" s="182">
        <f t="shared" si="313"/>
        <v>79</v>
      </c>
      <c r="CU74" s="181">
        <f t="shared" si="343"/>
        <v>0</v>
      </c>
      <c r="CV74" s="206">
        <f t="shared" si="344"/>
        <v>79</v>
      </c>
      <c r="CX74" s="403">
        <f>CX73+1</f>
        <v>15</v>
      </c>
      <c r="CY74" s="404">
        <f t="shared" si="346"/>
        <v>9</v>
      </c>
      <c r="CZ74" s="229"/>
      <c r="DA74" s="380">
        <f t="shared" si="228"/>
        <v>0</v>
      </c>
      <c r="DB74" s="267">
        <f t="shared" si="256"/>
        <v>0</v>
      </c>
      <c r="DC74" s="405"/>
      <c r="DD74" s="406"/>
      <c r="DE74" s="406"/>
      <c r="DF74" s="380">
        <f t="shared" si="110"/>
        <v>0</v>
      </c>
      <c r="DG74" s="380">
        <f t="shared" si="99"/>
        <v>0</v>
      </c>
      <c r="DH74" s="380">
        <f t="shared" si="314"/>
        <v>0.16</v>
      </c>
      <c r="DI74" s="410">
        <f t="shared" si="111"/>
        <v>0</v>
      </c>
      <c r="DJ74" s="407">
        <f t="shared" si="315"/>
        <v>3.0400000000000005</v>
      </c>
      <c r="DK74" s="424">
        <f t="shared" si="101"/>
        <v>0</v>
      </c>
      <c r="DL74" s="405"/>
      <c r="DM74" s="380">
        <f t="shared" si="316"/>
        <v>49</v>
      </c>
      <c r="DN74" s="408">
        <f t="shared" si="132"/>
        <v>0</v>
      </c>
      <c r="DO74" s="409">
        <f t="shared" si="102"/>
        <v>0</v>
      </c>
      <c r="DP74" s="182">
        <f t="shared" si="317"/>
        <v>712</v>
      </c>
      <c r="DQ74" s="181">
        <f t="shared" si="347"/>
        <v>0</v>
      </c>
      <c r="DR74" s="206">
        <f t="shared" si="140"/>
        <v>712</v>
      </c>
      <c r="DS74" s="182">
        <f t="shared" si="318"/>
        <v>79</v>
      </c>
      <c r="DT74" s="181">
        <f t="shared" si="348"/>
        <v>0</v>
      </c>
      <c r="DU74" s="206">
        <f t="shared" ref="DU74:DU137" si="357">DS74-DT74</f>
        <v>79</v>
      </c>
    </row>
    <row r="75" spans="1:125" ht="17.25" thickBot="1" x14ac:dyDescent="0.3">
      <c r="B75" s="120">
        <f t="shared" si="319"/>
        <v>3</v>
      </c>
      <c r="C75" s="574">
        <f t="shared" si="320"/>
        <v>9</v>
      </c>
      <c r="D75" s="136"/>
      <c r="E75" s="436">
        <f t="shared" si="321"/>
        <v>0</v>
      </c>
      <c r="F75" s="451">
        <f t="shared" si="292"/>
        <v>0</v>
      </c>
      <c r="G75" s="137"/>
      <c r="H75" s="138"/>
      <c r="I75" s="138"/>
      <c r="J75" s="32">
        <f t="shared" si="103"/>
        <v>0</v>
      </c>
      <c r="K75" s="32">
        <f t="shared" si="322"/>
        <v>0</v>
      </c>
      <c r="L75" s="34">
        <f t="shared" si="293"/>
        <v>0.16</v>
      </c>
      <c r="M75" s="96">
        <f t="shared" si="349"/>
        <v>0</v>
      </c>
      <c r="N75" s="40">
        <f t="shared" si="294"/>
        <v>3.0400000000000005</v>
      </c>
      <c r="O75" s="132">
        <f t="shared" si="323"/>
        <v>0</v>
      </c>
      <c r="P75" s="139"/>
      <c r="Q75" s="32">
        <f t="shared" si="295"/>
        <v>49</v>
      </c>
      <c r="R75" s="592">
        <f t="shared" si="296"/>
        <v>0</v>
      </c>
      <c r="S75" s="471">
        <f t="shared" si="324"/>
        <v>0</v>
      </c>
      <c r="T75" s="56">
        <f t="shared" si="297"/>
        <v>712</v>
      </c>
      <c r="U75" s="109">
        <f t="shared" si="325"/>
        <v>0</v>
      </c>
      <c r="V75" s="63">
        <f t="shared" si="326"/>
        <v>712</v>
      </c>
      <c r="W75" s="15">
        <f t="shared" si="298"/>
        <v>79</v>
      </c>
      <c r="X75" s="109">
        <f t="shared" si="327"/>
        <v>0</v>
      </c>
      <c r="Y75" s="63">
        <f t="shared" si="328"/>
        <v>79</v>
      </c>
      <c r="Z75" s="487"/>
      <c r="AA75" s="120">
        <f t="shared" si="329"/>
        <v>3</v>
      </c>
      <c r="AB75" s="8">
        <f t="shared" si="330"/>
        <v>9</v>
      </c>
      <c r="AC75" s="136"/>
      <c r="AD75" s="54">
        <f t="shared" si="253"/>
        <v>0</v>
      </c>
      <c r="AE75" s="55">
        <f t="shared" si="254"/>
        <v>0</v>
      </c>
      <c r="AF75" s="137"/>
      <c r="AG75" s="138"/>
      <c r="AH75" s="138"/>
      <c r="AI75" s="34">
        <f t="shared" si="105"/>
        <v>0</v>
      </c>
      <c r="AJ75" s="34">
        <f t="shared" si="162"/>
        <v>0</v>
      </c>
      <c r="AK75" s="17">
        <f t="shared" si="299"/>
        <v>0.16</v>
      </c>
      <c r="AL75" s="96">
        <f t="shared" si="331"/>
        <v>0</v>
      </c>
      <c r="AM75" s="33">
        <f t="shared" si="300"/>
        <v>3.0400000000000005</v>
      </c>
      <c r="AN75" s="157">
        <f t="shared" ref="AN75:AN138" si="358">IFERROR((AJ75*100)/$AC$19,0)</f>
        <v>0</v>
      </c>
      <c r="AO75" s="137"/>
      <c r="AP75" s="13">
        <f t="shared" si="301"/>
        <v>49</v>
      </c>
      <c r="AQ75" s="479">
        <f t="shared" si="332"/>
        <v>0</v>
      </c>
      <c r="AR75" s="471">
        <f t="shared" si="164"/>
        <v>0</v>
      </c>
      <c r="AS75" s="56">
        <f t="shared" si="302"/>
        <v>712</v>
      </c>
      <c r="AT75" s="103">
        <f t="shared" si="333"/>
        <v>0</v>
      </c>
      <c r="AU75" s="63">
        <f t="shared" si="136"/>
        <v>712</v>
      </c>
      <c r="AV75" s="12">
        <f t="shared" si="303"/>
        <v>79</v>
      </c>
      <c r="AW75" s="103">
        <f t="shared" si="334"/>
        <v>0</v>
      </c>
      <c r="AX75" s="63">
        <f t="shared" ref="AX75:AX138" si="359">AV75-AW75</f>
        <v>79</v>
      </c>
      <c r="AZ75" s="197">
        <f t="shared" si="335"/>
        <v>3</v>
      </c>
      <c r="BA75" s="8">
        <f t="shared" si="336"/>
        <v>9</v>
      </c>
      <c r="BB75" s="136"/>
      <c r="BC75" s="54">
        <f t="shared" si="337"/>
        <v>0</v>
      </c>
      <c r="BD75" s="55">
        <f t="shared" si="255"/>
        <v>0</v>
      </c>
      <c r="BE75" s="137"/>
      <c r="BF75" s="138"/>
      <c r="BG75" s="138"/>
      <c r="BH75" s="34">
        <f t="shared" si="106"/>
        <v>0</v>
      </c>
      <c r="BI75" s="34">
        <f t="shared" si="151"/>
        <v>0</v>
      </c>
      <c r="BJ75" s="34">
        <f t="shared" si="304"/>
        <v>0.16</v>
      </c>
      <c r="BK75" s="96">
        <f t="shared" si="350"/>
        <v>0</v>
      </c>
      <c r="BL75" s="40">
        <f t="shared" si="305"/>
        <v>3.0400000000000005</v>
      </c>
      <c r="BM75" s="132">
        <f t="shared" si="167"/>
        <v>0</v>
      </c>
      <c r="BN75" s="137"/>
      <c r="BO75" s="32">
        <f t="shared" si="306"/>
        <v>49</v>
      </c>
      <c r="BP75" s="443">
        <f t="shared" si="351"/>
        <v>0</v>
      </c>
      <c r="BQ75" s="750">
        <f t="shared" si="354"/>
        <v>0</v>
      </c>
      <c r="BR75" s="56">
        <f t="shared" si="307"/>
        <v>712</v>
      </c>
      <c r="BS75" s="109">
        <f t="shared" si="338"/>
        <v>0</v>
      </c>
      <c r="BT75" s="63">
        <f t="shared" si="137"/>
        <v>712</v>
      </c>
      <c r="BU75" s="15">
        <f t="shared" si="308"/>
        <v>79</v>
      </c>
      <c r="BV75" s="109">
        <f t="shared" si="339"/>
        <v>0</v>
      </c>
      <c r="BW75" s="63">
        <f t="shared" ref="BW75:BW138" si="360">BU75-BV75</f>
        <v>79</v>
      </c>
      <c r="BY75" s="120">
        <f t="shared" si="340"/>
        <v>16</v>
      </c>
      <c r="BZ75" s="8">
        <f t="shared" si="341"/>
        <v>9</v>
      </c>
      <c r="CA75" s="136"/>
      <c r="CB75" s="32">
        <f t="shared" ref="CB75:CB138" si="361">IFERROR(CC74+CA75,0)</f>
        <v>0</v>
      </c>
      <c r="CC75" s="53">
        <f t="shared" si="107"/>
        <v>0</v>
      </c>
      <c r="CD75" s="421"/>
      <c r="CE75" s="426"/>
      <c r="CF75" s="426"/>
      <c r="CG75" s="34">
        <f t="shared" si="108"/>
        <v>0</v>
      </c>
      <c r="CH75" s="34">
        <f t="shared" ref="CH75:CH138" si="362">CH74+CG75</f>
        <v>0</v>
      </c>
      <c r="CI75" s="17">
        <f t="shared" si="309"/>
        <v>0.16</v>
      </c>
      <c r="CJ75" s="166">
        <f t="shared" si="352"/>
        <v>0</v>
      </c>
      <c r="CK75" s="33">
        <f t="shared" si="310"/>
        <v>3.0400000000000005</v>
      </c>
      <c r="CL75" s="156">
        <f t="shared" si="355"/>
        <v>0</v>
      </c>
      <c r="CM75" s="137"/>
      <c r="CN75" s="32">
        <f t="shared" si="311"/>
        <v>49</v>
      </c>
      <c r="CO75" s="54">
        <f t="shared" si="356"/>
        <v>0</v>
      </c>
      <c r="CP75" s="70">
        <f t="shared" si="353"/>
        <v>0</v>
      </c>
      <c r="CQ75" s="50">
        <f t="shared" si="312"/>
        <v>712</v>
      </c>
      <c r="CR75" s="103">
        <f t="shared" si="342"/>
        <v>0</v>
      </c>
      <c r="CS75" s="63">
        <f t="shared" si="138"/>
        <v>712</v>
      </c>
      <c r="CT75" s="12">
        <f t="shared" si="313"/>
        <v>79</v>
      </c>
      <c r="CU75" s="103">
        <f t="shared" si="343"/>
        <v>0</v>
      </c>
      <c r="CV75" s="63">
        <f t="shared" si="344"/>
        <v>79</v>
      </c>
      <c r="CX75" s="120">
        <f t="shared" si="345"/>
        <v>16</v>
      </c>
      <c r="CY75" s="8">
        <f t="shared" si="346"/>
        <v>9</v>
      </c>
      <c r="CZ75" s="136"/>
      <c r="DA75" s="32">
        <f t="shared" si="228"/>
        <v>0</v>
      </c>
      <c r="DB75" s="53">
        <f t="shared" si="256"/>
        <v>0</v>
      </c>
      <c r="DC75" s="421"/>
      <c r="DD75" s="426"/>
      <c r="DE75" s="426"/>
      <c r="DF75" s="34">
        <f t="shared" si="110"/>
        <v>0</v>
      </c>
      <c r="DG75" s="34">
        <f t="shared" ref="DG75:DG103" si="363">DG74+DF75</f>
        <v>0</v>
      </c>
      <c r="DH75" s="17">
        <f t="shared" si="314"/>
        <v>0.16</v>
      </c>
      <c r="DI75" s="166">
        <f t="shared" si="111"/>
        <v>0</v>
      </c>
      <c r="DJ75" s="33">
        <f t="shared" si="315"/>
        <v>3.0400000000000005</v>
      </c>
      <c r="DK75" s="156">
        <f t="shared" ref="DK75:DK138" si="364">IFERROR((DG75*100)/DA75,0)</f>
        <v>0</v>
      </c>
      <c r="DL75" s="137"/>
      <c r="DM75" s="32">
        <f t="shared" si="316"/>
        <v>49</v>
      </c>
      <c r="DN75" s="54">
        <f t="shared" si="132"/>
        <v>0</v>
      </c>
      <c r="DO75" s="70">
        <f t="shared" ref="DO75:DO138" si="365">DO74+DN75</f>
        <v>0</v>
      </c>
      <c r="DP75" s="50">
        <f t="shared" si="317"/>
        <v>712</v>
      </c>
      <c r="DQ75" s="103">
        <f t="shared" si="347"/>
        <v>0</v>
      </c>
      <c r="DR75" s="63">
        <f t="shared" si="140"/>
        <v>712</v>
      </c>
      <c r="DS75" s="12">
        <f t="shared" si="318"/>
        <v>79</v>
      </c>
      <c r="DT75" s="103">
        <f t="shared" si="348"/>
        <v>0</v>
      </c>
      <c r="DU75" s="63">
        <f t="shared" si="357"/>
        <v>79</v>
      </c>
    </row>
    <row r="76" spans="1:125" ht="17.25" thickBot="1" x14ac:dyDescent="0.3">
      <c r="B76" s="118">
        <v>4</v>
      </c>
      <c r="C76" s="575">
        <v>10</v>
      </c>
      <c r="D76" s="129"/>
      <c r="E76" s="400">
        <f t="shared" si="321"/>
        <v>0</v>
      </c>
      <c r="F76" s="561">
        <f t="shared" si="292"/>
        <v>0</v>
      </c>
      <c r="G76" s="130"/>
      <c r="H76" s="131"/>
      <c r="I76" s="131"/>
      <c r="J76" s="11">
        <f t="shared" si="103"/>
        <v>0</v>
      </c>
      <c r="K76" s="11">
        <f t="shared" si="322"/>
        <v>0</v>
      </c>
      <c r="L76" s="16">
        <f t="shared" si="293"/>
        <v>0.16</v>
      </c>
      <c r="M76" s="153">
        <f t="shared" si="349"/>
        <v>0</v>
      </c>
      <c r="N76" s="154">
        <f t="shared" si="294"/>
        <v>3.2000000000000006</v>
      </c>
      <c r="O76" s="132">
        <f t="shared" si="323"/>
        <v>0</v>
      </c>
      <c r="P76" s="158"/>
      <c r="Q76" s="11">
        <f t="shared" si="295"/>
        <v>52</v>
      </c>
      <c r="R76" s="481">
        <f t="shared" si="296"/>
        <v>0</v>
      </c>
      <c r="S76" s="469">
        <f t="shared" si="324"/>
        <v>0</v>
      </c>
      <c r="T76" s="58">
        <f t="shared" si="297"/>
        <v>802</v>
      </c>
      <c r="U76" s="131"/>
      <c r="V76" s="41">
        <f t="shared" si="326"/>
        <v>802</v>
      </c>
      <c r="W76" s="18">
        <f t="shared" si="298"/>
        <v>80</v>
      </c>
      <c r="X76" s="131"/>
      <c r="Y76" s="41">
        <f t="shared" si="328"/>
        <v>80</v>
      </c>
      <c r="Z76" s="487"/>
      <c r="AA76" s="118">
        <v>4</v>
      </c>
      <c r="AB76" s="9">
        <v>10</v>
      </c>
      <c r="AC76" s="129"/>
      <c r="AD76" s="43">
        <f t="shared" si="253"/>
        <v>0</v>
      </c>
      <c r="AE76" s="44">
        <f t="shared" si="254"/>
        <v>0</v>
      </c>
      <c r="AF76" s="130"/>
      <c r="AG76" s="131"/>
      <c r="AH76" s="131"/>
      <c r="AI76" s="11">
        <f t="shared" si="105"/>
        <v>0</v>
      </c>
      <c r="AJ76" s="11">
        <f t="shared" si="162"/>
        <v>0</v>
      </c>
      <c r="AK76" s="16">
        <f t="shared" si="299"/>
        <v>0.16</v>
      </c>
      <c r="AL76" s="153">
        <f t="shared" si="331"/>
        <v>0</v>
      </c>
      <c r="AM76" s="154">
        <f t="shared" si="300"/>
        <v>3.2000000000000006</v>
      </c>
      <c r="AN76" s="157">
        <f t="shared" si="358"/>
        <v>0</v>
      </c>
      <c r="AO76" s="130"/>
      <c r="AP76" s="11">
        <f t="shared" si="301"/>
        <v>52</v>
      </c>
      <c r="AQ76" s="481">
        <f t="shared" si="332"/>
        <v>0</v>
      </c>
      <c r="AR76" s="469">
        <f t="shared" si="164"/>
        <v>0</v>
      </c>
      <c r="AS76" s="61">
        <f t="shared" si="302"/>
        <v>802</v>
      </c>
      <c r="AT76" s="131"/>
      <c r="AU76" s="41">
        <f t="shared" si="136"/>
        <v>802</v>
      </c>
      <c r="AV76" s="18">
        <f t="shared" si="303"/>
        <v>80</v>
      </c>
      <c r="AW76" s="131"/>
      <c r="AX76" s="41">
        <f t="shared" si="359"/>
        <v>80</v>
      </c>
      <c r="AZ76" s="198">
        <v>4</v>
      </c>
      <c r="BA76" s="38">
        <v>10</v>
      </c>
      <c r="BB76" s="143"/>
      <c r="BC76" s="60">
        <f t="shared" si="337"/>
        <v>0</v>
      </c>
      <c r="BD76" s="72">
        <f t="shared" si="255"/>
        <v>0</v>
      </c>
      <c r="BE76" s="144"/>
      <c r="BF76" s="141"/>
      <c r="BG76" s="141"/>
      <c r="BH76" s="17">
        <f t="shared" si="106"/>
        <v>0</v>
      </c>
      <c r="BI76" s="17">
        <f t="shared" si="151"/>
        <v>0</v>
      </c>
      <c r="BJ76" s="31">
        <f t="shared" si="304"/>
        <v>0.16</v>
      </c>
      <c r="BK76" s="235">
        <f t="shared" si="350"/>
        <v>0</v>
      </c>
      <c r="BL76" s="37">
        <f t="shared" si="305"/>
        <v>3.2000000000000006</v>
      </c>
      <c r="BM76" s="132">
        <f t="shared" si="167"/>
        <v>0</v>
      </c>
      <c r="BN76" s="144"/>
      <c r="BO76" s="17">
        <f t="shared" si="306"/>
        <v>52</v>
      </c>
      <c r="BP76" s="479">
        <f t="shared" si="351"/>
        <v>0</v>
      </c>
      <c r="BQ76" s="751">
        <f t="shared" si="354"/>
        <v>0</v>
      </c>
      <c r="BR76" s="61">
        <f t="shared" si="307"/>
        <v>802</v>
      </c>
      <c r="BS76" s="141"/>
      <c r="BT76" s="71">
        <f t="shared" si="137"/>
        <v>802</v>
      </c>
      <c r="BU76" s="12">
        <f t="shared" si="308"/>
        <v>80</v>
      </c>
      <c r="BV76" s="141"/>
      <c r="BW76" s="71">
        <f t="shared" si="360"/>
        <v>80</v>
      </c>
      <c r="BY76" s="118">
        <v>17</v>
      </c>
      <c r="BZ76" s="9">
        <v>10</v>
      </c>
      <c r="CA76" s="129"/>
      <c r="CB76" s="11">
        <f t="shared" si="361"/>
        <v>0</v>
      </c>
      <c r="CC76" s="41">
        <f t="shared" si="107"/>
        <v>0</v>
      </c>
      <c r="CD76" s="398"/>
      <c r="CE76" s="399"/>
      <c r="CF76" s="399"/>
      <c r="CG76" s="11">
        <f t="shared" si="108"/>
        <v>0</v>
      </c>
      <c r="CH76" s="11">
        <f t="shared" si="362"/>
        <v>0</v>
      </c>
      <c r="CI76" s="16">
        <f t="shared" si="309"/>
        <v>0.16</v>
      </c>
      <c r="CJ76" s="231">
        <f t="shared" si="352"/>
        <v>0</v>
      </c>
      <c r="CK76" s="154">
        <f t="shared" si="310"/>
        <v>3.2000000000000006</v>
      </c>
      <c r="CL76" s="155">
        <f t="shared" si="355"/>
        <v>0</v>
      </c>
      <c r="CM76" s="130"/>
      <c r="CN76" s="17">
        <f t="shared" si="311"/>
        <v>52</v>
      </c>
      <c r="CO76" s="60">
        <f t="shared" si="356"/>
        <v>0</v>
      </c>
      <c r="CP76" s="377">
        <f t="shared" si="353"/>
        <v>0</v>
      </c>
      <c r="CQ76" s="58">
        <f t="shared" si="312"/>
        <v>802</v>
      </c>
      <c r="CR76" s="131"/>
      <c r="CS76" s="41">
        <f t="shared" si="138"/>
        <v>802</v>
      </c>
      <c r="CT76" s="18">
        <f t="shared" si="313"/>
        <v>80</v>
      </c>
      <c r="CU76" s="131"/>
      <c r="CV76" s="41">
        <f t="shared" si="344"/>
        <v>80</v>
      </c>
      <c r="CX76" s="118">
        <v>17</v>
      </c>
      <c r="CY76" s="9">
        <v>10</v>
      </c>
      <c r="CZ76" s="129"/>
      <c r="DA76" s="11">
        <f t="shared" si="228"/>
        <v>0</v>
      </c>
      <c r="DB76" s="41">
        <f t="shared" si="256"/>
        <v>0</v>
      </c>
      <c r="DC76" s="398"/>
      <c r="DD76" s="399"/>
      <c r="DE76" s="399"/>
      <c r="DF76" s="11">
        <f t="shared" si="110"/>
        <v>0</v>
      </c>
      <c r="DG76" s="11">
        <f t="shared" si="363"/>
        <v>0</v>
      </c>
      <c r="DH76" s="16">
        <f t="shared" si="314"/>
        <v>0.16</v>
      </c>
      <c r="DI76" s="231">
        <f t="shared" si="111"/>
        <v>0</v>
      </c>
      <c r="DJ76" s="154">
        <f t="shared" si="315"/>
        <v>3.2000000000000006</v>
      </c>
      <c r="DK76" s="155">
        <f t="shared" si="364"/>
        <v>0</v>
      </c>
      <c r="DL76" s="130"/>
      <c r="DM76" s="17">
        <f t="shared" si="316"/>
        <v>52</v>
      </c>
      <c r="DN76" s="60">
        <f t="shared" si="132"/>
        <v>0</v>
      </c>
      <c r="DO76" s="377">
        <f t="shared" si="365"/>
        <v>0</v>
      </c>
      <c r="DP76" s="58">
        <f t="shared" si="317"/>
        <v>802</v>
      </c>
      <c r="DQ76" s="131"/>
      <c r="DR76" s="41">
        <f t="shared" si="140"/>
        <v>802</v>
      </c>
      <c r="DS76" s="18">
        <f t="shared" si="318"/>
        <v>80</v>
      </c>
      <c r="DT76" s="131"/>
      <c r="DU76" s="41">
        <f t="shared" si="357"/>
        <v>80</v>
      </c>
    </row>
    <row r="77" spans="1:125" ht="17.25" thickBot="1" x14ac:dyDescent="0.3">
      <c r="B77" s="120">
        <f>B76+1</f>
        <v>5</v>
      </c>
      <c r="C77" s="570">
        <f>C76</f>
        <v>10</v>
      </c>
      <c r="D77" s="133"/>
      <c r="E77" s="408">
        <f t="shared" si="321"/>
        <v>0</v>
      </c>
      <c r="F77" s="562">
        <f t="shared" si="292"/>
        <v>0</v>
      </c>
      <c r="G77" s="134"/>
      <c r="H77" s="135"/>
      <c r="I77" s="135"/>
      <c r="J77" s="14">
        <f t="shared" ref="J77:J131" si="366">SUM(G77:I77)</f>
        <v>0</v>
      </c>
      <c r="K77" s="14">
        <f t="shared" si="322"/>
        <v>0</v>
      </c>
      <c r="L77" s="14">
        <f t="shared" si="293"/>
        <v>0.16</v>
      </c>
      <c r="M77" s="47">
        <f t="shared" si="349"/>
        <v>0</v>
      </c>
      <c r="N77" s="35">
        <f t="shared" si="294"/>
        <v>3.2000000000000006</v>
      </c>
      <c r="O77" s="132">
        <f t="shared" si="323"/>
        <v>0</v>
      </c>
      <c r="P77" s="142"/>
      <c r="Q77" s="14">
        <f t="shared" si="295"/>
        <v>52</v>
      </c>
      <c r="R77" s="482">
        <f t="shared" si="296"/>
        <v>0</v>
      </c>
      <c r="S77" s="470">
        <f t="shared" si="324"/>
        <v>0</v>
      </c>
      <c r="T77" s="51">
        <f t="shared" si="297"/>
        <v>802</v>
      </c>
      <c r="U77" s="103">
        <f>U76</f>
        <v>0</v>
      </c>
      <c r="V77" s="46">
        <f t="shared" si="326"/>
        <v>802</v>
      </c>
      <c r="W77" s="51">
        <f t="shared" si="298"/>
        <v>80</v>
      </c>
      <c r="X77" s="103">
        <f>X76</f>
        <v>0</v>
      </c>
      <c r="Y77" s="46">
        <f t="shared" si="328"/>
        <v>80</v>
      </c>
      <c r="Z77" s="487"/>
      <c r="AA77" s="120">
        <f>AA76+1</f>
        <v>5</v>
      </c>
      <c r="AB77" s="7">
        <f>AB76</f>
        <v>10</v>
      </c>
      <c r="AC77" s="133"/>
      <c r="AD77" s="48">
        <f t="shared" si="253"/>
        <v>0</v>
      </c>
      <c r="AE77" s="49">
        <f t="shared" si="254"/>
        <v>0</v>
      </c>
      <c r="AF77" s="134"/>
      <c r="AG77" s="135"/>
      <c r="AH77" s="135"/>
      <c r="AI77" s="14">
        <f t="shared" ref="AI77:AI104" si="367">SUM(AF77:AH77)</f>
        <v>0</v>
      </c>
      <c r="AJ77" s="14">
        <f t="shared" si="162"/>
        <v>0</v>
      </c>
      <c r="AK77" s="14">
        <f t="shared" si="299"/>
        <v>0.16</v>
      </c>
      <c r="AL77" s="47">
        <f t="shared" si="331"/>
        <v>0</v>
      </c>
      <c r="AM77" s="35">
        <f t="shared" si="300"/>
        <v>3.2000000000000006</v>
      </c>
      <c r="AN77" s="157">
        <f t="shared" si="358"/>
        <v>0</v>
      </c>
      <c r="AO77" s="134"/>
      <c r="AP77" s="14">
        <f t="shared" si="301"/>
        <v>52</v>
      </c>
      <c r="AQ77" s="482">
        <f t="shared" si="332"/>
        <v>0</v>
      </c>
      <c r="AR77" s="470">
        <f t="shared" si="164"/>
        <v>0</v>
      </c>
      <c r="AS77" s="51">
        <f t="shared" si="302"/>
        <v>802</v>
      </c>
      <c r="AT77" s="103">
        <f>AT76</f>
        <v>0</v>
      </c>
      <c r="AU77" s="46">
        <f t="shared" si="136"/>
        <v>802</v>
      </c>
      <c r="AV77" s="51">
        <f t="shared" si="303"/>
        <v>80</v>
      </c>
      <c r="AW77" s="103">
        <f>AW76</f>
        <v>0</v>
      </c>
      <c r="AX77" s="46">
        <f t="shared" si="359"/>
        <v>80</v>
      </c>
      <c r="AZ77" s="120">
        <f>AZ76+1</f>
        <v>5</v>
      </c>
      <c r="BA77" s="7">
        <f>BA76</f>
        <v>10</v>
      </c>
      <c r="BB77" s="133"/>
      <c r="BC77" s="48">
        <f t="shared" si="337"/>
        <v>0</v>
      </c>
      <c r="BD77" s="49">
        <f t="shared" si="255"/>
        <v>0</v>
      </c>
      <c r="BE77" s="134"/>
      <c r="BF77" s="135"/>
      <c r="BG77" s="135"/>
      <c r="BH77" s="14">
        <f t="shared" ref="BH77:BH104" si="368">SUM(BE77:BG77)</f>
        <v>0</v>
      </c>
      <c r="BI77" s="14">
        <f t="shared" si="151"/>
        <v>0</v>
      </c>
      <c r="BJ77" s="14">
        <f t="shared" si="304"/>
        <v>0.16</v>
      </c>
      <c r="BK77" s="47">
        <f t="shared" si="350"/>
        <v>0</v>
      </c>
      <c r="BL77" s="35">
        <f t="shared" si="305"/>
        <v>3.2000000000000006</v>
      </c>
      <c r="BM77" s="132">
        <f t="shared" si="167"/>
        <v>0</v>
      </c>
      <c r="BN77" s="134"/>
      <c r="BO77" s="14">
        <f t="shared" si="306"/>
        <v>52</v>
      </c>
      <c r="BP77" s="442">
        <f t="shared" si="351"/>
        <v>0</v>
      </c>
      <c r="BQ77" s="747">
        <f t="shared" si="354"/>
        <v>0</v>
      </c>
      <c r="BR77" s="51">
        <f t="shared" si="307"/>
        <v>802</v>
      </c>
      <c r="BS77" s="103">
        <f>BS76</f>
        <v>0</v>
      </c>
      <c r="BT77" s="46">
        <f t="shared" si="137"/>
        <v>802</v>
      </c>
      <c r="BU77" s="51">
        <f t="shared" si="308"/>
        <v>80</v>
      </c>
      <c r="BV77" s="103">
        <f>BV76</f>
        <v>0</v>
      </c>
      <c r="BW77" s="46">
        <f t="shared" si="360"/>
        <v>80</v>
      </c>
      <c r="BY77" s="120">
        <f>BY76+1</f>
        <v>18</v>
      </c>
      <c r="BZ77" s="7">
        <f>BZ76</f>
        <v>10</v>
      </c>
      <c r="CA77" s="133"/>
      <c r="CB77" s="14">
        <f t="shared" si="361"/>
        <v>0</v>
      </c>
      <c r="CC77" s="46">
        <f t="shared" ref="CC77:CC138" si="369">IFERROR(CB77-CG77,0)</f>
        <v>0</v>
      </c>
      <c r="CD77" s="405"/>
      <c r="CE77" s="406"/>
      <c r="CF77" s="406"/>
      <c r="CG77" s="14">
        <f t="shared" ref="CG77:CG138" si="370">SUM(CD77:CF77)</f>
        <v>0</v>
      </c>
      <c r="CH77" s="14">
        <f t="shared" si="362"/>
        <v>0</v>
      </c>
      <c r="CI77" s="14">
        <f t="shared" si="309"/>
        <v>0.16</v>
      </c>
      <c r="CJ77" s="47">
        <f t="shared" si="352"/>
        <v>0</v>
      </c>
      <c r="CK77" s="35">
        <f t="shared" si="310"/>
        <v>3.2000000000000006</v>
      </c>
      <c r="CL77" s="157">
        <f t="shared" si="355"/>
        <v>0</v>
      </c>
      <c r="CM77" s="134"/>
      <c r="CN77" s="14">
        <f t="shared" si="311"/>
        <v>52</v>
      </c>
      <c r="CO77" s="48">
        <f t="shared" si="356"/>
        <v>0</v>
      </c>
      <c r="CP77" s="68">
        <f t="shared" si="353"/>
        <v>0</v>
      </c>
      <c r="CQ77" s="51">
        <f t="shared" si="312"/>
        <v>802</v>
      </c>
      <c r="CR77" s="103">
        <f>CR76</f>
        <v>0</v>
      </c>
      <c r="CS77" s="46">
        <f t="shared" si="138"/>
        <v>802</v>
      </c>
      <c r="CT77" s="50">
        <f t="shared" si="313"/>
        <v>80</v>
      </c>
      <c r="CU77" s="103">
        <f>CU76</f>
        <v>0</v>
      </c>
      <c r="CV77" s="46">
        <f t="shared" si="344"/>
        <v>80</v>
      </c>
      <c r="CX77" s="120">
        <f>CX76+1</f>
        <v>18</v>
      </c>
      <c r="CY77" s="7">
        <f>CY76</f>
        <v>10</v>
      </c>
      <c r="CZ77" s="133"/>
      <c r="DA77" s="14">
        <f t="shared" si="228"/>
        <v>0</v>
      </c>
      <c r="DB77" s="46">
        <f t="shared" si="256"/>
        <v>0</v>
      </c>
      <c r="DC77" s="405"/>
      <c r="DD77" s="406"/>
      <c r="DE77" s="406"/>
      <c r="DF77" s="14">
        <f t="shared" ref="DF77:DF138" si="371">SUM(DC77:DE77)</f>
        <v>0</v>
      </c>
      <c r="DG77" s="14">
        <f t="shared" si="363"/>
        <v>0</v>
      </c>
      <c r="DH77" s="14">
        <f t="shared" si="314"/>
        <v>0.16</v>
      </c>
      <c r="DI77" s="47">
        <f t="shared" ref="DI77:DI128" si="372">IFERROR((DF77*1000)/DA77,0)</f>
        <v>0</v>
      </c>
      <c r="DJ77" s="35">
        <f t="shared" si="315"/>
        <v>3.2000000000000006</v>
      </c>
      <c r="DK77" s="157">
        <f t="shared" si="364"/>
        <v>0</v>
      </c>
      <c r="DL77" s="134"/>
      <c r="DM77" s="14">
        <f t="shared" si="316"/>
        <v>52</v>
      </c>
      <c r="DN77" s="48">
        <f t="shared" si="132"/>
        <v>0</v>
      </c>
      <c r="DO77" s="68">
        <f t="shared" si="365"/>
        <v>0</v>
      </c>
      <c r="DP77" s="51">
        <f t="shared" si="317"/>
        <v>802</v>
      </c>
      <c r="DQ77" s="103">
        <f>DQ76</f>
        <v>0</v>
      </c>
      <c r="DR77" s="46">
        <f t="shared" si="140"/>
        <v>802</v>
      </c>
      <c r="DS77" s="50">
        <f t="shared" si="318"/>
        <v>80</v>
      </c>
      <c r="DT77" s="103">
        <f>DT76</f>
        <v>0</v>
      </c>
      <c r="DU77" s="46">
        <f t="shared" si="357"/>
        <v>80</v>
      </c>
    </row>
    <row r="78" spans="1:125" ht="17.25" thickBot="1" x14ac:dyDescent="0.3">
      <c r="B78" s="120">
        <f t="shared" ref="B78:B82" si="373">B77+1</f>
        <v>6</v>
      </c>
      <c r="C78" s="570">
        <f t="shared" ref="C78:C82" si="374">C77</f>
        <v>10</v>
      </c>
      <c r="D78" s="133"/>
      <c r="E78" s="408">
        <f t="shared" si="321"/>
        <v>0</v>
      </c>
      <c r="F78" s="562">
        <f t="shared" si="292"/>
        <v>0</v>
      </c>
      <c r="G78" s="134"/>
      <c r="H78" s="135"/>
      <c r="I78" s="135"/>
      <c r="J78" s="14">
        <f t="shared" si="366"/>
        <v>0</v>
      </c>
      <c r="K78" s="14">
        <f t="shared" si="322"/>
        <v>0</v>
      </c>
      <c r="L78" s="14">
        <f t="shared" si="293"/>
        <v>0.16</v>
      </c>
      <c r="M78" s="231">
        <f t="shared" si="349"/>
        <v>0</v>
      </c>
      <c r="N78" s="35">
        <f t="shared" si="294"/>
        <v>3.2000000000000006</v>
      </c>
      <c r="O78" s="132">
        <f t="shared" si="323"/>
        <v>0</v>
      </c>
      <c r="P78" s="142"/>
      <c r="Q78" s="14">
        <f t="shared" si="295"/>
        <v>52</v>
      </c>
      <c r="R78" s="482">
        <f t="shared" si="296"/>
        <v>0</v>
      </c>
      <c r="S78" s="470">
        <f t="shared" si="324"/>
        <v>0</v>
      </c>
      <c r="T78" s="51">
        <f t="shared" si="297"/>
        <v>802</v>
      </c>
      <c r="U78" s="103">
        <f t="shared" ref="U78:U82" si="375">U77</f>
        <v>0</v>
      </c>
      <c r="V78" s="46">
        <f t="shared" si="326"/>
        <v>802</v>
      </c>
      <c r="W78" s="51">
        <f t="shared" si="298"/>
        <v>80</v>
      </c>
      <c r="X78" s="103">
        <f t="shared" ref="X78:X82" si="376">X77</f>
        <v>0</v>
      </c>
      <c r="Y78" s="46">
        <f t="shared" si="328"/>
        <v>80</v>
      </c>
      <c r="Z78" s="487"/>
      <c r="AA78" s="120">
        <f t="shared" ref="AA78:AA82" si="377">AA77+1</f>
        <v>6</v>
      </c>
      <c r="AB78" s="7">
        <f t="shared" ref="AB78:AB82" si="378">AB77</f>
        <v>10</v>
      </c>
      <c r="AC78" s="133"/>
      <c r="AD78" s="48">
        <f t="shared" si="253"/>
        <v>0</v>
      </c>
      <c r="AE78" s="447">
        <f t="shared" si="254"/>
        <v>0</v>
      </c>
      <c r="AF78" s="134"/>
      <c r="AG78" s="135"/>
      <c r="AH78" s="135"/>
      <c r="AI78" s="14">
        <f t="shared" si="367"/>
        <v>0</v>
      </c>
      <c r="AJ78" s="14">
        <f t="shared" si="162"/>
        <v>0</v>
      </c>
      <c r="AK78" s="14">
        <f t="shared" si="299"/>
        <v>0.16</v>
      </c>
      <c r="AL78" s="231">
        <f t="shared" si="331"/>
        <v>0</v>
      </c>
      <c r="AM78" s="35">
        <f t="shared" si="300"/>
        <v>3.2000000000000006</v>
      </c>
      <c r="AN78" s="157">
        <f t="shared" si="358"/>
        <v>0</v>
      </c>
      <c r="AO78" s="134"/>
      <c r="AP78" s="14">
        <f t="shared" si="301"/>
        <v>52</v>
      </c>
      <c r="AQ78" s="482">
        <f t="shared" si="332"/>
        <v>0</v>
      </c>
      <c r="AR78" s="470">
        <f t="shared" si="164"/>
        <v>0</v>
      </c>
      <c r="AS78" s="51">
        <f t="shared" si="302"/>
        <v>802</v>
      </c>
      <c r="AT78" s="103">
        <f t="shared" ref="AT78:AT82" si="379">AT77</f>
        <v>0</v>
      </c>
      <c r="AU78" s="46">
        <f t="shared" si="136"/>
        <v>802</v>
      </c>
      <c r="AV78" s="51">
        <f t="shared" si="303"/>
        <v>80</v>
      </c>
      <c r="AW78" s="103">
        <f t="shared" ref="AW78:AW82" si="380">AW77</f>
        <v>0</v>
      </c>
      <c r="AX78" s="46">
        <f t="shared" si="359"/>
        <v>80</v>
      </c>
      <c r="AZ78" s="120">
        <f t="shared" ref="AZ78:AZ82" si="381">AZ77+1</f>
        <v>6</v>
      </c>
      <c r="BA78" s="7">
        <f t="shared" ref="BA78:BA82" si="382">BA77</f>
        <v>10</v>
      </c>
      <c r="BB78" s="133"/>
      <c r="BC78" s="48">
        <f t="shared" si="337"/>
        <v>0</v>
      </c>
      <c r="BD78" s="447">
        <f t="shared" si="255"/>
        <v>0</v>
      </c>
      <c r="BE78" s="134"/>
      <c r="BF78" s="135"/>
      <c r="BG78" s="135"/>
      <c r="BH78" s="14">
        <f t="shared" si="368"/>
        <v>0</v>
      </c>
      <c r="BI78" s="14">
        <f t="shared" si="151"/>
        <v>0</v>
      </c>
      <c r="BJ78" s="14">
        <f t="shared" si="304"/>
        <v>0.16</v>
      </c>
      <c r="BK78" s="47">
        <f t="shared" si="350"/>
        <v>0</v>
      </c>
      <c r="BL78" s="35">
        <f t="shared" si="305"/>
        <v>3.2000000000000006</v>
      </c>
      <c r="BM78" s="132">
        <f t="shared" si="167"/>
        <v>0</v>
      </c>
      <c r="BN78" s="134"/>
      <c r="BO78" s="14">
        <f t="shared" si="306"/>
        <v>52</v>
      </c>
      <c r="BP78" s="442">
        <f t="shared" si="351"/>
        <v>0</v>
      </c>
      <c r="BQ78" s="747">
        <f t="shared" si="354"/>
        <v>0</v>
      </c>
      <c r="BR78" s="51">
        <f t="shared" si="307"/>
        <v>802</v>
      </c>
      <c r="BS78" s="103">
        <f t="shared" ref="BS78:BS82" si="383">BS77</f>
        <v>0</v>
      </c>
      <c r="BT78" s="46">
        <f t="shared" si="137"/>
        <v>802</v>
      </c>
      <c r="BU78" s="51">
        <f t="shared" si="308"/>
        <v>80</v>
      </c>
      <c r="BV78" s="103">
        <f t="shared" ref="BV78:BV82" si="384">BV77</f>
        <v>0</v>
      </c>
      <c r="BW78" s="46">
        <f t="shared" si="360"/>
        <v>80</v>
      </c>
      <c r="BY78" s="120">
        <f t="shared" ref="BY78:BY81" si="385">BY77+1</f>
        <v>19</v>
      </c>
      <c r="BZ78" s="7">
        <f t="shared" ref="BZ78:BZ82" si="386">BZ77</f>
        <v>10</v>
      </c>
      <c r="CA78" s="133"/>
      <c r="CB78" s="14">
        <f t="shared" si="361"/>
        <v>0</v>
      </c>
      <c r="CC78" s="62">
        <f t="shared" si="369"/>
        <v>0</v>
      </c>
      <c r="CD78" s="405"/>
      <c r="CE78" s="406"/>
      <c r="CF78" s="406"/>
      <c r="CG78" s="14">
        <f t="shared" si="370"/>
        <v>0</v>
      </c>
      <c r="CH78" s="14">
        <f t="shared" si="362"/>
        <v>0</v>
      </c>
      <c r="CI78" s="14">
        <f t="shared" si="309"/>
        <v>0.16</v>
      </c>
      <c r="CJ78" s="47">
        <f t="shared" si="352"/>
        <v>0</v>
      </c>
      <c r="CK78" s="35">
        <f t="shared" si="310"/>
        <v>3.2000000000000006</v>
      </c>
      <c r="CL78" s="157">
        <f t="shared" si="355"/>
        <v>0</v>
      </c>
      <c r="CM78" s="134"/>
      <c r="CN78" s="14">
        <f t="shared" si="311"/>
        <v>52</v>
      </c>
      <c r="CO78" s="48">
        <f t="shared" si="356"/>
        <v>0</v>
      </c>
      <c r="CP78" s="68">
        <f t="shared" si="353"/>
        <v>0</v>
      </c>
      <c r="CQ78" s="51">
        <f t="shared" si="312"/>
        <v>802</v>
      </c>
      <c r="CR78" s="103">
        <f t="shared" ref="CR78:CR82" si="387">CR77</f>
        <v>0</v>
      </c>
      <c r="CS78" s="46">
        <f t="shared" si="138"/>
        <v>802</v>
      </c>
      <c r="CT78" s="51">
        <f t="shared" si="313"/>
        <v>80</v>
      </c>
      <c r="CU78" s="103">
        <f t="shared" ref="CU78:CU82" si="388">CU77</f>
        <v>0</v>
      </c>
      <c r="CV78" s="46">
        <f t="shared" si="344"/>
        <v>80</v>
      </c>
      <c r="CX78" s="120">
        <f t="shared" ref="CX78:CX81" si="389">CX77+1</f>
        <v>19</v>
      </c>
      <c r="CY78" s="7">
        <f t="shared" ref="CY78:CY82" si="390">CY77</f>
        <v>10</v>
      </c>
      <c r="CZ78" s="133"/>
      <c r="DA78" s="14">
        <f t="shared" si="228"/>
        <v>0</v>
      </c>
      <c r="DB78" s="62">
        <f t="shared" si="256"/>
        <v>0</v>
      </c>
      <c r="DC78" s="405"/>
      <c r="DD78" s="406"/>
      <c r="DE78" s="406"/>
      <c r="DF78" s="14">
        <f t="shared" si="371"/>
        <v>0</v>
      </c>
      <c r="DG78" s="14">
        <f t="shared" si="363"/>
        <v>0</v>
      </c>
      <c r="DH78" s="14">
        <f t="shared" si="314"/>
        <v>0.16</v>
      </c>
      <c r="DI78" s="47">
        <f t="shared" si="372"/>
        <v>0</v>
      </c>
      <c r="DJ78" s="35">
        <f t="shared" si="315"/>
        <v>3.2000000000000006</v>
      </c>
      <c r="DK78" s="157">
        <f t="shared" si="364"/>
        <v>0</v>
      </c>
      <c r="DL78" s="134"/>
      <c r="DM78" s="14">
        <f t="shared" si="316"/>
        <v>52</v>
      </c>
      <c r="DN78" s="48">
        <f t="shared" si="132"/>
        <v>0</v>
      </c>
      <c r="DO78" s="68">
        <f t="shared" si="365"/>
        <v>0</v>
      </c>
      <c r="DP78" s="51">
        <f t="shared" si="317"/>
        <v>802</v>
      </c>
      <c r="DQ78" s="103">
        <f t="shared" ref="DQ78:DQ82" si="391">DQ77</f>
        <v>0</v>
      </c>
      <c r="DR78" s="46">
        <f t="shared" si="140"/>
        <v>802</v>
      </c>
      <c r="DS78" s="51">
        <f t="shared" si="318"/>
        <v>80</v>
      </c>
      <c r="DT78" s="103">
        <f t="shared" ref="DT78:DT82" si="392">DT77</f>
        <v>0</v>
      </c>
      <c r="DU78" s="46">
        <f t="shared" si="357"/>
        <v>80</v>
      </c>
    </row>
    <row r="79" spans="1:125" ht="17.25" thickBot="1" x14ac:dyDescent="0.3">
      <c r="B79" s="120">
        <f t="shared" si="373"/>
        <v>7</v>
      </c>
      <c r="C79" s="570">
        <f t="shared" si="374"/>
        <v>10</v>
      </c>
      <c r="D79" s="133"/>
      <c r="E79" s="408">
        <f t="shared" si="321"/>
        <v>0</v>
      </c>
      <c r="F79" s="562">
        <f t="shared" si="292"/>
        <v>0</v>
      </c>
      <c r="G79" s="134"/>
      <c r="H79" s="141"/>
      <c r="I79" s="141"/>
      <c r="J79" s="17">
        <f t="shared" si="366"/>
        <v>0</v>
      </c>
      <c r="K79" s="17">
        <f t="shared" si="322"/>
        <v>0</v>
      </c>
      <c r="L79" s="14">
        <f t="shared" si="293"/>
        <v>0.16</v>
      </c>
      <c r="M79" s="47">
        <f t="shared" si="349"/>
        <v>0</v>
      </c>
      <c r="N79" s="35">
        <f t="shared" si="294"/>
        <v>3.2000000000000006</v>
      </c>
      <c r="O79" s="132">
        <f t="shared" si="323"/>
        <v>0</v>
      </c>
      <c r="P79" s="142"/>
      <c r="Q79" s="14">
        <f t="shared" si="295"/>
        <v>52</v>
      </c>
      <c r="R79" s="482">
        <f t="shared" si="296"/>
        <v>0</v>
      </c>
      <c r="S79" s="470">
        <f t="shared" si="324"/>
        <v>0</v>
      </c>
      <c r="T79" s="51">
        <f t="shared" si="297"/>
        <v>802</v>
      </c>
      <c r="U79" s="103">
        <f t="shared" si="375"/>
        <v>0</v>
      </c>
      <c r="V79" s="46">
        <f t="shared" si="326"/>
        <v>802</v>
      </c>
      <c r="W79" s="51">
        <f t="shared" si="298"/>
        <v>80</v>
      </c>
      <c r="X79" s="103">
        <f t="shared" si="376"/>
        <v>0</v>
      </c>
      <c r="Y79" s="62">
        <f t="shared" si="328"/>
        <v>80</v>
      </c>
      <c r="Z79" s="487"/>
      <c r="AA79" s="120">
        <f t="shared" si="377"/>
        <v>7</v>
      </c>
      <c r="AB79" s="7">
        <f t="shared" si="378"/>
        <v>10</v>
      </c>
      <c r="AC79" s="133"/>
      <c r="AD79" s="48">
        <f t="shared" si="253"/>
        <v>0</v>
      </c>
      <c r="AE79" s="196">
        <f t="shared" si="254"/>
        <v>0</v>
      </c>
      <c r="AF79" s="134"/>
      <c r="AG79" s="135"/>
      <c r="AH79" s="135"/>
      <c r="AI79" s="14">
        <f t="shared" si="367"/>
        <v>0</v>
      </c>
      <c r="AJ79" s="14">
        <f t="shared" si="162"/>
        <v>0</v>
      </c>
      <c r="AK79" s="14">
        <f t="shared" si="299"/>
        <v>0.16</v>
      </c>
      <c r="AL79" s="47">
        <f t="shared" si="331"/>
        <v>0</v>
      </c>
      <c r="AM79" s="35">
        <f t="shared" si="300"/>
        <v>3.2000000000000006</v>
      </c>
      <c r="AN79" s="157">
        <f t="shared" si="358"/>
        <v>0</v>
      </c>
      <c r="AO79" s="134"/>
      <c r="AP79" s="14">
        <f t="shared" si="301"/>
        <v>52</v>
      </c>
      <c r="AQ79" s="482">
        <f t="shared" si="332"/>
        <v>0</v>
      </c>
      <c r="AR79" s="470">
        <f t="shared" si="164"/>
        <v>0</v>
      </c>
      <c r="AS79" s="51">
        <f t="shared" si="302"/>
        <v>802</v>
      </c>
      <c r="AT79" s="103">
        <f t="shared" si="379"/>
        <v>0</v>
      </c>
      <c r="AU79" s="46">
        <f t="shared" si="136"/>
        <v>802</v>
      </c>
      <c r="AV79" s="51">
        <f t="shared" si="303"/>
        <v>80</v>
      </c>
      <c r="AW79" s="103">
        <f t="shared" si="380"/>
        <v>0</v>
      </c>
      <c r="AX79" s="62">
        <f t="shared" si="359"/>
        <v>80</v>
      </c>
      <c r="AZ79" s="120">
        <f t="shared" si="381"/>
        <v>7</v>
      </c>
      <c r="BA79" s="7">
        <f t="shared" si="382"/>
        <v>10</v>
      </c>
      <c r="BB79" s="133"/>
      <c r="BC79" s="48">
        <f t="shared" si="337"/>
        <v>0</v>
      </c>
      <c r="BD79" s="196">
        <f t="shared" si="255"/>
        <v>0</v>
      </c>
      <c r="BE79" s="134"/>
      <c r="BF79" s="135"/>
      <c r="BG79" s="135"/>
      <c r="BH79" s="14">
        <f t="shared" si="368"/>
        <v>0</v>
      </c>
      <c r="BI79" s="14">
        <f t="shared" si="151"/>
        <v>0</v>
      </c>
      <c r="BJ79" s="14">
        <f t="shared" si="304"/>
        <v>0.16</v>
      </c>
      <c r="BK79" s="47">
        <f t="shared" si="350"/>
        <v>0</v>
      </c>
      <c r="BL79" s="35">
        <f t="shared" si="305"/>
        <v>3.2000000000000006</v>
      </c>
      <c r="BM79" s="132">
        <f t="shared" si="167"/>
        <v>0</v>
      </c>
      <c r="BN79" s="134"/>
      <c r="BO79" s="14">
        <f t="shared" si="306"/>
        <v>52</v>
      </c>
      <c r="BP79" s="442">
        <f t="shared" si="351"/>
        <v>0</v>
      </c>
      <c r="BQ79" s="747">
        <f t="shared" si="354"/>
        <v>0</v>
      </c>
      <c r="BR79" s="51">
        <f t="shared" si="307"/>
        <v>802</v>
      </c>
      <c r="BS79" s="103">
        <f t="shared" si="383"/>
        <v>0</v>
      </c>
      <c r="BT79" s="46">
        <f t="shared" si="137"/>
        <v>802</v>
      </c>
      <c r="BU79" s="51">
        <f t="shared" si="308"/>
        <v>80</v>
      </c>
      <c r="BV79" s="103">
        <f t="shared" si="384"/>
        <v>0</v>
      </c>
      <c r="BW79" s="62">
        <f t="shared" si="360"/>
        <v>80</v>
      </c>
      <c r="BY79" s="120">
        <f t="shared" si="385"/>
        <v>20</v>
      </c>
      <c r="BZ79" s="7">
        <f t="shared" si="386"/>
        <v>10</v>
      </c>
      <c r="CA79" s="133"/>
      <c r="CB79" s="14">
        <f t="shared" si="361"/>
        <v>0</v>
      </c>
      <c r="CC79" s="59">
        <f t="shared" si="369"/>
        <v>0</v>
      </c>
      <c r="CD79" s="405"/>
      <c r="CE79" s="406"/>
      <c r="CF79" s="406"/>
      <c r="CG79" s="14">
        <f t="shared" si="370"/>
        <v>0</v>
      </c>
      <c r="CH79" s="14">
        <f t="shared" si="362"/>
        <v>0</v>
      </c>
      <c r="CI79" s="14">
        <f t="shared" si="309"/>
        <v>0.16</v>
      </c>
      <c r="CJ79" s="47">
        <f t="shared" si="352"/>
        <v>0</v>
      </c>
      <c r="CK79" s="35">
        <f t="shared" si="310"/>
        <v>3.2000000000000006</v>
      </c>
      <c r="CL79" s="157">
        <f t="shared" si="355"/>
        <v>0</v>
      </c>
      <c r="CM79" s="134"/>
      <c r="CN79" s="14">
        <f t="shared" si="311"/>
        <v>52</v>
      </c>
      <c r="CO79" s="48">
        <f t="shared" si="356"/>
        <v>0</v>
      </c>
      <c r="CP79" s="68">
        <f t="shared" si="353"/>
        <v>0</v>
      </c>
      <c r="CQ79" s="51">
        <f t="shared" si="312"/>
        <v>802</v>
      </c>
      <c r="CR79" s="103">
        <f t="shared" si="387"/>
        <v>0</v>
      </c>
      <c r="CS79" s="46">
        <f t="shared" si="138"/>
        <v>802</v>
      </c>
      <c r="CT79" s="12">
        <f t="shared" si="313"/>
        <v>80</v>
      </c>
      <c r="CU79" s="103">
        <f t="shared" si="388"/>
        <v>0</v>
      </c>
      <c r="CV79" s="62">
        <f t="shared" si="344"/>
        <v>80</v>
      </c>
      <c r="CX79" s="120">
        <f t="shared" si="389"/>
        <v>20</v>
      </c>
      <c r="CY79" s="7">
        <f t="shared" si="390"/>
        <v>10</v>
      </c>
      <c r="CZ79" s="133"/>
      <c r="DA79" s="14">
        <f t="shared" si="228"/>
        <v>0</v>
      </c>
      <c r="DB79" s="59">
        <f t="shared" si="256"/>
        <v>0</v>
      </c>
      <c r="DC79" s="405"/>
      <c r="DD79" s="406"/>
      <c r="DE79" s="406"/>
      <c r="DF79" s="14">
        <f t="shared" si="371"/>
        <v>0</v>
      </c>
      <c r="DG79" s="14">
        <f t="shared" si="363"/>
        <v>0</v>
      </c>
      <c r="DH79" s="14">
        <f t="shared" si="314"/>
        <v>0.16</v>
      </c>
      <c r="DI79" s="47">
        <f t="shared" si="372"/>
        <v>0</v>
      </c>
      <c r="DJ79" s="35">
        <f t="shared" si="315"/>
        <v>3.2000000000000006</v>
      </c>
      <c r="DK79" s="157">
        <f t="shared" si="364"/>
        <v>0</v>
      </c>
      <c r="DL79" s="134"/>
      <c r="DM79" s="14">
        <f t="shared" si="316"/>
        <v>52</v>
      </c>
      <c r="DN79" s="48">
        <f t="shared" si="132"/>
        <v>0</v>
      </c>
      <c r="DO79" s="68">
        <f t="shared" si="365"/>
        <v>0</v>
      </c>
      <c r="DP79" s="51">
        <f t="shared" si="317"/>
        <v>802</v>
      </c>
      <c r="DQ79" s="103">
        <f t="shared" si="391"/>
        <v>0</v>
      </c>
      <c r="DR79" s="46">
        <f t="shared" si="140"/>
        <v>802</v>
      </c>
      <c r="DS79" s="12">
        <f t="shared" si="318"/>
        <v>80</v>
      </c>
      <c r="DT79" s="103">
        <f t="shared" si="392"/>
        <v>0</v>
      </c>
      <c r="DU79" s="62">
        <f t="shared" si="357"/>
        <v>80</v>
      </c>
    </row>
    <row r="80" spans="1:125" ht="17.25" thickBot="1" x14ac:dyDescent="0.3">
      <c r="B80" s="120">
        <f t="shared" si="373"/>
        <v>8</v>
      </c>
      <c r="C80" s="570">
        <f t="shared" si="374"/>
        <v>10</v>
      </c>
      <c r="D80" s="133"/>
      <c r="E80" s="408">
        <f t="shared" si="321"/>
        <v>0</v>
      </c>
      <c r="F80" s="562">
        <f t="shared" si="292"/>
        <v>0</v>
      </c>
      <c r="G80" s="134"/>
      <c r="H80" s="135"/>
      <c r="I80" s="135"/>
      <c r="J80" s="14">
        <f t="shared" si="366"/>
        <v>0</v>
      </c>
      <c r="K80" s="14">
        <f t="shared" si="322"/>
        <v>0</v>
      </c>
      <c r="L80" s="14">
        <f t="shared" si="293"/>
        <v>0.16</v>
      </c>
      <c r="M80" s="47">
        <f t="shared" si="349"/>
        <v>0</v>
      </c>
      <c r="N80" s="35">
        <f t="shared" si="294"/>
        <v>3.2000000000000006</v>
      </c>
      <c r="O80" s="132">
        <f t="shared" si="323"/>
        <v>0</v>
      </c>
      <c r="P80" s="142"/>
      <c r="Q80" s="14">
        <f t="shared" si="295"/>
        <v>52</v>
      </c>
      <c r="R80" s="442">
        <f t="shared" si="296"/>
        <v>0</v>
      </c>
      <c r="S80" s="470">
        <f t="shared" si="324"/>
        <v>0</v>
      </c>
      <c r="T80" s="51">
        <f t="shared" si="297"/>
        <v>802</v>
      </c>
      <c r="U80" s="103">
        <f t="shared" si="375"/>
        <v>0</v>
      </c>
      <c r="V80" s="46">
        <f t="shared" si="326"/>
        <v>802</v>
      </c>
      <c r="W80" s="12">
        <f t="shared" si="298"/>
        <v>80</v>
      </c>
      <c r="X80" s="103">
        <f t="shared" si="376"/>
        <v>0</v>
      </c>
      <c r="Y80" s="46">
        <f t="shared" si="328"/>
        <v>80</v>
      </c>
      <c r="Z80" s="487"/>
      <c r="AA80" s="120">
        <f t="shared" si="377"/>
        <v>8</v>
      </c>
      <c r="AB80" s="7">
        <f t="shared" si="378"/>
        <v>10</v>
      </c>
      <c r="AC80" s="133"/>
      <c r="AD80" s="48">
        <f t="shared" si="253"/>
        <v>0</v>
      </c>
      <c r="AE80" s="49">
        <f t="shared" si="254"/>
        <v>0</v>
      </c>
      <c r="AF80" s="134"/>
      <c r="AG80" s="135"/>
      <c r="AH80" s="135"/>
      <c r="AI80" s="14">
        <f t="shared" si="367"/>
        <v>0</v>
      </c>
      <c r="AJ80" s="14">
        <f t="shared" si="162"/>
        <v>0</v>
      </c>
      <c r="AK80" s="14">
        <f t="shared" si="299"/>
        <v>0.16</v>
      </c>
      <c r="AL80" s="47">
        <f t="shared" si="331"/>
        <v>0</v>
      </c>
      <c r="AM80" s="35">
        <f t="shared" si="300"/>
        <v>3.2000000000000006</v>
      </c>
      <c r="AN80" s="157">
        <f t="shared" si="358"/>
        <v>0</v>
      </c>
      <c r="AO80" s="134"/>
      <c r="AP80" s="14">
        <f t="shared" si="301"/>
        <v>52</v>
      </c>
      <c r="AQ80" s="442">
        <f t="shared" si="332"/>
        <v>0</v>
      </c>
      <c r="AR80" s="470">
        <f t="shared" si="164"/>
        <v>0</v>
      </c>
      <c r="AS80" s="51">
        <f t="shared" si="302"/>
        <v>802</v>
      </c>
      <c r="AT80" s="103">
        <f t="shared" si="379"/>
        <v>0</v>
      </c>
      <c r="AU80" s="46">
        <f t="shared" si="136"/>
        <v>802</v>
      </c>
      <c r="AV80" s="12">
        <f t="shared" si="303"/>
        <v>80</v>
      </c>
      <c r="AW80" s="103">
        <f t="shared" si="380"/>
        <v>0</v>
      </c>
      <c r="AX80" s="46">
        <f t="shared" si="359"/>
        <v>80</v>
      </c>
      <c r="AZ80" s="120">
        <f t="shared" si="381"/>
        <v>8</v>
      </c>
      <c r="BA80" s="7">
        <f t="shared" si="382"/>
        <v>10</v>
      </c>
      <c r="BB80" s="133"/>
      <c r="BC80" s="48">
        <f t="shared" si="337"/>
        <v>0</v>
      </c>
      <c r="BD80" s="49">
        <f t="shared" si="255"/>
        <v>0</v>
      </c>
      <c r="BE80" s="134"/>
      <c r="BF80" s="135"/>
      <c r="BG80" s="135"/>
      <c r="BH80" s="14">
        <f t="shared" si="368"/>
        <v>0</v>
      </c>
      <c r="BI80" s="14">
        <f t="shared" si="151"/>
        <v>0</v>
      </c>
      <c r="BJ80" s="14">
        <f t="shared" si="304"/>
        <v>0.16</v>
      </c>
      <c r="BK80" s="47">
        <f t="shared" si="350"/>
        <v>0</v>
      </c>
      <c r="BL80" s="35">
        <f t="shared" si="305"/>
        <v>3.2000000000000006</v>
      </c>
      <c r="BM80" s="132">
        <f t="shared" si="167"/>
        <v>0</v>
      </c>
      <c r="BN80" s="134"/>
      <c r="BO80" s="14">
        <f t="shared" si="306"/>
        <v>52</v>
      </c>
      <c r="BP80" s="442">
        <f t="shared" si="351"/>
        <v>0</v>
      </c>
      <c r="BQ80" s="747">
        <f t="shared" si="354"/>
        <v>0</v>
      </c>
      <c r="BR80" s="51">
        <f t="shared" si="307"/>
        <v>802</v>
      </c>
      <c r="BS80" s="103">
        <f t="shared" si="383"/>
        <v>0</v>
      </c>
      <c r="BT80" s="46">
        <f t="shared" si="137"/>
        <v>802</v>
      </c>
      <c r="BU80" s="12">
        <f t="shared" si="308"/>
        <v>80</v>
      </c>
      <c r="BV80" s="103">
        <f t="shared" si="384"/>
        <v>0</v>
      </c>
      <c r="BW80" s="46">
        <f t="shared" si="360"/>
        <v>80</v>
      </c>
      <c r="BY80" s="120">
        <f t="shared" si="385"/>
        <v>21</v>
      </c>
      <c r="BZ80" s="7">
        <f t="shared" si="386"/>
        <v>10</v>
      </c>
      <c r="CA80" s="133"/>
      <c r="CB80" s="14">
        <f t="shared" si="361"/>
        <v>0</v>
      </c>
      <c r="CC80" s="46">
        <f t="shared" si="369"/>
        <v>0</v>
      </c>
      <c r="CD80" s="405"/>
      <c r="CE80" s="406"/>
      <c r="CF80" s="406"/>
      <c r="CG80" s="14">
        <f t="shared" si="370"/>
        <v>0</v>
      </c>
      <c r="CH80" s="14">
        <f t="shared" si="362"/>
        <v>0</v>
      </c>
      <c r="CI80" s="14">
        <f t="shared" si="309"/>
        <v>0.16</v>
      </c>
      <c r="CJ80" s="47">
        <f t="shared" si="352"/>
        <v>0</v>
      </c>
      <c r="CK80" s="35">
        <f t="shared" si="310"/>
        <v>3.2000000000000006</v>
      </c>
      <c r="CL80" s="157">
        <f t="shared" si="355"/>
        <v>0</v>
      </c>
      <c r="CM80" s="134"/>
      <c r="CN80" s="14">
        <f t="shared" si="311"/>
        <v>52</v>
      </c>
      <c r="CO80" s="48">
        <f t="shared" si="356"/>
        <v>0</v>
      </c>
      <c r="CP80" s="68">
        <f t="shared" si="353"/>
        <v>0</v>
      </c>
      <c r="CQ80" s="51">
        <f t="shared" si="312"/>
        <v>802</v>
      </c>
      <c r="CR80" s="103">
        <f t="shared" si="387"/>
        <v>0</v>
      </c>
      <c r="CS80" s="46">
        <f t="shared" si="138"/>
        <v>802</v>
      </c>
      <c r="CT80" s="50">
        <f t="shared" si="313"/>
        <v>80</v>
      </c>
      <c r="CU80" s="103">
        <f t="shared" si="388"/>
        <v>0</v>
      </c>
      <c r="CV80" s="46">
        <f t="shared" si="344"/>
        <v>80</v>
      </c>
      <c r="CX80" s="120">
        <f t="shared" si="389"/>
        <v>21</v>
      </c>
      <c r="CY80" s="7">
        <f t="shared" si="390"/>
        <v>10</v>
      </c>
      <c r="CZ80" s="133"/>
      <c r="DA80" s="14">
        <f t="shared" si="228"/>
        <v>0</v>
      </c>
      <c r="DB80" s="46">
        <f t="shared" si="256"/>
        <v>0</v>
      </c>
      <c r="DC80" s="405"/>
      <c r="DD80" s="406"/>
      <c r="DE80" s="406"/>
      <c r="DF80" s="14">
        <f t="shared" si="371"/>
        <v>0</v>
      </c>
      <c r="DG80" s="14">
        <f t="shared" si="363"/>
        <v>0</v>
      </c>
      <c r="DH80" s="14">
        <f t="shared" si="314"/>
        <v>0.16</v>
      </c>
      <c r="DI80" s="47">
        <f t="shared" si="372"/>
        <v>0</v>
      </c>
      <c r="DJ80" s="35">
        <f t="shared" si="315"/>
        <v>3.2000000000000006</v>
      </c>
      <c r="DK80" s="157">
        <f t="shared" si="364"/>
        <v>0</v>
      </c>
      <c r="DL80" s="134"/>
      <c r="DM80" s="14">
        <f t="shared" si="316"/>
        <v>52</v>
      </c>
      <c r="DN80" s="48">
        <f t="shared" si="132"/>
        <v>0</v>
      </c>
      <c r="DO80" s="68">
        <f t="shared" si="365"/>
        <v>0</v>
      </c>
      <c r="DP80" s="51">
        <f t="shared" si="317"/>
        <v>802</v>
      </c>
      <c r="DQ80" s="103">
        <f t="shared" si="391"/>
        <v>0</v>
      </c>
      <c r="DR80" s="46">
        <f t="shared" si="140"/>
        <v>802</v>
      </c>
      <c r="DS80" s="50">
        <f t="shared" si="318"/>
        <v>80</v>
      </c>
      <c r="DT80" s="103">
        <f t="shared" si="392"/>
        <v>0</v>
      </c>
      <c r="DU80" s="46">
        <f t="shared" si="357"/>
        <v>80</v>
      </c>
    </row>
    <row r="81" spans="1:125" ht="17.25" thickBot="1" x14ac:dyDescent="0.3">
      <c r="B81" s="120">
        <f t="shared" si="373"/>
        <v>9</v>
      </c>
      <c r="C81" s="570">
        <f t="shared" si="374"/>
        <v>10</v>
      </c>
      <c r="D81" s="133"/>
      <c r="E81" s="408">
        <f t="shared" si="321"/>
        <v>0</v>
      </c>
      <c r="F81" s="562">
        <f t="shared" si="292"/>
        <v>0</v>
      </c>
      <c r="G81" s="134"/>
      <c r="H81" s="135"/>
      <c r="I81" s="135"/>
      <c r="J81" s="14">
        <f t="shared" si="366"/>
        <v>0</v>
      </c>
      <c r="K81" s="14">
        <f t="shared" si="322"/>
        <v>0</v>
      </c>
      <c r="L81" s="14">
        <f t="shared" si="293"/>
        <v>0.16</v>
      </c>
      <c r="M81" s="47">
        <f t="shared" si="349"/>
        <v>0</v>
      </c>
      <c r="N81" s="35">
        <f t="shared" si="294"/>
        <v>3.2000000000000006</v>
      </c>
      <c r="O81" s="132">
        <f t="shared" si="323"/>
        <v>0</v>
      </c>
      <c r="P81" s="142"/>
      <c r="Q81" s="14">
        <f t="shared" si="295"/>
        <v>52</v>
      </c>
      <c r="R81" s="442">
        <f t="shared" si="296"/>
        <v>0</v>
      </c>
      <c r="S81" s="470">
        <f t="shared" si="324"/>
        <v>0</v>
      </c>
      <c r="T81" s="51">
        <f t="shared" si="297"/>
        <v>802</v>
      </c>
      <c r="U81" s="103">
        <f t="shared" si="375"/>
        <v>0</v>
      </c>
      <c r="V81" s="46">
        <f t="shared" si="326"/>
        <v>802</v>
      </c>
      <c r="W81" s="50">
        <f t="shared" si="298"/>
        <v>80</v>
      </c>
      <c r="X81" s="103">
        <f t="shared" si="376"/>
        <v>0</v>
      </c>
      <c r="Y81" s="46">
        <f t="shared" si="328"/>
        <v>80</v>
      </c>
      <c r="Z81" s="487"/>
      <c r="AA81" s="120">
        <f t="shared" si="377"/>
        <v>9</v>
      </c>
      <c r="AB81" s="7">
        <f t="shared" si="378"/>
        <v>10</v>
      </c>
      <c r="AC81" s="133"/>
      <c r="AD81" s="48">
        <f t="shared" si="253"/>
        <v>0</v>
      </c>
      <c r="AE81" s="447">
        <f t="shared" si="254"/>
        <v>0</v>
      </c>
      <c r="AF81" s="134"/>
      <c r="AG81" s="135"/>
      <c r="AH81" s="135"/>
      <c r="AI81" s="14">
        <f t="shared" si="367"/>
        <v>0</v>
      </c>
      <c r="AJ81" s="14">
        <f t="shared" si="162"/>
        <v>0</v>
      </c>
      <c r="AK81" s="14">
        <f t="shared" si="299"/>
        <v>0.16</v>
      </c>
      <c r="AL81" s="47">
        <f t="shared" si="331"/>
        <v>0</v>
      </c>
      <c r="AM81" s="35">
        <f t="shared" si="300"/>
        <v>3.2000000000000006</v>
      </c>
      <c r="AN81" s="157">
        <f t="shared" si="358"/>
        <v>0</v>
      </c>
      <c r="AO81" s="134"/>
      <c r="AP81" s="14">
        <f t="shared" si="301"/>
        <v>52</v>
      </c>
      <c r="AQ81" s="442">
        <f t="shared" si="332"/>
        <v>0</v>
      </c>
      <c r="AR81" s="470">
        <f t="shared" si="164"/>
        <v>0</v>
      </c>
      <c r="AS81" s="51">
        <f t="shared" si="302"/>
        <v>802</v>
      </c>
      <c r="AT81" s="103">
        <f t="shared" si="379"/>
        <v>0</v>
      </c>
      <c r="AU81" s="46">
        <f t="shared" si="136"/>
        <v>802</v>
      </c>
      <c r="AV81" s="50">
        <f t="shared" si="303"/>
        <v>80</v>
      </c>
      <c r="AW81" s="103">
        <f t="shared" si="380"/>
        <v>0</v>
      </c>
      <c r="AX81" s="46">
        <f t="shared" si="359"/>
        <v>80</v>
      </c>
      <c r="AZ81" s="120">
        <f t="shared" si="381"/>
        <v>9</v>
      </c>
      <c r="BA81" s="7">
        <f t="shared" si="382"/>
        <v>10</v>
      </c>
      <c r="BB81" s="133"/>
      <c r="BC81" s="48">
        <f t="shared" si="337"/>
        <v>0</v>
      </c>
      <c r="BD81" s="447">
        <f t="shared" si="255"/>
        <v>0</v>
      </c>
      <c r="BE81" s="134"/>
      <c r="BF81" s="135"/>
      <c r="BG81" s="135"/>
      <c r="BH81" s="14">
        <f t="shared" si="368"/>
        <v>0</v>
      </c>
      <c r="BI81" s="14">
        <f t="shared" si="151"/>
        <v>0</v>
      </c>
      <c r="BJ81" s="14">
        <f t="shared" si="304"/>
        <v>0.16</v>
      </c>
      <c r="BK81" s="47">
        <f t="shared" si="350"/>
        <v>0</v>
      </c>
      <c r="BL81" s="35">
        <f t="shared" si="305"/>
        <v>3.2000000000000006</v>
      </c>
      <c r="BM81" s="132">
        <f t="shared" si="167"/>
        <v>0</v>
      </c>
      <c r="BN81" s="134"/>
      <c r="BO81" s="14">
        <f t="shared" si="306"/>
        <v>52</v>
      </c>
      <c r="BP81" s="442">
        <f t="shared" si="351"/>
        <v>0</v>
      </c>
      <c r="BQ81" s="747">
        <f t="shared" si="354"/>
        <v>0</v>
      </c>
      <c r="BR81" s="51">
        <f t="shared" si="307"/>
        <v>802</v>
      </c>
      <c r="BS81" s="103">
        <f t="shared" si="383"/>
        <v>0</v>
      </c>
      <c r="BT81" s="46">
        <f t="shared" si="137"/>
        <v>802</v>
      </c>
      <c r="BU81" s="50">
        <f t="shared" si="308"/>
        <v>80</v>
      </c>
      <c r="BV81" s="103">
        <f t="shared" si="384"/>
        <v>0</v>
      </c>
      <c r="BW81" s="46">
        <f t="shared" si="360"/>
        <v>80</v>
      </c>
      <c r="BY81" s="120">
        <f t="shared" si="385"/>
        <v>22</v>
      </c>
      <c r="BZ81" s="7">
        <f t="shared" si="386"/>
        <v>10</v>
      </c>
      <c r="CA81" s="133"/>
      <c r="CB81" s="14">
        <f t="shared" si="361"/>
        <v>0</v>
      </c>
      <c r="CC81" s="62">
        <f t="shared" si="369"/>
        <v>0</v>
      </c>
      <c r="CD81" s="405"/>
      <c r="CE81" s="406"/>
      <c r="CF81" s="406"/>
      <c r="CG81" s="14">
        <f t="shared" si="370"/>
        <v>0</v>
      </c>
      <c r="CH81" s="14">
        <f t="shared" si="362"/>
        <v>0</v>
      </c>
      <c r="CI81" s="14">
        <f t="shared" si="309"/>
        <v>0.16</v>
      </c>
      <c r="CJ81" s="47">
        <f t="shared" si="352"/>
        <v>0</v>
      </c>
      <c r="CK81" s="35">
        <f t="shared" si="310"/>
        <v>3.2000000000000006</v>
      </c>
      <c r="CL81" s="157">
        <f t="shared" si="355"/>
        <v>0</v>
      </c>
      <c r="CM81" s="134"/>
      <c r="CN81" s="14">
        <f t="shared" si="311"/>
        <v>52</v>
      </c>
      <c r="CO81" s="48">
        <f t="shared" si="356"/>
        <v>0</v>
      </c>
      <c r="CP81" s="68">
        <f t="shared" si="353"/>
        <v>0</v>
      </c>
      <c r="CQ81" s="51">
        <f t="shared" si="312"/>
        <v>802</v>
      </c>
      <c r="CR81" s="103">
        <f t="shared" si="387"/>
        <v>0</v>
      </c>
      <c r="CS81" s="46">
        <f t="shared" si="138"/>
        <v>802</v>
      </c>
      <c r="CT81" s="50">
        <f t="shared" si="313"/>
        <v>80</v>
      </c>
      <c r="CU81" s="103">
        <f t="shared" si="388"/>
        <v>0</v>
      </c>
      <c r="CV81" s="46">
        <f t="shared" si="344"/>
        <v>80</v>
      </c>
      <c r="CX81" s="120">
        <f t="shared" si="389"/>
        <v>22</v>
      </c>
      <c r="CY81" s="7">
        <f t="shared" si="390"/>
        <v>10</v>
      </c>
      <c r="CZ81" s="133"/>
      <c r="DA81" s="14">
        <f t="shared" si="228"/>
        <v>0</v>
      </c>
      <c r="DB81" s="62">
        <f t="shared" si="256"/>
        <v>0</v>
      </c>
      <c r="DC81" s="405"/>
      <c r="DD81" s="406"/>
      <c r="DE81" s="406"/>
      <c r="DF81" s="14">
        <f t="shared" si="371"/>
        <v>0</v>
      </c>
      <c r="DG81" s="14">
        <f t="shared" si="363"/>
        <v>0</v>
      </c>
      <c r="DH81" s="14">
        <f t="shared" si="314"/>
        <v>0.16</v>
      </c>
      <c r="DI81" s="47">
        <f t="shared" si="372"/>
        <v>0</v>
      </c>
      <c r="DJ81" s="35">
        <f t="shared" si="315"/>
        <v>3.2000000000000006</v>
      </c>
      <c r="DK81" s="157">
        <f t="shared" si="364"/>
        <v>0</v>
      </c>
      <c r="DL81" s="134"/>
      <c r="DM81" s="14">
        <f t="shared" si="316"/>
        <v>52</v>
      </c>
      <c r="DN81" s="48">
        <f t="shared" ref="DN81:DN109" si="393">IFERROR(DL81/DA81,0)</f>
        <v>0</v>
      </c>
      <c r="DO81" s="68">
        <f t="shared" si="365"/>
        <v>0</v>
      </c>
      <c r="DP81" s="51">
        <f t="shared" si="317"/>
        <v>802</v>
      </c>
      <c r="DQ81" s="103">
        <f t="shared" si="391"/>
        <v>0</v>
      </c>
      <c r="DR81" s="46">
        <f t="shared" si="140"/>
        <v>802</v>
      </c>
      <c r="DS81" s="50">
        <f t="shared" si="318"/>
        <v>80</v>
      </c>
      <c r="DT81" s="103">
        <f t="shared" si="392"/>
        <v>0</v>
      </c>
      <c r="DU81" s="46">
        <f t="shared" si="357"/>
        <v>80</v>
      </c>
    </row>
    <row r="82" spans="1:125" ht="17.25" thickBot="1" x14ac:dyDescent="0.3">
      <c r="B82" s="120">
        <f t="shared" si="373"/>
        <v>10</v>
      </c>
      <c r="C82" s="574">
        <f t="shared" si="374"/>
        <v>10</v>
      </c>
      <c r="D82" s="136"/>
      <c r="E82" s="436">
        <f t="shared" si="321"/>
        <v>0</v>
      </c>
      <c r="F82" s="451">
        <f t="shared" si="292"/>
        <v>0</v>
      </c>
      <c r="G82" s="137"/>
      <c r="H82" s="138"/>
      <c r="I82" s="138"/>
      <c r="J82" s="34">
        <f t="shared" si="366"/>
        <v>0</v>
      </c>
      <c r="K82" s="34">
        <f t="shared" si="322"/>
        <v>0</v>
      </c>
      <c r="L82" s="34">
        <f t="shared" si="293"/>
        <v>0.16</v>
      </c>
      <c r="M82" s="166">
        <f t="shared" si="349"/>
        <v>0</v>
      </c>
      <c r="N82" s="40">
        <f t="shared" si="294"/>
        <v>3.2000000000000006</v>
      </c>
      <c r="O82" s="132">
        <f t="shared" si="323"/>
        <v>0</v>
      </c>
      <c r="P82" s="139"/>
      <c r="Q82" s="32">
        <f t="shared" si="295"/>
        <v>52</v>
      </c>
      <c r="R82" s="592">
        <f t="shared" si="296"/>
        <v>0</v>
      </c>
      <c r="S82" s="471">
        <f t="shared" si="324"/>
        <v>0</v>
      </c>
      <c r="T82" s="56">
        <f t="shared" si="297"/>
        <v>802</v>
      </c>
      <c r="U82" s="109">
        <f t="shared" si="375"/>
        <v>0</v>
      </c>
      <c r="V82" s="63">
        <f t="shared" si="326"/>
        <v>802</v>
      </c>
      <c r="W82" s="56">
        <f t="shared" si="298"/>
        <v>80</v>
      </c>
      <c r="X82" s="109">
        <f t="shared" si="376"/>
        <v>0</v>
      </c>
      <c r="Y82" s="63">
        <f t="shared" si="328"/>
        <v>80</v>
      </c>
      <c r="Z82" s="487"/>
      <c r="AA82" s="120">
        <f t="shared" si="377"/>
        <v>10</v>
      </c>
      <c r="AB82" s="8">
        <f t="shared" si="378"/>
        <v>10</v>
      </c>
      <c r="AC82" s="136"/>
      <c r="AD82" s="54">
        <f t="shared" si="253"/>
        <v>0</v>
      </c>
      <c r="AE82" s="55">
        <f t="shared" si="254"/>
        <v>0</v>
      </c>
      <c r="AF82" s="137"/>
      <c r="AG82" s="138"/>
      <c r="AH82" s="138"/>
      <c r="AI82" s="34">
        <f t="shared" si="367"/>
        <v>0</v>
      </c>
      <c r="AJ82" s="34">
        <f t="shared" si="162"/>
        <v>0</v>
      </c>
      <c r="AK82" s="17">
        <f t="shared" si="299"/>
        <v>0.16</v>
      </c>
      <c r="AL82" s="166">
        <f t="shared" si="331"/>
        <v>0</v>
      </c>
      <c r="AM82" s="33">
        <f t="shared" si="300"/>
        <v>3.2000000000000006</v>
      </c>
      <c r="AN82" s="157">
        <f t="shared" si="358"/>
        <v>0</v>
      </c>
      <c r="AO82" s="137"/>
      <c r="AP82" s="13">
        <f t="shared" si="301"/>
        <v>52</v>
      </c>
      <c r="AQ82" s="479">
        <f t="shared" si="332"/>
        <v>0</v>
      </c>
      <c r="AR82" s="471">
        <f t="shared" si="164"/>
        <v>0</v>
      </c>
      <c r="AS82" s="56">
        <f t="shared" si="302"/>
        <v>802</v>
      </c>
      <c r="AT82" s="103">
        <f t="shared" si="379"/>
        <v>0</v>
      </c>
      <c r="AU82" s="63">
        <f t="shared" si="136"/>
        <v>802</v>
      </c>
      <c r="AV82" s="56">
        <f t="shared" si="303"/>
        <v>80</v>
      </c>
      <c r="AW82" s="103">
        <f t="shared" si="380"/>
        <v>0</v>
      </c>
      <c r="AX82" s="63">
        <f t="shared" si="359"/>
        <v>80</v>
      </c>
      <c r="AZ82" s="119">
        <f t="shared" si="381"/>
        <v>10</v>
      </c>
      <c r="BA82" s="95">
        <f t="shared" si="382"/>
        <v>10</v>
      </c>
      <c r="BB82" s="203"/>
      <c r="BC82" s="67">
        <f t="shared" si="337"/>
        <v>0</v>
      </c>
      <c r="BD82" s="196">
        <f t="shared" si="255"/>
        <v>0</v>
      </c>
      <c r="BE82" s="204"/>
      <c r="BF82" s="205"/>
      <c r="BG82" s="205"/>
      <c r="BH82" s="31">
        <f t="shared" si="368"/>
        <v>0</v>
      </c>
      <c r="BI82" s="31">
        <f t="shared" si="151"/>
        <v>0</v>
      </c>
      <c r="BJ82" s="31">
        <f t="shared" si="304"/>
        <v>0.16</v>
      </c>
      <c r="BK82" s="230">
        <f t="shared" si="350"/>
        <v>0</v>
      </c>
      <c r="BL82" s="37">
        <f t="shared" si="305"/>
        <v>3.2000000000000006</v>
      </c>
      <c r="BM82" s="132">
        <f t="shared" si="167"/>
        <v>0</v>
      </c>
      <c r="BN82" s="204"/>
      <c r="BO82" s="13">
        <f t="shared" si="306"/>
        <v>52</v>
      </c>
      <c r="BP82" s="482">
        <f t="shared" si="351"/>
        <v>0</v>
      </c>
      <c r="BQ82" s="752">
        <f t="shared" si="354"/>
        <v>0</v>
      </c>
      <c r="BR82" s="50">
        <f t="shared" si="307"/>
        <v>802</v>
      </c>
      <c r="BS82" s="202">
        <f t="shared" si="383"/>
        <v>0</v>
      </c>
      <c r="BT82" s="62">
        <f t="shared" si="137"/>
        <v>802</v>
      </c>
      <c r="BU82" s="50">
        <f t="shared" si="308"/>
        <v>80</v>
      </c>
      <c r="BV82" s="202">
        <f t="shared" si="384"/>
        <v>0</v>
      </c>
      <c r="BW82" s="62">
        <f t="shared" si="360"/>
        <v>80</v>
      </c>
      <c r="BY82" s="197">
        <f>BY81+1</f>
        <v>23</v>
      </c>
      <c r="BZ82" s="8">
        <f t="shared" si="386"/>
        <v>10</v>
      </c>
      <c r="CA82" s="136"/>
      <c r="CB82" s="32">
        <f t="shared" si="361"/>
        <v>0</v>
      </c>
      <c r="CC82" s="53">
        <f t="shared" si="369"/>
        <v>0</v>
      </c>
      <c r="CD82" s="421"/>
      <c r="CE82" s="426"/>
      <c r="CF82" s="426"/>
      <c r="CG82" s="34">
        <f t="shared" si="370"/>
        <v>0</v>
      </c>
      <c r="CH82" s="34">
        <f t="shared" si="362"/>
        <v>0</v>
      </c>
      <c r="CI82" s="17">
        <f t="shared" si="309"/>
        <v>0.16</v>
      </c>
      <c r="CJ82" s="166">
        <f t="shared" si="352"/>
        <v>0</v>
      </c>
      <c r="CK82" s="33">
        <f t="shared" si="310"/>
        <v>3.2000000000000006</v>
      </c>
      <c r="CL82" s="156">
        <f t="shared" si="355"/>
        <v>0</v>
      </c>
      <c r="CM82" s="137"/>
      <c r="CN82" s="13">
        <f t="shared" si="311"/>
        <v>52</v>
      </c>
      <c r="CO82" s="54">
        <f t="shared" si="356"/>
        <v>0</v>
      </c>
      <c r="CP82" s="70">
        <f t="shared" si="353"/>
        <v>0</v>
      </c>
      <c r="CQ82" s="50">
        <f t="shared" si="312"/>
        <v>802</v>
      </c>
      <c r="CR82" s="103">
        <f t="shared" si="387"/>
        <v>0</v>
      </c>
      <c r="CS82" s="63">
        <f t="shared" si="138"/>
        <v>802</v>
      </c>
      <c r="CT82" s="56">
        <f t="shared" si="313"/>
        <v>80</v>
      </c>
      <c r="CU82" s="103">
        <f t="shared" si="388"/>
        <v>0</v>
      </c>
      <c r="CV82" s="63">
        <f t="shared" si="344"/>
        <v>80</v>
      </c>
      <c r="CX82" s="197">
        <f>CX81+1</f>
        <v>23</v>
      </c>
      <c r="CY82" s="8">
        <f t="shared" si="390"/>
        <v>10</v>
      </c>
      <c r="CZ82" s="136"/>
      <c r="DA82" s="32">
        <f t="shared" si="228"/>
        <v>0</v>
      </c>
      <c r="DB82" s="53">
        <f t="shared" si="256"/>
        <v>0</v>
      </c>
      <c r="DC82" s="421"/>
      <c r="DD82" s="426"/>
      <c r="DE82" s="426"/>
      <c r="DF82" s="34">
        <f t="shared" si="371"/>
        <v>0</v>
      </c>
      <c r="DG82" s="34">
        <f t="shared" si="363"/>
        <v>0</v>
      </c>
      <c r="DH82" s="17">
        <f t="shared" si="314"/>
        <v>0.16</v>
      </c>
      <c r="DI82" s="166">
        <f t="shared" si="372"/>
        <v>0</v>
      </c>
      <c r="DJ82" s="33">
        <f t="shared" si="315"/>
        <v>3.2000000000000006</v>
      </c>
      <c r="DK82" s="156">
        <f t="shared" si="364"/>
        <v>0</v>
      </c>
      <c r="DL82" s="137"/>
      <c r="DM82" s="13">
        <f t="shared" si="316"/>
        <v>52</v>
      </c>
      <c r="DN82" s="54">
        <f t="shared" si="393"/>
        <v>0</v>
      </c>
      <c r="DO82" s="70">
        <f t="shared" si="365"/>
        <v>0</v>
      </c>
      <c r="DP82" s="50">
        <f t="shared" si="317"/>
        <v>802</v>
      </c>
      <c r="DQ82" s="103">
        <f t="shared" si="391"/>
        <v>0</v>
      </c>
      <c r="DR82" s="63">
        <f t="shared" si="140"/>
        <v>802</v>
      </c>
      <c r="DS82" s="56">
        <f t="shared" si="318"/>
        <v>80</v>
      </c>
      <c r="DT82" s="103">
        <f t="shared" si="392"/>
        <v>0</v>
      </c>
      <c r="DU82" s="63">
        <f t="shared" si="357"/>
        <v>80</v>
      </c>
    </row>
    <row r="83" spans="1:125" ht="17.25" thickBot="1" x14ac:dyDescent="0.3">
      <c r="B83" s="118">
        <v>11</v>
      </c>
      <c r="C83" s="575">
        <v>11</v>
      </c>
      <c r="D83" s="129"/>
      <c r="E83" s="400">
        <f t="shared" si="321"/>
        <v>0</v>
      </c>
      <c r="F83" s="561">
        <f t="shared" si="292"/>
        <v>0</v>
      </c>
      <c r="G83" s="130"/>
      <c r="H83" s="131"/>
      <c r="I83" s="131"/>
      <c r="J83" s="11">
        <f t="shared" si="366"/>
        <v>0</v>
      </c>
      <c r="K83" s="11">
        <f t="shared" si="322"/>
        <v>0</v>
      </c>
      <c r="L83" s="16">
        <f t="shared" si="293"/>
        <v>0.16</v>
      </c>
      <c r="M83" s="42">
        <f t="shared" si="349"/>
        <v>0</v>
      </c>
      <c r="N83" s="154">
        <f t="shared" si="294"/>
        <v>3.3600000000000008</v>
      </c>
      <c r="O83" s="132">
        <f t="shared" si="323"/>
        <v>0</v>
      </c>
      <c r="P83" s="158"/>
      <c r="Q83" s="11">
        <f t="shared" si="295"/>
        <v>55</v>
      </c>
      <c r="R83" s="441">
        <f t="shared" si="296"/>
        <v>0</v>
      </c>
      <c r="S83" s="469">
        <f t="shared" si="324"/>
        <v>0</v>
      </c>
      <c r="T83" s="58">
        <f t="shared" si="297"/>
        <v>880</v>
      </c>
      <c r="U83" s="131"/>
      <c r="V83" s="41">
        <f t="shared" si="326"/>
        <v>880</v>
      </c>
      <c r="W83" s="18">
        <f t="shared" si="298"/>
        <v>80</v>
      </c>
      <c r="X83" s="131"/>
      <c r="Y83" s="41">
        <f t="shared" si="328"/>
        <v>80</v>
      </c>
      <c r="Z83" s="487"/>
      <c r="AA83" s="118">
        <v>11</v>
      </c>
      <c r="AB83" s="9">
        <v>11</v>
      </c>
      <c r="AC83" s="129"/>
      <c r="AD83" s="43">
        <f t="shared" si="253"/>
        <v>0</v>
      </c>
      <c r="AE83" s="449">
        <f t="shared" si="254"/>
        <v>0</v>
      </c>
      <c r="AF83" s="130"/>
      <c r="AG83" s="131"/>
      <c r="AH83" s="131"/>
      <c r="AI83" s="11">
        <f t="shared" si="367"/>
        <v>0</v>
      </c>
      <c r="AJ83" s="11">
        <f t="shared" si="162"/>
        <v>0</v>
      </c>
      <c r="AK83" s="16">
        <f t="shared" si="299"/>
        <v>0.16</v>
      </c>
      <c r="AL83" s="42">
        <f t="shared" si="331"/>
        <v>0</v>
      </c>
      <c r="AM83" s="154">
        <f t="shared" si="300"/>
        <v>3.3600000000000008</v>
      </c>
      <c r="AN83" s="157">
        <f t="shared" si="358"/>
        <v>0</v>
      </c>
      <c r="AO83" s="130"/>
      <c r="AP83" s="11">
        <f t="shared" si="301"/>
        <v>55</v>
      </c>
      <c r="AQ83" s="441">
        <f t="shared" si="332"/>
        <v>0</v>
      </c>
      <c r="AR83" s="469">
        <f t="shared" si="164"/>
        <v>0</v>
      </c>
      <c r="AS83" s="61">
        <f t="shared" si="302"/>
        <v>880</v>
      </c>
      <c r="AT83" s="131"/>
      <c r="AU83" s="41">
        <f t="shared" si="136"/>
        <v>880</v>
      </c>
      <c r="AV83" s="18">
        <f t="shared" si="303"/>
        <v>80</v>
      </c>
      <c r="AW83" s="131"/>
      <c r="AX83" s="41">
        <f t="shared" si="359"/>
        <v>80</v>
      </c>
      <c r="AZ83" s="118">
        <v>11</v>
      </c>
      <c r="BA83" s="9">
        <v>11</v>
      </c>
      <c r="BB83" s="129"/>
      <c r="BC83" s="43">
        <f t="shared" si="337"/>
        <v>0</v>
      </c>
      <c r="BD83" s="449">
        <f t="shared" si="255"/>
        <v>0</v>
      </c>
      <c r="BE83" s="130"/>
      <c r="BF83" s="131"/>
      <c r="BG83" s="131"/>
      <c r="BH83" s="11">
        <f t="shared" si="368"/>
        <v>0</v>
      </c>
      <c r="BI83" s="11">
        <f t="shared" si="151"/>
        <v>0</v>
      </c>
      <c r="BJ83" s="16">
        <f t="shared" si="304"/>
        <v>0.16</v>
      </c>
      <c r="BK83" s="42">
        <f t="shared" si="350"/>
        <v>0</v>
      </c>
      <c r="BL83" s="154">
        <f t="shared" si="305"/>
        <v>3.3600000000000008</v>
      </c>
      <c r="BM83" s="132">
        <f t="shared" si="167"/>
        <v>0</v>
      </c>
      <c r="BN83" s="130"/>
      <c r="BO83" s="11">
        <f t="shared" si="306"/>
        <v>55</v>
      </c>
      <c r="BP83" s="441">
        <f t="shared" si="351"/>
        <v>0</v>
      </c>
      <c r="BQ83" s="746">
        <f t="shared" si="354"/>
        <v>0</v>
      </c>
      <c r="BR83" s="58">
        <f t="shared" si="307"/>
        <v>880</v>
      </c>
      <c r="BS83" s="131"/>
      <c r="BT83" s="41">
        <f t="shared" si="137"/>
        <v>880</v>
      </c>
      <c r="BU83" s="18">
        <f t="shared" si="308"/>
        <v>80</v>
      </c>
      <c r="BV83" s="131"/>
      <c r="BW83" s="41">
        <f t="shared" si="360"/>
        <v>80</v>
      </c>
      <c r="BY83" s="118">
        <v>24</v>
      </c>
      <c r="BZ83" s="9">
        <v>11</v>
      </c>
      <c r="CA83" s="129"/>
      <c r="CB83" s="11">
        <f t="shared" si="361"/>
        <v>0</v>
      </c>
      <c r="CC83" s="57">
        <f t="shared" si="369"/>
        <v>0</v>
      </c>
      <c r="CD83" s="398"/>
      <c r="CE83" s="399"/>
      <c r="CF83" s="399"/>
      <c r="CG83" s="11">
        <f t="shared" si="370"/>
        <v>0</v>
      </c>
      <c r="CH83" s="11">
        <f t="shared" si="362"/>
        <v>0</v>
      </c>
      <c r="CI83" s="16">
        <f t="shared" si="309"/>
        <v>0.16</v>
      </c>
      <c r="CJ83" s="231">
        <f t="shared" si="352"/>
        <v>0</v>
      </c>
      <c r="CK83" s="154">
        <f t="shared" si="310"/>
        <v>3.3600000000000008</v>
      </c>
      <c r="CL83" s="155">
        <f t="shared" si="355"/>
        <v>0</v>
      </c>
      <c r="CM83" s="130"/>
      <c r="CN83" s="11">
        <f t="shared" si="311"/>
        <v>55</v>
      </c>
      <c r="CO83" s="60">
        <f t="shared" si="356"/>
        <v>0</v>
      </c>
      <c r="CP83" s="377">
        <f t="shared" si="353"/>
        <v>0</v>
      </c>
      <c r="CQ83" s="58">
        <f t="shared" si="312"/>
        <v>880</v>
      </c>
      <c r="CR83" s="131"/>
      <c r="CS83" s="41">
        <f t="shared" si="138"/>
        <v>880</v>
      </c>
      <c r="CT83" s="58">
        <f t="shared" si="313"/>
        <v>80</v>
      </c>
      <c r="CU83" s="131"/>
      <c r="CV83" s="41">
        <f t="shared" si="344"/>
        <v>80</v>
      </c>
      <c r="CX83" s="118">
        <v>24</v>
      </c>
      <c r="CY83" s="9">
        <v>11</v>
      </c>
      <c r="CZ83" s="129"/>
      <c r="DA83" s="11">
        <f t="shared" si="228"/>
        <v>0</v>
      </c>
      <c r="DB83" s="57">
        <f t="shared" si="256"/>
        <v>0</v>
      </c>
      <c r="DC83" s="398"/>
      <c r="DD83" s="399"/>
      <c r="DE83" s="399"/>
      <c r="DF83" s="11">
        <f t="shared" si="371"/>
        <v>0</v>
      </c>
      <c r="DG83" s="11">
        <f t="shared" si="363"/>
        <v>0</v>
      </c>
      <c r="DH83" s="16">
        <f t="shared" si="314"/>
        <v>0.16</v>
      </c>
      <c r="DI83" s="231">
        <f t="shared" si="372"/>
        <v>0</v>
      </c>
      <c r="DJ83" s="154">
        <f t="shared" si="315"/>
        <v>3.3600000000000008</v>
      </c>
      <c r="DK83" s="155">
        <f t="shared" si="364"/>
        <v>0</v>
      </c>
      <c r="DL83" s="130"/>
      <c r="DM83" s="11">
        <f t="shared" si="316"/>
        <v>55</v>
      </c>
      <c r="DN83" s="60">
        <f t="shared" si="393"/>
        <v>0</v>
      </c>
      <c r="DO83" s="377">
        <f t="shared" si="365"/>
        <v>0</v>
      </c>
      <c r="DP83" s="58">
        <f t="shared" si="317"/>
        <v>880</v>
      </c>
      <c r="DQ83" s="131"/>
      <c r="DR83" s="41">
        <f t="shared" si="140"/>
        <v>880</v>
      </c>
      <c r="DS83" s="58">
        <f t="shared" si="318"/>
        <v>80</v>
      </c>
      <c r="DT83" s="131"/>
      <c r="DU83" s="41">
        <f t="shared" si="357"/>
        <v>80</v>
      </c>
    </row>
    <row r="84" spans="1:125" ht="17.25" thickBot="1" x14ac:dyDescent="0.3">
      <c r="B84" s="120">
        <f>B83+1</f>
        <v>12</v>
      </c>
      <c r="C84" s="570">
        <f>C83</f>
        <v>11</v>
      </c>
      <c r="D84" s="133"/>
      <c r="E84" s="408">
        <f t="shared" si="321"/>
        <v>0</v>
      </c>
      <c r="F84" s="562">
        <f t="shared" si="292"/>
        <v>0</v>
      </c>
      <c r="G84" s="134"/>
      <c r="H84" s="135"/>
      <c r="I84" s="135"/>
      <c r="J84" s="14">
        <f t="shared" si="366"/>
        <v>0</v>
      </c>
      <c r="K84" s="14">
        <f t="shared" si="322"/>
        <v>0</v>
      </c>
      <c r="L84" s="14">
        <f t="shared" si="293"/>
        <v>0.16</v>
      </c>
      <c r="M84" s="47">
        <f t="shared" si="349"/>
        <v>0</v>
      </c>
      <c r="N84" s="35">
        <f t="shared" si="294"/>
        <v>3.3600000000000008</v>
      </c>
      <c r="O84" s="132">
        <f t="shared" si="323"/>
        <v>0</v>
      </c>
      <c r="P84" s="142"/>
      <c r="Q84" s="14">
        <f t="shared" si="295"/>
        <v>55</v>
      </c>
      <c r="R84" s="480">
        <f t="shared" si="296"/>
        <v>0</v>
      </c>
      <c r="S84" s="470">
        <f t="shared" si="324"/>
        <v>0</v>
      </c>
      <c r="T84" s="51">
        <f t="shared" si="297"/>
        <v>880</v>
      </c>
      <c r="U84" s="103">
        <f>U83</f>
        <v>0</v>
      </c>
      <c r="V84" s="46">
        <f t="shared" si="326"/>
        <v>880</v>
      </c>
      <c r="W84" s="51">
        <f t="shared" si="298"/>
        <v>80</v>
      </c>
      <c r="X84" s="103">
        <f>X83</f>
        <v>0</v>
      </c>
      <c r="Y84" s="46">
        <f t="shared" si="328"/>
        <v>80</v>
      </c>
      <c r="Z84" s="487"/>
      <c r="AA84" s="120">
        <f>AA83+1</f>
        <v>12</v>
      </c>
      <c r="AB84" s="7">
        <f>AB83</f>
        <v>11</v>
      </c>
      <c r="AC84" s="133"/>
      <c r="AD84" s="48">
        <f t="shared" si="253"/>
        <v>0</v>
      </c>
      <c r="AE84" s="49">
        <f t="shared" si="254"/>
        <v>0</v>
      </c>
      <c r="AF84" s="134"/>
      <c r="AG84" s="135"/>
      <c r="AH84" s="135"/>
      <c r="AI84" s="14">
        <f t="shared" si="367"/>
        <v>0</v>
      </c>
      <c r="AJ84" s="14">
        <f t="shared" si="162"/>
        <v>0</v>
      </c>
      <c r="AK84" s="14">
        <f t="shared" si="299"/>
        <v>0.16</v>
      </c>
      <c r="AL84" s="47">
        <f t="shared" si="331"/>
        <v>0</v>
      </c>
      <c r="AM84" s="35">
        <f t="shared" si="300"/>
        <v>3.3600000000000008</v>
      </c>
      <c r="AN84" s="157">
        <f t="shared" si="358"/>
        <v>0</v>
      </c>
      <c r="AO84" s="134"/>
      <c r="AP84" s="14">
        <f t="shared" si="301"/>
        <v>55</v>
      </c>
      <c r="AQ84" s="480">
        <f t="shared" si="332"/>
        <v>0</v>
      </c>
      <c r="AR84" s="470">
        <f t="shared" si="164"/>
        <v>0</v>
      </c>
      <c r="AS84" s="51">
        <f t="shared" si="302"/>
        <v>880</v>
      </c>
      <c r="AT84" s="103">
        <f>AT83</f>
        <v>0</v>
      </c>
      <c r="AU84" s="46">
        <f t="shared" ref="AU84:AU138" si="394">AS84-AT84</f>
        <v>880</v>
      </c>
      <c r="AV84" s="51">
        <f t="shared" si="303"/>
        <v>80</v>
      </c>
      <c r="AW84" s="103">
        <f>AW83</f>
        <v>0</v>
      </c>
      <c r="AX84" s="46">
        <f t="shared" si="359"/>
        <v>80</v>
      </c>
      <c r="AZ84" s="120">
        <f>AZ83+1</f>
        <v>12</v>
      </c>
      <c r="BA84" s="7">
        <f>BA83</f>
        <v>11</v>
      </c>
      <c r="BB84" s="133"/>
      <c r="BC84" s="48">
        <f t="shared" si="337"/>
        <v>0</v>
      </c>
      <c r="BD84" s="49">
        <f t="shared" si="255"/>
        <v>0</v>
      </c>
      <c r="BE84" s="134"/>
      <c r="BF84" s="135"/>
      <c r="BG84" s="135"/>
      <c r="BH84" s="14">
        <f t="shared" si="368"/>
        <v>0</v>
      </c>
      <c r="BI84" s="14">
        <f t="shared" si="151"/>
        <v>0</v>
      </c>
      <c r="BJ84" s="14">
        <f t="shared" si="304"/>
        <v>0.16</v>
      </c>
      <c r="BK84" s="47">
        <f t="shared" si="350"/>
        <v>0</v>
      </c>
      <c r="BL84" s="35">
        <f t="shared" si="305"/>
        <v>3.3600000000000008</v>
      </c>
      <c r="BM84" s="132">
        <f t="shared" si="167"/>
        <v>0</v>
      </c>
      <c r="BN84" s="134"/>
      <c r="BO84" s="14">
        <f t="shared" si="306"/>
        <v>55</v>
      </c>
      <c r="BP84" s="442">
        <f t="shared" si="351"/>
        <v>0</v>
      </c>
      <c r="BQ84" s="747">
        <f t="shared" si="354"/>
        <v>0</v>
      </c>
      <c r="BR84" s="51">
        <f t="shared" si="307"/>
        <v>880</v>
      </c>
      <c r="BS84" s="103">
        <f>BS83</f>
        <v>0</v>
      </c>
      <c r="BT84" s="46">
        <f t="shared" ref="BT84:BT138" si="395">BR84-BS84</f>
        <v>880</v>
      </c>
      <c r="BU84" s="51">
        <f t="shared" si="308"/>
        <v>80</v>
      </c>
      <c r="BV84" s="103">
        <f>BV83</f>
        <v>0</v>
      </c>
      <c r="BW84" s="46">
        <f t="shared" si="360"/>
        <v>80</v>
      </c>
      <c r="BY84" s="120">
        <f>BY83+1</f>
        <v>25</v>
      </c>
      <c r="BZ84" s="7">
        <f>BZ83</f>
        <v>11</v>
      </c>
      <c r="CA84" s="133"/>
      <c r="CB84" s="14">
        <f t="shared" si="361"/>
        <v>0</v>
      </c>
      <c r="CC84" s="46">
        <f t="shared" si="369"/>
        <v>0</v>
      </c>
      <c r="CD84" s="405"/>
      <c r="CE84" s="406"/>
      <c r="CF84" s="406"/>
      <c r="CG84" s="14">
        <f t="shared" si="370"/>
        <v>0</v>
      </c>
      <c r="CH84" s="14">
        <f t="shared" si="362"/>
        <v>0</v>
      </c>
      <c r="CI84" s="14">
        <f t="shared" si="309"/>
        <v>0.16</v>
      </c>
      <c r="CJ84" s="47">
        <f t="shared" si="352"/>
        <v>0</v>
      </c>
      <c r="CK84" s="35">
        <f t="shared" si="310"/>
        <v>3.3600000000000008</v>
      </c>
      <c r="CL84" s="157">
        <f t="shared" si="355"/>
        <v>0</v>
      </c>
      <c r="CM84" s="134"/>
      <c r="CN84" s="14">
        <f t="shared" si="311"/>
        <v>55</v>
      </c>
      <c r="CO84" s="48">
        <f t="shared" si="356"/>
        <v>0</v>
      </c>
      <c r="CP84" s="68">
        <f t="shared" si="353"/>
        <v>0</v>
      </c>
      <c r="CQ84" s="51">
        <f t="shared" si="312"/>
        <v>880</v>
      </c>
      <c r="CR84" s="103">
        <f>CR83</f>
        <v>0</v>
      </c>
      <c r="CS84" s="46">
        <f t="shared" ref="CS84:CS138" si="396">CQ84-CR84</f>
        <v>880</v>
      </c>
      <c r="CT84" s="12">
        <f t="shared" si="313"/>
        <v>80</v>
      </c>
      <c r="CU84" s="103">
        <f>CU83</f>
        <v>0</v>
      </c>
      <c r="CV84" s="46">
        <f t="shared" si="344"/>
        <v>80</v>
      </c>
      <c r="CX84" s="120">
        <f>CX83+1</f>
        <v>25</v>
      </c>
      <c r="CY84" s="7">
        <f>CY83</f>
        <v>11</v>
      </c>
      <c r="CZ84" s="133"/>
      <c r="DA84" s="14">
        <f t="shared" si="228"/>
        <v>0</v>
      </c>
      <c r="DB84" s="46">
        <f t="shared" si="256"/>
        <v>0</v>
      </c>
      <c r="DC84" s="405"/>
      <c r="DD84" s="406"/>
      <c r="DE84" s="406"/>
      <c r="DF84" s="14">
        <f t="shared" si="371"/>
        <v>0</v>
      </c>
      <c r="DG84" s="14">
        <f t="shared" si="363"/>
        <v>0</v>
      </c>
      <c r="DH84" s="14">
        <f t="shared" si="314"/>
        <v>0.16</v>
      </c>
      <c r="DI84" s="47">
        <f t="shared" si="372"/>
        <v>0</v>
      </c>
      <c r="DJ84" s="35">
        <f t="shared" si="315"/>
        <v>3.3600000000000008</v>
      </c>
      <c r="DK84" s="157">
        <f t="shared" si="364"/>
        <v>0</v>
      </c>
      <c r="DL84" s="134"/>
      <c r="DM84" s="14">
        <f t="shared" si="316"/>
        <v>55</v>
      </c>
      <c r="DN84" s="48">
        <f t="shared" si="393"/>
        <v>0</v>
      </c>
      <c r="DO84" s="68">
        <f t="shared" si="365"/>
        <v>0</v>
      </c>
      <c r="DP84" s="51">
        <f t="shared" si="317"/>
        <v>880</v>
      </c>
      <c r="DQ84" s="103">
        <f>DQ83</f>
        <v>0</v>
      </c>
      <c r="DR84" s="46">
        <f t="shared" ref="DR84:DR138" si="397">DP84-DQ84</f>
        <v>880</v>
      </c>
      <c r="DS84" s="12">
        <f t="shared" si="318"/>
        <v>80</v>
      </c>
      <c r="DT84" s="103">
        <f>DT83</f>
        <v>0</v>
      </c>
      <c r="DU84" s="46">
        <f t="shared" si="357"/>
        <v>80</v>
      </c>
    </row>
    <row r="85" spans="1:125" ht="17.25" thickBot="1" x14ac:dyDescent="0.3">
      <c r="B85" s="120">
        <f t="shared" ref="B85:B89" si="398">B84+1</f>
        <v>13</v>
      </c>
      <c r="C85" s="570">
        <f t="shared" ref="C85:C89" si="399">C84</f>
        <v>11</v>
      </c>
      <c r="D85" s="133"/>
      <c r="E85" s="408">
        <f t="shared" si="321"/>
        <v>0</v>
      </c>
      <c r="F85" s="562">
        <f t="shared" si="292"/>
        <v>0</v>
      </c>
      <c r="G85" s="134"/>
      <c r="H85" s="135"/>
      <c r="I85" s="135"/>
      <c r="J85" s="14">
        <f t="shared" si="366"/>
        <v>0</v>
      </c>
      <c r="K85" s="14">
        <f t="shared" si="322"/>
        <v>0</v>
      </c>
      <c r="L85" s="14">
        <f t="shared" si="293"/>
        <v>0.16</v>
      </c>
      <c r="M85" s="47">
        <f t="shared" si="349"/>
        <v>0</v>
      </c>
      <c r="N85" s="35">
        <f t="shared" si="294"/>
        <v>3.3600000000000008</v>
      </c>
      <c r="O85" s="132">
        <f t="shared" si="323"/>
        <v>0</v>
      </c>
      <c r="P85" s="142"/>
      <c r="Q85" s="14">
        <f t="shared" si="295"/>
        <v>55</v>
      </c>
      <c r="R85" s="482">
        <f t="shared" si="296"/>
        <v>0</v>
      </c>
      <c r="S85" s="470">
        <f t="shared" si="324"/>
        <v>0</v>
      </c>
      <c r="T85" s="51">
        <f t="shared" si="297"/>
        <v>880</v>
      </c>
      <c r="U85" s="103">
        <f t="shared" ref="U85:U89" si="400">U84</f>
        <v>0</v>
      </c>
      <c r="V85" s="46">
        <f t="shared" si="326"/>
        <v>880</v>
      </c>
      <c r="W85" s="12">
        <f t="shared" si="298"/>
        <v>80</v>
      </c>
      <c r="X85" s="103">
        <f t="shared" ref="X85:X89" si="401">X84</f>
        <v>0</v>
      </c>
      <c r="Y85" s="46">
        <f t="shared" si="328"/>
        <v>80</v>
      </c>
      <c r="Z85" s="487"/>
      <c r="AA85" s="120">
        <f t="shared" ref="AA85:AA89" si="402">AA84+1</f>
        <v>13</v>
      </c>
      <c r="AB85" s="7">
        <f t="shared" ref="AB85:AB89" si="403">AB84</f>
        <v>11</v>
      </c>
      <c r="AC85" s="133"/>
      <c r="AD85" s="48">
        <f t="shared" si="253"/>
        <v>0</v>
      </c>
      <c r="AE85" s="447">
        <f t="shared" si="254"/>
        <v>0</v>
      </c>
      <c r="AF85" s="134"/>
      <c r="AG85" s="135"/>
      <c r="AH85" s="135"/>
      <c r="AI85" s="14">
        <f t="shared" si="367"/>
        <v>0</v>
      </c>
      <c r="AJ85" s="14">
        <f t="shared" si="162"/>
        <v>0</v>
      </c>
      <c r="AK85" s="14">
        <f t="shared" si="299"/>
        <v>0.16</v>
      </c>
      <c r="AL85" s="47">
        <f t="shared" si="331"/>
        <v>0</v>
      </c>
      <c r="AM85" s="35">
        <f t="shared" si="300"/>
        <v>3.3600000000000008</v>
      </c>
      <c r="AN85" s="157">
        <f t="shared" si="358"/>
        <v>0</v>
      </c>
      <c r="AO85" s="134"/>
      <c r="AP85" s="14">
        <f t="shared" si="301"/>
        <v>55</v>
      </c>
      <c r="AQ85" s="482">
        <f t="shared" si="332"/>
        <v>0</v>
      </c>
      <c r="AR85" s="470">
        <f t="shared" si="164"/>
        <v>0</v>
      </c>
      <c r="AS85" s="51">
        <f t="shared" si="302"/>
        <v>880</v>
      </c>
      <c r="AT85" s="103">
        <f t="shared" ref="AT85:AT89" si="404">AT84</f>
        <v>0</v>
      </c>
      <c r="AU85" s="46">
        <f t="shared" si="394"/>
        <v>880</v>
      </c>
      <c r="AV85" s="12">
        <f t="shared" si="303"/>
        <v>80</v>
      </c>
      <c r="AW85" s="103">
        <f t="shared" ref="AW85:AW89" si="405">AW84</f>
        <v>0</v>
      </c>
      <c r="AX85" s="46">
        <f t="shared" si="359"/>
        <v>80</v>
      </c>
      <c r="AZ85" s="120">
        <f t="shared" ref="AZ85:AZ89" si="406">AZ84+1</f>
        <v>13</v>
      </c>
      <c r="BA85" s="7">
        <f t="shared" ref="BA85:BA89" si="407">BA84</f>
        <v>11</v>
      </c>
      <c r="BB85" s="133"/>
      <c r="BC85" s="48">
        <f t="shared" si="337"/>
        <v>0</v>
      </c>
      <c r="BD85" s="447">
        <f t="shared" si="255"/>
        <v>0</v>
      </c>
      <c r="BE85" s="134"/>
      <c r="BF85" s="135"/>
      <c r="BG85" s="135"/>
      <c r="BH85" s="14">
        <f t="shared" si="368"/>
        <v>0</v>
      </c>
      <c r="BI85" s="14">
        <f t="shared" si="151"/>
        <v>0</v>
      </c>
      <c r="BJ85" s="14">
        <f t="shared" si="304"/>
        <v>0.16</v>
      </c>
      <c r="BK85" s="47">
        <f t="shared" si="350"/>
        <v>0</v>
      </c>
      <c r="BL85" s="35">
        <f t="shared" si="305"/>
        <v>3.3600000000000008</v>
      </c>
      <c r="BM85" s="132">
        <f t="shared" si="167"/>
        <v>0</v>
      </c>
      <c r="BN85" s="134"/>
      <c r="BO85" s="14">
        <f t="shared" si="306"/>
        <v>55</v>
      </c>
      <c r="BP85" s="442">
        <f t="shared" si="351"/>
        <v>0</v>
      </c>
      <c r="BQ85" s="747">
        <f t="shared" si="354"/>
        <v>0</v>
      </c>
      <c r="BR85" s="51">
        <f t="shared" si="307"/>
        <v>880</v>
      </c>
      <c r="BS85" s="103">
        <f t="shared" ref="BS85:BS89" si="408">BS84</f>
        <v>0</v>
      </c>
      <c r="BT85" s="46">
        <f t="shared" si="395"/>
        <v>880</v>
      </c>
      <c r="BU85" s="12">
        <f t="shared" si="308"/>
        <v>80</v>
      </c>
      <c r="BV85" s="103">
        <f t="shared" ref="BV85:BV89" si="409">BV84</f>
        <v>0</v>
      </c>
      <c r="BW85" s="46">
        <f t="shared" si="360"/>
        <v>80</v>
      </c>
      <c r="BY85" s="120">
        <f t="shared" ref="BY85:BY88" si="410">BY84+1</f>
        <v>26</v>
      </c>
      <c r="BZ85" s="7">
        <f t="shared" ref="BZ85:BZ89" si="411">BZ84</f>
        <v>11</v>
      </c>
      <c r="CA85" s="133"/>
      <c r="CB85" s="14">
        <f t="shared" si="361"/>
        <v>0</v>
      </c>
      <c r="CC85" s="62">
        <f t="shared" si="369"/>
        <v>0</v>
      </c>
      <c r="CD85" s="405"/>
      <c r="CE85" s="406"/>
      <c r="CF85" s="406"/>
      <c r="CG85" s="14">
        <f t="shared" si="370"/>
        <v>0</v>
      </c>
      <c r="CH85" s="14">
        <f t="shared" si="362"/>
        <v>0</v>
      </c>
      <c r="CI85" s="14">
        <f t="shared" si="309"/>
        <v>0.16</v>
      </c>
      <c r="CJ85" s="47">
        <f t="shared" si="352"/>
        <v>0</v>
      </c>
      <c r="CK85" s="35">
        <f t="shared" si="310"/>
        <v>3.3600000000000008</v>
      </c>
      <c r="CL85" s="157">
        <f t="shared" si="355"/>
        <v>0</v>
      </c>
      <c r="CM85" s="134"/>
      <c r="CN85" s="14">
        <f t="shared" si="311"/>
        <v>55</v>
      </c>
      <c r="CO85" s="48">
        <f t="shared" si="356"/>
        <v>0</v>
      </c>
      <c r="CP85" s="68">
        <f t="shared" si="353"/>
        <v>0</v>
      </c>
      <c r="CQ85" s="51">
        <f t="shared" si="312"/>
        <v>880</v>
      </c>
      <c r="CR85" s="103">
        <f t="shared" ref="CR85:CR89" si="412">CR84</f>
        <v>0</v>
      </c>
      <c r="CS85" s="46">
        <f t="shared" si="396"/>
        <v>880</v>
      </c>
      <c r="CT85" s="50">
        <f t="shared" si="313"/>
        <v>80</v>
      </c>
      <c r="CU85" s="103">
        <f t="shared" ref="CU85:CU89" si="413">CU84</f>
        <v>0</v>
      </c>
      <c r="CV85" s="46">
        <f t="shared" si="344"/>
        <v>80</v>
      </c>
      <c r="CX85" s="120">
        <f t="shared" ref="CX85:CX88" si="414">CX84+1</f>
        <v>26</v>
      </c>
      <c r="CY85" s="7">
        <f t="shared" ref="CY85:CY89" si="415">CY84</f>
        <v>11</v>
      </c>
      <c r="CZ85" s="133"/>
      <c r="DA85" s="14">
        <f t="shared" si="228"/>
        <v>0</v>
      </c>
      <c r="DB85" s="62">
        <f t="shared" si="256"/>
        <v>0</v>
      </c>
      <c r="DC85" s="405"/>
      <c r="DD85" s="406"/>
      <c r="DE85" s="406"/>
      <c r="DF85" s="14">
        <f t="shared" si="371"/>
        <v>0</v>
      </c>
      <c r="DG85" s="14">
        <f t="shared" si="363"/>
        <v>0</v>
      </c>
      <c r="DH85" s="14">
        <f t="shared" si="314"/>
        <v>0.16</v>
      </c>
      <c r="DI85" s="47">
        <f t="shared" si="372"/>
        <v>0</v>
      </c>
      <c r="DJ85" s="35">
        <f t="shared" si="315"/>
        <v>3.3600000000000008</v>
      </c>
      <c r="DK85" s="157">
        <f t="shared" si="364"/>
        <v>0</v>
      </c>
      <c r="DL85" s="134"/>
      <c r="DM85" s="14">
        <f t="shared" si="316"/>
        <v>55</v>
      </c>
      <c r="DN85" s="48">
        <f t="shared" si="393"/>
        <v>0</v>
      </c>
      <c r="DO85" s="68">
        <f t="shared" si="365"/>
        <v>0</v>
      </c>
      <c r="DP85" s="51">
        <f t="shared" si="317"/>
        <v>880</v>
      </c>
      <c r="DQ85" s="103">
        <f t="shared" ref="DQ85:DQ89" si="416">DQ84</f>
        <v>0</v>
      </c>
      <c r="DR85" s="46">
        <f t="shared" si="397"/>
        <v>880</v>
      </c>
      <c r="DS85" s="50">
        <f t="shared" si="318"/>
        <v>80</v>
      </c>
      <c r="DT85" s="103">
        <f t="shared" ref="DT85:DT89" si="417">DT84</f>
        <v>0</v>
      </c>
      <c r="DU85" s="46">
        <f t="shared" si="357"/>
        <v>80</v>
      </c>
    </row>
    <row r="86" spans="1:125" ht="17.25" thickBot="1" x14ac:dyDescent="0.3">
      <c r="B86" s="120">
        <f t="shared" si="398"/>
        <v>14</v>
      </c>
      <c r="C86" s="570">
        <f t="shared" si="399"/>
        <v>11</v>
      </c>
      <c r="D86" s="133"/>
      <c r="E86" s="408">
        <f t="shared" si="321"/>
        <v>0</v>
      </c>
      <c r="F86" s="562">
        <f t="shared" si="292"/>
        <v>0</v>
      </c>
      <c r="G86" s="134"/>
      <c r="H86" s="135"/>
      <c r="I86" s="135"/>
      <c r="J86" s="14">
        <f t="shared" si="366"/>
        <v>0</v>
      </c>
      <c r="K86" s="17">
        <f t="shared" si="322"/>
        <v>0</v>
      </c>
      <c r="L86" s="14">
        <f t="shared" si="293"/>
        <v>0.16</v>
      </c>
      <c r="M86" s="231">
        <f t="shared" si="349"/>
        <v>0</v>
      </c>
      <c r="N86" s="35">
        <f t="shared" si="294"/>
        <v>3.3600000000000008</v>
      </c>
      <c r="O86" s="132">
        <f t="shared" si="323"/>
        <v>0</v>
      </c>
      <c r="P86" s="142"/>
      <c r="Q86" s="14">
        <f t="shared" si="295"/>
        <v>55</v>
      </c>
      <c r="R86" s="482">
        <f t="shared" si="296"/>
        <v>0</v>
      </c>
      <c r="S86" s="470">
        <f t="shared" si="324"/>
        <v>0</v>
      </c>
      <c r="T86" s="51">
        <f t="shared" si="297"/>
        <v>880</v>
      </c>
      <c r="U86" s="103">
        <f t="shared" si="400"/>
        <v>0</v>
      </c>
      <c r="V86" s="46">
        <f t="shared" si="326"/>
        <v>880</v>
      </c>
      <c r="W86" s="50">
        <f t="shared" si="298"/>
        <v>80</v>
      </c>
      <c r="X86" s="103">
        <f t="shared" si="401"/>
        <v>0</v>
      </c>
      <c r="Y86" s="46">
        <f t="shared" si="328"/>
        <v>80</v>
      </c>
      <c r="Z86" s="487"/>
      <c r="AA86" s="120">
        <f t="shared" si="402"/>
        <v>14</v>
      </c>
      <c r="AB86" s="7">
        <f t="shared" si="403"/>
        <v>11</v>
      </c>
      <c r="AC86" s="133"/>
      <c r="AD86" s="48">
        <f t="shared" si="253"/>
        <v>0</v>
      </c>
      <c r="AE86" s="196">
        <f t="shared" si="254"/>
        <v>0</v>
      </c>
      <c r="AF86" s="134"/>
      <c r="AG86" s="135"/>
      <c r="AH86" s="135"/>
      <c r="AI86" s="14">
        <f t="shared" si="367"/>
        <v>0</v>
      </c>
      <c r="AJ86" s="17">
        <f t="shared" si="162"/>
        <v>0</v>
      </c>
      <c r="AK86" s="14">
        <f t="shared" si="299"/>
        <v>0.16</v>
      </c>
      <c r="AL86" s="231">
        <f t="shared" si="331"/>
        <v>0</v>
      </c>
      <c r="AM86" s="35">
        <f t="shared" si="300"/>
        <v>3.3600000000000008</v>
      </c>
      <c r="AN86" s="157">
        <f t="shared" si="358"/>
        <v>0</v>
      </c>
      <c r="AO86" s="134"/>
      <c r="AP86" s="14">
        <f t="shared" si="301"/>
        <v>55</v>
      </c>
      <c r="AQ86" s="482">
        <f t="shared" si="332"/>
        <v>0</v>
      </c>
      <c r="AR86" s="470">
        <f t="shared" si="164"/>
        <v>0</v>
      </c>
      <c r="AS86" s="51">
        <f t="shared" si="302"/>
        <v>880</v>
      </c>
      <c r="AT86" s="103">
        <f t="shared" si="404"/>
        <v>0</v>
      </c>
      <c r="AU86" s="46">
        <f t="shared" si="394"/>
        <v>880</v>
      </c>
      <c r="AV86" s="50">
        <f t="shared" si="303"/>
        <v>80</v>
      </c>
      <c r="AW86" s="103">
        <f t="shared" si="405"/>
        <v>0</v>
      </c>
      <c r="AX86" s="46">
        <f t="shared" si="359"/>
        <v>80</v>
      </c>
      <c r="AZ86" s="120">
        <f t="shared" si="406"/>
        <v>14</v>
      </c>
      <c r="BA86" s="7">
        <f t="shared" si="407"/>
        <v>11</v>
      </c>
      <c r="BB86" s="133"/>
      <c r="BC86" s="48">
        <f t="shared" si="337"/>
        <v>0</v>
      </c>
      <c r="BD86" s="196">
        <f t="shared" si="255"/>
        <v>0</v>
      </c>
      <c r="BE86" s="134"/>
      <c r="BF86" s="135"/>
      <c r="BG86" s="135"/>
      <c r="BH86" s="14">
        <f t="shared" si="368"/>
        <v>0</v>
      </c>
      <c r="BI86" s="17">
        <f t="shared" ref="BI86:BI104" si="418">BI85+BH86</f>
        <v>0</v>
      </c>
      <c r="BJ86" s="14">
        <f t="shared" si="304"/>
        <v>0.16</v>
      </c>
      <c r="BK86" s="47">
        <f t="shared" si="350"/>
        <v>0</v>
      </c>
      <c r="BL86" s="35">
        <f t="shared" si="305"/>
        <v>3.3600000000000008</v>
      </c>
      <c r="BM86" s="132">
        <f t="shared" si="167"/>
        <v>0</v>
      </c>
      <c r="BN86" s="134"/>
      <c r="BO86" s="14">
        <f t="shared" si="306"/>
        <v>55</v>
      </c>
      <c r="BP86" s="442">
        <f t="shared" si="351"/>
        <v>0</v>
      </c>
      <c r="BQ86" s="747">
        <f t="shared" si="354"/>
        <v>0</v>
      </c>
      <c r="BR86" s="51">
        <f t="shared" si="307"/>
        <v>880</v>
      </c>
      <c r="BS86" s="103">
        <f t="shared" si="408"/>
        <v>0</v>
      </c>
      <c r="BT86" s="46">
        <f t="shared" si="395"/>
        <v>880</v>
      </c>
      <c r="BU86" s="50">
        <f t="shared" si="308"/>
        <v>80</v>
      </c>
      <c r="BV86" s="103">
        <f t="shared" si="409"/>
        <v>0</v>
      </c>
      <c r="BW86" s="46">
        <f t="shared" si="360"/>
        <v>80</v>
      </c>
      <c r="BY86" s="120">
        <f t="shared" si="410"/>
        <v>27</v>
      </c>
      <c r="BZ86" s="7">
        <f t="shared" si="411"/>
        <v>11</v>
      </c>
      <c r="CA86" s="133"/>
      <c r="CB86" s="14">
        <f t="shared" si="361"/>
        <v>0</v>
      </c>
      <c r="CC86" s="59">
        <f t="shared" si="369"/>
        <v>0</v>
      </c>
      <c r="CD86" s="405"/>
      <c r="CE86" s="406"/>
      <c r="CF86" s="406"/>
      <c r="CG86" s="14">
        <f t="shared" si="370"/>
        <v>0</v>
      </c>
      <c r="CH86" s="17">
        <f t="shared" si="362"/>
        <v>0</v>
      </c>
      <c r="CI86" s="14">
        <f t="shared" si="309"/>
        <v>0.16</v>
      </c>
      <c r="CJ86" s="47">
        <f t="shared" si="352"/>
        <v>0</v>
      </c>
      <c r="CK86" s="35">
        <f t="shared" si="310"/>
        <v>3.3600000000000008</v>
      </c>
      <c r="CL86" s="157">
        <f t="shared" si="355"/>
        <v>0</v>
      </c>
      <c r="CM86" s="134"/>
      <c r="CN86" s="14">
        <f t="shared" si="311"/>
        <v>55</v>
      </c>
      <c r="CO86" s="48">
        <f t="shared" si="356"/>
        <v>0</v>
      </c>
      <c r="CP86" s="68">
        <f t="shared" si="353"/>
        <v>0</v>
      </c>
      <c r="CQ86" s="51">
        <f t="shared" si="312"/>
        <v>880</v>
      </c>
      <c r="CR86" s="103">
        <f t="shared" si="412"/>
        <v>0</v>
      </c>
      <c r="CS86" s="46">
        <f t="shared" si="396"/>
        <v>880</v>
      </c>
      <c r="CT86" s="50">
        <f t="shared" si="313"/>
        <v>80</v>
      </c>
      <c r="CU86" s="103">
        <f t="shared" si="413"/>
        <v>0</v>
      </c>
      <c r="CV86" s="46">
        <f t="shared" si="344"/>
        <v>80</v>
      </c>
      <c r="CX86" s="120">
        <f t="shared" si="414"/>
        <v>27</v>
      </c>
      <c r="CY86" s="7">
        <f t="shared" si="415"/>
        <v>11</v>
      </c>
      <c r="CZ86" s="133"/>
      <c r="DA86" s="14">
        <f t="shared" si="228"/>
        <v>0</v>
      </c>
      <c r="DB86" s="59">
        <f t="shared" si="256"/>
        <v>0</v>
      </c>
      <c r="DC86" s="405"/>
      <c r="DD86" s="406"/>
      <c r="DE86" s="406"/>
      <c r="DF86" s="14">
        <f t="shared" si="371"/>
        <v>0</v>
      </c>
      <c r="DG86" s="17">
        <f t="shared" si="363"/>
        <v>0</v>
      </c>
      <c r="DH86" s="14">
        <f t="shared" si="314"/>
        <v>0.16</v>
      </c>
      <c r="DI86" s="47">
        <f t="shared" si="372"/>
        <v>0</v>
      </c>
      <c r="DJ86" s="35">
        <f t="shared" si="315"/>
        <v>3.3600000000000008</v>
      </c>
      <c r="DK86" s="157">
        <f t="shared" si="364"/>
        <v>0</v>
      </c>
      <c r="DL86" s="134"/>
      <c r="DM86" s="14">
        <f t="shared" si="316"/>
        <v>55</v>
      </c>
      <c r="DN86" s="48">
        <f t="shared" si="393"/>
        <v>0</v>
      </c>
      <c r="DO86" s="68">
        <f t="shared" si="365"/>
        <v>0</v>
      </c>
      <c r="DP86" s="51">
        <f t="shared" si="317"/>
        <v>880</v>
      </c>
      <c r="DQ86" s="103">
        <f t="shared" si="416"/>
        <v>0</v>
      </c>
      <c r="DR86" s="46">
        <f t="shared" si="397"/>
        <v>880</v>
      </c>
      <c r="DS86" s="50">
        <f t="shared" si="318"/>
        <v>80</v>
      </c>
      <c r="DT86" s="103">
        <f t="shared" si="417"/>
        <v>0</v>
      </c>
      <c r="DU86" s="46">
        <f t="shared" si="357"/>
        <v>80</v>
      </c>
    </row>
    <row r="87" spans="1:125" ht="17.25" thickBot="1" x14ac:dyDescent="0.3">
      <c r="B87" s="120">
        <f t="shared" si="398"/>
        <v>15</v>
      </c>
      <c r="C87" s="570">
        <f t="shared" si="399"/>
        <v>11</v>
      </c>
      <c r="D87" s="133"/>
      <c r="E87" s="563">
        <f t="shared" si="321"/>
        <v>0</v>
      </c>
      <c r="F87" s="560">
        <f t="shared" si="292"/>
        <v>0</v>
      </c>
      <c r="G87" s="144"/>
      <c r="H87" s="135"/>
      <c r="I87" s="135"/>
      <c r="J87" s="14">
        <f t="shared" si="366"/>
        <v>0</v>
      </c>
      <c r="K87" s="14">
        <f t="shared" si="322"/>
        <v>0</v>
      </c>
      <c r="L87" s="14">
        <f t="shared" si="293"/>
        <v>0.16</v>
      </c>
      <c r="M87" s="47">
        <f t="shared" si="349"/>
        <v>0</v>
      </c>
      <c r="N87" s="35">
        <f t="shared" si="294"/>
        <v>3.3600000000000008</v>
      </c>
      <c r="O87" s="132">
        <f t="shared" si="323"/>
        <v>0</v>
      </c>
      <c r="P87" s="142"/>
      <c r="Q87" s="14">
        <f t="shared" si="295"/>
        <v>55</v>
      </c>
      <c r="R87" s="442">
        <f t="shared" si="296"/>
        <v>0</v>
      </c>
      <c r="S87" s="470">
        <f t="shared" si="324"/>
        <v>0</v>
      </c>
      <c r="T87" s="51">
        <f t="shared" si="297"/>
        <v>880</v>
      </c>
      <c r="U87" s="103">
        <f t="shared" si="400"/>
        <v>0</v>
      </c>
      <c r="V87" s="46">
        <f t="shared" si="326"/>
        <v>880</v>
      </c>
      <c r="W87" s="50">
        <f t="shared" si="298"/>
        <v>80</v>
      </c>
      <c r="X87" s="103">
        <f t="shared" si="401"/>
        <v>0</v>
      </c>
      <c r="Y87" s="46">
        <f t="shared" si="328"/>
        <v>80</v>
      </c>
      <c r="Z87" s="487"/>
      <c r="AA87" s="120">
        <f t="shared" si="402"/>
        <v>15</v>
      </c>
      <c r="AB87" s="7">
        <f t="shared" si="403"/>
        <v>11</v>
      </c>
      <c r="AC87" s="133"/>
      <c r="AD87" s="48">
        <f t="shared" si="253"/>
        <v>0</v>
      </c>
      <c r="AE87" s="49">
        <f t="shared" si="254"/>
        <v>0</v>
      </c>
      <c r="AF87" s="134"/>
      <c r="AG87" s="135"/>
      <c r="AH87" s="135"/>
      <c r="AI87" s="14">
        <f t="shared" si="367"/>
        <v>0</v>
      </c>
      <c r="AJ87" s="14">
        <f t="shared" ref="AJ87:AJ104" si="419">AJ86+AI87</f>
        <v>0</v>
      </c>
      <c r="AK87" s="14">
        <f t="shared" si="299"/>
        <v>0.16</v>
      </c>
      <c r="AL87" s="47">
        <f t="shared" si="331"/>
        <v>0</v>
      </c>
      <c r="AM87" s="35">
        <f t="shared" si="300"/>
        <v>3.3600000000000008</v>
      </c>
      <c r="AN87" s="157">
        <f t="shared" si="358"/>
        <v>0</v>
      </c>
      <c r="AO87" s="134"/>
      <c r="AP87" s="14">
        <f t="shared" si="301"/>
        <v>55</v>
      </c>
      <c r="AQ87" s="442">
        <f t="shared" si="332"/>
        <v>0</v>
      </c>
      <c r="AR87" s="470">
        <f t="shared" si="164"/>
        <v>0</v>
      </c>
      <c r="AS87" s="51">
        <f t="shared" si="302"/>
        <v>880</v>
      </c>
      <c r="AT87" s="103">
        <f t="shared" si="404"/>
        <v>0</v>
      </c>
      <c r="AU87" s="46">
        <f t="shared" si="394"/>
        <v>880</v>
      </c>
      <c r="AV87" s="50">
        <f t="shared" si="303"/>
        <v>80</v>
      </c>
      <c r="AW87" s="103">
        <f t="shared" si="405"/>
        <v>0</v>
      </c>
      <c r="AX87" s="46">
        <f t="shared" si="359"/>
        <v>80</v>
      </c>
      <c r="AZ87" s="120">
        <f t="shared" si="406"/>
        <v>15</v>
      </c>
      <c r="BA87" s="7">
        <f t="shared" si="407"/>
        <v>11</v>
      </c>
      <c r="BB87" s="133"/>
      <c r="BC87" s="48">
        <f t="shared" si="337"/>
        <v>0</v>
      </c>
      <c r="BD87" s="49">
        <f t="shared" si="255"/>
        <v>0</v>
      </c>
      <c r="BE87" s="134"/>
      <c r="BF87" s="135"/>
      <c r="BG87" s="135"/>
      <c r="BH87" s="14">
        <f t="shared" si="368"/>
        <v>0</v>
      </c>
      <c r="BI87" s="14">
        <f t="shared" si="418"/>
        <v>0</v>
      </c>
      <c r="BJ87" s="14">
        <f t="shared" si="304"/>
        <v>0.16</v>
      </c>
      <c r="BK87" s="47">
        <f t="shared" si="350"/>
        <v>0</v>
      </c>
      <c r="BL87" s="35">
        <f t="shared" si="305"/>
        <v>3.3600000000000008</v>
      </c>
      <c r="BM87" s="132">
        <f t="shared" si="167"/>
        <v>0</v>
      </c>
      <c r="BN87" s="134"/>
      <c r="BO87" s="14">
        <f t="shared" si="306"/>
        <v>55</v>
      </c>
      <c r="BP87" s="442">
        <f t="shared" si="351"/>
        <v>0</v>
      </c>
      <c r="BQ87" s="747">
        <f t="shared" si="354"/>
        <v>0</v>
      </c>
      <c r="BR87" s="51">
        <f t="shared" si="307"/>
        <v>880</v>
      </c>
      <c r="BS87" s="103">
        <f t="shared" si="408"/>
        <v>0</v>
      </c>
      <c r="BT87" s="46">
        <f t="shared" si="395"/>
        <v>880</v>
      </c>
      <c r="BU87" s="50">
        <f t="shared" si="308"/>
        <v>80</v>
      </c>
      <c r="BV87" s="103">
        <f t="shared" si="409"/>
        <v>0</v>
      </c>
      <c r="BW87" s="46">
        <f t="shared" si="360"/>
        <v>80</v>
      </c>
      <c r="BY87" s="120">
        <f t="shared" si="410"/>
        <v>28</v>
      </c>
      <c r="BZ87" s="7">
        <f t="shared" si="411"/>
        <v>11</v>
      </c>
      <c r="CA87" s="133"/>
      <c r="CB87" s="14">
        <f t="shared" si="361"/>
        <v>0</v>
      </c>
      <c r="CC87" s="46">
        <f t="shared" si="369"/>
        <v>0</v>
      </c>
      <c r="CD87" s="405"/>
      <c r="CE87" s="406"/>
      <c r="CF87" s="406"/>
      <c r="CG87" s="14">
        <f t="shared" si="370"/>
        <v>0</v>
      </c>
      <c r="CH87" s="14">
        <f t="shared" si="362"/>
        <v>0</v>
      </c>
      <c r="CI87" s="14">
        <f t="shared" si="309"/>
        <v>0.16</v>
      </c>
      <c r="CJ87" s="47">
        <f t="shared" si="352"/>
        <v>0</v>
      </c>
      <c r="CK87" s="35">
        <f t="shared" si="310"/>
        <v>3.3600000000000008</v>
      </c>
      <c r="CL87" s="157">
        <f t="shared" si="355"/>
        <v>0</v>
      </c>
      <c r="CM87" s="142"/>
      <c r="CN87" s="14">
        <f t="shared" si="311"/>
        <v>55</v>
      </c>
      <c r="CO87" s="48">
        <f t="shared" si="356"/>
        <v>0</v>
      </c>
      <c r="CP87" s="68">
        <f t="shared" si="353"/>
        <v>0</v>
      </c>
      <c r="CQ87" s="51">
        <f t="shared" si="312"/>
        <v>880</v>
      </c>
      <c r="CR87" s="103">
        <f t="shared" si="412"/>
        <v>0</v>
      </c>
      <c r="CS87" s="46">
        <f t="shared" si="396"/>
        <v>880</v>
      </c>
      <c r="CT87" s="51">
        <f t="shared" si="313"/>
        <v>80</v>
      </c>
      <c r="CU87" s="103">
        <f t="shared" si="413"/>
        <v>0</v>
      </c>
      <c r="CV87" s="46">
        <f t="shared" si="344"/>
        <v>80</v>
      </c>
      <c r="CX87" s="120">
        <f t="shared" si="414"/>
        <v>28</v>
      </c>
      <c r="CY87" s="7">
        <f t="shared" si="415"/>
        <v>11</v>
      </c>
      <c r="CZ87" s="133"/>
      <c r="DA87" s="14">
        <f t="shared" si="228"/>
        <v>0</v>
      </c>
      <c r="DB87" s="46">
        <f t="shared" si="256"/>
        <v>0</v>
      </c>
      <c r="DC87" s="405"/>
      <c r="DD87" s="406"/>
      <c r="DE87" s="406"/>
      <c r="DF87" s="14">
        <f t="shared" si="371"/>
        <v>0</v>
      </c>
      <c r="DG87" s="14">
        <f t="shared" si="363"/>
        <v>0</v>
      </c>
      <c r="DH87" s="14">
        <f t="shared" si="314"/>
        <v>0.16</v>
      </c>
      <c r="DI87" s="47">
        <f t="shared" si="372"/>
        <v>0</v>
      </c>
      <c r="DJ87" s="35">
        <f t="shared" si="315"/>
        <v>3.3600000000000008</v>
      </c>
      <c r="DK87" s="157">
        <f t="shared" si="364"/>
        <v>0</v>
      </c>
      <c r="DL87" s="142"/>
      <c r="DM87" s="14">
        <f t="shared" si="316"/>
        <v>55</v>
      </c>
      <c r="DN87" s="48">
        <f t="shared" si="393"/>
        <v>0</v>
      </c>
      <c r="DO87" s="68">
        <f t="shared" si="365"/>
        <v>0</v>
      </c>
      <c r="DP87" s="51">
        <f t="shared" si="317"/>
        <v>880</v>
      </c>
      <c r="DQ87" s="103">
        <f t="shared" si="416"/>
        <v>0</v>
      </c>
      <c r="DR87" s="46">
        <f t="shared" si="397"/>
        <v>880</v>
      </c>
      <c r="DS87" s="51">
        <f t="shared" si="318"/>
        <v>80</v>
      </c>
      <c r="DT87" s="103">
        <f t="shared" si="417"/>
        <v>0</v>
      </c>
      <c r="DU87" s="46">
        <f t="shared" si="357"/>
        <v>80</v>
      </c>
    </row>
    <row r="88" spans="1:125" ht="17.25" thickBot="1" x14ac:dyDescent="0.3">
      <c r="B88" s="120">
        <f t="shared" si="398"/>
        <v>16</v>
      </c>
      <c r="C88" s="570">
        <f t="shared" si="399"/>
        <v>11</v>
      </c>
      <c r="D88" s="133"/>
      <c r="E88" s="408">
        <f t="shared" si="321"/>
        <v>0</v>
      </c>
      <c r="F88" s="562">
        <f t="shared" si="292"/>
        <v>0</v>
      </c>
      <c r="G88" s="134"/>
      <c r="H88" s="135"/>
      <c r="I88" s="135"/>
      <c r="J88" s="14">
        <f t="shared" si="366"/>
        <v>0</v>
      </c>
      <c r="K88" s="14">
        <f t="shared" si="322"/>
        <v>0</v>
      </c>
      <c r="L88" s="14">
        <f t="shared" si="293"/>
        <v>0.16</v>
      </c>
      <c r="M88" s="47">
        <f t="shared" si="349"/>
        <v>0</v>
      </c>
      <c r="N88" s="35">
        <f t="shared" si="294"/>
        <v>3.3600000000000008</v>
      </c>
      <c r="O88" s="132">
        <f t="shared" si="323"/>
        <v>0</v>
      </c>
      <c r="P88" s="142"/>
      <c r="Q88" s="14">
        <f t="shared" si="295"/>
        <v>55</v>
      </c>
      <c r="R88" s="442">
        <f t="shared" si="296"/>
        <v>0</v>
      </c>
      <c r="S88" s="470">
        <f t="shared" si="324"/>
        <v>0</v>
      </c>
      <c r="T88" s="51">
        <f t="shared" si="297"/>
        <v>880</v>
      </c>
      <c r="U88" s="103">
        <f t="shared" si="400"/>
        <v>0</v>
      </c>
      <c r="V88" s="46">
        <f t="shared" si="326"/>
        <v>880</v>
      </c>
      <c r="W88" s="51">
        <f t="shared" si="298"/>
        <v>80</v>
      </c>
      <c r="X88" s="103">
        <f t="shared" si="401"/>
        <v>0</v>
      </c>
      <c r="Y88" s="46">
        <f t="shared" si="328"/>
        <v>80</v>
      </c>
      <c r="Z88" s="487"/>
      <c r="AA88" s="120">
        <f t="shared" si="402"/>
        <v>16</v>
      </c>
      <c r="AB88" s="7">
        <f t="shared" si="403"/>
        <v>11</v>
      </c>
      <c r="AC88" s="133"/>
      <c r="AD88" s="48">
        <f t="shared" si="253"/>
        <v>0</v>
      </c>
      <c r="AE88" s="49">
        <f t="shared" si="254"/>
        <v>0</v>
      </c>
      <c r="AF88" s="134"/>
      <c r="AG88" s="135"/>
      <c r="AH88" s="135"/>
      <c r="AI88" s="14">
        <f t="shared" si="367"/>
        <v>0</v>
      </c>
      <c r="AJ88" s="14">
        <f t="shared" si="419"/>
        <v>0</v>
      </c>
      <c r="AK88" s="14">
        <f t="shared" si="299"/>
        <v>0.16</v>
      </c>
      <c r="AL88" s="47">
        <f t="shared" si="331"/>
        <v>0</v>
      </c>
      <c r="AM88" s="35">
        <f t="shared" si="300"/>
        <v>3.3600000000000008</v>
      </c>
      <c r="AN88" s="157">
        <f t="shared" si="358"/>
        <v>0</v>
      </c>
      <c r="AO88" s="134"/>
      <c r="AP88" s="14">
        <f t="shared" si="301"/>
        <v>55</v>
      </c>
      <c r="AQ88" s="442">
        <f t="shared" si="332"/>
        <v>0</v>
      </c>
      <c r="AR88" s="470">
        <f t="shared" si="164"/>
        <v>0</v>
      </c>
      <c r="AS88" s="51">
        <f t="shared" si="302"/>
        <v>880</v>
      </c>
      <c r="AT88" s="103">
        <f t="shared" si="404"/>
        <v>0</v>
      </c>
      <c r="AU88" s="46">
        <f t="shared" si="394"/>
        <v>880</v>
      </c>
      <c r="AV88" s="51">
        <f t="shared" si="303"/>
        <v>80</v>
      </c>
      <c r="AW88" s="103">
        <f t="shared" si="405"/>
        <v>0</v>
      </c>
      <c r="AX88" s="46">
        <f t="shared" si="359"/>
        <v>80</v>
      </c>
      <c r="AZ88" s="120">
        <f t="shared" si="406"/>
        <v>16</v>
      </c>
      <c r="BA88" s="7">
        <f t="shared" si="407"/>
        <v>11</v>
      </c>
      <c r="BB88" s="133"/>
      <c r="BC88" s="48">
        <f t="shared" si="337"/>
        <v>0</v>
      </c>
      <c r="BD88" s="49">
        <f t="shared" si="255"/>
        <v>0</v>
      </c>
      <c r="BE88" s="134"/>
      <c r="BF88" s="135"/>
      <c r="BG88" s="135"/>
      <c r="BH88" s="14">
        <f t="shared" si="368"/>
        <v>0</v>
      </c>
      <c r="BI88" s="14">
        <f t="shared" si="418"/>
        <v>0</v>
      </c>
      <c r="BJ88" s="14">
        <f t="shared" si="304"/>
        <v>0.16</v>
      </c>
      <c r="BK88" s="47">
        <f t="shared" si="350"/>
        <v>0</v>
      </c>
      <c r="BL88" s="35">
        <f t="shared" si="305"/>
        <v>3.3600000000000008</v>
      </c>
      <c r="BM88" s="132">
        <f t="shared" si="167"/>
        <v>0</v>
      </c>
      <c r="BN88" s="134"/>
      <c r="BO88" s="14">
        <f t="shared" si="306"/>
        <v>55</v>
      </c>
      <c r="BP88" s="442">
        <f t="shared" si="351"/>
        <v>0</v>
      </c>
      <c r="BQ88" s="747">
        <f t="shared" si="354"/>
        <v>0</v>
      </c>
      <c r="BR88" s="51">
        <f t="shared" si="307"/>
        <v>880</v>
      </c>
      <c r="BS88" s="103">
        <f t="shared" si="408"/>
        <v>0</v>
      </c>
      <c r="BT88" s="46">
        <f t="shared" si="395"/>
        <v>880</v>
      </c>
      <c r="BU88" s="51">
        <f t="shared" si="308"/>
        <v>80</v>
      </c>
      <c r="BV88" s="103">
        <f t="shared" si="409"/>
        <v>0</v>
      </c>
      <c r="BW88" s="46">
        <f t="shared" si="360"/>
        <v>80</v>
      </c>
      <c r="BY88" s="120">
        <f t="shared" si="410"/>
        <v>29</v>
      </c>
      <c r="BZ88" s="7">
        <f t="shared" si="411"/>
        <v>11</v>
      </c>
      <c r="CA88" s="133"/>
      <c r="CB88" s="14">
        <f t="shared" si="361"/>
        <v>0</v>
      </c>
      <c r="CC88" s="46">
        <f t="shared" si="369"/>
        <v>0</v>
      </c>
      <c r="CD88" s="405"/>
      <c r="CE88" s="406"/>
      <c r="CF88" s="406"/>
      <c r="CG88" s="14">
        <f t="shared" si="370"/>
        <v>0</v>
      </c>
      <c r="CH88" s="14">
        <f t="shared" si="362"/>
        <v>0</v>
      </c>
      <c r="CI88" s="14">
        <f t="shared" si="309"/>
        <v>0.16</v>
      </c>
      <c r="CJ88" s="47">
        <f t="shared" si="352"/>
        <v>0</v>
      </c>
      <c r="CK88" s="35">
        <f t="shared" si="310"/>
        <v>3.3600000000000008</v>
      </c>
      <c r="CL88" s="157">
        <f t="shared" si="355"/>
        <v>0</v>
      </c>
      <c r="CM88" s="134"/>
      <c r="CN88" s="14">
        <f t="shared" si="311"/>
        <v>55</v>
      </c>
      <c r="CO88" s="48">
        <f t="shared" si="356"/>
        <v>0</v>
      </c>
      <c r="CP88" s="68">
        <f t="shared" si="353"/>
        <v>0</v>
      </c>
      <c r="CQ88" s="51">
        <f t="shared" si="312"/>
        <v>880</v>
      </c>
      <c r="CR88" s="103">
        <f t="shared" si="412"/>
        <v>0</v>
      </c>
      <c r="CS88" s="46">
        <f t="shared" si="396"/>
        <v>880</v>
      </c>
      <c r="CT88" s="12">
        <f t="shared" si="313"/>
        <v>80</v>
      </c>
      <c r="CU88" s="103">
        <f t="shared" si="413"/>
        <v>0</v>
      </c>
      <c r="CV88" s="46">
        <f t="shared" si="344"/>
        <v>80</v>
      </c>
      <c r="CX88" s="120">
        <f t="shared" si="414"/>
        <v>29</v>
      </c>
      <c r="CY88" s="7">
        <f t="shared" si="415"/>
        <v>11</v>
      </c>
      <c r="CZ88" s="133"/>
      <c r="DA88" s="14">
        <f t="shared" si="228"/>
        <v>0</v>
      </c>
      <c r="DB88" s="46">
        <f t="shared" si="256"/>
        <v>0</v>
      </c>
      <c r="DC88" s="405"/>
      <c r="DD88" s="406"/>
      <c r="DE88" s="406"/>
      <c r="DF88" s="14">
        <f t="shared" si="371"/>
        <v>0</v>
      </c>
      <c r="DG88" s="14">
        <f t="shared" si="363"/>
        <v>0</v>
      </c>
      <c r="DH88" s="14">
        <f t="shared" si="314"/>
        <v>0.16</v>
      </c>
      <c r="DI88" s="47">
        <f t="shared" si="372"/>
        <v>0</v>
      </c>
      <c r="DJ88" s="35">
        <f t="shared" si="315"/>
        <v>3.3600000000000008</v>
      </c>
      <c r="DK88" s="157">
        <f t="shared" si="364"/>
        <v>0</v>
      </c>
      <c r="DL88" s="134"/>
      <c r="DM88" s="14">
        <f t="shared" si="316"/>
        <v>55</v>
      </c>
      <c r="DN88" s="48">
        <f t="shared" si="393"/>
        <v>0</v>
      </c>
      <c r="DO88" s="68">
        <f t="shared" si="365"/>
        <v>0</v>
      </c>
      <c r="DP88" s="51">
        <f t="shared" si="317"/>
        <v>880</v>
      </c>
      <c r="DQ88" s="103">
        <f t="shared" si="416"/>
        <v>0</v>
      </c>
      <c r="DR88" s="46">
        <f t="shared" si="397"/>
        <v>880</v>
      </c>
      <c r="DS88" s="12">
        <f t="shared" si="318"/>
        <v>80</v>
      </c>
      <c r="DT88" s="103">
        <f t="shared" si="417"/>
        <v>0</v>
      </c>
      <c r="DU88" s="46">
        <f t="shared" si="357"/>
        <v>80</v>
      </c>
    </row>
    <row r="89" spans="1:125" ht="17.25" thickBot="1" x14ac:dyDescent="0.3">
      <c r="B89" s="120">
        <f t="shared" si="398"/>
        <v>17</v>
      </c>
      <c r="C89" s="574">
        <f t="shared" si="399"/>
        <v>11</v>
      </c>
      <c r="D89" s="136"/>
      <c r="E89" s="436">
        <f t="shared" si="321"/>
        <v>0</v>
      </c>
      <c r="F89" s="451">
        <f t="shared" si="292"/>
        <v>0</v>
      </c>
      <c r="G89" s="137"/>
      <c r="H89" s="138"/>
      <c r="I89" s="138"/>
      <c r="J89" s="34">
        <f t="shared" si="366"/>
        <v>0</v>
      </c>
      <c r="K89" s="34">
        <f t="shared" si="322"/>
        <v>0</v>
      </c>
      <c r="L89" s="34">
        <f t="shared" si="293"/>
        <v>0.16</v>
      </c>
      <c r="M89" s="166">
        <f t="shared" si="349"/>
        <v>0</v>
      </c>
      <c r="N89" s="40">
        <f t="shared" si="294"/>
        <v>3.3600000000000008</v>
      </c>
      <c r="O89" s="132">
        <f t="shared" si="323"/>
        <v>0</v>
      </c>
      <c r="P89" s="139"/>
      <c r="Q89" s="32">
        <f t="shared" si="295"/>
        <v>55</v>
      </c>
      <c r="R89" s="592">
        <f t="shared" si="296"/>
        <v>0</v>
      </c>
      <c r="S89" s="471">
        <f t="shared" si="324"/>
        <v>0</v>
      </c>
      <c r="T89" s="56">
        <f t="shared" si="297"/>
        <v>880</v>
      </c>
      <c r="U89" s="109">
        <f t="shared" si="400"/>
        <v>0</v>
      </c>
      <c r="V89" s="63">
        <f t="shared" si="326"/>
        <v>880</v>
      </c>
      <c r="W89" s="15">
        <f t="shared" si="298"/>
        <v>80</v>
      </c>
      <c r="X89" s="109">
        <f t="shared" si="401"/>
        <v>0</v>
      </c>
      <c r="Y89" s="63">
        <f t="shared" si="328"/>
        <v>80</v>
      </c>
      <c r="Z89" s="487"/>
      <c r="AA89" s="120">
        <f t="shared" si="402"/>
        <v>17</v>
      </c>
      <c r="AB89" s="8">
        <f t="shared" si="403"/>
        <v>11</v>
      </c>
      <c r="AC89" s="136"/>
      <c r="AD89" s="54">
        <f t="shared" si="253"/>
        <v>0</v>
      </c>
      <c r="AE89" s="448">
        <f t="shared" si="254"/>
        <v>0</v>
      </c>
      <c r="AF89" s="137"/>
      <c r="AG89" s="138"/>
      <c r="AH89" s="138"/>
      <c r="AI89" s="34">
        <f t="shared" si="367"/>
        <v>0</v>
      </c>
      <c r="AJ89" s="34">
        <f t="shared" si="419"/>
        <v>0</v>
      </c>
      <c r="AK89" s="17">
        <f t="shared" si="299"/>
        <v>0.16</v>
      </c>
      <c r="AL89" s="231">
        <f t="shared" si="331"/>
        <v>0</v>
      </c>
      <c r="AM89" s="33">
        <f t="shared" si="300"/>
        <v>3.3600000000000008</v>
      </c>
      <c r="AN89" s="157">
        <f t="shared" si="358"/>
        <v>0</v>
      </c>
      <c r="AO89" s="137"/>
      <c r="AP89" s="13">
        <f t="shared" si="301"/>
        <v>55</v>
      </c>
      <c r="AQ89" s="479">
        <f t="shared" si="332"/>
        <v>0</v>
      </c>
      <c r="AR89" s="471">
        <f t="shared" si="164"/>
        <v>0</v>
      </c>
      <c r="AS89" s="50">
        <f t="shared" si="302"/>
        <v>880</v>
      </c>
      <c r="AT89" s="103">
        <f t="shared" si="404"/>
        <v>0</v>
      </c>
      <c r="AU89" s="63">
        <f t="shared" si="394"/>
        <v>880</v>
      </c>
      <c r="AV89" s="12">
        <f t="shared" si="303"/>
        <v>80</v>
      </c>
      <c r="AW89" s="103">
        <f t="shared" si="405"/>
        <v>0</v>
      </c>
      <c r="AX89" s="63">
        <f t="shared" si="359"/>
        <v>80</v>
      </c>
      <c r="AZ89" s="197">
        <f t="shared" si="406"/>
        <v>17</v>
      </c>
      <c r="BA89" s="8">
        <f t="shared" si="407"/>
        <v>11</v>
      </c>
      <c r="BB89" s="136"/>
      <c r="BC89" s="54">
        <f t="shared" si="337"/>
        <v>0</v>
      </c>
      <c r="BD89" s="448">
        <f t="shared" si="255"/>
        <v>0</v>
      </c>
      <c r="BE89" s="137"/>
      <c r="BF89" s="138"/>
      <c r="BG89" s="138"/>
      <c r="BH89" s="34">
        <f t="shared" si="368"/>
        <v>0</v>
      </c>
      <c r="BI89" s="34">
        <f t="shared" si="418"/>
        <v>0</v>
      </c>
      <c r="BJ89" s="34">
        <f t="shared" si="304"/>
        <v>0.16</v>
      </c>
      <c r="BK89" s="96">
        <f t="shared" si="350"/>
        <v>0</v>
      </c>
      <c r="BL89" s="40">
        <f t="shared" si="305"/>
        <v>3.3600000000000008</v>
      </c>
      <c r="BM89" s="132">
        <f t="shared" si="167"/>
        <v>0</v>
      </c>
      <c r="BN89" s="137"/>
      <c r="BO89" s="32">
        <f t="shared" si="306"/>
        <v>55</v>
      </c>
      <c r="BP89" s="443">
        <f t="shared" si="351"/>
        <v>0</v>
      </c>
      <c r="BQ89" s="750">
        <f t="shared" si="354"/>
        <v>0</v>
      </c>
      <c r="BR89" s="56">
        <f t="shared" si="307"/>
        <v>880</v>
      </c>
      <c r="BS89" s="109">
        <f t="shared" si="408"/>
        <v>0</v>
      </c>
      <c r="BT89" s="63">
        <f t="shared" si="395"/>
        <v>880</v>
      </c>
      <c r="BU89" s="15">
        <f t="shared" si="308"/>
        <v>80</v>
      </c>
      <c r="BV89" s="109">
        <f t="shared" si="409"/>
        <v>0</v>
      </c>
      <c r="BW89" s="63">
        <f t="shared" si="360"/>
        <v>80</v>
      </c>
      <c r="BY89" s="197">
        <f>BY88+1</f>
        <v>30</v>
      </c>
      <c r="BZ89" s="8">
        <f t="shared" si="411"/>
        <v>11</v>
      </c>
      <c r="CA89" s="136"/>
      <c r="CB89" s="32">
        <f t="shared" si="361"/>
        <v>0</v>
      </c>
      <c r="CC89" s="63">
        <f t="shared" si="369"/>
        <v>0</v>
      </c>
      <c r="CD89" s="421"/>
      <c r="CE89" s="426"/>
      <c r="CF89" s="426"/>
      <c r="CG89" s="34">
        <f t="shared" si="370"/>
        <v>0</v>
      </c>
      <c r="CH89" s="34">
        <f t="shared" si="362"/>
        <v>0</v>
      </c>
      <c r="CI89" s="17">
        <f t="shared" si="309"/>
        <v>0.16</v>
      </c>
      <c r="CJ89" s="166">
        <f t="shared" si="352"/>
        <v>0</v>
      </c>
      <c r="CK89" s="33">
        <f t="shared" si="310"/>
        <v>3.3600000000000008</v>
      </c>
      <c r="CL89" s="156">
        <f t="shared" si="355"/>
        <v>0</v>
      </c>
      <c r="CM89" s="137"/>
      <c r="CN89" s="13">
        <f t="shared" si="311"/>
        <v>55</v>
      </c>
      <c r="CO89" s="54">
        <f t="shared" si="356"/>
        <v>0</v>
      </c>
      <c r="CP89" s="70">
        <f t="shared" si="353"/>
        <v>0</v>
      </c>
      <c r="CQ89" s="50">
        <f t="shared" si="312"/>
        <v>880</v>
      </c>
      <c r="CR89" s="103">
        <f t="shared" si="412"/>
        <v>0</v>
      </c>
      <c r="CS89" s="63">
        <f t="shared" si="396"/>
        <v>880</v>
      </c>
      <c r="CT89" s="56">
        <f t="shared" si="313"/>
        <v>80</v>
      </c>
      <c r="CU89" s="103">
        <f t="shared" si="413"/>
        <v>0</v>
      </c>
      <c r="CV89" s="63">
        <f t="shared" si="344"/>
        <v>80</v>
      </c>
      <c r="CX89" s="197">
        <f>CX88+1</f>
        <v>30</v>
      </c>
      <c r="CY89" s="8">
        <f t="shared" si="415"/>
        <v>11</v>
      </c>
      <c r="CZ89" s="136"/>
      <c r="DA89" s="32">
        <f t="shared" si="228"/>
        <v>0</v>
      </c>
      <c r="DB89" s="63">
        <f t="shared" si="256"/>
        <v>0</v>
      </c>
      <c r="DC89" s="421"/>
      <c r="DD89" s="426"/>
      <c r="DE89" s="426"/>
      <c r="DF89" s="34">
        <f t="shared" si="371"/>
        <v>0</v>
      </c>
      <c r="DG89" s="34">
        <f t="shared" si="363"/>
        <v>0</v>
      </c>
      <c r="DH89" s="17">
        <f t="shared" si="314"/>
        <v>0.16</v>
      </c>
      <c r="DI89" s="166">
        <f t="shared" si="372"/>
        <v>0</v>
      </c>
      <c r="DJ89" s="33">
        <f t="shared" si="315"/>
        <v>3.3600000000000008</v>
      </c>
      <c r="DK89" s="156">
        <f t="shared" si="364"/>
        <v>0</v>
      </c>
      <c r="DL89" s="137"/>
      <c r="DM89" s="13">
        <f t="shared" si="316"/>
        <v>55</v>
      </c>
      <c r="DN89" s="54">
        <f t="shared" si="393"/>
        <v>0</v>
      </c>
      <c r="DO89" s="70">
        <f t="shared" si="365"/>
        <v>0</v>
      </c>
      <c r="DP89" s="50">
        <f t="shared" si="317"/>
        <v>880</v>
      </c>
      <c r="DQ89" s="103">
        <f t="shared" si="416"/>
        <v>0</v>
      </c>
      <c r="DR89" s="63">
        <f t="shared" si="397"/>
        <v>880</v>
      </c>
      <c r="DS89" s="56">
        <f t="shared" si="318"/>
        <v>80</v>
      </c>
      <c r="DT89" s="103">
        <f t="shared" si="417"/>
        <v>0</v>
      </c>
      <c r="DU89" s="63">
        <f t="shared" si="357"/>
        <v>80</v>
      </c>
    </row>
    <row r="90" spans="1:125" ht="17.25" thickBot="1" x14ac:dyDescent="0.3">
      <c r="B90" s="118">
        <v>18</v>
      </c>
      <c r="C90" s="575">
        <v>12</v>
      </c>
      <c r="D90" s="129"/>
      <c r="E90" s="400">
        <f t="shared" si="321"/>
        <v>0</v>
      </c>
      <c r="F90" s="561">
        <f t="shared" si="292"/>
        <v>0</v>
      </c>
      <c r="G90" s="130"/>
      <c r="H90" s="131"/>
      <c r="I90" s="131"/>
      <c r="J90" s="11">
        <f t="shared" si="366"/>
        <v>0</v>
      </c>
      <c r="K90" s="11">
        <f t="shared" si="322"/>
        <v>0</v>
      </c>
      <c r="L90" s="16">
        <f t="shared" si="293"/>
        <v>0.16</v>
      </c>
      <c r="M90" s="153">
        <f t="shared" si="349"/>
        <v>0</v>
      </c>
      <c r="N90" s="154">
        <f t="shared" si="294"/>
        <v>3.5200000000000009</v>
      </c>
      <c r="O90" s="132">
        <f t="shared" si="323"/>
        <v>0</v>
      </c>
      <c r="P90" s="158"/>
      <c r="Q90" s="11">
        <f t="shared" si="295"/>
        <v>58</v>
      </c>
      <c r="R90" s="441">
        <f t="shared" si="296"/>
        <v>0</v>
      </c>
      <c r="S90" s="469">
        <f t="shared" si="324"/>
        <v>0</v>
      </c>
      <c r="T90" s="58">
        <f t="shared" si="297"/>
        <v>950</v>
      </c>
      <c r="U90" s="131"/>
      <c r="V90" s="41">
        <f t="shared" si="326"/>
        <v>950</v>
      </c>
      <c r="W90" s="18">
        <f t="shared" si="298"/>
        <v>82</v>
      </c>
      <c r="X90" s="131"/>
      <c r="Y90" s="41">
        <f t="shared" si="328"/>
        <v>82</v>
      </c>
      <c r="Z90" s="487"/>
      <c r="AA90" s="118">
        <v>18</v>
      </c>
      <c r="AB90" s="9">
        <v>12</v>
      </c>
      <c r="AC90" s="129"/>
      <c r="AD90" s="43">
        <f t="shared" si="253"/>
        <v>0</v>
      </c>
      <c r="AE90" s="449">
        <f t="shared" si="254"/>
        <v>0</v>
      </c>
      <c r="AF90" s="130"/>
      <c r="AG90" s="131"/>
      <c r="AH90" s="131"/>
      <c r="AI90" s="11">
        <f t="shared" si="367"/>
        <v>0</v>
      </c>
      <c r="AJ90" s="11">
        <f t="shared" si="419"/>
        <v>0</v>
      </c>
      <c r="AK90" s="16">
        <f t="shared" si="299"/>
        <v>0.16</v>
      </c>
      <c r="AL90" s="153">
        <f t="shared" si="331"/>
        <v>0</v>
      </c>
      <c r="AM90" s="154">
        <f t="shared" si="300"/>
        <v>3.5200000000000009</v>
      </c>
      <c r="AN90" s="157">
        <f t="shared" si="358"/>
        <v>0</v>
      </c>
      <c r="AO90" s="130"/>
      <c r="AP90" s="11">
        <f t="shared" si="301"/>
        <v>58</v>
      </c>
      <c r="AQ90" s="441">
        <f t="shared" si="332"/>
        <v>0</v>
      </c>
      <c r="AR90" s="469">
        <f t="shared" si="164"/>
        <v>0</v>
      </c>
      <c r="AS90" s="58">
        <f t="shared" si="302"/>
        <v>950</v>
      </c>
      <c r="AT90" s="131"/>
      <c r="AU90" s="41">
        <f t="shared" si="394"/>
        <v>950</v>
      </c>
      <c r="AV90" s="18">
        <f t="shared" si="303"/>
        <v>82</v>
      </c>
      <c r="AW90" s="131"/>
      <c r="AX90" s="41">
        <f t="shared" si="359"/>
        <v>82</v>
      </c>
      <c r="AZ90" s="118">
        <v>18</v>
      </c>
      <c r="BA90" s="9">
        <v>12</v>
      </c>
      <c r="BB90" s="129"/>
      <c r="BC90" s="43">
        <f t="shared" si="337"/>
        <v>0</v>
      </c>
      <c r="BD90" s="449">
        <f t="shared" si="255"/>
        <v>0</v>
      </c>
      <c r="BE90" s="130"/>
      <c r="BF90" s="131"/>
      <c r="BG90" s="131"/>
      <c r="BH90" s="11">
        <f t="shared" si="368"/>
        <v>0</v>
      </c>
      <c r="BI90" s="11">
        <f t="shared" si="418"/>
        <v>0</v>
      </c>
      <c r="BJ90" s="16">
        <f t="shared" si="304"/>
        <v>0.16</v>
      </c>
      <c r="BK90" s="42">
        <f t="shared" si="350"/>
        <v>0</v>
      </c>
      <c r="BL90" s="154">
        <f t="shared" si="305"/>
        <v>3.5200000000000009</v>
      </c>
      <c r="BM90" s="132">
        <f t="shared" si="167"/>
        <v>0</v>
      </c>
      <c r="BN90" s="130"/>
      <c r="BO90" s="11">
        <f t="shared" si="306"/>
        <v>58</v>
      </c>
      <c r="BP90" s="441">
        <f t="shared" si="351"/>
        <v>0</v>
      </c>
      <c r="BQ90" s="746">
        <f t="shared" si="354"/>
        <v>0</v>
      </c>
      <c r="BR90" s="58">
        <f t="shared" si="307"/>
        <v>950</v>
      </c>
      <c r="BS90" s="131"/>
      <c r="BT90" s="41">
        <f t="shared" si="395"/>
        <v>950</v>
      </c>
      <c r="BU90" s="18">
        <f t="shared" si="308"/>
        <v>82</v>
      </c>
      <c r="BV90" s="131"/>
      <c r="BW90" s="41">
        <f t="shared" si="360"/>
        <v>82</v>
      </c>
      <c r="BY90" s="118">
        <v>31</v>
      </c>
      <c r="BZ90" s="9">
        <v>12</v>
      </c>
      <c r="CA90" s="129"/>
      <c r="CB90" s="11">
        <f t="shared" si="361"/>
        <v>0</v>
      </c>
      <c r="CC90" s="57">
        <f t="shared" si="369"/>
        <v>0</v>
      </c>
      <c r="CD90" s="398"/>
      <c r="CE90" s="399"/>
      <c r="CF90" s="399"/>
      <c r="CG90" s="11">
        <f t="shared" si="370"/>
        <v>0</v>
      </c>
      <c r="CH90" s="11">
        <f t="shared" si="362"/>
        <v>0</v>
      </c>
      <c r="CI90" s="16">
        <f t="shared" si="309"/>
        <v>0.16</v>
      </c>
      <c r="CJ90" s="231">
        <f t="shared" si="352"/>
        <v>0</v>
      </c>
      <c r="CK90" s="154">
        <f t="shared" si="310"/>
        <v>3.5200000000000009</v>
      </c>
      <c r="CL90" s="155">
        <f t="shared" si="355"/>
        <v>0</v>
      </c>
      <c r="CM90" s="130"/>
      <c r="CN90" s="11">
        <f t="shared" si="311"/>
        <v>58</v>
      </c>
      <c r="CO90" s="60">
        <f t="shared" si="356"/>
        <v>0</v>
      </c>
      <c r="CP90" s="377">
        <f t="shared" si="353"/>
        <v>0</v>
      </c>
      <c r="CQ90" s="58">
        <f t="shared" si="312"/>
        <v>950</v>
      </c>
      <c r="CR90" s="131"/>
      <c r="CS90" s="41">
        <f t="shared" si="396"/>
        <v>950</v>
      </c>
      <c r="CT90" s="18">
        <f t="shared" si="313"/>
        <v>82</v>
      </c>
      <c r="CU90" s="131"/>
      <c r="CV90" s="41">
        <f t="shared" si="344"/>
        <v>82</v>
      </c>
      <c r="CX90" s="118">
        <v>31</v>
      </c>
      <c r="CY90" s="9">
        <v>12</v>
      </c>
      <c r="CZ90" s="129"/>
      <c r="DA90" s="11">
        <f t="shared" si="228"/>
        <v>0</v>
      </c>
      <c r="DB90" s="57">
        <f t="shared" si="256"/>
        <v>0</v>
      </c>
      <c r="DC90" s="398"/>
      <c r="DD90" s="399"/>
      <c r="DE90" s="399"/>
      <c r="DF90" s="11">
        <f t="shared" si="371"/>
        <v>0</v>
      </c>
      <c r="DG90" s="11">
        <f t="shared" si="363"/>
        <v>0</v>
      </c>
      <c r="DH90" s="16">
        <f t="shared" si="314"/>
        <v>0.16</v>
      </c>
      <c r="DI90" s="231">
        <f t="shared" si="372"/>
        <v>0</v>
      </c>
      <c r="DJ90" s="154">
        <f t="shared" si="315"/>
        <v>3.5200000000000009</v>
      </c>
      <c r="DK90" s="155">
        <f t="shared" si="364"/>
        <v>0</v>
      </c>
      <c r="DL90" s="130"/>
      <c r="DM90" s="11">
        <f t="shared" si="316"/>
        <v>58</v>
      </c>
      <c r="DN90" s="60">
        <f t="shared" si="393"/>
        <v>0</v>
      </c>
      <c r="DO90" s="377">
        <f t="shared" si="365"/>
        <v>0</v>
      </c>
      <c r="DP90" s="58">
        <f t="shared" si="317"/>
        <v>950</v>
      </c>
      <c r="DQ90" s="131"/>
      <c r="DR90" s="41">
        <f t="shared" si="397"/>
        <v>950</v>
      </c>
      <c r="DS90" s="18">
        <f t="shared" si="318"/>
        <v>82</v>
      </c>
      <c r="DT90" s="131"/>
      <c r="DU90" s="41">
        <f t="shared" si="357"/>
        <v>82</v>
      </c>
    </row>
    <row r="91" spans="1:125" ht="17.25" thickBot="1" x14ac:dyDescent="0.3">
      <c r="A91" s="517"/>
      <c r="B91" s="403">
        <v>19</v>
      </c>
      <c r="C91" s="571">
        <f>C90</f>
        <v>12</v>
      </c>
      <c r="D91" s="229"/>
      <c r="E91" s="408">
        <f t="shared" si="321"/>
        <v>0</v>
      </c>
      <c r="F91" s="562">
        <f t="shared" si="292"/>
        <v>0</v>
      </c>
      <c r="G91" s="405"/>
      <c r="H91" s="406"/>
      <c r="I91" s="406"/>
      <c r="J91" s="380">
        <f t="shared" si="366"/>
        <v>0</v>
      </c>
      <c r="K91" s="380">
        <f t="shared" si="322"/>
        <v>0</v>
      </c>
      <c r="L91" s="380">
        <f t="shared" si="293"/>
        <v>0.16</v>
      </c>
      <c r="M91" s="527">
        <f t="shared" si="349"/>
        <v>0</v>
      </c>
      <c r="N91" s="407">
        <f t="shared" si="294"/>
        <v>3.5200000000000009</v>
      </c>
      <c r="O91" s="132">
        <f t="shared" si="323"/>
        <v>0</v>
      </c>
      <c r="P91" s="411"/>
      <c r="Q91" s="380">
        <f t="shared" si="295"/>
        <v>58</v>
      </c>
      <c r="R91" s="536">
        <f t="shared" si="296"/>
        <v>0</v>
      </c>
      <c r="S91" s="474">
        <f t="shared" si="324"/>
        <v>0</v>
      </c>
      <c r="T91" s="182">
        <f t="shared" si="297"/>
        <v>950</v>
      </c>
      <c r="U91" s="181">
        <f>U90</f>
        <v>0</v>
      </c>
      <c r="V91" s="206">
        <f t="shared" si="326"/>
        <v>950</v>
      </c>
      <c r="W91" s="182">
        <f t="shared" si="298"/>
        <v>82</v>
      </c>
      <c r="X91" s="181">
        <f>X90</f>
        <v>0</v>
      </c>
      <c r="Y91" s="206">
        <f t="shared" si="328"/>
        <v>82</v>
      </c>
      <c r="Z91" s="487"/>
      <c r="AA91" s="403">
        <f>AA90+1</f>
        <v>19</v>
      </c>
      <c r="AB91" s="404">
        <f>AB90</f>
        <v>12</v>
      </c>
      <c r="AC91" s="229"/>
      <c r="AD91" s="408">
        <f t="shared" si="253"/>
        <v>0</v>
      </c>
      <c r="AE91" s="450">
        <f t="shared" si="254"/>
        <v>0</v>
      </c>
      <c r="AF91" s="405"/>
      <c r="AG91" s="406"/>
      <c r="AH91" s="406"/>
      <c r="AI91" s="380">
        <f t="shared" si="367"/>
        <v>0</v>
      </c>
      <c r="AJ91" s="380">
        <f t="shared" si="419"/>
        <v>0</v>
      </c>
      <c r="AK91" s="380">
        <f t="shared" si="299"/>
        <v>0.16</v>
      </c>
      <c r="AL91" s="527">
        <f t="shared" si="331"/>
        <v>0</v>
      </c>
      <c r="AM91" s="407">
        <f t="shared" si="300"/>
        <v>3.5200000000000009</v>
      </c>
      <c r="AN91" s="157">
        <f t="shared" si="358"/>
        <v>0</v>
      </c>
      <c r="AO91" s="405"/>
      <c r="AP91" s="380">
        <f t="shared" si="301"/>
        <v>58</v>
      </c>
      <c r="AQ91" s="536">
        <f t="shared" si="332"/>
        <v>0</v>
      </c>
      <c r="AR91" s="474">
        <f t="shared" ref="AR91:AR138" si="420">AR90+AQ91</f>
        <v>0</v>
      </c>
      <c r="AS91" s="182">
        <f t="shared" si="302"/>
        <v>950</v>
      </c>
      <c r="AT91" s="181">
        <f>AT90</f>
        <v>0</v>
      </c>
      <c r="AU91" s="206">
        <f t="shared" si="394"/>
        <v>950</v>
      </c>
      <c r="AV91" s="182">
        <f t="shared" si="303"/>
        <v>82</v>
      </c>
      <c r="AW91" s="181">
        <f>AW90</f>
        <v>0</v>
      </c>
      <c r="AX91" s="206">
        <f t="shared" si="359"/>
        <v>82</v>
      </c>
      <c r="AZ91" s="403">
        <f>AZ90+1</f>
        <v>19</v>
      </c>
      <c r="BA91" s="404">
        <f>BA90</f>
        <v>12</v>
      </c>
      <c r="BB91" s="229"/>
      <c r="BC91" s="408">
        <f t="shared" si="337"/>
        <v>0</v>
      </c>
      <c r="BD91" s="450">
        <f t="shared" si="255"/>
        <v>0</v>
      </c>
      <c r="BE91" s="405"/>
      <c r="BF91" s="406"/>
      <c r="BG91" s="406"/>
      <c r="BH91" s="380">
        <f t="shared" si="368"/>
        <v>0</v>
      </c>
      <c r="BI91" s="380">
        <f t="shared" si="418"/>
        <v>0</v>
      </c>
      <c r="BJ91" s="380">
        <f t="shared" si="304"/>
        <v>0.16</v>
      </c>
      <c r="BK91" s="410">
        <f t="shared" si="350"/>
        <v>0</v>
      </c>
      <c r="BL91" s="407">
        <f t="shared" si="305"/>
        <v>3.5200000000000009</v>
      </c>
      <c r="BM91" s="132">
        <f t="shared" si="167"/>
        <v>0</v>
      </c>
      <c r="BN91" s="405"/>
      <c r="BO91" s="380">
        <f t="shared" si="306"/>
        <v>58</v>
      </c>
      <c r="BP91" s="536">
        <f t="shared" si="351"/>
        <v>0</v>
      </c>
      <c r="BQ91" s="753">
        <f t="shared" si="354"/>
        <v>0</v>
      </c>
      <c r="BR91" s="182">
        <f t="shared" si="307"/>
        <v>950</v>
      </c>
      <c r="BS91" s="181">
        <f>BS90</f>
        <v>0</v>
      </c>
      <c r="BT91" s="206">
        <f t="shared" si="395"/>
        <v>950</v>
      </c>
      <c r="BU91" s="182">
        <f t="shared" si="308"/>
        <v>82</v>
      </c>
      <c r="BV91" s="181">
        <f>BV90</f>
        <v>0</v>
      </c>
      <c r="BW91" s="206">
        <f t="shared" si="360"/>
        <v>82</v>
      </c>
      <c r="BY91" s="120">
        <v>1</v>
      </c>
      <c r="BZ91" s="7">
        <f>BZ90</f>
        <v>12</v>
      </c>
      <c r="CA91" s="133"/>
      <c r="CB91" s="14">
        <f t="shared" si="361"/>
        <v>0</v>
      </c>
      <c r="CC91" s="59">
        <f t="shared" si="369"/>
        <v>0</v>
      </c>
      <c r="CD91" s="405"/>
      <c r="CE91" s="406"/>
      <c r="CF91" s="406"/>
      <c r="CG91" s="14">
        <f t="shared" si="370"/>
        <v>0</v>
      </c>
      <c r="CH91" s="14">
        <f t="shared" si="362"/>
        <v>0</v>
      </c>
      <c r="CI91" s="14">
        <f t="shared" si="309"/>
        <v>0.16</v>
      </c>
      <c r="CJ91" s="47">
        <f t="shared" si="352"/>
        <v>0</v>
      </c>
      <c r="CK91" s="35">
        <f t="shared" si="310"/>
        <v>3.5200000000000009</v>
      </c>
      <c r="CL91" s="157">
        <f t="shared" si="355"/>
        <v>0</v>
      </c>
      <c r="CM91" s="134"/>
      <c r="CN91" s="14">
        <f t="shared" si="311"/>
        <v>58</v>
      </c>
      <c r="CO91" s="48">
        <f t="shared" si="356"/>
        <v>0</v>
      </c>
      <c r="CP91" s="68">
        <f t="shared" si="353"/>
        <v>0</v>
      </c>
      <c r="CQ91" s="51">
        <f t="shared" si="312"/>
        <v>950</v>
      </c>
      <c r="CR91" s="103">
        <f>CR90</f>
        <v>0</v>
      </c>
      <c r="CS91" s="46">
        <f t="shared" si="396"/>
        <v>950</v>
      </c>
      <c r="CT91" s="51">
        <f t="shared" si="313"/>
        <v>82</v>
      </c>
      <c r="CU91" s="103">
        <f>CU90</f>
        <v>0</v>
      </c>
      <c r="CV91" s="46">
        <f t="shared" si="344"/>
        <v>82</v>
      </c>
      <c r="CX91" s="120">
        <v>1</v>
      </c>
      <c r="CY91" s="7">
        <f>CY90</f>
        <v>12</v>
      </c>
      <c r="CZ91" s="133"/>
      <c r="DA91" s="14">
        <f t="shared" si="228"/>
        <v>0</v>
      </c>
      <c r="DB91" s="59">
        <f t="shared" si="256"/>
        <v>0</v>
      </c>
      <c r="DC91" s="405"/>
      <c r="DD91" s="406"/>
      <c r="DE91" s="406"/>
      <c r="DF91" s="14">
        <f t="shared" si="371"/>
        <v>0</v>
      </c>
      <c r="DG91" s="14">
        <f t="shared" si="363"/>
        <v>0</v>
      </c>
      <c r="DH91" s="14">
        <f t="shared" si="314"/>
        <v>0.16</v>
      </c>
      <c r="DI91" s="47">
        <f t="shared" si="372"/>
        <v>0</v>
      </c>
      <c r="DJ91" s="35">
        <f t="shared" si="315"/>
        <v>3.5200000000000009</v>
      </c>
      <c r="DK91" s="157">
        <f t="shared" si="364"/>
        <v>0</v>
      </c>
      <c r="DL91" s="134"/>
      <c r="DM91" s="14">
        <f t="shared" si="316"/>
        <v>58</v>
      </c>
      <c r="DN91" s="48">
        <f t="shared" si="393"/>
        <v>0</v>
      </c>
      <c r="DO91" s="68">
        <f t="shared" si="365"/>
        <v>0</v>
      </c>
      <c r="DP91" s="51">
        <f t="shared" si="317"/>
        <v>950</v>
      </c>
      <c r="DQ91" s="103">
        <f>DQ90</f>
        <v>0</v>
      </c>
      <c r="DR91" s="46">
        <f t="shared" si="397"/>
        <v>950</v>
      </c>
      <c r="DS91" s="51">
        <f t="shared" si="318"/>
        <v>82</v>
      </c>
      <c r="DT91" s="103">
        <f>DT90</f>
        <v>0</v>
      </c>
      <c r="DU91" s="46">
        <f t="shared" si="357"/>
        <v>82</v>
      </c>
    </row>
    <row r="92" spans="1:125" ht="17.25" thickBot="1" x14ac:dyDescent="0.3">
      <c r="B92" s="120">
        <v>20</v>
      </c>
      <c r="C92" s="570">
        <f t="shared" ref="C92:C96" si="421">C91</f>
        <v>12</v>
      </c>
      <c r="D92" s="133"/>
      <c r="E92" s="408">
        <f t="shared" si="321"/>
        <v>0</v>
      </c>
      <c r="F92" s="562">
        <f t="shared" si="292"/>
        <v>0</v>
      </c>
      <c r="G92" s="405"/>
      <c r="H92" s="135"/>
      <c r="I92" s="135"/>
      <c r="J92" s="14">
        <f t="shared" si="366"/>
        <v>0</v>
      </c>
      <c r="K92" s="14">
        <f t="shared" si="322"/>
        <v>0</v>
      </c>
      <c r="L92" s="14">
        <f t="shared" si="293"/>
        <v>0.16</v>
      </c>
      <c r="M92" s="230">
        <f t="shared" si="349"/>
        <v>0</v>
      </c>
      <c r="N92" s="35">
        <f t="shared" si="294"/>
        <v>3.5200000000000009</v>
      </c>
      <c r="O92" s="132">
        <f t="shared" si="323"/>
        <v>0</v>
      </c>
      <c r="P92" s="142"/>
      <c r="Q92" s="14">
        <f t="shared" si="295"/>
        <v>58</v>
      </c>
      <c r="R92" s="480">
        <f t="shared" si="296"/>
        <v>0</v>
      </c>
      <c r="S92" s="470">
        <f t="shared" si="324"/>
        <v>0</v>
      </c>
      <c r="T92" s="51">
        <f t="shared" si="297"/>
        <v>950</v>
      </c>
      <c r="U92" s="103">
        <f t="shared" ref="U92:U96" si="422">U91</f>
        <v>0</v>
      </c>
      <c r="V92" s="46">
        <f t="shared" si="326"/>
        <v>950</v>
      </c>
      <c r="W92" s="51">
        <f t="shared" si="298"/>
        <v>82</v>
      </c>
      <c r="X92" s="103">
        <f t="shared" ref="X92:X96" si="423">X91</f>
        <v>0</v>
      </c>
      <c r="Y92" s="46">
        <f t="shared" si="328"/>
        <v>82</v>
      </c>
      <c r="Z92" s="487"/>
      <c r="AA92" s="120">
        <f>AA91+1</f>
        <v>20</v>
      </c>
      <c r="AB92" s="7">
        <f t="shared" ref="AB92:AB96" si="424">AB91</f>
        <v>12</v>
      </c>
      <c r="AC92" s="133"/>
      <c r="AD92" s="48">
        <f t="shared" si="253"/>
        <v>0</v>
      </c>
      <c r="AE92" s="196">
        <f t="shared" si="254"/>
        <v>0</v>
      </c>
      <c r="AF92" s="405"/>
      <c r="AG92" s="135"/>
      <c r="AH92" s="135"/>
      <c r="AI92" s="14">
        <f t="shared" si="367"/>
        <v>0</v>
      </c>
      <c r="AJ92" s="14">
        <f t="shared" si="419"/>
        <v>0</v>
      </c>
      <c r="AK92" s="14">
        <f t="shared" si="299"/>
        <v>0.16</v>
      </c>
      <c r="AL92" s="230">
        <f t="shared" si="331"/>
        <v>0</v>
      </c>
      <c r="AM92" s="35">
        <f t="shared" si="300"/>
        <v>3.5200000000000009</v>
      </c>
      <c r="AN92" s="157">
        <f t="shared" si="358"/>
        <v>0</v>
      </c>
      <c r="AO92" s="134"/>
      <c r="AP92" s="14">
        <f t="shared" si="301"/>
        <v>58</v>
      </c>
      <c r="AQ92" s="480">
        <f t="shared" si="332"/>
        <v>0</v>
      </c>
      <c r="AR92" s="470">
        <f t="shared" si="420"/>
        <v>0</v>
      </c>
      <c r="AS92" s="51">
        <f t="shared" si="302"/>
        <v>950</v>
      </c>
      <c r="AT92" s="103">
        <f t="shared" ref="AT92:AT96" si="425">AT91</f>
        <v>0</v>
      </c>
      <c r="AU92" s="46">
        <f t="shared" si="394"/>
        <v>950</v>
      </c>
      <c r="AV92" s="51">
        <f t="shared" si="303"/>
        <v>82</v>
      </c>
      <c r="AW92" s="103">
        <f t="shared" ref="AW92:AW96" si="426">AW91</f>
        <v>0</v>
      </c>
      <c r="AX92" s="46">
        <f t="shared" si="359"/>
        <v>82</v>
      </c>
      <c r="AZ92" s="120">
        <f>AZ91+1</f>
        <v>20</v>
      </c>
      <c r="BA92" s="7">
        <f t="shared" ref="BA92:BA96" si="427">BA91</f>
        <v>12</v>
      </c>
      <c r="BB92" s="133"/>
      <c r="BC92" s="48">
        <f t="shared" si="337"/>
        <v>0</v>
      </c>
      <c r="BD92" s="196">
        <f t="shared" si="255"/>
        <v>0</v>
      </c>
      <c r="BE92" s="405"/>
      <c r="BF92" s="135"/>
      <c r="BG92" s="135"/>
      <c r="BH92" s="14">
        <f t="shared" si="368"/>
        <v>0</v>
      </c>
      <c r="BI92" s="14">
        <f t="shared" si="418"/>
        <v>0</v>
      </c>
      <c r="BJ92" s="14">
        <f t="shared" si="304"/>
        <v>0.16</v>
      </c>
      <c r="BK92" s="47">
        <f t="shared" si="350"/>
        <v>0</v>
      </c>
      <c r="BL92" s="35">
        <f t="shared" si="305"/>
        <v>3.5200000000000009</v>
      </c>
      <c r="BM92" s="132">
        <f t="shared" ref="BM92:BM138" si="428">IFERROR((BI92*100)/$BB$33,0)</f>
        <v>0</v>
      </c>
      <c r="BN92" s="134"/>
      <c r="BO92" s="14">
        <f t="shared" si="306"/>
        <v>58</v>
      </c>
      <c r="BP92" s="442">
        <f t="shared" si="351"/>
        <v>0</v>
      </c>
      <c r="BQ92" s="747">
        <f t="shared" si="354"/>
        <v>0</v>
      </c>
      <c r="BR92" s="51">
        <f t="shared" si="307"/>
        <v>950</v>
      </c>
      <c r="BS92" s="103">
        <f t="shared" ref="BS92:BS96" si="429">BS91</f>
        <v>0</v>
      </c>
      <c r="BT92" s="46">
        <f t="shared" si="395"/>
        <v>950</v>
      </c>
      <c r="BU92" s="51">
        <f t="shared" si="308"/>
        <v>82</v>
      </c>
      <c r="BV92" s="103">
        <f t="shared" ref="BV92:BV96" si="430">BV91</f>
        <v>0</v>
      </c>
      <c r="BW92" s="46">
        <f t="shared" si="360"/>
        <v>82</v>
      </c>
      <c r="BY92" s="120">
        <f t="shared" ref="BY92:BY95" si="431">BY91+1</f>
        <v>2</v>
      </c>
      <c r="BZ92" s="7">
        <f t="shared" ref="BZ92:BZ96" si="432">BZ91</f>
        <v>12</v>
      </c>
      <c r="CA92" s="133"/>
      <c r="CB92" s="14">
        <f t="shared" si="361"/>
        <v>0</v>
      </c>
      <c r="CC92" s="59">
        <f t="shared" si="369"/>
        <v>0</v>
      </c>
      <c r="CD92" s="405"/>
      <c r="CE92" s="406"/>
      <c r="CF92" s="406"/>
      <c r="CG92" s="14">
        <f t="shared" si="370"/>
        <v>0</v>
      </c>
      <c r="CH92" s="14">
        <f t="shared" si="362"/>
        <v>0</v>
      </c>
      <c r="CI92" s="14">
        <f t="shared" si="309"/>
        <v>0.16</v>
      </c>
      <c r="CJ92" s="47">
        <f t="shared" si="352"/>
        <v>0</v>
      </c>
      <c r="CK92" s="35">
        <f t="shared" si="310"/>
        <v>3.5200000000000009</v>
      </c>
      <c r="CL92" s="157">
        <f t="shared" si="355"/>
        <v>0</v>
      </c>
      <c r="CM92" s="134"/>
      <c r="CN92" s="14">
        <f t="shared" si="311"/>
        <v>58</v>
      </c>
      <c r="CO92" s="48">
        <f t="shared" si="356"/>
        <v>0</v>
      </c>
      <c r="CP92" s="68">
        <f t="shared" si="353"/>
        <v>0</v>
      </c>
      <c r="CQ92" s="51">
        <f t="shared" si="312"/>
        <v>950</v>
      </c>
      <c r="CR92" s="103">
        <f t="shared" ref="CR92:CR96" si="433">CR91</f>
        <v>0</v>
      </c>
      <c r="CS92" s="46">
        <f t="shared" si="396"/>
        <v>950</v>
      </c>
      <c r="CT92" s="51">
        <f t="shared" si="313"/>
        <v>82</v>
      </c>
      <c r="CU92" s="103">
        <f t="shared" ref="CU92:CU96" si="434">CU91</f>
        <v>0</v>
      </c>
      <c r="CV92" s="46">
        <f t="shared" si="344"/>
        <v>82</v>
      </c>
      <c r="CX92" s="120">
        <f t="shared" ref="CX92:CX95" si="435">CX91+1</f>
        <v>2</v>
      </c>
      <c r="CY92" s="7">
        <f t="shared" ref="CY92:CY96" si="436">CY91</f>
        <v>12</v>
      </c>
      <c r="CZ92" s="133"/>
      <c r="DA92" s="14">
        <f t="shared" si="228"/>
        <v>0</v>
      </c>
      <c r="DB92" s="59">
        <f t="shared" si="256"/>
        <v>0</v>
      </c>
      <c r="DC92" s="405"/>
      <c r="DD92" s="406"/>
      <c r="DE92" s="406"/>
      <c r="DF92" s="14">
        <f t="shared" si="371"/>
        <v>0</v>
      </c>
      <c r="DG92" s="14">
        <f t="shared" si="363"/>
        <v>0</v>
      </c>
      <c r="DH92" s="14">
        <f t="shared" si="314"/>
        <v>0.16</v>
      </c>
      <c r="DI92" s="47">
        <f t="shared" si="372"/>
        <v>0</v>
      </c>
      <c r="DJ92" s="35">
        <f t="shared" si="315"/>
        <v>3.5200000000000009</v>
      </c>
      <c r="DK92" s="157">
        <f t="shared" si="364"/>
        <v>0</v>
      </c>
      <c r="DL92" s="134"/>
      <c r="DM92" s="14">
        <f t="shared" si="316"/>
        <v>58</v>
      </c>
      <c r="DN92" s="48">
        <f t="shared" si="393"/>
        <v>0</v>
      </c>
      <c r="DO92" s="68">
        <f t="shared" si="365"/>
        <v>0</v>
      </c>
      <c r="DP92" s="51">
        <f t="shared" si="317"/>
        <v>950</v>
      </c>
      <c r="DQ92" s="103">
        <f t="shared" ref="DQ92:DQ96" si="437">DQ91</f>
        <v>0</v>
      </c>
      <c r="DR92" s="46">
        <f t="shared" si="397"/>
        <v>950</v>
      </c>
      <c r="DS92" s="51">
        <f t="shared" si="318"/>
        <v>82</v>
      </c>
      <c r="DT92" s="103">
        <f t="shared" ref="DT92:DT96" si="438">DT91</f>
        <v>0</v>
      </c>
      <c r="DU92" s="46">
        <f t="shared" si="357"/>
        <v>82</v>
      </c>
    </row>
    <row r="93" spans="1:125" ht="17.25" thickBot="1" x14ac:dyDescent="0.3">
      <c r="B93" s="120">
        <f t="shared" ref="B93:B96" si="439">B92+1</f>
        <v>21</v>
      </c>
      <c r="C93" s="570">
        <f t="shared" si="421"/>
        <v>12</v>
      </c>
      <c r="D93" s="133"/>
      <c r="E93" s="408">
        <f t="shared" si="321"/>
        <v>0</v>
      </c>
      <c r="F93" s="562">
        <f t="shared" si="292"/>
        <v>0</v>
      </c>
      <c r="G93" s="405"/>
      <c r="H93" s="135"/>
      <c r="I93" s="135"/>
      <c r="J93" s="14">
        <f t="shared" si="366"/>
        <v>0</v>
      </c>
      <c r="K93" s="14">
        <f t="shared" si="322"/>
        <v>0</v>
      </c>
      <c r="L93" s="14">
        <f t="shared" si="293"/>
        <v>0.16</v>
      </c>
      <c r="M93" s="47">
        <f t="shared" si="349"/>
        <v>0</v>
      </c>
      <c r="N93" s="35">
        <f t="shared" si="294"/>
        <v>3.5200000000000009</v>
      </c>
      <c r="O93" s="132">
        <f t="shared" si="323"/>
        <v>0</v>
      </c>
      <c r="P93" s="142"/>
      <c r="Q93" s="14">
        <f t="shared" si="295"/>
        <v>58</v>
      </c>
      <c r="R93" s="482">
        <f t="shared" si="296"/>
        <v>0</v>
      </c>
      <c r="S93" s="470">
        <f t="shared" si="324"/>
        <v>0</v>
      </c>
      <c r="T93" s="51">
        <f t="shared" si="297"/>
        <v>950</v>
      </c>
      <c r="U93" s="103">
        <f t="shared" si="422"/>
        <v>0</v>
      </c>
      <c r="V93" s="46">
        <f t="shared" si="326"/>
        <v>950</v>
      </c>
      <c r="W93" s="51">
        <f t="shared" si="298"/>
        <v>82</v>
      </c>
      <c r="X93" s="103">
        <f t="shared" si="423"/>
        <v>0</v>
      </c>
      <c r="Y93" s="46">
        <f t="shared" si="328"/>
        <v>82</v>
      </c>
      <c r="Z93" s="487"/>
      <c r="AA93" s="120">
        <f t="shared" ref="AA93:AA96" si="440">AA92+1</f>
        <v>21</v>
      </c>
      <c r="AB93" s="7">
        <f t="shared" si="424"/>
        <v>12</v>
      </c>
      <c r="AC93" s="133"/>
      <c r="AD93" s="48">
        <f t="shared" si="253"/>
        <v>0</v>
      </c>
      <c r="AE93" s="196">
        <f t="shared" si="254"/>
        <v>0</v>
      </c>
      <c r="AF93" s="405"/>
      <c r="AG93" s="135"/>
      <c r="AH93" s="135"/>
      <c r="AI93" s="14">
        <f t="shared" si="367"/>
        <v>0</v>
      </c>
      <c r="AJ93" s="14">
        <f t="shared" si="419"/>
        <v>0</v>
      </c>
      <c r="AK93" s="14">
        <f t="shared" si="299"/>
        <v>0.16</v>
      </c>
      <c r="AL93" s="47">
        <f t="shared" si="331"/>
        <v>0</v>
      </c>
      <c r="AM93" s="35">
        <f t="shared" si="300"/>
        <v>3.5200000000000009</v>
      </c>
      <c r="AN93" s="157">
        <f t="shared" si="358"/>
        <v>0</v>
      </c>
      <c r="AO93" s="142"/>
      <c r="AP93" s="14">
        <f t="shared" si="301"/>
        <v>58</v>
      </c>
      <c r="AQ93" s="482">
        <f t="shared" si="332"/>
        <v>0</v>
      </c>
      <c r="AR93" s="470">
        <f t="shared" si="420"/>
        <v>0</v>
      </c>
      <c r="AS93" s="51">
        <f t="shared" si="302"/>
        <v>950</v>
      </c>
      <c r="AT93" s="103">
        <f t="shared" si="425"/>
        <v>0</v>
      </c>
      <c r="AU93" s="46">
        <f t="shared" si="394"/>
        <v>950</v>
      </c>
      <c r="AV93" s="51">
        <f t="shared" si="303"/>
        <v>82</v>
      </c>
      <c r="AW93" s="103">
        <f t="shared" si="426"/>
        <v>0</v>
      </c>
      <c r="AX93" s="46">
        <f t="shared" si="359"/>
        <v>82</v>
      </c>
      <c r="AZ93" s="120">
        <f t="shared" ref="AZ93:AZ96" si="441">AZ92+1</f>
        <v>21</v>
      </c>
      <c r="BA93" s="7">
        <f t="shared" si="427"/>
        <v>12</v>
      </c>
      <c r="BB93" s="133"/>
      <c r="BC93" s="48">
        <f t="shared" si="337"/>
        <v>0</v>
      </c>
      <c r="BD93" s="196">
        <f t="shared" si="255"/>
        <v>0</v>
      </c>
      <c r="BE93" s="405"/>
      <c r="BF93" s="135"/>
      <c r="BG93" s="135"/>
      <c r="BH93" s="14">
        <f t="shared" si="368"/>
        <v>0</v>
      </c>
      <c r="BI93" s="14">
        <f t="shared" si="418"/>
        <v>0</v>
      </c>
      <c r="BJ93" s="14">
        <f t="shared" si="304"/>
        <v>0.16</v>
      </c>
      <c r="BK93" s="47">
        <f t="shared" si="350"/>
        <v>0</v>
      </c>
      <c r="BL93" s="35">
        <f t="shared" si="305"/>
        <v>3.5200000000000009</v>
      </c>
      <c r="BM93" s="132">
        <f t="shared" si="428"/>
        <v>0</v>
      </c>
      <c r="BN93" s="142"/>
      <c r="BO93" s="14">
        <f t="shared" si="306"/>
        <v>58</v>
      </c>
      <c r="BP93" s="442">
        <f t="shared" si="351"/>
        <v>0</v>
      </c>
      <c r="BQ93" s="747">
        <f t="shared" si="354"/>
        <v>0</v>
      </c>
      <c r="BR93" s="51">
        <f t="shared" si="307"/>
        <v>950</v>
      </c>
      <c r="BS93" s="103">
        <f t="shared" si="429"/>
        <v>0</v>
      </c>
      <c r="BT93" s="46">
        <f t="shared" si="395"/>
        <v>950</v>
      </c>
      <c r="BU93" s="51">
        <f t="shared" si="308"/>
        <v>82</v>
      </c>
      <c r="BV93" s="103">
        <f t="shared" si="430"/>
        <v>0</v>
      </c>
      <c r="BW93" s="46">
        <f t="shared" si="360"/>
        <v>82</v>
      </c>
      <c r="BY93" s="120">
        <f t="shared" si="431"/>
        <v>3</v>
      </c>
      <c r="BZ93" s="7">
        <f t="shared" si="432"/>
        <v>12</v>
      </c>
      <c r="CA93" s="133"/>
      <c r="CB93" s="14">
        <f t="shared" si="361"/>
        <v>0</v>
      </c>
      <c r="CC93" s="59">
        <f t="shared" si="369"/>
        <v>0</v>
      </c>
      <c r="CD93" s="405"/>
      <c r="CE93" s="406"/>
      <c r="CF93" s="406"/>
      <c r="CG93" s="14">
        <f t="shared" si="370"/>
        <v>0</v>
      </c>
      <c r="CH93" s="14">
        <f t="shared" si="362"/>
        <v>0</v>
      </c>
      <c r="CI93" s="14">
        <f t="shared" si="309"/>
        <v>0.16</v>
      </c>
      <c r="CJ93" s="47">
        <f t="shared" si="352"/>
        <v>0</v>
      </c>
      <c r="CK93" s="35">
        <f t="shared" si="310"/>
        <v>3.5200000000000009</v>
      </c>
      <c r="CL93" s="157">
        <f t="shared" si="355"/>
        <v>0</v>
      </c>
      <c r="CM93" s="142"/>
      <c r="CN93" s="14">
        <f t="shared" si="311"/>
        <v>58</v>
      </c>
      <c r="CO93" s="48">
        <f t="shared" si="356"/>
        <v>0</v>
      </c>
      <c r="CP93" s="68">
        <f t="shared" si="353"/>
        <v>0</v>
      </c>
      <c r="CQ93" s="51">
        <f t="shared" si="312"/>
        <v>950</v>
      </c>
      <c r="CR93" s="103">
        <f t="shared" si="433"/>
        <v>0</v>
      </c>
      <c r="CS93" s="46">
        <f t="shared" si="396"/>
        <v>950</v>
      </c>
      <c r="CT93" s="50">
        <f t="shared" si="313"/>
        <v>82</v>
      </c>
      <c r="CU93" s="103">
        <f t="shared" si="434"/>
        <v>0</v>
      </c>
      <c r="CV93" s="46">
        <f t="shared" si="344"/>
        <v>82</v>
      </c>
      <c r="CX93" s="120">
        <f t="shared" si="435"/>
        <v>3</v>
      </c>
      <c r="CY93" s="7">
        <f t="shared" si="436"/>
        <v>12</v>
      </c>
      <c r="CZ93" s="133"/>
      <c r="DA93" s="14">
        <f t="shared" si="228"/>
        <v>0</v>
      </c>
      <c r="DB93" s="59">
        <f t="shared" si="256"/>
        <v>0</v>
      </c>
      <c r="DC93" s="405"/>
      <c r="DD93" s="406"/>
      <c r="DE93" s="406"/>
      <c r="DF93" s="14">
        <f t="shared" si="371"/>
        <v>0</v>
      </c>
      <c r="DG93" s="14">
        <f t="shared" si="363"/>
        <v>0</v>
      </c>
      <c r="DH93" s="14">
        <f t="shared" si="314"/>
        <v>0.16</v>
      </c>
      <c r="DI93" s="47">
        <f t="shared" si="372"/>
        <v>0</v>
      </c>
      <c r="DJ93" s="35">
        <f t="shared" si="315"/>
        <v>3.5200000000000009</v>
      </c>
      <c r="DK93" s="157">
        <f t="shared" si="364"/>
        <v>0</v>
      </c>
      <c r="DL93" s="142"/>
      <c r="DM93" s="14">
        <f t="shared" si="316"/>
        <v>58</v>
      </c>
      <c r="DN93" s="48">
        <f t="shared" si="393"/>
        <v>0</v>
      </c>
      <c r="DO93" s="68">
        <f t="shared" si="365"/>
        <v>0</v>
      </c>
      <c r="DP93" s="51">
        <f t="shared" si="317"/>
        <v>950</v>
      </c>
      <c r="DQ93" s="103">
        <f t="shared" si="437"/>
        <v>0</v>
      </c>
      <c r="DR93" s="46">
        <f t="shared" si="397"/>
        <v>950</v>
      </c>
      <c r="DS93" s="50">
        <f t="shared" si="318"/>
        <v>82</v>
      </c>
      <c r="DT93" s="103">
        <f t="shared" si="438"/>
        <v>0</v>
      </c>
      <c r="DU93" s="46">
        <f t="shared" si="357"/>
        <v>82</v>
      </c>
    </row>
    <row r="94" spans="1:125" ht="17.25" thickBot="1" x14ac:dyDescent="0.3">
      <c r="B94" s="120">
        <f t="shared" si="439"/>
        <v>22</v>
      </c>
      <c r="C94" s="570">
        <f t="shared" si="421"/>
        <v>12</v>
      </c>
      <c r="D94" s="133"/>
      <c r="E94" s="408">
        <f t="shared" si="321"/>
        <v>0</v>
      </c>
      <c r="F94" s="562">
        <f t="shared" si="292"/>
        <v>0</v>
      </c>
      <c r="G94" s="405"/>
      <c r="H94" s="135"/>
      <c r="I94" s="135"/>
      <c r="J94" s="14">
        <f t="shared" si="366"/>
        <v>0</v>
      </c>
      <c r="K94" s="14">
        <f t="shared" si="322"/>
        <v>0</v>
      </c>
      <c r="L94" s="14">
        <f t="shared" si="293"/>
        <v>0.16</v>
      </c>
      <c r="M94" s="231">
        <f t="shared" si="349"/>
        <v>0</v>
      </c>
      <c r="N94" s="35">
        <f t="shared" si="294"/>
        <v>3.5200000000000009</v>
      </c>
      <c r="O94" s="132">
        <f t="shared" si="323"/>
        <v>0</v>
      </c>
      <c r="P94" s="142"/>
      <c r="Q94" s="14">
        <f t="shared" si="295"/>
        <v>58</v>
      </c>
      <c r="R94" s="442">
        <f t="shared" si="296"/>
        <v>0</v>
      </c>
      <c r="S94" s="470">
        <f t="shared" si="324"/>
        <v>0</v>
      </c>
      <c r="T94" s="51">
        <f t="shared" si="297"/>
        <v>950</v>
      </c>
      <c r="U94" s="103">
        <f t="shared" si="422"/>
        <v>0</v>
      </c>
      <c r="V94" s="46">
        <f t="shared" si="326"/>
        <v>950</v>
      </c>
      <c r="W94" s="51">
        <f t="shared" si="298"/>
        <v>82</v>
      </c>
      <c r="X94" s="103">
        <f t="shared" si="423"/>
        <v>0</v>
      </c>
      <c r="Y94" s="46">
        <f t="shared" si="328"/>
        <v>82</v>
      </c>
      <c r="Z94" s="487"/>
      <c r="AA94" s="120">
        <f t="shared" si="440"/>
        <v>22</v>
      </c>
      <c r="AB94" s="7">
        <f t="shared" si="424"/>
        <v>12</v>
      </c>
      <c r="AC94" s="133"/>
      <c r="AD94" s="48">
        <f t="shared" si="253"/>
        <v>0</v>
      </c>
      <c r="AE94" s="196">
        <f t="shared" si="254"/>
        <v>0</v>
      </c>
      <c r="AF94" s="405"/>
      <c r="AG94" s="135"/>
      <c r="AH94" s="135"/>
      <c r="AI94" s="14">
        <f t="shared" si="367"/>
        <v>0</v>
      </c>
      <c r="AJ94" s="14">
        <f t="shared" si="419"/>
        <v>0</v>
      </c>
      <c r="AK94" s="14">
        <f t="shared" si="299"/>
        <v>0.16</v>
      </c>
      <c r="AL94" s="231">
        <f t="shared" si="331"/>
        <v>0</v>
      </c>
      <c r="AM94" s="35">
        <f t="shared" si="300"/>
        <v>3.5200000000000009</v>
      </c>
      <c r="AN94" s="157">
        <f t="shared" si="358"/>
        <v>0</v>
      </c>
      <c r="AO94" s="134"/>
      <c r="AP94" s="14">
        <f t="shared" si="301"/>
        <v>58</v>
      </c>
      <c r="AQ94" s="442">
        <f t="shared" si="332"/>
        <v>0</v>
      </c>
      <c r="AR94" s="470">
        <f t="shared" si="420"/>
        <v>0</v>
      </c>
      <c r="AS94" s="51">
        <f t="shared" si="302"/>
        <v>950</v>
      </c>
      <c r="AT94" s="103">
        <f t="shared" si="425"/>
        <v>0</v>
      </c>
      <c r="AU94" s="46">
        <f t="shared" si="394"/>
        <v>950</v>
      </c>
      <c r="AV94" s="51">
        <f t="shared" si="303"/>
        <v>82</v>
      </c>
      <c r="AW94" s="103">
        <f t="shared" si="426"/>
        <v>0</v>
      </c>
      <c r="AX94" s="46">
        <f t="shared" si="359"/>
        <v>82</v>
      </c>
      <c r="AZ94" s="120">
        <f t="shared" si="441"/>
        <v>22</v>
      </c>
      <c r="BA94" s="7">
        <f t="shared" si="427"/>
        <v>12</v>
      </c>
      <c r="BB94" s="133"/>
      <c r="BC94" s="48">
        <f t="shared" si="337"/>
        <v>0</v>
      </c>
      <c r="BD94" s="196">
        <f t="shared" si="255"/>
        <v>0</v>
      </c>
      <c r="BE94" s="405"/>
      <c r="BF94" s="135"/>
      <c r="BG94" s="135"/>
      <c r="BH94" s="14">
        <f t="shared" si="368"/>
        <v>0</v>
      </c>
      <c r="BI94" s="14">
        <f t="shared" si="418"/>
        <v>0</v>
      </c>
      <c r="BJ94" s="14">
        <f t="shared" si="304"/>
        <v>0.16</v>
      </c>
      <c r="BK94" s="47">
        <f t="shared" si="350"/>
        <v>0</v>
      </c>
      <c r="BL94" s="35">
        <f t="shared" si="305"/>
        <v>3.5200000000000009</v>
      </c>
      <c r="BM94" s="132">
        <f t="shared" si="428"/>
        <v>0</v>
      </c>
      <c r="BN94" s="134"/>
      <c r="BO94" s="14">
        <f t="shared" si="306"/>
        <v>58</v>
      </c>
      <c r="BP94" s="442">
        <f t="shared" si="351"/>
        <v>0</v>
      </c>
      <c r="BQ94" s="747">
        <f t="shared" si="354"/>
        <v>0</v>
      </c>
      <c r="BR94" s="51">
        <f t="shared" si="307"/>
        <v>950</v>
      </c>
      <c r="BS94" s="103">
        <f t="shared" si="429"/>
        <v>0</v>
      </c>
      <c r="BT94" s="46">
        <f t="shared" si="395"/>
        <v>950</v>
      </c>
      <c r="BU94" s="51">
        <f t="shared" si="308"/>
        <v>82</v>
      </c>
      <c r="BV94" s="103">
        <f t="shared" si="430"/>
        <v>0</v>
      </c>
      <c r="BW94" s="46">
        <f t="shared" si="360"/>
        <v>82</v>
      </c>
      <c r="BY94" s="120">
        <f t="shared" si="431"/>
        <v>4</v>
      </c>
      <c r="BZ94" s="7">
        <f t="shared" si="432"/>
        <v>12</v>
      </c>
      <c r="CA94" s="133"/>
      <c r="CB94" s="14">
        <f t="shared" si="361"/>
        <v>0</v>
      </c>
      <c r="CC94" s="59">
        <f t="shared" si="369"/>
        <v>0</v>
      </c>
      <c r="CD94" s="405"/>
      <c r="CE94" s="406"/>
      <c r="CF94" s="406"/>
      <c r="CG94" s="14">
        <f t="shared" si="370"/>
        <v>0</v>
      </c>
      <c r="CH94" s="14">
        <f t="shared" si="362"/>
        <v>0</v>
      </c>
      <c r="CI94" s="14">
        <f t="shared" si="309"/>
        <v>0.16</v>
      </c>
      <c r="CJ94" s="47">
        <f t="shared" si="352"/>
        <v>0</v>
      </c>
      <c r="CK94" s="35">
        <f t="shared" si="310"/>
        <v>3.5200000000000009</v>
      </c>
      <c r="CL94" s="157">
        <f t="shared" si="355"/>
        <v>0</v>
      </c>
      <c r="CM94" s="134"/>
      <c r="CN94" s="14">
        <f t="shared" si="311"/>
        <v>58</v>
      </c>
      <c r="CO94" s="48">
        <f t="shared" si="356"/>
        <v>0</v>
      </c>
      <c r="CP94" s="68">
        <f t="shared" si="353"/>
        <v>0</v>
      </c>
      <c r="CQ94" s="51">
        <f t="shared" si="312"/>
        <v>950</v>
      </c>
      <c r="CR94" s="103">
        <f t="shared" si="433"/>
        <v>0</v>
      </c>
      <c r="CS94" s="46">
        <f t="shared" si="396"/>
        <v>950</v>
      </c>
      <c r="CT94" s="51">
        <f t="shared" si="313"/>
        <v>82</v>
      </c>
      <c r="CU94" s="103">
        <f t="shared" si="434"/>
        <v>0</v>
      </c>
      <c r="CV94" s="46">
        <f t="shared" si="344"/>
        <v>82</v>
      </c>
      <c r="CX94" s="120">
        <f t="shared" si="435"/>
        <v>4</v>
      </c>
      <c r="CY94" s="7">
        <f t="shared" si="436"/>
        <v>12</v>
      </c>
      <c r="CZ94" s="133"/>
      <c r="DA94" s="14">
        <f t="shared" si="228"/>
        <v>0</v>
      </c>
      <c r="DB94" s="59">
        <f t="shared" si="256"/>
        <v>0</v>
      </c>
      <c r="DC94" s="405"/>
      <c r="DD94" s="406"/>
      <c r="DE94" s="406"/>
      <c r="DF94" s="14">
        <f t="shared" si="371"/>
        <v>0</v>
      </c>
      <c r="DG94" s="14">
        <f t="shared" si="363"/>
        <v>0</v>
      </c>
      <c r="DH94" s="14">
        <f t="shared" si="314"/>
        <v>0.16</v>
      </c>
      <c r="DI94" s="47">
        <f t="shared" si="372"/>
        <v>0</v>
      </c>
      <c r="DJ94" s="35">
        <f t="shared" si="315"/>
        <v>3.5200000000000009</v>
      </c>
      <c r="DK94" s="157">
        <f t="shared" si="364"/>
        <v>0</v>
      </c>
      <c r="DL94" s="134"/>
      <c r="DM94" s="14">
        <f t="shared" si="316"/>
        <v>58</v>
      </c>
      <c r="DN94" s="48">
        <f t="shared" si="393"/>
        <v>0</v>
      </c>
      <c r="DO94" s="68">
        <f t="shared" si="365"/>
        <v>0</v>
      </c>
      <c r="DP94" s="51">
        <f t="shared" si="317"/>
        <v>950</v>
      </c>
      <c r="DQ94" s="103">
        <f t="shared" si="437"/>
        <v>0</v>
      </c>
      <c r="DR94" s="46">
        <f t="shared" si="397"/>
        <v>950</v>
      </c>
      <c r="DS94" s="51">
        <f t="shared" si="318"/>
        <v>82</v>
      </c>
      <c r="DT94" s="103">
        <f t="shared" si="438"/>
        <v>0</v>
      </c>
      <c r="DU94" s="46">
        <f t="shared" si="357"/>
        <v>82</v>
      </c>
    </row>
    <row r="95" spans="1:125" ht="17.25" thickBot="1" x14ac:dyDescent="0.3">
      <c r="B95" s="120">
        <f t="shared" si="439"/>
        <v>23</v>
      </c>
      <c r="C95" s="570">
        <f t="shared" si="421"/>
        <v>12</v>
      </c>
      <c r="D95" s="133"/>
      <c r="E95" s="408">
        <f t="shared" si="321"/>
        <v>0</v>
      </c>
      <c r="F95" s="562">
        <f t="shared" si="292"/>
        <v>0</v>
      </c>
      <c r="G95" s="405"/>
      <c r="H95" s="135"/>
      <c r="I95" s="135"/>
      <c r="J95" s="14">
        <f t="shared" si="366"/>
        <v>0</v>
      </c>
      <c r="K95" s="14">
        <f t="shared" si="322"/>
        <v>0</v>
      </c>
      <c r="L95" s="14">
        <f t="shared" si="293"/>
        <v>0.16</v>
      </c>
      <c r="M95" s="230">
        <f t="shared" si="349"/>
        <v>0</v>
      </c>
      <c r="N95" s="35">
        <f t="shared" si="294"/>
        <v>3.5200000000000009</v>
      </c>
      <c r="O95" s="132">
        <f t="shared" si="323"/>
        <v>0</v>
      </c>
      <c r="P95" s="142"/>
      <c r="Q95" s="14">
        <f t="shared" si="295"/>
        <v>58</v>
      </c>
      <c r="R95" s="442">
        <f t="shared" si="296"/>
        <v>0</v>
      </c>
      <c r="S95" s="470">
        <f t="shared" si="324"/>
        <v>0</v>
      </c>
      <c r="T95" s="51">
        <f t="shared" si="297"/>
        <v>950</v>
      </c>
      <c r="U95" s="103">
        <f t="shared" si="422"/>
        <v>0</v>
      </c>
      <c r="V95" s="46">
        <f t="shared" si="326"/>
        <v>950</v>
      </c>
      <c r="W95" s="12">
        <f t="shared" si="298"/>
        <v>82</v>
      </c>
      <c r="X95" s="103">
        <f t="shared" si="423"/>
        <v>0</v>
      </c>
      <c r="Y95" s="62">
        <f t="shared" si="328"/>
        <v>82</v>
      </c>
      <c r="Z95" s="487"/>
      <c r="AA95" s="120">
        <f t="shared" si="440"/>
        <v>23</v>
      </c>
      <c r="AB95" s="7">
        <f t="shared" si="424"/>
        <v>12</v>
      </c>
      <c r="AC95" s="133"/>
      <c r="AD95" s="48">
        <f t="shared" si="253"/>
        <v>0</v>
      </c>
      <c r="AE95" s="196">
        <f t="shared" si="254"/>
        <v>0</v>
      </c>
      <c r="AF95" s="405"/>
      <c r="AG95" s="135"/>
      <c r="AH95" s="135"/>
      <c r="AI95" s="14">
        <f t="shared" si="367"/>
        <v>0</v>
      </c>
      <c r="AJ95" s="14">
        <f t="shared" si="419"/>
        <v>0</v>
      </c>
      <c r="AK95" s="14">
        <f t="shared" si="299"/>
        <v>0.16</v>
      </c>
      <c r="AL95" s="230">
        <f t="shared" si="331"/>
        <v>0</v>
      </c>
      <c r="AM95" s="35">
        <f t="shared" si="300"/>
        <v>3.5200000000000009</v>
      </c>
      <c r="AN95" s="157">
        <f t="shared" si="358"/>
        <v>0</v>
      </c>
      <c r="AO95" s="134"/>
      <c r="AP95" s="14">
        <f t="shared" si="301"/>
        <v>58</v>
      </c>
      <c r="AQ95" s="442">
        <f t="shared" si="332"/>
        <v>0</v>
      </c>
      <c r="AR95" s="470">
        <f t="shared" si="420"/>
        <v>0</v>
      </c>
      <c r="AS95" s="51">
        <f t="shared" si="302"/>
        <v>950</v>
      </c>
      <c r="AT95" s="103">
        <f t="shared" si="425"/>
        <v>0</v>
      </c>
      <c r="AU95" s="46">
        <f t="shared" si="394"/>
        <v>950</v>
      </c>
      <c r="AV95" s="12">
        <f t="shared" si="303"/>
        <v>82</v>
      </c>
      <c r="AW95" s="103">
        <f t="shared" si="426"/>
        <v>0</v>
      </c>
      <c r="AX95" s="62">
        <f t="shared" si="359"/>
        <v>82</v>
      </c>
      <c r="AZ95" s="120">
        <f t="shared" si="441"/>
        <v>23</v>
      </c>
      <c r="BA95" s="7">
        <f t="shared" si="427"/>
        <v>12</v>
      </c>
      <c r="BB95" s="133"/>
      <c r="BC95" s="48">
        <f t="shared" si="337"/>
        <v>0</v>
      </c>
      <c r="BD95" s="196">
        <f t="shared" si="255"/>
        <v>0</v>
      </c>
      <c r="BE95" s="405"/>
      <c r="BF95" s="135"/>
      <c r="BG95" s="135"/>
      <c r="BH95" s="14">
        <f t="shared" si="368"/>
        <v>0</v>
      </c>
      <c r="BI95" s="14">
        <f t="shared" si="418"/>
        <v>0</v>
      </c>
      <c r="BJ95" s="14">
        <f t="shared" si="304"/>
        <v>0.16</v>
      </c>
      <c r="BK95" s="47">
        <f t="shared" si="350"/>
        <v>0</v>
      </c>
      <c r="BL95" s="35">
        <f t="shared" si="305"/>
        <v>3.5200000000000009</v>
      </c>
      <c r="BM95" s="132">
        <f t="shared" si="428"/>
        <v>0</v>
      </c>
      <c r="BN95" s="134"/>
      <c r="BO95" s="14">
        <f t="shared" si="306"/>
        <v>58</v>
      </c>
      <c r="BP95" s="442">
        <f t="shared" si="351"/>
        <v>0</v>
      </c>
      <c r="BQ95" s="747">
        <f t="shared" si="354"/>
        <v>0</v>
      </c>
      <c r="BR95" s="51">
        <f t="shared" si="307"/>
        <v>950</v>
      </c>
      <c r="BS95" s="103">
        <f t="shared" si="429"/>
        <v>0</v>
      </c>
      <c r="BT95" s="46">
        <f t="shared" si="395"/>
        <v>950</v>
      </c>
      <c r="BU95" s="12">
        <f t="shared" si="308"/>
        <v>82</v>
      </c>
      <c r="BV95" s="103">
        <f t="shared" si="430"/>
        <v>0</v>
      </c>
      <c r="BW95" s="62">
        <f t="shared" si="360"/>
        <v>82</v>
      </c>
      <c r="BY95" s="120">
        <f t="shared" si="431"/>
        <v>5</v>
      </c>
      <c r="BZ95" s="7">
        <f t="shared" si="432"/>
        <v>12</v>
      </c>
      <c r="CA95" s="133"/>
      <c r="CB95" s="14">
        <f t="shared" si="361"/>
        <v>0</v>
      </c>
      <c r="CC95" s="59">
        <f t="shared" si="369"/>
        <v>0</v>
      </c>
      <c r="CD95" s="405"/>
      <c r="CE95" s="406"/>
      <c r="CF95" s="406"/>
      <c r="CG95" s="14">
        <f t="shared" si="370"/>
        <v>0</v>
      </c>
      <c r="CH95" s="14">
        <f t="shared" si="362"/>
        <v>0</v>
      </c>
      <c r="CI95" s="14">
        <f t="shared" si="309"/>
        <v>0.16</v>
      </c>
      <c r="CJ95" s="47">
        <f t="shared" si="352"/>
        <v>0</v>
      </c>
      <c r="CK95" s="35">
        <f t="shared" si="310"/>
        <v>3.5200000000000009</v>
      </c>
      <c r="CL95" s="157">
        <f t="shared" si="355"/>
        <v>0</v>
      </c>
      <c r="CM95" s="134"/>
      <c r="CN95" s="14">
        <f t="shared" si="311"/>
        <v>58</v>
      </c>
      <c r="CO95" s="48">
        <f t="shared" si="356"/>
        <v>0</v>
      </c>
      <c r="CP95" s="68">
        <f t="shared" si="353"/>
        <v>0</v>
      </c>
      <c r="CQ95" s="51">
        <f t="shared" si="312"/>
        <v>950</v>
      </c>
      <c r="CR95" s="103">
        <f t="shared" si="433"/>
        <v>0</v>
      </c>
      <c r="CS95" s="46">
        <f t="shared" si="396"/>
        <v>950</v>
      </c>
      <c r="CT95" s="51">
        <f t="shared" si="313"/>
        <v>82</v>
      </c>
      <c r="CU95" s="103">
        <f t="shared" si="434"/>
        <v>0</v>
      </c>
      <c r="CV95" s="62">
        <f t="shared" si="344"/>
        <v>82</v>
      </c>
      <c r="CX95" s="120">
        <f t="shared" si="435"/>
        <v>5</v>
      </c>
      <c r="CY95" s="7">
        <f t="shared" si="436"/>
        <v>12</v>
      </c>
      <c r="CZ95" s="133"/>
      <c r="DA95" s="14">
        <f t="shared" si="228"/>
        <v>0</v>
      </c>
      <c r="DB95" s="59">
        <f t="shared" si="256"/>
        <v>0</v>
      </c>
      <c r="DC95" s="405"/>
      <c r="DD95" s="406"/>
      <c r="DE95" s="406"/>
      <c r="DF95" s="14">
        <f t="shared" si="371"/>
        <v>0</v>
      </c>
      <c r="DG95" s="14">
        <f t="shared" si="363"/>
        <v>0</v>
      </c>
      <c r="DH95" s="14">
        <f t="shared" si="314"/>
        <v>0.16</v>
      </c>
      <c r="DI95" s="47">
        <f t="shared" si="372"/>
        <v>0</v>
      </c>
      <c r="DJ95" s="35">
        <f t="shared" si="315"/>
        <v>3.5200000000000009</v>
      </c>
      <c r="DK95" s="157">
        <f t="shared" si="364"/>
        <v>0</v>
      </c>
      <c r="DL95" s="134"/>
      <c r="DM95" s="14">
        <f t="shared" si="316"/>
        <v>58</v>
      </c>
      <c r="DN95" s="48">
        <f t="shared" si="393"/>
        <v>0</v>
      </c>
      <c r="DO95" s="68">
        <f t="shared" si="365"/>
        <v>0</v>
      </c>
      <c r="DP95" s="51">
        <f t="shared" si="317"/>
        <v>950</v>
      </c>
      <c r="DQ95" s="103">
        <f t="shared" si="437"/>
        <v>0</v>
      </c>
      <c r="DR95" s="46">
        <f t="shared" si="397"/>
        <v>950</v>
      </c>
      <c r="DS95" s="51">
        <f t="shared" si="318"/>
        <v>82</v>
      </c>
      <c r="DT95" s="103">
        <f t="shared" si="438"/>
        <v>0</v>
      </c>
      <c r="DU95" s="62">
        <f t="shared" si="357"/>
        <v>82</v>
      </c>
    </row>
    <row r="96" spans="1:125" ht="17.25" thickBot="1" x14ac:dyDescent="0.3">
      <c r="B96" s="120">
        <f t="shared" si="439"/>
        <v>24</v>
      </c>
      <c r="C96" s="574">
        <f t="shared" si="421"/>
        <v>12</v>
      </c>
      <c r="D96" s="136"/>
      <c r="E96" s="436">
        <f t="shared" si="321"/>
        <v>0</v>
      </c>
      <c r="F96" s="451">
        <f t="shared" si="292"/>
        <v>0</v>
      </c>
      <c r="G96" s="421"/>
      <c r="H96" s="138"/>
      <c r="I96" s="138"/>
      <c r="J96" s="34">
        <f t="shared" si="366"/>
        <v>0</v>
      </c>
      <c r="K96" s="34">
        <f t="shared" si="322"/>
        <v>0</v>
      </c>
      <c r="L96" s="34">
        <f t="shared" si="293"/>
        <v>0.16</v>
      </c>
      <c r="M96" s="96">
        <f t="shared" si="349"/>
        <v>0</v>
      </c>
      <c r="N96" s="40">
        <f t="shared" si="294"/>
        <v>3.5200000000000009</v>
      </c>
      <c r="O96" s="132">
        <f t="shared" si="323"/>
        <v>0</v>
      </c>
      <c r="P96" s="139"/>
      <c r="Q96" s="32">
        <f t="shared" si="295"/>
        <v>58</v>
      </c>
      <c r="R96" s="592">
        <f t="shared" si="296"/>
        <v>0</v>
      </c>
      <c r="S96" s="471">
        <f t="shared" si="324"/>
        <v>0</v>
      </c>
      <c r="T96" s="56">
        <f t="shared" si="297"/>
        <v>950</v>
      </c>
      <c r="U96" s="109">
        <f t="shared" si="422"/>
        <v>0</v>
      </c>
      <c r="V96" s="63">
        <f t="shared" si="326"/>
        <v>950</v>
      </c>
      <c r="W96" s="56">
        <f t="shared" si="298"/>
        <v>82</v>
      </c>
      <c r="X96" s="109">
        <f t="shared" si="423"/>
        <v>0</v>
      </c>
      <c r="Y96" s="53">
        <f t="shared" si="328"/>
        <v>82</v>
      </c>
      <c r="Z96" s="487"/>
      <c r="AA96" s="120">
        <f t="shared" si="440"/>
        <v>24</v>
      </c>
      <c r="AB96" s="8">
        <f t="shared" si="424"/>
        <v>12</v>
      </c>
      <c r="AC96" s="136"/>
      <c r="AD96" s="54">
        <f t="shared" si="253"/>
        <v>0</v>
      </c>
      <c r="AE96" s="55">
        <f t="shared" si="254"/>
        <v>0</v>
      </c>
      <c r="AF96" s="421"/>
      <c r="AG96" s="138"/>
      <c r="AH96" s="138"/>
      <c r="AI96" s="34">
        <f t="shared" si="367"/>
        <v>0</v>
      </c>
      <c r="AJ96" s="34">
        <f t="shared" si="419"/>
        <v>0</v>
      </c>
      <c r="AK96" s="17">
        <f t="shared" si="299"/>
        <v>0.16</v>
      </c>
      <c r="AL96" s="96">
        <f t="shared" si="331"/>
        <v>0</v>
      </c>
      <c r="AM96" s="33">
        <f t="shared" si="300"/>
        <v>3.5200000000000009</v>
      </c>
      <c r="AN96" s="157">
        <f t="shared" si="358"/>
        <v>0</v>
      </c>
      <c r="AO96" s="137"/>
      <c r="AP96" s="32">
        <f t="shared" si="301"/>
        <v>58</v>
      </c>
      <c r="AQ96" s="479">
        <f t="shared" si="332"/>
        <v>0</v>
      </c>
      <c r="AR96" s="471">
        <f t="shared" si="420"/>
        <v>0</v>
      </c>
      <c r="AS96" s="50">
        <f t="shared" si="302"/>
        <v>950</v>
      </c>
      <c r="AT96" s="103">
        <f t="shared" si="425"/>
        <v>0</v>
      </c>
      <c r="AU96" s="63">
        <f t="shared" si="394"/>
        <v>950</v>
      </c>
      <c r="AV96" s="56">
        <f t="shared" si="303"/>
        <v>82</v>
      </c>
      <c r="AW96" s="103">
        <f t="shared" si="426"/>
        <v>0</v>
      </c>
      <c r="AX96" s="53">
        <f t="shared" si="359"/>
        <v>82</v>
      </c>
      <c r="AZ96" s="197">
        <f t="shared" si="441"/>
        <v>24</v>
      </c>
      <c r="BA96" s="8">
        <f t="shared" si="427"/>
        <v>12</v>
      </c>
      <c r="BB96" s="136"/>
      <c r="BC96" s="54">
        <f t="shared" si="337"/>
        <v>0</v>
      </c>
      <c r="BD96" s="55">
        <f t="shared" si="255"/>
        <v>0</v>
      </c>
      <c r="BE96" s="421"/>
      <c r="BF96" s="138"/>
      <c r="BG96" s="138"/>
      <c r="BH96" s="34">
        <f t="shared" si="368"/>
        <v>0</v>
      </c>
      <c r="BI96" s="34">
        <f t="shared" si="418"/>
        <v>0</v>
      </c>
      <c r="BJ96" s="34">
        <f t="shared" si="304"/>
        <v>0.16</v>
      </c>
      <c r="BK96" s="96">
        <f t="shared" si="350"/>
        <v>0</v>
      </c>
      <c r="BL96" s="40">
        <f t="shared" si="305"/>
        <v>3.5200000000000009</v>
      </c>
      <c r="BM96" s="132">
        <f t="shared" si="428"/>
        <v>0</v>
      </c>
      <c r="BN96" s="137"/>
      <c r="BO96" s="32">
        <f t="shared" si="306"/>
        <v>58</v>
      </c>
      <c r="BP96" s="443">
        <f t="shared" si="351"/>
        <v>0</v>
      </c>
      <c r="BQ96" s="750">
        <f t="shared" si="354"/>
        <v>0</v>
      </c>
      <c r="BR96" s="56">
        <f t="shared" si="307"/>
        <v>950</v>
      </c>
      <c r="BS96" s="109">
        <f t="shared" si="429"/>
        <v>0</v>
      </c>
      <c r="BT96" s="63">
        <f t="shared" si="395"/>
        <v>950</v>
      </c>
      <c r="BU96" s="56">
        <f t="shared" si="308"/>
        <v>82</v>
      </c>
      <c r="BV96" s="109">
        <f t="shared" si="430"/>
        <v>0</v>
      </c>
      <c r="BW96" s="53">
        <f t="shared" si="360"/>
        <v>82</v>
      </c>
      <c r="BY96" s="197">
        <f>BY95+1</f>
        <v>6</v>
      </c>
      <c r="BZ96" s="8">
        <f t="shared" si="432"/>
        <v>12</v>
      </c>
      <c r="CA96" s="136"/>
      <c r="CB96" s="32">
        <f t="shared" si="361"/>
        <v>0</v>
      </c>
      <c r="CC96" s="53">
        <f t="shared" si="369"/>
        <v>0</v>
      </c>
      <c r="CD96" s="421"/>
      <c r="CE96" s="426"/>
      <c r="CF96" s="426"/>
      <c r="CG96" s="34">
        <f t="shared" si="370"/>
        <v>0</v>
      </c>
      <c r="CH96" s="34">
        <f t="shared" si="362"/>
        <v>0</v>
      </c>
      <c r="CI96" s="32">
        <f t="shared" si="309"/>
        <v>0.16</v>
      </c>
      <c r="CJ96" s="96">
        <f t="shared" si="352"/>
        <v>0</v>
      </c>
      <c r="CK96" s="36">
        <f t="shared" si="310"/>
        <v>3.5200000000000009</v>
      </c>
      <c r="CL96" s="156">
        <f t="shared" si="355"/>
        <v>0</v>
      </c>
      <c r="CM96" s="137"/>
      <c r="CN96" s="13">
        <f t="shared" si="311"/>
        <v>58</v>
      </c>
      <c r="CO96" s="54">
        <f t="shared" si="356"/>
        <v>0</v>
      </c>
      <c r="CP96" s="70">
        <f t="shared" si="353"/>
        <v>0</v>
      </c>
      <c r="CQ96" s="50">
        <f t="shared" si="312"/>
        <v>950</v>
      </c>
      <c r="CR96" s="103">
        <f t="shared" si="433"/>
        <v>0</v>
      </c>
      <c r="CS96" s="63">
        <f t="shared" si="396"/>
        <v>950</v>
      </c>
      <c r="CT96" s="12">
        <f t="shared" si="313"/>
        <v>82</v>
      </c>
      <c r="CU96" s="103">
        <f t="shared" si="434"/>
        <v>0</v>
      </c>
      <c r="CV96" s="53">
        <f t="shared" si="344"/>
        <v>82</v>
      </c>
      <c r="CX96" s="197">
        <f>CX95+1</f>
        <v>6</v>
      </c>
      <c r="CY96" s="8">
        <f t="shared" si="436"/>
        <v>12</v>
      </c>
      <c r="CZ96" s="136"/>
      <c r="DA96" s="32">
        <f t="shared" si="228"/>
        <v>0</v>
      </c>
      <c r="DB96" s="53">
        <f t="shared" si="256"/>
        <v>0</v>
      </c>
      <c r="DC96" s="421"/>
      <c r="DD96" s="426"/>
      <c r="DE96" s="426"/>
      <c r="DF96" s="34">
        <f t="shared" si="371"/>
        <v>0</v>
      </c>
      <c r="DG96" s="34">
        <f t="shared" si="363"/>
        <v>0</v>
      </c>
      <c r="DH96" s="32">
        <f t="shared" si="314"/>
        <v>0.16</v>
      </c>
      <c r="DI96" s="96">
        <f t="shared" si="372"/>
        <v>0</v>
      </c>
      <c r="DJ96" s="36">
        <f t="shared" si="315"/>
        <v>3.5200000000000009</v>
      </c>
      <c r="DK96" s="156">
        <f t="shared" si="364"/>
        <v>0</v>
      </c>
      <c r="DL96" s="137"/>
      <c r="DM96" s="13">
        <f t="shared" si="316"/>
        <v>58</v>
      </c>
      <c r="DN96" s="54">
        <f t="shared" si="393"/>
        <v>0</v>
      </c>
      <c r="DO96" s="70">
        <f t="shared" si="365"/>
        <v>0</v>
      </c>
      <c r="DP96" s="50">
        <f t="shared" si="317"/>
        <v>950</v>
      </c>
      <c r="DQ96" s="103">
        <f t="shared" si="437"/>
        <v>0</v>
      </c>
      <c r="DR96" s="63">
        <f t="shared" si="397"/>
        <v>950</v>
      </c>
      <c r="DS96" s="12">
        <f t="shared" si="318"/>
        <v>82</v>
      </c>
      <c r="DT96" s="103">
        <f t="shared" si="438"/>
        <v>0</v>
      </c>
      <c r="DU96" s="53">
        <f t="shared" si="357"/>
        <v>82</v>
      </c>
    </row>
    <row r="97" spans="1:125" ht="17.25" thickBot="1" x14ac:dyDescent="0.3">
      <c r="B97" s="118">
        <v>25</v>
      </c>
      <c r="C97" s="575">
        <v>13</v>
      </c>
      <c r="D97" s="129"/>
      <c r="E97" s="400">
        <f t="shared" si="321"/>
        <v>0</v>
      </c>
      <c r="F97" s="561">
        <f t="shared" si="292"/>
        <v>0</v>
      </c>
      <c r="G97" s="398"/>
      <c r="H97" s="131"/>
      <c r="I97" s="131"/>
      <c r="J97" s="11">
        <f t="shared" si="366"/>
        <v>0</v>
      </c>
      <c r="K97" s="11">
        <f t="shared" si="322"/>
        <v>0</v>
      </c>
      <c r="L97" s="16">
        <f t="shared" si="293"/>
        <v>0.16</v>
      </c>
      <c r="M97" s="42">
        <f t="shared" si="349"/>
        <v>0</v>
      </c>
      <c r="N97" s="154">
        <f t="shared" si="294"/>
        <v>3.680000000000001</v>
      </c>
      <c r="O97" s="132">
        <f t="shared" si="323"/>
        <v>0</v>
      </c>
      <c r="P97" s="158"/>
      <c r="Q97" s="11">
        <f t="shared" si="295"/>
        <v>61</v>
      </c>
      <c r="R97" s="481">
        <f t="shared" si="296"/>
        <v>0</v>
      </c>
      <c r="S97" s="469">
        <f t="shared" si="324"/>
        <v>0</v>
      </c>
      <c r="T97" s="58">
        <f t="shared" si="297"/>
        <v>1010</v>
      </c>
      <c r="U97" s="131"/>
      <c r="V97" s="41">
        <f t="shared" si="326"/>
        <v>1010</v>
      </c>
      <c r="W97" s="18">
        <f t="shared" si="298"/>
        <v>82</v>
      </c>
      <c r="X97" s="131"/>
      <c r="Y97" s="41">
        <f t="shared" si="328"/>
        <v>82</v>
      </c>
      <c r="Z97" s="487"/>
      <c r="AA97" s="118">
        <v>25</v>
      </c>
      <c r="AB97" s="9">
        <v>13</v>
      </c>
      <c r="AC97" s="129"/>
      <c r="AD97" s="43">
        <f t="shared" si="253"/>
        <v>0</v>
      </c>
      <c r="AE97" s="449">
        <f t="shared" si="254"/>
        <v>0</v>
      </c>
      <c r="AF97" s="398"/>
      <c r="AG97" s="131"/>
      <c r="AH97" s="131"/>
      <c r="AI97" s="11">
        <f t="shared" si="367"/>
        <v>0</v>
      </c>
      <c r="AJ97" s="11">
        <f t="shared" si="419"/>
        <v>0</v>
      </c>
      <c r="AK97" s="16">
        <f t="shared" si="299"/>
        <v>0.16</v>
      </c>
      <c r="AL97" s="42">
        <f t="shared" si="331"/>
        <v>0</v>
      </c>
      <c r="AM97" s="154">
        <f t="shared" si="300"/>
        <v>3.680000000000001</v>
      </c>
      <c r="AN97" s="157">
        <f t="shared" si="358"/>
        <v>0</v>
      </c>
      <c r="AO97" s="130"/>
      <c r="AP97" s="17">
        <f t="shared" si="301"/>
        <v>61</v>
      </c>
      <c r="AQ97" s="481">
        <f t="shared" si="332"/>
        <v>0</v>
      </c>
      <c r="AR97" s="469">
        <f t="shared" si="420"/>
        <v>0</v>
      </c>
      <c r="AS97" s="58">
        <f t="shared" si="302"/>
        <v>1010</v>
      </c>
      <c r="AT97" s="131"/>
      <c r="AU97" s="41">
        <f t="shared" si="394"/>
        <v>1010</v>
      </c>
      <c r="AV97" s="18">
        <f t="shared" si="303"/>
        <v>82</v>
      </c>
      <c r="AW97" s="131"/>
      <c r="AX97" s="41">
        <f t="shared" si="359"/>
        <v>82</v>
      </c>
      <c r="AZ97" s="118">
        <v>25</v>
      </c>
      <c r="BA97" s="9">
        <v>13</v>
      </c>
      <c r="BB97" s="129"/>
      <c r="BC97" s="43">
        <f t="shared" si="337"/>
        <v>0</v>
      </c>
      <c r="BD97" s="449">
        <f t="shared" si="255"/>
        <v>0</v>
      </c>
      <c r="BE97" s="398"/>
      <c r="BF97" s="131"/>
      <c r="BG97" s="131"/>
      <c r="BH97" s="11">
        <f t="shared" si="368"/>
        <v>0</v>
      </c>
      <c r="BI97" s="11">
        <f t="shared" si="418"/>
        <v>0</v>
      </c>
      <c r="BJ97" s="16">
        <f t="shared" si="304"/>
        <v>0.16</v>
      </c>
      <c r="BK97" s="42">
        <f t="shared" si="350"/>
        <v>0</v>
      </c>
      <c r="BL97" s="154">
        <f t="shared" si="305"/>
        <v>3.680000000000001</v>
      </c>
      <c r="BM97" s="132">
        <f t="shared" si="428"/>
        <v>0</v>
      </c>
      <c r="BN97" s="130"/>
      <c r="BO97" s="11">
        <f t="shared" si="306"/>
        <v>61</v>
      </c>
      <c r="BP97" s="441">
        <f t="shared" si="351"/>
        <v>0</v>
      </c>
      <c r="BQ97" s="746">
        <f t="shared" si="354"/>
        <v>0</v>
      </c>
      <c r="BR97" s="58">
        <f t="shared" si="307"/>
        <v>1010</v>
      </c>
      <c r="BS97" s="131"/>
      <c r="BT97" s="41">
        <f t="shared" si="395"/>
        <v>1010</v>
      </c>
      <c r="BU97" s="18">
        <f t="shared" si="308"/>
        <v>82</v>
      </c>
      <c r="BV97" s="131"/>
      <c r="BW97" s="41">
        <f t="shared" si="360"/>
        <v>82</v>
      </c>
      <c r="BY97" s="118">
        <v>7</v>
      </c>
      <c r="BZ97" s="9">
        <v>13</v>
      </c>
      <c r="CA97" s="129"/>
      <c r="CB97" s="11">
        <f t="shared" si="361"/>
        <v>0</v>
      </c>
      <c r="CC97" s="57">
        <f t="shared" si="369"/>
        <v>0</v>
      </c>
      <c r="CD97" s="398"/>
      <c r="CE97" s="399"/>
      <c r="CF97" s="399"/>
      <c r="CG97" s="11">
        <f t="shared" si="370"/>
        <v>0</v>
      </c>
      <c r="CH97" s="11">
        <f t="shared" si="362"/>
        <v>0</v>
      </c>
      <c r="CI97" s="17">
        <f t="shared" si="309"/>
        <v>0.16</v>
      </c>
      <c r="CJ97" s="235">
        <f t="shared" si="352"/>
        <v>0</v>
      </c>
      <c r="CK97" s="33">
        <f t="shared" si="310"/>
        <v>3.680000000000001</v>
      </c>
      <c r="CL97" s="155">
        <f t="shared" si="355"/>
        <v>0</v>
      </c>
      <c r="CM97" s="130"/>
      <c r="CN97" s="11">
        <f t="shared" si="311"/>
        <v>61</v>
      </c>
      <c r="CO97" s="60">
        <f t="shared" si="356"/>
        <v>0</v>
      </c>
      <c r="CP97" s="377">
        <f t="shared" si="353"/>
        <v>0</v>
      </c>
      <c r="CQ97" s="58">
        <f t="shared" si="312"/>
        <v>1010</v>
      </c>
      <c r="CR97" s="131"/>
      <c r="CS97" s="41">
        <f t="shared" si="396"/>
        <v>1010</v>
      </c>
      <c r="CT97" s="18">
        <f t="shared" si="313"/>
        <v>82</v>
      </c>
      <c r="CU97" s="131"/>
      <c r="CV97" s="41">
        <f t="shared" si="344"/>
        <v>82</v>
      </c>
      <c r="CX97" s="118">
        <v>7</v>
      </c>
      <c r="CY97" s="9">
        <v>13</v>
      </c>
      <c r="CZ97" s="129"/>
      <c r="DA97" s="11">
        <f t="shared" si="228"/>
        <v>0</v>
      </c>
      <c r="DB97" s="57">
        <f t="shared" si="256"/>
        <v>0</v>
      </c>
      <c r="DC97" s="398"/>
      <c r="DD97" s="399"/>
      <c r="DE97" s="399"/>
      <c r="DF97" s="11">
        <f t="shared" si="371"/>
        <v>0</v>
      </c>
      <c r="DG97" s="11">
        <f t="shared" si="363"/>
        <v>0</v>
      </c>
      <c r="DH97" s="17">
        <f t="shared" si="314"/>
        <v>0.16</v>
      </c>
      <c r="DI97" s="235">
        <f t="shared" si="372"/>
        <v>0</v>
      </c>
      <c r="DJ97" s="33">
        <f t="shared" si="315"/>
        <v>3.680000000000001</v>
      </c>
      <c r="DK97" s="155">
        <f t="shared" si="364"/>
        <v>0</v>
      </c>
      <c r="DL97" s="130"/>
      <c r="DM97" s="11">
        <f t="shared" si="316"/>
        <v>61</v>
      </c>
      <c r="DN97" s="60">
        <f t="shared" si="393"/>
        <v>0</v>
      </c>
      <c r="DO97" s="377">
        <f t="shared" si="365"/>
        <v>0</v>
      </c>
      <c r="DP97" s="58">
        <f t="shared" si="317"/>
        <v>1010</v>
      </c>
      <c r="DQ97" s="131"/>
      <c r="DR97" s="41">
        <f t="shared" si="397"/>
        <v>1010</v>
      </c>
      <c r="DS97" s="18">
        <f t="shared" si="318"/>
        <v>82</v>
      </c>
      <c r="DT97" s="131"/>
      <c r="DU97" s="41">
        <f t="shared" si="357"/>
        <v>82</v>
      </c>
    </row>
    <row r="98" spans="1:125" ht="17.25" thickBot="1" x14ac:dyDescent="0.3">
      <c r="B98" s="120">
        <f>B97+1</f>
        <v>26</v>
      </c>
      <c r="C98" s="570">
        <f>C97</f>
        <v>13</v>
      </c>
      <c r="D98" s="133"/>
      <c r="E98" s="408">
        <f t="shared" si="321"/>
        <v>0</v>
      </c>
      <c r="F98" s="562">
        <f t="shared" si="292"/>
        <v>0</v>
      </c>
      <c r="G98" s="405"/>
      <c r="H98" s="135"/>
      <c r="I98" s="135"/>
      <c r="J98" s="14">
        <f t="shared" si="366"/>
        <v>0</v>
      </c>
      <c r="K98" s="14">
        <f t="shared" si="322"/>
        <v>0</v>
      </c>
      <c r="L98" s="14">
        <f t="shared" si="293"/>
        <v>0.16</v>
      </c>
      <c r="M98" s="47">
        <f t="shared" si="349"/>
        <v>0</v>
      </c>
      <c r="N98" s="35">
        <f t="shared" si="294"/>
        <v>3.680000000000001</v>
      </c>
      <c r="O98" s="132">
        <f t="shared" si="323"/>
        <v>0</v>
      </c>
      <c r="P98" s="142"/>
      <c r="Q98" s="14">
        <f t="shared" si="295"/>
        <v>61</v>
      </c>
      <c r="R98" s="482">
        <f t="shared" si="296"/>
        <v>0</v>
      </c>
      <c r="S98" s="470">
        <f t="shared" si="324"/>
        <v>0</v>
      </c>
      <c r="T98" s="51">
        <f t="shared" si="297"/>
        <v>1010</v>
      </c>
      <c r="U98" s="103">
        <f>U97</f>
        <v>0</v>
      </c>
      <c r="V98" s="46">
        <f t="shared" si="326"/>
        <v>1010</v>
      </c>
      <c r="W98" s="50">
        <f t="shared" si="298"/>
        <v>82</v>
      </c>
      <c r="X98" s="103">
        <f>X97</f>
        <v>0</v>
      </c>
      <c r="Y98" s="46">
        <f t="shared" si="328"/>
        <v>82</v>
      </c>
      <c r="Z98" s="487"/>
      <c r="AA98" s="120">
        <f>AA97+1</f>
        <v>26</v>
      </c>
      <c r="AB98" s="7">
        <f>AB97</f>
        <v>13</v>
      </c>
      <c r="AC98" s="133"/>
      <c r="AD98" s="48">
        <f t="shared" si="253"/>
        <v>0</v>
      </c>
      <c r="AE98" s="196">
        <f t="shared" si="254"/>
        <v>0</v>
      </c>
      <c r="AF98" s="405"/>
      <c r="AG98" s="135"/>
      <c r="AH98" s="135"/>
      <c r="AI98" s="14">
        <f t="shared" si="367"/>
        <v>0</v>
      </c>
      <c r="AJ98" s="14">
        <f t="shared" si="419"/>
        <v>0</v>
      </c>
      <c r="AK98" s="14">
        <f t="shared" si="299"/>
        <v>0.16</v>
      </c>
      <c r="AL98" s="47">
        <f t="shared" si="331"/>
        <v>0</v>
      </c>
      <c r="AM98" s="35">
        <f t="shared" si="300"/>
        <v>3.680000000000001</v>
      </c>
      <c r="AN98" s="157">
        <f t="shared" si="358"/>
        <v>0</v>
      </c>
      <c r="AO98" s="134"/>
      <c r="AP98" s="14">
        <f t="shared" si="301"/>
        <v>61</v>
      </c>
      <c r="AQ98" s="482">
        <f t="shared" si="332"/>
        <v>0</v>
      </c>
      <c r="AR98" s="470">
        <f t="shared" si="420"/>
        <v>0</v>
      </c>
      <c r="AS98" s="51">
        <f t="shared" si="302"/>
        <v>1010</v>
      </c>
      <c r="AT98" s="103">
        <f>AT97</f>
        <v>0</v>
      </c>
      <c r="AU98" s="46">
        <f t="shared" si="394"/>
        <v>1010</v>
      </c>
      <c r="AV98" s="50">
        <f t="shared" si="303"/>
        <v>82</v>
      </c>
      <c r="AW98" s="103">
        <f>AW97</f>
        <v>0</v>
      </c>
      <c r="AX98" s="46">
        <f t="shared" si="359"/>
        <v>82</v>
      </c>
      <c r="AZ98" s="120">
        <f>AZ97+1</f>
        <v>26</v>
      </c>
      <c r="BA98" s="7">
        <f>BA97</f>
        <v>13</v>
      </c>
      <c r="BB98" s="133"/>
      <c r="BC98" s="48">
        <f t="shared" si="337"/>
        <v>0</v>
      </c>
      <c r="BD98" s="196">
        <f t="shared" si="255"/>
        <v>0</v>
      </c>
      <c r="BE98" s="405"/>
      <c r="BF98" s="135"/>
      <c r="BG98" s="135"/>
      <c r="BH98" s="14">
        <f t="shared" si="368"/>
        <v>0</v>
      </c>
      <c r="BI98" s="14">
        <f t="shared" si="418"/>
        <v>0</v>
      </c>
      <c r="BJ98" s="14">
        <f t="shared" si="304"/>
        <v>0.16</v>
      </c>
      <c r="BK98" s="47">
        <f t="shared" si="350"/>
        <v>0</v>
      </c>
      <c r="BL98" s="35">
        <f t="shared" si="305"/>
        <v>3.680000000000001</v>
      </c>
      <c r="BM98" s="132">
        <f t="shared" si="428"/>
        <v>0</v>
      </c>
      <c r="BN98" s="134"/>
      <c r="BO98" s="14">
        <f t="shared" si="306"/>
        <v>61</v>
      </c>
      <c r="BP98" s="442">
        <f t="shared" si="351"/>
        <v>0</v>
      </c>
      <c r="BQ98" s="747">
        <f t="shared" si="354"/>
        <v>0</v>
      </c>
      <c r="BR98" s="51">
        <f t="shared" si="307"/>
        <v>1010</v>
      </c>
      <c r="BS98" s="103">
        <f>BS97</f>
        <v>0</v>
      </c>
      <c r="BT98" s="46">
        <f t="shared" si="395"/>
        <v>1010</v>
      </c>
      <c r="BU98" s="50">
        <f t="shared" si="308"/>
        <v>82</v>
      </c>
      <c r="BV98" s="103">
        <f>BV97</f>
        <v>0</v>
      </c>
      <c r="BW98" s="46">
        <f t="shared" si="360"/>
        <v>82</v>
      </c>
      <c r="BY98" s="120">
        <f>BY97+1</f>
        <v>8</v>
      </c>
      <c r="BZ98" s="7">
        <f>BZ97</f>
        <v>13</v>
      </c>
      <c r="CA98" s="133"/>
      <c r="CB98" s="14">
        <f t="shared" si="361"/>
        <v>0</v>
      </c>
      <c r="CC98" s="59">
        <f t="shared" si="369"/>
        <v>0</v>
      </c>
      <c r="CD98" s="405"/>
      <c r="CE98" s="406"/>
      <c r="CF98" s="406"/>
      <c r="CG98" s="14">
        <f t="shared" si="370"/>
        <v>0</v>
      </c>
      <c r="CH98" s="14">
        <f t="shared" si="362"/>
        <v>0</v>
      </c>
      <c r="CI98" s="14">
        <f t="shared" si="309"/>
        <v>0.16</v>
      </c>
      <c r="CJ98" s="47">
        <f t="shared" si="352"/>
        <v>0</v>
      </c>
      <c r="CK98" s="35">
        <f t="shared" si="310"/>
        <v>3.680000000000001</v>
      </c>
      <c r="CL98" s="157">
        <f t="shared" si="355"/>
        <v>0</v>
      </c>
      <c r="CM98" s="134"/>
      <c r="CN98" s="14">
        <f t="shared" si="311"/>
        <v>61</v>
      </c>
      <c r="CO98" s="48">
        <f t="shared" si="356"/>
        <v>0</v>
      </c>
      <c r="CP98" s="68">
        <f t="shared" si="353"/>
        <v>0</v>
      </c>
      <c r="CQ98" s="51">
        <f t="shared" si="312"/>
        <v>1010</v>
      </c>
      <c r="CR98" s="103">
        <f>CR97</f>
        <v>0</v>
      </c>
      <c r="CS98" s="46">
        <f t="shared" si="396"/>
        <v>1010</v>
      </c>
      <c r="CT98" s="51">
        <f t="shared" si="313"/>
        <v>82</v>
      </c>
      <c r="CU98" s="103">
        <f>CU97</f>
        <v>0</v>
      </c>
      <c r="CV98" s="46">
        <f t="shared" si="344"/>
        <v>82</v>
      </c>
      <c r="CX98" s="120">
        <f>CX97+1</f>
        <v>8</v>
      </c>
      <c r="CY98" s="7">
        <f>CY97</f>
        <v>13</v>
      </c>
      <c r="CZ98" s="133"/>
      <c r="DA98" s="14">
        <f t="shared" si="228"/>
        <v>0</v>
      </c>
      <c r="DB98" s="59">
        <f t="shared" si="256"/>
        <v>0</v>
      </c>
      <c r="DC98" s="405"/>
      <c r="DD98" s="406"/>
      <c r="DE98" s="406"/>
      <c r="DF98" s="14">
        <f t="shared" si="371"/>
        <v>0</v>
      </c>
      <c r="DG98" s="14">
        <f t="shared" si="363"/>
        <v>0</v>
      </c>
      <c r="DH98" s="14">
        <f t="shared" si="314"/>
        <v>0.16</v>
      </c>
      <c r="DI98" s="47">
        <f t="shared" si="372"/>
        <v>0</v>
      </c>
      <c r="DJ98" s="35">
        <f t="shared" si="315"/>
        <v>3.680000000000001</v>
      </c>
      <c r="DK98" s="157">
        <f t="shared" si="364"/>
        <v>0</v>
      </c>
      <c r="DL98" s="134"/>
      <c r="DM98" s="14">
        <f t="shared" si="316"/>
        <v>61</v>
      </c>
      <c r="DN98" s="48">
        <f t="shared" si="393"/>
        <v>0</v>
      </c>
      <c r="DO98" s="68">
        <f t="shared" si="365"/>
        <v>0</v>
      </c>
      <c r="DP98" s="51">
        <f t="shared" si="317"/>
        <v>1010</v>
      </c>
      <c r="DQ98" s="103">
        <f>DQ97</f>
        <v>0</v>
      </c>
      <c r="DR98" s="46">
        <f t="shared" si="397"/>
        <v>1010</v>
      </c>
      <c r="DS98" s="51">
        <f t="shared" si="318"/>
        <v>82</v>
      </c>
      <c r="DT98" s="103">
        <f>DT97</f>
        <v>0</v>
      </c>
      <c r="DU98" s="46">
        <f t="shared" si="357"/>
        <v>82</v>
      </c>
    </row>
    <row r="99" spans="1:125" ht="17.25" thickBot="1" x14ac:dyDescent="0.3">
      <c r="B99" s="120">
        <f t="shared" ref="B99:B103" si="442">B98+1</f>
        <v>27</v>
      </c>
      <c r="C99" s="570">
        <f t="shared" ref="C99:C103" si="443">C98</f>
        <v>13</v>
      </c>
      <c r="D99" s="133"/>
      <c r="E99" s="408">
        <f t="shared" si="321"/>
        <v>0</v>
      </c>
      <c r="F99" s="562">
        <f t="shared" si="292"/>
        <v>0</v>
      </c>
      <c r="G99" s="134"/>
      <c r="H99" s="135"/>
      <c r="I99" s="135"/>
      <c r="J99" s="14">
        <f t="shared" si="366"/>
        <v>0</v>
      </c>
      <c r="K99" s="14">
        <f t="shared" si="322"/>
        <v>0</v>
      </c>
      <c r="L99" s="14">
        <f t="shared" si="293"/>
        <v>0.16</v>
      </c>
      <c r="M99" s="231">
        <f t="shared" si="349"/>
        <v>0</v>
      </c>
      <c r="N99" s="35">
        <f t="shared" si="294"/>
        <v>3.680000000000001</v>
      </c>
      <c r="O99" s="132">
        <f t="shared" si="323"/>
        <v>0</v>
      </c>
      <c r="P99" s="142"/>
      <c r="Q99" s="14">
        <f t="shared" si="295"/>
        <v>61</v>
      </c>
      <c r="R99" s="482">
        <f t="shared" si="296"/>
        <v>0</v>
      </c>
      <c r="S99" s="470">
        <f t="shared" si="324"/>
        <v>0</v>
      </c>
      <c r="T99" s="51">
        <f t="shared" si="297"/>
        <v>1010</v>
      </c>
      <c r="U99" s="103">
        <f t="shared" ref="U99:U103" si="444">U98</f>
        <v>0</v>
      </c>
      <c r="V99" s="46">
        <f t="shared" si="326"/>
        <v>1010</v>
      </c>
      <c r="W99" s="50">
        <f t="shared" si="298"/>
        <v>82</v>
      </c>
      <c r="X99" s="103">
        <f t="shared" ref="X99:X103" si="445">X98</f>
        <v>0</v>
      </c>
      <c r="Y99" s="46">
        <f t="shared" si="328"/>
        <v>82</v>
      </c>
      <c r="Z99" s="487"/>
      <c r="AA99" s="120">
        <f t="shared" ref="AA99:AA103" si="446">AA98+1</f>
        <v>27</v>
      </c>
      <c r="AB99" s="7">
        <f t="shared" ref="AB99:AB103" si="447">AB98</f>
        <v>13</v>
      </c>
      <c r="AC99" s="133"/>
      <c r="AD99" s="48">
        <f t="shared" si="253"/>
        <v>0</v>
      </c>
      <c r="AE99" s="196">
        <f t="shared" si="254"/>
        <v>0</v>
      </c>
      <c r="AF99" s="134"/>
      <c r="AG99" s="135"/>
      <c r="AH99" s="135"/>
      <c r="AI99" s="14">
        <f t="shared" si="367"/>
        <v>0</v>
      </c>
      <c r="AJ99" s="14">
        <f t="shared" si="419"/>
        <v>0</v>
      </c>
      <c r="AK99" s="14">
        <f t="shared" si="299"/>
        <v>0.16</v>
      </c>
      <c r="AL99" s="231">
        <f t="shared" si="331"/>
        <v>0</v>
      </c>
      <c r="AM99" s="35">
        <f t="shared" si="300"/>
        <v>3.680000000000001</v>
      </c>
      <c r="AN99" s="157">
        <f t="shared" si="358"/>
        <v>0</v>
      </c>
      <c r="AO99" s="134"/>
      <c r="AP99" s="14">
        <f t="shared" si="301"/>
        <v>61</v>
      </c>
      <c r="AQ99" s="482">
        <f t="shared" si="332"/>
        <v>0</v>
      </c>
      <c r="AR99" s="470">
        <f t="shared" si="420"/>
        <v>0</v>
      </c>
      <c r="AS99" s="51">
        <f t="shared" si="302"/>
        <v>1010</v>
      </c>
      <c r="AT99" s="103">
        <f t="shared" ref="AT99:AT103" si="448">AT98</f>
        <v>0</v>
      </c>
      <c r="AU99" s="46">
        <f t="shared" si="394"/>
        <v>1010</v>
      </c>
      <c r="AV99" s="50">
        <f t="shared" si="303"/>
        <v>82</v>
      </c>
      <c r="AW99" s="103">
        <f t="shared" ref="AW99:AW103" si="449">AW98</f>
        <v>0</v>
      </c>
      <c r="AX99" s="46">
        <f t="shared" si="359"/>
        <v>82</v>
      </c>
      <c r="AZ99" s="120">
        <f t="shared" ref="AZ99:AZ103" si="450">AZ98+1</f>
        <v>27</v>
      </c>
      <c r="BA99" s="7">
        <f t="shared" ref="BA99:BA103" si="451">BA98</f>
        <v>13</v>
      </c>
      <c r="BB99" s="133"/>
      <c r="BC99" s="48">
        <f t="shared" si="337"/>
        <v>0</v>
      </c>
      <c r="BD99" s="196">
        <f t="shared" si="255"/>
        <v>0</v>
      </c>
      <c r="BE99" s="134"/>
      <c r="BF99" s="135"/>
      <c r="BG99" s="135"/>
      <c r="BH99" s="14">
        <f t="shared" si="368"/>
        <v>0</v>
      </c>
      <c r="BI99" s="14">
        <f t="shared" si="418"/>
        <v>0</v>
      </c>
      <c r="BJ99" s="14">
        <f t="shared" si="304"/>
        <v>0.16</v>
      </c>
      <c r="BK99" s="47">
        <f t="shared" si="350"/>
        <v>0</v>
      </c>
      <c r="BL99" s="35">
        <f t="shared" si="305"/>
        <v>3.680000000000001</v>
      </c>
      <c r="BM99" s="132">
        <f t="shared" si="428"/>
        <v>0</v>
      </c>
      <c r="BN99" s="134"/>
      <c r="BO99" s="14">
        <f t="shared" si="306"/>
        <v>61</v>
      </c>
      <c r="BP99" s="442">
        <f t="shared" si="351"/>
        <v>0</v>
      </c>
      <c r="BQ99" s="747">
        <f t="shared" si="354"/>
        <v>0</v>
      </c>
      <c r="BR99" s="51">
        <f t="shared" si="307"/>
        <v>1010</v>
      </c>
      <c r="BS99" s="103">
        <f t="shared" ref="BS99:BS103" si="452">BS98</f>
        <v>0</v>
      </c>
      <c r="BT99" s="46">
        <f t="shared" si="395"/>
        <v>1010</v>
      </c>
      <c r="BU99" s="50">
        <f t="shared" si="308"/>
        <v>82</v>
      </c>
      <c r="BV99" s="103">
        <f t="shared" ref="BV99:BV103" si="453">BV98</f>
        <v>0</v>
      </c>
      <c r="BW99" s="46">
        <f t="shared" si="360"/>
        <v>82</v>
      </c>
      <c r="BY99" s="120">
        <f t="shared" ref="BY99:BY102" si="454">BY98+1</f>
        <v>9</v>
      </c>
      <c r="BZ99" s="7">
        <f t="shared" ref="BZ99:BZ103" si="455">BZ98</f>
        <v>13</v>
      </c>
      <c r="CA99" s="133"/>
      <c r="CB99" s="14">
        <f t="shared" si="361"/>
        <v>0</v>
      </c>
      <c r="CC99" s="59">
        <f t="shared" si="369"/>
        <v>0</v>
      </c>
      <c r="CD99" s="405"/>
      <c r="CE99" s="406"/>
      <c r="CF99" s="406"/>
      <c r="CG99" s="14">
        <f t="shared" si="370"/>
        <v>0</v>
      </c>
      <c r="CH99" s="14">
        <f t="shared" si="362"/>
        <v>0</v>
      </c>
      <c r="CI99" s="14">
        <f t="shared" si="309"/>
        <v>0.16</v>
      </c>
      <c r="CJ99" s="47">
        <f t="shared" si="352"/>
        <v>0</v>
      </c>
      <c r="CK99" s="35">
        <f t="shared" si="310"/>
        <v>3.680000000000001</v>
      </c>
      <c r="CL99" s="157">
        <f t="shared" si="355"/>
        <v>0</v>
      </c>
      <c r="CM99" s="134"/>
      <c r="CN99" s="14">
        <f t="shared" si="311"/>
        <v>61</v>
      </c>
      <c r="CO99" s="48">
        <f t="shared" si="356"/>
        <v>0</v>
      </c>
      <c r="CP99" s="68">
        <f t="shared" si="353"/>
        <v>0</v>
      </c>
      <c r="CQ99" s="51">
        <f t="shared" si="312"/>
        <v>1010</v>
      </c>
      <c r="CR99" s="103">
        <f t="shared" ref="CR99:CR103" si="456">CR98</f>
        <v>0</v>
      </c>
      <c r="CS99" s="46">
        <f t="shared" si="396"/>
        <v>1010</v>
      </c>
      <c r="CT99" s="50">
        <f t="shared" si="313"/>
        <v>82</v>
      </c>
      <c r="CU99" s="103">
        <f t="shared" ref="CU99:CU103" si="457">CU98</f>
        <v>0</v>
      </c>
      <c r="CV99" s="46">
        <f t="shared" si="344"/>
        <v>82</v>
      </c>
      <c r="CX99" s="120">
        <f t="shared" ref="CX99:CX102" si="458">CX98+1</f>
        <v>9</v>
      </c>
      <c r="CY99" s="7">
        <f t="shared" ref="CY99:CY103" si="459">CY98</f>
        <v>13</v>
      </c>
      <c r="CZ99" s="133"/>
      <c r="DA99" s="14">
        <f t="shared" si="228"/>
        <v>0</v>
      </c>
      <c r="DB99" s="59">
        <f t="shared" si="256"/>
        <v>0</v>
      </c>
      <c r="DC99" s="405"/>
      <c r="DD99" s="406"/>
      <c r="DE99" s="406"/>
      <c r="DF99" s="14">
        <f t="shared" si="371"/>
        <v>0</v>
      </c>
      <c r="DG99" s="14">
        <f t="shared" si="363"/>
        <v>0</v>
      </c>
      <c r="DH99" s="14">
        <f t="shared" si="314"/>
        <v>0.16</v>
      </c>
      <c r="DI99" s="47">
        <f t="shared" si="372"/>
        <v>0</v>
      </c>
      <c r="DJ99" s="35">
        <f t="shared" si="315"/>
        <v>3.680000000000001</v>
      </c>
      <c r="DK99" s="157">
        <f t="shared" si="364"/>
        <v>0</v>
      </c>
      <c r="DL99" s="134"/>
      <c r="DM99" s="14">
        <f t="shared" si="316"/>
        <v>61</v>
      </c>
      <c r="DN99" s="48">
        <f t="shared" si="393"/>
        <v>0</v>
      </c>
      <c r="DO99" s="68">
        <f t="shared" si="365"/>
        <v>0</v>
      </c>
      <c r="DP99" s="51">
        <f t="shared" si="317"/>
        <v>1010</v>
      </c>
      <c r="DQ99" s="103">
        <f t="shared" ref="DQ99:DQ103" si="460">DQ98</f>
        <v>0</v>
      </c>
      <c r="DR99" s="46">
        <f t="shared" si="397"/>
        <v>1010</v>
      </c>
      <c r="DS99" s="50">
        <f t="shared" si="318"/>
        <v>82</v>
      </c>
      <c r="DT99" s="103">
        <f t="shared" ref="DT99:DT103" si="461">DT98</f>
        <v>0</v>
      </c>
      <c r="DU99" s="46">
        <f t="shared" si="357"/>
        <v>82</v>
      </c>
    </row>
    <row r="100" spans="1:125" ht="17.25" thickBot="1" x14ac:dyDescent="0.3">
      <c r="B100" s="120">
        <f t="shared" si="442"/>
        <v>28</v>
      </c>
      <c r="C100" s="570">
        <f t="shared" si="443"/>
        <v>13</v>
      </c>
      <c r="D100" s="133"/>
      <c r="E100" s="408">
        <f t="shared" si="321"/>
        <v>0</v>
      </c>
      <c r="F100" s="562">
        <f t="shared" si="292"/>
        <v>0</v>
      </c>
      <c r="G100" s="134"/>
      <c r="H100" s="135"/>
      <c r="I100" s="135"/>
      <c r="J100" s="14">
        <f t="shared" si="366"/>
        <v>0</v>
      </c>
      <c r="K100" s="14">
        <f t="shared" si="322"/>
        <v>0</v>
      </c>
      <c r="L100" s="14">
        <f t="shared" si="293"/>
        <v>0.16</v>
      </c>
      <c r="M100" s="230">
        <f t="shared" si="349"/>
        <v>0</v>
      </c>
      <c r="N100" s="35">
        <f t="shared" si="294"/>
        <v>3.680000000000001</v>
      </c>
      <c r="O100" s="132">
        <f t="shared" si="323"/>
        <v>0</v>
      </c>
      <c r="P100" s="142"/>
      <c r="Q100" s="14">
        <f t="shared" si="295"/>
        <v>61</v>
      </c>
      <c r="R100" s="482">
        <f t="shared" si="296"/>
        <v>0</v>
      </c>
      <c r="S100" s="470">
        <f t="shared" si="324"/>
        <v>0</v>
      </c>
      <c r="T100" s="51">
        <f t="shared" si="297"/>
        <v>1010</v>
      </c>
      <c r="U100" s="103">
        <f t="shared" si="444"/>
        <v>0</v>
      </c>
      <c r="V100" s="46">
        <f t="shared" si="326"/>
        <v>1010</v>
      </c>
      <c r="W100" s="50">
        <f t="shared" si="298"/>
        <v>82</v>
      </c>
      <c r="X100" s="103">
        <f t="shared" si="445"/>
        <v>0</v>
      </c>
      <c r="Y100" s="46">
        <f t="shared" si="328"/>
        <v>82</v>
      </c>
      <c r="Z100" s="487"/>
      <c r="AA100" s="120">
        <f t="shared" si="446"/>
        <v>28</v>
      </c>
      <c r="AB100" s="7">
        <f t="shared" si="447"/>
        <v>13</v>
      </c>
      <c r="AC100" s="133"/>
      <c r="AD100" s="48">
        <f t="shared" si="253"/>
        <v>0</v>
      </c>
      <c r="AE100" s="196">
        <f t="shared" si="254"/>
        <v>0</v>
      </c>
      <c r="AF100" s="134"/>
      <c r="AG100" s="135"/>
      <c r="AH100" s="135"/>
      <c r="AI100" s="14">
        <f t="shared" si="367"/>
        <v>0</v>
      </c>
      <c r="AJ100" s="14">
        <f t="shared" si="419"/>
        <v>0</v>
      </c>
      <c r="AK100" s="14">
        <f t="shared" si="299"/>
        <v>0.16</v>
      </c>
      <c r="AL100" s="230">
        <f t="shared" si="331"/>
        <v>0</v>
      </c>
      <c r="AM100" s="35">
        <f t="shared" si="300"/>
        <v>3.680000000000001</v>
      </c>
      <c r="AN100" s="157">
        <f t="shared" si="358"/>
        <v>0</v>
      </c>
      <c r="AO100" s="134"/>
      <c r="AP100" s="14">
        <f t="shared" si="301"/>
        <v>61</v>
      </c>
      <c r="AQ100" s="482">
        <f t="shared" si="332"/>
        <v>0</v>
      </c>
      <c r="AR100" s="470">
        <f t="shared" si="420"/>
        <v>0</v>
      </c>
      <c r="AS100" s="51">
        <f t="shared" si="302"/>
        <v>1010</v>
      </c>
      <c r="AT100" s="103">
        <f t="shared" si="448"/>
        <v>0</v>
      </c>
      <c r="AU100" s="46">
        <f t="shared" si="394"/>
        <v>1010</v>
      </c>
      <c r="AV100" s="50">
        <f t="shared" si="303"/>
        <v>82</v>
      </c>
      <c r="AW100" s="103">
        <f t="shared" si="449"/>
        <v>0</v>
      </c>
      <c r="AX100" s="46">
        <f t="shared" si="359"/>
        <v>82</v>
      </c>
      <c r="AZ100" s="120">
        <f t="shared" si="450"/>
        <v>28</v>
      </c>
      <c r="BA100" s="7">
        <f t="shared" si="451"/>
        <v>13</v>
      </c>
      <c r="BB100" s="133"/>
      <c r="BC100" s="48">
        <f t="shared" si="337"/>
        <v>0</v>
      </c>
      <c r="BD100" s="196">
        <f t="shared" si="255"/>
        <v>0</v>
      </c>
      <c r="BE100" s="134"/>
      <c r="BF100" s="135"/>
      <c r="BG100" s="135"/>
      <c r="BH100" s="14">
        <f t="shared" si="368"/>
        <v>0</v>
      </c>
      <c r="BI100" s="14">
        <f t="shared" si="418"/>
        <v>0</v>
      </c>
      <c r="BJ100" s="14">
        <f t="shared" si="304"/>
        <v>0.16</v>
      </c>
      <c r="BK100" s="47">
        <f t="shared" si="350"/>
        <v>0</v>
      </c>
      <c r="BL100" s="35">
        <f t="shared" si="305"/>
        <v>3.680000000000001</v>
      </c>
      <c r="BM100" s="132">
        <f t="shared" si="428"/>
        <v>0</v>
      </c>
      <c r="BN100" s="134"/>
      <c r="BO100" s="14">
        <f t="shared" si="306"/>
        <v>61</v>
      </c>
      <c r="BP100" s="442">
        <f t="shared" si="351"/>
        <v>0</v>
      </c>
      <c r="BQ100" s="747">
        <f t="shared" si="354"/>
        <v>0</v>
      </c>
      <c r="BR100" s="51">
        <f t="shared" si="307"/>
        <v>1010</v>
      </c>
      <c r="BS100" s="103">
        <f t="shared" si="452"/>
        <v>0</v>
      </c>
      <c r="BT100" s="46">
        <f t="shared" si="395"/>
        <v>1010</v>
      </c>
      <c r="BU100" s="50">
        <f t="shared" si="308"/>
        <v>82</v>
      </c>
      <c r="BV100" s="103">
        <f t="shared" si="453"/>
        <v>0</v>
      </c>
      <c r="BW100" s="46">
        <f t="shared" si="360"/>
        <v>82</v>
      </c>
      <c r="BY100" s="120">
        <f t="shared" si="454"/>
        <v>10</v>
      </c>
      <c r="BZ100" s="7">
        <f t="shared" si="455"/>
        <v>13</v>
      </c>
      <c r="CA100" s="133"/>
      <c r="CB100" s="14">
        <f t="shared" si="361"/>
        <v>0</v>
      </c>
      <c r="CC100" s="59">
        <f t="shared" si="369"/>
        <v>0</v>
      </c>
      <c r="CD100" s="405"/>
      <c r="CE100" s="406"/>
      <c r="CF100" s="406"/>
      <c r="CG100" s="14">
        <f t="shared" si="370"/>
        <v>0</v>
      </c>
      <c r="CH100" s="14">
        <f t="shared" si="362"/>
        <v>0</v>
      </c>
      <c r="CI100" s="14">
        <f t="shared" si="309"/>
        <v>0.16</v>
      </c>
      <c r="CJ100" s="47">
        <f t="shared" si="352"/>
        <v>0</v>
      </c>
      <c r="CK100" s="35">
        <f t="shared" si="310"/>
        <v>3.680000000000001</v>
      </c>
      <c r="CL100" s="157">
        <f t="shared" si="355"/>
        <v>0</v>
      </c>
      <c r="CM100" s="134"/>
      <c r="CN100" s="14">
        <f t="shared" si="311"/>
        <v>61</v>
      </c>
      <c r="CO100" s="48">
        <f t="shared" si="356"/>
        <v>0</v>
      </c>
      <c r="CP100" s="68">
        <f t="shared" si="353"/>
        <v>0</v>
      </c>
      <c r="CQ100" s="51">
        <f t="shared" si="312"/>
        <v>1010</v>
      </c>
      <c r="CR100" s="103">
        <f t="shared" si="456"/>
        <v>0</v>
      </c>
      <c r="CS100" s="46">
        <f t="shared" si="396"/>
        <v>1010</v>
      </c>
      <c r="CT100" s="51">
        <f t="shared" si="313"/>
        <v>82</v>
      </c>
      <c r="CU100" s="103">
        <f t="shared" si="457"/>
        <v>0</v>
      </c>
      <c r="CV100" s="46">
        <f t="shared" si="344"/>
        <v>82</v>
      </c>
      <c r="CX100" s="120">
        <f t="shared" si="458"/>
        <v>10</v>
      </c>
      <c r="CY100" s="7">
        <f t="shared" si="459"/>
        <v>13</v>
      </c>
      <c r="CZ100" s="133"/>
      <c r="DA100" s="14">
        <f t="shared" si="228"/>
        <v>0</v>
      </c>
      <c r="DB100" s="59">
        <f t="shared" si="256"/>
        <v>0</v>
      </c>
      <c r="DC100" s="405"/>
      <c r="DD100" s="406"/>
      <c r="DE100" s="406"/>
      <c r="DF100" s="14">
        <f t="shared" si="371"/>
        <v>0</v>
      </c>
      <c r="DG100" s="14">
        <f t="shared" si="363"/>
        <v>0</v>
      </c>
      <c r="DH100" s="14">
        <f t="shared" si="314"/>
        <v>0.16</v>
      </c>
      <c r="DI100" s="47">
        <f t="shared" si="372"/>
        <v>0</v>
      </c>
      <c r="DJ100" s="35">
        <f t="shared" si="315"/>
        <v>3.680000000000001</v>
      </c>
      <c r="DK100" s="157">
        <f t="shared" si="364"/>
        <v>0</v>
      </c>
      <c r="DL100" s="134"/>
      <c r="DM100" s="14">
        <f t="shared" si="316"/>
        <v>61</v>
      </c>
      <c r="DN100" s="48">
        <f t="shared" si="393"/>
        <v>0</v>
      </c>
      <c r="DO100" s="68">
        <f t="shared" si="365"/>
        <v>0</v>
      </c>
      <c r="DP100" s="51">
        <f t="shared" si="317"/>
        <v>1010</v>
      </c>
      <c r="DQ100" s="103">
        <f t="shared" si="460"/>
        <v>0</v>
      </c>
      <c r="DR100" s="46">
        <f t="shared" si="397"/>
        <v>1010</v>
      </c>
      <c r="DS100" s="51">
        <f t="shared" si="318"/>
        <v>82</v>
      </c>
      <c r="DT100" s="103">
        <f t="shared" si="461"/>
        <v>0</v>
      </c>
      <c r="DU100" s="46">
        <f t="shared" si="357"/>
        <v>82</v>
      </c>
    </row>
    <row r="101" spans="1:125" ht="17.25" thickBot="1" x14ac:dyDescent="0.3">
      <c r="B101" s="120">
        <f t="shared" si="442"/>
        <v>29</v>
      </c>
      <c r="C101" s="570">
        <f t="shared" si="443"/>
        <v>13</v>
      </c>
      <c r="D101" s="133"/>
      <c r="E101" s="408">
        <f t="shared" si="321"/>
        <v>0</v>
      </c>
      <c r="F101" s="562">
        <f t="shared" si="292"/>
        <v>0</v>
      </c>
      <c r="G101" s="134"/>
      <c r="H101" s="135"/>
      <c r="I101" s="135"/>
      <c r="J101" s="14">
        <f t="shared" si="366"/>
        <v>0</v>
      </c>
      <c r="K101" s="14">
        <f t="shared" si="322"/>
        <v>0</v>
      </c>
      <c r="L101" s="14">
        <f t="shared" si="293"/>
        <v>0.16</v>
      </c>
      <c r="M101" s="47">
        <f t="shared" si="349"/>
        <v>0</v>
      </c>
      <c r="N101" s="35">
        <f t="shared" si="294"/>
        <v>3.680000000000001</v>
      </c>
      <c r="O101" s="132">
        <f t="shared" si="323"/>
        <v>0</v>
      </c>
      <c r="P101" s="142"/>
      <c r="Q101" s="14">
        <f t="shared" si="295"/>
        <v>61</v>
      </c>
      <c r="R101" s="442">
        <f t="shared" si="296"/>
        <v>0</v>
      </c>
      <c r="S101" s="470">
        <f t="shared" si="324"/>
        <v>0</v>
      </c>
      <c r="T101" s="51">
        <f t="shared" si="297"/>
        <v>1010</v>
      </c>
      <c r="U101" s="103">
        <f t="shared" si="444"/>
        <v>0</v>
      </c>
      <c r="V101" s="46">
        <f t="shared" si="326"/>
        <v>1010</v>
      </c>
      <c r="W101" s="51">
        <f t="shared" si="298"/>
        <v>82</v>
      </c>
      <c r="X101" s="103">
        <f t="shared" si="445"/>
        <v>0</v>
      </c>
      <c r="Y101" s="46">
        <f t="shared" si="328"/>
        <v>82</v>
      </c>
      <c r="Z101" s="487"/>
      <c r="AA101" s="120">
        <f t="shared" si="446"/>
        <v>29</v>
      </c>
      <c r="AB101" s="7">
        <f t="shared" si="447"/>
        <v>13</v>
      </c>
      <c r="AC101" s="133"/>
      <c r="AD101" s="48">
        <f t="shared" si="253"/>
        <v>0</v>
      </c>
      <c r="AE101" s="196">
        <f t="shared" si="254"/>
        <v>0</v>
      </c>
      <c r="AF101" s="134"/>
      <c r="AG101" s="135"/>
      <c r="AH101" s="135"/>
      <c r="AI101" s="14">
        <f t="shared" si="367"/>
        <v>0</v>
      </c>
      <c r="AJ101" s="14">
        <f t="shared" si="419"/>
        <v>0</v>
      </c>
      <c r="AK101" s="14">
        <f t="shared" si="299"/>
        <v>0.16</v>
      </c>
      <c r="AL101" s="47">
        <f t="shared" si="331"/>
        <v>0</v>
      </c>
      <c r="AM101" s="35">
        <f t="shared" si="300"/>
        <v>3.680000000000001</v>
      </c>
      <c r="AN101" s="157">
        <f t="shared" si="358"/>
        <v>0</v>
      </c>
      <c r="AO101" s="134"/>
      <c r="AP101" s="14">
        <f t="shared" si="301"/>
        <v>61</v>
      </c>
      <c r="AQ101" s="442">
        <f t="shared" si="332"/>
        <v>0</v>
      </c>
      <c r="AR101" s="470">
        <f t="shared" si="420"/>
        <v>0</v>
      </c>
      <c r="AS101" s="51">
        <f t="shared" si="302"/>
        <v>1010</v>
      </c>
      <c r="AT101" s="103">
        <f t="shared" si="448"/>
        <v>0</v>
      </c>
      <c r="AU101" s="46">
        <f t="shared" si="394"/>
        <v>1010</v>
      </c>
      <c r="AV101" s="51">
        <f t="shared" si="303"/>
        <v>82</v>
      </c>
      <c r="AW101" s="103">
        <f t="shared" si="449"/>
        <v>0</v>
      </c>
      <c r="AX101" s="46">
        <f t="shared" si="359"/>
        <v>82</v>
      </c>
      <c r="AZ101" s="120">
        <f t="shared" si="450"/>
        <v>29</v>
      </c>
      <c r="BA101" s="7">
        <f t="shared" si="451"/>
        <v>13</v>
      </c>
      <c r="BB101" s="133"/>
      <c r="BC101" s="48">
        <f t="shared" si="337"/>
        <v>0</v>
      </c>
      <c r="BD101" s="196">
        <f t="shared" si="255"/>
        <v>0</v>
      </c>
      <c r="BE101" s="134"/>
      <c r="BF101" s="135"/>
      <c r="BG101" s="135"/>
      <c r="BH101" s="14">
        <f t="shared" si="368"/>
        <v>0</v>
      </c>
      <c r="BI101" s="14">
        <f t="shared" si="418"/>
        <v>0</v>
      </c>
      <c r="BJ101" s="14">
        <f t="shared" si="304"/>
        <v>0.16</v>
      </c>
      <c r="BK101" s="47">
        <f t="shared" si="350"/>
        <v>0</v>
      </c>
      <c r="BL101" s="35">
        <f t="shared" si="305"/>
        <v>3.680000000000001</v>
      </c>
      <c r="BM101" s="132">
        <f t="shared" si="428"/>
        <v>0</v>
      </c>
      <c r="BN101" s="134"/>
      <c r="BO101" s="14">
        <f t="shared" si="306"/>
        <v>61</v>
      </c>
      <c r="BP101" s="442">
        <f t="shared" si="351"/>
        <v>0</v>
      </c>
      <c r="BQ101" s="747">
        <f t="shared" si="354"/>
        <v>0</v>
      </c>
      <c r="BR101" s="51">
        <f t="shared" si="307"/>
        <v>1010</v>
      </c>
      <c r="BS101" s="103">
        <f t="shared" si="452"/>
        <v>0</v>
      </c>
      <c r="BT101" s="46">
        <f t="shared" si="395"/>
        <v>1010</v>
      </c>
      <c r="BU101" s="51">
        <f t="shared" si="308"/>
        <v>82</v>
      </c>
      <c r="BV101" s="103">
        <f t="shared" si="453"/>
        <v>0</v>
      </c>
      <c r="BW101" s="46">
        <f t="shared" si="360"/>
        <v>82</v>
      </c>
      <c r="BY101" s="120">
        <f t="shared" si="454"/>
        <v>11</v>
      </c>
      <c r="BZ101" s="7">
        <f t="shared" si="455"/>
        <v>13</v>
      </c>
      <c r="CA101" s="133"/>
      <c r="CB101" s="14">
        <f t="shared" si="361"/>
        <v>0</v>
      </c>
      <c r="CC101" s="59">
        <f t="shared" si="369"/>
        <v>0</v>
      </c>
      <c r="CD101" s="405"/>
      <c r="CE101" s="406"/>
      <c r="CF101" s="406"/>
      <c r="CG101" s="14">
        <f t="shared" si="370"/>
        <v>0</v>
      </c>
      <c r="CH101" s="14">
        <f t="shared" si="362"/>
        <v>0</v>
      </c>
      <c r="CI101" s="14">
        <f t="shared" si="309"/>
        <v>0.16</v>
      </c>
      <c r="CJ101" s="47">
        <f t="shared" si="352"/>
        <v>0</v>
      </c>
      <c r="CK101" s="35">
        <f t="shared" si="310"/>
        <v>3.680000000000001</v>
      </c>
      <c r="CL101" s="157">
        <f t="shared" si="355"/>
        <v>0</v>
      </c>
      <c r="CM101" s="134"/>
      <c r="CN101" s="14">
        <f t="shared" si="311"/>
        <v>61</v>
      </c>
      <c r="CO101" s="48">
        <f t="shared" si="356"/>
        <v>0</v>
      </c>
      <c r="CP101" s="68">
        <f t="shared" si="353"/>
        <v>0</v>
      </c>
      <c r="CQ101" s="51">
        <f t="shared" si="312"/>
        <v>1010</v>
      </c>
      <c r="CR101" s="103">
        <f t="shared" si="456"/>
        <v>0</v>
      </c>
      <c r="CS101" s="46">
        <f t="shared" si="396"/>
        <v>1010</v>
      </c>
      <c r="CT101" s="51">
        <f t="shared" si="313"/>
        <v>82</v>
      </c>
      <c r="CU101" s="103">
        <f t="shared" si="457"/>
        <v>0</v>
      </c>
      <c r="CV101" s="46">
        <f t="shared" si="344"/>
        <v>82</v>
      </c>
      <c r="CX101" s="120">
        <f t="shared" si="458"/>
        <v>11</v>
      </c>
      <c r="CY101" s="7">
        <f t="shared" si="459"/>
        <v>13</v>
      </c>
      <c r="CZ101" s="133"/>
      <c r="DA101" s="14">
        <f t="shared" si="228"/>
        <v>0</v>
      </c>
      <c r="DB101" s="59">
        <f t="shared" si="256"/>
        <v>0</v>
      </c>
      <c r="DC101" s="405"/>
      <c r="DD101" s="406"/>
      <c r="DE101" s="406"/>
      <c r="DF101" s="14">
        <f t="shared" si="371"/>
        <v>0</v>
      </c>
      <c r="DG101" s="14">
        <f t="shared" si="363"/>
        <v>0</v>
      </c>
      <c r="DH101" s="14">
        <f t="shared" si="314"/>
        <v>0.16</v>
      </c>
      <c r="DI101" s="47">
        <f t="shared" si="372"/>
        <v>0</v>
      </c>
      <c r="DJ101" s="35">
        <f t="shared" si="315"/>
        <v>3.680000000000001</v>
      </c>
      <c r="DK101" s="157">
        <f t="shared" si="364"/>
        <v>0</v>
      </c>
      <c r="DL101" s="134"/>
      <c r="DM101" s="14">
        <f t="shared" si="316"/>
        <v>61</v>
      </c>
      <c r="DN101" s="48">
        <f t="shared" si="393"/>
        <v>0</v>
      </c>
      <c r="DO101" s="68">
        <f t="shared" si="365"/>
        <v>0</v>
      </c>
      <c r="DP101" s="51">
        <f t="shared" si="317"/>
        <v>1010</v>
      </c>
      <c r="DQ101" s="103">
        <f t="shared" si="460"/>
        <v>0</v>
      </c>
      <c r="DR101" s="46">
        <f t="shared" si="397"/>
        <v>1010</v>
      </c>
      <c r="DS101" s="51">
        <f t="shared" si="318"/>
        <v>82</v>
      </c>
      <c r="DT101" s="103">
        <f t="shared" si="461"/>
        <v>0</v>
      </c>
      <c r="DU101" s="46">
        <f t="shared" si="357"/>
        <v>82</v>
      </c>
    </row>
    <row r="102" spans="1:125" ht="17.25" thickBot="1" x14ac:dyDescent="0.3">
      <c r="B102" s="120">
        <f t="shared" si="442"/>
        <v>30</v>
      </c>
      <c r="C102" s="570">
        <f t="shared" si="443"/>
        <v>13</v>
      </c>
      <c r="D102" s="133"/>
      <c r="E102" s="408">
        <f t="shared" si="321"/>
        <v>0</v>
      </c>
      <c r="F102" s="562">
        <f t="shared" si="292"/>
        <v>0</v>
      </c>
      <c r="G102" s="134"/>
      <c r="H102" s="135"/>
      <c r="I102" s="135"/>
      <c r="J102" s="14">
        <f t="shared" si="366"/>
        <v>0</v>
      </c>
      <c r="K102" s="14">
        <f t="shared" si="322"/>
        <v>0</v>
      </c>
      <c r="L102" s="14">
        <f t="shared" si="293"/>
        <v>0.16</v>
      </c>
      <c r="M102" s="231">
        <f t="shared" si="349"/>
        <v>0</v>
      </c>
      <c r="N102" s="35">
        <f t="shared" si="294"/>
        <v>3.680000000000001</v>
      </c>
      <c r="O102" s="132">
        <f t="shared" si="323"/>
        <v>0</v>
      </c>
      <c r="P102" s="142"/>
      <c r="Q102" s="14">
        <f t="shared" si="295"/>
        <v>61</v>
      </c>
      <c r="R102" s="442">
        <f t="shared" si="296"/>
        <v>0</v>
      </c>
      <c r="S102" s="470">
        <f t="shared" si="324"/>
        <v>0</v>
      </c>
      <c r="T102" s="51">
        <f t="shared" si="297"/>
        <v>1010</v>
      </c>
      <c r="U102" s="103">
        <f t="shared" si="444"/>
        <v>0</v>
      </c>
      <c r="V102" s="46">
        <f t="shared" si="326"/>
        <v>1010</v>
      </c>
      <c r="W102" s="12">
        <f t="shared" si="298"/>
        <v>82</v>
      </c>
      <c r="X102" s="103">
        <f t="shared" si="445"/>
        <v>0</v>
      </c>
      <c r="Y102" s="46">
        <f t="shared" si="328"/>
        <v>82</v>
      </c>
      <c r="Z102" s="487"/>
      <c r="AA102" s="120">
        <f t="shared" si="446"/>
        <v>30</v>
      </c>
      <c r="AB102" s="7">
        <f t="shared" si="447"/>
        <v>13</v>
      </c>
      <c r="AC102" s="133"/>
      <c r="AD102" s="48">
        <f t="shared" si="253"/>
        <v>0</v>
      </c>
      <c r="AE102" s="49">
        <f t="shared" si="254"/>
        <v>0</v>
      </c>
      <c r="AF102" s="134"/>
      <c r="AG102" s="135"/>
      <c r="AH102" s="135"/>
      <c r="AI102" s="14">
        <f t="shared" si="367"/>
        <v>0</v>
      </c>
      <c r="AJ102" s="14">
        <f t="shared" si="419"/>
        <v>0</v>
      </c>
      <c r="AK102" s="14">
        <f t="shared" si="299"/>
        <v>0.16</v>
      </c>
      <c r="AL102" s="231">
        <f t="shared" si="331"/>
        <v>0</v>
      </c>
      <c r="AM102" s="35">
        <f t="shared" si="300"/>
        <v>3.680000000000001</v>
      </c>
      <c r="AN102" s="157">
        <f t="shared" si="358"/>
        <v>0</v>
      </c>
      <c r="AO102" s="134"/>
      <c r="AP102" s="14">
        <f t="shared" si="301"/>
        <v>61</v>
      </c>
      <c r="AQ102" s="442">
        <f t="shared" si="332"/>
        <v>0</v>
      </c>
      <c r="AR102" s="470">
        <f t="shared" si="420"/>
        <v>0</v>
      </c>
      <c r="AS102" s="51">
        <f t="shared" si="302"/>
        <v>1010</v>
      </c>
      <c r="AT102" s="103">
        <f t="shared" si="448"/>
        <v>0</v>
      </c>
      <c r="AU102" s="46">
        <f t="shared" si="394"/>
        <v>1010</v>
      </c>
      <c r="AV102" s="12">
        <f t="shared" si="303"/>
        <v>82</v>
      </c>
      <c r="AW102" s="103">
        <f t="shared" si="449"/>
        <v>0</v>
      </c>
      <c r="AX102" s="46">
        <f t="shared" si="359"/>
        <v>82</v>
      </c>
      <c r="AZ102" s="120">
        <f t="shared" si="450"/>
        <v>30</v>
      </c>
      <c r="BA102" s="7">
        <f t="shared" si="451"/>
        <v>13</v>
      </c>
      <c r="BB102" s="133"/>
      <c r="BC102" s="48">
        <f t="shared" si="337"/>
        <v>0</v>
      </c>
      <c r="BD102" s="49">
        <f t="shared" si="255"/>
        <v>0</v>
      </c>
      <c r="BE102" s="134"/>
      <c r="BF102" s="135"/>
      <c r="BG102" s="135"/>
      <c r="BH102" s="14">
        <f t="shared" si="368"/>
        <v>0</v>
      </c>
      <c r="BI102" s="14">
        <f t="shared" si="418"/>
        <v>0</v>
      </c>
      <c r="BJ102" s="14">
        <f t="shared" si="304"/>
        <v>0.16</v>
      </c>
      <c r="BK102" s="47">
        <f t="shared" si="350"/>
        <v>0</v>
      </c>
      <c r="BL102" s="35">
        <f t="shared" si="305"/>
        <v>3.680000000000001</v>
      </c>
      <c r="BM102" s="132">
        <f t="shared" si="428"/>
        <v>0</v>
      </c>
      <c r="BN102" s="134"/>
      <c r="BO102" s="14">
        <f t="shared" si="306"/>
        <v>61</v>
      </c>
      <c r="BP102" s="442">
        <f t="shared" si="351"/>
        <v>0</v>
      </c>
      <c r="BQ102" s="747">
        <f t="shared" si="354"/>
        <v>0</v>
      </c>
      <c r="BR102" s="51">
        <f t="shared" si="307"/>
        <v>1010</v>
      </c>
      <c r="BS102" s="103">
        <f t="shared" si="452"/>
        <v>0</v>
      </c>
      <c r="BT102" s="46">
        <f t="shared" si="395"/>
        <v>1010</v>
      </c>
      <c r="BU102" s="12">
        <f t="shared" si="308"/>
        <v>82</v>
      </c>
      <c r="BV102" s="103">
        <f t="shared" si="453"/>
        <v>0</v>
      </c>
      <c r="BW102" s="46">
        <f t="shared" si="360"/>
        <v>82</v>
      </c>
      <c r="BY102" s="120">
        <f t="shared" si="454"/>
        <v>12</v>
      </c>
      <c r="BZ102" s="7">
        <f t="shared" si="455"/>
        <v>13</v>
      </c>
      <c r="CA102" s="133"/>
      <c r="CB102" s="14">
        <f t="shared" si="361"/>
        <v>0</v>
      </c>
      <c r="CC102" s="46">
        <f t="shared" si="369"/>
        <v>0</v>
      </c>
      <c r="CD102" s="405"/>
      <c r="CE102" s="406"/>
      <c r="CF102" s="406"/>
      <c r="CG102" s="14">
        <f t="shared" si="370"/>
        <v>0</v>
      </c>
      <c r="CH102" s="14">
        <f t="shared" si="362"/>
        <v>0</v>
      </c>
      <c r="CI102" s="14">
        <f t="shared" si="309"/>
        <v>0.16</v>
      </c>
      <c r="CJ102" s="47">
        <f t="shared" si="352"/>
        <v>0</v>
      </c>
      <c r="CK102" s="35">
        <f t="shared" si="310"/>
        <v>3.680000000000001</v>
      </c>
      <c r="CL102" s="157">
        <f t="shared" si="355"/>
        <v>0</v>
      </c>
      <c r="CM102" s="134"/>
      <c r="CN102" s="14">
        <f t="shared" si="311"/>
        <v>61</v>
      </c>
      <c r="CO102" s="48">
        <f t="shared" si="356"/>
        <v>0</v>
      </c>
      <c r="CP102" s="68">
        <f t="shared" si="353"/>
        <v>0</v>
      </c>
      <c r="CQ102" s="51">
        <f t="shared" si="312"/>
        <v>1010</v>
      </c>
      <c r="CR102" s="103">
        <f t="shared" si="456"/>
        <v>0</v>
      </c>
      <c r="CS102" s="46">
        <f t="shared" si="396"/>
        <v>1010</v>
      </c>
      <c r="CT102" s="51">
        <f t="shared" si="313"/>
        <v>82</v>
      </c>
      <c r="CU102" s="103">
        <f t="shared" si="457"/>
        <v>0</v>
      </c>
      <c r="CV102" s="46">
        <f t="shared" si="344"/>
        <v>82</v>
      </c>
      <c r="CX102" s="120">
        <f t="shared" si="458"/>
        <v>12</v>
      </c>
      <c r="CY102" s="7">
        <f t="shared" si="459"/>
        <v>13</v>
      </c>
      <c r="CZ102" s="133"/>
      <c r="DA102" s="14">
        <f t="shared" si="228"/>
        <v>0</v>
      </c>
      <c r="DB102" s="46">
        <f t="shared" si="256"/>
        <v>0</v>
      </c>
      <c r="DC102" s="405"/>
      <c r="DD102" s="406"/>
      <c r="DE102" s="406"/>
      <c r="DF102" s="14">
        <f t="shared" si="371"/>
        <v>0</v>
      </c>
      <c r="DG102" s="14">
        <f t="shared" si="363"/>
        <v>0</v>
      </c>
      <c r="DH102" s="14">
        <f t="shared" si="314"/>
        <v>0.16</v>
      </c>
      <c r="DI102" s="47">
        <f t="shared" si="372"/>
        <v>0</v>
      </c>
      <c r="DJ102" s="35">
        <f t="shared" si="315"/>
        <v>3.680000000000001</v>
      </c>
      <c r="DK102" s="157">
        <f t="shared" si="364"/>
        <v>0</v>
      </c>
      <c r="DL102" s="134"/>
      <c r="DM102" s="14">
        <f t="shared" si="316"/>
        <v>61</v>
      </c>
      <c r="DN102" s="48">
        <f t="shared" si="393"/>
        <v>0</v>
      </c>
      <c r="DO102" s="68">
        <f t="shared" si="365"/>
        <v>0</v>
      </c>
      <c r="DP102" s="51">
        <f t="shared" si="317"/>
        <v>1010</v>
      </c>
      <c r="DQ102" s="103">
        <f t="shared" si="460"/>
        <v>0</v>
      </c>
      <c r="DR102" s="46">
        <f t="shared" si="397"/>
        <v>1010</v>
      </c>
      <c r="DS102" s="51">
        <f t="shared" si="318"/>
        <v>82</v>
      </c>
      <c r="DT102" s="103">
        <f t="shared" si="461"/>
        <v>0</v>
      </c>
      <c r="DU102" s="46">
        <f t="shared" si="357"/>
        <v>82</v>
      </c>
    </row>
    <row r="103" spans="1:125" ht="17.25" thickBot="1" x14ac:dyDescent="0.3">
      <c r="B103" s="120">
        <f t="shared" si="442"/>
        <v>31</v>
      </c>
      <c r="C103" s="574">
        <f t="shared" si="443"/>
        <v>13</v>
      </c>
      <c r="D103" s="136"/>
      <c r="E103" s="436">
        <f t="shared" si="321"/>
        <v>0</v>
      </c>
      <c r="F103" s="451">
        <f t="shared" si="292"/>
        <v>0</v>
      </c>
      <c r="G103" s="137"/>
      <c r="H103" s="138"/>
      <c r="I103" s="138"/>
      <c r="J103" s="34">
        <f t="shared" si="366"/>
        <v>0</v>
      </c>
      <c r="K103" s="34">
        <f t="shared" si="322"/>
        <v>0</v>
      </c>
      <c r="L103" s="34">
        <f t="shared" si="293"/>
        <v>0.16</v>
      </c>
      <c r="M103" s="96">
        <f t="shared" si="349"/>
        <v>0</v>
      </c>
      <c r="N103" s="40">
        <f t="shared" si="294"/>
        <v>3.680000000000001</v>
      </c>
      <c r="O103" s="132">
        <f t="shared" si="323"/>
        <v>0</v>
      </c>
      <c r="P103" s="139"/>
      <c r="Q103" s="32">
        <f t="shared" si="295"/>
        <v>61</v>
      </c>
      <c r="R103" s="592">
        <f t="shared" si="296"/>
        <v>0</v>
      </c>
      <c r="S103" s="471">
        <f t="shared" si="324"/>
        <v>0</v>
      </c>
      <c r="T103" s="56">
        <f t="shared" si="297"/>
        <v>1010</v>
      </c>
      <c r="U103" s="109">
        <f t="shared" si="444"/>
        <v>0</v>
      </c>
      <c r="V103" s="63">
        <f t="shared" si="326"/>
        <v>1010</v>
      </c>
      <c r="W103" s="56">
        <f t="shared" si="298"/>
        <v>82</v>
      </c>
      <c r="X103" s="109">
        <f t="shared" si="445"/>
        <v>0</v>
      </c>
      <c r="Y103" s="63">
        <f t="shared" si="328"/>
        <v>82</v>
      </c>
      <c r="Z103" s="487"/>
      <c r="AA103" s="120">
        <f t="shared" si="446"/>
        <v>31</v>
      </c>
      <c r="AB103" s="8">
        <f t="shared" si="447"/>
        <v>13</v>
      </c>
      <c r="AC103" s="136"/>
      <c r="AD103" s="54">
        <f>IFERROR(AE102-AC103,0)</f>
        <v>0</v>
      </c>
      <c r="AE103" s="448">
        <f t="shared" si="254"/>
        <v>0</v>
      </c>
      <c r="AF103" s="137"/>
      <c r="AG103" s="138"/>
      <c r="AH103" s="138"/>
      <c r="AI103" s="34">
        <f t="shared" si="367"/>
        <v>0</v>
      </c>
      <c r="AJ103" s="34">
        <f t="shared" si="419"/>
        <v>0</v>
      </c>
      <c r="AK103" s="17">
        <f t="shared" si="299"/>
        <v>0.16</v>
      </c>
      <c r="AL103" s="96">
        <f t="shared" si="331"/>
        <v>0</v>
      </c>
      <c r="AM103" s="33">
        <f t="shared" si="300"/>
        <v>3.680000000000001</v>
      </c>
      <c r="AN103" s="157">
        <f t="shared" si="358"/>
        <v>0</v>
      </c>
      <c r="AO103" s="137"/>
      <c r="AP103" s="13">
        <f t="shared" si="301"/>
        <v>61</v>
      </c>
      <c r="AQ103" s="479">
        <f t="shared" si="332"/>
        <v>0</v>
      </c>
      <c r="AR103" s="471">
        <f t="shared" si="420"/>
        <v>0</v>
      </c>
      <c r="AS103" s="50">
        <f t="shared" si="302"/>
        <v>1010</v>
      </c>
      <c r="AT103" s="103">
        <f t="shared" si="448"/>
        <v>0</v>
      </c>
      <c r="AU103" s="63">
        <f t="shared" si="394"/>
        <v>1010</v>
      </c>
      <c r="AV103" s="56">
        <f t="shared" si="303"/>
        <v>82</v>
      </c>
      <c r="AW103" s="103">
        <f t="shared" si="449"/>
        <v>0</v>
      </c>
      <c r="AX103" s="63">
        <f t="shared" si="359"/>
        <v>82</v>
      </c>
      <c r="AZ103" s="197">
        <f t="shared" si="450"/>
        <v>31</v>
      </c>
      <c r="BA103" s="8">
        <f t="shared" si="451"/>
        <v>13</v>
      </c>
      <c r="BB103" s="136"/>
      <c r="BC103" s="54">
        <f t="shared" si="337"/>
        <v>0</v>
      </c>
      <c r="BD103" s="448">
        <f t="shared" si="255"/>
        <v>0</v>
      </c>
      <c r="BE103" s="137"/>
      <c r="BF103" s="138"/>
      <c r="BG103" s="138"/>
      <c r="BH103" s="34">
        <f t="shared" si="368"/>
        <v>0</v>
      </c>
      <c r="BI103" s="34">
        <f t="shared" si="418"/>
        <v>0</v>
      </c>
      <c r="BJ103" s="34">
        <f t="shared" si="304"/>
        <v>0.16</v>
      </c>
      <c r="BK103" s="96">
        <f t="shared" si="350"/>
        <v>0</v>
      </c>
      <c r="BL103" s="40">
        <f t="shared" si="305"/>
        <v>3.680000000000001</v>
      </c>
      <c r="BM103" s="132">
        <f t="shared" si="428"/>
        <v>0</v>
      </c>
      <c r="BN103" s="137"/>
      <c r="BO103" s="32">
        <f t="shared" si="306"/>
        <v>61</v>
      </c>
      <c r="BP103" s="443">
        <f t="shared" si="351"/>
        <v>0</v>
      </c>
      <c r="BQ103" s="750">
        <f t="shared" si="354"/>
        <v>0</v>
      </c>
      <c r="BR103" s="56">
        <f t="shared" si="307"/>
        <v>1010</v>
      </c>
      <c r="BS103" s="109">
        <f t="shared" si="452"/>
        <v>0</v>
      </c>
      <c r="BT103" s="63">
        <f t="shared" si="395"/>
        <v>1010</v>
      </c>
      <c r="BU103" s="56">
        <f t="shared" si="308"/>
        <v>82</v>
      </c>
      <c r="BV103" s="109">
        <f t="shared" si="453"/>
        <v>0</v>
      </c>
      <c r="BW103" s="63">
        <f t="shared" si="360"/>
        <v>82</v>
      </c>
      <c r="BY103" s="197">
        <f>BY102+1</f>
        <v>13</v>
      </c>
      <c r="BZ103" s="8">
        <f t="shared" si="455"/>
        <v>13</v>
      </c>
      <c r="CA103" s="136"/>
      <c r="CB103" s="32">
        <f t="shared" si="361"/>
        <v>0</v>
      </c>
      <c r="CC103" s="63">
        <f t="shared" si="369"/>
        <v>0</v>
      </c>
      <c r="CD103" s="421"/>
      <c r="CE103" s="426"/>
      <c r="CF103" s="426"/>
      <c r="CG103" s="34">
        <f t="shared" si="370"/>
        <v>0</v>
      </c>
      <c r="CH103" s="34">
        <f t="shared" si="362"/>
        <v>0</v>
      </c>
      <c r="CI103" s="17">
        <f t="shared" si="309"/>
        <v>0.16</v>
      </c>
      <c r="CJ103" s="166">
        <f t="shared" si="352"/>
        <v>0</v>
      </c>
      <c r="CK103" s="33">
        <f t="shared" si="310"/>
        <v>3.680000000000001</v>
      </c>
      <c r="CL103" s="156">
        <f t="shared" si="355"/>
        <v>0</v>
      </c>
      <c r="CM103" s="137"/>
      <c r="CN103" s="13">
        <f t="shared" si="311"/>
        <v>61</v>
      </c>
      <c r="CO103" s="54">
        <f t="shared" si="356"/>
        <v>0</v>
      </c>
      <c r="CP103" s="70">
        <f t="shared" si="353"/>
        <v>0</v>
      </c>
      <c r="CQ103" s="50">
        <f t="shared" si="312"/>
        <v>1010</v>
      </c>
      <c r="CR103" s="103">
        <f t="shared" si="456"/>
        <v>0</v>
      </c>
      <c r="CS103" s="63">
        <f t="shared" si="396"/>
        <v>1010</v>
      </c>
      <c r="CT103" s="12">
        <f t="shared" si="313"/>
        <v>82</v>
      </c>
      <c r="CU103" s="103">
        <f t="shared" si="457"/>
        <v>0</v>
      </c>
      <c r="CV103" s="63">
        <f t="shared" si="344"/>
        <v>82</v>
      </c>
      <c r="CX103" s="197">
        <f>CX102+1</f>
        <v>13</v>
      </c>
      <c r="CY103" s="8">
        <f t="shared" si="459"/>
        <v>13</v>
      </c>
      <c r="CZ103" s="136"/>
      <c r="DA103" s="32">
        <f t="shared" si="228"/>
        <v>0</v>
      </c>
      <c r="DB103" s="63">
        <f t="shared" si="256"/>
        <v>0</v>
      </c>
      <c r="DC103" s="421"/>
      <c r="DD103" s="426"/>
      <c r="DE103" s="426"/>
      <c r="DF103" s="34">
        <f t="shared" si="371"/>
        <v>0</v>
      </c>
      <c r="DG103" s="34">
        <f t="shared" si="363"/>
        <v>0</v>
      </c>
      <c r="DH103" s="17">
        <f t="shared" si="314"/>
        <v>0.16</v>
      </c>
      <c r="DI103" s="166">
        <f t="shared" si="372"/>
        <v>0</v>
      </c>
      <c r="DJ103" s="33">
        <f t="shared" si="315"/>
        <v>3.680000000000001</v>
      </c>
      <c r="DK103" s="156">
        <f t="shared" si="364"/>
        <v>0</v>
      </c>
      <c r="DL103" s="137"/>
      <c r="DM103" s="13">
        <f t="shared" si="316"/>
        <v>61</v>
      </c>
      <c r="DN103" s="54">
        <f t="shared" si="393"/>
        <v>0</v>
      </c>
      <c r="DO103" s="70">
        <f t="shared" si="365"/>
        <v>0</v>
      </c>
      <c r="DP103" s="50">
        <f t="shared" si="317"/>
        <v>1010</v>
      </c>
      <c r="DQ103" s="103">
        <f t="shared" si="460"/>
        <v>0</v>
      </c>
      <c r="DR103" s="63">
        <f t="shared" si="397"/>
        <v>1010</v>
      </c>
      <c r="DS103" s="12">
        <f t="shared" si="318"/>
        <v>82</v>
      </c>
      <c r="DT103" s="103">
        <f t="shared" si="461"/>
        <v>0</v>
      </c>
      <c r="DU103" s="63">
        <f t="shared" si="357"/>
        <v>82</v>
      </c>
    </row>
    <row r="104" spans="1:125" ht="17.25" thickBot="1" x14ac:dyDescent="0.3">
      <c r="A104" s="713" t="s">
        <v>82</v>
      </c>
      <c r="B104" s="697">
        <v>1</v>
      </c>
      <c r="C104" s="714">
        <v>14</v>
      </c>
      <c r="D104" s="699"/>
      <c r="E104" s="700">
        <f t="shared" si="321"/>
        <v>0</v>
      </c>
      <c r="F104" s="715">
        <f t="shared" si="292"/>
        <v>0</v>
      </c>
      <c r="G104" s="702"/>
      <c r="H104" s="703"/>
      <c r="I104" s="703"/>
      <c r="J104" s="704">
        <f t="shared" si="366"/>
        <v>0</v>
      </c>
      <c r="K104" s="704">
        <f t="shared" si="322"/>
        <v>0</v>
      </c>
      <c r="L104" s="705">
        <f t="shared" si="293"/>
        <v>0.16</v>
      </c>
      <c r="M104" s="706">
        <f t="shared" si="349"/>
        <v>0</v>
      </c>
      <c r="N104" s="707">
        <f t="shared" si="294"/>
        <v>3.8400000000000012</v>
      </c>
      <c r="O104" s="132">
        <f t="shared" si="323"/>
        <v>0</v>
      </c>
      <c r="P104" s="716"/>
      <c r="Q104" s="704">
        <f t="shared" si="295"/>
        <v>64</v>
      </c>
      <c r="R104" s="708">
        <f t="shared" si="296"/>
        <v>0</v>
      </c>
      <c r="S104" s="709">
        <f t="shared" si="324"/>
        <v>0</v>
      </c>
      <c r="T104" s="710">
        <f t="shared" si="297"/>
        <v>1065</v>
      </c>
      <c r="U104" s="703"/>
      <c r="V104" s="711">
        <f t="shared" si="326"/>
        <v>1065</v>
      </c>
      <c r="W104" s="712">
        <f t="shared" si="298"/>
        <v>84</v>
      </c>
      <c r="X104" s="703"/>
      <c r="Y104" s="711">
        <f t="shared" si="328"/>
        <v>84</v>
      </c>
      <c r="Z104" s="713" t="s">
        <v>82</v>
      </c>
      <c r="AA104" s="697">
        <v>1</v>
      </c>
      <c r="AB104" s="698">
        <v>14</v>
      </c>
      <c r="AC104" s="699"/>
      <c r="AD104" s="700">
        <f>IFERROR(AE103-AC104,0)</f>
        <v>0</v>
      </c>
      <c r="AE104" s="701">
        <f t="shared" si="254"/>
        <v>0</v>
      </c>
      <c r="AF104" s="702"/>
      <c r="AG104" s="703"/>
      <c r="AH104" s="703"/>
      <c r="AI104" s="704">
        <f t="shared" si="367"/>
        <v>0</v>
      </c>
      <c r="AJ104" s="704">
        <f t="shared" si="419"/>
        <v>0</v>
      </c>
      <c r="AK104" s="705">
        <f t="shared" si="299"/>
        <v>0.16</v>
      </c>
      <c r="AL104" s="706">
        <f t="shared" si="331"/>
        <v>0</v>
      </c>
      <c r="AM104" s="707">
        <f t="shared" si="300"/>
        <v>3.8400000000000012</v>
      </c>
      <c r="AN104" s="157">
        <f t="shared" si="358"/>
        <v>0</v>
      </c>
      <c r="AO104" s="702"/>
      <c r="AP104" s="704">
        <f t="shared" si="301"/>
        <v>64</v>
      </c>
      <c r="AQ104" s="708">
        <f t="shared" si="332"/>
        <v>0</v>
      </c>
      <c r="AR104" s="709">
        <f t="shared" si="420"/>
        <v>0</v>
      </c>
      <c r="AS104" s="710">
        <f t="shared" si="302"/>
        <v>1065</v>
      </c>
      <c r="AT104" s="703"/>
      <c r="AU104" s="711">
        <f t="shared" si="394"/>
        <v>1065</v>
      </c>
      <c r="AV104" s="712">
        <f t="shared" si="303"/>
        <v>84</v>
      </c>
      <c r="AW104" s="703"/>
      <c r="AX104" s="711">
        <f t="shared" si="359"/>
        <v>84</v>
      </c>
      <c r="AY104" s="713" t="s">
        <v>82</v>
      </c>
      <c r="AZ104" s="729">
        <v>1</v>
      </c>
      <c r="BA104" s="730">
        <v>14</v>
      </c>
      <c r="BB104" s="731"/>
      <c r="BC104" s="732">
        <f t="shared" si="337"/>
        <v>0</v>
      </c>
      <c r="BD104" s="733">
        <f t="shared" si="255"/>
        <v>0</v>
      </c>
      <c r="BE104" s="734"/>
      <c r="BF104" s="735"/>
      <c r="BG104" s="735"/>
      <c r="BH104" s="691">
        <f t="shared" si="368"/>
        <v>0</v>
      </c>
      <c r="BI104" s="691">
        <f t="shared" si="418"/>
        <v>0</v>
      </c>
      <c r="BJ104" s="724">
        <f t="shared" si="304"/>
        <v>0.16</v>
      </c>
      <c r="BK104" s="736">
        <f t="shared" si="350"/>
        <v>0</v>
      </c>
      <c r="BL104" s="726">
        <f t="shared" si="305"/>
        <v>3.8400000000000012</v>
      </c>
      <c r="BM104" s="132">
        <f t="shared" si="428"/>
        <v>0</v>
      </c>
      <c r="BN104" s="734"/>
      <c r="BO104" s="691">
        <f t="shared" si="306"/>
        <v>64</v>
      </c>
      <c r="BP104" s="737">
        <f t="shared" si="351"/>
        <v>0</v>
      </c>
      <c r="BQ104" s="756">
        <f t="shared" si="354"/>
        <v>0</v>
      </c>
      <c r="BR104" s="738">
        <f t="shared" si="307"/>
        <v>1065</v>
      </c>
      <c r="BS104" s="735"/>
      <c r="BT104" s="531">
        <f t="shared" si="395"/>
        <v>1065</v>
      </c>
      <c r="BU104" s="532">
        <f t="shared" si="308"/>
        <v>84</v>
      </c>
      <c r="BV104" s="735"/>
      <c r="BW104" s="531">
        <f t="shared" si="360"/>
        <v>84</v>
      </c>
      <c r="BY104" s="118">
        <v>14</v>
      </c>
      <c r="BZ104" s="9">
        <v>14</v>
      </c>
      <c r="CA104" s="129"/>
      <c r="CB104" s="32">
        <f t="shared" si="361"/>
        <v>0</v>
      </c>
      <c r="CC104" s="63">
        <f t="shared" si="369"/>
        <v>0</v>
      </c>
      <c r="CD104" s="398"/>
      <c r="CE104" s="399"/>
      <c r="CF104" s="399"/>
      <c r="CG104" s="11">
        <f t="shared" si="370"/>
        <v>0</v>
      </c>
      <c r="CH104" s="11">
        <f>CH103+CG104</f>
        <v>0</v>
      </c>
      <c r="CI104" s="16">
        <f t="shared" si="309"/>
        <v>0.16</v>
      </c>
      <c r="CJ104" s="231">
        <f t="shared" si="352"/>
        <v>0</v>
      </c>
      <c r="CK104" s="154">
        <f t="shared" si="310"/>
        <v>3.8400000000000012</v>
      </c>
      <c r="CL104" s="155">
        <f t="shared" si="355"/>
        <v>0</v>
      </c>
      <c r="CM104" s="130"/>
      <c r="CN104" s="11">
        <f t="shared" si="311"/>
        <v>64</v>
      </c>
      <c r="CO104" s="60">
        <f t="shared" si="356"/>
        <v>0</v>
      </c>
      <c r="CP104" s="377">
        <f t="shared" si="353"/>
        <v>0</v>
      </c>
      <c r="CQ104" s="58">
        <f t="shared" si="312"/>
        <v>1065</v>
      </c>
      <c r="CR104" s="131"/>
      <c r="CS104" s="41">
        <f t="shared" si="396"/>
        <v>1065</v>
      </c>
      <c r="CT104" s="18">
        <f t="shared" si="313"/>
        <v>84</v>
      </c>
      <c r="CU104" s="131"/>
      <c r="CV104" s="41">
        <f t="shared" si="344"/>
        <v>84</v>
      </c>
      <c r="CX104" s="118">
        <v>14</v>
      </c>
      <c r="CY104" s="9">
        <v>14</v>
      </c>
      <c r="CZ104" s="129"/>
      <c r="DA104" s="32">
        <f t="shared" si="228"/>
        <v>0</v>
      </c>
      <c r="DB104" s="63">
        <f t="shared" si="256"/>
        <v>0</v>
      </c>
      <c r="DC104" s="398"/>
      <c r="DD104" s="399"/>
      <c r="DE104" s="399"/>
      <c r="DF104" s="11">
        <f t="shared" si="371"/>
        <v>0</v>
      </c>
      <c r="DG104" s="11">
        <f>DG103+DF104</f>
        <v>0</v>
      </c>
      <c r="DH104" s="16">
        <f t="shared" si="314"/>
        <v>0.16</v>
      </c>
      <c r="DI104" s="231">
        <f t="shared" si="372"/>
        <v>0</v>
      </c>
      <c r="DJ104" s="154">
        <f t="shared" si="315"/>
        <v>3.8400000000000012</v>
      </c>
      <c r="DK104" s="155">
        <f t="shared" si="364"/>
        <v>0</v>
      </c>
      <c r="DL104" s="130"/>
      <c r="DM104" s="11">
        <f t="shared" si="316"/>
        <v>64</v>
      </c>
      <c r="DN104" s="60">
        <f t="shared" si="393"/>
        <v>0</v>
      </c>
      <c r="DO104" s="377">
        <f t="shared" si="365"/>
        <v>0</v>
      </c>
      <c r="DP104" s="58">
        <f t="shared" si="317"/>
        <v>1065</v>
      </c>
      <c r="DQ104" s="131"/>
      <c r="DR104" s="41">
        <f t="shared" si="397"/>
        <v>1065</v>
      </c>
      <c r="DS104" s="18">
        <f t="shared" si="318"/>
        <v>84</v>
      </c>
      <c r="DT104" s="131"/>
      <c r="DU104" s="41">
        <f t="shared" si="357"/>
        <v>84</v>
      </c>
    </row>
    <row r="105" spans="1:125" ht="17.25" thickBot="1" x14ac:dyDescent="0.3">
      <c r="A105" s="423"/>
      <c r="B105" s="403">
        <f>B104+1</f>
        <v>2</v>
      </c>
      <c r="C105" s="571">
        <f>C104</f>
        <v>14</v>
      </c>
      <c r="D105" s="229"/>
      <c r="E105" s="408">
        <f t="shared" si="321"/>
        <v>0</v>
      </c>
      <c r="F105" s="562">
        <f t="shared" si="292"/>
        <v>0</v>
      </c>
      <c r="G105" s="405"/>
      <c r="H105" s="406"/>
      <c r="I105" s="406"/>
      <c r="J105" s="380">
        <f>SUM(G105:I105)</f>
        <v>0</v>
      </c>
      <c r="K105" s="380">
        <f>K104+J105</f>
        <v>0</v>
      </c>
      <c r="L105" s="380">
        <f t="shared" si="293"/>
        <v>0.16</v>
      </c>
      <c r="M105" s="231">
        <f t="shared" si="349"/>
        <v>0</v>
      </c>
      <c r="N105" s="407">
        <f t="shared" si="294"/>
        <v>3.8400000000000012</v>
      </c>
      <c r="O105" s="132">
        <f t="shared" si="323"/>
        <v>0</v>
      </c>
      <c r="P105" s="411"/>
      <c r="Q105" s="380">
        <f t="shared" si="295"/>
        <v>64</v>
      </c>
      <c r="R105" s="442">
        <f t="shared" si="296"/>
        <v>0</v>
      </c>
      <c r="S105" s="474">
        <f t="shared" si="324"/>
        <v>0</v>
      </c>
      <c r="T105" s="182">
        <f t="shared" si="297"/>
        <v>1065</v>
      </c>
      <c r="U105" s="181">
        <f>U104</f>
        <v>0</v>
      </c>
      <c r="V105" s="206">
        <f t="shared" si="326"/>
        <v>1065</v>
      </c>
      <c r="W105" s="385">
        <f t="shared" si="298"/>
        <v>84</v>
      </c>
      <c r="X105" s="181">
        <f>X104</f>
        <v>0</v>
      </c>
      <c r="Y105" s="206">
        <f t="shared" si="328"/>
        <v>84</v>
      </c>
      <c r="Z105" s="487"/>
      <c r="AA105" s="403">
        <f>AA104+1</f>
        <v>2</v>
      </c>
      <c r="AB105" s="404">
        <f>AB104</f>
        <v>14</v>
      </c>
      <c r="AC105" s="229"/>
      <c r="AD105" s="408">
        <f t="shared" ref="AD105:AD138" si="462">IFERROR(AE104+AC105,0)</f>
        <v>0</v>
      </c>
      <c r="AE105" s="450">
        <f t="shared" si="254"/>
        <v>0</v>
      </c>
      <c r="AF105" s="405"/>
      <c r="AG105" s="406"/>
      <c r="AH105" s="406"/>
      <c r="AI105" s="380">
        <f>SUM(AF105:AH105)</f>
        <v>0</v>
      </c>
      <c r="AJ105" s="380">
        <f>AJ104+AI105</f>
        <v>0</v>
      </c>
      <c r="AK105" s="380">
        <f t="shared" si="299"/>
        <v>0.16</v>
      </c>
      <c r="AL105" s="231">
        <f t="shared" si="331"/>
        <v>0</v>
      </c>
      <c r="AM105" s="407">
        <f t="shared" si="300"/>
        <v>3.8400000000000012</v>
      </c>
      <c r="AN105" s="157">
        <f t="shared" si="358"/>
        <v>0</v>
      </c>
      <c r="AO105" s="411"/>
      <c r="AP105" s="380">
        <f t="shared" si="301"/>
        <v>64</v>
      </c>
      <c r="AQ105" s="442">
        <f t="shared" si="332"/>
        <v>0</v>
      </c>
      <c r="AR105" s="474">
        <f t="shared" si="420"/>
        <v>0</v>
      </c>
      <c r="AS105" s="182">
        <f t="shared" si="302"/>
        <v>1065</v>
      </c>
      <c r="AT105" s="181">
        <f>AT104</f>
        <v>0</v>
      </c>
      <c r="AU105" s="206">
        <f t="shared" si="394"/>
        <v>1065</v>
      </c>
      <c r="AV105" s="385">
        <f t="shared" si="303"/>
        <v>84</v>
      </c>
      <c r="AW105" s="181">
        <f>AW104</f>
        <v>0</v>
      </c>
      <c r="AX105" s="206">
        <f t="shared" si="359"/>
        <v>84</v>
      </c>
      <c r="AY105" s="412"/>
      <c r="AZ105" s="403">
        <f>AZ104+1</f>
        <v>2</v>
      </c>
      <c r="BA105" s="404">
        <f>BA104</f>
        <v>14</v>
      </c>
      <c r="BB105" s="229"/>
      <c r="BC105" s="48">
        <f t="shared" si="337"/>
        <v>0</v>
      </c>
      <c r="BD105" s="450">
        <f t="shared" si="255"/>
        <v>0</v>
      </c>
      <c r="BE105" s="405"/>
      <c r="BF105" s="406"/>
      <c r="BG105" s="406"/>
      <c r="BH105" s="380">
        <f>SUM(BE105:BG105)</f>
        <v>0</v>
      </c>
      <c r="BI105" s="380">
        <f>BI104+BH105</f>
        <v>0</v>
      </c>
      <c r="BJ105" s="380">
        <f t="shared" si="304"/>
        <v>0.16</v>
      </c>
      <c r="BK105" s="47">
        <f t="shared" si="350"/>
        <v>0</v>
      </c>
      <c r="BL105" s="407">
        <f t="shared" si="305"/>
        <v>3.8400000000000012</v>
      </c>
      <c r="BM105" s="132">
        <f t="shared" si="428"/>
        <v>0</v>
      </c>
      <c r="BN105" s="411"/>
      <c r="BO105" s="380">
        <f t="shared" si="306"/>
        <v>64</v>
      </c>
      <c r="BP105" s="442">
        <f t="shared" si="351"/>
        <v>0</v>
      </c>
      <c r="BQ105" s="753">
        <f t="shared" si="354"/>
        <v>0</v>
      </c>
      <c r="BR105" s="182">
        <f t="shared" si="307"/>
        <v>1065</v>
      </c>
      <c r="BS105" s="181">
        <f>BS104</f>
        <v>0</v>
      </c>
      <c r="BT105" s="206">
        <f t="shared" si="395"/>
        <v>1065</v>
      </c>
      <c r="BU105" s="385">
        <f t="shared" si="308"/>
        <v>84</v>
      </c>
      <c r="BV105" s="181">
        <f>BV104</f>
        <v>0</v>
      </c>
      <c r="BW105" s="206">
        <f t="shared" si="360"/>
        <v>84</v>
      </c>
      <c r="BX105" s="425"/>
      <c r="BY105" s="403">
        <f>BY104+1</f>
        <v>15</v>
      </c>
      <c r="BZ105" s="404">
        <f>BZ104</f>
        <v>14</v>
      </c>
      <c r="CA105" s="229"/>
      <c r="CB105" s="380">
        <f t="shared" si="361"/>
        <v>0</v>
      </c>
      <c r="CC105" s="267">
        <f t="shared" si="369"/>
        <v>0</v>
      </c>
      <c r="CD105" s="405"/>
      <c r="CE105" s="406"/>
      <c r="CF105" s="406"/>
      <c r="CG105" s="380">
        <f t="shared" si="370"/>
        <v>0</v>
      </c>
      <c r="CH105" s="380">
        <f t="shared" si="362"/>
        <v>0</v>
      </c>
      <c r="CI105" s="380">
        <f t="shared" si="309"/>
        <v>0.16</v>
      </c>
      <c r="CJ105" s="410">
        <f t="shared" si="352"/>
        <v>0</v>
      </c>
      <c r="CK105" s="407">
        <f t="shared" si="310"/>
        <v>3.8400000000000012</v>
      </c>
      <c r="CL105" s="424">
        <f t="shared" si="355"/>
        <v>0</v>
      </c>
      <c r="CM105" s="411"/>
      <c r="CN105" s="380">
        <f t="shared" si="311"/>
        <v>64</v>
      </c>
      <c r="CO105" s="408">
        <f t="shared" si="356"/>
        <v>0</v>
      </c>
      <c r="CP105" s="409">
        <f t="shared" si="353"/>
        <v>0</v>
      </c>
      <c r="CQ105" s="182">
        <f t="shared" si="312"/>
        <v>1065</v>
      </c>
      <c r="CR105" s="181">
        <f>CR104</f>
        <v>0</v>
      </c>
      <c r="CS105" s="206">
        <f t="shared" si="396"/>
        <v>1065</v>
      </c>
      <c r="CT105" s="385">
        <f t="shared" si="313"/>
        <v>84</v>
      </c>
      <c r="CU105" s="181">
        <f>CU104</f>
        <v>0</v>
      </c>
      <c r="CV105" s="206">
        <f t="shared" si="344"/>
        <v>84</v>
      </c>
      <c r="CX105" s="403">
        <f>CX104+1</f>
        <v>15</v>
      </c>
      <c r="CY105" s="404">
        <f>CY104</f>
        <v>14</v>
      </c>
      <c r="CZ105" s="229"/>
      <c r="DA105" s="380">
        <f t="shared" si="228"/>
        <v>0</v>
      </c>
      <c r="DB105" s="267">
        <f t="shared" si="256"/>
        <v>0</v>
      </c>
      <c r="DC105" s="405"/>
      <c r="DD105" s="406"/>
      <c r="DE105" s="406"/>
      <c r="DF105" s="380">
        <f t="shared" si="371"/>
        <v>0</v>
      </c>
      <c r="DG105" s="380">
        <f t="shared" ref="DG105:DG129" si="463">DG104+DF105</f>
        <v>0</v>
      </c>
      <c r="DH105" s="380">
        <f t="shared" si="314"/>
        <v>0.16</v>
      </c>
      <c r="DI105" s="410">
        <f t="shared" si="372"/>
        <v>0</v>
      </c>
      <c r="DJ105" s="407">
        <f t="shared" si="315"/>
        <v>3.8400000000000012</v>
      </c>
      <c r="DK105" s="424">
        <f t="shared" si="364"/>
        <v>0</v>
      </c>
      <c r="DL105" s="411"/>
      <c r="DM105" s="380">
        <f t="shared" si="316"/>
        <v>64</v>
      </c>
      <c r="DN105" s="408">
        <f t="shared" si="393"/>
        <v>0</v>
      </c>
      <c r="DO105" s="409">
        <f t="shared" si="365"/>
        <v>0</v>
      </c>
      <c r="DP105" s="182">
        <f t="shared" si="317"/>
        <v>1065</v>
      </c>
      <c r="DQ105" s="181">
        <f>DQ104</f>
        <v>0</v>
      </c>
      <c r="DR105" s="206">
        <f t="shared" si="397"/>
        <v>1065</v>
      </c>
      <c r="DS105" s="385">
        <f t="shared" si="318"/>
        <v>84</v>
      </c>
      <c r="DT105" s="181">
        <f>DT104</f>
        <v>0</v>
      </c>
      <c r="DU105" s="206">
        <f t="shared" si="357"/>
        <v>84</v>
      </c>
    </row>
    <row r="106" spans="1:125" ht="17.25" thickBot="1" x14ac:dyDescent="0.3">
      <c r="B106" s="120">
        <f>B105+1</f>
        <v>3</v>
      </c>
      <c r="C106" s="570">
        <f t="shared" ref="C106:C110" si="464">C105</f>
        <v>14</v>
      </c>
      <c r="D106" s="133"/>
      <c r="E106" s="408">
        <f t="shared" si="321"/>
        <v>0</v>
      </c>
      <c r="F106" s="562">
        <f t="shared" si="292"/>
        <v>0</v>
      </c>
      <c r="G106" s="134"/>
      <c r="H106" s="135"/>
      <c r="I106" s="135"/>
      <c r="J106" s="14">
        <f t="shared" si="366"/>
        <v>0</v>
      </c>
      <c r="K106" s="14">
        <f>K105+J106</f>
        <v>0</v>
      </c>
      <c r="L106" s="14">
        <f t="shared" si="293"/>
        <v>0.16</v>
      </c>
      <c r="M106" s="230">
        <f t="shared" si="349"/>
        <v>0</v>
      </c>
      <c r="N106" s="35">
        <f t="shared" si="294"/>
        <v>3.8400000000000012</v>
      </c>
      <c r="O106" s="132">
        <f t="shared" si="323"/>
        <v>0</v>
      </c>
      <c r="P106" s="142"/>
      <c r="Q106" s="14">
        <f t="shared" si="295"/>
        <v>64</v>
      </c>
      <c r="R106" s="480">
        <f t="shared" si="296"/>
        <v>0</v>
      </c>
      <c r="S106" s="470">
        <f t="shared" si="324"/>
        <v>0</v>
      </c>
      <c r="T106" s="51">
        <f t="shared" si="297"/>
        <v>1065</v>
      </c>
      <c r="U106" s="181">
        <f t="shared" ref="U106:U110" si="465">U105</f>
        <v>0</v>
      </c>
      <c r="V106" s="46">
        <f t="shared" si="326"/>
        <v>1065</v>
      </c>
      <c r="W106" s="51">
        <f t="shared" si="298"/>
        <v>84</v>
      </c>
      <c r="X106" s="181">
        <f t="shared" ref="X106:X110" si="466">X105</f>
        <v>0</v>
      </c>
      <c r="Y106" s="46">
        <f t="shared" si="328"/>
        <v>84</v>
      </c>
      <c r="Z106" s="487"/>
      <c r="AA106" s="120">
        <f>AA105+1</f>
        <v>3</v>
      </c>
      <c r="AB106" s="7">
        <f t="shared" ref="AB106:AB110" si="467">AB105</f>
        <v>14</v>
      </c>
      <c r="AC106" s="133"/>
      <c r="AD106" s="48">
        <f t="shared" si="462"/>
        <v>0</v>
      </c>
      <c r="AE106" s="196">
        <f t="shared" si="254"/>
        <v>0</v>
      </c>
      <c r="AF106" s="134"/>
      <c r="AG106" s="135"/>
      <c r="AH106" s="135"/>
      <c r="AI106" s="14">
        <f t="shared" ref="AI106:AI138" si="468">SUM(AF106:AH106)</f>
        <v>0</v>
      </c>
      <c r="AJ106" s="14">
        <f>AJ105+AI106</f>
        <v>0</v>
      </c>
      <c r="AK106" s="14">
        <f t="shared" si="299"/>
        <v>0.16</v>
      </c>
      <c r="AL106" s="230">
        <f t="shared" si="331"/>
        <v>0</v>
      </c>
      <c r="AM106" s="35">
        <f t="shared" si="300"/>
        <v>3.8400000000000012</v>
      </c>
      <c r="AN106" s="157">
        <f t="shared" si="358"/>
        <v>0</v>
      </c>
      <c r="AO106" s="134"/>
      <c r="AP106" s="14">
        <f t="shared" si="301"/>
        <v>64</v>
      </c>
      <c r="AQ106" s="480">
        <f t="shared" si="332"/>
        <v>0</v>
      </c>
      <c r="AR106" s="470">
        <f t="shared" si="420"/>
        <v>0</v>
      </c>
      <c r="AS106" s="51">
        <f t="shared" si="302"/>
        <v>1065</v>
      </c>
      <c r="AT106" s="181">
        <f t="shared" ref="AT106:AT110" si="469">AT105</f>
        <v>0</v>
      </c>
      <c r="AU106" s="46">
        <f t="shared" si="394"/>
        <v>1065</v>
      </c>
      <c r="AV106" s="51">
        <f t="shared" si="303"/>
        <v>84</v>
      </c>
      <c r="AW106" s="181">
        <f t="shared" ref="AW106:AW110" si="470">AW105</f>
        <v>0</v>
      </c>
      <c r="AX106" s="46">
        <f t="shared" si="359"/>
        <v>84</v>
      </c>
      <c r="AZ106" s="120">
        <f>AZ105+1</f>
        <v>3</v>
      </c>
      <c r="BA106" s="7">
        <f t="shared" ref="BA106:BA110" si="471">BA105</f>
        <v>14</v>
      </c>
      <c r="BB106" s="133"/>
      <c r="BC106" s="48">
        <f t="shared" si="337"/>
        <v>0</v>
      </c>
      <c r="BD106" s="196">
        <f t="shared" si="255"/>
        <v>0</v>
      </c>
      <c r="BE106" s="134"/>
      <c r="BF106" s="135"/>
      <c r="BG106" s="135"/>
      <c r="BH106" s="14">
        <f t="shared" ref="BH106:BH138" si="472">SUM(BE106:BG106)</f>
        <v>0</v>
      </c>
      <c r="BI106" s="14">
        <f>BI105+BH106</f>
        <v>0</v>
      </c>
      <c r="BJ106" s="14">
        <f t="shared" si="304"/>
        <v>0.16</v>
      </c>
      <c r="BK106" s="47">
        <f t="shared" si="350"/>
        <v>0</v>
      </c>
      <c r="BL106" s="35">
        <f t="shared" si="305"/>
        <v>3.8400000000000012</v>
      </c>
      <c r="BM106" s="132">
        <f t="shared" si="428"/>
        <v>0</v>
      </c>
      <c r="BN106" s="134"/>
      <c r="BO106" s="14">
        <f t="shared" si="306"/>
        <v>64</v>
      </c>
      <c r="BP106" s="442">
        <f t="shared" si="351"/>
        <v>0</v>
      </c>
      <c r="BQ106" s="747">
        <f t="shared" si="354"/>
        <v>0</v>
      </c>
      <c r="BR106" s="51">
        <f t="shared" si="307"/>
        <v>1065</v>
      </c>
      <c r="BS106" s="181">
        <f t="shared" ref="BS106:BS110" si="473">BS105</f>
        <v>0</v>
      </c>
      <c r="BT106" s="46">
        <f t="shared" si="395"/>
        <v>1065</v>
      </c>
      <c r="BU106" s="51">
        <f t="shared" si="308"/>
        <v>84</v>
      </c>
      <c r="BV106" s="181">
        <f t="shared" ref="BV106:BV110" si="474">BV105</f>
        <v>0</v>
      </c>
      <c r="BW106" s="46">
        <f t="shared" si="360"/>
        <v>84</v>
      </c>
      <c r="BY106" s="120">
        <f>BY105+1</f>
        <v>16</v>
      </c>
      <c r="BZ106" s="7">
        <f t="shared" ref="BZ106:BZ110" si="475">BZ105</f>
        <v>14</v>
      </c>
      <c r="CA106" s="133"/>
      <c r="CB106" s="14">
        <f t="shared" si="361"/>
        <v>0</v>
      </c>
      <c r="CC106" s="59">
        <f t="shared" si="369"/>
        <v>0</v>
      </c>
      <c r="CD106" s="405"/>
      <c r="CE106" s="406"/>
      <c r="CF106" s="406"/>
      <c r="CG106" s="14">
        <f t="shared" si="370"/>
        <v>0</v>
      </c>
      <c r="CH106" s="14">
        <f t="shared" si="362"/>
        <v>0</v>
      </c>
      <c r="CI106" s="14">
        <f t="shared" si="309"/>
        <v>0.16</v>
      </c>
      <c r="CJ106" s="47">
        <f t="shared" si="352"/>
        <v>0</v>
      </c>
      <c r="CK106" s="35">
        <f t="shared" si="310"/>
        <v>3.8400000000000012</v>
      </c>
      <c r="CL106" s="157">
        <f t="shared" si="355"/>
        <v>0</v>
      </c>
      <c r="CM106" s="134"/>
      <c r="CN106" s="14">
        <f t="shared" si="311"/>
        <v>64</v>
      </c>
      <c r="CO106" s="48">
        <f t="shared" si="356"/>
        <v>0</v>
      </c>
      <c r="CP106" s="68">
        <f t="shared" si="353"/>
        <v>0</v>
      </c>
      <c r="CQ106" s="51">
        <f t="shared" si="312"/>
        <v>1065</v>
      </c>
      <c r="CR106" s="181">
        <f t="shared" ref="CR106:CR110" si="476">CR105</f>
        <v>0</v>
      </c>
      <c r="CS106" s="46">
        <f t="shared" si="396"/>
        <v>1065</v>
      </c>
      <c r="CT106" s="51">
        <f t="shared" si="313"/>
        <v>84</v>
      </c>
      <c r="CU106" s="103">
        <f>CU105</f>
        <v>0</v>
      </c>
      <c r="CV106" s="46">
        <f t="shared" si="344"/>
        <v>84</v>
      </c>
      <c r="CX106" s="120">
        <f>CX105+1</f>
        <v>16</v>
      </c>
      <c r="CY106" s="7">
        <f t="shared" ref="CY106:CY110" si="477">CY105</f>
        <v>14</v>
      </c>
      <c r="CZ106" s="133"/>
      <c r="DA106" s="14">
        <f t="shared" si="228"/>
        <v>0</v>
      </c>
      <c r="DB106" s="59">
        <f t="shared" si="256"/>
        <v>0</v>
      </c>
      <c r="DC106" s="405"/>
      <c r="DD106" s="406"/>
      <c r="DE106" s="406"/>
      <c r="DF106" s="14">
        <f t="shared" si="371"/>
        <v>0</v>
      </c>
      <c r="DG106" s="14">
        <f t="shared" si="463"/>
        <v>0</v>
      </c>
      <c r="DH106" s="14">
        <f t="shared" si="314"/>
        <v>0.16</v>
      </c>
      <c r="DI106" s="47">
        <f t="shared" si="372"/>
        <v>0</v>
      </c>
      <c r="DJ106" s="35">
        <f t="shared" si="315"/>
        <v>3.8400000000000012</v>
      </c>
      <c r="DK106" s="157">
        <f t="shared" si="364"/>
        <v>0</v>
      </c>
      <c r="DL106" s="134"/>
      <c r="DM106" s="14">
        <f t="shared" si="316"/>
        <v>64</v>
      </c>
      <c r="DN106" s="48">
        <f t="shared" si="393"/>
        <v>0</v>
      </c>
      <c r="DO106" s="68">
        <f t="shared" si="365"/>
        <v>0</v>
      </c>
      <c r="DP106" s="51">
        <f t="shared" si="317"/>
        <v>1065</v>
      </c>
      <c r="DQ106" s="181">
        <f t="shared" ref="DQ106:DQ110" si="478">DQ105</f>
        <v>0</v>
      </c>
      <c r="DR106" s="46">
        <f t="shared" si="397"/>
        <v>1065</v>
      </c>
      <c r="DS106" s="51">
        <f t="shared" si="318"/>
        <v>84</v>
      </c>
      <c r="DT106" s="103">
        <f>DT105</f>
        <v>0</v>
      </c>
      <c r="DU106" s="46">
        <f t="shared" si="357"/>
        <v>84</v>
      </c>
    </row>
    <row r="107" spans="1:125" ht="17.25" thickBot="1" x14ac:dyDescent="0.3">
      <c r="B107" s="120">
        <f t="shared" ref="B107:B110" si="479">B106+1</f>
        <v>4</v>
      </c>
      <c r="C107" s="570">
        <f t="shared" si="464"/>
        <v>14</v>
      </c>
      <c r="D107" s="229"/>
      <c r="E107" s="408">
        <f t="shared" si="321"/>
        <v>0</v>
      </c>
      <c r="F107" s="562">
        <f t="shared" si="292"/>
        <v>0</v>
      </c>
      <c r="G107" s="134"/>
      <c r="H107" s="135"/>
      <c r="I107" s="135"/>
      <c r="J107" s="14">
        <f t="shared" si="366"/>
        <v>0</v>
      </c>
      <c r="K107" s="14">
        <f t="shared" si="322"/>
        <v>0</v>
      </c>
      <c r="L107" s="14">
        <f t="shared" si="293"/>
        <v>0.16</v>
      </c>
      <c r="M107" s="230">
        <f t="shared" si="349"/>
        <v>0</v>
      </c>
      <c r="N107" s="35">
        <f t="shared" si="294"/>
        <v>3.8400000000000012</v>
      </c>
      <c r="O107" s="132">
        <f t="shared" si="323"/>
        <v>0</v>
      </c>
      <c r="P107" s="142"/>
      <c r="Q107" s="14">
        <f t="shared" si="295"/>
        <v>64</v>
      </c>
      <c r="R107" s="482">
        <f t="shared" si="296"/>
        <v>0</v>
      </c>
      <c r="S107" s="470">
        <f t="shared" si="324"/>
        <v>0</v>
      </c>
      <c r="T107" s="51">
        <f t="shared" si="297"/>
        <v>1065</v>
      </c>
      <c r="U107" s="181">
        <f t="shared" si="465"/>
        <v>0</v>
      </c>
      <c r="V107" s="46">
        <f t="shared" si="326"/>
        <v>1065</v>
      </c>
      <c r="W107" s="12">
        <f t="shared" si="298"/>
        <v>84</v>
      </c>
      <c r="X107" s="181">
        <f t="shared" si="466"/>
        <v>0</v>
      </c>
      <c r="Y107" s="46">
        <f t="shared" si="328"/>
        <v>84</v>
      </c>
      <c r="Z107" s="487"/>
      <c r="AA107" s="120">
        <f t="shared" ref="AA107:AA110" si="480">AA106+1</f>
        <v>4</v>
      </c>
      <c r="AB107" s="7">
        <f t="shared" si="467"/>
        <v>14</v>
      </c>
      <c r="AC107" s="229"/>
      <c r="AD107" s="48">
        <f t="shared" si="462"/>
        <v>0</v>
      </c>
      <c r="AE107" s="196">
        <f t="shared" si="254"/>
        <v>0</v>
      </c>
      <c r="AF107" s="134"/>
      <c r="AG107" s="135"/>
      <c r="AH107" s="135"/>
      <c r="AI107" s="14">
        <f t="shared" si="468"/>
        <v>0</v>
      </c>
      <c r="AJ107" s="14">
        <f t="shared" ref="AJ107:AJ138" si="481">AJ106+AI107</f>
        <v>0</v>
      </c>
      <c r="AK107" s="14">
        <f t="shared" si="299"/>
        <v>0.16</v>
      </c>
      <c r="AL107" s="230">
        <f t="shared" si="331"/>
        <v>0</v>
      </c>
      <c r="AM107" s="35">
        <f t="shared" si="300"/>
        <v>3.8400000000000012</v>
      </c>
      <c r="AN107" s="157">
        <f t="shared" si="358"/>
        <v>0</v>
      </c>
      <c r="AO107" s="134"/>
      <c r="AP107" s="14">
        <f t="shared" si="301"/>
        <v>64</v>
      </c>
      <c r="AQ107" s="482">
        <f t="shared" si="332"/>
        <v>0</v>
      </c>
      <c r="AR107" s="470">
        <f t="shared" si="420"/>
        <v>0</v>
      </c>
      <c r="AS107" s="51">
        <f t="shared" si="302"/>
        <v>1065</v>
      </c>
      <c r="AT107" s="181">
        <f t="shared" si="469"/>
        <v>0</v>
      </c>
      <c r="AU107" s="46">
        <f t="shared" si="394"/>
        <v>1065</v>
      </c>
      <c r="AV107" s="12">
        <f t="shared" si="303"/>
        <v>84</v>
      </c>
      <c r="AW107" s="181">
        <f t="shared" si="470"/>
        <v>0</v>
      </c>
      <c r="AX107" s="46">
        <f t="shared" si="359"/>
        <v>84</v>
      </c>
      <c r="AZ107" s="120">
        <f t="shared" ref="AZ107:AZ110" si="482">AZ106+1</f>
        <v>4</v>
      </c>
      <c r="BA107" s="7">
        <f t="shared" si="471"/>
        <v>14</v>
      </c>
      <c r="BB107" s="229"/>
      <c r="BC107" s="48">
        <f t="shared" si="337"/>
        <v>0</v>
      </c>
      <c r="BD107" s="196">
        <f t="shared" si="255"/>
        <v>0</v>
      </c>
      <c r="BE107" s="134"/>
      <c r="BF107" s="135"/>
      <c r="BG107" s="135"/>
      <c r="BH107" s="14">
        <f t="shared" si="472"/>
        <v>0</v>
      </c>
      <c r="BI107" s="14">
        <f t="shared" ref="BI107:BI138" si="483">BI106+BH107</f>
        <v>0</v>
      </c>
      <c r="BJ107" s="14">
        <f t="shared" si="304"/>
        <v>0.16</v>
      </c>
      <c r="BK107" s="47">
        <f t="shared" si="350"/>
        <v>0</v>
      </c>
      <c r="BL107" s="35">
        <f t="shared" si="305"/>
        <v>3.8400000000000012</v>
      </c>
      <c r="BM107" s="132">
        <f t="shared" si="428"/>
        <v>0</v>
      </c>
      <c r="BN107" s="134"/>
      <c r="BO107" s="14">
        <f t="shared" si="306"/>
        <v>64</v>
      </c>
      <c r="BP107" s="442">
        <f t="shared" si="351"/>
        <v>0</v>
      </c>
      <c r="BQ107" s="747">
        <f t="shared" si="354"/>
        <v>0</v>
      </c>
      <c r="BR107" s="51">
        <f t="shared" si="307"/>
        <v>1065</v>
      </c>
      <c r="BS107" s="181">
        <f t="shared" si="473"/>
        <v>0</v>
      </c>
      <c r="BT107" s="46">
        <f t="shared" si="395"/>
        <v>1065</v>
      </c>
      <c r="BU107" s="12">
        <f t="shared" si="308"/>
        <v>84</v>
      </c>
      <c r="BV107" s="181">
        <f t="shared" si="474"/>
        <v>0</v>
      </c>
      <c r="BW107" s="46">
        <f t="shared" si="360"/>
        <v>84</v>
      </c>
      <c r="BY107" s="120">
        <f t="shared" ref="BY107:BY109" si="484">BY106+1</f>
        <v>17</v>
      </c>
      <c r="BZ107" s="7">
        <f t="shared" si="475"/>
        <v>14</v>
      </c>
      <c r="CA107" s="133"/>
      <c r="CB107" s="14">
        <f t="shared" si="361"/>
        <v>0</v>
      </c>
      <c r="CC107" s="59">
        <f t="shared" si="369"/>
        <v>0</v>
      </c>
      <c r="CD107" s="405"/>
      <c r="CE107" s="406"/>
      <c r="CF107" s="406"/>
      <c r="CG107" s="14">
        <f t="shared" si="370"/>
        <v>0</v>
      </c>
      <c r="CH107" s="14">
        <f t="shared" si="362"/>
        <v>0</v>
      </c>
      <c r="CI107" s="14">
        <f t="shared" si="309"/>
        <v>0.16</v>
      </c>
      <c r="CJ107" s="47">
        <f t="shared" si="352"/>
        <v>0</v>
      </c>
      <c r="CK107" s="35">
        <f t="shared" si="310"/>
        <v>3.8400000000000012</v>
      </c>
      <c r="CL107" s="157">
        <f t="shared" si="355"/>
        <v>0</v>
      </c>
      <c r="CM107" s="134"/>
      <c r="CN107" s="14">
        <f t="shared" si="311"/>
        <v>64</v>
      </c>
      <c r="CO107" s="48">
        <f t="shared" si="356"/>
        <v>0</v>
      </c>
      <c r="CP107" s="68">
        <f t="shared" si="353"/>
        <v>0</v>
      </c>
      <c r="CQ107" s="51">
        <f t="shared" si="312"/>
        <v>1065</v>
      </c>
      <c r="CR107" s="181">
        <f t="shared" si="476"/>
        <v>0</v>
      </c>
      <c r="CS107" s="46">
        <f t="shared" si="396"/>
        <v>1065</v>
      </c>
      <c r="CT107" s="12">
        <f t="shared" si="313"/>
        <v>84</v>
      </c>
      <c r="CU107" s="103">
        <f t="shared" ref="CU107:CU110" si="485">CU106</f>
        <v>0</v>
      </c>
      <c r="CV107" s="46">
        <f t="shared" si="344"/>
        <v>84</v>
      </c>
      <c r="CX107" s="120">
        <f t="shared" ref="CX107:CX109" si="486">CX106+1</f>
        <v>17</v>
      </c>
      <c r="CY107" s="7">
        <f t="shared" si="477"/>
        <v>14</v>
      </c>
      <c r="CZ107" s="133"/>
      <c r="DA107" s="14">
        <f t="shared" si="228"/>
        <v>0</v>
      </c>
      <c r="DB107" s="59">
        <f t="shared" si="256"/>
        <v>0</v>
      </c>
      <c r="DC107" s="405"/>
      <c r="DD107" s="406"/>
      <c r="DE107" s="406"/>
      <c r="DF107" s="14">
        <f t="shared" si="371"/>
        <v>0</v>
      </c>
      <c r="DG107" s="14">
        <f t="shared" si="463"/>
        <v>0</v>
      </c>
      <c r="DH107" s="14">
        <f t="shared" si="314"/>
        <v>0.16</v>
      </c>
      <c r="DI107" s="47">
        <f t="shared" si="372"/>
        <v>0</v>
      </c>
      <c r="DJ107" s="35">
        <f t="shared" si="315"/>
        <v>3.8400000000000012</v>
      </c>
      <c r="DK107" s="157">
        <f t="shared" si="364"/>
        <v>0</v>
      </c>
      <c r="DL107" s="134"/>
      <c r="DM107" s="14">
        <f t="shared" si="316"/>
        <v>64</v>
      </c>
      <c r="DN107" s="48">
        <f t="shared" si="393"/>
        <v>0</v>
      </c>
      <c r="DO107" s="68">
        <f t="shared" si="365"/>
        <v>0</v>
      </c>
      <c r="DP107" s="51">
        <f t="shared" si="317"/>
        <v>1065</v>
      </c>
      <c r="DQ107" s="181">
        <f t="shared" si="478"/>
        <v>0</v>
      </c>
      <c r="DR107" s="46">
        <f t="shared" si="397"/>
        <v>1065</v>
      </c>
      <c r="DS107" s="12">
        <f t="shared" si="318"/>
        <v>84</v>
      </c>
      <c r="DT107" s="103">
        <f t="shared" ref="DT107:DT110" si="487">DT106</f>
        <v>0</v>
      </c>
      <c r="DU107" s="46">
        <f t="shared" si="357"/>
        <v>84</v>
      </c>
    </row>
    <row r="108" spans="1:125" ht="17.25" thickBot="1" x14ac:dyDescent="0.3">
      <c r="B108" s="120">
        <f t="shared" si="479"/>
        <v>5</v>
      </c>
      <c r="C108" s="570">
        <f t="shared" si="464"/>
        <v>14</v>
      </c>
      <c r="D108" s="133"/>
      <c r="E108" s="408">
        <f t="shared" si="321"/>
        <v>0</v>
      </c>
      <c r="F108" s="562">
        <f t="shared" si="292"/>
        <v>0</v>
      </c>
      <c r="G108" s="134"/>
      <c r="H108" s="135"/>
      <c r="I108" s="135"/>
      <c r="J108" s="14">
        <f t="shared" si="366"/>
        <v>0</v>
      </c>
      <c r="K108" s="14">
        <f t="shared" si="322"/>
        <v>0</v>
      </c>
      <c r="L108" s="14">
        <f t="shared" si="293"/>
        <v>0.16</v>
      </c>
      <c r="M108" s="47">
        <f t="shared" si="349"/>
        <v>0</v>
      </c>
      <c r="N108" s="35">
        <f t="shared" si="294"/>
        <v>3.8400000000000012</v>
      </c>
      <c r="O108" s="132">
        <f t="shared" si="323"/>
        <v>0</v>
      </c>
      <c r="P108" s="142"/>
      <c r="Q108" s="14">
        <f t="shared" si="295"/>
        <v>64</v>
      </c>
      <c r="R108" s="482">
        <f t="shared" si="296"/>
        <v>0</v>
      </c>
      <c r="S108" s="470">
        <f t="shared" si="324"/>
        <v>0</v>
      </c>
      <c r="T108" s="51">
        <f t="shared" si="297"/>
        <v>1065</v>
      </c>
      <c r="U108" s="181">
        <f t="shared" si="465"/>
        <v>0</v>
      </c>
      <c r="V108" s="46">
        <f t="shared" si="326"/>
        <v>1065</v>
      </c>
      <c r="W108" s="50">
        <f t="shared" si="298"/>
        <v>84</v>
      </c>
      <c r="X108" s="181">
        <f t="shared" si="466"/>
        <v>0</v>
      </c>
      <c r="Y108" s="46">
        <f t="shared" si="328"/>
        <v>84</v>
      </c>
      <c r="Z108" s="487"/>
      <c r="AA108" s="120">
        <f t="shared" si="480"/>
        <v>5</v>
      </c>
      <c r="AB108" s="7">
        <f t="shared" si="467"/>
        <v>14</v>
      </c>
      <c r="AC108" s="133"/>
      <c r="AD108" s="48">
        <f t="shared" si="462"/>
        <v>0</v>
      </c>
      <c r="AE108" s="49">
        <f t="shared" si="254"/>
        <v>0</v>
      </c>
      <c r="AF108" s="134"/>
      <c r="AG108" s="135"/>
      <c r="AH108" s="135"/>
      <c r="AI108" s="14">
        <f t="shared" si="468"/>
        <v>0</v>
      </c>
      <c r="AJ108" s="14">
        <f t="shared" si="481"/>
        <v>0</v>
      </c>
      <c r="AK108" s="14">
        <f t="shared" si="299"/>
        <v>0.16</v>
      </c>
      <c r="AL108" s="47">
        <f t="shared" si="331"/>
        <v>0</v>
      </c>
      <c r="AM108" s="35">
        <f t="shared" si="300"/>
        <v>3.8400000000000012</v>
      </c>
      <c r="AN108" s="157">
        <f t="shared" si="358"/>
        <v>0</v>
      </c>
      <c r="AO108" s="134"/>
      <c r="AP108" s="14">
        <f t="shared" si="301"/>
        <v>64</v>
      </c>
      <c r="AQ108" s="482">
        <f t="shared" si="332"/>
        <v>0</v>
      </c>
      <c r="AR108" s="470">
        <f t="shared" si="420"/>
        <v>0</v>
      </c>
      <c r="AS108" s="51">
        <f t="shared" si="302"/>
        <v>1065</v>
      </c>
      <c r="AT108" s="181">
        <f t="shared" si="469"/>
        <v>0</v>
      </c>
      <c r="AU108" s="46">
        <f t="shared" si="394"/>
        <v>1065</v>
      </c>
      <c r="AV108" s="50">
        <f t="shared" si="303"/>
        <v>84</v>
      </c>
      <c r="AW108" s="181">
        <f t="shared" si="470"/>
        <v>0</v>
      </c>
      <c r="AX108" s="46">
        <f t="shared" si="359"/>
        <v>84</v>
      </c>
      <c r="AZ108" s="120">
        <f t="shared" si="482"/>
        <v>5</v>
      </c>
      <c r="BA108" s="7">
        <f t="shared" si="471"/>
        <v>14</v>
      </c>
      <c r="BB108" s="133"/>
      <c r="BC108" s="48">
        <f t="shared" si="337"/>
        <v>0</v>
      </c>
      <c r="BD108" s="49">
        <f t="shared" si="255"/>
        <v>0</v>
      </c>
      <c r="BE108" s="134"/>
      <c r="BF108" s="135"/>
      <c r="BG108" s="135"/>
      <c r="BH108" s="14">
        <f t="shared" si="472"/>
        <v>0</v>
      </c>
      <c r="BI108" s="14">
        <f t="shared" si="483"/>
        <v>0</v>
      </c>
      <c r="BJ108" s="14">
        <f t="shared" si="304"/>
        <v>0.16</v>
      </c>
      <c r="BK108" s="47">
        <f t="shared" si="350"/>
        <v>0</v>
      </c>
      <c r="BL108" s="35">
        <f t="shared" si="305"/>
        <v>3.8400000000000012</v>
      </c>
      <c r="BM108" s="132">
        <f t="shared" si="428"/>
        <v>0</v>
      </c>
      <c r="BN108" s="134"/>
      <c r="BO108" s="14">
        <f t="shared" si="306"/>
        <v>64</v>
      </c>
      <c r="BP108" s="442">
        <f t="shared" si="351"/>
        <v>0</v>
      </c>
      <c r="BQ108" s="747">
        <f t="shared" si="354"/>
        <v>0</v>
      </c>
      <c r="BR108" s="51">
        <f t="shared" si="307"/>
        <v>1065</v>
      </c>
      <c r="BS108" s="181">
        <f t="shared" si="473"/>
        <v>0</v>
      </c>
      <c r="BT108" s="46">
        <f t="shared" si="395"/>
        <v>1065</v>
      </c>
      <c r="BU108" s="50">
        <f t="shared" si="308"/>
        <v>84</v>
      </c>
      <c r="BV108" s="181">
        <f t="shared" si="474"/>
        <v>0</v>
      </c>
      <c r="BW108" s="46">
        <f t="shared" si="360"/>
        <v>84</v>
      </c>
      <c r="BY108" s="120">
        <f t="shared" si="484"/>
        <v>18</v>
      </c>
      <c r="BZ108" s="7">
        <f t="shared" si="475"/>
        <v>14</v>
      </c>
      <c r="CA108" s="133"/>
      <c r="CB108" s="14">
        <f t="shared" si="361"/>
        <v>0</v>
      </c>
      <c r="CC108" s="46">
        <f t="shared" si="369"/>
        <v>0</v>
      </c>
      <c r="CD108" s="405"/>
      <c r="CE108" s="406"/>
      <c r="CF108" s="406"/>
      <c r="CG108" s="14">
        <f t="shared" si="370"/>
        <v>0</v>
      </c>
      <c r="CH108" s="14">
        <f t="shared" si="362"/>
        <v>0</v>
      </c>
      <c r="CI108" s="14">
        <f t="shared" si="309"/>
        <v>0.16</v>
      </c>
      <c r="CJ108" s="47">
        <f t="shared" si="352"/>
        <v>0</v>
      </c>
      <c r="CK108" s="35">
        <f t="shared" si="310"/>
        <v>3.8400000000000012</v>
      </c>
      <c r="CL108" s="157">
        <f t="shared" si="355"/>
        <v>0</v>
      </c>
      <c r="CM108" s="134"/>
      <c r="CN108" s="14">
        <f t="shared" si="311"/>
        <v>64</v>
      </c>
      <c r="CO108" s="48">
        <f t="shared" si="356"/>
        <v>0</v>
      </c>
      <c r="CP108" s="68">
        <f t="shared" si="353"/>
        <v>0</v>
      </c>
      <c r="CQ108" s="51">
        <f t="shared" si="312"/>
        <v>1065</v>
      </c>
      <c r="CR108" s="181">
        <f t="shared" si="476"/>
        <v>0</v>
      </c>
      <c r="CS108" s="46">
        <f t="shared" si="396"/>
        <v>1065</v>
      </c>
      <c r="CT108" s="50">
        <f t="shared" si="313"/>
        <v>84</v>
      </c>
      <c r="CU108" s="103">
        <f t="shared" si="485"/>
        <v>0</v>
      </c>
      <c r="CV108" s="46">
        <f t="shared" si="344"/>
        <v>84</v>
      </c>
      <c r="CX108" s="120">
        <f t="shared" si="486"/>
        <v>18</v>
      </c>
      <c r="CY108" s="7">
        <f t="shared" si="477"/>
        <v>14</v>
      </c>
      <c r="CZ108" s="133"/>
      <c r="DA108" s="14">
        <f t="shared" si="228"/>
        <v>0</v>
      </c>
      <c r="DB108" s="46">
        <f t="shared" si="256"/>
        <v>0</v>
      </c>
      <c r="DC108" s="405"/>
      <c r="DD108" s="406"/>
      <c r="DE108" s="406"/>
      <c r="DF108" s="14">
        <f t="shared" si="371"/>
        <v>0</v>
      </c>
      <c r="DG108" s="14">
        <f t="shared" si="463"/>
        <v>0</v>
      </c>
      <c r="DH108" s="14">
        <f t="shared" si="314"/>
        <v>0.16</v>
      </c>
      <c r="DI108" s="47">
        <f t="shared" si="372"/>
        <v>0</v>
      </c>
      <c r="DJ108" s="35">
        <f t="shared" si="315"/>
        <v>3.8400000000000012</v>
      </c>
      <c r="DK108" s="157">
        <f t="shared" si="364"/>
        <v>0</v>
      </c>
      <c r="DL108" s="134"/>
      <c r="DM108" s="14">
        <f t="shared" si="316"/>
        <v>64</v>
      </c>
      <c r="DN108" s="48">
        <f t="shared" si="393"/>
        <v>0</v>
      </c>
      <c r="DO108" s="68">
        <f t="shared" si="365"/>
        <v>0</v>
      </c>
      <c r="DP108" s="51">
        <f t="shared" si="317"/>
        <v>1065</v>
      </c>
      <c r="DQ108" s="181">
        <f t="shared" si="478"/>
        <v>0</v>
      </c>
      <c r="DR108" s="46">
        <f t="shared" si="397"/>
        <v>1065</v>
      </c>
      <c r="DS108" s="50">
        <f t="shared" si="318"/>
        <v>84</v>
      </c>
      <c r="DT108" s="103">
        <f t="shared" si="487"/>
        <v>0</v>
      </c>
      <c r="DU108" s="46">
        <f t="shared" si="357"/>
        <v>84</v>
      </c>
    </row>
    <row r="109" spans="1:125" ht="17.25" thickBot="1" x14ac:dyDescent="0.3">
      <c r="B109" s="120">
        <f t="shared" si="479"/>
        <v>6</v>
      </c>
      <c r="C109" s="570">
        <f t="shared" si="464"/>
        <v>14</v>
      </c>
      <c r="D109" s="133"/>
      <c r="E109" s="408">
        <f t="shared" si="321"/>
        <v>0</v>
      </c>
      <c r="F109" s="562">
        <f t="shared" si="292"/>
        <v>0</v>
      </c>
      <c r="G109" s="134"/>
      <c r="H109" s="135"/>
      <c r="I109" s="135"/>
      <c r="J109" s="14">
        <f t="shared" si="366"/>
        <v>0</v>
      </c>
      <c r="K109" s="14">
        <f t="shared" si="322"/>
        <v>0</v>
      </c>
      <c r="L109" s="14">
        <f t="shared" si="293"/>
        <v>0.16</v>
      </c>
      <c r="M109" s="231">
        <f t="shared" si="349"/>
        <v>0</v>
      </c>
      <c r="N109" s="35">
        <f t="shared" si="294"/>
        <v>3.8400000000000012</v>
      </c>
      <c r="O109" s="132">
        <f t="shared" si="323"/>
        <v>0</v>
      </c>
      <c r="P109" s="142"/>
      <c r="Q109" s="14">
        <f t="shared" si="295"/>
        <v>64</v>
      </c>
      <c r="R109" s="442">
        <f t="shared" si="296"/>
        <v>0</v>
      </c>
      <c r="S109" s="470">
        <f t="shared" si="324"/>
        <v>0</v>
      </c>
      <c r="T109" s="51">
        <f t="shared" si="297"/>
        <v>1065</v>
      </c>
      <c r="U109" s="181">
        <f t="shared" si="465"/>
        <v>0</v>
      </c>
      <c r="V109" s="46">
        <f t="shared" si="326"/>
        <v>1065</v>
      </c>
      <c r="W109" s="50">
        <f t="shared" si="298"/>
        <v>84</v>
      </c>
      <c r="X109" s="181">
        <f t="shared" si="466"/>
        <v>0</v>
      </c>
      <c r="Y109" s="46">
        <f t="shared" si="328"/>
        <v>84</v>
      </c>
      <c r="Z109" s="487"/>
      <c r="AA109" s="120">
        <f t="shared" si="480"/>
        <v>6</v>
      </c>
      <c r="AB109" s="7">
        <f t="shared" si="467"/>
        <v>14</v>
      </c>
      <c r="AC109" s="133"/>
      <c r="AD109" s="48">
        <f t="shared" si="462"/>
        <v>0</v>
      </c>
      <c r="AE109" s="49">
        <f t="shared" si="254"/>
        <v>0</v>
      </c>
      <c r="AF109" s="134"/>
      <c r="AG109" s="135"/>
      <c r="AH109" s="135"/>
      <c r="AI109" s="14">
        <f t="shared" si="468"/>
        <v>0</v>
      </c>
      <c r="AJ109" s="14">
        <f t="shared" si="481"/>
        <v>0</v>
      </c>
      <c r="AK109" s="14">
        <f t="shared" si="299"/>
        <v>0.16</v>
      </c>
      <c r="AL109" s="231">
        <f t="shared" si="331"/>
        <v>0</v>
      </c>
      <c r="AM109" s="35">
        <f t="shared" si="300"/>
        <v>3.8400000000000012</v>
      </c>
      <c r="AN109" s="157">
        <f t="shared" si="358"/>
        <v>0</v>
      </c>
      <c r="AO109" s="134"/>
      <c r="AP109" s="14">
        <f t="shared" si="301"/>
        <v>64</v>
      </c>
      <c r="AQ109" s="442">
        <f t="shared" si="332"/>
        <v>0</v>
      </c>
      <c r="AR109" s="470">
        <f t="shared" si="420"/>
        <v>0</v>
      </c>
      <c r="AS109" s="51">
        <f t="shared" si="302"/>
        <v>1065</v>
      </c>
      <c r="AT109" s="181">
        <f t="shared" si="469"/>
        <v>0</v>
      </c>
      <c r="AU109" s="46">
        <f t="shared" si="394"/>
        <v>1065</v>
      </c>
      <c r="AV109" s="50">
        <f t="shared" si="303"/>
        <v>84</v>
      </c>
      <c r="AW109" s="181">
        <f t="shared" si="470"/>
        <v>0</v>
      </c>
      <c r="AX109" s="46">
        <f t="shared" si="359"/>
        <v>84</v>
      </c>
      <c r="AZ109" s="120">
        <f t="shared" si="482"/>
        <v>6</v>
      </c>
      <c r="BA109" s="7">
        <f t="shared" si="471"/>
        <v>14</v>
      </c>
      <c r="BB109" s="133"/>
      <c r="BC109" s="48">
        <f t="shared" si="337"/>
        <v>0</v>
      </c>
      <c r="BD109" s="49">
        <f t="shared" si="255"/>
        <v>0</v>
      </c>
      <c r="BE109" s="134"/>
      <c r="BF109" s="135"/>
      <c r="BG109" s="135"/>
      <c r="BH109" s="14">
        <f t="shared" si="472"/>
        <v>0</v>
      </c>
      <c r="BI109" s="14">
        <f t="shared" si="483"/>
        <v>0</v>
      </c>
      <c r="BJ109" s="14">
        <f t="shared" si="304"/>
        <v>0.16</v>
      </c>
      <c r="BK109" s="47">
        <f t="shared" si="350"/>
        <v>0</v>
      </c>
      <c r="BL109" s="35">
        <f t="shared" si="305"/>
        <v>3.8400000000000012</v>
      </c>
      <c r="BM109" s="132">
        <f t="shared" si="428"/>
        <v>0</v>
      </c>
      <c r="BN109" s="134"/>
      <c r="BO109" s="14">
        <f t="shared" si="306"/>
        <v>64</v>
      </c>
      <c r="BP109" s="442">
        <f t="shared" si="351"/>
        <v>0</v>
      </c>
      <c r="BQ109" s="747">
        <f t="shared" si="354"/>
        <v>0</v>
      </c>
      <c r="BR109" s="51">
        <f t="shared" si="307"/>
        <v>1065</v>
      </c>
      <c r="BS109" s="181">
        <f t="shared" si="473"/>
        <v>0</v>
      </c>
      <c r="BT109" s="46">
        <f t="shared" si="395"/>
        <v>1065</v>
      </c>
      <c r="BU109" s="50">
        <f t="shared" si="308"/>
        <v>84</v>
      </c>
      <c r="BV109" s="181">
        <f t="shared" si="474"/>
        <v>0</v>
      </c>
      <c r="BW109" s="46">
        <f t="shared" si="360"/>
        <v>84</v>
      </c>
      <c r="BY109" s="120">
        <f t="shared" si="484"/>
        <v>19</v>
      </c>
      <c r="BZ109" s="7">
        <f t="shared" si="475"/>
        <v>14</v>
      </c>
      <c r="CA109" s="133"/>
      <c r="CB109" s="14">
        <f t="shared" si="361"/>
        <v>0</v>
      </c>
      <c r="CC109" s="46">
        <f t="shared" si="369"/>
        <v>0</v>
      </c>
      <c r="CD109" s="405"/>
      <c r="CE109" s="406"/>
      <c r="CF109" s="406"/>
      <c r="CG109" s="14">
        <f t="shared" si="370"/>
        <v>0</v>
      </c>
      <c r="CH109" s="14">
        <f t="shared" si="362"/>
        <v>0</v>
      </c>
      <c r="CI109" s="14">
        <f t="shared" si="309"/>
        <v>0.16</v>
      </c>
      <c r="CJ109" s="47">
        <f t="shared" si="352"/>
        <v>0</v>
      </c>
      <c r="CK109" s="35">
        <f t="shared" si="310"/>
        <v>3.8400000000000012</v>
      </c>
      <c r="CL109" s="157">
        <f t="shared" si="355"/>
        <v>0</v>
      </c>
      <c r="CM109" s="134"/>
      <c r="CN109" s="14">
        <f t="shared" si="311"/>
        <v>64</v>
      </c>
      <c r="CO109" s="48">
        <f t="shared" si="356"/>
        <v>0</v>
      </c>
      <c r="CP109" s="68">
        <f t="shared" si="353"/>
        <v>0</v>
      </c>
      <c r="CQ109" s="51">
        <f t="shared" si="312"/>
        <v>1065</v>
      </c>
      <c r="CR109" s="181">
        <f t="shared" si="476"/>
        <v>0</v>
      </c>
      <c r="CS109" s="46">
        <f t="shared" si="396"/>
        <v>1065</v>
      </c>
      <c r="CT109" s="51">
        <f t="shared" si="313"/>
        <v>84</v>
      </c>
      <c r="CU109" s="103">
        <f t="shared" si="485"/>
        <v>0</v>
      </c>
      <c r="CV109" s="46">
        <f t="shared" si="344"/>
        <v>84</v>
      </c>
      <c r="CX109" s="120">
        <f t="shared" si="486"/>
        <v>19</v>
      </c>
      <c r="CY109" s="7">
        <f t="shared" si="477"/>
        <v>14</v>
      </c>
      <c r="CZ109" s="133"/>
      <c r="DA109" s="14">
        <f t="shared" ref="DA109:DA138" si="488">IFERROR(DB108+CZ109,0)</f>
        <v>0</v>
      </c>
      <c r="DB109" s="46">
        <f t="shared" si="256"/>
        <v>0</v>
      </c>
      <c r="DC109" s="405"/>
      <c r="DD109" s="406"/>
      <c r="DE109" s="406"/>
      <c r="DF109" s="14">
        <f t="shared" si="371"/>
        <v>0</v>
      </c>
      <c r="DG109" s="14">
        <f t="shared" si="463"/>
        <v>0</v>
      </c>
      <c r="DH109" s="14">
        <f t="shared" si="314"/>
        <v>0.16</v>
      </c>
      <c r="DI109" s="47">
        <f t="shared" si="372"/>
        <v>0</v>
      </c>
      <c r="DJ109" s="35">
        <f t="shared" si="315"/>
        <v>3.8400000000000012</v>
      </c>
      <c r="DK109" s="157">
        <f t="shared" si="364"/>
        <v>0</v>
      </c>
      <c r="DL109" s="134"/>
      <c r="DM109" s="14">
        <f t="shared" si="316"/>
        <v>64</v>
      </c>
      <c r="DN109" s="48">
        <f t="shared" si="393"/>
        <v>0</v>
      </c>
      <c r="DO109" s="68">
        <f t="shared" si="365"/>
        <v>0</v>
      </c>
      <c r="DP109" s="51">
        <f t="shared" si="317"/>
        <v>1065</v>
      </c>
      <c r="DQ109" s="181">
        <f t="shared" si="478"/>
        <v>0</v>
      </c>
      <c r="DR109" s="46">
        <f t="shared" si="397"/>
        <v>1065</v>
      </c>
      <c r="DS109" s="51">
        <f t="shared" si="318"/>
        <v>84</v>
      </c>
      <c r="DT109" s="103">
        <f t="shared" si="487"/>
        <v>0</v>
      </c>
      <c r="DU109" s="46">
        <f t="shared" si="357"/>
        <v>84</v>
      </c>
    </row>
    <row r="110" spans="1:125" ht="17.25" thickBot="1" x14ac:dyDescent="0.3">
      <c r="B110" s="120">
        <f t="shared" si="479"/>
        <v>7</v>
      </c>
      <c r="C110" s="574">
        <f t="shared" si="464"/>
        <v>14</v>
      </c>
      <c r="D110" s="136"/>
      <c r="E110" s="436">
        <f t="shared" si="321"/>
        <v>0</v>
      </c>
      <c r="F110" s="451">
        <f t="shared" si="292"/>
        <v>0</v>
      </c>
      <c r="G110" s="137"/>
      <c r="H110" s="138"/>
      <c r="I110" s="138"/>
      <c r="J110" s="34">
        <f t="shared" si="366"/>
        <v>0</v>
      </c>
      <c r="K110" s="34">
        <f t="shared" si="322"/>
        <v>0</v>
      </c>
      <c r="L110" s="34">
        <f t="shared" si="293"/>
        <v>0.16</v>
      </c>
      <c r="M110" s="96">
        <f t="shared" si="349"/>
        <v>0</v>
      </c>
      <c r="N110" s="40">
        <f t="shared" si="294"/>
        <v>3.8400000000000012</v>
      </c>
      <c r="O110" s="132">
        <f t="shared" si="323"/>
        <v>0</v>
      </c>
      <c r="P110" s="139"/>
      <c r="Q110" s="32">
        <f t="shared" si="295"/>
        <v>64</v>
      </c>
      <c r="R110" s="592">
        <f t="shared" si="296"/>
        <v>0</v>
      </c>
      <c r="S110" s="471">
        <f t="shared" si="324"/>
        <v>0</v>
      </c>
      <c r="T110" s="56">
        <f t="shared" si="297"/>
        <v>1065</v>
      </c>
      <c r="U110" s="591">
        <f t="shared" si="465"/>
        <v>0</v>
      </c>
      <c r="V110" s="63">
        <f t="shared" si="326"/>
        <v>1065</v>
      </c>
      <c r="W110" s="56">
        <f t="shared" si="298"/>
        <v>84</v>
      </c>
      <c r="X110" s="591">
        <f t="shared" si="466"/>
        <v>0</v>
      </c>
      <c r="Y110" s="63">
        <f t="shared" si="328"/>
        <v>84</v>
      </c>
      <c r="Z110" s="487"/>
      <c r="AA110" s="120">
        <f t="shared" si="480"/>
        <v>7</v>
      </c>
      <c r="AB110" s="8">
        <f t="shared" si="467"/>
        <v>14</v>
      </c>
      <c r="AC110" s="136"/>
      <c r="AD110" s="54">
        <f t="shared" si="462"/>
        <v>0</v>
      </c>
      <c r="AE110" s="448">
        <f t="shared" si="254"/>
        <v>0</v>
      </c>
      <c r="AF110" s="137"/>
      <c r="AG110" s="138"/>
      <c r="AH110" s="138"/>
      <c r="AI110" s="34">
        <f t="shared" si="468"/>
        <v>0</v>
      </c>
      <c r="AJ110" s="34">
        <f t="shared" si="481"/>
        <v>0</v>
      </c>
      <c r="AK110" s="17">
        <f t="shared" si="299"/>
        <v>0.16</v>
      </c>
      <c r="AL110" s="96">
        <f t="shared" si="331"/>
        <v>0</v>
      </c>
      <c r="AM110" s="33">
        <f t="shared" si="300"/>
        <v>3.8400000000000012</v>
      </c>
      <c r="AN110" s="157">
        <f t="shared" si="358"/>
        <v>0</v>
      </c>
      <c r="AO110" s="137"/>
      <c r="AP110" s="13">
        <f t="shared" si="301"/>
        <v>64</v>
      </c>
      <c r="AQ110" s="479">
        <f t="shared" si="332"/>
        <v>0</v>
      </c>
      <c r="AR110" s="471">
        <f t="shared" si="420"/>
        <v>0</v>
      </c>
      <c r="AS110" s="50">
        <f t="shared" si="302"/>
        <v>1065</v>
      </c>
      <c r="AT110" s="181">
        <f t="shared" si="469"/>
        <v>0</v>
      </c>
      <c r="AU110" s="63">
        <f t="shared" si="394"/>
        <v>1065</v>
      </c>
      <c r="AV110" s="56">
        <f t="shared" si="303"/>
        <v>84</v>
      </c>
      <c r="AW110" s="181">
        <f t="shared" si="470"/>
        <v>0</v>
      </c>
      <c r="AX110" s="63">
        <f t="shared" si="359"/>
        <v>84</v>
      </c>
      <c r="AZ110" s="119">
        <f t="shared" si="482"/>
        <v>7</v>
      </c>
      <c r="BA110" s="95">
        <f t="shared" si="471"/>
        <v>14</v>
      </c>
      <c r="BB110" s="203"/>
      <c r="BC110" s="67">
        <f t="shared" si="337"/>
        <v>0</v>
      </c>
      <c r="BD110" s="447">
        <f t="shared" si="255"/>
        <v>0</v>
      </c>
      <c r="BE110" s="204"/>
      <c r="BF110" s="205"/>
      <c r="BG110" s="205"/>
      <c r="BH110" s="31">
        <f t="shared" si="472"/>
        <v>0</v>
      </c>
      <c r="BI110" s="31">
        <f t="shared" si="483"/>
        <v>0</v>
      </c>
      <c r="BJ110" s="31">
        <f t="shared" si="304"/>
        <v>0.16</v>
      </c>
      <c r="BK110" s="230">
        <f t="shared" si="350"/>
        <v>0</v>
      </c>
      <c r="BL110" s="37">
        <f t="shared" si="305"/>
        <v>3.8400000000000012</v>
      </c>
      <c r="BM110" s="132">
        <f t="shared" si="428"/>
        <v>0</v>
      </c>
      <c r="BN110" s="204"/>
      <c r="BO110" s="13">
        <f t="shared" si="306"/>
        <v>64</v>
      </c>
      <c r="BP110" s="482">
        <f t="shared" si="351"/>
        <v>0</v>
      </c>
      <c r="BQ110" s="752">
        <f t="shared" si="354"/>
        <v>0</v>
      </c>
      <c r="BR110" s="50">
        <f t="shared" si="307"/>
        <v>1065</v>
      </c>
      <c r="BS110" s="604">
        <f t="shared" si="473"/>
        <v>0</v>
      </c>
      <c r="BT110" s="62">
        <f t="shared" si="395"/>
        <v>1065</v>
      </c>
      <c r="BU110" s="50">
        <f t="shared" si="308"/>
        <v>84</v>
      </c>
      <c r="BV110" s="604">
        <f t="shared" si="474"/>
        <v>0</v>
      </c>
      <c r="BW110" s="62">
        <f t="shared" si="360"/>
        <v>84</v>
      </c>
      <c r="BY110" s="197">
        <f>BY109+1</f>
        <v>20</v>
      </c>
      <c r="BZ110" s="8">
        <f t="shared" si="475"/>
        <v>14</v>
      </c>
      <c r="CA110" s="136"/>
      <c r="CB110" s="32">
        <f t="shared" si="361"/>
        <v>0</v>
      </c>
      <c r="CC110" s="63">
        <f t="shared" si="369"/>
        <v>0</v>
      </c>
      <c r="CD110" s="421"/>
      <c r="CE110" s="426"/>
      <c r="CF110" s="426"/>
      <c r="CG110" s="34">
        <f t="shared" si="370"/>
        <v>0</v>
      </c>
      <c r="CH110" s="34">
        <f t="shared" si="362"/>
        <v>0</v>
      </c>
      <c r="CI110" s="32">
        <f t="shared" si="309"/>
        <v>0.16</v>
      </c>
      <c r="CJ110" s="96">
        <f t="shared" si="352"/>
        <v>0</v>
      </c>
      <c r="CK110" s="36">
        <f t="shared" si="310"/>
        <v>3.8400000000000012</v>
      </c>
      <c r="CL110" s="156">
        <f t="shared" si="355"/>
        <v>0</v>
      </c>
      <c r="CM110" s="137"/>
      <c r="CN110" s="13">
        <f t="shared" si="311"/>
        <v>64</v>
      </c>
      <c r="CO110" s="54">
        <f>IFERROR(CM110/CB110,0)</f>
        <v>0</v>
      </c>
      <c r="CP110" s="70">
        <f t="shared" si="353"/>
        <v>0</v>
      </c>
      <c r="CQ110" s="56">
        <f t="shared" si="312"/>
        <v>1065</v>
      </c>
      <c r="CR110" s="181">
        <f t="shared" si="476"/>
        <v>0</v>
      </c>
      <c r="CS110" s="63">
        <f t="shared" si="396"/>
        <v>1065</v>
      </c>
      <c r="CT110" s="12">
        <f t="shared" si="313"/>
        <v>84</v>
      </c>
      <c r="CU110" s="103">
        <f t="shared" si="485"/>
        <v>0</v>
      </c>
      <c r="CV110" s="63">
        <f t="shared" si="344"/>
        <v>84</v>
      </c>
      <c r="CX110" s="197">
        <f>CX109+1</f>
        <v>20</v>
      </c>
      <c r="CY110" s="8">
        <f t="shared" si="477"/>
        <v>14</v>
      </c>
      <c r="CZ110" s="136"/>
      <c r="DA110" s="32">
        <f t="shared" si="488"/>
        <v>0</v>
      </c>
      <c r="DB110" s="63">
        <f t="shared" si="256"/>
        <v>0</v>
      </c>
      <c r="DC110" s="421"/>
      <c r="DD110" s="426"/>
      <c r="DE110" s="426"/>
      <c r="DF110" s="34">
        <f t="shared" si="371"/>
        <v>0</v>
      </c>
      <c r="DG110" s="34">
        <f t="shared" si="463"/>
        <v>0</v>
      </c>
      <c r="DH110" s="32">
        <f t="shared" si="314"/>
        <v>0.16</v>
      </c>
      <c r="DI110" s="96">
        <f t="shared" si="372"/>
        <v>0</v>
      </c>
      <c r="DJ110" s="36">
        <f t="shared" si="315"/>
        <v>3.8400000000000012</v>
      </c>
      <c r="DK110" s="156">
        <f t="shared" si="364"/>
        <v>0</v>
      </c>
      <c r="DL110" s="137"/>
      <c r="DM110" s="13">
        <f t="shared" si="316"/>
        <v>64</v>
      </c>
      <c r="DN110" s="54">
        <f>IFERROR(DL110/DA110,0)</f>
        <v>0</v>
      </c>
      <c r="DO110" s="70">
        <f t="shared" si="365"/>
        <v>0</v>
      </c>
      <c r="DP110" s="56">
        <f t="shared" si="317"/>
        <v>1065</v>
      </c>
      <c r="DQ110" s="181">
        <f t="shared" si="478"/>
        <v>0</v>
      </c>
      <c r="DR110" s="63">
        <f t="shared" si="397"/>
        <v>1065</v>
      </c>
      <c r="DS110" s="12">
        <f t="shared" si="318"/>
        <v>84</v>
      </c>
      <c r="DT110" s="103">
        <f t="shared" si="487"/>
        <v>0</v>
      </c>
      <c r="DU110" s="63">
        <f t="shared" si="357"/>
        <v>84</v>
      </c>
    </row>
    <row r="111" spans="1:125" ht="17.25" thickBot="1" x14ac:dyDescent="0.3">
      <c r="B111" s="118">
        <v>8</v>
      </c>
      <c r="C111" s="575">
        <v>15</v>
      </c>
      <c r="D111" s="129"/>
      <c r="E111" s="400">
        <f t="shared" si="321"/>
        <v>0</v>
      </c>
      <c r="F111" s="561">
        <f t="shared" si="292"/>
        <v>0</v>
      </c>
      <c r="G111" s="130"/>
      <c r="H111" s="131"/>
      <c r="I111" s="131"/>
      <c r="J111" s="11">
        <f t="shared" si="366"/>
        <v>0</v>
      </c>
      <c r="K111" s="11">
        <f t="shared" si="322"/>
        <v>0</v>
      </c>
      <c r="L111" s="16">
        <f t="shared" si="293"/>
        <v>0.16</v>
      </c>
      <c r="M111" s="153">
        <f t="shared" si="349"/>
        <v>0</v>
      </c>
      <c r="N111" s="154">
        <f t="shared" si="294"/>
        <v>4.0000000000000009</v>
      </c>
      <c r="O111" s="132">
        <f t="shared" si="323"/>
        <v>0</v>
      </c>
      <c r="P111" s="158"/>
      <c r="Q111" s="11">
        <f t="shared" si="295"/>
        <v>67</v>
      </c>
      <c r="R111" s="441">
        <f t="shared" si="296"/>
        <v>0</v>
      </c>
      <c r="S111" s="469">
        <f t="shared" si="324"/>
        <v>0</v>
      </c>
      <c r="T111" s="58">
        <f t="shared" si="297"/>
        <v>1115</v>
      </c>
      <c r="U111" s="131"/>
      <c r="V111" s="41">
        <f t="shared" si="326"/>
        <v>1115</v>
      </c>
      <c r="W111" s="18">
        <f t="shared" si="298"/>
        <v>86</v>
      </c>
      <c r="X111" s="131"/>
      <c r="Y111" s="41">
        <f t="shared" si="328"/>
        <v>86</v>
      </c>
      <c r="Z111" s="487"/>
      <c r="AA111" s="118">
        <v>8</v>
      </c>
      <c r="AB111" s="9">
        <v>15</v>
      </c>
      <c r="AC111" s="129"/>
      <c r="AD111" s="43">
        <f t="shared" si="462"/>
        <v>0</v>
      </c>
      <c r="AE111" s="449">
        <f t="shared" si="254"/>
        <v>0</v>
      </c>
      <c r="AF111" s="130"/>
      <c r="AG111" s="131"/>
      <c r="AH111" s="131"/>
      <c r="AI111" s="11">
        <f t="shared" si="468"/>
        <v>0</v>
      </c>
      <c r="AJ111" s="11">
        <f t="shared" si="481"/>
        <v>0</v>
      </c>
      <c r="AK111" s="16">
        <f t="shared" si="299"/>
        <v>0.16</v>
      </c>
      <c r="AL111" s="153">
        <f t="shared" si="331"/>
        <v>0</v>
      </c>
      <c r="AM111" s="154">
        <f t="shared" si="300"/>
        <v>4.0000000000000009</v>
      </c>
      <c r="AN111" s="157">
        <f t="shared" si="358"/>
        <v>0</v>
      </c>
      <c r="AO111" s="130"/>
      <c r="AP111" s="11">
        <f t="shared" si="301"/>
        <v>67</v>
      </c>
      <c r="AQ111" s="441">
        <f t="shared" si="332"/>
        <v>0</v>
      </c>
      <c r="AR111" s="469">
        <f t="shared" si="420"/>
        <v>0</v>
      </c>
      <c r="AS111" s="58">
        <f t="shared" si="302"/>
        <v>1115</v>
      </c>
      <c r="AT111" s="131"/>
      <c r="AU111" s="41">
        <f t="shared" si="394"/>
        <v>1115</v>
      </c>
      <c r="AV111" s="18">
        <f t="shared" si="303"/>
        <v>86</v>
      </c>
      <c r="AW111" s="131"/>
      <c r="AX111" s="41">
        <f t="shared" si="359"/>
        <v>86</v>
      </c>
      <c r="AZ111" s="118">
        <v>8</v>
      </c>
      <c r="BA111" s="9">
        <v>15</v>
      </c>
      <c r="BB111" s="129"/>
      <c r="BC111" s="43">
        <f t="shared" si="337"/>
        <v>0</v>
      </c>
      <c r="BD111" s="449">
        <f t="shared" si="255"/>
        <v>0</v>
      </c>
      <c r="BE111" s="130"/>
      <c r="BF111" s="131"/>
      <c r="BG111" s="131"/>
      <c r="BH111" s="11">
        <f t="shared" si="472"/>
        <v>0</v>
      </c>
      <c r="BI111" s="11">
        <f t="shared" si="483"/>
        <v>0</v>
      </c>
      <c r="BJ111" s="16">
        <f t="shared" si="304"/>
        <v>0.16</v>
      </c>
      <c r="BK111" s="42">
        <f t="shared" si="350"/>
        <v>0</v>
      </c>
      <c r="BL111" s="154">
        <f t="shared" si="305"/>
        <v>4.0000000000000009</v>
      </c>
      <c r="BM111" s="132">
        <f t="shared" si="428"/>
        <v>0</v>
      </c>
      <c r="BN111" s="130"/>
      <c r="BO111" s="11">
        <f t="shared" si="306"/>
        <v>67</v>
      </c>
      <c r="BP111" s="441">
        <f t="shared" si="351"/>
        <v>0</v>
      </c>
      <c r="BQ111" s="746">
        <f t="shared" si="354"/>
        <v>0</v>
      </c>
      <c r="BR111" s="58">
        <f t="shared" si="307"/>
        <v>1115</v>
      </c>
      <c r="BS111" s="131"/>
      <c r="BT111" s="41">
        <f t="shared" si="395"/>
        <v>1115</v>
      </c>
      <c r="BU111" s="18">
        <f t="shared" si="308"/>
        <v>86</v>
      </c>
      <c r="BV111" s="131"/>
      <c r="BW111" s="41">
        <f t="shared" si="360"/>
        <v>86</v>
      </c>
      <c r="BY111" s="118">
        <v>21</v>
      </c>
      <c r="BZ111" s="9">
        <v>15</v>
      </c>
      <c r="CA111" s="129"/>
      <c r="CB111" s="11">
        <f t="shared" si="361"/>
        <v>0</v>
      </c>
      <c r="CC111" s="57">
        <f t="shared" si="369"/>
        <v>0</v>
      </c>
      <c r="CD111" s="398"/>
      <c r="CE111" s="399"/>
      <c r="CF111" s="399"/>
      <c r="CG111" s="11">
        <f t="shared" si="370"/>
        <v>0</v>
      </c>
      <c r="CH111" s="11">
        <f t="shared" si="362"/>
        <v>0</v>
      </c>
      <c r="CI111" s="31">
        <f t="shared" si="309"/>
        <v>0.16</v>
      </c>
      <c r="CJ111" s="231">
        <f t="shared" si="352"/>
        <v>0</v>
      </c>
      <c r="CK111" s="37">
        <f t="shared" si="310"/>
        <v>4.0000000000000009</v>
      </c>
      <c r="CL111" s="155">
        <f t="shared" si="355"/>
        <v>0</v>
      </c>
      <c r="CM111" s="130"/>
      <c r="CN111" s="11">
        <f t="shared" si="311"/>
        <v>67</v>
      </c>
      <c r="CO111" s="60">
        <f t="shared" si="356"/>
        <v>0</v>
      </c>
      <c r="CP111" s="377">
        <f t="shared" si="353"/>
        <v>0</v>
      </c>
      <c r="CQ111" s="61">
        <f t="shared" si="312"/>
        <v>1115</v>
      </c>
      <c r="CR111" s="131"/>
      <c r="CS111" s="41">
        <f t="shared" si="396"/>
        <v>1115</v>
      </c>
      <c r="CT111" s="58">
        <f t="shared" si="313"/>
        <v>86</v>
      </c>
      <c r="CU111" s="131"/>
      <c r="CV111" s="41">
        <f t="shared" si="344"/>
        <v>86</v>
      </c>
      <c r="CX111" s="118">
        <v>21</v>
      </c>
      <c r="CY111" s="9">
        <v>15</v>
      </c>
      <c r="CZ111" s="129"/>
      <c r="DA111" s="11">
        <f t="shared" si="488"/>
        <v>0</v>
      </c>
      <c r="DB111" s="57">
        <f t="shared" si="256"/>
        <v>0</v>
      </c>
      <c r="DC111" s="398"/>
      <c r="DD111" s="399"/>
      <c r="DE111" s="399"/>
      <c r="DF111" s="11">
        <f t="shared" si="371"/>
        <v>0</v>
      </c>
      <c r="DG111" s="11">
        <f t="shared" si="463"/>
        <v>0</v>
      </c>
      <c r="DH111" s="31">
        <f t="shared" si="314"/>
        <v>0.16</v>
      </c>
      <c r="DI111" s="231">
        <f t="shared" si="372"/>
        <v>0</v>
      </c>
      <c r="DJ111" s="37">
        <f t="shared" si="315"/>
        <v>4.0000000000000009</v>
      </c>
      <c r="DK111" s="155">
        <f t="shared" si="364"/>
        <v>0</v>
      </c>
      <c r="DL111" s="130"/>
      <c r="DM111" s="11">
        <f t="shared" si="316"/>
        <v>67</v>
      </c>
      <c r="DN111" s="60">
        <f t="shared" ref="DN111:DN137" si="489">IFERROR(DL111/DA111,0)</f>
        <v>0</v>
      </c>
      <c r="DO111" s="377">
        <f t="shared" si="365"/>
        <v>0</v>
      </c>
      <c r="DP111" s="61">
        <f t="shared" si="317"/>
        <v>1115</v>
      </c>
      <c r="DQ111" s="131"/>
      <c r="DR111" s="41">
        <f t="shared" si="397"/>
        <v>1115</v>
      </c>
      <c r="DS111" s="58">
        <f t="shared" si="318"/>
        <v>86</v>
      </c>
      <c r="DT111" s="131"/>
      <c r="DU111" s="41">
        <f t="shared" si="357"/>
        <v>86</v>
      </c>
    </row>
    <row r="112" spans="1:125" ht="17.25" thickBot="1" x14ac:dyDescent="0.3">
      <c r="B112" s="120">
        <f>B111+1</f>
        <v>9</v>
      </c>
      <c r="C112" s="570">
        <f>C111</f>
        <v>15</v>
      </c>
      <c r="D112" s="133"/>
      <c r="E112" s="408">
        <f t="shared" si="321"/>
        <v>0</v>
      </c>
      <c r="F112" s="562">
        <f t="shared" si="292"/>
        <v>0</v>
      </c>
      <c r="G112" s="134"/>
      <c r="H112" s="135"/>
      <c r="I112" s="135"/>
      <c r="J112" s="14">
        <f t="shared" si="366"/>
        <v>0</v>
      </c>
      <c r="K112" s="14">
        <f t="shared" si="322"/>
        <v>0</v>
      </c>
      <c r="L112" s="14">
        <f t="shared" si="293"/>
        <v>0.16</v>
      </c>
      <c r="M112" s="230">
        <f t="shared" si="349"/>
        <v>0</v>
      </c>
      <c r="N112" s="35">
        <f t="shared" si="294"/>
        <v>4.0000000000000009</v>
      </c>
      <c r="O112" s="132">
        <f t="shared" si="323"/>
        <v>0</v>
      </c>
      <c r="P112" s="142"/>
      <c r="Q112" s="14">
        <f t="shared" si="295"/>
        <v>67</v>
      </c>
      <c r="R112" s="442">
        <f t="shared" si="296"/>
        <v>0</v>
      </c>
      <c r="S112" s="470">
        <f t="shared" si="324"/>
        <v>0</v>
      </c>
      <c r="T112" s="51">
        <f t="shared" si="297"/>
        <v>1115</v>
      </c>
      <c r="U112" s="103">
        <f>U111</f>
        <v>0</v>
      </c>
      <c r="V112" s="46">
        <f t="shared" si="326"/>
        <v>1115</v>
      </c>
      <c r="W112" s="51">
        <f t="shared" si="298"/>
        <v>86</v>
      </c>
      <c r="X112" s="103">
        <f>X111</f>
        <v>0</v>
      </c>
      <c r="Y112" s="46">
        <f t="shared" si="328"/>
        <v>86</v>
      </c>
      <c r="Z112" s="487"/>
      <c r="AA112" s="120">
        <f>AA111+1</f>
        <v>9</v>
      </c>
      <c r="AB112" s="7">
        <f>AB111</f>
        <v>15</v>
      </c>
      <c r="AC112" s="133"/>
      <c r="AD112" s="48">
        <f t="shared" si="462"/>
        <v>0</v>
      </c>
      <c r="AE112" s="196">
        <f t="shared" si="254"/>
        <v>0</v>
      </c>
      <c r="AF112" s="134"/>
      <c r="AG112" s="135"/>
      <c r="AH112" s="135"/>
      <c r="AI112" s="14">
        <f t="shared" si="468"/>
        <v>0</v>
      </c>
      <c r="AJ112" s="14">
        <f t="shared" si="481"/>
        <v>0</v>
      </c>
      <c r="AK112" s="14">
        <f t="shared" si="299"/>
        <v>0.16</v>
      </c>
      <c r="AL112" s="230">
        <f t="shared" si="331"/>
        <v>0</v>
      </c>
      <c r="AM112" s="35">
        <f t="shared" si="300"/>
        <v>4.0000000000000009</v>
      </c>
      <c r="AN112" s="157">
        <f t="shared" si="358"/>
        <v>0</v>
      </c>
      <c r="AO112" s="134"/>
      <c r="AP112" s="14">
        <f t="shared" si="301"/>
        <v>67</v>
      </c>
      <c r="AQ112" s="442">
        <f t="shared" si="332"/>
        <v>0</v>
      </c>
      <c r="AR112" s="470">
        <f t="shared" si="420"/>
        <v>0</v>
      </c>
      <c r="AS112" s="51">
        <f t="shared" si="302"/>
        <v>1115</v>
      </c>
      <c r="AT112" s="103">
        <f>AT111</f>
        <v>0</v>
      </c>
      <c r="AU112" s="46">
        <f t="shared" si="394"/>
        <v>1115</v>
      </c>
      <c r="AV112" s="51">
        <f t="shared" si="303"/>
        <v>86</v>
      </c>
      <c r="AW112" s="103">
        <f>AW111</f>
        <v>0</v>
      </c>
      <c r="AX112" s="46">
        <f t="shared" si="359"/>
        <v>86</v>
      </c>
      <c r="AZ112" s="120">
        <f>AZ111+1</f>
        <v>9</v>
      </c>
      <c r="BA112" s="7">
        <f>BA111</f>
        <v>15</v>
      </c>
      <c r="BB112" s="133"/>
      <c r="BC112" s="48">
        <f t="shared" si="337"/>
        <v>0</v>
      </c>
      <c r="BD112" s="196">
        <f t="shared" si="255"/>
        <v>0</v>
      </c>
      <c r="BE112" s="134"/>
      <c r="BF112" s="135"/>
      <c r="BG112" s="135"/>
      <c r="BH112" s="14">
        <f t="shared" si="472"/>
        <v>0</v>
      </c>
      <c r="BI112" s="14">
        <f t="shared" si="483"/>
        <v>0</v>
      </c>
      <c r="BJ112" s="14">
        <f t="shared" si="304"/>
        <v>0.16</v>
      </c>
      <c r="BK112" s="47">
        <f t="shared" si="350"/>
        <v>0</v>
      </c>
      <c r="BL112" s="35">
        <f t="shared" si="305"/>
        <v>4.0000000000000009</v>
      </c>
      <c r="BM112" s="132">
        <f t="shared" si="428"/>
        <v>0</v>
      </c>
      <c r="BN112" s="134"/>
      <c r="BO112" s="14">
        <f t="shared" si="306"/>
        <v>67</v>
      </c>
      <c r="BP112" s="442">
        <f t="shared" si="351"/>
        <v>0</v>
      </c>
      <c r="BQ112" s="747">
        <f t="shared" si="354"/>
        <v>0</v>
      </c>
      <c r="BR112" s="51">
        <f t="shared" si="307"/>
        <v>1115</v>
      </c>
      <c r="BS112" s="103">
        <f>BS111</f>
        <v>0</v>
      </c>
      <c r="BT112" s="46">
        <f t="shared" si="395"/>
        <v>1115</v>
      </c>
      <c r="BU112" s="51">
        <f t="shared" si="308"/>
        <v>86</v>
      </c>
      <c r="BV112" s="103">
        <f>BV111</f>
        <v>0</v>
      </c>
      <c r="BW112" s="46">
        <f t="shared" si="360"/>
        <v>86</v>
      </c>
      <c r="BY112" s="120">
        <f>BY111+1</f>
        <v>22</v>
      </c>
      <c r="BZ112" s="7">
        <f>BZ111</f>
        <v>15</v>
      </c>
      <c r="CA112" s="133"/>
      <c r="CB112" s="14">
        <f t="shared" si="361"/>
        <v>0</v>
      </c>
      <c r="CC112" s="59">
        <f t="shared" si="369"/>
        <v>0</v>
      </c>
      <c r="CD112" s="405"/>
      <c r="CE112" s="406"/>
      <c r="CF112" s="406"/>
      <c r="CG112" s="14">
        <f t="shared" si="370"/>
        <v>0</v>
      </c>
      <c r="CH112" s="14">
        <f t="shared" si="362"/>
        <v>0</v>
      </c>
      <c r="CI112" s="14">
        <f t="shared" si="309"/>
        <v>0.16</v>
      </c>
      <c r="CJ112" s="47">
        <f t="shared" si="352"/>
        <v>0</v>
      </c>
      <c r="CK112" s="35">
        <f t="shared" si="310"/>
        <v>4.0000000000000009</v>
      </c>
      <c r="CL112" s="157">
        <f t="shared" si="355"/>
        <v>0</v>
      </c>
      <c r="CM112" s="134"/>
      <c r="CN112" s="14">
        <f t="shared" si="311"/>
        <v>67</v>
      </c>
      <c r="CO112" s="48">
        <f t="shared" si="356"/>
        <v>0</v>
      </c>
      <c r="CP112" s="68">
        <f t="shared" si="353"/>
        <v>0</v>
      </c>
      <c r="CQ112" s="51">
        <f t="shared" si="312"/>
        <v>1115</v>
      </c>
      <c r="CR112" s="103">
        <f>CR111</f>
        <v>0</v>
      </c>
      <c r="CS112" s="46">
        <f t="shared" si="396"/>
        <v>1115</v>
      </c>
      <c r="CT112" s="12">
        <f t="shared" si="313"/>
        <v>86</v>
      </c>
      <c r="CU112" s="103">
        <f>CU111</f>
        <v>0</v>
      </c>
      <c r="CV112" s="46">
        <f t="shared" si="344"/>
        <v>86</v>
      </c>
      <c r="CX112" s="120">
        <f>CX111+1</f>
        <v>22</v>
      </c>
      <c r="CY112" s="7">
        <f>CY111</f>
        <v>15</v>
      </c>
      <c r="CZ112" s="133"/>
      <c r="DA112" s="14">
        <f t="shared" si="488"/>
        <v>0</v>
      </c>
      <c r="DB112" s="59">
        <f t="shared" si="256"/>
        <v>0</v>
      </c>
      <c r="DC112" s="405"/>
      <c r="DD112" s="406"/>
      <c r="DE112" s="406"/>
      <c r="DF112" s="14">
        <f t="shared" si="371"/>
        <v>0</v>
      </c>
      <c r="DG112" s="14">
        <f t="shared" si="463"/>
        <v>0</v>
      </c>
      <c r="DH112" s="14">
        <f t="shared" si="314"/>
        <v>0.16</v>
      </c>
      <c r="DI112" s="47">
        <f t="shared" si="372"/>
        <v>0</v>
      </c>
      <c r="DJ112" s="35">
        <f t="shared" si="315"/>
        <v>4.0000000000000009</v>
      </c>
      <c r="DK112" s="157">
        <f t="shared" si="364"/>
        <v>0</v>
      </c>
      <c r="DL112" s="134"/>
      <c r="DM112" s="14">
        <f t="shared" si="316"/>
        <v>67</v>
      </c>
      <c r="DN112" s="48">
        <f t="shared" si="489"/>
        <v>0</v>
      </c>
      <c r="DO112" s="68">
        <f t="shared" si="365"/>
        <v>0</v>
      </c>
      <c r="DP112" s="51">
        <f t="shared" si="317"/>
        <v>1115</v>
      </c>
      <c r="DQ112" s="103">
        <f>DQ111</f>
        <v>0</v>
      </c>
      <c r="DR112" s="46">
        <f t="shared" si="397"/>
        <v>1115</v>
      </c>
      <c r="DS112" s="12">
        <f t="shared" si="318"/>
        <v>86</v>
      </c>
      <c r="DT112" s="103">
        <f>DT111</f>
        <v>0</v>
      </c>
      <c r="DU112" s="46">
        <f t="shared" si="357"/>
        <v>86</v>
      </c>
    </row>
    <row r="113" spans="1:125" ht="17.25" thickBot="1" x14ac:dyDescent="0.3">
      <c r="B113" s="120">
        <f t="shared" ref="B113:B117" si="490">B112+1</f>
        <v>10</v>
      </c>
      <c r="C113" s="570">
        <f t="shared" ref="C113:C117" si="491">C112</f>
        <v>15</v>
      </c>
      <c r="D113" s="133"/>
      <c r="E113" s="408">
        <f t="shared" si="321"/>
        <v>0</v>
      </c>
      <c r="F113" s="562">
        <f t="shared" si="292"/>
        <v>0</v>
      </c>
      <c r="G113" s="134"/>
      <c r="H113" s="135"/>
      <c r="I113" s="135"/>
      <c r="J113" s="14">
        <f t="shared" si="366"/>
        <v>0</v>
      </c>
      <c r="K113" s="14">
        <f t="shared" si="322"/>
        <v>0</v>
      </c>
      <c r="L113" s="14">
        <f t="shared" si="293"/>
        <v>0.16</v>
      </c>
      <c r="M113" s="230">
        <f t="shared" si="349"/>
        <v>0</v>
      </c>
      <c r="N113" s="35">
        <f t="shared" si="294"/>
        <v>4.0000000000000009</v>
      </c>
      <c r="O113" s="132">
        <f t="shared" si="323"/>
        <v>0</v>
      </c>
      <c r="P113" s="142"/>
      <c r="Q113" s="14">
        <f t="shared" si="295"/>
        <v>67</v>
      </c>
      <c r="R113" s="480">
        <f t="shared" si="296"/>
        <v>0</v>
      </c>
      <c r="S113" s="470">
        <f t="shared" si="324"/>
        <v>0</v>
      </c>
      <c r="T113" s="51">
        <f t="shared" si="297"/>
        <v>1115</v>
      </c>
      <c r="U113" s="103">
        <f t="shared" ref="U113:U117" si="492">U112</f>
        <v>0</v>
      </c>
      <c r="V113" s="46">
        <f t="shared" si="326"/>
        <v>1115</v>
      </c>
      <c r="W113" s="51">
        <f t="shared" si="298"/>
        <v>86</v>
      </c>
      <c r="X113" s="103">
        <f t="shared" ref="X113:X117" si="493">X112</f>
        <v>0</v>
      </c>
      <c r="Y113" s="46">
        <f t="shared" si="328"/>
        <v>86</v>
      </c>
      <c r="Z113" s="487"/>
      <c r="AA113" s="120">
        <f t="shared" ref="AA113:AA117" si="494">AA112+1</f>
        <v>10</v>
      </c>
      <c r="AB113" s="7">
        <f t="shared" ref="AB113:AB117" si="495">AB112</f>
        <v>15</v>
      </c>
      <c r="AC113" s="133"/>
      <c r="AD113" s="48">
        <f t="shared" si="462"/>
        <v>0</v>
      </c>
      <c r="AE113" s="196">
        <f t="shared" si="254"/>
        <v>0</v>
      </c>
      <c r="AF113" s="134"/>
      <c r="AG113" s="135"/>
      <c r="AH113" s="135"/>
      <c r="AI113" s="14">
        <f t="shared" si="468"/>
        <v>0</v>
      </c>
      <c r="AJ113" s="14">
        <f t="shared" si="481"/>
        <v>0</v>
      </c>
      <c r="AK113" s="14">
        <f t="shared" si="299"/>
        <v>0.16</v>
      </c>
      <c r="AL113" s="230">
        <f t="shared" si="331"/>
        <v>0</v>
      </c>
      <c r="AM113" s="35">
        <f t="shared" si="300"/>
        <v>4.0000000000000009</v>
      </c>
      <c r="AN113" s="157">
        <f t="shared" si="358"/>
        <v>0</v>
      </c>
      <c r="AO113" s="134"/>
      <c r="AP113" s="14">
        <f t="shared" si="301"/>
        <v>67</v>
      </c>
      <c r="AQ113" s="480">
        <f t="shared" si="332"/>
        <v>0</v>
      </c>
      <c r="AR113" s="470">
        <f t="shared" si="420"/>
        <v>0</v>
      </c>
      <c r="AS113" s="51">
        <f t="shared" si="302"/>
        <v>1115</v>
      </c>
      <c r="AT113" s="103">
        <f t="shared" ref="AT113:AT117" si="496">AT112</f>
        <v>0</v>
      </c>
      <c r="AU113" s="46">
        <f t="shared" si="394"/>
        <v>1115</v>
      </c>
      <c r="AV113" s="51">
        <f t="shared" si="303"/>
        <v>86</v>
      </c>
      <c r="AW113" s="103">
        <f t="shared" ref="AW113:AW117" si="497">AW112</f>
        <v>0</v>
      </c>
      <c r="AX113" s="46">
        <f t="shared" si="359"/>
        <v>86</v>
      </c>
      <c r="AZ113" s="120">
        <f t="shared" ref="AZ113:AZ117" si="498">AZ112+1</f>
        <v>10</v>
      </c>
      <c r="BA113" s="7">
        <f t="shared" ref="BA113:BA117" si="499">BA112</f>
        <v>15</v>
      </c>
      <c r="BB113" s="133"/>
      <c r="BC113" s="48">
        <f t="shared" si="337"/>
        <v>0</v>
      </c>
      <c r="BD113" s="196">
        <f t="shared" si="255"/>
        <v>0</v>
      </c>
      <c r="BE113" s="134"/>
      <c r="BF113" s="135"/>
      <c r="BG113" s="135"/>
      <c r="BH113" s="14">
        <f t="shared" si="472"/>
        <v>0</v>
      </c>
      <c r="BI113" s="14">
        <f t="shared" si="483"/>
        <v>0</v>
      </c>
      <c r="BJ113" s="14">
        <f t="shared" si="304"/>
        <v>0.16</v>
      </c>
      <c r="BK113" s="47">
        <f t="shared" si="350"/>
        <v>0</v>
      </c>
      <c r="BL113" s="35">
        <f t="shared" si="305"/>
        <v>4.0000000000000009</v>
      </c>
      <c r="BM113" s="132">
        <f t="shared" si="428"/>
        <v>0</v>
      </c>
      <c r="BN113" s="134"/>
      <c r="BO113" s="14">
        <f t="shared" si="306"/>
        <v>67</v>
      </c>
      <c r="BP113" s="442">
        <f t="shared" si="351"/>
        <v>0</v>
      </c>
      <c r="BQ113" s="747">
        <f t="shared" si="354"/>
        <v>0</v>
      </c>
      <c r="BR113" s="51">
        <f t="shared" si="307"/>
        <v>1115</v>
      </c>
      <c r="BS113" s="103">
        <f t="shared" ref="BS113:BS117" si="500">BS112</f>
        <v>0</v>
      </c>
      <c r="BT113" s="46">
        <f t="shared" si="395"/>
        <v>1115</v>
      </c>
      <c r="BU113" s="51">
        <f t="shared" si="308"/>
        <v>86</v>
      </c>
      <c r="BV113" s="103">
        <f t="shared" ref="BV113:BV117" si="501">BV112</f>
        <v>0</v>
      </c>
      <c r="BW113" s="46">
        <f t="shared" si="360"/>
        <v>86</v>
      </c>
      <c r="BY113" s="120">
        <f t="shared" ref="BY113:BY116" si="502">BY112+1</f>
        <v>23</v>
      </c>
      <c r="BZ113" s="7">
        <f t="shared" ref="BZ113:BZ117" si="503">BZ112</f>
        <v>15</v>
      </c>
      <c r="CA113" s="133"/>
      <c r="CB113" s="14">
        <f t="shared" si="361"/>
        <v>0</v>
      </c>
      <c r="CC113" s="59">
        <f t="shared" si="369"/>
        <v>0</v>
      </c>
      <c r="CD113" s="405"/>
      <c r="CE113" s="406"/>
      <c r="CF113" s="406"/>
      <c r="CG113" s="14">
        <f t="shared" si="370"/>
        <v>0</v>
      </c>
      <c r="CH113" s="14">
        <f t="shared" si="362"/>
        <v>0</v>
      </c>
      <c r="CI113" s="14">
        <f t="shared" si="309"/>
        <v>0.16</v>
      </c>
      <c r="CJ113" s="47">
        <f t="shared" si="352"/>
        <v>0</v>
      </c>
      <c r="CK113" s="35">
        <f t="shared" si="310"/>
        <v>4.0000000000000009</v>
      </c>
      <c r="CL113" s="157">
        <f t="shared" si="355"/>
        <v>0</v>
      </c>
      <c r="CM113" s="134"/>
      <c r="CN113" s="14">
        <f t="shared" si="311"/>
        <v>67</v>
      </c>
      <c r="CO113" s="48">
        <f t="shared" si="356"/>
        <v>0</v>
      </c>
      <c r="CP113" s="68">
        <f t="shared" si="353"/>
        <v>0</v>
      </c>
      <c r="CQ113" s="51">
        <f t="shared" si="312"/>
        <v>1115</v>
      </c>
      <c r="CR113" s="103">
        <f t="shared" ref="CR113:CR117" si="504">CR112</f>
        <v>0</v>
      </c>
      <c r="CS113" s="46">
        <f t="shared" si="396"/>
        <v>1115</v>
      </c>
      <c r="CT113" s="51">
        <f t="shared" si="313"/>
        <v>86</v>
      </c>
      <c r="CU113" s="103">
        <f t="shared" ref="CU113:CU117" si="505">CU112</f>
        <v>0</v>
      </c>
      <c r="CV113" s="46">
        <f t="shared" si="344"/>
        <v>86</v>
      </c>
      <c r="CX113" s="120">
        <f t="shared" ref="CX113:CX116" si="506">CX112+1</f>
        <v>23</v>
      </c>
      <c r="CY113" s="7">
        <f t="shared" ref="CY113:CY117" si="507">CY112</f>
        <v>15</v>
      </c>
      <c r="CZ113" s="133"/>
      <c r="DA113" s="14">
        <f t="shared" si="488"/>
        <v>0</v>
      </c>
      <c r="DB113" s="59">
        <f t="shared" si="256"/>
        <v>0</v>
      </c>
      <c r="DC113" s="405"/>
      <c r="DD113" s="406"/>
      <c r="DE113" s="406"/>
      <c r="DF113" s="14">
        <f t="shared" si="371"/>
        <v>0</v>
      </c>
      <c r="DG113" s="14">
        <f t="shared" si="463"/>
        <v>0</v>
      </c>
      <c r="DH113" s="14">
        <f t="shared" si="314"/>
        <v>0.16</v>
      </c>
      <c r="DI113" s="47">
        <f t="shared" si="372"/>
        <v>0</v>
      </c>
      <c r="DJ113" s="35">
        <f t="shared" si="315"/>
        <v>4.0000000000000009</v>
      </c>
      <c r="DK113" s="157">
        <f t="shared" si="364"/>
        <v>0</v>
      </c>
      <c r="DL113" s="134"/>
      <c r="DM113" s="14">
        <f t="shared" si="316"/>
        <v>67</v>
      </c>
      <c r="DN113" s="48">
        <f t="shared" si="489"/>
        <v>0</v>
      </c>
      <c r="DO113" s="68">
        <f t="shared" si="365"/>
        <v>0</v>
      </c>
      <c r="DP113" s="51">
        <f t="shared" si="317"/>
        <v>1115</v>
      </c>
      <c r="DQ113" s="103">
        <f t="shared" ref="DQ113:DQ117" si="508">DQ112</f>
        <v>0</v>
      </c>
      <c r="DR113" s="46">
        <f t="shared" si="397"/>
        <v>1115</v>
      </c>
      <c r="DS113" s="51">
        <f t="shared" si="318"/>
        <v>86</v>
      </c>
      <c r="DT113" s="103">
        <f t="shared" ref="DT113:DT117" si="509">DT112</f>
        <v>0</v>
      </c>
      <c r="DU113" s="46">
        <f t="shared" si="357"/>
        <v>86</v>
      </c>
    </row>
    <row r="114" spans="1:125" ht="17.25" thickBot="1" x14ac:dyDescent="0.3">
      <c r="B114" s="120">
        <f t="shared" si="490"/>
        <v>11</v>
      </c>
      <c r="C114" s="570">
        <f t="shared" si="491"/>
        <v>15</v>
      </c>
      <c r="D114" s="133"/>
      <c r="E114" s="408">
        <f t="shared" si="321"/>
        <v>0</v>
      </c>
      <c r="F114" s="562">
        <f t="shared" si="292"/>
        <v>0</v>
      </c>
      <c r="G114" s="134"/>
      <c r="H114" s="135"/>
      <c r="I114" s="135"/>
      <c r="J114" s="14">
        <f t="shared" si="366"/>
        <v>0</v>
      </c>
      <c r="K114" s="14">
        <f t="shared" si="322"/>
        <v>0</v>
      </c>
      <c r="L114" s="14">
        <f t="shared" si="293"/>
        <v>0.16</v>
      </c>
      <c r="M114" s="47">
        <f t="shared" si="349"/>
        <v>0</v>
      </c>
      <c r="N114" s="35">
        <f t="shared" si="294"/>
        <v>4.0000000000000009</v>
      </c>
      <c r="O114" s="132">
        <f t="shared" si="323"/>
        <v>0</v>
      </c>
      <c r="P114" s="142"/>
      <c r="Q114" s="14">
        <f t="shared" si="295"/>
        <v>67</v>
      </c>
      <c r="R114" s="482">
        <f t="shared" si="296"/>
        <v>0</v>
      </c>
      <c r="S114" s="470">
        <f t="shared" si="324"/>
        <v>0</v>
      </c>
      <c r="T114" s="51">
        <f t="shared" si="297"/>
        <v>1115</v>
      </c>
      <c r="U114" s="103">
        <f t="shared" si="492"/>
        <v>0</v>
      </c>
      <c r="V114" s="46">
        <f t="shared" si="326"/>
        <v>1115</v>
      </c>
      <c r="W114" s="12">
        <f t="shared" si="298"/>
        <v>86</v>
      </c>
      <c r="X114" s="103">
        <f t="shared" si="493"/>
        <v>0</v>
      </c>
      <c r="Y114" s="46">
        <f t="shared" si="328"/>
        <v>86</v>
      </c>
      <c r="Z114" s="487"/>
      <c r="AA114" s="120">
        <f t="shared" si="494"/>
        <v>11</v>
      </c>
      <c r="AB114" s="7">
        <f t="shared" si="495"/>
        <v>15</v>
      </c>
      <c r="AC114" s="133"/>
      <c r="AD114" s="48">
        <f t="shared" si="462"/>
        <v>0</v>
      </c>
      <c r="AE114" s="49">
        <f t="shared" si="254"/>
        <v>0</v>
      </c>
      <c r="AF114" s="134"/>
      <c r="AG114" s="135"/>
      <c r="AH114" s="135"/>
      <c r="AI114" s="14">
        <f t="shared" si="468"/>
        <v>0</v>
      </c>
      <c r="AJ114" s="14">
        <f t="shared" si="481"/>
        <v>0</v>
      </c>
      <c r="AK114" s="14">
        <f t="shared" si="299"/>
        <v>0.16</v>
      </c>
      <c r="AL114" s="47">
        <f t="shared" si="331"/>
        <v>0</v>
      </c>
      <c r="AM114" s="35">
        <f t="shared" si="300"/>
        <v>4.0000000000000009</v>
      </c>
      <c r="AN114" s="157">
        <f t="shared" si="358"/>
        <v>0</v>
      </c>
      <c r="AO114" s="134"/>
      <c r="AP114" s="14">
        <f t="shared" si="301"/>
        <v>67</v>
      </c>
      <c r="AQ114" s="482">
        <f t="shared" si="332"/>
        <v>0</v>
      </c>
      <c r="AR114" s="470">
        <f t="shared" si="420"/>
        <v>0</v>
      </c>
      <c r="AS114" s="51">
        <f t="shared" si="302"/>
        <v>1115</v>
      </c>
      <c r="AT114" s="103">
        <f t="shared" si="496"/>
        <v>0</v>
      </c>
      <c r="AU114" s="46">
        <f t="shared" si="394"/>
        <v>1115</v>
      </c>
      <c r="AV114" s="12">
        <f t="shared" si="303"/>
        <v>86</v>
      </c>
      <c r="AW114" s="103">
        <f t="shared" si="497"/>
        <v>0</v>
      </c>
      <c r="AX114" s="46">
        <f t="shared" si="359"/>
        <v>86</v>
      </c>
      <c r="AZ114" s="120">
        <f t="shared" si="498"/>
        <v>11</v>
      </c>
      <c r="BA114" s="7">
        <f t="shared" si="499"/>
        <v>15</v>
      </c>
      <c r="BB114" s="133"/>
      <c r="BC114" s="48">
        <f t="shared" si="337"/>
        <v>0</v>
      </c>
      <c r="BD114" s="49">
        <f t="shared" si="255"/>
        <v>0</v>
      </c>
      <c r="BE114" s="134"/>
      <c r="BF114" s="135"/>
      <c r="BG114" s="135"/>
      <c r="BH114" s="14">
        <f t="shared" si="472"/>
        <v>0</v>
      </c>
      <c r="BI114" s="14">
        <f t="shared" si="483"/>
        <v>0</v>
      </c>
      <c r="BJ114" s="14">
        <f t="shared" si="304"/>
        <v>0.16</v>
      </c>
      <c r="BK114" s="47">
        <f t="shared" si="350"/>
        <v>0</v>
      </c>
      <c r="BL114" s="35">
        <f t="shared" si="305"/>
        <v>4.0000000000000009</v>
      </c>
      <c r="BM114" s="132">
        <f t="shared" si="428"/>
        <v>0</v>
      </c>
      <c r="BN114" s="134"/>
      <c r="BO114" s="14">
        <f t="shared" si="306"/>
        <v>67</v>
      </c>
      <c r="BP114" s="442">
        <f t="shared" si="351"/>
        <v>0</v>
      </c>
      <c r="BQ114" s="747">
        <f t="shared" si="354"/>
        <v>0</v>
      </c>
      <c r="BR114" s="51">
        <f t="shared" si="307"/>
        <v>1115</v>
      </c>
      <c r="BS114" s="103">
        <f t="shared" si="500"/>
        <v>0</v>
      </c>
      <c r="BT114" s="46">
        <f t="shared" si="395"/>
        <v>1115</v>
      </c>
      <c r="BU114" s="12">
        <f t="shared" si="308"/>
        <v>86</v>
      </c>
      <c r="BV114" s="103">
        <f t="shared" si="501"/>
        <v>0</v>
      </c>
      <c r="BW114" s="46">
        <f t="shared" si="360"/>
        <v>86</v>
      </c>
      <c r="BY114" s="120">
        <f t="shared" si="502"/>
        <v>24</v>
      </c>
      <c r="BZ114" s="7">
        <f t="shared" si="503"/>
        <v>15</v>
      </c>
      <c r="CA114" s="133"/>
      <c r="CB114" s="14">
        <f t="shared" si="361"/>
        <v>0</v>
      </c>
      <c r="CC114" s="46">
        <f t="shared" si="369"/>
        <v>0</v>
      </c>
      <c r="CD114" s="405"/>
      <c r="CE114" s="406"/>
      <c r="CF114" s="406"/>
      <c r="CG114" s="14">
        <f t="shared" si="370"/>
        <v>0</v>
      </c>
      <c r="CH114" s="14">
        <f t="shared" si="362"/>
        <v>0</v>
      </c>
      <c r="CI114" s="14">
        <f t="shared" si="309"/>
        <v>0.16</v>
      </c>
      <c r="CJ114" s="47">
        <f t="shared" si="352"/>
        <v>0</v>
      </c>
      <c r="CK114" s="35">
        <f t="shared" si="310"/>
        <v>4.0000000000000009</v>
      </c>
      <c r="CL114" s="157">
        <f t="shared" si="355"/>
        <v>0</v>
      </c>
      <c r="CM114" s="134"/>
      <c r="CN114" s="14">
        <f t="shared" si="311"/>
        <v>67</v>
      </c>
      <c r="CO114" s="48">
        <f t="shared" si="356"/>
        <v>0</v>
      </c>
      <c r="CP114" s="68">
        <f t="shared" si="353"/>
        <v>0</v>
      </c>
      <c r="CQ114" s="51">
        <f t="shared" si="312"/>
        <v>1115</v>
      </c>
      <c r="CR114" s="103">
        <f t="shared" si="504"/>
        <v>0</v>
      </c>
      <c r="CS114" s="46">
        <f t="shared" si="396"/>
        <v>1115</v>
      </c>
      <c r="CT114" s="51">
        <f t="shared" si="313"/>
        <v>86</v>
      </c>
      <c r="CU114" s="103">
        <f t="shared" si="505"/>
        <v>0</v>
      </c>
      <c r="CV114" s="46">
        <f t="shared" si="344"/>
        <v>86</v>
      </c>
      <c r="CX114" s="120">
        <f t="shared" si="506"/>
        <v>24</v>
      </c>
      <c r="CY114" s="7">
        <f t="shared" si="507"/>
        <v>15</v>
      </c>
      <c r="CZ114" s="133"/>
      <c r="DA114" s="14">
        <f t="shared" si="488"/>
        <v>0</v>
      </c>
      <c r="DB114" s="46">
        <f t="shared" si="256"/>
        <v>0</v>
      </c>
      <c r="DC114" s="405"/>
      <c r="DD114" s="406"/>
      <c r="DE114" s="406"/>
      <c r="DF114" s="14">
        <f t="shared" si="371"/>
        <v>0</v>
      </c>
      <c r="DG114" s="14">
        <f t="shared" si="463"/>
        <v>0</v>
      </c>
      <c r="DH114" s="14">
        <f t="shared" si="314"/>
        <v>0.16</v>
      </c>
      <c r="DI114" s="47">
        <f t="shared" si="372"/>
        <v>0</v>
      </c>
      <c r="DJ114" s="35">
        <f t="shared" si="315"/>
        <v>4.0000000000000009</v>
      </c>
      <c r="DK114" s="157">
        <f t="shared" si="364"/>
        <v>0</v>
      </c>
      <c r="DL114" s="134"/>
      <c r="DM114" s="14">
        <f t="shared" si="316"/>
        <v>67</v>
      </c>
      <c r="DN114" s="48">
        <f t="shared" si="489"/>
        <v>0</v>
      </c>
      <c r="DO114" s="68">
        <f t="shared" si="365"/>
        <v>0</v>
      </c>
      <c r="DP114" s="51">
        <f t="shared" si="317"/>
        <v>1115</v>
      </c>
      <c r="DQ114" s="103">
        <f t="shared" si="508"/>
        <v>0</v>
      </c>
      <c r="DR114" s="46">
        <f t="shared" si="397"/>
        <v>1115</v>
      </c>
      <c r="DS114" s="51">
        <f t="shared" si="318"/>
        <v>86</v>
      </c>
      <c r="DT114" s="103">
        <f t="shared" si="509"/>
        <v>0</v>
      </c>
      <c r="DU114" s="46">
        <f t="shared" si="357"/>
        <v>86</v>
      </c>
    </row>
    <row r="115" spans="1:125" ht="17.25" thickBot="1" x14ac:dyDescent="0.3">
      <c r="B115" s="120">
        <f t="shared" si="490"/>
        <v>12</v>
      </c>
      <c r="C115" s="570">
        <f t="shared" si="491"/>
        <v>15</v>
      </c>
      <c r="D115" s="133"/>
      <c r="E115" s="408">
        <f t="shared" si="321"/>
        <v>0</v>
      </c>
      <c r="F115" s="562">
        <f t="shared" si="292"/>
        <v>0</v>
      </c>
      <c r="G115" s="134"/>
      <c r="H115" s="135"/>
      <c r="I115" s="135"/>
      <c r="J115" s="31">
        <f t="shared" si="366"/>
        <v>0</v>
      </c>
      <c r="K115" s="17">
        <f t="shared" si="322"/>
        <v>0</v>
      </c>
      <c r="L115" s="14">
        <f t="shared" si="293"/>
        <v>0.16</v>
      </c>
      <c r="M115" s="231">
        <f t="shared" si="349"/>
        <v>0</v>
      </c>
      <c r="N115" s="35">
        <f t="shared" si="294"/>
        <v>4.0000000000000009</v>
      </c>
      <c r="O115" s="132">
        <f t="shared" si="323"/>
        <v>0</v>
      </c>
      <c r="P115" s="142"/>
      <c r="Q115" s="14">
        <f t="shared" si="295"/>
        <v>67</v>
      </c>
      <c r="R115" s="442">
        <f t="shared" si="296"/>
        <v>0</v>
      </c>
      <c r="S115" s="470">
        <f t="shared" si="324"/>
        <v>0</v>
      </c>
      <c r="T115" s="51">
        <f t="shared" si="297"/>
        <v>1115</v>
      </c>
      <c r="U115" s="103">
        <f t="shared" si="492"/>
        <v>0</v>
      </c>
      <c r="V115" s="46">
        <f t="shared" si="326"/>
        <v>1115</v>
      </c>
      <c r="W115" s="50">
        <f t="shared" si="298"/>
        <v>86</v>
      </c>
      <c r="X115" s="103">
        <f t="shared" si="493"/>
        <v>0</v>
      </c>
      <c r="Y115" s="46">
        <f t="shared" si="328"/>
        <v>86</v>
      </c>
      <c r="Z115" s="487"/>
      <c r="AA115" s="120">
        <f t="shared" si="494"/>
        <v>12</v>
      </c>
      <c r="AB115" s="7">
        <f t="shared" si="495"/>
        <v>15</v>
      </c>
      <c r="AC115" s="133"/>
      <c r="AD115" s="48">
        <f t="shared" si="462"/>
        <v>0</v>
      </c>
      <c r="AE115" s="49">
        <f t="shared" ref="AE115:AE138" si="510">IFERROR(AD115-AI115,0)</f>
        <v>0</v>
      </c>
      <c r="AF115" s="134"/>
      <c r="AG115" s="135"/>
      <c r="AH115" s="135"/>
      <c r="AI115" s="31">
        <f t="shared" si="468"/>
        <v>0</v>
      </c>
      <c r="AJ115" s="17">
        <f t="shared" si="481"/>
        <v>0</v>
      </c>
      <c r="AK115" s="14">
        <f t="shared" si="299"/>
        <v>0.16</v>
      </c>
      <c r="AL115" s="231">
        <f t="shared" si="331"/>
        <v>0</v>
      </c>
      <c r="AM115" s="35">
        <f t="shared" si="300"/>
        <v>4.0000000000000009</v>
      </c>
      <c r="AN115" s="157">
        <f t="shared" si="358"/>
        <v>0</v>
      </c>
      <c r="AO115" s="134"/>
      <c r="AP115" s="14">
        <f t="shared" si="301"/>
        <v>67</v>
      </c>
      <c r="AQ115" s="442">
        <f t="shared" si="332"/>
        <v>0</v>
      </c>
      <c r="AR115" s="470">
        <f t="shared" si="420"/>
        <v>0</v>
      </c>
      <c r="AS115" s="51">
        <f t="shared" si="302"/>
        <v>1115</v>
      </c>
      <c r="AT115" s="103">
        <f t="shared" si="496"/>
        <v>0</v>
      </c>
      <c r="AU115" s="46">
        <f t="shared" si="394"/>
        <v>1115</v>
      </c>
      <c r="AV115" s="50">
        <f t="shared" si="303"/>
        <v>86</v>
      </c>
      <c r="AW115" s="103">
        <f t="shared" si="497"/>
        <v>0</v>
      </c>
      <c r="AX115" s="46">
        <f t="shared" si="359"/>
        <v>86</v>
      </c>
      <c r="AZ115" s="120">
        <f t="shared" si="498"/>
        <v>12</v>
      </c>
      <c r="BA115" s="7">
        <f t="shared" si="499"/>
        <v>15</v>
      </c>
      <c r="BB115" s="133"/>
      <c r="BC115" s="48">
        <f t="shared" si="337"/>
        <v>0</v>
      </c>
      <c r="BD115" s="49">
        <f t="shared" ref="BD115:BD138" si="511">IFERROR(BC115-BH115,0)</f>
        <v>0</v>
      </c>
      <c r="BE115" s="134"/>
      <c r="BF115" s="135"/>
      <c r="BG115" s="135"/>
      <c r="BH115" s="31">
        <f t="shared" si="472"/>
        <v>0</v>
      </c>
      <c r="BI115" s="17">
        <f t="shared" si="483"/>
        <v>0</v>
      </c>
      <c r="BJ115" s="14">
        <f t="shared" si="304"/>
        <v>0.16</v>
      </c>
      <c r="BK115" s="47">
        <f t="shared" si="350"/>
        <v>0</v>
      </c>
      <c r="BL115" s="35">
        <f t="shared" si="305"/>
        <v>4.0000000000000009</v>
      </c>
      <c r="BM115" s="132">
        <f t="shared" si="428"/>
        <v>0</v>
      </c>
      <c r="BN115" s="134"/>
      <c r="BO115" s="14">
        <f t="shared" si="306"/>
        <v>67</v>
      </c>
      <c r="BP115" s="442">
        <f t="shared" si="351"/>
        <v>0</v>
      </c>
      <c r="BQ115" s="747">
        <f t="shared" si="354"/>
        <v>0</v>
      </c>
      <c r="BR115" s="51">
        <f t="shared" si="307"/>
        <v>1115</v>
      </c>
      <c r="BS115" s="103">
        <f t="shared" si="500"/>
        <v>0</v>
      </c>
      <c r="BT115" s="46">
        <f t="shared" si="395"/>
        <v>1115</v>
      </c>
      <c r="BU115" s="50">
        <f t="shared" si="308"/>
        <v>86</v>
      </c>
      <c r="BV115" s="103">
        <f t="shared" si="501"/>
        <v>0</v>
      </c>
      <c r="BW115" s="46">
        <f t="shared" si="360"/>
        <v>86</v>
      </c>
      <c r="BY115" s="120">
        <f t="shared" si="502"/>
        <v>25</v>
      </c>
      <c r="BZ115" s="7">
        <f t="shared" si="503"/>
        <v>15</v>
      </c>
      <c r="CA115" s="133"/>
      <c r="CB115" s="14">
        <f t="shared" si="361"/>
        <v>0</v>
      </c>
      <c r="CC115" s="46">
        <f t="shared" si="369"/>
        <v>0</v>
      </c>
      <c r="CD115" s="405"/>
      <c r="CE115" s="406"/>
      <c r="CF115" s="406"/>
      <c r="CG115" s="31">
        <f t="shared" si="370"/>
        <v>0</v>
      </c>
      <c r="CH115" s="17">
        <f t="shared" si="362"/>
        <v>0</v>
      </c>
      <c r="CI115" s="14">
        <f t="shared" si="309"/>
        <v>0.16</v>
      </c>
      <c r="CJ115" s="47">
        <f t="shared" si="352"/>
        <v>0</v>
      </c>
      <c r="CK115" s="35">
        <f t="shared" si="310"/>
        <v>4.0000000000000009</v>
      </c>
      <c r="CL115" s="157">
        <f t="shared" si="355"/>
        <v>0</v>
      </c>
      <c r="CM115" s="134"/>
      <c r="CN115" s="14">
        <f t="shared" si="311"/>
        <v>67</v>
      </c>
      <c r="CO115" s="48">
        <f t="shared" si="356"/>
        <v>0</v>
      </c>
      <c r="CP115" s="68">
        <f t="shared" si="353"/>
        <v>0</v>
      </c>
      <c r="CQ115" s="51">
        <f t="shared" si="312"/>
        <v>1115</v>
      </c>
      <c r="CR115" s="103">
        <f t="shared" si="504"/>
        <v>0</v>
      </c>
      <c r="CS115" s="46">
        <f t="shared" si="396"/>
        <v>1115</v>
      </c>
      <c r="CT115" s="12">
        <f t="shared" si="313"/>
        <v>86</v>
      </c>
      <c r="CU115" s="103">
        <f t="shared" si="505"/>
        <v>0</v>
      </c>
      <c r="CV115" s="46">
        <f t="shared" si="344"/>
        <v>86</v>
      </c>
      <c r="CX115" s="120">
        <f t="shared" si="506"/>
        <v>25</v>
      </c>
      <c r="CY115" s="7">
        <f t="shared" si="507"/>
        <v>15</v>
      </c>
      <c r="CZ115" s="133"/>
      <c r="DA115" s="14">
        <f t="shared" si="488"/>
        <v>0</v>
      </c>
      <c r="DB115" s="46">
        <f t="shared" si="256"/>
        <v>0</v>
      </c>
      <c r="DC115" s="405"/>
      <c r="DD115" s="406"/>
      <c r="DE115" s="406"/>
      <c r="DF115" s="31">
        <f t="shared" si="371"/>
        <v>0</v>
      </c>
      <c r="DG115" s="17">
        <f t="shared" si="463"/>
        <v>0</v>
      </c>
      <c r="DH115" s="14">
        <f t="shared" si="314"/>
        <v>0.16</v>
      </c>
      <c r="DI115" s="47">
        <f t="shared" si="372"/>
        <v>0</v>
      </c>
      <c r="DJ115" s="35">
        <f t="shared" si="315"/>
        <v>4.0000000000000009</v>
      </c>
      <c r="DK115" s="157">
        <f t="shared" si="364"/>
        <v>0</v>
      </c>
      <c r="DL115" s="134"/>
      <c r="DM115" s="14">
        <f t="shared" si="316"/>
        <v>67</v>
      </c>
      <c r="DN115" s="48">
        <f t="shared" si="489"/>
        <v>0</v>
      </c>
      <c r="DO115" s="68">
        <f t="shared" si="365"/>
        <v>0</v>
      </c>
      <c r="DP115" s="51">
        <f t="shared" si="317"/>
        <v>1115</v>
      </c>
      <c r="DQ115" s="103">
        <f t="shared" si="508"/>
        <v>0</v>
      </c>
      <c r="DR115" s="46">
        <f t="shared" si="397"/>
        <v>1115</v>
      </c>
      <c r="DS115" s="12">
        <f t="shared" si="318"/>
        <v>86</v>
      </c>
      <c r="DT115" s="103">
        <f t="shared" si="509"/>
        <v>0</v>
      </c>
      <c r="DU115" s="46">
        <f t="shared" si="357"/>
        <v>86</v>
      </c>
    </row>
    <row r="116" spans="1:125" ht="17.25" thickBot="1" x14ac:dyDescent="0.3">
      <c r="B116" s="120">
        <f t="shared" si="490"/>
        <v>13</v>
      </c>
      <c r="C116" s="570">
        <f t="shared" si="491"/>
        <v>15</v>
      </c>
      <c r="D116" s="133"/>
      <c r="E116" s="408">
        <f t="shared" si="321"/>
        <v>0</v>
      </c>
      <c r="F116" s="562">
        <f t="shared" si="292"/>
        <v>0</v>
      </c>
      <c r="G116" s="134"/>
      <c r="H116" s="135"/>
      <c r="I116" s="135"/>
      <c r="J116" s="14">
        <f t="shared" si="366"/>
        <v>0</v>
      </c>
      <c r="K116" s="14">
        <f t="shared" si="322"/>
        <v>0</v>
      </c>
      <c r="L116" s="14">
        <f t="shared" si="293"/>
        <v>0.16</v>
      </c>
      <c r="M116" s="230">
        <f t="shared" si="349"/>
        <v>0</v>
      </c>
      <c r="N116" s="35">
        <f t="shared" si="294"/>
        <v>4.0000000000000009</v>
      </c>
      <c r="O116" s="132">
        <f t="shared" si="323"/>
        <v>0</v>
      </c>
      <c r="P116" s="142"/>
      <c r="Q116" s="14">
        <f t="shared" si="295"/>
        <v>67</v>
      </c>
      <c r="R116" s="480">
        <f t="shared" si="296"/>
        <v>0</v>
      </c>
      <c r="S116" s="470">
        <f t="shared" si="324"/>
        <v>0</v>
      </c>
      <c r="T116" s="51">
        <f t="shared" si="297"/>
        <v>1115</v>
      </c>
      <c r="U116" s="103">
        <f t="shared" si="492"/>
        <v>0</v>
      </c>
      <c r="V116" s="46">
        <f t="shared" si="326"/>
        <v>1115</v>
      </c>
      <c r="W116" s="50">
        <f t="shared" si="298"/>
        <v>86</v>
      </c>
      <c r="X116" s="103">
        <f t="shared" si="493"/>
        <v>0</v>
      </c>
      <c r="Y116" s="46">
        <f t="shared" si="328"/>
        <v>86</v>
      </c>
      <c r="Z116" s="487"/>
      <c r="AA116" s="120">
        <f t="shared" si="494"/>
        <v>13</v>
      </c>
      <c r="AB116" s="7">
        <f t="shared" si="495"/>
        <v>15</v>
      </c>
      <c r="AC116" s="133"/>
      <c r="AD116" s="48">
        <f t="shared" si="462"/>
        <v>0</v>
      </c>
      <c r="AE116" s="49">
        <f t="shared" si="510"/>
        <v>0</v>
      </c>
      <c r="AF116" s="134"/>
      <c r="AG116" s="135"/>
      <c r="AH116" s="135"/>
      <c r="AI116" s="14">
        <f t="shared" si="468"/>
        <v>0</v>
      </c>
      <c r="AJ116" s="14">
        <f t="shared" si="481"/>
        <v>0</v>
      </c>
      <c r="AK116" s="14">
        <f t="shared" si="299"/>
        <v>0.16</v>
      </c>
      <c r="AL116" s="230">
        <f t="shared" si="331"/>
        <v>0</v>
      </c>
      <c r="AM116" s="35">
        <f t="shared" si="300"/>
        <v>4.0000000000000009</v>
      </c>
      <c r="AN116" s="157">
        <f t="shared" si="358"/>
        <v>0</v>
      </c>
      <c r="AO116" s="134"/>
      <c r="AP116" s="14">
        <f t="shared" si="301"/>
        <v>67</v>
      </c>
      <c r="AQ116" s="480">
        <f t="shared" si="332"/>
        <v>0</v>
      </c>
      <c r="AR116" s="470">
        <f t="shared" si="420"/>
        <v>0</v>
      </c>
      <c r="AS116" s="51">
        <f t="shared" si="302"/>
        <v>1115</v>
      </c>
      <c r="AT116" s="103">
        <f t="shared" si="496"/>
        <v>0</v>
      </c>
      <c r="AU116" s="46">
        <f t="shared" si="394"/>
        <v>1115</v>
      </c>
      <c r="AV116" s="50">
        <f t="shared" si="303"/>
        <v>86</v>
      </c>
      <c r="AW116" s="103">
        <f t="shared" si="497"/>
        <v>0</v>
      </c>
      <c r="AX116" s="46">
        <f t="shared" si="359"/>
        <v>86</v>
      </c>
      <c r="AZ116" s="120">
        <f t="shared" si="498"/>
        <v>13</v>
      </c>
      <c r="BA116" s="7">
        <f t="shared" si="499"/>
        <v>15</v>
      </c>
      <c r="BB116" s="133"/>
      <c r="BC116" s="48">
        <f t="shared" si="337"/>
        <v>0</v>
      </c>
      <c r="BD116" s="49">
        <f t="shared" si="511"/>
        <v>0</v>
      </c>
      <c r="BE116" s="134"/>
      <c r="BF116" s="135"/>
      <c r="BG116" s="135"/>
      <c r="BH116" s="14">
        <f t="shared" si="472"/>
        <v>0</v>
      </c>
      <c r="BI116" s="14">
        <f t="shared" si="483"/>
        <v>0</v>
      </c>
      <c r="BJ116" s="14">
        <f t="shared" si="304"/>
        <v>0.16</v>
      </c>
      <c r="BK116" s="47">
        <f t="shared" si="350"/>
        <v>0</v>
      </c>
      <c r="BL116" s="35">
        <f t="shared" si="305"/>
        <v>4.0000000000000009</v>
      </c>
      <c r="BM116" s="132">
        <f t="shared" si="428"/>
        <v>0</v>
      </c>
      <c r="BN116" s="134"/>
      <c r="BO116" s="14">
        <f t="shared" si="306"/>
        <v>67</v>
      </c>
      <c r="BP116" s="442">
        <f t="shared" si="351"/>
        <v>0</v>
      </c>
      <c r="BQ116" s="747">
        <f t="shared" si="354"/>
        <v>0</v>
      </c>
      <c r="BR116" s="51">
        <f t="shared" si="307"/>
        <v>1115</v>
      </c>
      <c r="BS116" s="103">
        <f t="shared" si="500"/>
        <v>0</v>
      </c>
      <c r="BT116" s="46">
        <f t="shared" si="395"/>
        <v>1115</v>
      </c>
      <c r="BU116" s="50">
        <f t="shared" si="308"/>
        <v>86</v>
      </c>
      <c r="BV116" s="103">
        <f t="shared" si="501"/>
        <v>0</v>
      </c>
      <c r="BW116" s="46">
        <f t="shared" si="360"/>
        <v>86</v>
      </c>
      <c r="BY116" s="120">
        <f t="shared" si="502"/>
        <v>26</v>
      </c>
      <c r="BZ116" s="7">
        <f t="shared" si="503"/>
        <v>15</v>
      </c>
      <c r="CA116" s="133"/>
      <c r="CB116" s="14">
        <f t="shared" si="361"/>
        <v>0</v>
      </c>
      <c r="CC116" s="46">
        <f t="shared" si="369"/>
        <v>0</v>
      </c>
      <c r="CD116" s="405"/>
      <c r="CE116" s="406"/>
      <c r="CF116" s="406"/>
      <c r="CG116" s="14">
        <f t="shared" si="370"/>
        <v>0</v>
      </c>
      <c r="CH116" s="14">
        <f t="shared" si="362"/>
        <v>0</v>
      </c>
      <c r="CI116" s="14">
        <f t="shared" si="309"/>
        <v>0.16</v>
      </c>
      <c r="CJ116" s="47">
        <f t="shared" si="352"/>
        <v>0</v>
      </c>
      <c r="CK116" s="35">
        <f t="shared" si="310"/>
        <v>4.0000000000000009</v>
      </c>
      <c r="CL116" s="157">
        <f t="shared" si="355"/>
        <v>0</v>
      </c>
      <c r="CM116" s="134"/>
      <c r="CN116" s="14">
        <f t="shared" si="311"/>
        <v>67</v>
      </c>
      <c r="CO116" s="48">
        <f t="shared" si="356"/>
        <v>0</v>
      </c>
      <c r="CP116" s="68">
        <f t="shared" si="353"/>
        <v>0</v>
      </c>
      <c r="CQ116" s="51">
        <f t="shared" si="312"/>
        <v>1115</v>
      </c>
      <c r="CR116" s="103">
        <f t="shared" si="504"/>
        <v>0</v>
      </c>
      <c r="CS116" s="46">
        <f t="shared" si="396"/>
        <v>1115</v>
      </c>
      <c r="CT116" s="50">
        <f t="shared" si="313"/>
        <v>86</v>
      </c>
      <c r="CU116" s="103">
        <f t="shared" si="505"/>
        <v>0</v>
      </c>
      <c r="CV116" s="46">
        <f t="shared" si="344"/>
        <v>86</v>
      </c>
      <c r="CX116" s="120">
        <f t="shared" si="506"/>
        <v>26</v>
      </c>
      <c r="CY116" s="7">
        <f t="shared" si="507"/>
        <v>15</v>
      </c>
      <c r="CZ116" s="133"/>
      <c r="DA116" s="14">
        <f t="shared" si="488"/>
        <v>0</v>
      </c>
      <c r="DB116" s="46">
        <f t="shared" si="256"/>
        <v>0</v>
      </c>
      <c r="DC116" s="405"/>
      <c r="DD116" s="406"/>
      <c r="DE116" s="406"/>
      <c r="DF116" s="14">
        <f t="shared" si="371"/>
        <v>0</v>
      </c>
      <c r="DG116" s="14">
        <f t="shared" si="463"/>
        <v>0</v>
      </c>
      <c r="DH116" s="14">
        <f t="shared" si="314"/>
        <v>0.16</v>
      </c>
      <c r="DI116" s="47">
        <f t="shared" si="372"/>
        <v>0</v>
      </c>
      <c r="DJ116" s="35">
        <f t="shared" si="315"/>
        <v>4.0000000000000009</v>
      </c>
      <c r="DK116" s="157">
        <f t="shared" si="364"/>
        <v>0</v>
      </c>
      <c r="DL116" s="134"/>
      <c r="DM116" s="14">
        <f t="shared" si="316"/>
        <v>67</v>
      </c>
      <c r="DN116" s="48">
        <f t="shared" si="489"/>
        <v>0</v>
      </c>
      <c r="DO116" s="68">
        <f t="shared" si="365"/>
        <v>0</v>
      </c>
      <c r="DP116" s="51">
        <f t="shared" si="317"/>
        <v>1115</v>
      </c>
      <c r="DQ116" s="103">
        <f t="shared" si="508"/>
        <v>0</v>
      </c>
      <c r="DR116" s="46">
        <f t="shared" si="397"/>
        <v>1115</v>
      </c>
      <c r="DS116" s="50">
        <f t="shared" si="318"/>
        <v>86</v>
      </c>
      <c r="DT116" s="103">
        <f t="shared" si="509"/>
        <v>0</v>
      </c>
      <c r="DU116" s="46">
        <f t="shared" si="357"/>
        <v>86</v>
      </c>
    </row>
    <row r="117" spans="1:125" ht="17.25" thickBot="1" x14ac:dyDescent="0.3">
      <c r="B117" s="120">
        <f t="shared" si="490"/>
        <v>14</v>
      </c>
      <c r="C117" s="574">
        <f t="shared" si="491"/>
        <v>15</v>
      </c>
      <c r="D117" s="136"/>
      <c r="E117" s="436">
        <f t="shared" si="321"/>
        <v>0</v>
      </c>
      <c r="F117" s="451">
        <f t="shared" si="292"/>
        <v>0</v>
      </c>
      <c r="G117" s="137"/>
      <c r="H117" s="138"/>
      <c r="I117" s="138"/>
      <c r="J117" s="34">
        <f t="shared" si="366"/>
        <v>0</v>
      </c>
      <c r="K117" s="32">
        <f t="shared" si="322"/>
        <v>0</v>
      </c>
      <c r="L117" s="34">
        <f t="shared" si="293"/>
        <v>0.16</v>
      </c>
      <c r="M117" s="96">
        <f t="shared" si="349"/>
        <v>0</v>
      </c>
      <c r="N117" s="40">
        <f t="shared" si="294"/>
        <v>4.0000000000000009</v>
      </c>
      <c r="O117" s="132">
        <f t="shared" si="323"/>
        <v>0</v>
      </c>
      <c r="P117" s="139"/>
      <c r="Q117" s="32">
        <f t="shared" si="295"/>
        <v>67</v>
      </c>
      <c r="R117" s="443">
        <f t="shared" si="296"/>
        <v>0</v>
      </c>
      <c r="S117" s="471">
        <f t="shared" si="324"/>
        <v>0</v>
      </c>
      <c r="T117" s="56">
        <f t="shared" si="297"/>
        <v>1115</v>
      </c>
      <c r="U117" s="109">
        <f t="shared" si="492"/>
        <v>0</v>
      </c>
      <c r="V117" s="63">
        <f t="shared" si="326"/>
        <v>1115</v>
      </c>
      <c r="W117" s="56">
        <f t="shared" si="298"/>
        <v>86</v>
      </c>
      <c r="X117" s="109">
        <f t="shared" si="493"/>
        <v>0</v>
      </c>
      <c r="Y117" s="63">
        <f t="shared" si="328"/>
        <v>86</v>
      </c>
      <c r="Z117" s="487"/>
      <c r="AA117" s="120">
        <f t="shared" si="494"/>
        <v>14</v>
      </c>
      <c r="AB117" s="8">
        <f t="shared" si="495"/>
        <v>15</v>
      </c>
      <c r="AC117" s="136"/>
      <c r="AD117" s="54">
        <f t="shared" si="462"/>
        <v>0</v>
      </c>
      <c r="AE117" s="448">
        <f t="shared" si="510"/>
        <v>0</v>
      </c>
      <c r="AF117" s="137"/>
      <c r="AG117" s="138"/>
      <c r="AH117" s="138"/>
      <c r="AI117" s="34">
        <f t="shared" si="468"/>
        <v>0</v>
      </c>
      <c r="AJ117" s="32">
        <f t="shared" si="481"/>
        <v>0</v>
      </c>
      <c r="AK117" s="17">
        <f t="shared" si="299"/>
        <v>0.16</v>
      </c>
      <c r="AL117" s="96">
        <f t="shared" si="331"/>
        <v>0</v>
      </c>
      <c r="AM117" s="33">
        <f t="shared" si="300"/>
        <v>4.0000000000000009</v>
      </c>
      <c r="AN117" s="157">
        <f t="shared" si="358"/>
        <v>0</v>
      </c>
      <c r="AO117" s="137"/>
      <c r="AP117" s="32">
        <f t="shared" si="301"/>
        <v>67</v>
      </c>
      <c r="AQ117" s="443">
        <f t="shared" si="332"/>
        <v>0</v>
      </c>
      <c r="AR117" s="471">
        <f t="shared" si="420"/>
        <v>0</v>
      </c>
      <c r="AS117" s="50">
        <f t="shared" si="302"/>
        <v>1115</v>
      </c>
      <c r="AT117" s="103">
        <f t="shared" si="496"/>
        <v>0</v>
      </c>
      <c r="AU117" s="63">
        <f t="shared" si="394"/>
        <v>1115</v>
      </c>
      <c r="AV117" s="56">
        <f t="shared" si="303"/>
        <v>86</v>
      </c>
      <c r="AW117" s="103">
        <f t="shared" si="497"/>
        <v>0</v>
      </c>
      <c r="AX117" s="63">
        <f t="shared" si="359"/>
        <v>86</v>
      </c>
      <c r="AZ117" s="197">
        <f t="shared" si="498"/>
        <v>14</v>
      </c>
      <c r="BA117" s="8">
        <f t="shared" si="499"/>
        <v>15</v>
      </c>
      <c r="BB117" s="136"/>
      <c r="BC117" s="54">
        <f t="shared" si="337"/>
        <v>0</v>
      </c>
      <c r="BD117" s="448">
        <f t="shared" si="511"/>
        <v>0</v>
      </c>
      <c r="BE117" s="137"/>
      <c r="BF117" s="138"/>
      <c r="BG117" s="138"/>
      <c r="BH117" s="34">
        <f t="shared" si="472"/>
        <v>0</v>
      </c>
      <c r="BI117" s="32">
        <f t="shared" si="483"/>
        <v>0</v>
      </c>
      <c r="BJ117" s="34">
        <f t="shared" si="304"/>
        <v>0.16</v>
      </c>
      <c r="BK117" s="96">
        <f t="shared" si="350"/>
        <v>0</v>
      </c>
      <c r="BL117" s="40">
        <f t="shared" si="305"/>
        <v>4.0000000000000009</v>
      </c>
      <c r="BM117" s="132">
        <f t="shared" si="428"/>
        <v>0</v>
      </c>
      <c r="BN117" s="137"/>
      <c r="BO117" s="32">
        <f t="shared" si="306"/>
        <v>67</v>
      </c>
      <c r="BP117" s="443">
        <f t="shared" si="351"/>
        <v>0</v>
      </c>
      <c r="BQ117" s="750">
        <f t="shared" si="354"/>
        <v>0</v>
      </c>
      <c r="BR117" s="56">
        <f t="shared" si="307"/>
        <v>1115</v>
      </c>
      <c r="BS117" s="109">
        <f t="shared" si="500"/>
        <v>0</v>
      </c>
      <c r="BT117" s="63">
        <f t="shared" si="395"/>
        <v>1115</v>
      </c>
      <c r="BU117" s="56">
        <f t="shared" si="308"/>
        <v>86</v>
      </c>
      <c r="BV117" s="109">
        <f t="shared" si="501"/>
        <v>0</v>
      </c>
      <c r="BW117" s="63">
        <f t="shared" si="360"/>
        <v>86</v>
      </c>
      <c r="BY117" s="197">
        <f>BY116+1</f>
        <v>27</v>
      </c>
      <c r="BZ117" s="8">
        <f t="shared" si="503"/>
        <v>15</v>
      </c>
      <c r="CA117" s="136"/>
      <c r="CB117" s="32">
        <f t="shared" si="361"/>
        <v>0</v>
      </c>
      <c r="CC117" s="63">
        <f t="shared" si="369"/>
        <v>0</v>
      </c>
      <c r="CD117" s="421"/>
      <c r="CE117" s="426"/>
      <c r="CF117" s="426"/>
      <c r="CG117" s="34">
        <f t="shared" si="370"/>
        <v>0</v>
      </c>
      <c r="CH117" s="32">
        <f t="shared" si="362"/>
        <v>0</v>
      </c>
      <c r="CI117" s="17">
        <f t="shared" si="309"/>
        <v>0.16</v>
      </c>
      <c r="CJ117" s="166">
        <f t="shared" si="352"/>
        <v>0</v>
      </c>
      <c r="CK117" s="33">
        <f t="shared" si="310"/>
        <v>4.0000000000000009</v>
      </c>
      <c r="CL117" s="156">
        <f t="shared" si="355"/>
        <v>0</v>
      </c>
      <c r="CM117" s="137"/>
      <c r="CN117" s="13">
        <f t="shared" si="311"/>
        <v>67</v>
      </c>
      <c r="CO117" s="54">
        <f t="shared" si="356"/>
        <v>0</v>
      </c>
      <c r="CP117" s="70">
        <f t="shared" si="353"/>
        <v>0</v>
      </c>
      <c r="CQ117" s="50">
        <f t="shared" si="312"/>
        <v>1115</v>
      </c>
      <c r="CR117" s="103">
        <f t="shared" si="504"/>
        <v>0</v>
      </c>
      <c r="CS117" s="63">
        <f t="shared" si="396"/>
        <v>1115</v>
      </c>
      <c r="CT117" s="56">
        <f t="shared" si="313"/>
        <v>86</v>
      </c>
      <c r="CU117" s="103">
        <f t="shared" si="505"/>
        <v>0</v>
      </c>
      <c r="CV117" s="63">
        <f t="shared" si="344"/>
        <v>86</v>
      </c>
      <c r="CX117" s="197">
        <f>CX116+1</f>
        <v>27</v>
      </c>
      <c r="CY117" s="8">
        <f t="shared" si="507"/>
        <v>15</v>
      </c>
      <c r="CZ117" s="136"/>
      <c r="DA117" s="32">
        <f t="shared" si="488"/>
        <v>0</v>
      </c>
      <c r="DB117" s="63">
        <f t="shared" si="256"/>
        <v>0</v>
      </c>
      <c r="DC117" s="421"/>
      <c r="DD117" s="426"/>
      <c r="DE117" s="426"/>
      <c r="DF117" s="34">
        <f t="shared" si="371"/>
        <v>0</v>
      </c>
      <c r="DG117" s="32">
        <f t="shared" si="463"/>
        <v>0</v>
      </c>
      <c r="DH117" s="17">
        <f t="shared" si="314"/>
        <v>0.16</v>
      </c>
      <c r="DI117" s="166">
        <f t="shared" si="372"/>
        <v>0</v>
      </c>
      <c r="DJ117" s="33">
        <f t="shared" si="315"/>
        <v>4.0000000000000009</v>
      </c>
      <c r="DK117" s="156">
        <f t="shared" si="364"/>
        <v>0</v>
      </c>
      <c r="DL117" s="137"/>
      <c r="DM117" s="13">
        <f t="shared" si="316"/>
        <v>67</v>
      </c>
      <c r="DN117" s="54">
        <f t="shared" si="489"/>
        <v>0</v>
      </c>
      <c r="DO117" s="70">
        <f t="shared" si="365"/>
        <v>0</v>
      </c>
      <c r="DP117" s="50">
        <f t="shared" si="317"/>
        <v>1115</v>
      </c>
      <c r="DQ117" s="103">
        <f t="shared" si="508"/>
        <v>0</v>
      </c>
      <c r="DR117" s="63">
        <f t="shared" si="397"/>
        <v>1115</v>
      </c>
      <c r="DS117" s="56">
        <f t="shared" si="318"/>
        <v>86</v>
      </c>
      <c r="DT117" s="103">
        <f t="shared" si="509"/>
        <v>0</v>
      </c>
      <c r="DU117" s="63">
        <f t="shared" si="357"/>
        <v>86</v>
      </c>
    </row>
    <row r="118" spans="1:125" ht="17.25" thickBot="1" x14ac:dyDescent="0.3">
      <c r="B118" s="118">
        <v>15</v>
      </c>
      <c r="C118" s="575">
        <v>16</v>
      </c>
      <c r="D118" s="129"/>
      <c r="E118" s="400">
        <f t="shared" si="321"/>
        <v>0</v>
      </c>
      <c r="F118" s="561">
        <f t="shared" si="292"/>
        <v>0</v>
      </c>
      <c r="G118" s="130"/>
      <c r="H118" s="131"/>
      <c r="I118" s="131"/>
      <c r="J118" s="16">
        <f t="shared" si="366"/>
        <v>0</v>
      </c>
      <c r="K118" s="11">
        <f t="shared" si="322"/>
        <v>0</v>
      </c>
      <c r="L118" s="16">
        <f t="shared" si="293"/>
        <v>0.16</v>
      </c>
      <c r="M118" s="42">
        <f t="shared" si="349"/>
        <v>0</v>
      </c>
      <c r="N118" s="154">
        <f t="shared" si="294"/>
        <v>4.160000000000001</v>
      </c>
      <c r="O118" s="132">
        <f t="shared" si="323"/>
        <v>0</v>
      </c>
      <c r="P118" s="158"/>
      <c r="Q118" s="17">
        <f t="shared" si="295"/>
        <v>71</v>
      </c>
      <c r="R118" s="441">
        <f t="shared" si="296"/>
        <v>0</v>
      </c>
      <c r="S118" s="469">
        <f t="shared" si="324"/>
        <v>0</v>
      </c>
      <c r="T118" s="58">
        <f t="shared" si="297"/>
        <v>1160</v>
      </c>
      <c r="U118" s="131"/>
      <c r="V118" s="41">
        <f t="shared" si="326"/>
        <v>1160</v>
      </c>
      <c r="W118" s="18">
        <f t="shared" si="298"/>
        <v>86</v>
      </c>
      <c r="X118" s="131"/>
      <c r="Y118" s="41">
        <f t="shared" si="328"/>
        <v>86</v>
      </c>
      <c r="Z118" s="487"/>
      <c r="AA118" s="118">
        <v>15</v>
      </c>
      <c r="AB118" s="9">
        <v>16</v>
      </c>
      <c r="AC118" s="129"/>
      <c r="AD118" s="43">
        <f t="shared" si="462"/>
        <v>0</v>
      </c>
      <c r="AE118" s="449">
        <f t="shared" si="510"/>
        <v>0</v>
      </c>
      <c r="AF118" s="130"/>
      <c r="AG118" s="131"/>
      <c r="AH118" s="131"/>
      <c r="AI118" s="16">
        <f t="shared" si="468"/>
        <v>0</v>
      </c>
      <c r="AJ118" s="11">
        <f t="shared" si="481"/>
        <v>0</v>
      </c>
      <c r="AK118" s="16">
        <f t="shared" si="299"/>
        <v>0.16</v>
      </c>
      <c r="AL118" s="42">
        <f t="shared" si="331"/>
        <v>0</v>
      </c>
      <c r="AM118" s="154">
        <f t="shared" si="300"/>
        <v>4.160000000000001</v>
      </c>
      <c r="AN118" s="157">
        <f t="shared" si="358"/>
        <v>0</v>
      </c>
      <c r="AO118" s="130"/>
      <c r="AP118" s="17">
        <f t="shared" si="301"/>
        <v>71</v>
      </c>
      <c r="AQ118" s="441">
        <f t="shared" si="332"/>
        <v>0</v>
      </c>
      <c r="AR118" s="469">
        <f t="shared" si="420"/>
        <v>0</v>
      </c>
      <c r="AS118" s="58">
        <f t="shared" si="302"/>
        <v>1160</v>
      </c>
      <c r="AT118" s="131"/>
      <c r="AU118" s="41">
        <f t="shared" si="394"/>
        <v>1160</v>
      </c>
      <c r="AV118" s="18">
        <f t="shared" si="303"/>
        <v>86</v>
      </c>
      <c r="AW118" s="131"/>
      <c r="AX118" s="41">
        <f t="shared" si="359"/>
        <v>86</v>
      </c>
      <c r="AZ118" s="198">
        <v>15</v>
      </c>
      <c r="BA118" s="38">
        <v>16</v>
      </c>
      <c r="BB118" s="143"/>
      <c r="BC118" s="60">
        <f t="shared" si="337"/>
        <v>0</v>
      </c>
      <c r="BD118" s="447">
        <f t="shared" si="511"/>
        <v>0</v>
      </c>
      <c r="BE118" s="144"/>
      <c r="BF118" s="141"/>
      <c r="BG118" s="141"/>
      <c r="BH118" s="31">
        <f t="shared" si="472"/>
        <v>0</v>
      </c>
      <c r="BI118" s="17">
        <f t="shared" si="483"/>
        <v>0</v>
      </c>
      <c r="BJ118" s="31">
        <f t="shared" si="304"/>
        <v>0.16</v>
      </c>
      <c r="BK118" s="235">
        <f t="shared" si="350"/>
        <v>0</v>
      </c>
      <c r="BL118" s="37">
        <f t="shared" si="305"/>
        <v>4.160000000000001</v>
      </c>
      <c r="BM118" s="132">
        <f t="shared" si="428"/>
        <v>0</v>
      </c>
      <c r="BN118" s="144"/>
      <c r="BO118" s="17">
        <f t="shared" si="306"/>
        <v>71</v>
      </c>
      <c r="BP118" s="479">
        <f t="shared" si="351"/>
        <v>0</v>
      </c>
      <c r="BQ118" s="751">
        <f t="shared" si="354"/>
        <v>0</v>
      </c>
      <c r="BR118" s="61">
        <f t="shared" si="307"/>
        <v>1160</v>
      </c>
      <c r="BS118" s="141"/>
      <c r="BT118" s="71">
        <f t="shared" si="395"/>
        <v>1160</v>
      </c>
      <c r="BU118" s="12">
        <f t="shared" si="308"/>
        <v>86</v>
      </c>
      <c r="BV118" s="141"/>
      <c r="BW118" s="71">
        <f t="shared" si="360"/>
        <v>86</v>
      </c>
      <c r="BY118" s="118">
        <v>28</v>
      </c>
      <c r="BZ118" s="9">
        <v>16</v>
      </c>
      <c r="CA118" s="129"/>
      <c r="CB118" s="11">
        <f t="shared" si="361"/>
        <v>0</v>
      </c>
      <c r="CC118" s="57">
        <f t="shared" si="369"/>
        <v>0</v>
      </c>
      <c r="CD118" s="398"/>
      <c r="CE118" s="399"/>
      <c r="CF118" s="399"/>
      <c r="CG118" s="16">
        <f t="shared" si="370"/>
        <v>0</v>
      </c>
      <c r="CH118" s="11">
        <f t="shared" si="362"/>
        <v>0</v>
      </c>
      <c r="CI118" s="16">
        <f t="shared" si="309"/>
        <v>0.16</v>
      </c>
      <c r="CJ118" s="231">
        <f t="shared" si="352"/>
        <v>0</v>
      </c>
      <c r="CK118" s="154">
        <f t="shared" si="310"/>
        <v>4.160000000000001</v>
      </c>
      <c r="CL118" s="155">
        <f t="shared" si="355"/>
        <v>0</v>
      </c>
      <c r="CM118" s="130"/>
      <c r="CN118" s="11">
        <f t="shared" si="311"/>
        <v>71</v>
      </c>
      <c r="CO118" s="60">
        <f t="shared" si="356"/>
        <v>0</v>
      </c>
      <c r="CP118" s="377">
        <f t="shared" si="353"/>
        <v>0</v>
      </c>
      <c r="CQ118" s="58">
        <f t="shared" si="312"/>
        <v>1160</v>
      </c>
      <c r="CR118" s="131"/>
      <c r="CS118" s="41">
        <f t="shared" si="396"/>
        <v>1160</v>
      </c>
      <c r="CT118" s="58">
        <f t="shared" si="313"/>
        <v>86</v>
      </c>
      <c r="CU118" s="131"/>
      <c r="CV118" s="41">
        <f t="shared" si="344"/>
        <v>86</v>
      </c>
      <c r="CX118" s="118">
        <v>28</v>
      </c>
      <c r="CY118" s="9">
        <v>16</v>
      </c>
      <c r="CZ118" s="129"/>
      <c r="DA118" s="11">
        <f t="shared" si="488"/>
        <v>0</v>
      </c>
      <c r="DB118" s="57">
        <f t="shared" ref="DB118:DB138" si="512">IFERROR(DA118-DF118,0)</f>
        <v>0</v>
      </c>
      <c r="DC118" s="398"/>
      <c r="DD118" s="399"/>
      <c r="DE118" s="399"/>
      <c r="DF118" s="16">
        <f t="shared" si="371"/>
        <v>0</v>
      </c>
      <c r="DG118" s="11">
        <f t="shared" si="463"/>
        <v>0</v>
      </c>
      <c r="DH118" s="16">
        <f t="shared" si="314"/>
        <v>0.16</v>
      </c>
      <c r="DI118" s="231">
        <f t="shared" si="372"/>
        <v>0</v>
      </c>
      <c r="DJ118" s="154">
        <f t="shared" si="315"/>
        <v>4.160000000000001</v>
      </c>
      <c r="DK118" s="155">
        <f t="shared" si="364"/>
        <v>0</v>
      </c>
      <c r="DL118" s="130"/>
      <c r="DM118" s="11">
        <f t="shared" si="316"/>
        <v>71</v>
      </c>
      <c r="DN118" s="60">
        <f t="shared" si="489"/>
        <v>0</v>
      </c>
      <c r="DO118" s="377">
        <f t="shared" si="365"/>
        <v>0</v>
      </c>
      <c r="DP118" s="58">
        <f t="shared" si="317"/>
        <v>1160</v>
      </c>
      <c r="DQ118" s="131"/>
      <c r="DR118" s="41">
        <f t="shared" si="397"/>
        <v>1160</v>
      </c>
      <c r="DS118" s="58">
        <f t="shared" si="318"/>
        <v>86</v>
      </c>
      <c r="DT118" s="131"/>
      <c r="DU118" s="41">
        <f t="shared" si="357"/>
        <v>86</v>
      </c>
    </row>
    <row r="119" spans="1:125" ht="17.25" thickBot="1" x14ac:dyDescent="0.3">
      <c r="B119" s="120">
        <f>B118+1</f>
        <v>16</v>
      </c>
      <c r="C119" s="570">
        <f>C118</f>
        <v>16</v>
      </c>
      <c r="D119" s="133"/>
      <c r="E119" s="408">
        <f t="shared" si="321"/>
        <v>0</v>
      </c>
      <c r="F119" s="562">
        <f t="shared" si="292"/>
        <v>0</v>
      </c>
      <c r="G119" s="134"/>
      <c r="H119" s="135"/>
      <c r="I119" s="135"/>
      <c r="J119" s="13">
        <f t="shared" si="366"/>
        <v>0</v>
      </c>
      <c r="K119" s="14">
        <f t="shared" si="322"/>
        <v>0</v>
      </c>
      <c r="L119" s="14">
        <f t="shared" si="293"/>
        <v>0.16</v>
      </c>
      <c r="M119" s="47">
        <f t="shared" si="349"/>
        <v>0</v>
      </c>
      <c r="N119" s="35">
        <f t="shared" si="294"/>
        <v>4.160000000000001</v>
      </c>
      <c r="O119" s="132">
        <f t="shared" si="323"/>
        <v>0</v>
      </c>
      <c r="P119" s="142"/>
      <c r="Q119" s="14">
        <f t="shared" si="295"/>
        <v>71</v>
      </c>
      <c r="R119" s="480">
        <f t="shared" si="296"/>
        <v>0</v>
      </c>
      <c r="S119" s="470">
        <f t="shared" si="324"/>
        <v>0</v>
      </c>
      <c r="T119" s="51">
        <f t="shared" si="297"/>
        <v>1160</v>
      </c>
      <c r="U119" s="103">
        <f>U118</f>
        <v>0</v>
      </c>
      <c r="V119" s="46">
        <f t="shared" si="326"/>
        <v>1160</v>
      </c>
      <c r="W119" s="51">
        <f t="shared" si="298"/>
        <v>86</v>
      </c>
      <c r="X119" s="103">
        <f>X118</f>
        <v>0</v>
      </c>
      <c r="Y119" s="46">
        <f t="shared" si="328"/>
        <v>86</v>
      </c>
      <c r="Z119" s="487"/>
      <c r="AA119" s="120">
        <f>AA118+1</f>
        <v>16</v>
      </c>
      <c r="AB119" s="7">
        <f>AB118</f>
        <v>16</v>
      </c>
      <c r="AC119" s="133"/>
      <c r="AD119" s="48">
        <f t="shared" si="462"/>
        <v>0</v>
      </c>
      <c r="AE119" s="49">
        <f t="shared" si="510"/>
        <v>0</v>
      </c>
      <c r="AF119" s="134"/>
      <c r="AG119" s="135"/>
      <c r="AH119" s="135"/>
      <c r="AI119" s="13">
        <f t="shared" si="468"/>
        <v>0</v>
      </c>
      <c r="AJ119" s="14">
        <f t="shared" si="481"/>
        <v>0</v>
      </c>
      <c r="AK119" s="14">
        <f t="shared" si="299"/>
        <v>0.16</v>
      </c>
      <c r="AL119" s="47">
        <f t="shared" si="331"/>
        <v>0</v>
      </c>
      <c r="AM119" s="35">
        <f t="shared" si="300"/>
        <v>4.160000000000001</v>
      </c>
      <c r="AN119" s="157">
        <f t="shared" si="358"/>
        <v>0</v>
      </c>
      <c r="AO119" s="134"/>
      <c r="AP119" s="14">
        <f t="shared" si="301"/>
        <v>71</v>
      </c>
      <c r="AQ119" s="480">
        <f t="shared" si="332"/>
        <v>0</v>
      </c>
      <c r="AR119" s="470">
        <f t="shared" si="420"/>
        <v>0</v>
      </c>
      <c r="AS119" s="51">
        <f t="shared" si="302"/>
        <v>1160</v>
      </c>
      <c r="AT119" s="103">
        <f>AT118</f>
        <v>0</v>
      </c>
      <c r="AU119" s="46">
        <f t="shared" si="394"/>
        <v>1160</v>
      </c>
      <c r="AV119" s="51">
        <f t="shared" si="303"/>
        <v>86</v>
      </c>
      <c r="AW119" s="103">
        <f>AW118</f>
        <v>0</v>
      </c>
      <c r="AX119" s="46">
        <f t="shared" si="359"/>
        <v>86</v>
      </c>
      <c r="AZ119" s="120">
        <f>AZ118+1</f>
        <v>16</v>
      </c>
      <c r="BA119" s="7">
        <f>BA118</f>
        <v>16</v>
      </c>
      <c r="BB119" s="133"/>
      <c r="BC119" s="48">
        <f t="shared" si="337"/>
        <v>0</v>
      </c>
      <c r="BD119" s="49">
        <f t="shared" si="511"/>
        <v>0</v>
      </c>
      <c r="BE119" s="134"/>
      <c r="BF119" s="135"/>
      <c r="BG119" s="135"/>
      <c r="BH119" s="13">
        <f t="shared" si="472"/>
        <v>0</v>
      </c>
      <c r="BI119" s="14">
        <f t="shared" si="483"/>
        <v>0</v>
      </c>
      <c r="BJ119" s="14">
        <f t="shared" si="304"/>
        <v>0.16</v>
      </c>
      <c r="BK119" s="47">
        <f t="shared" si="350"/>
        <v>0</v>
      </c>
      <c r="BL119" s="35">
        <f t="shared" si="305"/>
        <v>4.160000000000001</v>
      </c>
      <c r="BM119" s="132">
        <f t="shared" si="428"/>
        <v>0</v>
      </c>
      <c r="BN119" s="134"/>
      <c r="BO119" s="14">
        <f t="shared" si="306"/>
        <v>71</v>
      </c>
      <c r="BP119" s="442">
        <f t="shared" si="351"/>
        <v>0</v>
      </c>
      <c r="BQ119" s="747">
        <f t="shared" si="354"/>
        <v>0</v>
      </c>
      <c r="BR119" s="51">
        <f t="shared" si="307"/>
        <v>1160</v>
      </c>
      <c r="BS119" s="103">
        <f>BS118</f>
        <v>0</v>
      </c>
      <c r="BT119" s="46">
        <f t="shared" si="395"/>
        <v>1160</v>
      </c>
      <c r="BU119" s="51">
        <f t="shared" si="308"/>
        <v>86</v>
      </c>
      <c r="BV119" s="103">
        <f>BV118</f>
        <v>0</v>
      </c>
      <c r="BW119" s="46">
        <f t="shared" si="360"/>
        <v>86</v>
      </c>
      <c r="BY119" s="120">
        <f>BY118+1</f>
        <v>29</v>
      </c>
      <c r="BZ119" s="7">
        <f>BZ118</f>
        <v>16</v>
      </c>
      <c r="CA119" s="133"/>
      <c r="CB119" s="14">
        <f t="shared" si="361"/>
        <v>0</v>
      </c>
      <c r="CC119" s="46">
        <f t="shared" si="369"/>
        <v>0</v>
      </c>
      <c r="CD119" s="405"/>
      <c r="CE119" s="406"/>
      <c r="CF119" s="406"/>
      <c r="CG119" s="13">
        <f t="shared" si="370"/>
        <v>0</v>
      </c>
      <c r="CH119" s="14">
        <f t="shared" si="362"/>
        <v>0</v>
      </c>
      <c r="CI119" s="13">
        <f t="shared" si="309"/>
        <v>0.16</v>
      </c>
      <c r="CJ119" s="47">
        <f t="shared" si="352"/>
        <v>0</v>
      </c>
      <c r="CK119" s="35">
        <f t="shared" si="310"/>
        <v>4.160000000000001</v>
      </c>
      <c r="CL119" s="157">
        <f t="shared" si="355"/>
        <v>0</v>
      </c>
      <c r="CM119" s="134"/>
      <c r="CN119" s="14">
        <f t="shared" si="311"/>
        <v>71</v>
      </c>
      <c r="CO119" s="48">
        <f t="shared" si="356"/>
        <v>0</v>
      </c>
      <c r="CP119" s="68">
        <f t="shared" si="353"/>
        <v>0</v>
      </c>
      <c r="CQ119" s="51">
        <f t="shared" si="312"/>
        <v>1160</v>
      </c>
      <c r="CR119" s="103">
        <f>CR118</f>
        <v>0</v>
      </c>
      <c r="CS119" s="46">
        <f t="shared" si="396"/>
        <v>1160</v>
      </c>
      <c r="CT119" s="12">
        <f t="shared" si="313"/>
        <v>86</v>
      </c>
      <c r="CU119" s="103">
        <f>CU118</f>
        <v>0</v>
      </c>
      <c r="CV119" s="46">
        <f t="shared" si="344"/>
        <v>86</v>
      </c>
      <c r="CX119" s="120">
        <f>CX118+1</f>
        <v>29</v>
      </c>
      <c r="CY119" s="7">
        <f>CY118</f>
        <v>16</v>
      </c>
      <c r="CZ119" s="133"/>
      <c r="DA119" s="14">
        <f t="shared" si="488"/>
        <v>0</v>
      </c>
      <c r="DB119" s="46">
        <f t="shared" si="512"/>
        <v>0</v>
      </c>
      <c r="DC119" s="405"/>
      <c r="DD119" s="406"/>
      <c r="DE119" s="406"/>
      <c r="DF119" s="13">
        <f t="shared" si="371"/>
        <v>0</v>
      </c>
      <c r="DG119" s="14">
        <f t="shared" si="463"/>
        <v>0</v>
      </c>
      <c r="DH119" s="13">
        <f t="shared" si="314"/>
        <v>0.16</v>
      </c>
      <c r="DI119" s="47">
        <f t="shared" si="372"/>
        <v>0</v>
      </c>
      <c r="DJ119" s="35">
        <f t="shared" si="315"/>
        <v>4.160000000000001</v>
      </c>
      <c r="DK119" s="157">
        <f t="shared" si="364"/>
        <v>0</v>
      </c>
      <c r="DL119" s="134"/>
      <c r="DM119" s="14">
        <f t="shared" si="316"/>
        <v>71</v>
      </c>
      <c r="DN119" s="48">
        <f t="shared" si="489"/>
        <v>0</v>
      </c>
      <c r="DO119" s="68">
        <f t="shared" si="365"/>
        <v>0</v>
      </c>
      <c r="DP119" s="51">
        <f t="shared" si="317"/>
        <v>1160</v>
      </c>
      <c r="DQ119" s="103">
        <f>DQ118</f>
        <v>0</v>
      </c>
      <c r="DR119" s="46">
        <f t="shared" si="397"/>
        <v>1160</v>
      </c>
      <c r="DS119" s="12">
        <f t="shared" si="318"/>
        <v>86</v>
      </c>
      <c r="DT119" s="103">
        <f>DT118</f>
        <v>0</v>
      </c>
      <c r="DU119" s="46">
        <f t="shared" si="357"/>
        <v>86</v>
      </c>
    </row>
    <row r="120" spans="1:125" ht="17.25" thickBot="1" x14ac:dyDescent="0.3">
      <c r="B120" s="120">
        <f t="shared" ref="B120:B124" si="513">B119+1</f>
        <v>17</v>
      </c>
      <c r="C120" s="570">
        <f t="shared" ref="C120:C124" si="514">C119</f>
        <v>16</v>
      </c>
      <c r="D120" s="133"/>
      <c r="E120" s="563">
        <f t="shared" si="321"/>
        <v>0</v>
      </c>
      <c r="F120" s="560">
        <f t="shared" si="292"/>
        <v>0</v>
      </c>
      <c r="G120" s="204"/>
      <c r="H120" s="135"/>
      <c r="I120" s="135"/>
      <c r="J120" s="13">
        <f t="shared" si="366"/>
        <v>0</v>
      </c>
      <c r="K120" s="14">
        <f t="shared" si="322"/>
        <v>0</v>
      </c>
      <c r="L120" s="14">
        <f t="shared" si="293"/>
        <v>0.16</v>
      </c>
      <c r="M120" s="231">
        <f t="shared" si="349"/>
        <v>0</v>
      </c>
      <c r="N120" s="35">
        <f t="shared" si="294"/>
        <v>4.160000000000001</v>
      </c>
      <c r="O120" s="132">
        <f t="shared" si="323"/>
        <v>0</v>
      </c>
      <c r="P120" s="142"/>
      <c r="Q120" s="14">
        <f t="shared" si="295"/>
        <v>71</v>
      </c>
      <c r="R120" s="482">
        <f t="shared" si="296"/>
        <v>0</v>
      </c>
      <c r="S120" s="470">
        <f t="shared" si="324"/>
        <v>0</v>
      </c>
      <c r="T120" s="51">
        <f t="shared" si="297"/>
        <v>1160</v>
      </c>
      <c r="U120" s="103">
        <f t="shared" ref="U120:U124" si="515">U119</f>
        <v>0</v>
      </c>
      <c r="V120" s="46">
        <f t="shared" si="326"/>
        <v>1160</v>
      </c>
      <c r="W120" s="12">
        <f t="shared" si="298"/>
        <v>86</v>
      </c>
      <c r="X120" s="103">
        <f t="shared" ref="X120:X124" si="516">X119</f>
        <v>0</v>
      </c>
      <c r="Y120" s="46">
        <f t="shared" si="328"/>
        <v>86</v>
      </c>
      <c r="Z120" s="487"/>
      <c r="AA120" s="120">
        <f t="shared" ref="AA120:AA124" si="517">AA119+1</f>
        <v>17</v>
      </c>
      <c r="AB120" s="7">
        <f t="shared" ref="AB120:AB124" si="518">AB119</f>
        <v>16</v>
      </c>
      <c r="AC120" s="133"/>
      <c r="AD120" s="48">
        <f t="shared" si="462"/>
        <v>0</v>
      </c>
      <c r="AE120" s="447">
        <f t="shared" si="510"/>
        <v>0</v>
      </c>
      <c r="AF120" s="134"/>
      <c r="AG120" s="135"/>
      <c r="AH120" s="135"/>
      <c r="AI120" s="13">
        <f t="shared" si="468"/>
        <v>0</v>
      </c>
      <c r="AJ120" s="14">
        <f t="shared" si="481"/>
        <v>0</v>
      </c>
      <c r="AK120" s="14">
        <f t="shared" si="299"/>
        <v>0.16</v>
      </c>
      <c r="AL120" s="231">
        <f t="shared" si="331"/>
        <v>0</v>
      </c>
      <c r="AM120" s="35">
        <f t="shared" si="300"/>
        <v>4.160000000000001</v>
      </c>
      <c r="AN120" s="157">
        <f t="shared" si="358"/>
        <v>0</v>
      </c>
      <c r="AO120" s="134"/>
      <c r="AP120" s="14">
        <f t="shared" si="301"/>
        <v>71</v>
      </c>
      <c r="AQ120" s="482">
        <f t="shared" si="332"/>
        <v>0</v>
      </c>
      <c r="AR120" s="470">
        <f t="shared" si="420"/>
        <v>0</v>
      </c>
      <c r="AS120" s="51">
        <f t="shared" si="302"/>
        <v>1160</v>
      </c>
      <c r="AT120" s="103">
        <f t="shared" ref="AT120:AT124" si="519">AT119</f>
        <v>0</v>
      </c>
      <c r="AU120" s="46">
        <f t="shared" si="394"/>
        <v>1160</v>
      </c>
      <c r="AV120" s="12">
        <f t="shared" si="303"/>
        <v>86</v>
      </c>
      <c r="AW120" s="103">
        <f t="shared" ref="AW120:AW124" si="520">AW119</f>
        <v>0</v>
      </c>
      <c r="AX120" s="46">
        <f t="shared" si="359"/>
        <v>86</v>
      </c>
      <c r="AZ120" s="120">
        <f t="shared" ref="AZ120:AZ124" si="521">AZ119+1</f>
        <v>17</v>
      </c>
      <c r="BA120" s="7">
        <f t="shared" ref="BA120:BA124" si="522">BA119</f>
        <v>16</v>
      </c>
      <c r="BB120" s="133"/>
      <c r="BC120" s="48">
        <f t="shared" si="337"/>
        <v>0</v>
      </c>
      <c r="BD120" s="447">
        <f t="shared" si="511"/>
        <v>0</v>
      </c>
      <c r="BE120" s="134"/>
      <c r="BF120" s="135"/>
      <c r="BG120" s="135"/>
      <c r="BH120" s="13">
        <f t="shared" si="472"/>
        <v>0</v>
      </c>
      <c r="BI120" s="14">
        <f t="shared" si="483"/>
        <v>0</v>
      </c>
      <c r="BJ120" s="14">
        <f t="shared" si="304"/>
        <v>0.16</v>
      </c>
      <c r="BK120" s="47">
        <f t="shared" si="350"/>
        <v>0</v>
      </c>
      <c r="BL120" s="35">
        <f t="shared" si="305"/>
        <v>4.160000000000001</v>
      </c>
      <c r="BM120" s="132">
        <f t="shared" si="428"/>
        <v>0</v>
      </c>
      <c r="BN120" s="134"/>
      <c r="BO120" s="14">
        <f t="shared" si="306"/>
        <v>71</v>
      </c>
      <c r="BP120" s="442">
        <f t="shared" si="351"/>
        <v>0</v>
      </c>
      <c r="BQ120" s="747">
        <f t="shared" si="354"/>
        <v>0</v>
      </c>
      <c r="BR120" s="51">
        <f t="shared" si="307"/>
        <v>1160</v>
      </c>
      <c r="BS120" s="103">
        <f t="shared" ref="BS120:BS124" si="523">BS119</f>
        <v>0</v>
      </c>
      <c r="BT120" s="46">
        <f t="shared" si="395"/>
        <v>1160</v>
      </c>
      <c r="BU120" s="12">
        <f t="shared" si="308"/>
        <v>86</v>
      </c>
      <c r="BV120" s="103">
        <f t="shared" ref="BV120:BV124" si="524">BV119</f>
        <v>0</v>
      </c>
      <c r="BW120" s="46">
        <f t="shared" si="360"/>
        <v>86</v>
      </c>
      <c r="BY120" s="120">
        <f t="shared" ref="BY120:BY123" si="525">BY119+1</f>
        <v>30</v>
      </c>
      <c r="BZ120" s="7">
        <f t="shared" ref="BZ120:BZ124" si="526">BZ119</f>
        <v>16</v>
      </c>
      <c r="CA120" s="133"/>
      <c r="CB120" s="14">
        <f t="shared" si="361"/>
        <v>0</v>
      </c>
      <c r="CC120" s="62">
        <f t="shared" si="369"/>
        <v>0</v>
      </c>
      <c r="CD120" s="405"/>
      <c r="CE120" s="406"/>
      <c r="CF120" s="406"/>
      <c r="CG120" s="13">
        <f t="shared" si="370"/>
        <v>0</v>
      </c>
      <c r="CH120" s="14">
        <f t="shared" si="362"/>
        <v>0</v>
      </c>
      <c r="CI120" s="14">
        <f t="shared" si="309"/>
        <v>0.16</v>
      </c>
      <c r="CJ120" s="47">
        <f t="shared" si="352"/>
        <v>0</v>
      </c>
      <c r="CK120" s="35">
        <f t="shared" si="310"/>
        <v>4.160000000000001</v>
      </c>
      <c r="CL120" s="157">
        <f t="shared" si="355"/>
        <v>0</v>
      </c>
      <c r="CM120" s="134"/>
      <c r="CN120" s="14">
        <f t="shared" si="311"/>
        <v>71</v>
      </c>
      <c r="CO120" s="48">
        <f t="shared" si="356"/>
        <v>0</v>
      </c>
      <c r="CP120" s="68">
        <f t="shared" si="353"/>
        <v>0</v>
      </c>
      <c r="CQ120" s="51">
        <f t="shared" si="312"/>
        <v>1160</v>
      </c>
      <c r="CR120" s="103">
        <f t="shared" ref="CR120:CR124" si="527">CR119</f>
        <v>0</v>
      </c>
      <c r="CS120" s="46">
        <f t="shared" si="396"/>
        <v>1160</v>
      </c>
      <c r="CT120" s="50">
        <f t="shared" si="313"/>
        <v>86</v>
      </c>
      <c r="CU120" s="103">
        <f t="shared" ref="CU120:CU124" si="528">CU119</f>
        <v>0</v>
      </c>
      <c r="CV120" s="46">
        <f t="shared" si="344"/>
        <v>86</v>
      </c>
      <c r="CX120" s="120">
        <f t="shared" ref="CX120:CX123" si="529">CX119+1</f>
        <v>30</v>
      </c>
      <c r="CY120" s="7">
        <f t="shared" ref="CY120:CY124" si="530">CY119</f>
        <v>16</v>
      </c>
      <c r="CZ120" s="133"/>
      <c r="DA120" s="14">
        <f t="shared" si="488"/>
        <v>0</v>
      </c>
      <c r="DB120" s="62">
        <f t="shared" si="512"/>
        <v>0</v>
      </c>
      <c r="DC120" s="405"/>
      <c r="DD120" s="406"/>
      <c r="DE120" s="406"/>
      <c r="DF120" s="13">
        <f t="shared" si="371"/>
        <v>0</v>
      </c>
      <c r="DG120" s="14">
        <f t="shared" si="463"/>
        <v>0</v>
      </c>
      <c r="DH120" s="14">
        <f t="shared" si="314"/>
        <v>0.16</v>
      </c>
      <c r="DI120" s="47">
        <f t="shared" si="372"/>
        <v>0</v>
      </c>
      <c r="DJ120" s="35">
        <f t="shared" si="315"/>
        <v>4.160000000000001</v>
      </c>
      <c r="DK120" s="157">
        <f t="shared" si="364"/>
        <v>0</v>
      </c>
      <c r="DL120" s="134"/>
      <c r="DM120" s="14">
        <f t="shared" si="316"/>
        <v>71</v>
      </c>
      <c r="DN120" s="48">
        <f t="shared" si="489"/>
        <v>0</v>
      </c>
      <c r="DO120" s="68">
        <f t="shared" si="365"/>
        <v>0</v>
      </c>
      <c r="DP120" s="51">
        <f t="shared" si="317"/>
        <v>1160</v>
      </c>
      <c r="DQ120" s="103">
        <f t="shared" ref="DQ120:DQ124" si="531">DQ119</f>
        <v>0</v>
      </c>
      <c r="DR120" s="46">
        <f t="shared" si="397"/>
        <v>1160</v>
      </c>
      <c r="DS120" s="50">
        <f t="shared" si="318"/>
        <v>86</v>
      </c>
      <c r="DT120" s="103">
        <f t="shared" ref="DT120:DT124" si="532">DT119</f>
        <v>0</v>
      </c>
      <c r="DU120" s="46">
        <f t="shared" si="357"/>
        <v>86</v>
      </c>
    </row>
    <row r="121" spans="1:125" ht="17.25" thickBot="1" x14ac:dyDescent="0.3">
      <c r="B121" s="120">
        <f t="shared" si="513"/>
        <v>18</v>
      </c>
      <c r="C121" s="570">
        <f t="shared" si="514"/>
        <v>16</v>
      </c>
      <c r="D121" s="133"/>
      <c r="E121" s="408">
        <f t="shared" si="321"/>
        <v>0</v>
      </c>
      <c r="F121" s="562">
        <f t="shared" si="292"/>
        <v>0</v>
      </c>
      <c r="G121" s="134"/>
      <c r="H121" s="135"/>
      <c r="I121" s="135"/>
      <c r="J121" s="13">
        <f t="shared" si="366"/>
        <v>0</v>
      </c>
      <c r="K121" s="14">
        <f t="shared" si="322"/>
        <v>0</v>
      </c>
      <c r="L121" s="14">
        <f t="shared" si="293"/>
        <v>0.16</v>
      </c>
      <c r="M121" s="230">
        <f t="shared" si="349"/>
        <v>0</v>
      </c>
      <c r="N121" s="35">
        <f t="shared" si="294"/>
        <v>4.160000000000001</v>
      </c>
      <c r="O121" s="132">
        <f t="shared" si="323"/>
        <v>0</v>
      </c>
      <c r="P121" s="142"/>
      <c r="Q121" s="14">
        <f t="shared" si="295"/>
        <v>71</v>
      </c>
      <c r="R121" s="482">
        <f t="shared" si="296"/>
        <v>0</v>
      </c>
      <c r="S121" s="470">
        <f t="shared" si="324"/>
        <v>0</v>
      </c>
      <c r="T121" s="51">
        <f t="shared" si="297"/>
        <v>1160</v>
      </c>
      <c r="U121" s="103">
        <f t="shared" si="515"/>
        <v>0</v>
      </c>
      <c r="V121" s="46">
        <f t="shared" si="326"/>
        <v>1160</v>
      </c>
      <c r="W121" s="51">
        <f t="shared" si="298"/>
        <v>86</v>
      </c>
      <c r="X121" s="103">
        <f t="shared" si="516"/>
        <v>0</v>
      </c>
      <c r="Y121" s="46">
        <f t="shared" si="328"/>
        <v>86</v>
      </c>
      <c r="Z121" s="487"/>
      <c r="AA121" s="120">
        <f t="shared" si="517"/>
        <v>18</v>
      </c>
      <c r="AB121" s="7">
        <f t="shared" si="518"/>
        <v>16</v>
      </c>
      <c r="AC121" s="133"/>
      <c r="AD121" s="48">
        <f t="shared" si="462"/>
        <v>0</v>
      </c>
      <c r="AE121" s="196">
        <f t="shared" si="510"/>
        <v>0</v>
      </c>
      <c r="AF121" s="134"/>
      <c r="AG121" s="135"/>
      <c r="AH121" s="135"/>
      <c r="AI121" s="13">
        <f t="shared" si="468"/>
        <v>0</v>
      </c>
      <c r="AJ121" s="14">
        <f t="shared" si="481"/>
        <v>0</v>
      </c>
      <c r="AK121" s="14">
        <f t="shared" si="299"/>
        <v>0.16</v>
      </c>
      <c r="AL121" s="230">
        <f t="shared" si="331"/>
        <v>0</v>
      </c>
      <c r="AM121" s="35">
        <f t="shared" si="300"/>
        <v>4.160000000000001</v>
      </c>
      <c r="AN121" s="157">
        <f t="shared" si="358"/>
        <v>0</v>
      </c>
      <c r="AO121" s="134"/>
      <c r="AP121" s="14">
        <f t="shared" si="301"/>
        <v>71</v>
      </c>
      <c r="AQ121" s="482">
        <f t="shared" si="332"/>
        <v>0</v>
      </c>
      <c r="AR121" s="470">
        <f t="shared" si="420"/>
        <v>0</v>
      </c>
      <c r="AS121" s="51">
        <f t="shared" si="302"/>
        <v>1160</v>
      </c>
      <c r="AT121" s="103">
        <f t="shared" si="519"/>
        <v>0</v>
      </c>
      <c r="AU121" s="46">
        <f t="shared" si="394"/>
        <v>1160</v>
      </c>
      <c r="AV121" s="51">
        <f t="shared" si="303"/>
        <v>86</v>
      </c>
      <c r="AW121" s="103">
        <f t="shared" si="520"/>
        <v>0</v>
      </c>
      <c r="AX121" s="46">
        <f t="shared" si="359"/>
        <v>86</v>
      </c>
      <c r="AZ121" s="120">
        <f t="shared" si="521"/>
        <v>18</v>
      </c>
      <c r="BA121" s="7">
        <f t="shared" si="522"/>
        <v>16</v>
      </c>
      <c r="BB121" s="133"/>
      <c r="BC121" s="48">
        <f t="shared" si="337"/>
        <v>0</v>
      </c>
      <c r="BD121" s="196">
        <f t="shared" si="511"/>
        <v>0</v>
      </c>
      <c r="BE121" s="134"/>
      <c r="BF121" s="135"/>
      <c r="BG121" s="135"/>
      <c r="BH121" s="13">
        <f t="shared" si="472"/>
        <v>0</v>
      </c>
      <c r="BI121" s="14">
        <f t="shared" si="483"/>
        <v>0</v>
      </c>
      <c r="BJ121" s="14">
        <f t="shared" si="304"/>
        <v>0.16</v>
      </c>
      <c r="BK121" s="47">
        <f t="shared" si="350"/>
        <v>0</v>
      </c>
      <c r="BL121" s="35">
        <f t="shared" si="305"/>
        <v>4.160000000000001</v>
      </c>
      <c r="BM121" s="132">
        <f t="shared" si="428"/>
        <v>0</v>
      </c>
      <c r="BN121" s="134"/>
      <c r="BO121" s="14">
        <f t="shared" si="306"/>
        <v>71</v>
      </c>
      <c r="BP121" s="442">
        <f t="shared" si="351"/>
        <v>0</v>
      </c>
      <c r="BQ121" s="747">
        <f t="shared" si="354"/>
        <v>0</v>
      </c>
      <c r="BR121" s="51">
        <f t="shared" si="307"/>
        <v>1160</v>
      </c>
      <c r="BS121" s="103">
        <f t="shared" si="523"/>
        <v>0</v>
      </c>
      <c r="BT121" s="46">
        <f t="shared" si="395"/>
        <v>1160</v>
      </c>
      <c r="BU121" s="51">
        <f t="shared" si="308"/>
        <v>86</v>
      </c>
      <c r="BV121" s="103">
        <f t="shared" si="524"/>
        <v>0</v>
      </c>
      <c r="BW121" s="46">
        <f t="shared" si="360"/>
        <v>86</v>
      </c>
      <c r="BY121" s="120">
        <f t="shared" si="525"/>
        <v>31</v>
      </c>
      <c r="BZ121" s="7">
        <f t="shared" si="526"/>
        <v>16</v>
      </c>
      <c r="CA121" s="133"/>
      <c r="CB121" s="14">
        <f t="shared" si="361"/>
        <v>0</v>
      </c>
      <c r="CC121" s="59">
        <f t="shared" si="369"/>
        <v>0</v>
      </c>
      <c r="CD121" s="405"/>
      <c r="CE121" s="406"/>
      <c r="CF121" s="406"/>
      <c r="CG121" s="13">
        <f t="shared" si="370"/>
        <v>0</v>
      </c>
      <c r="CH121" s="14">
        <f t="shared" si="362"/>
        <v>0</v>
      </c>
      <c r="CI121" s="14">
        <f t="shared" si="309"/>
        <v>0.16</v>
      </c>
      <c r="CJ121" s="47">
        <f t="shared" si="352"/>
        <v>0</v>
      </c>
      <c r="CK121" s="35">
        <f t="shared" si="310"/>
        <v>4.160000000000001</v>
      </c>
      <c r="CL121" s="157">
        <f t="shared" si="355"/>
        <v>0</v>
      </c>
      <c r="CM121" s="134"/>
      <c r="CN121" s="14">
        <f t="shared" si="311"/>
        <v>71</v>
      </c>
      <c r="CO121" s="48">
        <f t="shared" si="356"/>
        <v>0</v>
      </c>
      <c r="CP121" s="68">
        <f t="shared" si="353"/>
        <v>0</v>
      </c>
      <c r="CQ121" s="51">
        <f t="shared" si="312"/>
        <v>1160</v>
      </c>
      <c r="CR121" s="103">
        <f t="shared" si="527"/>
        <v>0</v>
      </c>
      <c r="CS121" s="46">
        <f t="shared" si="396"/>
        <v>1160</v>
      </c>
      <c r="CT121" s="51">
        <f t="shared" si="313"/>
        <v>86</v>
      </c>
      <c r="CU121" s="103">
        <f t="shared" si="528"/>
        <v>0</v>
      </c>
      <c r="CV121" s="46">
        <f t="shared" si="344"/>
        <v>86</v>
      </c>
      <c r="CX121" s="120">
        <f t="shared" si="529"/>
        <v>31</v>
      </c>
      <c r="CY121" s="7">
        <f t="shared" si="530"/>
        <v>16</v>
      </c>
      <c r="CZ121" s="133"/>
      <c r="DA121" s="14">
        <f t="shared" si="488"/>
        <v>0</v>
      </c>
      <c r="DB121" s="59">
        <f t="shared" si="512"/>
        <v>0</v>
      </c>
      <c r="DC121" s="405"/>
      <c r="DD121" s="406"/>
      <c r="DE121" s="406"/>
      <c r="DF121" s="13">
        <f t="shared" si="371"/>
        <v>0</v>
      </c>
      <c r="DG121" s="14">
        <f t="shared" si="463"/>
        <v>0</v>
      </c>
      <c r="DH121" s="14">
        <f t="shared" si="314"/>
        <v>0.16</v>
      </c>
      <c r="DI121" s="47">
        <f t="shared" si="372"/>
        <v>0</v>
      </c>
      <c r="DJ121" s="35">
        <f t="shared" si="315"/>
        <v>4.160000000000001</v>
      </c>
      <c r="DK121" s="157">
        <f t="shared" si="364"/>
        <v>0</v>
      </c>
      <c r="DL121" s="134"/>
      <c r="DM121" s="14">
        <f t="shared" si="316"/>
        <v>71</v>
      </c>
      <c r="DN121" s="48">
        <f t="shared" si="489"/>
        <v>0</v>
      </c>
      <c r="DO121" s="68">
        <f t="shared" si="365"/>
        <v>0</v>
      </c>
      <c r="DP121" s="51">
        <f t="shared" si="317"/>
        <v>1160</v>
      </c>
      <c r="DQ121" s="103">
        <f t="shared" si="531"/>
        <v>0</v>
      </c>
      <c r="DR121" s="46">
        <f t="shared" si="397"/>
        <v>1160</v>
      </c>
      <c r="DS121" s="51">
        <f t="shared" si="318"/>
        <v>86</v>
      </c>
      <c r="DT121" s="103">
        <f t="shared" si="532"/>
        <v>0</v>
      </c>
      <c r="DU121" s="46">
        <f t="shared" si="357"/>
        <v>86</v>
      </c>
    </row>
    <row r="122" spans="1:125" ht="17.25" thickBot="1" x14ac:dyDescent="0.3">
      <c r="B122" s="120">
        <f t="shared" si="513"/>
        <v>19</v>
      </c>
      <c r="C122" s="570">
        <f t="shared" si="514"/>
        <v>16</v>
      </c>
      <c r="D122" s="133"/>
      <c r="E122" s="408">
        <f t="shared" si="321"/>
        <v>0</v>
      </c>
      <c r="F122" s="562">
        <f t="shared" si="292"/>
        <v>0</v>
      </c>
      <c r="G122" s="134"/>
      <c r="H122" s="135"/>
      <c r="I122" s="135"/>
      <c r="J122" s="13">
        <f t="shared" si="366"/>
        <v>0</v>
      </c>
      <c r="K122" s="14">
        <f t="shared" si="322"/>
        <v>0</v>
      </c>
      <c r="L122" s="14">
        <f t="shared" si="293"/>
        <v>0.16</v>
      </c>
      <c r="M122" s="47">
        <f t="shared" si="349"/>
        <v>0</v>
      </c>
      <c r="N122" s="35">
        <f t="shared" si="294"/>
        <v>4.160000000000001</v>
      </c>
      <c r="O122" s="132">
        <f t="shared" si="323"/>
        <v>0</v>
      </c>
      <c r="P122" s="142"/>
      <c r="Q122" s="14">
        <f t="shared" si="295"/>
        <v>71</v>
      </c>
      <c r="R122" s="482">
        <f t="shared" si="296"/>
        <v>0</v>
      </c>
      <c r="S122" s="470">
        <f t="shared" si="324"/>
        <v>0</v>
      </c>
      <c r="T122" s="51">
        <f t="shared" si="297"/>
        <v>1160</v>
      </c>
      <c r="U122" s="103">
        <f t="shared" si="515"/>
        <v>0</v>
      </c>
      <c r="V122" s="46">
        <f t="shared" si="326"/>
        <v>1160</v>
      </c>
      <c r="W122" s="51">
        <f t="shared" si="298"/>
        <v>86</v>
      </c>
      <c r="X122" s="103">
        <f t="shared" si="516"/>
        <v>0</v>
      </c>
      <c r="Y122" s="46">
        <f t="shared" si="328"/>
        <v>86</v>
      </c>
      <c r="Z122" s="487"/>
      <c r="AA122" s="120">
        <f t="shared" si="517"/>
        <v>19</v>
      </c>
      <c r="AB122" s="7">
        <f t="shared" si="518"/>
        <v>16</v>
      </c>
      <c r="AC122" s="133"/>
      <c r="AD122" s="48">
        <f t="shared" si="462"/>
        <v>0</v>
      </c>
      <c r="AE122" s="49">
        <f t="shared" si="510"/>
        <v>0</v>
      </c>
      <c r="AF122" s="134"/>
      <c r="AG122" s="135"/>
      <c r="AH122" s="135"/>
      <c r="AI122" s="13">
        <f t="shared" si="468"/>
        <v>0</v>
      </c>
      <c r="AJ122" s="14">
        <f t="shared" si="481"/>
        <v>0</v>
      </c>
      <c r="AK122" s="14">
        <f t="shared" si="299"/>
        <v>0.16</v>
      </c>
      <c r="AL122" s="47">
        <f t="shared" si="331"/>
        <v>0</v>
      </c>
      <c r="AM122" s="35">
        <f t="shared" si="300"/>
        <v>4.160000000000001</v>
      </c>
      <c r="AN122" s="157">
        <f t="shared" si="358"/>
        <v>0</v>
      </c>
      <c r="AO122" s="134"/>
      <c r="AP122" s="14">
        <f t="shared" si="301"/>
        <v>71</v>
      </c>
      <c r="AQ122" s="482">
        <f t="shared" si="332"/>
        <v>0</v>
      </c>
      <c r="AR122" s="470">
        <f t="shared" si="420"/>
        <v>0</v>
      </c>
      <c r="AS122" s="51">
        <f t="shared" si="302"/>
        <v>1160</v>
      </c>
      <c r="AT122" s="103">
        <f t="shared" si="519"/>
        <v>0</v>
      </c>
      <c r="AU122" s="46">
        <f t="shared" si="394"/>
        <v>1160</v>
      </c>
      <c r="AV122" s="51">
        <f t="shared" si="303"/>
        <v>86</v>
      </c>
      <c r="AW122" s="103">
        <f t="shared" si="520"/>
        <v>0</v>
      </c>
      <c r="AX122" s="46">
        <f t="shared" si="359"/>
        <v>86</v>
      </c>
      <c r="AZ122" s="120">
        <f>AZ121+1</f>
        <v>19</v>
      </c>
      <c r="BA122" s="7">
        <f t="shared" si="522"/>
        <v>16</v>
      </c>
      <c r="BB122" s="133"/>
      <c r="BC122" s="48">
        <f t="shared" si="337"/>
        <v>0</v>
      </c>
      <c r="BD122" s="49">
        <f t="shared" si="511"/>
        <v>0</v>
      </c>
      <c r="BE122" s="134"/>
      <c r="BF122" s="135"/>
      <c r="BG122" s="135"/>
      <c r="BH122" s="13">
        <f t="shared" si="472"/>
        <v>0</v>
      </c>
      <c r="BI122" s="14">
        <f t="shared" si="483"/>
        <v>0</v>
      </c>
      <c r="BJ122" s="14">
        <f t="shared" si="304"/>
        <v>0.16</v>
      </c>
      <c r="BK122" s="47">
        <f t="shared" si="350"/>
        <v>0</v>
      </c>
      <c r="BL122" s="35">
        <f t="shared" si="305"/>
        <v>4.160000000000001</v>
      </c>
      <c r="BM122" s="132">
        <f t="shared" si="428"/>
        <v>0</v>
      </c>
      <c r="BN122" s="134"/>
      <c r="BO122" s="14">
        <f t="shared" si="306"/>
        <v>71</v>
      </c>
      <c r="BP122" s="442">
        <f t="shared" si="351"/>
        <v>0</v>
      </c>
      <c r="BQ122" s="747">
        <f t="shared" si="354"/>
        <v>0</v>
      </c>
      <c r="BR122" s="51">
        <f t="shared" si="307"/>
        <v>1160</v>
      </c>
      <c r="BS122" s="103">
        <f t="shared" si="523"/>
        <v>0</v>
      </c>
      <c r="BT122" s="46">
        <f t="shared" si="395"/>
        <v>1160</v>
      </c>
      <c r="BU122" s="51">
        <f t="shared" si="308"/>
        <v>86</v>
      </c>
      <c r="BV122" s="103">
        <f t="shared" si="524"/>
        <v>0</v>
      </c>
      <c r="BW122" s="46">
        <f t="shared" si="360"/>
        <v>86</v>
      </c>
      <c r="BY122" s="120">
        <f t="shared" si="525"/>
        <v>32</v>
      </c>
      <c r="BZ122" s="7">
        <f t="shared" si="526"/>
        <v>16</v>
      </c>
      <c r="CA122" s="133"/>
      <c r="CB122" s="14">
        <f t="shared" si="361"/>
        <v>0</v>
      </c>
      <c r="CC122" s="46">
        <f t="shared" si="369"/>
        <v>0</v>
      </c>
      <c r="CD122" s="405"/>
      <c r="CE122" s="406"/>
      <c r="CF122" s="406"/>
      <c r="CG122" s="13">
        <f t="shared" si="370"/>
        <v>0</v>
      </c>
      <c r="CH122" s="14">
        <f t="shared" si="362"/>
        <v>0</v>
      </c>
      <c r="CI122" s="14">
        <f t="shared" si="309"/>
        <v>0.16</v>
      </c>
      <c r="CJ122" s="47">
        <f t="shared" si="352"/>
        <v>0</v>
      </c>
      <c r="CK122" s="35">
        <f t="shared" si="310"/>
        <v>4.160000000000001</v>
      </c>
      <c r="CL122" s="157">
        <f t="shared" si="355"/>
        <v>0</v>
      </c>
      <c r="CM122" s="134"/>
      <c r="CN122" s="14">
        <f t="shared" si="311"/>
        <v>71</v>
      </c>
      <c r="CO122" s="48">
        <f t="shared" si="356"/>
        <v>0</v>
      </c>
      <c r="CP122" s="68">
        <f t="shared" si="353"/>
        <v>0</v>
      </c>
      <c r="CQ122" s="51">
        <f t="shared" si="312"/>
        <v>1160</v>
      </c>
      <c r="CR122" s="103">
        <f t="shared" si="527"/>
        <v>0</v>
      </c>
      <c r="CS122" s="46">
        <f t="shared" si="396"/>
        <v>1160</v>
      </c>
      <c r="CT122" s="51">
        <f t="shared" si="313"/>
        <v>86</v>
      </c>
      <c r="CU122" s="103">
        <f t="shared" si="528"/>
        <v>0</v>
      </c>
      <c r="CV122" s="46">
        <f t="shared" si="344"/>
        <v>86</v>
      </c>
      <c r="CX122" s="120">
        <f t="shared" si="529"/>
        <v>32</v>
      </c>
      <c r="CY122" s="7">
        <f t="shared" si="530"/>
        <v>16</v>
      </c>
      <c r="CZ122" s="133"/>
      <c r="DA122" s="14">
        <f t="shared" si="488"/>
        <v>0</v>
      </c>
      <c r="DB122" s="46">
        <f t="shared" si="512"/>
        <v>0</v>
      </c>
      <c r="DC122" s="405"/>
      <c r="DD122" s="406"/>
      <c r="DE122" s="406"/>
      <c r="DF122" s="13">
        <f t="shared" si="371"/>
        <v>0</v>
      </c>
      <c r="DG122" s="14">
        <f t="shared" si="463"/>
        <v>0</v>
      </c>
      <c r="DH122" s="14">
        <f t="shared" si="314"/>
        <v>0.16</v>
      </c>
      <c r="DI122" s="47">
        <f t="shared" si="372"/>
        <v>0</v>
      </c>
      <c r="DJ122" s="35">
        <f t="shared" si="315"/>
        <v>4.160000000000001</v>
      </c>
      <c r="DK122" s="157">
        <f t="shared" si="364"/>
        <v>0</v>
      </c>
      <c r="DL122" s="134"/>
      <c r="DM122" s="14">
        <f t="shared" si="316"/>
        <v>71</v>
      </c>
      <c r="DN122" s="48">
        <f t="shared" si="489"/>
        <v>0</v>
      </c>
      <c r="DO122" s="68">
        <f t="shared" si="365"/>
        <v>0</v>
      </c>
      <c r="DP122" s="51">
        <f t="shared" si="317"/>
        <v>1160</v>
      </c>
      <c r="DQ122" s="103">
        <f t="shared" si="531"/>
        <v>0</v>
      </c>
      <c r="DR122" s="46">
        <f t="shared" si="397"/>
        <v>1160</v>
      </c>
      <c r="DS122" s="51">
        <f t="shared" si="318"/>
        <v>86</v>
      </c>
      <c r="DT122" s="103">
        <f t="shared" si="532"/>
        <v>0</v>
      </c>
      <c r="DU122" s="46">
        <f t="shared" si="357"/>
        <v>86</v>
      </c>
    </row>
    <row r="123" spans="1:125" ht="18.75" thickBot="1" x14ac:dyDescent="0.3">
      <c r="A123" s="717"/>
      <c r="B123" s="403">
        <v>20</v>
      </c>
      <c r="C123" s="571">
        <f t="shared" si="514"/>
        <v>16</v>
      </c>
      <c r="D123" s="229"/>
      <c r="E123" s="408">
        <f t="shared" si="321"/>
        <v>0</v>
      </c>
      <c r="F123" s="562">
        <f t="shared" si="292"/>
        <v>0</v>
      </c>
      <c r="G123" s="405"/>
      <c r="H123" s="406"/>
      <c r="I123" s="406"/>
      <c r="J123" s="387">
        <f t="shared" si="366"/>
        <v>0</v>
      </c>
      <c r="K123" s="380">
        <f t="shared" si="322"/>
        <v>0</v>
      </c>
      <c r="L123" s="380">
        <f t="shared" si="293"/>
        <v>0.16</v>
      </c>
      <c r="M123" s="429">
        <f t="shared" si="349"/>
        <v>0</v>
      </c>
      <c r="N123" s="407">
        <f t="shared" si="294"/>
        <v>4.160000000000001</v>
      </c>
      <c r="O123" s="132">
        <f t="shared" si="323"/>
        <v>0</v>
      </c>
      <c r="P123" s="411"/>
      <c r="Q123" s="380">
        <f t="shared" si="295"/>
        <v>71</v>
      </c>
      <c r="R123" s="536">
        <f t="shared" si="296"/>
        <v>0</v>
      </c>
      <c r="S123" s="474">
        <f t="shared" si="324"/>
        <v>0</v>
      </c>
      <c r="T123" s="182">
        <f t="shared" si="297"/>
        <v>1160</v>
      </c>
      <c r="U123" s="604">
        <f t="shared" si="515"/>
        <v>0</v>
      </c>
      <c r="V123" s="206">
        <f t="shared" si="326"/>
        <v>1160</v>
      </c>
      <c r="W123" s="182">
        <f t="shared" si="298"/>
        <v>86</v>
      </c>
      <c r="X123" s="181">
        <f t="shared" si="516"/>
        <v>0</v>
      </c>
      <c r="Y123" s="206">
        <f t="shared" si="328"/>
        <v>86</v>
      </c>
      <c r="Z123" s="487"/>
      <c r="AA123" s="120">
        <v>20</v>
      </c>
      <c r="AB123" s="7">
        <f t="shared" si="518"/>
        <v>16</v>
      </c>
      <c r="AC123" s="133"/>
      <c r="AD123" s="48">
        <f t="shared" si="462"/>
        <v>0</v>
      </c>
      <c r="AE123" s="447">
        <f t="shared" si="510"/>
        <v>0</v>
      </c>
      <c r="AF123" s="134"/>
      <c r="AG123" s="135"/>
      <c r="AH123" s="135"/>
      <c r="AI123" s="13">
        <f t="shared" si="468"/>
        <v>0</v>
      </c>
      <c r="AJ123" s="14">
        <f t="shared" si="481"/>
        <v>0</v>
      </c>
      <c r="AK123" s="14">
        <f t="shared" si="299"/>
        <v>0.16</v>
      </c>
      <c r="AL123" s="231">
        <f t="shared" si="331"/>
        <v>0</v>
      </c>
      <c r="AM123" s="35">
        <f t="shared" si="300"/>
        <v>4.160000000000001</v>
      </c>
      <c r="AN123" s="157">
        <f t="shared" si="358"/>
        <v>0</v>
      </c>
      <c r="AO123" s="134"/>
      <c r="AP123" s="14">
        <f t="shared" si="301"/>
        <v>71</v>
      </c>
      <c r="AQ123" s="442">
        <f t="shared" si="332"/>
        <v>0</v>
      </c>
      <c r="AR123" s="470">
        <f t="shared" si="420"/>
        <v>0</v>
      </c>
      <c r="AS123" s="51">
        <f t="shared" si="302"/>
        <v>1160</v>
      </c>
      <c r="AT123" s="202">
        <f t="shared" si="519"/>
        <v>0</v>
      </c>
      <c r="AU123" s="46">
        <f t="shared" si="394"/>
        <v>1160</v>
      </c>
      <c r="AV123" s="51">
        <f t="shared" si="303"/>
        <v>86</v>
      </c>
      <c r="AW123" s="103">
        <f t="shared" si="520"/>
        <v>0</v>
      </c>
      <c r="AX123" s="46">
        <f t="shared" si="359"/>
        <v>86</v>
      </c>
      <c r="AZ123" s="120">
        <f>AZ122+1</f>
        <v>20</v>
      </c>
      <c r="BA123" s="7">
        <f t="shared" si="522"/>
        <v>16</v>
      </c>
      <c r="BB123" s="133"/>
      <c r="BC123" s="48">
        <f t="shared" si="337"/>
        <v>0</v>
      </c>
      <c r="BD123" s="447">
        <f t="shared" si="511"/>
        <v>0</v>
      </c>
      <c r="BE123" s="134"/>
      <c r="BF123" s="135"/>
      <c r="BG123" s="135"/>
      <c r="BH123" s="13">
        <f t="shared" si="472"/>
        <v>0</v>
      </c>
      <c r="BI123" s="14">
        <f t="shared" si="483"/>
        <v>0</v>
      </c>
      <c r="BJ123" s="14">
        <f t="shared" si="304"/>
        <v>0.16</v>
      </c>
      <c r="BK123" s="47">
        <f t="shared" si="350"/>
        <v>0</v>
      </c>
      <c r="BL123" s="35">
        <f t="shared" si="305"/>
        <v>4.160000000000001</v>
      </c>
      <c r="BM123" s="132">
        <f t="shared" si="428"/>
        <v>0</v>
      </c>
      <c r="BN123" s="134"/>
      <c r="BO123" s="14">
        <f t="shared" si="306"/>
        <v>71</v>
      </c>
      <c r="BP123" s="442">
        <f t="shared" si="351"/>
        <v>0</v>
      </c>
      <c r="BQ123" s="747">
        <f t="shared" si="354"/>
        <v>0</v>
      </c>
      <c r="BR123" s="51">
        <f t="shared" si="307"/>
        <v>1160</v>
      </c>
      <c r="BS123" s="202">
        <f t="shared" si="523"/>
        <v>0</v>
      </c>
      <c r="BT123" s="46">
        <f t="shared" si="395"/>
        <v>1160</v>
      </c>
      <c r="BU123" s="51">
        <f t="shared" si="308"/>
        <v>86</v>
      </c>
      <c r="BV123" s="103">
        <f t="shared" si="524"/>
        <v>0</v>
      </c>
      <c r="BW123" s="46">
        <f t="shared" si="360"/>
        <v>86</v>
      </c>
      <c r="BY123" s="120">
        <f t="shared" si="525"/>
        <v>33</v>
      </c>
      <c r="BZ123" s="7">
        <f t="shared" si="526"/>
        <v>16</v>
      </c>
      <c r="CA123" s="133"/>
      <c r="CB123" s="14">
        <f t="shared" si="361"/>
        <v>0</v>
      </c>
      <c r="CC123" s="62">
        <f t="shared" si="369"/>
        <v>0</v>
      </c>
      <c r="CD123" s="405"/>
      <c r="CE123" s="406"/>
      <c r="CF123" s="406"/>
      <c r="CG123" s="13">
        <f t="shared" si="370"/>
        <v>0</v>
      </c>
      <c r="CH123" s="14">
        <f t="shared" si="362"/>
        <v>0</v>
      </c>
      <c r="CI123" s="14">
        <f t="shared" si="309"/>
        <v>0.16</v>
      </c>
      <c r="CJ123" s="47">
        <f t="shared" si="352"/>
        <v>0</v>
      </c>
      <c r="CK123" s="35">
        <f t="shared" si="310"/>
        <v>4.160000000000001</v>
      </c>
      <c r="CL123" s="157">
        <f t="shared" si="355"/>
        <v>0</v>
      </c>
      <c r="CM123" s="134"/>
      <c r="CN123" s="14">
        <f t="shared" si="311"/>
        <v>71</v>
      </c>
      <c r="CO123" s="48">
        <f t="shared" si="356"/>
        <v>0</v>
      </c>
      <c r="CP123" s="68">
        <f t="shared" si="353"/>
        <v>0</v>
      </c>
      <c r="CQ123" s="51">
        <f t="shared" si="312"/>
        <v>1160</v>
      </c>
      <c r="CR123" s="103">
        <f t="shared" si="527"/>
        <v>0</v>
      </c>
      <c r="CS123" s="46">
        <f t="shared" si="396"/>
        <v>1160</v>
      </c>
      <c r="CT123" s="51">
        <f t="shared" si="313"/>
        <v>86</v>
      </c>
      <c r="CU123" s="103">
        <f t="shared" si="528"/>
        <v>0</v>
      </c>
      <c r="CV123" s="46">
        <f t="shared" si="344"/>
        <v>86</v>
      </c>
      <c r="CX123" s="120">
        <f t="shared" si="529"/>
        <v>33</v>
      </c>
      <c r="CY123" s="7">
        <f t="shared" si="530"/>
        <v>16</v>
      </c>
      <c r="CZ123" s="133"/>
      <c r="DA123" s="14">
        <f t="shared" si="488"/>
        <v>0</v>
      </c>
      <c r="DB123" s="62">
        <f t="shared" si="512"/>
        <v>0</v>
      </c>
      <c r="DC123" s="405"/>
      <c r="DD123" s="406"/>
      <c r="DE123" s="406"/>
      <c r="DF123" s="13">
        <f t="shared" si="371"/>
        <v>0</v>
      </c>
      <c r="DG123" s="14">
        <f t="shared" si="463"/>
        <v>0</v>
      </c>
      <c r="DH123" s="14">
        <f t="shared" si="314"/>
        <v>0.16</v>
      </c>
      <c r="DI123" s="47">
        <f t="shared" si="372"/>
        <v>0</v>
      </c>
      <c r="DJ123" s="35">
        <f t="shared" si="315"/>
        <v>4.160000000000001</v>
      </c>
      <c r="DK123" s="157">
        <f t="shared" si="364"/>
        <v>0</v>
      </c>
      <c r="DL123" s="134"/>
      <c r="DM123" s="14">
        <f t="shared" si="316"/>
        <v>71</v>
      </c>
      <c r="DN123" s="48">
        <f t="shared" si="489"/>
        <v>0</v>
      </c>
      <c r="DO123" s="68">
        <f t="shared" si="365"/>
        <v>0</v>
      </c>
      <c r="DP123" s="51">
        <f t="shared" si="317"/>
        <v>1160</v>
      </c>
      <c r="DQ123" s="103">
        <f t="shared" si="531"/>
        <v>0</v>
      </c>
      <c r="DR123" s="46">
        <f t="shared" si="397"/>
        <v>1160</v>
      </c>
      <c r="DS123" s="51">
        <f t="shared" si="318"/>
        <v>86</v>
      </c>
      <c r="DT123" s="103">
        <f t="shared" si="532"/>
        <v>0</v>
      </c>
      <c r="DU123" s="46">
        <f t="shared" si="357"/>
        <v>86</v>
      </c>
    </row>
    <row r="124" spans="1:125" ht="17.25" thickBot="1" x14ac:dyDescent="0.3">
      <c r="B124" s="120">
        <f t="shared" si="513"/>
        <v>21</v>
      </c>
      <c r="C124" s="574">
        <f t="shared" si="514"/>
        <v>16</v>
      </c>
      <c r="D124" s="136"/>
      <c r="E124" s="436">
        <f t="shared" si="321"/>
        <v>0</v>
      </c>
      <c r="F124" s="451">
        <f t="shared" si="292"/>
        <v>0</v>
      </c>
      <c r="G124" s="204"/>
      <c r="H124" s="205"/>
      <c r="I124" s="205"/>
      <c r="J124" s="13">
        <f t="shared" si="366"/>
        <v>0</v>
      </c>
      <c r="K124" s="13">
        <f t="shared" si="322"/>
        <v>0</v>
      </c>
      <c r="L124" s="13">
        <f t="shared" si="293"/>
        <v>0.16</v>
      </c>
      <c r="M124" s="230">
        <f t="shared" si="349"/>
        <v>0</v>
      </c>
      <c r="N124" s="161">
        <f t="shared" si="294"/>
        <v>4.160000000000001</v>
      </c>
      <c r="O124" s="132">
        <f t="shared" si="323"/>
        <v>0</v>
      </c>
      <c r="P124" s="139"/>
      <c r="Q124" s="32">
        <f t="shared" si="295"/>
        <v>71</v>
      </c>
      <c r="R124" s="479">
        <f t="shared" si="296"/>
        <v>0</v>
      </c>
      <c r="S124" s="471">
        <f t="shared" si="324"/>
        <v>0</v>
      </c>
      <c r="T124" s="378">
        <f t="shared" si="297"/>
        <v>1160</v>
      </c>
      <c r="U124" s="111">
        <f t="shared" si="515"/>
        <v>0</v>
      </c>
      <c r="V124" s="53">
        <f t="shared" si="326"/>
        <v>1160</v>
      </c>
      <c r="W124" s="12">
        <f t="shared" si="298"/>
        <v>86</v>
      </c>
      <c r="X124" s="103">
        <f t="shared" si="516"/>
        <v>0</v>
      </c>
      <c r="Y124" s="63">
        <f t="shared" si="328"/>
        <v>86</v>
      </c>
      <c r="Z124" s="487"/>
      <c r="AA124" s="120">
        <f t="shared" si="517"/>
        <v>21</v>
      </c>
      <c r="AB124" s="8">
        <f t="shared" si="518"/>
        <v>16</v>
      </c>
      <c r="AC124" s="136"/>
      <c r="AD124" s="54">
        <f t="shared" si="462"/>
        <v>0</v>
      </c>
      <c r="AE124" s="55">
        <f t="shared" si="510"/>
        <v>0</v>
      </c>
      <c r="AF124" s="137"/>
      <c r="AG124" s="138"/>
      <c r="AH124" s="138"/>
      <c r="AI124" s="32">
        <f t="shared" si="468"/>
        <v>0</v>
      </c>
      <c r="AJ124" s="32">
        <f t="shared" si="481"/>
        <v>0</v>
      </c>
      <c r="AK124" s="32">
        <f t="shared" si="299"/>
        <v>0.16</v>
      </c>
      <c r="AL124" s="96">
        <f t="shared" si="331"/>
        <v>0</v>
      </c>
      <c r="AM124" s="36">
        <f t="shared" si="300"/>
        <v>4.160000000000001</v>
      </c>
      <c r="AN124" s="157">
        <f t="shared" si="358"/>
        <v>0</v>
      </c>
      <c r="AO124" s="137"/>
      <c r="AP124" s="32">
        <f t="shared" si="301"/>
        <v>71</v>
      </c>
      <c r="AQ124" s="479">
        <f t="shared" si="332"/>
        <v>0</v>
      </c>
      <c r="AR124" s="471">
        <f t="shared" si="420"/>
        <v>0</v>
      </c>
      <c r="AS124" s="378">
        <f t="shared" si="302"/>
        <v>1160</v>
      </c>
      <c r="AT124" s="111">
        <f t="shared" si="519"/>
        <v>0</v>
      </c>
      <c r="AU124" s="53">
        <f t="shared" si="394"/>
        <v>1160</v>
      </c>
      <c r="AV124" s="12">
        <f t="shared" si="303"/>
        <v>86</v>
      </c>
      <c r="AW124" s="103">
        <f t="shared" si="520"/>
        <v>0</v>
      </c>
      <c r="AX124" s="63">
        <f t="shared" si="359"/>
        <v>86</v>
      </c>
      <c r="AZ124" s="119">
        <f t="shared" si="521"/>
        <v>21</v>
      </c>
      <c r="BA124" s="95">
        <f t="shared" si="522"/>
        <v>16</v>
      </c>
      <c r="BB124" s="203"/>
      <c r="BC124" s="67">
        <f t="shared" si="337"/>
        <v>0</v>
      </c>
      <c r="BD124" s="196">
        <f t="shared" si="511"/>
        <v>0</v>
      </c>
      <c r="BE124" s="204"/>
      <c r="BF124" s="205"/>
      <c r="BG124" s="205"/>
      <c r="BH124" s="13">
        <f t="shared" si="472"/>
        <v>0</v>
      </c>
      <c r="BI124" s="13">
        <f t="shared" si="483"/>
        <v>0</v>
      </c>
      <c r="BJ124" s="13">
        <f t="shared" si="304"/>
        <v>0.16</v>
      </c>
      <c r="BK124" s="230">
        <f t="shared" si="350"/>
        <v>0</v>
      </c>
      <c r="BL124" s="161">
        <f t="shared" si="305"/>
        <v>4.160000000000001</v>
      </c>
      <c r="BM124" s="132">
        <f t="shared" si="428"/>
        <v>0</v>
      </c>
      <c r="BN124" s="204"/>
      <c r="BO124" s="13">
        <f t="shared" si="306"/>
        <v>71</v>
      </c>
      <c r="BP124" s="482">
        <f t="shared" si="351"/>
        <v>0</v>
      </c>
      <c r="BQ124" s="752">
        <f t="shared" si="354"/>
        <v>0</v>
      </c>
      <c r="BR124" s="605">
        <f t="shared" si="307"/>
        <v>1160</v>
      </c>
      <c r="BS124" s="606">
        <f t="shared" si="523"/>
        <v>0</v>
      </c>
      <c r="BT124" s="59">
        <f t="shared" si="395"/>
        <v>1160</v>
      </c>
      <c r="BU124" s="12">
        <f t="shared" si="308"/>
        <v>86</v>
      </c>
      <c r="BV124" s="202">
        <f t="shared" si="524"/>
        <v>0</v>
      </c>
      <c r="BW124" s="62">
        <f t="shared" si="360"/>
        <v>86</v>
      </c>
      <c r="BY124" s="197">
        <f>BY123+1</f>
        <v>34</v>
      </c>
      <c r="BZ124" s="8">
        <f t="shared" si="526"/>
        <v>16</v>
      </c>
      <c r="CA124" s="136"/>
      <c r="CB124" s="32">
        <f t="shared" si="361"/>
        <v>0</v>
      </c>
      <c r="CC124" s="53">
        <f t="shared" si="369"/>
        <v>0</v>
      </c>
      <c r="CD124" s="421"/>
      <c r="CE124" s="426"/>
      <c r="CF124" s="426"/>
      <c r="CG124" s="32">
        <f t="shared" si="370"/>
        <v>0</v>
      </c>
      <c r="CH124" s="32">
        <f t="shared" si="362"/>
        <v>0</v>
      </c>
      <c r="CI124" s="32">
        <f t="shared" si="309"/>
        <v>0.16</v>
      </c>
      <c r="CJ124" s="96">
        <f t="shared" si="352"/>
        <v>0</v>
      </c>
      <c r="CK124" s="36">
        <f t="shared" si="310"/>
        <v>4.160000000000001</v>
      </c>
      <c r="CL124" s="156">
        <f t="shared" si="355"/>
        <v>0</v>
      </c>
      <c r="CM124" s="137"/>
      <c r="CN124" s="32">
        <f t="shared" si="311"/>
        <v>71</v>
      </c>
      <c r="CO124" s="54">
        <f t="shared" si="356"/>
        <v>0</v>
      </c>
      <c r="CP124" s="70">
        <f t="shared" si="353"/>
        <v>0</v>
      </c>
      <c r="CQ124" s="50">
        <f t="shared" si="312"/>
        <v>1160</v>
      </c>
      <c r="CR124" s="103">
        <f t="shared" si="527"/>
        <v>0</v>
      </c>
      <c r="CS124" s="63">
        <f t="shared" si="396"/>
        <v>1160</v>
      </c>
      <c r="CT124" s="12">
        <f t="shared" si="313"/>
        <v>86</v>
      </c>
      <c r="CU124" s="103">
        <f t="shared" si="528"/>
        <v>0</v>
      </c>
      <c r="CV124" s="63">
        <f t="shared" si="344"/>
        <v>86</v>
      </c>
      <c r="CX124" s="197">
        <f>CX123+1</f>
        <v>34</v>
      </c>
      <c r="CY124" s="8">
        <f t="shared" si="530"/>
        <v>16</v>
      </c>
      <c r="CZ124" s="136"/>
      <c r="DA124" s="32">
        <f t="shared" si="488"/>
        <v>0</v>
      </c>
      <c r="DB124" s="53">
        <f t="shared" si="512"/>
        <v>0</v>
      </c>
      <c r="DC124" s="421"/>
      <c r="DD124" s="426"/>
      <c r="DE124" s="426"/>
      <c r="DF124" s="32">
        <f t="shared" si="371"/>
        <v>0</v>
      </c>
      <c r="DG124" s="32">
        <f t="shared" si="463"/>
        <v>0</v>
      </c>
      <c r="DH124" s="32">
        <f t="shared" si="314"/>
        <v>0.16</v>
      </c>
      <c r="DI124" s="96">
        <f t="shared" si="372"/>
        <v>0</v>
      </c>
      <c r="DJ124" s="36">
        <f t="shared" si="315"/>
        <v>4.160000000000001</v>
      </c>
      <c r="DK124" s="156">
        <f t="shared" si="364"/>
        <v>0</v>
      </c>
      <c r="DL124" s="137"/>
      <c r="DM124" s="32">
        <f t="shared" si="316"/>
        <v>71</v>
      </c>
      <c r="DN124" s="54">
        <f t="shared" si="489"/>
        <v>0</v>
      </c>
      <c r="DO124" s="70">
        <f t="shared" si="365"/>
        <v>0</v>
      </c>
      <c r="DP124" s="50">
        <f t="shared" si="317"/>
        <v>1160</v>
      </c>
      <c r="DQ124" s="103">
        <f t="shared" si="531"/>
        <v>0</v>
      </c>
      <c r="DR124" s="63">
        <f t="shared" si="397"/>
        <v>1160</v>
      </c>
      <c r="DS124" s="12">
        <f t="shared" si="318"/>
        <v>86</v>
      </c>
      <c r="DT124" s="103">
        <f t="shared" si="532"/>
        <v>0</v>
      </c>
      <c r="DU124" s="63">
        <f t="shared" si="357"/>
        <v>86</v>
      </c>
    </row>
    <row r="125" spans="1:125" ht="17.25" thickBot="1" x14ac:dyDescent="0.3">
      <c r="B125" s="118">
        <v>22</v>
      </c>
      <c r="C125" s="575">
        <v>17</v>
      </c>
      <c r="D125" s="129"/>
      <c r="E125" s="400">
        <f t="shared" si="321"/>
        <v>0</v>
      </c>
      <c r="F125" s="561">
        <f t="shared" si="292"/>
        <v>0</v>
      </c>
      <c r="G125" s="130"/>
      <c r="H125" s="131"/>
      <c r="I125" s="131"/>
      <c r="J125" s="11">
        <f t="shared" si="366"/>
        <v>0</v>
      </c>
      <c r="K125" s="11">
        <f t="shared" si="322"/>
        <v>0</v>
      </c>
      <c r="L125" s="11">
        <f t="shared" si="293"/>
        <v>0.16</v>
      </c>
      <c r="M125" s="42">
        <f t="shared" si="349"/>
        <v>0</v>
      </c>
      <c r="N125" s="21">
        <f t="shared" si="294"/>
        <v>4.3200000000000012</v>
      </c>
      <c r="O125" s="132">
        <f t="shared" si="323"/>
        <v>0</v>
      </c>
      <c r="P125" s="158"/>
      <c r="Q125" s="17">
        <f t="shared" si="295"/>
        <v>75</v>
      </c>
      <c r="R125" s="441">
        <f t="shared" si="296"/>
        <v>0</v>
      </c>
      <c r="S125" s="469">
        <f t="shared" si="324"/>
        <v>0</v>
      </c>
      <c r="T125" s="61">
        <f t="shared" si="297"/>
        <v>1207</v>
      </c>
      <c r="U125" s="131"/>
      <c r="V125" s="41">
        <f t="shared" si="326"/>
        <v>1207</v>
      </c>
      <c r="W125" s="18">
        <f t="shared" si="298"/>
        <v>86</v>
      </c>
      <c r="X125" s="131"/>
      <c r="Y125" s="41">
        <f t="shared" si="328"/>
        <v>86</v>
      </c>
      <c r="Z125" s="487"/>
      <c r="AA125" s="118">
        <v>22</v>
      </c>
      <c r="AB125" s="9">
        <v>17</v>
      </c>
      <c r="AC125" s="129"/>
      <c r="AD125" s="43">
        <f t="shared" si="462"/>
        <v>0</v>
      </c>
      <c r="AE125" s="449">
        <f t="shared" si="510"/>
        <v>0</v>
      </c>
      <c r="AF125" s="130"/>
      <c r="AG125" s="131"/>
      <c r="AH125" s="131"/>
      <c r="AI125" s="11">
        <f t="shared" si="468"/>
        <v>0</v>
      </c>
      <c r="AJ125" s="11">
        <f t="shared" si="481"/>
        <v>0</v>
      </c>
      <c r="AK125" s="17">
        <f t="shared" si="299"/>
        <v>0.16</v>
      </c>
      <c r="AL125" s="42">
        <f t="shared" si="331"/>
        <v>0</v>
      </c>
      <c r="AM125" s="33">
        <f t="shared" si="300"/>
        <v>4.3200000000000012</v>
      </c>
      <c r="AN125" s="157">
        <f t="shared" si="358"/>
        <v>0</v>
      </c>
      <c r="AO125" s="130"/>
      <c r="AP125" s="17">
        <f t="shared" si="301"/>
        <v>75</v>
      </c>
      <c r="AQ125" s="441">
        <f t="shared" si="332"/>
        <v>0</v>
      </c>
      <c r="AR125" s="469">
        <f t="shared" si="420"/>
        <v>0</v>
      </c>
      <c r="AS125" s="61">
        <f t="shared" si="302"/>
        <v>1207</v>
      </c>
      <c r="AT125" s="131"/>
      <c r="AU125" s="41">
        <f t="shared" si="394"/>
        <v>1207</v>
      </c>
      <c r="AV125" s="18">
        <f t="shared" si="303"/>
        <v>86</v>
      </c>
      <c r="AW125" s="131"/>
      <c r="AX125" s="41">
        <f t="shared" si="359"/>
        <v>86</v>
      </c>
      <c r="AZ125" s="118">
        <v>22</v>
      </c>
      <c r="BA125" s="9">
        <v>17</v>
      </c>
      <c r="BB125" s="129"/>
      <c r="BC125" s="43">
        <f t="shared" si="337"/>
        <v>0</v>
      </c>
      <c r="BD125" s="449">
        <f t="shared" si="511"/>
        <v>0</v>
      </c>
      <c r="BE125" s="130"/>
      <c r="BF125" s="131"/>
      <c r="BG125" s="131"/>
      <c r="BH125" s="11">
        <f t="shared" si="472"/>
        <v>0</v>
      </c>
      <c r="BI125" s="11">
        <f t="shared" si="483"/>
        <v>0</v>
      </c>
      <c r="BJ125" s="11">
        <f t="shared" si="304"/>
        <v>0.16</v>
      </c>
      <c r="BK125" s="42">
        <f t="shared" si="350"/>
        <v>0</v>
      </c>
      <c r="BL125" s="21">
        <f t="shared" si="305"/>
        <v>4.3200000000000012</v>
      </c>
      <c r="BM125" s="132">
        <f t="shared" si="428"/>
        <v>0</v>
      </c>
      <c r="BN125" s="130"/>
      <c r="BO125" s="11">
        <f t="shared" si="306"/>
        <v>75</v>
      </c>
      <c r="BP125" s="441">
        <f t="shared" si="351"/>
        <v>0</v>
      </c>
      <c r="BQ125" s="746">
        <f t="shared" si="354"/>
        <v>0</v>
      </c>
      <c r="BR125" s="58">
        <f t="shared" si="307"/>
        <v>1207</v>
      </c>
      <c r="BS125" s="131"/>
      <c r="BT125" s="41">
        <f t="shared" si="395"/>
        <v>1207</v>
      </c>
      <c r="BU125" s="18">
        <f t="shared" si="308"/>
        <v>86</v>
      </c>
      <c r="BV125" s="131"/>
      <c r="BW125" s="41">
        <f t="shared" si="360"/>
        <v>86</v>
      </c>
      <c r="BY125" s="118">
        <v>21</v>
      </c>
      <c r="BZ125" s="9">
        <v>17</v>
      </c>
      <c r="CA125" s="129"/>
      <c r="CB125" s="11">
        <f t="shared" si="361"/>
        <v>0</v>
      </c>
      <c r="CC125" s="57">
        <f t="shared" si="369"/>
        <v>0</v>
      </c>
      <c r="CD125" s="130"/>
      <c r="CE125" s="131"/>
      <c r="CF125" s="131"/>
      <c r="CG125" s="11">
        <f t="shared" si="370"/>
        <v>0</v>
      </c>
      <c r="CH125" s="11">
        <f t="shared" si="362"/>
        <v>0</v>
      </c>
      <c r="CI125" s="17">
        <f t="shared" si="309"/>
        <v>0.16</v>
      </c>
      <c r="CJ125" s="235">
        <f t="shared" si="352"/>
        <v>0</v>
      </c>
      <c r="CK125" s="33">
        <f t="shared" si="310"/>
        <v>4.3200000000000012</v>
      </c>
      <c r="CL125" s="155">
        <f t="shared" si="355"/>
        <v>0</v>
      </c>
      <c r="CM125" s="130"/>
      <c r="CN125" s="17">
        <f t="shared" si="311"/>
        <v>75</v>
      </c>
      <c r="CO125" s="60">
        <f t="shared" si="356"/>
        <v>0</v>
      </c>
      <c r="CP125" s="377">
        <f t="shared" si="353"/>
        <v>0</v>
      </c>
      <c r="CQ125" s="58">
        <f t="shared" si="312"/>
        <v>1207</v>
      </c>
      <c r="CR125" s="131"/>
      <c r="CS125" s="41">
        <f t="shared" si="396"/>
        <v>1207</v>
      </c>
      <c r="CT125" s="18">
        <f t="shared" si="313"/>
        <v>86</v>
      </c>
      <c r="CU125" s="131"/>
      <c r="CV125" s="41">
        <f t="shared" si="344"/>
        <v>86</v>
      </c>
      <c r="CX125" s="118">
        <v>21</v>
      </c>
      <c r="CY125" s="9">
        <v>17</v>
      </c>
      <c r="CZ125" s="129"/>
      <c r="DA125" s="11">
        <f t="shared" si="488"/>
        <v>0</v>
      </c>
      <c r="DB125" s="57">
        <f t="shared" si="512"/>
        <v>0</v>
      </c>
      <c r="DC125" s="130"/>
      <c r="DD125" s="131"/>
      <c r="DE125" s="131"/>
      <c r="DF125" s="11">
        <f t="shared" si="371"/>
        <v>0</v>
      </c>
      <c r="DG125" s="11">
        <f t="shared" si="463"/>
        <v>0</v>
      </c>
      <c r="DH125" s="17">
        <f t="shared" si="314"/>
        <v>0.16</v>
      </c>
      <c r="DI125" s="235">
        <f t="shared" si="372"/>
        <v>0</v>
      </c>
      <c r="DJ125" s="33">
        <f t="shared" si="315"/>
        <v>4.3200000000000012</v>
      </c>
      <c r="DK125" s="155">
        <f t="shared" si="364"/>
        <v>0</v>
      </c>
      <c r="DL125" s="130"/>
      <c r="DM125" s="17">
        <f t="shared" si="316"/>
        <v>75</v>
      </c>
      <c r="DN125" s="60">
        <f t="shared" si="489"/>
        <v>0</v>
      </c>
      <c r="DO125" s="377">
        <f t="shared" si="365"/>
        <v>0</v>
      </c>
      <c r="DP125" s="58">
        <f t="shared" si="317"/>
        <v>1207</v>
      </c>
      <c r="DQ125" s="131"/>
      <c r="DR125" s="41">
        <f t="shared" si="397"/>
        <v>1207</v>
      </c>
      <c r="DS125" s="18">
        <f t="shared" si="318"/>
        <v>86</v>
      </c>
      <c r="DT125" s="131"/>
      <c r="DU125" s="41">
        <f t="shared" si="357"/>
        <v>86</v>
      </c>
    </row>
    <row r="126" spans="1:125" ht="17.25" thickBot="1" x14ac:dyDescent="0.3">
      <c r="B126" s="120">
        <f>B125+1</f>
        <v>23</v>
      </c>
      <c r="C126" s="570">
        <f>C125</f>
        <v>17</v>
      </c>
      <c r="D126" s="133"/>
      <c r="E126" s="408">
        <f t="shared" si="321"/>
        <v>0</v>
      </c>
      <c r="F126" s="562">
        <f t="shared" si="292"/>
        <v>0</v>
      </c>
      <c r="G126" s="134"/>
      <c r="H126" s="135"/>
      <c r="I126" s="135"/>
      <c r="J126" s="31">
        <f t="shared" si="366"/>
        <v>0</v>
      </c>
      <c r="K126" s="14">
        <f t="shared" si="322"/>
        <v>0</v>
      </c>
      <c r="L126" s="14">
        <f t="shared" si="293"/>
        <v>0.16</v>
      </c>
      <c r="M126" s="47">
        <f t="shared" si="349"/>
        <v>0</v>
      </c>
      <c r="N126" s="35">
        <f t="shared" si="294"/>
        <v>4.3200000000000012</v>
      </c>
      <c r="O126" s="132">
        <f t="shared" si="323"/>
        <v>0</v>
      </c>
      <c r="P126" s="142"/>
      <c r="Q126" s="14">
        <f t="shared" si="295"/>
        <v>75</v>
      </c>
      <c r="R126" s="480">
        <f t="shared" si="296"/>
        <v>0</v>
      </c>
      <c r="S126" s="470">
        <f t="shared" si="324"/>
        <v>0</v>
      </c>
      <c r="T126" s="51">
        <f t="shared" si="297"/>
        <v>1207</v>
      </c>
      <c r="U126" s="103">
        <f>U125</f>
        <v>0</v>
      </c>
      <c r="V126" s="46">
        <f t="shared" si="326"/>
        <v>1207</v>
      </c>
      <c r="W126" s="51">
        <f t="shared" si="298"/>
        <v>86</v>
      </c>
      <c r="X126" s="103">
        <f>X125</f>
        <v>0</v>
      </c>
      <c r="Y126" s="46">
        <f t="shared" si="328"/>
        <v>86</v>
      </c>
      <c r="Z126" s="487"/>
      <c r="AA126" s="120">
        <f>AA125+1</f>
        <v>23</v>
      </c>
      <c r="AB126" s="7">
        <f>AB125</f>
        <v>17</v>
      </c>
      <c r="AC126" s="133"/>
      <c r="AD126" s="48">
        <f t="shared" si="462"/>
        <v>0</v>
      </c>
      <c r="AE126" s="196">
        <f t="shared" si="510"/>
        <v>0</v>
      </c>
      <c r="AF126" s="134"/>
      <c r="AG126" s="135"/>
      <c r="AH126" s="135"/>
      <c r="AI126" s="31">
        <f t="shared" si="468"/>
        <v>0</v>
      </c>
      <c r="AJ126" s="14">
        <f t="shared" si="481"/>
        <v>0</v>
      </c>
      <c r="AK126" s="14">
        <f t="shared" si="299"/>
        <v>0.16</v>
      </c>
      <c r="AL126" s="47">
        <f t="shared" si="331"/>
        <v>0</v>
      </c>
      <c r="AM126" s="35">
        <f t="shared" si="300"/>
        <v>4.3200000000000012</v>
      </c>
      <c r="AN126" s="157">
        <f t="shared" si="358"/>
        <v>0</v>
      </c>
      <c r="AO126" s="134"/>
      <c r="AP126" s="14">
        <f t="shared" si="301"/>
        <v>75</v>
      </c>
      <c r="AQ126" s="480">
        <f t="shared" si="332"/>
        <v>0</v>
      </c>
      <c r="AR126" s="470">
        <f t="shared" si="420"/>
        <v>0</v>
      </c>
      <c r="AS126" s="51">
        <f t="shared" si="302"/>
        <v>1207</v>
      </c>
      <c r="AT126" s="103">
        <f>AT125</f>
        <v>0</v>
      </c>
      <c r="AU126" s="46">
        <f t="shared" si="394"/>
        <v>1207</v>
      </c>
      <c r="AV126" s="51">
        <f t="shared" si="303"/>
        <v>86</v>
      </c>
      <c r="AW126" s="103">
        <f>AW125</f>
        <v>0</v>
      </c>
      <c r="AX126" s="46">
        <f t="shared" si="359"/>
        <v>86</v>
      </c>
      <c r="AZ126" s="120">
        <f>AZ125+1</f>
        <v>23</v>
      </c>
      <c r="BA126" s="7">
        <f>BA125</f>
        <v>17</v>
      </c>
      <c r="BB126" s="133"/>
      <c r="BC126" s="48">
        <f t="shared" si="337"/>
        <v>0</v>
      </c>
      <c r="BD126" s="196">
        <f t="shared" si="511"/>
        <v>0</v>
      </c>
      <c r="BE126" s="134"/>
      <c r="BF126" s="135"/>
      <c r="BG126" s="135"/>
      <c r="BH126" s="31">
        <f t="shared" si="472"/>
        <v>0</v>
      </c>
      <c r="BI126" s="14">
        <f t="shared" si="483"/>
        <v>0</v>
      </c>
      <c r="BJ126" s="14">
        <f t="shared" si="304"/>
        <v>0.16</v>
      </c>
      <c r="BK126" s="47">
        <f t="shared" si="350"/>
        <v>0</v>
      </c>
      <c r="BL126" s="35">
        <f t="shared" si="305"/>
        <v>4.3200000000000012</v>
      </c>
      <c r="BM126" s="132">
        <f t="shared" si="428"/>
        <v>0</v>
      </c>
      <c r="BN126" s="134"/>
      <c r="BO126" s="14">
        <f t="shared" si="306"/>
        <v>75</v>
      </c>
      <c r="BP126" s="442">
        <f t="shared" si="351"/>
        <v>0</v>
      </c>
      <c r="BQ126" s="747">
        <f t="shared" si="354"/>
        <v>0</v>
      </c>
      <c r="BR126" s="51">
        <f t="shared" si="307"/>
        <v>1207</v>
      </c>
      <c r="BS126" s="103">
        <f>BS125</f>
        <v>0</v>
      </c>
      <c r="BT126" s="46">
        <f t="shared" si="395"/>
        <v>1207</v>
      </c>
      <c r="BU126" s="51">
        <f t="shared" si="308"/>
        <v>86</v>
      </c>
      <c r="BV126" s="103">
        <f>BV125</f>
        <v>0</v>
      </c>
      <c r="BW126" s="46">
        <f t="shared" si="360"/>
        <v>86</v>
      </c>
      <c r="BY126" s="120">
        <f>BY125+1</f>
        <v>22</v>
      </c>
      <c r="BZ126" s="7">
        <f>BZ125</f>
        <v>17</v>
      </c>
      <c r="CA126" s="133"/>
      <c r="CB126" s="14">
        <f t="shared" si="361"/>
        <v>0</v>
      </c>
      <c r="CC126" s="59">
        <f t="shared" si="369"/>
        <v>0</v>
      </c>
      <c r="CD126" s="134"/>
      <c r="CE126" s="135"/>
      <c r="CF126" s="135"/>
      <c r="CG126" s="31">
        <f t="shared" si="370"/>
        <v>0</v>
      </c>
      <c r="CH126" s="14">
        <f t="shared" si="362"/>
        <v>0</v>
      </c>
      <c r="CI126" s="14">
        <f t="shared" si="309"/>
        <v>0.16</v>
      </c>
      <c r="CJ126" s="47">
        <f t="shared" si="352"/>
        <v>0</v>
      </c>
      <c r="CK126" s="35">
        <f t="shared" si="310"/>
        <v>4.3200000000000012</v>
      </c>
      <c r="CL126" s="157">
        <f t="shared" si="355"/>
        <v>0</v>
      </c>
      <c r="CM126" s="134"/>
      <c r="CN126" s="14">
        <f t="shared" si="311"/>
        <v>75</v>
      </c>
      <c r="CO126" s="48">
        <f t="shared" si="356"/>
        <v>0</v>
      </c>
      <c r="CP126" s="68">
        <f t="shared" si="353"/>
        <v>0</v>
      </c>
      <c r="CQ126" s="51">
        <f t="shared" si="312"/>
        <v>1207</v>
      </c>
      <c r="CR126" s="103">
        <f>CR125</f>
        <v>0</v>
      </c>
      <c r="CS126" s="104">
        <f t="shared" si="396"/>
        <v>1207</v>
      </c>
      <c r="CT126" s="50">
        <f t="shared" si="313"/>
        <v>86</v>
      </c>
      <c r="CU126" s="103">
        <f>CU125</f>
        <v>0</v>
      </c>
      <c r="CV126" s="46">
        <f t="shared" si="344"/>
        <v>86</v>
      </c>
      <c r="CX126" s="120">
        <f>CX125+1</f>
        <v>22</v>
      </c>
      <c r="CY126" s="7">
        <f>CY125</f>
        <v>17</v>
      </c>
      <c r="CZ126" s="133"/>
      <c r="DA126" s="14">
        <f t="shared" si="488"/>
        <v>0</v>
      </c>
      <c r="DB126" s="59">
        <f t="shared" si="512"/>
        <v>0</v>
      </c>
      <c r="DC126" s="134"/>
      <c r="DD126" s="135"/>
      <c r="DE126" s="135"/>
      <c r="DF126" s="31">
        <f t="shared" si="371"/>
        <v>0</v>
      </c>
      <c r="DG126" s="14">
        <f t="shared" si="463"/>
        <v>0</v>
      </c>
      <c r="DH126" s="14">
        <f t="shared" si="314"/>
        <v>0.16</v>
      </c>
      <c r="DI126" s="47">
        <f t="shared" si="372"/>
        <v>0</v>
      </c>
      <c r="DJ126" s="35">
        <f t="shared" si="315"/>
        <v>4.3200000000000012</v>
      </c>
      <c r="DK126" s="157">
        <f t="shared" si="364"/>
        <v>0</v>
      </c>
      <c r="DL126" s="134"/>
      <c r="DM126" s="14">
        <f t="shared" si="316"/>
        <v>75</v>
      </c>
      <c r="DN126" s="48">
        <f t="shared" si="489"/>
        <v>0</v>
      </c>
      <c r="DO126" s="68">
        <f t="shared" si="365"/>
        <v>0</v>
      </c>
      <c r="DP126" s="51">
        <f t="shared" si="317"/>
        <v>1207</v>
      </c>
      <c r="DQ126" s="103">
        <f>DQ125</f>
        <v>0</v>
      </c>
      <c r="DR126" s="104">
        <f t="shared" si="397"/>
        <v>1207</v>
      </c>
      <c r="DS126" s="50">
        <f t="shared" si="318"/>
        <v>86</v>
      </c>
      <c r="DT126" s="103">
        <f>DT125</f>
        <v>0</v>
      </c>
      <c r="DU126" s="46">
        <f t="shared" si="357"/>
        <v>86</v>
      </c>
    </row>
    <row r="127" spans="1:125" ht="17.25" thickBot="1" x14ac:dyDescent="0.3">
      <c r="B127" s="120">
        <f>B126+1</f>
        <v>24</v>
      </c>
      <c r="C127" s="570">
        <f t="shared" ref="C127:C131" si="533">C126</f>
        <v>17</v>
      </c>
      <c r="D127" s="133"/>
      <c r="E127" s="408">
        <f t="shared" si="321"/>
        <v>0</v>
      </c>
      <c r="F127" s="562">
        <f t="shared" si="292"/>
        <v>0</v>
      </c>
      <c r="G127" s="134"/>
      <c r="H127" s="135"/>
      <c r="I127" s="135"/>
      <c r="J127" s="13">
        <f t="shared" si="366"/>
        <v>0</v>
      </c>
      <c r="K127" s="14">
        <f t="shared" si="322"/>
        <v>0</v>
      </c>
      <c r="L127" s="14">
        <f t="shared" si="293"/>
        <v>0.16</v>
      </c>
      <c r="M127" s="231">
        <f t="shared" si="349"/>
        <v>0</v>
      </c>
      <c r="N127" s="35">
        <f t="shared" si="294"/>
        <v>4.3200000000000012</v>
      </c>
      <c r="O127" s="132">
        <f t="shared" si="323"/>
        <v>0</v>
      </c>
      <c r="P127" s="142"/>
      <c r="Q127" s="14">
        <f t="shared" si="295"/>
        <v>75</v>
      </c>
      <c r="R127" s="482">
        <f t="shared" si="296"/>
        <v>0</v>
      </c>
      <c r="S127" s="470">
        <f t="shared" si="324"/>
        <v>0</v>
      </c>
      <c r="T127" s="51">
        <f t="shared" si="297"/>
        <v>1207</v>
      </c>
      <c r="U127" s="103">
        <f t="shared" ref="U127:U131" si="534">U126</f>
        <v>0</v>
      </c>
      <c r="V127" s="46">
        <f t="shared" si="326"/>
        <v>1207</v>
      </c>
      <c r="W127" s="51">
        <f t="shared" si="298"/>
        <v>86</v>
      </c>
      <c r="X127" s="103">
        <f t="shared" ref="X127:X131" si="535">X126</f>
        <v>0</v>
      </c>
      <c r="Y127" s="46">
        <f t="shared" si="328"/>
        <v>86</v>
      </c>
      <c r="Z127" s="487"/>
      <c r="AA127" s="120">
        <f>AA126+1</f>
        <v>24</v>
      </c>
      <c r="AB127" s="7">
        <f t="shared" ref="AB127:AB131" si="536">AB126</f>
        <v>17</v>
      </c>
      <c r="AC127" s="133"/>
      <c r="AD127" s="48">
        <f t="shared" si="462"/>
        <v>0</v>
      </c>
      <c r="AE127" s="196">
        <f t="shared" si="510"/>
        <v>0</v>
      </c>
      <c r="AF127" s="134"/>
      <c r="AG127" s="135"/>
      <c r="AH127" s="135"/>
      <c r="AI127" s="13">
        <f t="shared" si="468"/>
        <v>0</v>
      </c>
      <c r="AJ127" s="14">
        <f t="shared" si="481"/>
        <v>0</v>
      </c>
      <c r="AK127" s="14">
        <f t="shared" si="299"/>
        <v>0.16</v>
      </c>
      <c r="AL127" s="231">
        <f t="shared" si="331"/>
        <v>0</v>
      </c>
      <c r="AM127" s="35">
        <f t="shared" si="300"/>
        <v>4.3200000000000012</v>
      </c>
      <c r="AN127" s="157">
        <f t="shared" si="358"/>
        <v>0</v>
      </c>
      <c r="AO127" s="134"/>
      <c r="AP127" s="14">
        <f t="shared" si="301"/>
        <v>75</v>
      </c>
      <c r="AQ127" s="482">
        <f t="shared" si="332"/>
        <v>0</v>
      </c>
      <c r="AR127" s="470">
        <f t="shared" si="420"/>
        <v>0</v>
      </c>
      <c r="AS127" s="51">
        <f t="shared" si="302"/>
        <v>1207</v>
      </c>
      <c r="AT127" s="103">
        <f t="shared" ref="AT127:AT131" si="537">AT126</f>
        <v>0</v>
      </c>
      <c r="AU127" s="46">
        <f t="shared" si="394"/>
        <v>1207</v>
      </c>
      <c r="AV127" s="51">
        <f t="shared" si="303"/>
        <v>86</v>
      </c>
      <c r="AW127" s="103">
        <f t="shared" ref="AW127:AW131" si="538">AW126</f>
        <v>0</v>
      </c>
      <c r="AX127" s="46">
        <f t="shared" si="359"/>
        <v>86</v>
      </c>
      <c r="AZ127" s="120">
        <f>AZ126+1</f>
        <v>24</v>
      </c>
      <c r="BA127" s="7">
        <f t="shared" ref="BA127:BA131" si="539">BA126</f>
        <v>17</v>
      </c>
      <c r="BB127" s="133"/>
      <c r="BC127" s="48">
        <f t="shared" si="337"/>
        <v>0</v>
      </c>
      <c r="BD127" s="196">
        <f t="shared" si="511"/>
        <v>0</v>
      </c>
      <c r="BE127" s="134"/>
      <c r="BF127" s="135"/>
      <c r="BG127" s="135"/>
      <c r="BH127" s="13">
        <f t="shared" si="472"/>
        <v>0</v>
      </c>
      <c r="BI127" s="14">
        <f t="shared" si="483"/>
        <v>0</v>
      </c>
      <c r="BJ127" s="14">
        <f t="shared" si="304"/>
        <v>0.16</v>
      </c>
      <c r="BK127" s="47">
        <f t="shared" si="350"/>
        <v>0</v>
      </c>
      <c r="BL127" s="35">
        <f t="shared" si="305"/>
        <v>4.3200000000000012</v>
      </c>
      <c r="BM127" s="132">
        <f t="shared" si="428"/>
        <v>0</v>
      </c>
      <c r="BN127" s="134"/>
      <c r="BO127" s="14">
        <f t="shared" si="306"/>
        <v>75</v>
      </c>
      <c r="BP127" s="442">
        <f t="shared" si="351"/>
        <v>0</v>
      </c>
      <c r="BQ127" s="747">
        <f t="shared" si="354"/>
        <v>0</v>
      </c>
      <c r="BR127" s="51">
        <f t="shared" si="307"/>
        <v>1207</v>
      </c>
      <c r="BS127" s="103">
        <f t="shared" ref="BS127:BS131" si="540">BS126</f>
        <v>0</v>
      </c>
      <c r="BT127" s="46">
        <f t="shared" si="395"/>
        <v>1207</v>
      </c>
      <c r="BU127" s="51">
        <f t="shared" si="308"/>
        <v>86</v>
      </c>
      <c r="BV127" s="103">
        <f t="shared" ref="BV127:BV131" si="541">BV126</f>
        <v>0</v>
      </c>
      <c r="BW127" s="46">
        <f t="shared" si="360"/>
        <v>86</v>
      </c>
      <c r="BY127" s="120">
        <f t="shared" ref="BY127:BY130" si="542">BY126+1</f>
        <v>23</v>
      </c>
      <c r="BZ127" s="7">
        <f t="shared" ref="BZ127:BZ131" si="543">BZ126</f>
        <v>17</v>
      </c>
      <c r="CA127" s="133"/>
      <c r="CB127" s="14">
        <f t="shared" si="361"/>
        <v>0</v>
      </c>
      <c r="CC127" s="59">
        <f t="shared" si="369"/>
        <v>0</v>
      </c>
      <c r="CD127" s="134"/>
      <c r="CE127" s="135"/>
      <c r="CF127" s="135"/>
      <c r="CG127" s="13">
        <f t="shared" si="370"/>
        <v>0</v>
      </c>
      <c r="CH127" s="14">
        <f t="shared" si="362"/>
        <v>0</v>
      </c>
      <c r="CI127" s="14">
        <f t="shared" si="309"/>
        <v>0.16</v>
      </c>
      <c r="CJ127" s="47">
        <f t="shared" si="352"/>
        <v>0</v>
      </c>
      <c r="CK127" s="35">
        <f t="shared" si="310"/>
        <v>4.3200000000000012</v>
      </c>
      <c r="CL127" s="157">
        <f t="shared" si="355"/>
        <v>0</v>
      </c>
      <c r="CM127" s="134"/>
      <c r="CN127" s="14">
        <f t="shared" si="311"/>
        <v>75</v>
      </c>
      <c r="CO127" s="48">
        <f t="shared" si="356"/>
        <v>0</v>
      </c>
      <c r="CP127" s="68">
        <f t="shared" si="353"/>
        <v>0</v>
      </c>
      <c r="CQ127" s="51">
        <f t="shared" si="312"/>
        <v>1207</v>
      </c>
      <c r="CR127" s="103">
        <f t="shared" ref="CR127:CR131" si="544">CR126</f>
        <v>0</v>
      </c>
      <c r="CS127" s="104">
        <f t="shared" si="396"/>
        <v>1207</v>
      </c>
      <c r="CT127" s="50">
        <f t="shared" si="313"/>
        <v>86</v>
      </c>
      <c r="CU127" s="103">
        <f t="shared" ref="CU127:CU131" si="545">CU126</f>
        <v>0</v>
      </c>
      <c r="CV127" s="46">
        <f t="shared" si="344"/>
        <v>86</v>
      </c>
      <c r="CX127" s="120">
        <f t="shared" ref="CX127:CX130" si="546">CX126+1</f>
        <v>23</v>
      </c>
      <c r="CY127" s="7">
        <f t="shared" ref="CY127:CY131" si="547">CY126</f>
        <v>17</v>
      </c>
      <c r="CZ127" s="133"/>
      <c r="DA127" s="14">
        <f t="shared" si="488"/>
        <v>0</v>
      </c>
      <c r="DB127" s="59">
        <f t="shared" si="512"/>
        <v>0</v>
      </c>
      <c r="DC127" s="134"/>
      <c r="DD127" s="135"/>
      <c r="DE127" s="135"/>
      <c r="DF127" s="13">
        <f t="shared" si="371"/>
        <v>0</v>
      </c>
      <c r="DG127" s="14">
        <f t="shared" si="463"/>
        <v>0</v>
      </c>
      <c r="DH127" s="14">
        <f t="shared" si="314"/>
        <v>0.16</v>
      </c>
      <c r="DI127" s="47">
        <f t="shared" si="372"/>
        <v>0</v>
      </c>
      <c r="DJ127" s="35">
        <f t="shared" si="315"/>
        <v>4.3200000000000012</v>
      </c>
      <c r="DK127" s="157">
        <f t="shared" si="364"/>
        <v>0</v>
      </c>
      <c r="DL127" s="134"/>
      <c r="DM127" s="14">
        <f t="shared" si="316"/>
        <v>75</v>
      </c>
      <c r="DN127" s="48">
        <f t="shared" si="489"/>
        <v>0</v>
      </c>
      <c r="DO127" s="68">
        <f t="shared" si="365"/>
        <v>0</v>
      </c>
      <c r="DP127" s="51">
        <f t="shared" si="317"/>
        <v>1207</v>
      </c>
      <c r="DQ127" s="103">
        <f t="shared" ref="DQ127:DQ131" si="548">DQ126</f>
        <v>0</v>
      </c>
      <c r="DR127" s="104">
        <f t="shared" si="397"/>
        <v>1207</v>
      </c>
      <c r="DS127" s="50">
        <f t="shared" si="318"/>
        <v>86</v>
      </c>
      <c r="DT127" s="103">
        <f t="shared" ref="DT127:DT131" si="549">DT126</f>
        <v>0</v>
      </c>
      <c r="DU127" s="46">
        <f t="shared" si="357"/>
        <v>86</v>
      </c>
    </row>
    <row r="128" spans="1:125" ht="17.25" thickBot="1" x14ac:dyDescent="0.3">
      <c r="B128" s="120">
        <f t="shared" ref="B128:B131" si="550">B127+1</f>
        <v>25</v>
      </c>
      <c r="C128" s="570">
        <f t="shared" si="533"/>
        <v>17</v>
      </c>
      <c r="D128" s="133"/>
      <c r="E128" s="408">
        <f t="shared" si="321"/>
        <v>0</v>
      </c>
      <c r="F128" s="562">
        <f t="shared" si="292"/>
        <v>0</v>
      </c>
      <c r="G128" s="134"/>
      <c r="H128" s="135"/>
      <c r="I128" s="135"/>
      <c r="J128" s="14">
        <f t="shared" si="366"/>
        <v>0</v>
      </c>
      <c r="K128" s="14">
        <f t="shared" si="322"/>
        <v>0</v>
      </c>
      <c r="L128" s="14">
        <f t="shared" si="293"/>
        <v>0.16</v>
      </c>
      <c r="M128" s="47">
        <f t="shared" si="349"/>
        <v>0</v>
      </c>
      <c r="N128" s="35">
        <f t="shared" si="294"/>
        <v>4.3200000000000012</v>
      </c>
      <c r="O128" s="132">
        <f t="shared" si="323"/>
        <v>0</v>
      </c>
      <c r="P128" s="142"/>
      <c r="Q128" s="14">
        <f t="shared" si="295"/>
        <v>75</v>
      </c>
      <c r="R128" s="482">
        <f t="shared" si="296"/>
        <v>0</v>
      </c>
      <c r="S128" s="470">
        <f t="shared" si="324"/>
        <v>0</v>
      </c>
      <c r="T128" s="51">
        <f t="shared" si="297"/>
        <v>1207</v>
      </c>
      <c r="U128" s="103">
        <f t="shared" si="534"/>
        <v>0</v>
      </c>
      <c r="V128" s="46">
        <f t="shared" si="326"/>
        <v>1207</v>
      </c>
      <c r="W128" s="51">
        <f t="shared" si="298"/>
        <v>86</v>
      </c>
      <c r="X128" s="103">
        <f t="shared" si="535"/>
        <v>0</v>
      </c>
      <c r="Y128" s="46">
        <f t="shared" si="328"/>
        <v>86</v>
      </c>
      <c r="Z128" s="487"/>
      <c r="AA128" s="120">
        <f t="shared" ref="AA128:AA131" si="551">AA127+1</f>
        <v>25</v>
      </c>
      <c r="AB128" s="7">
        <f t="shared" si="536"/>
        <v>17</v>
      </c>
      <c r="AC128" s="133"/>
      <c r="AD128" s="48">
        <f t="shared" si="462"/>
        <v>0</v>
      </c>
      <c r="AE128" s="196">
        <f t="shared" si="510"/>
        <v>0</v>
      </c>
      <c r="AF128" s="134"/>
      <c r="AG128" s="135"/>
      <c r="AH128" s="135"/>
      <c r="AI128" s="14">
        <f t="shared" si="468"/>
        <v>0</v>
      </c>
      <c r="AJ128" s="14">
        <f t="shared" si="481"/>
        <v>0</v>
      </c>
      <c r="AK128" s="14">
        <f t="shared" si="299"/>
        <v>0.16</v>
      </c>
      <c r="AL128" s="47">
        <f t="shared" si="331"/>
        <v>0</v>
      </c>
      <c r="AM128" s="35">
        <f t="shared" si="300"/>
        <v>4.3200000000000012</v>
      </c>
      <c r="AN128" s="157">
        <f t="shared" si="358"/>
        <v>0</v>
      </c>
      <c r="AO128" s="134"/>
      <c r="AP128" s="14">
        <f t="shared" si="301"/>
        <v>75</v>
      </c>
      <c r="AQ128" s="482">
        <f t="shared" si="332"/>
        <v>0</v>
      </c>
      <c r="AR128" s="470">
        <f t="shared" si="420"/>
        <v>0</v>
      </c>
      <c r="AS128" s="51">
        <f t="shared" si="302"/>
        <v>1207</v>
      </c>
      <c r="AT128" s="103">
        <f t="shared" si="537"/>
        <v>0</v>
      </c>
      <c r="AU128" s="46">
        <f t="shared" si="394"/>
        <v>1207</v>
      </c>
      <c r="AV128" s="51">
        <f t="shared" si="303"/>
        <v>86</v>
      </c>
      <c r="AW128" s="103">
        <f t="shared" si="538"/>
        <v>0</v>
      </c>
      <c r="AX128" s="46">
        <f t="shared" si="359"/>
        <v>86</v>
      </c>
      <c r="AZ128" s="120">
        <f t="shared" ref="AZ128:AZ131" si="552">AZ127+1</f>
        <v>25</v>
      </c>
      <c r="BA128" s="7">
        <f t="shared" si="539"/>
        <v>17</v>
      </c>
      <c r="BB128" s="133"/>
      <c r="BC128" s="48">
        <f t="shared" si="337"/>
        <v>0</v>
      </c>
      <c r="BD128" s="196">
        <f t="shared" si="511"/>
        <v>0</v>
      </c>
      <c r="BE128" s="134"/>
      <c r="BF128" s="135"/>
      <c r="BG128" s="135"/>
      <c r="BH128" s="14">
        <f t="shared" si="472"/>
        <v>0</v>
      </c>
      <c r="BI128" s="14">
        <f t="shared" si="483"/>
        <v>0</v>
      </c>
      <c r="BJ128" s="14">
        <f t="shared" si="304"/>
        <v>0.16</v>
      </c>
      <c r="BK128" s="47">
        <f t="shared" si="350"/>
        <v>0</v>
      </c>
      <c r="BL128" s="35">
        <f t="shared" si="305"/>
        <v>4.3200000000000012</v>
      </c>
      <c r="BM128" s="132">
        <f t="shared" si="428"/>
        <v>0</v>
      </c>
      <c r="BN128" s="134"/>
      <c r="BO128" s="14">
        <f t="shared" si="306"/>
        <v>75</v>
      </c>
      <c r="BP128" s="442">
        <f t="shared" si="351"/>
        <v>0</v>
      </c>
      <c r="BQ128" s="747">
        <f t="shared" si="354"/>
        <v>0</v>
      </c>
      <c r="BR128" s="51">
        <f t="shared" si="307"/>
        <v>1207</v>
      </c>
      <c r="BS128" s="103">
        <f t="shared" si="540"/>
        <v>0</v>
      </c>
      <c r="BT128" s="46">
        <f t="shared" si="395"/>
        <v>1207</v>
      </c>
      <c r="BU128" s="51">
        <f t="shared" si="308"/>
        <v>86</v>
      </c>
      <c r="BV128" s="103">
        <f t="shared" si="541"/>
        <v>0</v>
      </c>
      <c r="BW128" s="46">
        <f t="shared" si="360"/>
        <v>86</v>
      </c>
      <c r="BY128" s="120">
        <f t="shared" si="542"/>
        <v>24</v>
      </c>
      <c r="BZ128" s="7">
        <f t="shared" si="543"/>
        <v>17</v>
      </c>
      <c r="CA128" s="133"/>
      <c r="CB128" s="14">
        <f t="shared" si="361"/>
        <v>0</v>
      </c>
      <c r="CC128" s="59">
        <f t="shared" si="369"/>
        <v>0</v>
      </c>
      <c r="CD128" s="134"/>
      <c r="CE128" s="135"/>
      <c r="CF128" s="135"/>
      <c r="CG128" s="14">
        <f t="shared" si="370"/>
        <v>0</v>
      </c>
      <c r="CH128" s="14">
        <f t="shared" si="362"/>
        <v>0</v>
      </c>
      <c r="CI128" s="14">
        <f t="shared" si="309"/>
        <v>0.16</v>
      </c>
      <c r="CJ128" s="47">
        <f t="shared" si="352"/>
        <v>0</v>
      </c>
      <c r="CK128" s="35">
        <f t="shared" si="310"/>
        <v>4.3200000000000012</v>
      </c>
      <c r="CL128" s="157">
        <f t="shared" si="355"/>
        <v>0</v>
      </c>
      <c r="CM128" s="134"/>
      <c r="CN128" s="14">
        <f t="shared" si="311"/>
        <v>75</v>
      </c>
      <c r="CO128" s="48">
        <f t="shared" si="356"/>
        <v>0</v>
      </c>
      <c r="CP128" s="68">
        <f t="shared" si="353"/>
        <v>0</v>
      </c>
      <c r="CQ128" s="51">
        <f t="shared" si="312"/>
        <v>1207</v>
      </c>
      <c r="CR128" s="103">
        <f t="shared" si="544"/>
        <v>0</v>
      </c>
      <c r="CS128" s="104">
        <f t="shared" si="396"/>
        <v>1207</v>
      </c>
      <c r="CT128" s="50">
        <f t="shared" si="313"/>
        <v>86</v>
      </c>
      <c r="CU128" s="103">
        <f t="shared" si="545"/>
        <v>0</v>
      </c>
      <c r="CV128" s="46">
        <f t="shared" si="344"/>
        <v>86</v>
      </c>
      <c r="CX128" s="120">
        <f t="shared" si="546"/>
        <v>24</v>
      </c>
      <c r="CY128" s="7">
        <f t="shared" si="547"/>
        <v>17</v>
      </c>
      <c r="CZ128" s="133"/>
      <c r="DA128" s="14">
        <f t="shared" si="488"/>
        <v>0</v>
      </c>
      <c r="DB128" s="59">
        <f t="shared" si="512"/>
        <v>0</v>
      </c>
      <c r="DC128" s="134"/>
      <c r="DD128" s="135"/>
      <c r="DE128" s="135"/>
      <c r="DF128" s="14">
        <f t="shared" si="371"/>
        <v>0</v>
      </c>
      <c r="DG128" s="14">
        <f t="shared" si="463"/>
        <v>0</v>
      </c>
      <c r="DH128" s="14">
        <f t="shared" si="314"/>
        <v>0.16</v>
      </c>
      <c r="DI128" s="47">
        <f t="shared" si="372"/>
        <v>0</v>
      </c>
      <c r="DJ128" s="35">
        <f t="shared" si="315"/>
        <v>4.3200000000000012</v>
      </c>
      <c r="DK128" s="157">
        <f t="shared" si="364"/>
        <v>0</v>
      </c>
      <c r="DL128" s="134"/>
      <c r="DM128" s="14">
        <f t="shared" si="316"/>
        <v>75</v>
      </c>
      <c r="DN128" s="48">
        <f t="shared" si="489"/>
        <v>0</v>
      </c>
      <c r="DO128" s="68">
        <f t="shared" si="365"/>
        <v>0</v>
      </c>
      <c r="DP128" s="51">
        <f t="shared" si="317"/>
        <v>1207</v>
      </c>
      <c r="DQ128" s="103">
        <f t="shared" si="548"/>
        <v>0</v>
      </c>
      <c r="DR128" s="104">
        <f t="shared" si="397"/>
        <v>1207</v>
      </c>
      <c r="DS128" s="50">
        <f t="shared" si="318"/>
        <v>86</v>
      </c>
      <c r="DT128" s="103">
        <f t="shared" si="549"/>
        <v>0</v>
      </c>
      <c r="DU128" s="46">
        <f t="shared" si="357"/>
        <v>86</v>
      </c>
    </row>
    <row r="129" spans="2:125" ht="17.25" thickBot="1" x14ac:dyDescent="0.3">
      <c r="B129" s="120">
        <f t="shared" si="550"/>
        <v>26</v>
      </c>
      <c r="C129" s="570">
        <f t="shared" si="533"/>
        <v>17</v>
      </c>
      <c r="D129" s="133"/>
      <c r="E129" s="408">
        <f t="shared" si="321"/>
        <v>0</v>
      </c>
      <c r="F129" s="562">
        <f t="shared" si="292"/>
        <v>0</v>
      </c>
      <c r="G129" s="144"/>
      <c r="H129" s="135"/>
      <c r="I129" s="135"/>
      <c r="J129" s="31">
        <f t="shared" si="366"/>
        <v>0</v>
      </c>
      <c r="K129" s="14">
        <f t="shared" si="322"/>
        <v>0</v>
      </c>
      <c r="L129" s="14">
        <f t="shared" si="293"/>
        <v>0.16</v>
      </c>
      <c r="M129" s="231">
        <f t="shared" si="349"/>
        <v>0</v>
      </c>
      <c r="N129" s="35">
        <f t="shared" si="294"/>
        <v>4.3200000000000012</v>
      </c>
      <c r="O129" s="132">
        <f t="shared" si="323"/>
        <v>0</v>
      </c>
      <c r="P129" s="142"/>
      <c r="Q129" s="14">
        <f t="shared" si="295"/>
        <v>75</v>
      </c>
      <c r="R129" s="482">
        <f t="shared" si="296"/>
        <v>0</v>
      </c>
      <c r="S129" s="470">
        <f t="shared" si="324"/>
        <v>0</v>
      </c>
      <c r="T129" s="51">
        <f t="shared" si="297"/>
        <v>1207</v>
      </c>
      <c r="U129" s="103">
        <f t="shared" si="534"/>
        <v>0</v>
      </c>
      <c r="V129" s="46">
        <f t="shared" si="326"/>
        <v>1207</v>
      </c>
      <c r="W129" s="12">
        <f t="shared" si="298"/>
        <v>86</v>
      </c>
      <c r="X129" s="103">
        <f t="shared" si="535"/>
        <v>0</v>
      </c>
      <c r="Y129" s="46">
        <f t="shared" si="328"/>
        <v>86</v>
      </c>
      <c r="Z129" s="487"/>
      <c r="AA129" s="120">
        <f t="shared" si="551"/>
        <v>26</v>
      </c>
      <c r="AB129" s="7">
        <f t="shared" si="536"/>
        <v>17</v>
      </c>
      <c r="AC129" s="133"/>
      <c r="AD129" s="48">
        <f t="shared" si="462"/>
        <v>0</v>
      </c>
      <c r="AE129" s="49">
        <f t="shared" si="510"/>
        <v>0</v>
      </c>
      <c r="AF129" s="134"/>
      <c r="AG129" s="135"/>
      <c r="AH129" s="135"/>
      <c r="AI129" s="31">
        <f t="shared" si="468"/>
        <v>0</v>
      </c>
      <c r="AJ129" s="14">
        <f t="shared" si="481"/>
        <v>0</v>
      </c>
      <c r="AK129" s="14">
        <f t="shared" si="299"/>
        <v>0.16</v>
      </c>
      <c r="AL129" s="231">
        <f t="shared" si="331"/>
        <v>0</v>
      </c>
      <c r="AM129" s="35">
        <f t="shared" si="300"/>
        <v>4.3200000000000012</v>
      </c>
      <c r="AN129" s="157">
        <f t="shared" si="358"/>
        <v>0</v>
      </c>
      <c r="AO129" s="134"/>
      <c r="AP129" s="14">
        <f t="shared" si="301"/>
        <v>75</v>
      </c>
      <c r="AQ129" s="482">
        <f t="shared" si="332"/>
        <v>0</v>
      </c>
      <c r="AR129" s="470">
        <f t="shared" si="420"/>
        <v>0</v>
      </c>
      <c r="AS129" s="51">
        <f t="shared" si="302"/>
        <v>1207</v>
      </c>
      <c r="AT129" s="103">
        <f t="shared" si="537"/>
        <v>0</v>
      </c>
      <c r="AU129" s="46">
        <f t="shared" si="394"/>
        <v>1207</v>
      </c>
      <c r="AV129" s="12">
        <f t="shared" si="303"/>
        <v>86</v>
      </c>
      <c r="AW129" s="103">
        <f t="shared" si="538"/>
        <v>0</v>
      </c>
      <c r="AX129" s="46">
        <f t="shared" si="359"/>
        <v>86</v>
      </c>
      <c r="AZ129" s="120">
        <f t="shared" si="552"/>
        <v>26</v>
      </c>
      <c r="BA129" s="7">
        <f t="shared" si="539"/>
        <v>17</v>
      </c>
      <c r="BB129" s="133"/>
      <c r="BC129" s="48">
        <f t="shared" si="337"/>
        <v>0</v>
      </c>
      <c r="BD129" s="49">
        <f t="shared" si="511"/>
        <v>0</v>
      </c>
      <c r="BE129" s="134"/>
      <c r="BF129" s="135"/>
      <c r="BG129" s="135"/>
      <c r="BH129" s="31">
        <f t="shared" si="472"/>
        <v>0</v>
      </c>
      <c r="BI129" s="14">
        <f t="shared" si="483"/>
        <v>0</v>
      </c>
      <c r="BJ129" s="14">
        <f t="shared" si="304"/>
        <v>0.16</v>
      </c>
      <c r="BK129" s="47">
        <f t="shared" si="350"/>
        <v>0</v>
      </c>
      <c r="BL129" s="35">
        <f t="shared" si="305"/>
        <v>4.3200000000000012</v>
      </c>
      <c r="BM129" s="132">
        <f t="shared" si="428"/>
        <v>0</v>
      </c>
      <c r="BN129" s="134"/>
      <c r="BO129" s="14">
        <f t="shared" si="306"/>
        <v>75</v>
      </c>
      <c r="BP129" s="442">
        <f t="shared" si="351"/>
        <v>0</v>
      </c>
      <c r="BQ129" s="747">
        <f t="shared" si="354"/>
        <v>0</v>
      </c>
      <c r="BR129" s="51">
        <f t="shared" si="307"/>
        <v>1207</v>
      </c>
      <c r="BS129" s="103">
        <f t="shared" si="540"/>
        <v>0</v>
      </c>
      <c r="BT129" s="46">
        <f t="shared" si="395"/>
        <v>1207</v>
      </c>
      <c r="BU129" s="12">
        <f t="shared" si="308"/>
        <v>86</v>
      </c>
      <c r="BV129" s="103">
        <f t="shared" si="541"/>
        <v>0</v>
      </c>
      <c r="BW129" s="46">
        <f t="shared" si="360"/>
        <v>86</v>
      </c>
      <c r="BY129" s="120">
        <f t="shared" si="542"/>
        <v>25</v>
      </c>
      <c r="BZ129" s="7">
        <f t="shared" si="543"/>
        <v>17</v>
      </c>
      <c r="CA129" s="133"/>
      <c r="CB129" s="14">
        <f t="shared" si="361"/>
        <v>0</v>
      </c>
      <c r="CC129" s="46">
        <f t="shared" si="369"/>
        <v>0</v>
      </c>
      <c r="CD129" s="134"/>
      <c r="CE129" s="135"/>
      <c r="CF129" s="135"/>
      <c r="CG129" s="31">
        <f t="shared" si="370"/>
        <v>0</v>
      </c>
      <c r="CH129" s="14">
        <f t="shared" si="362"/>
        <v>0</v>
      </c>
      <c r="CI129" s="14">
        <f t="shared" si="309"/>
        <v>0.16</v>
      </c>
      <c r="CJ129" s="47">
        <f>IFERROR((CG129*1000)/CB129,0)</f>
        <v>0</v>
      </c>
      <c r="CK129" s="35">
        <f t="shared" si="310"/>
        <v>4.3200000000000012</v>
      </c>
      <c r="CL129" s="157">
        <f t="shared" si="355"/>
        <v>0</v>
      </c>
      <c r="CM129" s="134"/>
      <c r="CN129" s="14">
        <f t="shared" si="311"/>
        <v>75</v>
      </c>
      <c r="CO129" s="48">
        <f t="shared" si="356"/>
        <v>0</v>
      </c>
      <c r="CP129" s="68">
        <f t="shared" si="353"/>
        <v>0</v>
      </c>
      <c r="CQ129" s="51">
        <f t="shared" si="312"/>
        <v>1207</v>
      </c>
      <c r="CR129" s="103">
        <f t="shared" si="544"/>
        <v>0</v>
      </c>
      <c r="CS129" s="104">
        <f t="shared" si="396"/>
        <v>1207</v>
      </c>
      <c r="CT129" s="50">
        <f t="shared" si="313"/>
        <v>86</v>
      </c>
      <c r="CU129" s="103">
        <f t="shared" si="545"/>
        <v>0</v>
      </c>
      <c r="CV129" s="46">
        <f t="shared" si="344"/>
        <v>86</v>
      </c>
      <c r="CX129" s="120">
        <f t="shared" si="546"/>
        <v>25</v>
      </c>
      <c r="CY129" s="7">
        <f t="shared" si="547"/>
        <v>17</v>
      </c>
      <c r="CZ129" s="133"/>
      <c r="DA129" s="14">
        <f t="shared" si="488"/>
        <v>0</v>
      </c>
      <c r="DB129" s="46">
        <f t="shared" si="512"/>
        <v>0</v>
      </c>
      <c r="DC129" s="134"/>
      <c r="DD129" s="135"/>
      <c r="DE129" s="135"/>
      <c r="DF129" s="31">
        <f t="shared" si="371"/>
        <v>0</v>
      </c>
      <c r="DG129" s="14">
        <f t="shared" si="463"/>
        <v>0</v>
      </c>
      <c r="DH129" s="14">
        <f t="shared" si="314"/>
        <v>0.16</v>
      </c>
      <c r="DI129" s="47">
        <f>IFERROR((DF129*1000)/DA129,0)</f>
        <v>0</v>
      </c>
      <c r="DJ129" s="35">
        <f t="shared" si="315"/>
        <v>4.3200000000000012</v>
      </c>
      <c r="DK129" s="157">
        <f t="shared" si="364"/>
        <v>0</v>
      </c>
      <c r="DL129" s="134"/>
      <c r="DM129" s="14">
        <f t="shared" si="316"/>
        <v>75</v>
      </c>
      <c r="DN129" s="48">
        <f t="shared" si="489"/>
        <v>0</v>
      </c>
      <c r="DO129" s="68">
        <f t="shared" si="365"/>
        <v>0</v>
      </c>
      <c r="DP129" s="51">
        <f t="shared" si="317"/>
        <v>1207</v>
      </c>
      <c r="DQ129" s="103">
        <f t="shared" si="548"/>
        <v>0</v>
      </c>
      <c r="DR129" s="104">
        <f t="shared" si="397"/>
        <v>1207</v>
      </c>
      <c r="DS129" s="50">
        <f t="shared" si="318"/>
        <v>86</v>
      </c>
      <c r="DT129" s="103">
        <f t="shared" si="549"/>
        <v>0</v>
      </c>
      <c r="DU129" s="46">
        <f t="shared" si="357"/>
        <v>86</v>
      </c>
    </row>
    <row r="130" spans="2:125" ht="17.25" thickBot="1" x14ac:dyDescent="0.3">
      <c r="B130" s="120">
        <f t="shared" si="550"/>
        <v>27</v>
      </c>
      <c r="C130" s="570">
        <f t="shared" si="533"/>
        <v>17</v>
      </c>
      <c r="D130" s="133"/>
      <c r="E130" s="408">
        <f t="shared" si="321"/>
        <v>0</v>
      </c>
      <c r="F130" s="562">
        <f t="shared" si="292"/>
        <v>0</v>
      </c>
      <c r="G130" s="134"/>
      <c r="H130" s="135"/>
      <c r="I130" s="135"/>
      <c r="J130" s="14">
        <f t="shared" si="366"/>
        <v>0</v>
      </c>
      <c r="K130" s="14">
        <f t="shared" si="322"/>
        <v>0</v>
      </c>
      <c r="L130" s="14">
        <f t="shared" si="293"/>
        <v>0.16</v>
      </c>
      <c r="M130" s="47">
        <f t="shared" si="349"/>
        <v>0</v>
      </c>
      <c r="N130" s="35">
        <f t="shared" si="294"/>
        <v>4.3200000000000012</v>
      </c>
      <c r="O130" s="132">
        <f t="shared" si="323"/>
        <v>0</v>
      </c>
      <c r="P130" s="142"/>
      <c r="Q130" s="14">
        <f t="shared" si="295"/>
        <v>75</v>
      </c>
      <c r="R130" s="482">
        <f t="shared" si="296"/>
        <v>0</v>
      </c>
      <c r="S130" s="470">
        <f t="shared" si="324"/>
        <v>0</v>
      </c>
      <c r="T130" s="51">
        <f t="shared" si="297"/>
        <v>1207</v>
      </c>
      <c r="U130" s="103">
        <f t="shared" si="534"/>
        <v>0</v>
      </c>
      <c r="V130" s="46">
        <f t="shared" si="326"/>
        <v>1207</v>
      </c>
      <c r="W130" s="50">
        <f t="shared" si="298"/>
        <v>86</v>
      </c>
      <c r="X130" s="103">
        <f t="shared" si="535"/>
        <v>0</v>
      </c>
      <c r="Y130" s="62">
        <f t="shared" si="328"/>
        <v>86</v>
      </c>
      <c r="Z130" s="487"/>
      <c r="AA130" s="120">
        <f t="shared" si="551"/>
        <v>27</v>
      </c>
      <c r="AB130" s="7">
        <f t="shared" si="536"/>
        <v>17</v>
      </c>
      <c r="AC130" s="133"/>
      <c r="AD130" s="48">
        <f t="shared" si="462"/>
        <v>0</v>
      </c>
      <c r="AE130" s="447">
        <f t="shared" si="510"/>
        <v>0</v>
      </c>
      <c r="AF130" s="134"/>
      <c r="AG130" s="135"/>
      <c r="AH130" s="135"/>
      <c r="AI130" s="14">
        <f t="shared" si="468"/>
        <v>0</v>
      </c>
      <c r="AJ130" s="14">
        <f t="shared" si="481"/>
        <v>0</v>
      </c>
      <c r="AK130" s="14">
        <f t="shared" si="299"/>
        <v>0.16</v>
      </c>
      <c r="AL130" s="47">
        <f t="shared" si="331"/>
        <v>0</v>
      </c>
      <c r="AM130" s="35">
        <f t="shared" si="300"/>
        <v>4.3200000000000012</v>
      </c>
      <c r="AN130" s="157">
        <f t="shared" si="358"/>
        <v>0</v>
      </c>
      <c r="AO130" s="134"/>
      <c r="AP130" s="14">
        <f t="shared" si="301"/>
        <v>75</v>
      </c>
      <c r="AQ130" s="482">
        <f t="shared" si="332"/>
        <v>0</v>
      </c>
      <c r="AR130" s="470">
        <f t="shared" si="420"/>
        <v>0</v>
      </c>
      <c r="AS130" s="51">
        <f t="shared" si="302"/>
        <v>1207</v>
      </c>
      <c r="AT130" s="103">
        <f t="shared" si="537"/>
        <v>0</v>
      </c>
      <c r="AU130" s="46">
        <f t="shared" si="394"/>
        <v>1207</v>
      </c>
      <c r="AV130" s="50">
        <f t="shared" si="303"/>
        <v>86</v>
      </c>
      <c r="AW130" s="103">
        <f t="shared" si="538"/>
        <v>0</v>
      </c>
      <c r="AX130" s="62">
        <f t="shared" si="359"/>
        <v>86</v>
      </c>
      <c r="AZ130" s="120">
        <f t="shared" si="552"/>
        <v>27</v>
      </c>
      <c r="BA130" s="7">
        <f t="shared" si="539"/>
        <v>17</v>
      </c>
      <c r="BB130" s="133"/>
      <c r="BC130" s="48">
        <f t="shared" si="337"/>
        <v>0</v>
      </c>
      <c r="BD130" s="447">
        <f t="shared" si="511"/>
        <v>0</v>
      </c>
      <c r="BE130" s="134"/>
      <c r="BF130" s="135"/>
      <c r="BG130" s="135"/>
      <c r="BH130" s="14">
        <f t="shared" si="472"/>
        <v>0</v>
      </c>
      <c r="BI130" s="14">
        <f t="shared" si="483"/>
        <v>0</v>
      </c>
      <c r="BJ130" s="14">
        <f t="shared" si="304"/>
        <v>0.16</v>
      </c>
      <c r="BK130" s="47">
        <f t="shared" si="350"/>
        <v>0</v>
      </c>
      <c r="BL130" s="35">
        <f t="shared" si="305"/>
        <v>4.3200000000000012</v>
      </c>
      <c r="BM130" s="132">
        <f t="shared" si="428"/>
        <v>0</v>
      </c>
      <c r="BN130" s="134"/>
      <c r="BO130" s="14">
        <f t="shared" si="306"/>
        <v>75</v>
      </c>
      <c r="BP130" s="442">
        <f t="shared" si="351"/>
        <v>0</v>
      </c>
      <c r="BQ130" s="747">
        <f t="shared" si="354"/>
        <v>0</v>
      </c>
      <c r="BR130" s="51">
        <f t="shared" si="307"/>
        <v>1207</v>
      </c>
      <c r="BS130" s="103">
        <f t="shared" si="540"/>
        <v>0</v>
      </c>
      <c r="BT130" s="46">
        <f t="shared" si="395"/>
        <v>1207</v>
      </c>
      <c r="BU130" s="50">
        <f t="shared" si="308"/>
        <v>86</v>
      </c>
      <c r="BV130" s="103">
        <f t="shared" si="541"/>
        <v>0</v>
      </c>
      <c r="BW130" s="62">
        <f t="shared" si="360"/>
        <v>86</v>
      </c>
      <c r="BY130" s="120">
        <f t="shared" si="542"/>
        <v>26</v>
      </c>
      <c r="BZ130" s="7">
        <f t="shared" si="543"/>
        <v>17</v>
      </c>
      <c r="CA130" s="133"/>
      <c r="CB130" s="14">
        <f t="shared" si="361"/>
        <v>0</v>
      </c>
      <c r="CC130" s="62">
        <f t="shared" si="369"/>
        <v>0</v>
      </c>
      <c r="CD130" s="134"/>
      <c r="CE130" s="135"/>
      <c r="CF130" s="135"/>
      <c r="CG130" s="14">
        <f t="shared" si="370"/>
        <v>0</v>
      </c>
      <c r="CH130" s="14">
        <f>CH129+CG130</f>
        <v>0</v>
      </c>
      <c r="CI130" s="14">
        <f t="shared" si="309"/>
        <v>0.16</v>
      </c>
      <c r="CJ130" s="47">
        <f>IFERROR((CG130*1000)/CB130,0)</f>
        <v>0</v>
      </c>
      <c r="CK130" s="35">
        <f t="shared" si="310"/>
        <v>4.3200000000000012</v>
      </c>
      <c r="CL130" s="157">
        <f t="shared" si="355"/>
        <v>0</v>
      </c>
      <c r="CM130" s="134"/>
      <c r="CN130" s="14">
        <f t="shared" si="311"/>
        <v>75</v>
      </c>
      <c r="CO130" s="48">
        <f t="shared" si="356"/>
        <v>0</v>
      </c>
      <c r="CP130" s="68">
        <f t="shared" si="353"/>
        <v>0</v>
      </c>
      <c r="CQ130" s="51">
        <f t="shared" si="312"/>
        <v>1207</v>
      </c>
      <c r="CR130" s="103">
        <f t="shared" si="544"/>
        <v>0</v>
      </c>
      <c r="CS130" s="104">
        <f t="shared" si="396"/>
        <v>1207</v>
      </c>
      <c r="CT130" s="51">
        <f t="shared" si="313"/>
        <v>86</v>
      </c>
      <c r="CU130" s="103">
        <f t="shared" si="545"/>
        <v>0</v>
      </c>
      <c r="CV130" s="62">
        <f t="shared" si="344"/>
        <v>86</v>
      </c>
      <c r="CX130" s="120">
        <f t="shared" si="546"/>
        <v>26</v>
      </c>
      <c r="CY130" s="7">
        <f t="shared" si="547"/>
        <v>17</v>
      </c>
      <c r="CZ130" s="133"/>
      <c r="DA130" s="14">
        <f t="shared" si="488"/>
        <v>0</v>
      </c>
      <c r="DB130" s="62">
        <f t="shared" si="512"/>
        <v>0</v>
      </c>
      <c r="DC130" s="134"/>
      <c r="DD130" s="135"/>
      <c r="DE130" s="135"/>
      <c r="DF130" s="14">
        <f t="shared" si="371"/>
        <v>0</v>
      </c>
      <c r="DG130" s="14">
        <f>DG129+DF130</f>
        <v>0</v>
      </c>
      <c r="DH130" s="14">
        <f t="shared" si="314"/>
        <v>0.16</v>
      </c>
      <c r="DI130" s="47">
        <f>IFERROR((DF130*1000)/DA130,0)</f>
        <v>0</v>
      </c>
      <c r="DJ130" s="35">
        <f t="shared" si="315"/>
        <v>4.3200000000000012</v>
      </c>
      <c r="DK130" s="157">
        <f t="shared" si="364"/>
        <v>0</v>
      </c>
      <c r="DL130" s="134"/>
      <c r="DM130" s="14">
        <f t="shared" si="316"/>
        <v>75</v>
      </c>
      <c r="DN130" s="48">
        <f t="shared" si="489"/>
        <v>0</v>
      </c>
      <c r="DO130" s="68">
        <f t="shared" si="365"/>
        <v>0</v>
      </c>
      <c r="DP130" s="51">
        <f t="shared" si="317"/>
        <v>1207</v>
      </c>
      <c r="DQ130" s="103">
        <f t="shared" si="548"/>
        <v>0</v>
      </c>
      <c r="DR130" s="104">
        <f t="shared" si="397"/>
        <v>1207</v>
      </c>
      <c r="DS130" s="51">
        <f t="shared" si="318"/>
        <v>86</v>
      </c>
      <c r="DT130" s="103">
        <f t="shared" si="549"/>
        <v>0</v>
      </c>
      <c r="DU130" s="62">
        <f t="shared" si="357"/>
        <v>86</v>
      </c>
    </row>
    <row r="131" spans="2:125" ht="17.25" thickBot="1" x14ac:dyDescent="0.3">
      <c r="B131" s="120">
        <f t="shared" si="550"/>
        <v>28</v>
      </c>
      <c r="C131" s="574">
        <f t="shared" si="533"/>
        <v>17</v>
      </c>
      <c r="D131" s="136"/>
      <c r="E131" s="436">
        <f t="shared" si="321"/>
        <v>0</v>
      </c>
      <c r="F131" s="451">
        <f t="shared" si="292"/>
        <v>0</v>
      </c>
      <c r="G131" s="137"/>
      <c r="H131" s="138"/>
      <c r="I131" s="138"/>
      <c r="J131" s="34">
        <f t="shared" si="366"/>
        <v>0</v>
      </c>
      <c r="K131" s="32">
        <f t="shared" si="322"/>
        <v>0</v>
      </c>
      <c r="L131" s="32">
        <f t="shared" si="293"/>
        <v>0.16</v>
      </c>
      <c r="M131" s="166">
        <f t="shared" si="349"/>
        <v>0</v>
      </c>
      <c r="N131" s="36">
        <f t="shared" si="294"/>
        <v>4.3200000000000012</v>
      </c>
      <c r="O131" s="132">
        <f t="shared" si="323"/>
        <v>0</v>
      </c>
      <c r="P131" s="139"/>
      <c r="Q131" s="32">
        <f t="shared" si="295"/>
        <v>75</v>
      </c>
      <c r="R131" s="443">
        <f t="shared" si="296"/>
        <v>0</v>
      </c>
      <c r="S131" s="471">
        <f t="shared" si="324"/>
        <v>0</v>
      </c>
      <c r="T131" s="56">
        <f t="shared" si="297"/>
        <v>1207</v>
      </c>
      <c r="U131" s="109">
        <f t="shared" si="534"/>
        <v>0</v>
      </c>
      <c r="V131" s="53">
        <f t="shared" si="326"/>
        <v>1207</v>
      </c>
      <c r="W131" s="56">
        <f t="shared" si="298"/>
        <v>86</v>
      </c>
      <c r="X131" s="109">
        <f t="shared" si="535"/>
        <v>0</v>
      </c>
      <c r="Y131" s="53">
        <f t="shared" si="328"/>
        <v>86</v>
      </c>
      <c r="Z131" s="487"/>
      <c r="AA131" s="120">
        <f t="shared" si="551"/>
        <v>28</v>
      </c>
      <c r="AB131" s="8">
        <f t="shared" si="536"/>
        <v>17</v>
      </c>
      <c r="AC131" s="136"/>
      <c r="AD131" s="54">
        <f t="shared" si="462"/>
        <v>0</v>
      </c>
      <c r="AE131" s="55">
        <f t="shared" si="510"/>
        <v>0</v>
      </c>
      <c r="AF131" s="137"/>
      <c r="AG131" s="138"/>
      <c r="AH131" s="138"/>
      <c r="AI131" s="34">
        <f t="shared" si="468"/>
        <v>0</v>
      </c>
      <c r="AJ131" s="32">
        <f t="shared" si="481"/>
        <v>0</v>
      </c>
      <c r="AK131" s="32">
        <f t="shared" si="299"/>
        <v>0.16</v>
      </c>
      <c r="AL131" s="231">
        <f t="shared" si="331"/>
        <v>0</v>
      </c>
      <c r="AM131" s="36">
        <f t="shared" si="300"/>
        <v>4.3200000000000012</v>
      </c>
      <c r="AN131" s="157">
        <f t="shared" si="358"/>
        <v>0</v>
      </c>
      <c r="AO131" s="137"/>
      <c r="AP131" s="32">
        <f t="shared" si="301"/>
        <v>75</v>
      </c>
      <c r="AQ131" s="443">
        <f t="shared" si="332"/>
        <v>0</v>
      </c>
      <c r="AR131" s="471">
        <f t="shared" si="420"/>
        <v>0</v>
      </c>
      <c r="AS131" s="56">
        <f t="shared" si="302"/>
        <v>1207</v>
      </c>
      <c r="AT131" s="109">
        <f t="shared" si="537"/>
        <v>0</v>
      </c>
      <c r="AU131" s="53">
        <f t="shared" si="394"/>
        <v>1207</v>
      </c>
      <c r="AV131" s="56">
        <f t="shared" si="303"/>
        <v>86</v>
      </c>
      <c r="AW131" s="109">
        <f t="shared" si="538"/>
        <v>0</v>
      </c>
      <c r="AX131" s="53">
        <f t="shared" si="359"/>
        <v>86</v>
      </c>
      <c r="AZ131" s="197">
        <f t="shared" si="552"/>
        <v>28</v>
      </c>
      <c r="BA131" s="8">
        <f t="shared" si="539"/>
        <v>17</v>
      </c>
      <c r="BB131" s="136"/>
      <c r="BC131" s="54">
        <f t="shared" si="337"/>
        <v>0</v>
      </c>
      <c r="BD131" s="55">
        <f t="shared" si="511"/>
        <v>0</v>
      </c>
      <c r="BE131" s="137"/>
      <c r="BF131" s="138"/>
      <c r="BG131" s="138"/>
      <c r="BH131" s="34">
        <f t="shared" si="472"/>
        <v>0</v>
      </c>
      <c r="BI131" s="32">
        <f t="shared" si="483"/>
        <v>0</v>
      </c>
      <c r="BJ131" s="32">
        <f t="shared" si="304"/>
        <v>0.16</v>
      </c>
      <c r="BK131" s="96">
        <f t="shared" si="350"/>
        <v>0</v>
      </c>
      <c r="BL131" s="36">
        <f t="shared" si="305"/>
        <v>4.3200000000000012</v>
      </c>
      <c r="BM131" s="132">
        <f t="shared" si="428"/>
        <v>0</v>
      </c>
      <c r="BN131" s="137"/>
      <c r="BO131" s="32">
        <f t="shared" si="306"/>
        <v>75</v>
      </c>
      <c r="BP131" s="443">
        <f t="shared" si="351"/>
        <v>0</v>
      </c>
      <c r="BQ131" s="750">
        <f t="shared" si="354"/>
        <v>0</v>
      </c>
      <c r="BR131" s="56">
        <f t="shared" si="307"/>
        <v>1207</v>
      </c>
      <c r="BS131" s="109">
        <f t="shared" si="540"/>
        <v>0</v>
      </c>
      <c r="BT131" s="53">
        <f t="shared" si="395"/>
        <v>1207</v>
      </c>
      <c r="BU131" s="56">
        <f t="shared" si="308"/>
        <v>86</v>
      </c>
      <c r="BV131" s="109">
        <f t="shared" si="541"/>
        <v>0</v>
      </c>
      <c r="BW131" s="53">
        <f t="shared" si="360"/>
        <v>86</v>
      </c>
      <c r="BY131" s="197">
        <f>BY130+1</f>
        <v>27</v>
      </c>
      <c r="BZ131" s="8">
        <f t="shared" si="543"/>
        <v>17</v>
      </c>
      <c r="CA131" s="136"/>
      <c r="CB131" s="32">
        <f t="shared" si="361"/>
        <v>0</v>
      </c>
      <c r="CC131" s="53">
        <f t="shared" si="369"/>
        <v>0</v>
      </c>
      <c r="CD131" s="137"/>
      <c r="CE131" s="138"/>
      <c r="CF131" s="138"/>
      <c r="CG131" s="34">
        <f t="shared" si="370"/>
        <v>0</v>
      </c>
      <c r="CH131" s="32">
        <f t="shared" si="362"/>
        <v>0</v>
      </c>
      <c r="CI131" s="32">
        <f t="shared" si="309"/>
        <v>0.16</v>
      </c>
      <c r="CJ131" s="96">
        <f t="shared" si="352"/>
        <v>0</v>
      </c>
      <c r="CK131" s="36">
        <f t="shared" si="310"/>
        <v>4.3200000000000012</v>
      </c>
      <c r="CL131" s="156">
        <f t="shared" si="355"/>
        <v>0</v>
      </c>
      <c r="CM131" s="137"/>
      <c r="CN131" s="32">
        <f t="shared" si="311"/>
        <v>75</v>
      </c>
      <c r="CO131" s="54">
        <f t="shared" si="356"/>
        <v>0</v>
      </c>
      <c r="CP131" s="70">
        <f t="shared" si="353"/>
        <v>0</v>
      </c>
      <c r="CQ131" s="56">
        <f t="shared" si="312"/>
        <v>1207</v>
      </c>
      <c r="CR131" s="109">
        <f t="shared" si="544"/>
        <v>0</v>
      </c>
      <c r="CS131" s="105">
        <f t="shared" si="396"/>
        <v>1207</v>
      </c>
      <c r="CT131" s="163">
        <f t="shared" si="313"/>
        <v>86</v>
      </c>
      <c r="CU131" s="109">
        <f t="shared" si="545"/>
        <v>0</v>
      </c>
      <c r="CV131" s="53">
        <f t="shared" si="344"/>
        <v>86</v>
      </c>
      <c r="CX131" s="197">
        <f>CX130+1</f>
        <v>27</v>
      </c>
      <c r="CY131" s="8">
        <f t="shared" si="547"/>
        <v>17</v>
      </c>
      <c r="CZ131" s="136"/>
      <c r="DA131" s="32">
        <f t="shared" si="488"/>
        <v>0</v>
      </c>
      <c r="DB131" s="53">
        <f t="shared" si="512"/>
        <v>0</v>
      </c>
      <c r="DC131" s="137"/>
      <c r="DD131" s="138"/>
      <c r="DE131" s="138"/>
      <c r="DF131" s="34">
        <f t="shared" si="371"/>
        <v>0</v>
      </c>
      <c r="DG131" s="32">
        <f t="shared" ref="DG131:DG138" si="553">DG130+DF131</f>
        <v>0</v>
      </c>
      <c r="DH131" s="32">
        <f t="shared" si="314"/>
        <v>0.16</v>
      </c>
      <c r="DI131" s="96">
        <f t="shared" ref="DI131:DI137" si="554">IFERROR((DF131*1000)/DA131,0)</f>
        <v>0</v>
      </c>
      <c r="DJ131" s="36">
        <f t="shared" si="315"/>
        <v>4.3200000000000012</v>
      </c>
      <c r="DK131" s="156">
        <f t="shared" si="364"/>
        <v>0</v>
      </c>
      <c r="DL131" s="137"/>
      <c r="DM131" s="32">
        <f t="shared" si="316"/>
        <v>75</v>
      </c>
      <c r="DN131" s="54">
        <f t="shared" si="489"/>
        <v>0</v>
      </c>
      <c r="DO131" s="70">
        <f t="shared" si="365"/>
        <v>0</v>
      </c>
      <c r="DP131" s="56">
        <f t="shared" si="317"/>
        <v>1207</v>
      </c>
      <c r="DQ131" s="109">
        <f t="shared" si="548"/>
        <v>0</v>
      </c>
      <c r="DR131" s="105">
        <f t="shared" si="397"/>
        <v>1207</v>
      </c>
      <c r="DS131" s="163">
        <f t="shared" si="318"/>
        <v>86</v>
      </c>
      <c r="DT131" s="109">
        <f t="shared" si="549"/>
        <v>0</v>
      </c>
      <c r="DU131" s="53">
        <f t="shared" si="357"/>
        <v>86</v>
      </c>
    </row>
    <row r="132" spans="2:125" ht="17.25" thickBot="1" x14ac:dyDescent="0.3">
      <c r="B132" s="118">
        <v>29</v>
      </c>
      <c r="C132" s="575">
        <v>18</v>
      </c>
      <c r="D132" s="143"/>
      <c r="E132" s="430">
        <f t="shared" si="321"/>
        <v>0</v>
      </c>
      <c r="F132" s="583">
        <f t="shared" si="292"/>
        <v>0</v>
      </c>
      <c r="G132" s="144"/>
      <c r="H132" s="141"/>
      <c r="I132" s="141"/>
      <c r="J132" s="17">
        <f t="shared" ref="J132:J138" si="555">SUM(G132:I132)</f>
        <v>0</v>
      </c>
      <c r="K132" s="17">
        <f t="shared" si="322"/>
        <v>0</v>
      </c>
      <c r="L132" s="17">
        <f t="shared" si="293"/>
        <v>0.16</v>
      </c>
      <c r="M132" s="231">
        <f t="shared" si="349"/>
        <v>0</v>
      </c>
      <c r="N132" s="33">
        <f t="shared" si="294"/>
        <v>4.4800000000000013</v>
      </c>
      <c r="O132" s="132">
        <f t="shared" si="323"/>
        <v>0</v>
      </c>
      <c r="P132" s="158"/>
      <c r="Q132" s="17">
        <f t="shared" si="295"/>
        <v>79</v>
      </c>
      <c r="R132" s="481">
        <f t="shared" si="296"/>
        <v>0</v>
      </c>
      <c r="S132" s="469">
        <f t="shared" si="324"/>
        <v>0</v>
      </c>
      <c r="T132" s="61">
        <f t="shared" si="297"/>
        <v>1257</v>
      </c>
      <c r="U132" s="131"/>
      <c r="V132" s="41">
        <f t="shared" si="326"/>
        <v>1257</v>
      </c>
      <c r="W132" s="18">
        <f t="shared" si="298"/>
        <v>86</v>
      </c>
      <c r="X132" s="131"/>
      <c r="Y132" s="41">
        <f t="shared" si="328"/>
        <v>86</v>
      </c>
      <c r="Z132" s="487"/>
      <c r="AA132" s="118">
        <v>29</v>
      </c>
      <c r="AB132" s="9">
        <v>18</v>
      </c>
      <c r="AC132" s="129"/>
      <c r="AD132" s="43">
        <f t="shared" si="462"/>
        <v>0</v>
      </c>
      <c r="AE132" s="449">
        <f t="shared" si="510"/>
        <v>0</v>
      </c>
      <c r="AF132" s="130"/>
      <c r="AG132" s="131"/>
      <c r="AH132" s="131"/>
      <c r="AI132" s="11">
        <f t="shared" si="468"/>
        <v>0</v>
      </c>
      <c r="AJ132" s="11">
        <f t="shared" si="481"/>
        <v>0</v>
      </c>
      <c r="AK132" s="17">
        <f t="shared" si="299"/>
        <v>0.16</v>
      </c>
      <c r="AL132" s="153">
        <f t="shared" si="331"/>
        <v>0</v>
      </c>
      <c r="AM132" s="33">
        <f t="shared" si="300"/>
        <v>4.4800000000000013</v>
      </c>
      <c r="AN132" s="157">
        <f t="shared" si="358"/>
        <v>0</v>
      </c>
      <c r="AO132" s="130"/>
      <c r="AP132" s="17">
        <f t="shared" si="301"/>
        <v>79</v>
      </c>
      <c r="AQ132" s="481">
        <f t="shared" si="332"/>
        <v>0</v>
      </c>
      <c r="AR132" s="469">
        <f t="shared" si="420"/>
        <v>0</v>
      </c>
      <c r="AS132" s="61">
        <f t="shared" si="302"/>
        <v>1257</v>
      </c>
      <c r="AT132" s="131"/>
      <c r="AU132" s="41">
        <f t="shared" si="394"/>
        <v>1257</v>
      </c>
      <c r="AV132" s="18">
        <f t="shared" si="303"/>
        <v>86</v>
      </c>
      <c r="AW132" s="131"/>
      <c r="AX132" s="41">
        <f t="shared" si="359"/>
        <v>86</v>
      </c>
      <c r="AZ132" s="118">
        <v>29</v>
      </c>
      <c r="BA132" s="9">
        <v>18</v>
      </c>
      <c r="BB132" s="129"/>
      <c r="BC132" s="43">
        <f t="shared" si="337"/>
        <v>0</v>
      </c>
      <c r="BD132" s="449">
        <f t="shared" si="511"/>
        <v>0</v>
      </c>
      <c r="BE132" s="130"/>
      <c r="BF132" s="131"/>
      <c r="BG132" s="131"/>
      <c r="BH132" s="11">
        <f t="shared" si="472"/>
        <v>0</v>
      </c>
      <c r="BI132" s="11">
        <f t="shared" si="483"/>
        <v>0</v>
      </c>
      <c r="BJ132" s="11">
        <f t="shared" si="304"/>
        <v>0.16</v>
      </c>
      <c r="BK132" s="42">
        <f t="shared" si="350"/>
        <v>0</v>
      </c>
      <c r="BL132" s="21">
        <f t="shared" si="305"/>
        <v>4.4800000000000013</v>
      </c>
      <c r="BM132" s="132">
        <f t="shared" si="428"/>
        <v>0</v>
      </c>
      <c r="BN132" s="130"/>
      <c r="BO132" s="11">
        <f t="shared" si="306"/>
        <v>79</v>
      </c>
      <c r="BP132" s="441">
        <f t="shared" si="351"/>
        <v>0</v>
      </c>
      <c r="BQ132" s="746">
        <f t="shared" si="354"/>
        <v>0</v>
      </c>
      <c r="BR132" s="58">
        <f t="shared" si="307"/>
        <v>1257</v>
      </c>
      <c r="BS132" s="131"/>
      <c r="BT132" s="41">
        <f t="shared" si="395"/>
        <v>1257</v>
      </c>
      <c r="BU132" s="18">
        <f t="shared" si="308"/>
        <v>86</v>
      </c>
      <c r="BV132" s="131"/>
      <c r="BW132" s="41">
        <f t="shared" si="360"/>
        <v>86</v>
      </c>
      <c r="BY132" s="118">
        <v>28</v>
      </c>
      <c r="BZ132" s="9">
        <v>18</v>
      </c>
      <c r="CA132" s="129"/>
      <c r="CB132" s="43">
        <f t="shared" si="361"/>
        <v>0</v>
      </c>
      <c r="CC132" s="449">
        <f t="shared" si="369"/>
        <v>0</v>
      </c>
      <c r="CD132" s="130"/>
      <c r="CE132" s="131"/>
      <c r="CF132" s="131"/>
      <c r="CG132" s="11">
        <f t="shared" si="370"/>
        <v>0</v>
      </c>
      <c r="CH132" s="11">
        <f t="shared" si="362"/>
        <v>0</v>
      </c>
      <c r="CI132" s="17">
        <f t="shared" si="309"/>
        <v>0.16</v>
      </c>
      <c r="CJ132" s="235">
        <f t="shared" si="352"/>
        <v>0</v>
      </c>
      <c r="CK132" s="33">
        <f t="shared" si="310"/>
        <v>4.4800000000000013</v>
      </c>
      <c r="CL132" s="155">
        <f t="shared" si="355"/>
        <v>0</v>
      </c>
      <c r="CM132" s="130"/>
      <c r="CN132" s="17">
        <f t="shared" si="311"/>
        <v>79</v>
      </c>
      <c r="CO132" s="441">
        <f t="shared" si="356"/>
        <v>0</v>
      </c>
      <c r="CP132" s="377">
        <f t="shared" si="353"/>
        <v>0</v>
      </c>
      <c r="CQ132" s="61">
        <f t="shared" si="312"/>
        <v>1257</v>
      </c>
      <c r="CR132" s="131"/>
      <c r="CS132" s="41">
        <f t="shared" si="396"/>
        <v>1257</v>
      </c>
      <c r="CT132" s="18">
        <f t="shared" si="313"/>
        <v>86</v>
      </c>
      <c r="CU132" s="131"/>
      <c r="CV132" s="41">
        <f t="shared" si="344"/>
        <v>86</v>
      </c>
      <c r="CX132" s="118">
        <v>28</v>
      </c>
      <c r="CY132" s="9">
        <v>18</v>
      </c>
      <c r="CZ132" s="129"/>
      <c r="DA132" s="43">
        <f t="shared" si="488"/>
        <v>0</v>
      </c>
      <c r="DB132" s="449">
        <f t="shared" si="512"/>
        <v>0</v>
      </c>
      <c r="DC132" s="130"/>
      <c r="DD132" s="131"/>
      <c r="DE132" s="131"/>
      <c r="DF132" s="11">
        <f t="shared" si="371"/>
        <v>0</v>
      </c>
      <c r="DG132" s="11">
        <f t="shared" si="553"/>
        <v>0</v>
      </c>
      <c r="DH132" s="17">
        <f t="shared" si="314"/>
        <v>0.16</v>
      </c>
      <c r="DI132" s="235">
        <f t="shared" si="554"/>
        <v>0</v>
      </c>
      <c r="DJ132" s="33">
        <f t="shared" si="315"/>
        <v>4.4800000000000013</v>
      </c>
      <c r="DK132" s="155">
        <f t="shared" si="364"/>
        <v>0</v>
      </c>
      <c r="DL132" s="130"/>
      <c r="DM132" s="17">
        <f t="shared" si="316"/>
        <v>79</v>
      </c>
      <c r="DN132" s="441">
        <f t="shared" si="489"/>
        <v>0</v>
      </c>
      <c r="DO132" s="377">
        <f t="shared" si="365"/>
        <v>0</v>
      </c>
      <c r="DP132" s="61">
        <f t="shared" si="317"/>
        <v>1257</v>
      </c>
      <c r="DQ132" s="131"/>
      <c r="DR132" s="41">
        <f t="shared" si="397"/>
        <v>1257</v>
      </c>
      <c r="DS132" s="18">
        <f t="shared" si="318"/>
        <v>86</v>
      </c>
      <c r="DT132" s="131"/>
      <c r="DU132" s="41">
        <f t="shared" si="357"/>
        <v>86</v>
      </c>
    </row>
    <row r="133" spans="2:125" ht="17.25" thickBot="1" x14ac:dyDescent="0.3">
      <c r="B133" s="120">
        <f>B132+1</f>
        <v>30</v>
      </c>
      <c r="C133" s="570">
        <f>C132</f>
        <v>18</v>
      </c>
      <c r="D133" s="133"/>
      <c r="E133" s="408">
        <f t="shared" si="321"/>
        <v>0</v>
      </c>
      <c r="F133" s="562">
        <f t="shared" si="292"/>
        <v>0</v>
      </c>
      <c r="G133" s="134"/>
      <c r="H133" s="135"/>
      <c r="I133" s="135"/>
      <c r="J133" s="31">
        <f t="shared" si="555"/>
        <v>0</v>
      </c>
      <c r="K133" s="14">
        <f t="shared" si="322"/>
        <v>0</v>
      </c>
      <c r="L133" s="14">
        <f t="shared" si="293"/>
        <v>0.16</v>
      </c>
      <c r="M133" s="230">
        <f t="shared" si="349"/>
        <v>0</v>
      </c>
      <c r="N133" s="35">
        <f t="shared" si="294"/>
        <v>4.4800000000000013</v>
      </c>
      <c r="O133" s="132">
        <f t="shared" si="323"/>
        <v>0</v>
      </c>
      <c r="P133" s="142"/>
      <c r="Q133" s="14">
        <f t="shared" si="295"/>
        <v>79</v>
      </c>
      <c r="R133" s="442">
        <f t="shared" si="296"/>
        <v>0</v>
      </c>
      <c r="S133" s="470">
        <f t="shared" si="324"/>
        <v>0</v>
      </c>
      <c r="T133" s="51">
        <f t="shared" si="297"/>
        <v>1257</v>
      </c>
      <c r="U133" s="103">
        <f>U132</f>
        <v>0</v>
      </c>
      <c r="V133" s="46">
        <f t="shared" si="326"/>
        <v>1257</v>
      </c>
      <c r="W133" s="51">
        <f t="shared" si="298"/>
        <v>86</v>
      </c>
      <c r="X133" s="103">
        <f>X132</f>
        <v>0</v>
      </c>
      <c r="Y133" s="46">
        <f t="shared" si="328"/>
        <v>86</v>
      </c>
      <c r="Z133" s="487"/>
      <c r="AA133" s="120">
        <f>AA132+1</f>
        <v>30</v>
      </c>
      <c r="AB133" s="7">
        <f>AB132</f>
        <v>18</v>
      </c>
      <c r="AC133" s="133"/>
      <c r="AD133" s="48">
        <f t="shared" si="462"/>
        <v>0</v>
      </c>
      <c r="AE133" s="196">
        <f t="shared" si="510"/>
        <v>0</v>
      </c>
      <c r="AF133" s="134"/>
      <c r="AG133" s="135"/>
      <c r="AH133" s="135"/>
      <c r="AI133" s="31">
        <f t="shared" si="468"/>
        <v>0</v>
      </c>
      <c r="AJ133" s="14">
        <f t="shared" si="481"/>
        <v>0</v>
      </c>
      <c r="AK133" s="14">
        <f t="shared" si="299"/>
        <v>0.16</v>
      </c>
      <c r="AL133" s="230">
        <f t="shared" si="331"/>
        <v>0</v>
      </c>
      <c r="AM133" s="35">
        <f t="shared" si="300"/>
        <v>4.4800000000000013</v>
      </c>
      <c r="AN133" s="157">
        <f t="shared" si="358"/>
        <v>0</v>
      </c>
      <c r="AO133" s="134"/>
      <c r="AP133" s="14">
        <f t="shared" si="301"/>
        <v>79</v>
      </c>
      <c r="AQ133" s="442">
        <f t="shared" si="332"/>
        <v>0</v>
      </c>
      <c r="AR133" s="470">
        <f t="shared" si="420"/>
        <v>0</v>
      </c>
      <c r="AS133" s="51">
        <f t="shared" si="302"/>
        <v>1257</v>
      </c>
      <c r="AT133" s="103">
        <f>AT132</f>
        <v>0</v>
      </c>
      <c r="AU133" s="46">
        <f t="shared" si="394"/>
        <v>1257</v>
      </c>
      <c r="AV133" s="51">
        <f t="shared" si="303"/>
        <v>86</v>
      </c>
      <c r="AW133" s="103">
        <f>AW132</f>
        <v>0</v>
      </c>
      <c r="AX133" s="46">
        <f t="shared" si="359"/>
        <v>86</v>
      </c>
      <c r="AZ133" s="120">
        <f>AZ132+1</f>
        <v>30</v>
      </c>
      <c r="BA133" s="7">
        <f>BA132</f>
        <v>18</v>
      </c>
      <c r="BB133" s="133"/>
      <c r="BC133" s="48">
        <f t="shared" si="337"/>
        <v>0</v>
      </c>
      <c r="BD133" s="196">
        <f t="shared" si="511"/>
        <v>0</v>
      </c>
      <c r="BE133" s="134"/>
      <c r="BF133" s="135"/>
      <c r="BG133" s="135"/>
      <c r="BH133" s="31">
        <f t="shared" si="472"/>
        <v>0</v>
      </c>
      <c r="BI133" s="14">
        <f t="shared" si="483"/>
        <v>0</v>
      </c>
      <c r="BJ133" s="14">
        <f t="shared" si="304"/>
        <v>0.16</v>
      </c>
      <c r="BK133" s="47">
        <f t="shared" si="350"/>
        <v>0</v>
      </c>
      <c r="BL133" s="35">
        <f t="shared" si="305"/>
        <v>4.4800000000000013</v>
      </c>
      <c r="BM133" s="132">
        <f t="shared" si="428"/>
        <v>0</v>
      </c>
      <c r="BN133" s="134"/>
      <c r="BO133" s="14">
        <f t="shared" si="306"/>
        <v>79</v>
      </c>
      <c r="BP133" s="442">
        <f t="shared" si="351"/>
        <v>0</v>
      </c>
      <c r="BQ133" s="747">
        <f t="shared" si="354"/>
        <v>0</v>
      </c>
      <c r="BR133" s="51">
        <f t="shared" si="307"/>
        <v>1257</v>
      </c>
      <c r="BS133" s="103">
        <f>BS132</f>
        <v>0</v>
      </c>
      <c r="BT133" s="46">
        <f t="shared" si="395"/>
        <v>1257</v>
      </c>
      <c r="BU133" s="51">
        <f t="shared" si="308"/>
        <v>86</v>
      </c>
      <c r="BV133" s="103">
        <f>BV132</f>
        <v>0</v>
      </c>
      <c r="BW133" s="46">
        <f t="shared" si="360"/>
        <v>86</v>
      </c>
      <c r="BY133" s="120">
        <f>BY132+1</f>
        <v>29</v>
      </c>
      <c r="BZ133" s="7">
        <f>BZ132</f>
        <v>18</v>
      </c>
      <c r="CA133" s="133"/>
      <c r="CB133" s="48">
        <f t="shared" si="361"/>
        <v>0</v>
      </c>
      <c r="CC133" s="196">
        <f t="shared" si="369"/>
        <v>0</v>
      </c>
      <c r="CD133" s="134"/>
      <c r="CE133" s="135"/>
      <c r="CF133" s="135"/>
      <c r="CG133" s="31">
        <f t="shared" si="370"/>
        <v>0</v>
      </c>
      <c r="CH133" s="14">
        <f t="shared" si="362"/>
        <v>0</v>
      </c>
      <c r="CI133" s="14">
        <f t="shared" si="309"/>
        <v>0.16</v>
      </c>
      <c r="CJ133" s="47">
        <f t="shared" si="352"/>
        <v>0</v>
      </c>
      <c r="CK133" s="35">
        <f t="shared" si="310"/>
        <v>4.4800000000000013</v>
      </c>
      <c r="CL133" s="157">
        <f t="shared" si="355"/>
        <v>0</v>
      </c>
      <c r="CM133" s="134"/>
      <c r="CN133" s="14">
        <f t="shared" si="311"/>
        <v>79</v>
      </c>
      <c r="CO133" s="442">
        <f t="shared" si="356"/>
        <v>0</v>
      </c>
      <c r="CP133" s="68">
        <f t="shared" si="353"/>
        <v>0</v>
      </c>
      <c r="CQ133" s="51">
        <f t="shared" si="312"/>
        <v>1257</v>
      </c>
      <c r="CR133" s="103">
        <f>CR132</f>
        <v>0</v>
      </c>
      <c r="CS133" s="46">
        <f t="shared" si="396"/>
        <v>1257</v>
      </c>
      <c r="CT133" s="51">
        <f t="shared" si="313"/>
        <v>86</v>
      </c>
      <c r="CU133" s="103">
        <f>CU132</f>
        <v>0</v>
      </c>
      <c r="CV133" s="46">
        <f t="shared" si="344"/>
        <v>86</v>
      </c>
      <c r="CX133" s="120">
        <f>CX132+1</f>
        <v>29</v>
      </c>
      <c r="CY133" s="7">
        <f>CY132</f>
        <v>18</v>
      </c>
      <c r="CZ133" s="133"/>
      <c r="DA133" s="48">
        <f t="shared" si="488"/>
        <v>0</v>
      </c>
      <c r="DB133" s="196">
        <f t="shared" si="512"/>
        <v>0</v>
      </c>
      <c r="DC133" s="134"/>
      <c r="DD133" s="135"/>
      <c r="DE133" s="135"/>
      <c r="DF133" s="31">
        <f t="shared" si="371"/>
        <v>0</v>
      </c>
      <c r="DG133" s="14">
        <f t="shared" si="553"/>
        <v>0</v>
      </c>
      <c r="DH133" s="14">
        <f t="shared" si="314"/>
        <v>0.16</v>
      </c>
      <c r="DI133" s="47">
        <f t="shared" si="554"/>
        <v>0</v>
      </c>
      <c r="DJ133" s="35">
        <f t="shared" si="315"/>
        <v>4.4800000000000013</v>
      </c>
      <c r="DK133" s="157">
        <f t="shared" si="364"/>
        <v>0</v>
      </c>
      <c r="DL133" s="134"/>
      <c r="DM133" s="14">
        <f t="shared" si="316"/>
        <v>79</v>
      </c>
      <c r="DN133" s="442">
        <f t="shared" si="489"/>
        <v>0</v>
      </c>
      <c r="DO133" s="68">
        <f t="shared" si="365"/>
        <v>0</v>
      </c>
      <c r="DP133" s="51">
        <f t="shared" si="317"/>
        <v>1257</v>
      </c>
      <c r="DQ133" s="103">
        <f>DQ132</f>
        <v>0</v>
      </c>
      <c r="DR133" s="46">
        <f t="shared" si="397"/>
        <v>1257</v>
      </c>
      <c r="DS133" s="51">
        <f t="shared" si="318"/>
        <v>86</v>
      </c>
      <c r="DT133" s="103">
        <f>DT132</f>
        <v>0</v>
      </c>
      <c r="DU133" s="46">
        <f t="shared" si="357"/>
        <v>86</v>
      </c>
    </row>
    <row r="134" spans="2:125" ht="17.25" thickBot="1" x14ac:dyDescent="0.3">
      <c r="B134" s="120">
        <v>1</v>
      </c>
      <c r="C134" s="570">
        <f t="shared" ref="C134:C138" si="556">C133</f>
        <v>18</v>
      </c>
      <c r="D134" s="133"/>
      <c r="E134" s="408">
        <f t="shared" si="321"/>
        <v>0</v>
      </c>
      <c r="F134" s="562">
        <f t="shared" ref="F134:F138" si="557">IFERROR(E134-J134,0)</f>
        <v>0</v>
      </c>
      <c r="G134" s="134"/>
      <c r="H134" s="135"/>
      <c r="I134" s="135"/>
      <c r="J134" s="13">
        <f t="shared" si="555"/>
        <v>0</v>
      </c>
      <c r="K134" s="14">
        <f t="shared" si="322"/>
        <v>0</v>
      </c>
      <c r="L134" s="14">
        <f t="shared" ref="L134:L138" si="558">VLOOKUP($C134,LOHMANN,4,FALSE)</f>
        <v>0.16</v>
      </c>
      <c r="M134" s="47">
        <f t="shared" si="349"/>
        <v>0</v>
      </c>
      <c r="N134" s="35">
        <f t="shared" ref="N134:N138" si="559">VLOOKUP($C134,LOHMANN,5,FALSE)</f>
        <v>4.4800000000000013</v>
      </c>
      <c r="O134" s="132">
        <f t="shared" si="323"/>
        <v>0</v>
      </c>
      <c r="P134" s="142"/>
      <c r="Q134" s="14">
        <f t="shared" ref="Q134:Q138" si="560">VLOOKUP($C134,LOHMANN,6,FALSE)</f>
        <v>79</v>
      </c>
      <c r="R134" s="442">
        <f t="shared" ref="R134:R138" si="561">IFERROR((P134/E134)*1000,0)</f>
        <v>0</v>
      </c>
      <c r="S134" s="470">
        <f t="shared" si="324"/>
        <v>0</v>
      </c>
      <c r="T134" s="51">
        <f t="shared" ref="T134:T138" si="562">VLOOKUP($C134,LOHMANN,2,FALSE)</f>
        <v>1257</v>
      </c>
      <c r="U134" s="103">
        <f t="shared" ref="U134:U138" si="563">U133</f>
        <v>0</v>
      </c>
      <c r="V134" s="46">
        <f t="shared" si="326"/>
        <v>1257</v>
      </c>
      <c r="W134" s="51">
        <f t="shared" ref="W134:W138" si="564">VLOOKUP(C134,LOHMANN,3,FALSE)</f>
        <v>86</v>
      </c>
      <c r="X134" s="103">
        <f t="shared" ref="X134:X138" si="565">X133</f>
        <v>0</v>
      </c>
      <c r="Y134" s="46">
        <f t="shared" si="328"/>
        <v>86</v>
      </c>
      <c r="Z134" s="487"/>
      <c r="AA134" s="120">
        <v>1</v>
      </c>
      <c r="AB134" s="7">
        <f t="shared" ref="AB134:AB138" si="566">AB133</f>
        <v>18</v>
      </c>
      <c r="AC134" s="133"/>
      <c r="AD134" s="48">
        <f t="shared" si="462"/>
        <v>0</v>
      </c>
      <c r="AE134" s="196">
        <f t="shared" si="510"/>
        <v>0</v>
      </c>
      <c r="AF134" s="134"/>
      <c r="AG134" s="135"/>
      <c r="AH134" s="135"/>
      <c r="AI134" s="13">
        <f t="shared" si="468"/>
        <v>0</v>
      </c>
      <c r="AJ134" s="14">
        <f t="shared" si="481"/>
        <v>0</v>
      </c>
      <c r="AK134" s="14">
        <f t="shared" ref="AK134:AK138" si="567">VLOOKUP($C134,LOHMANN,4,FALSE)</f>
        <v>0.16</v>
      </c>
      <c r="AL134" s="47">
        <f t="shared" si="331"/>
        <v>0</v>
      </c>
      <c r="AM134" s="35">
        <f t="shared" ref="AM134:AM138" si="568">VLOOKUP($C134,LOHMANN,5,FALSE)</f>
        <v>4.4800000000000013</v>
      </c>
      <c r="AN134" s="157">
        <f t="shared" si="358"/>
        <v>0</v>
      </c>
      <c r="AO134" s="134"/>
      <c r="AP134" s="14">
        <f t="shared" ref="AP134:AP138" si="569">VLOOKUP($C134,LOHMANN,6,FALSE)</f>
        <v>79</v>
      </c>
      <c r="AQ134" s="442">
        <f t="shared" si="332"/>
        <v>0</v>
      </c>
      <c r="AR134" s="470">
        <f t="shared" si="420"/>
        <v>0</v>
      </c>
      <c r="AS134" s="51">
        <f t="shared" ref="AS134:AS138" si="570">VLOOKUP($C134,LOHMANN,2,FALSE)</f>
        <v>1257</v>
      </c>
      <c r="AT134" s="103">
        <f t="shared" ref="AT134:AT138" si="571">AT133</f>
        <v>0</v>
      </c>
      <c r="AU134" s="46">
        <f t="shared" si="394"/>
        <v>1257</v>
      </c>
      <c r="AV134" s="51">
        <f t="shared" ref="AV134:AV138" si="572">VLOOKUP(AB134,LOHMANN,3,FALSE)</f>
        <v>86</v>
      </c>
      <c r="AW134" s="103">
        <f t="shared" ref="AW134:AW138" si="573">AW133</f>
        <v>0</v>
      </c>
      <c r="AX134" s="46">
        <f t="shared" si="359"/>
        <v>86</v>
      </c>
      <c r="AZ134" s="120">
        <v>1</v>
      </c>
      <c r="BA134" s="7">
        <f t="shared" ref="BA134:BA138" si="574">BA133</f>
        <v>18</v>
      </c>
      <c r="BB134" s="133"/>
      <c r="BC134" s="48">
        <f t="shared" si="337"/>
        <v>0</v>
      </c>
      <c r="BD134" s="196">
        <f t="shared" si="511"/>
        <v>0</v>
      </c>
      <c r="BE134" s="134"/>
      <c r="BF134" s="135"/>
      <c r="BG134" s="135"/>
      <c r="BH134" s="13">
        <f t="shared" si="472"/>
        <v>0</v>
      </c>
      <c r="BI134" s="14">
        <f t="shared" si="483"/>
        <v>0</v>
      </c>
      <c r="BJ134" s="14">
        <f t="shared" ref="BJ134:BJ138" si="575">VLOOKUP($C134,LOHMANN,4,FALSE)</f>
        <v>0.16</v>
      </c>
      <c r="BK134" s="47">
        <f t="shared" si="350"/>
        <v>0</v>
      </c>
      <c r="BL134" s="35">
        <f t="shared" ref="BL134:BL138" si="576">VLOOKUP($C134,LOHMANN,5,FALSE)</f>
        <v>4.4800000000000013</v>
      </c>
      <c r="BM134" s="132">
        <f t="shared" si="428"/>
        <v>0</v>
      </c>
      <c r="BN134" s="134"/>
      <c r="BO134" s="14">
        <f t="shared" ref="BO134:BO138" si="577">VLOOKUP($C134,LOHMANN,6,FALSE)</f>
        <v>79</v>
      </c>
      <c r="BP134" s="442">
        <f t="shared" si="351"/>
        <v>0</v>
      </c>
      <c r="BQ134" s="747">
        <f t="shared" si="354"/>
        <v>0</v>
      </c>
      <c r="BR134" s="51">
        <f t="shared" ref="BR134:BR138" si="578">VLOOKUP($C134,LOHMANN,2,FALSE)</f>
        <v>1257</v>
      </c>
      <c r="BS134" s="103">
        <f t="shared" ref="BS134:BS138" si="579">BS133</f>
        <v>0</v>
      </c>
      <c r="BT134" s="46">
        <f t="shared" si="395"/>
        <v>1257</v>
      </c>
      <c r="BU134" s="51">
        <f t="shared" ref="BU134:BU138" si="580">VLOOKUP(BA134,LOHMANN,3,FALSE)</f>
        <v>86</v>
      </c>
      <c r="BV134" s="103">
        <f t="shared" ref="BV134:BV138" si="581">BV133</f>
        <v>0</v>
      </c>
      <c r="BW134" s="46">
        <f t="shared" si="360"/>
        <v>86</v>
      </c>
      <c r="BY134" s="120">
        <f>BY133+1</f>
        <v>30</v>
      </c>
      <c r="BZ134" s="7">
        <f t="shared" ref="BZ134:BZ138" si="582">BZ133</f>
        <v>18</v>
      </c>
      <c r="CA134" s="133"/>
      <c r="CB134" s="48">
        <f t="shared" si="361"/>
        <v>0</v>
      </c>
      <c r="CC134" s="196">
        <f t="shared" si="369"/>
        <v>0</v>
      </c>
      <c r="CD134" s="134"/>
      <c r="CE134" s="135"/>
      <c r="CF134" s="135"/>
      <c r="CG134" s="13">
        <f t="shared" si="370"/>
        <v>0</v>
      </c>
      <c r="CH134" s="14">
        <f t="shared" si="362"/>
        <v>0</v>
      </c>
      <c r="CI134" s="14">
        <f t="shared" ref="CI134:CI138" si="583">VLOOKUP($C134,LOHMANN,4,FALSE)</f>
        <v>0.16</v>
      </c>
      <c r="CJ134" s="47">
        <f t="shared" si="352"/>
        <v>0</v>
      </c>
      <c r="CK134" s="35">
        <f t="shared" ref="CK134:CK138" si="584">VLOOKUP($C134,LOHMANN,5,FALSE)</f>
        <v>4.4800000000000013</v>
      </c>
      <c r="CL134" s="157">
        <f t="shared" si="355"/>
        <v>0</v>
      </c>
      <c r="CM134" s="134"/>
      <c r="CN134" s="14">
        <f t="shared" ref="CN134:CN138" si="585">VLOOKUP($C134,LOHMANN,6,FALSE)</f>
        <v>79</v>
      </c>
      <c r="CO134" s="442">
        <f t="shared" si="356"/>
        <v>0</v>
      </c>
      <c r="CP134" s="68">
        <f t="shared" si="353"/>
        <v>0</v>
      </c>
      <c r="CQ134" s="51">
        <f t="shared" ref="CQ134:CQ138" si="586">VLOOKUP($C134,LOHMANN,2,FALSE)</f>
        <v>1257</v>
      </c>
      <c r="CR134" s="103">
        <f t="shared" ref="CR134:CR138" si="587">CR133</f>
        <v>0</v>
      </c>
      <c r="CS134" s="46">
        <f t="shared" si="396"/>
        <v>1257</v>
      </c>
      <c r="CT134" s="51">
        <f t="shared" ref="CT134:CT138" si="588">VLOOKUP(BZ134,LOHMANN,3,FALSE)</f>
        <v>86</v>
      </c>
      <c r="CU134" s="103">
        <f t="shared" ref="CU134:CU138" si="589">CU133</f>
        <v>0</v>
      </c>
      <c r="CV134" s="46">
        <f t="shared" si="344"/>
        <v>86</v>
      </c>
      <c r="CX134" s="120">
        <f>CX133+1</f>
        <v>30</v>
      </c>
      <c r="CY134" s="7">
        <f t="shared" ref="CY134:CY138" si="590">CY133</f>
        <v>18</v>
      </c>
      <c r="CZ134" s="133"/>
      <c r="DA134" s="48">
        <f t="shared" si="488"/>
        <v>0</v>
      </c>
      <c r="DB134" s="196">
        <f t="shared" si="512"/>
        <v>0</v>
      </c>
      <c r="DC134" s="134"/>
      <c r="DD134" s="135"/>
      <c r="DE134" s="135"/>
      <c r="DF134" s="13">
        <f t="shared" si="371"/>
        <v>0</v>
      </c>
      <c r="DG134" s="14">
        <f t="shared" si="553"/>
        <v>0</v>
      </c>
      <c r="DH134" s="14">
        <f t="shared" ref="DH134:DH138" si="591">VLOOKUP($C134,LOHMANN,4,FALSE)</f>
        <v>0.16</v>
      </c>
      <c r="DI134" s="47">
        <f t="shared" si="554"/>
        <v>0</v>
      </c>
      <c r="DJ134" s="35">
        <f t="shared" ref="DJ134:DJ138" si="592">VLOOKUP($C134,LOHMANN,5,FALSE)</f>
        <v>4.4800000000000013</v>
      </c>
      <c r="DK134" s="157">
        <f t="shared" si="364"/>
        <v>0</v>
      </c>
      <c r="DL134" s="134"/>
      <c r="DM134" s="14">
        <f t="shared" ref="DM134:DM138" si="593">VLOOKUP($C134,LOHMANN,6,FALSE)</f>
        <v>79</v>
      </c>
      <c r="DN134" s="442">
        <f t="shared" si="489"/>
        <v>0</v>
      </c>
      <c r="DO134" s="68">
        <f t="shared" si="365"/>
        <v>0</v>
      </c>
      <c r="DP134" s="51">
        <f t="shared" ref="DP134:DP138" si="594">VLOOKUP($C134,LOHMANN,2,FALSE)</f>
        <v>1257</v>
      </c>
      <c r="DQ134" s="103">
        <f t="shared" ref="DQ134:DQ138" si="595">DQ133</f>
        <v>0</v>
      </c>
      <c r="DR134" s="46">
        <f t="shared" si="397"/>
        <v>1257</v>
      </c>
      <c r="DS134" s="51">
        <f t="shared" ref="DS134:DS138" si="596">VLOOKUP(CY134,LOHMANN,3,FALSE)</f>
        <v>86</v>
      </c>
      <c r="DT134" s="103">
        <f t="shared" ref="DT134:DT138" si="597">DT133</f>
        <v>0</v>
      </c>
      <c r="DU134" s="46">
        <f t="shared" si="357"/>
        <v>86</v>
      </c>
    </row>
    <row r="135" spans="2:125" ht="17.25" thickBot="1" x14ac:dyDescent="0.3">
      <c r="B135" s="120">
        <f>B134+1</f>
        <v>2</v>
      </c>
      <c r="C135" s="570">
        <f t="shared" si="556"/>
        <v>18</v>
      </c>
      <c r="D135" s="133"/>
      <c r="E135" s="408">
        <f t="shared" ref="E135:E138" si="598">IFERROR(F134+D135,0)</f>
        <v>0</v>
      </c>
      <c r="F135" s="562">
        <f t="shared" si="557"/>
        <v>0</v>
      </c>
      <c r="G135" s="134"/>
      <c r="H135" s="135"/>
      <c r="I135" s="135"/>
      <c r="J135" s="14">
        <f t="shared" si="555"/>
        <v>0</v>
      </c>
      <c r="K135" s="14">
        <f t="shared" ref="K135:K138" si="599">K134+J135</f>
        <v>0</v>
      </c>
      <c r="L135" s="14">
        <f t="shared" si="558"/>
        <v>0.16</v>
      </c>
      <c r="M135" s="47">
        <f t="shared" si="349"/>
        <v>0</v>
      </c>
      <c r="N135" s="35">
        <f t="shared" si="559"/>
        <v>4.4800000000000013</v>
      </c>
      <c r="O135" s="132">
        <f t="shared" ref="O135:O137" si="600">IFERROR((K135*100)/$D$12,0)</f>
        <v>0</v>
      </c>
      <c r="P135" s="142"/>
      <c r="Q135" s="14">
        <f t="shared" si="560"/>
        <v>79</v>
      </c>
      <c r="R135" s="442">
        <f t="shared" si="561"/>
        <v>0</v>
      </c>
      <c r="S135" s="470">
        <f t="shared" ref="S135:S138" si="601">S134+R135</f>
        <v>0</v>
      </c>
      <c r="T135" s="51">
        <f t="shared" si="562"/>
        <v>1257</v>
      </c>
      <c r="U135" s="103">
        <f t="shared" si="563"/>
        <v>0</v>
      </c>
      <c r="V135" s="46">
        <f t="shared" ref="V135:V138" si="602">T135-U135</f>
        <v>1257</v>
      </c>
      <c r="W135" s="51">
        <f t="shared" si="564"/>
        <v>86</v>
      </c>
      <c r="X135" s="103">
        <f t="shared" si="565"/>
        <v>0</v>
      </c>
      <c r="Y135" s="46">
        <f t="shared" ref="Y135:Y138" si="603">W135-X135</f>
        <v>86</v>
      </c>
      <c r="Z135" s="487"/>
      <c r="AA135" s="120">
        <f t="shared" ref="AA135:AA138" si="604">AA134+1</f>
        <v>2</v>
      </c>
      <c r="AB135" s="7">
        <f t="shared" si="566"/>
        <v>18</v>
      </c>
      <c r="AC135" s="133"/>
      <c r="AD135" s="48">
        <f t="shared" si="462"/>
        <v>0</v>
      </c>
      <c r="AE135" s="196">
        <f t="shared" si="510"/>
        <v>0</v>
      </c>
      <c r="AF135" s="134"/>
      <c r="AG135" s="135"/>
      <c r="AH135" s="135"/>
      <c r="AI135" s="14">
        <f t="shared" si="468"/>
        <v>0</v>
      </c>
      <c r="AJ135" s="14">
        <f t="shared" si="481"/>
        <v>0</v>
      </c>
      <c r="AK135" s="14">
        <f t="shared" si="567"/>
        <v>0.16</v>
      </c>
      <c r="AL135" s="47">
        <f t="shared" ref="AL135:AL138" si="605">IFERROR((AI135*100)/AD135,0)</f>
        <v>0</v>
      </c>
      <c r="AM135" s="35">
        <f t="shared" si="568"/>
        <v>4.4800000000000013</v>
      </c>
      <c r="AN135" s="157">
        <f t="shared" si="358"/>
        <v>0</v>
      </c>
      <c r="AO135" s="134"/>
      <c r="AP135" s="14">
        <f t="shared" si="569"/>
        <v>79</v>
      </c>
      <c r="AQ135" s="442">
        <f t="shared" ref="AQ135:AQ138" si="606">IFERROR((AO135/AD135)*1000,0)</f>
        <v>0</v>
      </c>
      <c r="AR135" s="470">
        <f t="shared" si="420"/>
        <v>0</v>
      </c>
      <c r="AS135" s="51">
        <f t="shared" si="570"/>
        <v>1257</v>
      </c>
      <c r="AT135" s="103">
        <f t="shared" si="571"/>
        <v>0</v>
      </c>
      <c r="AU135" s="46">
        <f t="shared" si="394"/>
        <v>1257</v>
      </c>
      <c r="AV135" s="51">
        <f t="shared" si="572"/>
        <v>86</v>
      </c>
      <c r="AW135" s="103">
        <f t="shared" si="573"/>
        <v>0</v>
      </c>
      <c r="AX135" s="46">
        <f t="shared" si="359"/>
        <v>86</v>
      </c>
      <c r="AZ135" s="120">
        <f t="shared" ref="AZ135:AZ138" si="607">AZ134+1</f>
        <v>2</v>
      </c>
      <c r="BA135" s="7">
        <f t="shared" si="574"/>
        <v>18</v>
      </c>
      <c r="BB135" s="133"/>
      <c r="BC135" s="48">
        <f t="shared" ref="BC135:BC138" si="608">IFERROR(BD134+BB135,0)</f>
        <v>0</v>
      </c>
      <c r="BD135" s="196">
        <f t="shared" si="511"/>
        <v>0</v>
      </c>
      <c r="BE135" s="134"/>
      <c r="BF135" s="135"/>
      <c r="BG135" s="135"/>
      <c r="BH135" s="14">
        <f t="shared" si="472"/>
        <v>0</v>
      </c>
      <c r="BI135" s="14">
        <f t="shared" si="483"/>
        <v>0</v>
      </c>
      <c r="BJ135" s="14">
        <f t="shared" si="575"/>
        <v>0.16</v>
      </c>
      <c r="BK135" s="47">
        <f t="shared" si="350"/>
        <v>0</v>
      </c>
      <c r="BL135" s="35">
        <f t="shared" si="576"/>
        <v>4.4800000000000013</v>
      </c>
      <c r="BM135" s="132">
        <f t="shared" si="428"/>
        <v>0</v>
      </c>
      <c r="BN135" s="134"/>
      <c r="BO135" s="14">
        <f t="shared" si="577"/>
        <v>79</v>
      </c>
      <c r="BP135" s="442">
        <f t="shared" si="351"/>
        <v>0</v>
      </c>
      <c r="BQ135" s="747">
        <f t="shared" si="354"/>
        <v>0</v>
      </c>
      <c r="BR135" s="51">
        <f t="shared" si="578"/>
        <v>1257</v>
      </c>
      <c r="BS135" s="103">
        <f t="shared" si="579"/>
        <v>0</v>
      </c>
      <c r="BT135" s="46">
        <f t="shared" si="395"/>
        <v>1257</v>
      </c>
      <c r="BU135" s="51">
        <f t="shared" si="580"/>
        <v>86</v>
      </c>
      <c r="BV135" s="103">
        <f t="shared" si="581"/>
        <v>0</v>
      </c>
      <c r="BW135" s="46">
        <f t="shared" si="360"/>
        <v>86</v>
      </c>
      <c r="BY135" s="120">
        <f t="shared" ref="BY135:BY138" si="609">BY134+1</f>
        <v>31</v>
      </c>
      <c r="BZ135" s="7">
        <f t="shared" si="582"/>
        <v>18</v>
      </c>
      <c r="CA135" s="133"/>
      <c r="CB135" s="48">
        <f t="shared" si="361"/>
        <v>0</v>
      </c>
      <c r="CC135" s="196">
        <f t="shared" si="369"/>
        <v>0</v>
      </c>
      <c r="CD135" s="134"/>
      <c r="CE135" s="135"/>
      <c r="CF135" s="135"/>
      <c r="CG135" s="14">
        <f t="shared" si="370"/>
        <v>0</v>
      </c>
      <c r="CH135" s="14">
        <f t="shared" si="362"/>
        <v>0</v>
      </c>
      <c r="CI135" s="14">
        <f t="shared" si="583"/>
        <v>0.16</v>
      </c>
      <c r="CJ135" s="47">
        <f t="shared" si="352"/>
        <v>0</v>
      </c>
      <c r="CK135" s="35">
        <f t="shared" si="584"/>
        <v>4.4800000000000013</v>
      </c>
      <c r="CL135" s="157">
        <f t="shared" si="355"/>
        <v>0</v>
      </c>
      <c r="CM135" s="134"/>
      <c r="CN135" s="14">
        <f t="shared" si="585"/>
        <v>79</v>
      </c>
      <c r="CO135" s="442">
        <f t="shared" si="356"/>
        <v>0</v>
      </c>
      <c r="CP135" s="68">
        <f t="shared" si="353"/>
        <v>0</v>
      </c>
      <c r="CQ135" s="51">
        <f t="shared" si="586"/>
        <v>1257</v>
      </c>
      <c r="CR135" s="103">
        <f t="shared" si="587"/>
        <v>0</v>
      </c>
      <c r="CS135" s="46">
        <f t="shared" si="396"/>
        <v>1257</v>
      </c>
      <c r="CT135" s="51">
        <f t="shared" si="588"/>
        <v>86</v>
      </c>
      <c r="CU135" s="103">
        <f t="shared" si="589"/>
        <v>0</v>
      </c>
      <c r="CV135" s="46">
        <f t="shared" ref="CV135:CV138" si="610">CT135-CU135</f>
        <v>86</v>
      </c>
      <c r="CX135" s="120">
        <f t="shared" ref="CX135:CX138" si="611">CX134+1</f>
        <v>31</v>
      </c>
      <c r="CY135" s="7">
        <f t="shared" si="590"/>
        <v>18</v>
      </c>
      <c r="CZ135" s="133"/>
      <c r="DA135" s="48">
        <f t="shared" si="488"/>
        <v>0</v>
      </c>
      <c r="DB135" s="196">
        <f t="shared" si="512"/>
        <v>0</v>
      </c>
      <c r="DC135" s="134"/>
      <c r="DD135" s="135"/>
      <c r="DE135" s="135"/>
      <c r="DF135" s="14">
        <f t="shared" si="371"/>
        <v>0</v>
      </c>
      <c r="DG135" s="14">
        <f t="shared" si="553"/>
        <v>0</v>
      </c>
      <c r="DH135" s="14">
        <f t="shared" si="591"/>
        <v>0.16</v>
      </c>
      <c r="DI135" s="47">
        <f t="shared" si="554"/>
        <v>0</v>
      </c>
      <c r="DJ135" s="35">
        <f t="shared" si="592"/>
        <v>4.4800000000000013</v>
      </c>
      <c r="DK135" s="157">
        <f t="shared" si="364"/>
        <v>0</v>
      </c>
      <c r="DL135" s="134"/>
      <c r="DM135" s="14">
        <f t="shared" si="593"/>
        <v>79</v>
      </c>
      <c r="DN135" s="442">
        <f t="shared" si="489"/>
        <v>0</v>
      </c>
      <c r="DO135" s="68">
        <f t="shared" si="365"/>
        <v>0</v>
      </c>
      <c r="DP135" s="51">
        <f t="shared" si="594"/>
        <v>1257</v>
      </c>
      <c r="DQ135" s="103">
        <f t="shared" si="595"/>
        <v>0</v>
      </c>
      <c r="DR135" s="46">
        <f t="shared" si="397"/>
        <v>1257</v>
      </c>
      <c r="DS135" s="51">
        <f t="shared" si="596"/>
        <v>86</v>
      </c>
      <c r="DT135" s="103">
        <f t="shared" si="597"/>
        <v>0</v>
      </c>
      <c r="DU135" s="46">
        <f t="shared" si="357"/>
        <v>86</v>
      </c>
    </row>
    <row r="136" spans="2:125" ht="17.25" thickBot="1" x14ac:dyDescent="0.3">
      <c r="B136" s="120">
        <f t="shared" ref="B136:B138" si="612">B135+1</f>
        <v>3</v>
      </c>
      <c r="C136" s="570">
        <f t="shared" si="556"/>
        <v>18</v>
      </c>
      <c r="D136" s="133"/>
      <c r="E136" s="408">
        <f t="shared" si="598"/>
        <v>0</v>
      </c>
      <c r="F136" s="562">
        <f t="shared" si="557"/>
        <v>0</v>
      </c>
      <c r="G136" s="134"/>
      <c r="H136" s="135"/>
      <c r="I136" s="135"/>
      <c r="J136" s="31">
        <f t="shared" si="555"/>
        <v>0</v>
      </c>
      <c r="K136" s="14">
        <f t="shared" si="599"/>
        <v>0</v>
      </c>
      <c r="L136" s="14">
        <f t="shared" si="558"/>
        <v>0.16</v>
      </c>
      <c r="M136" s="47">
        <f t="shared" ref="M136:M138" si="613">IFERROR((J136*100)/E136,0)</f>
        <v>0</v>
      </c>
      <c r="N136" s="35">
        <f t="shared" si="559"/>
        <v>4.4800000000000013</v>
      </c>
      <c r="O136" s="132">
        <f t="shared" si="600"/>
        <v>0</v>
      </c>
      <c r="P136" s="142"/>
      <c r="Q136" s="14">
        <f t="shared" si="560"/>
        <v>79</v>
      </c>
      <c r="R136" s="442">
        <f t="shared" si="561"/>
        <v>0</v>
      </c>
      <c r="S136" s="470">
        <f t="shared" si="601"/>
        <v>0</v>
      </c>
      <c r="T136" s="51">
        <f t="shared" si="562"/>
        <v>1257</v>
      </c>
      <c r="U136" s="103">
        <f t="shared" si="563"/>
        <v>0</v>
      </c>
      <c r="V136" s="46">
        <f t="shared" si="602"/>
        <v>1257</v>
      </c>
      <c r="W136" s="12">
        <f t="shared" si="564"/>
        <v>86</v>
      </c>
      <c r="X136" s="103">
        <f t="shared" si="565"/>
        <v>0</v>
      </c>
      <c r="Y136" s="46">
        <f t="shared" si="603"/>
        <v>86</v>
      </c>
      <c r="Z136" s="487"/>
      <c r="AA136" s="120">
        <f t="shared" si="604"/>
        <v>3</v>
      </c>
      <c r="AB136" s="7">
        <f t="shared" si="566"/>
        <v>18</v>
      </c>
      <c r="AC136" s="133"/>
      <c r="AD136" s="48">
        <f t="shared" si="462"/>
        <v>0</v>
      </c>
      <c r="AE136" s="49">
        <f t="shared" si="510"/>
        <v>0</v>
      </c>
      <c r="AF136" s="134"/>
      <c r="AG136" s="135"/>
      <c r="AH136" s="135"/>
      <c r="AI136" s="31">
        <f t="shared" si="468"/>
        <v>0</v>
      </c>
      <c r="AJ136" s="14">
        <f t="shared" si="481"/>
        <v>0</v>
      </c>
      <c r="AK136" s="14">
        <f t="shared" si="567"/>
        <v>0.16</v>
      </c>
      <c r="AL136" s="47">
        <f t="shared" si="605"/>
        <v>0</v>
      </c>
      <c r="AM136" s="35">
        <f t="shared" si="568"/>
        <v>4.4800000000000013</v>
      </c>
      <c r="AN136" s="157">
        <f t="shared" si="358"/>
        <v>0</v>
      </c>
      <c r="AO136" s="134"/>
      <c r="AP136" s="14">
        <f t="shared" si="569"/>
        <v>79</v>
      </c>
      <c r="AQ136" s="442">
        <f t="shared" si="606"/>
        <v>0</v>
      </c>
      <c r="AR136" s="470">
        <f t="shared" si="420"/>
        <v>0</v>
      </c>
      <c r="AS136" s="51">
        <f t="shared" si="570"/>
        <v>1257</v>
      </c>
      <c r="AT136" s="103">
        <f t="shared" si="571"/>
        <v>0</v>
      </c>
      <c r="AU136" s="46">
        <f t="shared" si="394"/>
        <v>1257</v>
      </c>
      <c r="AV136" s="12">
        <f t="shared" si="572"/>
        <v>86</v>
      </c>
      <c r="AW136" s="103">
        <f t="shared" si="573"/>
        <v>0</v>
      </c>
      <c r="AX136" s="46">
        <f t="shared" si="359"/>
        <v>86</v>
      </c>
      <c r="AZ136" s="120">
        <f t="shared" si="607"/>
        <v>3</v>
      </c>
      <c r="BA136" s="7">
        <f t="shared" si="574"/>
        <v>18</v>
      </c>
      <c r="BB136" s="133"/>
      <c r="BC136" s="48">
        <f t="shared" si="608"/>
        <v>0</v>
      </c>
      <c r="BD136" s="49">
        <f t="shared" si="511"/>
        <v>0</v>
      </c>
      <c r="BE136" s="134"/>
      <c r="BF136" s="135"/>
      <c r="BG136" s="135"/>
      <c r="BH136" s="31">
        <f t="shared" si="472"/>
        <v>0</v>
      </c>
      <c r="BI136" s="14">
        <f t="shared" si="483"/>
        <v>0</v>
      </c>
      <c r="BJ136" s="14">
        <f t="shared" si="575"/>
        <v>0.16</v>
      </c>
      <c r="BK136" s="47">
        <f t="shared" ref="BK136:BK138" si="614">IFERROR((BH136*100)/BC136,0)</f>
        <v>0</v>
      </c>
      <c r="BL136" s="35">
        <f t="shared" si="576"/>
        <v>4.4800000000000013</v>
      </c>
      <c r="BM136" s="132">
        <f t="shared" si="428"/>
        <v>0</v>
      </c>
      <c r="BN136" s="134"/>
      <c r="BO136" s="14">
        <f t="shared" si="577"/>
        <v>79</v>
      </c>
      <c r="BP136" s="442">
        <f t="shared" ref="BP136:BP138" si="615">IFERROR((BN136/BC136)*1000,0)</f>
        <v>0</v>
      </c>
      <c r="BQ136" s="747">
        <f t="shared" si="354"/>
        <v>0</v>
      </c>
      <c r="BR136" s="51">
        <f t="shared" si="578"/>
        <v>1257</v>
      </c>
      <c r="BS136" s="103">
        <f t="shared" si="579"/>
        <v>0</v>
      </c>
      <c r="BT136" s="46">
        <f t="shared" si="395"/>
        <v>1257</v>
      </c>
      <c r="BU136" s="12">
        <f t="shared" si="580"/>
        <v>86</v>
      </c>
      <c r="BV136" s="103">
        <f t="shared" si="581"/>
        <v>0</v>
      </c>
      <c r="BW136" s="46">
        <f t="shared" si="360"/>
        <v>86</v>
      </c>
      <c r="BY136" s="120">
        <f t="shared" si="609"/>
        <v>32</v>
      </c>
      <c r="BZ136" s="7">
        <f t="shared" si="582"/>
        <v>18</v>
      </c>
      <c r="CA136" s="133"/>
      <c r="CB136" s="48">
        <f t="shared" si="361"/>
        <v>0</v>
      </c>
      <c r="CC136" s="49">
        <f t="shared" si="369"/>
        <v>0</v>
      </c>
      <c r="CD136" s="134"/>
      <c r="CE136" s="135"/>
      <c r="CF136" s="135"/>
      <c r="CG136" s="31">
        <f t="shared" si="370"/>
        <v>0</v>
      </c>
      <c r="CH136" s="14">
        <f t="shared" si="362"/>
        <v>0</v>
      </c>
      <c r="CI136" s="14">
        <f t="shared" si="583"/>
        <v>0.16</v>
      </c>
      <c r="CJ136" s="47">
        <f t="shared" ref="CJ136:CJ137" si="616">IFERROR((CG136*1000)/CB136,0)</f>
        <v>0</v>
      </c>
      <c r="CK136" s="35">
        <f t="shared" si="584"/>
        <v>4.4800000000000013</v>
      </c>
      <c r="CL136" s="157">
        <f t="shared" si="355"/>
        <v>0</v>
      </c>
      <c r="CM136" s="134"/>
      <c r="CN136" s="14">
        <f t="shared" si="585"/>
        <v>79</v>
      </c>
      <c r="CO136" s="442">
        <f t="shared" si="356"/>
        <v>0</v>
      </c>
      <c r="CP136" s="68">
        <f t="shared" ref="CP136:CP138" si="617">CP135+CO136</f>
        <v>0</v>
      </c>
      <c r="CQ136" s="51">
        <f t="shared" si="586"/>
        <v>1257</v>
      </c>
      <c r="CR136" s="103">
        <f t="shared" si="587"/>
        <v>0</v>
      </c>
      <c r="CS136" s="46">
        <f t="shared" si="396"/>
        <v>1257</v>
      </c>
      <c r="CT136" s="12">
        <f t="shared" si="588"/>
        <v>86</v>
      </c>
      <c r="CU136" s="103">
        <f t="shared" si="589"/>
        <v>0</v>
      </c>
      <c r="CV136" s="46">
        <f t="shared" si="610"/>
        <v>86</v>
      </c>
      <c r="CX136" s="120">
        <f t="shared" si="611"/>
        <v>32</v>
      </c>
      <c r="CY136" s="7">
        <f t="shared" si="590"/>
        <v>18</v>
      </c>
      <c r="CZ136" s="133"/>
      <c r="DA136" s="48">
        <f t="shared" si="488"/>
        <v>0</v>
      </c>
      <c r="DB136" s="49">
        <f t="shared" si="512"/>
        <v>0</v>
      </c>
      <c r="DC136" s="134"/>
      <c r="DD136" s="135"/>
      <c r="DE136" s="135"/>
      <c r="DF136" s="31">
        <f t="shared" si="371"/>
        <v>0</v>
      </c>
      <c r="DG136" s="14">
        <f t="shared" si="553"/>
        <v>0</v>
      </c>
      <c r="DH136" s="14">
        <f t="shared" si="591"/>
        <v>0.16</v>
      </c>
      <c r="DI136" s="47">
        <f t="shared" si="554"/>
        <v>0</v>
      </c>
      <c r="DJ136" s="35">
        <f t="shared" si="592"/>
        <v>4.4800000000000013</v>
      </c>
      <c r="DK136" s="157">
        <f t="shared" si="364"/>
        <v>0</v>
      </c>
      <c r="DL136" s="134"/>
      <c r="DM136" s="14">
        <f t="shared" si="593"/>
        <v>79</v>
      </c>
      <c r="DN136" s="442">
        <f t="shared" si="489"/>
        <v>0</v>
      </c>
      <c r="DO136" s="68">
        <f t="shared" si="365"/>
        <v>0</v>
      </c>
      <c r="DP136" s="51">
        <f t="shared" si="594"/>
        <v>1257</v>
      </c>
      <c r="DQ136" s="103">
        <f t="shared" si="595"/>
        <v>0</v>
      </c>
      <c r="DR136" s="46">
        <f t="shared" si="397"/>
        <v>1257</v>
      </c>
      <c r="DS136" s="12">
        <f t="shared" si="596"/>
        <v>86</v>
      </c>
      <c r="DT136" s="103">
        <f t="shared" si="597"/>
        <v>0</v>
      </c>
      <c r="DU136" s="46">
        <f t="shared" si="357"/>
        <v>86</v>
      </c>
    </row>
    <row r="137" spans="2:125" ht="17.25" thickBot="1" x14ac:dyDescent="0.3">
      <c r="B137" s="120">
        <f t="shared" si="612"/>
        <v>4</v>
      </c>
      <c r="C137" s="570">
        <f t="shared" si="556"/>
        <v>18</v>
      </c>
      <c r="D137" s="133"/>
      <c r="E137" s="408">
        <f t="shared" si="598"/>
        <v>0</v>
      </c>
      <c r="F137" s="562">
        <f t="shared" si="557"/>
        <v>0</v>
      </c>
      <c r="G137" s="134"/>
      <c r="H137" s="135"/>
      <c r="I137" s="135"/>
      <c r="J137" s="14">
        <f t="shared" si="555"/>
        <v>0</v>
      </c>
      <c r="K137" s="14">
        <f t="shared" si="599"/>
        <v>0</v>
      </c>
      <c r="L137" s="14">
        <f t="shared" si="558"/>
        <v>0.16</v>
      </c>
      <c r="M137" s="47">
        <f t="shared" si="613"/>
        <v>0</v>
      </c>
      <c r="N137" s="35">
        <f t="shared" si="559"/>
        <v>4.4800000000000013</v>
      </c>
      <c r="O137" s="132">
        <f t="shared" si="600"/>
        <v>0</v>
      </c>
      <c r="P137" s="142"/>
      <c r="Q137" s="14">
        <f t="shared" si="560"/>
        <v>79</v>
      </c>
      <c r="R137" s="480">
        <f t="shared" si="561"/>
        <v>0</v>
      </c>
      <c r="S137" s="470">
        <f t="shared" si="601"/>
        <v>0</v>
      </c>
      <c r="T137" s="51">
        <f t="shared" si="562"/>
        <v>1257</v>
      </c>
      <c r="U137" s="103">
        <f t="shared" si="563"/>
        <v>0</v>
      </c>
      <c r="V137" s="46">
        <f t="shared" si="602"/>
        <v>1257</v>
      </c>
      <c r="W137" s="50">
        <f t="shared" si="564"/>
        <v>86</v>
      </c>
      <c r="X137" s="103">
        <f t="shared" si="565"/>
        <v>0</v>
      </c>
      <c r="Y137" s="62">
        <f t="shared" si="603"/>
        <v>86</v>
      </c>
      <c r="Z137" s="487"/>
      <c r="AA137" s="120">
        <f t="shared" si="604"/>
        <v>4</v>
      </c>
      <c r="AB137" s="7">
        <f t="shared" si="566"/>
        <v>18</v>
      </c>
      <c r="AC137" s="133"/>
      <c r="AD137" s="48">
        <f t="shared" si="462"/>
        <v>0</v>
      </c>
      <c r="AE137" s="447">
        <f t="shared" si="510"/>
        <v>0</v>
      </c>
      <c r="AF137" s="134"/>
      <c r="AG137" s="135"/>
      <c r="AH137" s="135"/>
      <c r="AI137" s="14">
        <f t="shared" si="468"/>
        <v>0</v>
      </c>
      <c r="AJ137" s="14">
        <f t="shared" si="481"/>
        <v>0</v>
      </c>
      <c r="AK137" s="14">
        <f t="shared" si="567"/>
        <v>0.16</v>
      </c>
      <c r="AL137" s="47">
        <f t="shared" si="605"/>
        <v>0</v>
      </c>
      <c r="AM137" s="35">
        <f t="shared" si="568"/>
        <v>4.4800000000000013</v>
      </c>
      <c r="AN137" s="157">
        <f t="shared" si="358"/>
        <v>0</v>
      </c>
      <c r="AO137" s="134"/>
      <c r="AP137" s="14">
        <f t="shared" si="569"/>
        <v>79</v>
      </c>
      <c r="AQ137" s="480">
        <f t="shared" si="606"/>
        <v>0</v>
      </c>
      <c r="AR137" s="470">
        <f t="shared" si="420"/>
        <v>0</v>
      </c>
      <c r="AS137" s="51">
        <f t="shared" si="570"/>
        <v>1257</v>
      </c>
      <c r="AT137" s="103">
        <f t="shared" si="571"/>
        <v>0</v>
      </c>
      <c r="AU137" s="46">
        <f t="shared" si="394"/>
        <v>1257</v>
      </c>
      <c r="AV137" s="50">
        <f t="shared" si="572"/>
        <v>86</v>
      </c>
      <c r="AW137" s="103">
        <f t="shared" si="573"/>
        <v>0</v>
      </c>
      <c r="AX137" s="62">
        <f t="shared" si="359"/>
        <v>86</v>
      </c>
      <c r="AZ137" s="120">
        <f t="shared" si="607"/>
        <v>4</v>
      </c>
      <c r="BA137" s="7">
        <f t="shared" si="574"/>
        <v>18</v>
      </c>
      <c r="BB137" s="133"/>
      <c r="BC137" s="48">
        <f t="shared" si="608"/>
        <v>0</v>
      </c>
      <c r="BD137" s="447">
        <f t="shared" si="511"/>
        <v>0</v>
      </c>
      <c r="BE137" s="134"/>
      <c r="BF137" s="135"/>
      <c r="BG137" s="135"/>
      <c r="BH137" s="14">
        <f t="shared" si="472"/>
        <v>0</v>
      </c>
      <c r="BI137" s="14">
        <f t="shared" si="483"/>
        <v>0</v>
      </c>
      <c r="BJ137" s="14">
        <f t="shared" si="575"/>
        <v>0.16</v>
      </c>
      <c r="BK137" s="47">
        <f t="shared" si="614"/>
        <v>0</v>
      </c>
      <c r="BL137" s="35">
        <f t="shared" si="576"/>
        <v>4.4800000000000013</v>
      </c>
      <c r="BM137" s="132">
        <f t="shared" si="428"/>
        <v>0</v>
      </c>
      <c r="BN137" s="134"/>
      <c r="BO137" s="14">
        <f t="shared" si="577"/>
        <v>79</v>
      </c>
      <c r="BP137" s="442">
        <f t="shared" si="615"/>
        <v>0</v>
      </c>
      <c r="BQ137" s="747">
        <f t="shared" ref="BQ137:BQ138" si="618">BQ136+BP137</f>
        <v>0</v>
      </c>
      <c r="BR137" s="51">
        <f t="shared" si="578"/>
        <v>1257</v>
      </c>
      <c r="BS137" s="103">
        <f t="shared" si="579"/>
        <v>0</v>
      </c>
      <c r="BT137" s="46">
        <f t="shared" si="395"/>
        <v>1257</v>
      </c>
      <c r="BU137" s="50">
        <f t="shared" si="580"/>
        <v>86</v>
      </c>
      <c r="BV137" s="103">
        <f t="shared" si="581"/>
        <v>0</v>
      </c>
      <c r="BW137" s="62">
        <f t="shared" si="360"/>
        <v>86</v>
      </c>
      <c r="BY137" s="120">
        <f t="shared" si="609"/>
        <v>33</v>
      </c>
      <c r="BZ137" s="7">
        <f t="shared" si="582"/>
        <v>18</v>
      </c>
      <c r="CA137" s="133"/>
      <c r="CB137" s="48">
        <f t="shared" si="361"/>
        <v>0</v>
      </c>
      <c r="CC137" s="447">
        <f t="shared" si="369"/>
        <v>0</v>
      </c>
      <c r="CD137" s="134"/>
      <c r="CE137" s="135"/>
      <c r="CF137" s="135"/>
      <c r="CG137" s="14">
        <f t="shared" si="370"/>
        <v>0</v>
      </c>
      <c r="CH137" s="14">
        <f t="shared" si="362"/>
        <v>0</v>
      </c>
      <c r="CI137" s="14">
        <f t="shared" si="583"/>
        <v>0.16</v>
      </c>
      <c r="CJ137" s="47">
        <f t="shared" si="616"/>
        <v>0</v>
      </c>
      <c r="CK137" s="35">
        <f t="shared" si="584"/>
        <v>4.4800000000000013</v>
      </c>
      <c r="CL137" s="157">
        <f t="shared" ref="CL137:CL138" si="619">IFERROR((CH137*100)/CB137,0)</f>
        <v>0</v>
      </c>
      <c r="CM137" s="134"/>
      <c r="CN137" s="14">
        <f t="shared" si="585"/>
        <v>79</v>
      </c>
      <c r="CO137" s="442">
        <f t="shared" ref="CO137" si="620">IFERROR(CM137/CB137,0)</f>
        <v>0</v>
      </c>
      <c r="CP137" s="68">
        <f t="shared" si="617"/>
        <v>0</v>
      </c>
      <c r="CQ137" s="51">
        <f t="shared" si="586"/>
        <v>1257</v>
      </c>
      <c r="CR137" s="103">
        <f t="shared" si="587"/>
        <v>0</v>
      </c>
      <c r="CS137" s="46">
        <f t="shared" si="396"/>
        <v>1257</v>
      </c>
      <c r="CT137" s="50">
        <f t="shared" si="588"/>
        <v>86</v>
      </c>
      <c r="CU137" s="103">
        <f t="shared" si="589"/>
        <v>0</v>
      </c>
      <c r="CV137" s="62">
        <f t="shared" si="610"/>
        <v>86</v>
      </c>
      <c r="CX137" s="120">
        <f t="shared" si="611"/>
        <v>33</v>
      </c>
      <c r="CY137" s="7">
        <f t="shared" si="590"/>
        <v>18</v>
      </c>
      <c r="CZ137" s="133"/>
      <c r="DA137" s="48">
        <f t="shared" si="488"/>
        <v>0</v>
      </c>
      <c r="DB137" s="447">
        <f t="shared" si="512"/>
        <v>0</v>
      </c>
      <c r="DC137" s="134"/>
      <c r="DD137" s="135"/>
      <c r="DE137" s="135"/>
      <c r="DF137" s="14">
        <f t="shared" si="371"/>
        <v>0</v>
      </c>
      <c r="DG137" s="14">
        <f t="shared" si="553"/>
        <v>0</v>
      </c>
      <c r="DH137" s="14">
        <f t="shared" si="591"/>
        <v>0.16</v>
      </c>
      <c r="DI137" s="47">
        <f t="shared" si="554"/>
        <v>0</v>
      </c>
      <c r="DJ137" s="35">
        <f t="shared" si="592"/>
        <v>4.4800000000000013</v>
      </c>
      <c r="DK137" s="157">
        <f t="shared" si="364"/>
        <v>0</v>
      </c>
      <c r="DL137" s="134"/>
      <c r="DM137" s="14">
        <f t="shared" si="593"/>
        <v>79</v>
      </c>
      <c r="DN137" s="442">
        <f t="shared" si="489"/>
        <v>0</v>
      </c>
      <c r="DO137" s="68">
        <f t="shared" si="365"/>
        <v>0</v>
      </c>
      <c r="DP137" s="51">
        <f t="shared" si="594"/>
        <v>1257</v>
      </c>
      <c r="DQ137" s="103">
        <f t="shared" si="595"/>
        <v>0</v>
      </c>
      <c r="DR137" s="46">
        <f t="shared" si="397"/>
        <v>1257</v>
      </c>
      <c r="DS137" s="50">
        <f t="shared" si="596"/>
        <v>86</v>
      </c>
      <c r="DT137" s="103">
        <f t="shared" si="597"/>
        <v>0</v>
      </c>
      <c r="DU137" s="62">
        <f t="shared" si="357"/>
        <v>86</v>
      </c>
    </row>
    <row r="138" spans="2:125" ht="17.25" thickBot="1" x14ac:dyDescent="0.3">
      <c r="B138" s="197">
        <f t="shared" si="612"/>
        <v>5</v>
      </c>
      <c r="C138" s="574">
        <f t="shared" si="556"/>
        <v>18</v>
      </c>
      <c r="D138" s="136"/>
      <c r="E138" s="568">
        <f t="shared" si="598"/>
        <v>0</v>
      </c>
      <c r="F138" s="451">
        <f t="shared" si="557"/>
        <v>0</v>
      </c>
      <c r="G138" s="137"/>
      <c r="H138" s="138"/>
      <c r="I138" s="138"/>
      <c r="J138" s="34">
        <f t="shared" si="555"/>
        <v>0</v>
      </c>
      <c r="K138" s="32">
        <f t="shared" si="599"/>
        <v>0</v>
      </c>
      <c r="L138" s="32">
        <f t="shared" si="558"/>
        <v>0.16</v>
      </c>
      <c r="M138" s="96">
        <f t="shared" si="613"/>
        <v>0</v>
      </c>
      <c r="N138" s="36">
        <f t="shared" si="559"/>
        <v>4.4800000000000013</v>
      </c>
      <c r="O138" s="132">
        <f>IFERROR((K138*100)/$D$12,0)</f>
        <v>0</v>
      </c>
      <c r="P138" s="139"/>
      <c r="Q138" s="32">
        <f t="shared" si="560"/>
        <v>79</v>
      </c>
      <c r="R138" s="443">
        <f t="shared" si="561"/>
        <v>0</v>
      </c>
      <c r="S138" s="471">
        <f t="shared" si="601"/>
        <v>0</v>
      </c>
      <c r="T138" s="56">
        <f t="shared" si="562"/>
        <v>1257</v>
      </c>
      <c r="U138" s="109">
        <f t="shared" si="563"/>
        <v>0</v>
      </c>
      <c r="V138" s="53">
        <f t="shared" si="602"/>
        <v>1257</v>
      </c>
      <c r="W138" s="56">
        <f t="shared" si="564"/>
        <v>86</v>
      </c>
      <c r="X138" s="109">
        <f t="shared" si="565"/>
        <v>0</v>
      </c>
      <c r="Y138" s="53">
        <f t="shared" si="603"/>
        <v>86</v>
      </c>
      <c r="Z138" s="487"/>
      <c r="AA138" s="197">
        <f t="shared" si="604"/>
        <v>5</v>
      </c>
      <c r="AB138" s="8">
        <f t="shared" si="566"/>
        <v>18</v>
      </c>
      <c r="AC138" s="136"/>
      <c r="AD138" s="54">
        <f t="shared" si="462"/>
        <v>0</v>
      </c>
      <c r="AE138" s="55">
        <f t="shared" si="510"/>
        <v>0</v>
      </c>
      <c r="AF138" s="137"/>
      <c r="AG138" s="138"/>
      <c r="AH138" s="138"/>
      <c r="AI138" s="34">
        <f t="shared" si="468"/>
        <v>0</v>
      </c>
      <c r="AJ138" s="32">
        <f t="shared" si="481"/>
        <v>0</v>
      </c>
      <c r="AK138" s="32">
        <f t="shared" si="567"/>
        <v>0.16</v>
      </c>
      <c r="AL138" s="96">
        <f t="shared" si="605"/>
        <v>0</v>
      </c>
      <c r="AM138" s="36">
        <f t="shared" si="568"/>
        <v>4.4800000000000013</v>
      </c>
      <c r="AN138" s="157">
        <f t="shared" si="358"/>
        <v>0</v>
      </c>
      <c r="AO138" s="137"/>
      <c r="AP138" s="32">
        <f t="shared" si="569"/>
        <v>79</v>
      </c>
      <c r="AQ138" s="443">
        <f t="shared" si="606"/>
        <v>0</v>
      </c>
      <c r="AR138" s="471">
        <f t="shared" si="420"/>
        <v>0</v>
      </c>
      <c r="AS138" s="56">
        <f t="shared" si="570"/>
        <v>1257</v>
      </c>
      <c r="AT138" s="109">
        <f t="shared" si="571"/>
        <v>0</v>
      </c>
      <c r="AU138" s="53">
        <f t="shared" si="394"/>
        <v>1257</v>
      </c>
      <c r="AV138" s="56">
        <f t="shared" si="572"/>
        <v>86</v>
      </c>
      <c r="AW138" s="109">
        <f t="shared" si="573"/>
        <v>0</v>
      </c>
      <c r="AX138" s="53">
        <f t="shared" si="359"/>
        <v>86</v>
      </c>
      <c r="AZ138" s="197">
        <f t="shared" si="607"/>
        <v>5</v>
      </c>
      <c r="BA138" s="8">
        <f t="shared" si="574"/>
        <v>18</v>
      </c>
      <c r="BB138" s="136"/>
      <c r="BC138" s="54">
        <f t="shared" si="608"/>
        <v>0</v>
      </c>
      <c r="BD138" s="55">
        <f t="shared" si="511"/>
        <v>0</v>
      </c>
      <c r="BE138" s="137"/>
      <c r="BF138" s="138"/>
      <c r="BG138" s="138"/>
      <c r="BH138" s="34">
        <f t="shared" si="472"/>
        <v>0</v>
      </c>
      <c r="BI138" s="32">
        <f t="shared" si="483"/>
        <v>0</v>
      </c>
      <c r="BJ138" s="32">
        <f t="shared" si="575"/>
        <v>0.16</v>
      </c>
      <c r="BK138" s="96">
        <f t="shared" si="614"/>
        <v>0</v>
      </c>
      <c r="BL138" s="36">
        <f t="shared" si="576"/>
        <v>4.4800000000000013</v>
      </c>
      <c r="BM138" s="132">
        <f t="shared" si="428"/>
        <v>0</v>
      </c>
      <c r="BN138" s="137"/>
      <c r="BO138" s="32">
        <f t="shared" si="577"/>
        <v>79</v>
      </c>
      <c r="BP138" s="443">
        <f t="shared" si="615"/>
        <v>0</v>
      </c>
      <c r="BQ138" s="750">
        <f t="shared" si="618"/>
        <v>0</v>
      </c>
      <c r="BR138" s="56">
        <f t="shared" si="578"/>
        <v>1257</v>
      </c>
      <c r="BS138" s="109">
        <f t="shared" si="579"/>
        <v>0</v>
      </c>
      <c r="BT138" s="53">
        <f t="shared" si="395"/>
        <v>1257</v>
      </c>
      <c r="BU138" s="56">
        <f t="shared" si="580"/>
        <v>86</v>
      </c>
      <c r="BV138" s="109">
        <f t="shared" si="581"/>
        <v>0</v>
      </c>
      <c r="BW138" s="53">
        <f t="shared" si="360"/>
        <v>86</v>
      </c>
      <c r="BY138" s="197">
        <f t="shared" si="609"/>
        <v>34</v>
      </c>
      <c r="BZ138" s="8">
        <f t="shared" si="582"/>
        <v>18</v>
      </c>
      <c r="CA138" s="136"/>
      <c r="CB138" s="54">
        <f t="shared" si="361"/>
        <v>0</v>
      </c>
      <c r="CC138" s="55">
        <f t="shared" si="369"/>
        <v>0</v>
      </c>
      <c r="CD138" s="137"/>
      <c r="CE138" s="138"/>
      <c r="CF138" s="138"/>
      <c r="CG138" s="34">
        <f t="shared" si="370"/>
        <v>0</v>
      </c>
      <c r="CH138" s="32">
        <f t="shared" si="362"/>
        <v>0</v>
      </c>
      <c r="CI138" s="32">
        <f t="shared" si="583"/>
        <v>0.16</v>
      </c>
      <c r="CJ138" s="96">
        <f>IFERROR((CG138*1000)/CB138,0)</f>
        <v>0</v>
      </c>
      <c r="CK138" s="36">
        <f t="shared" si="584"/>
        <v>4.4800000000000013</v>
      </c>
      <c r="CL138" s="156">
        <f t="shared" si="619"/>
        <v>0</v>
      </c>
      <c r="CM138" s="137"/>
      <c r="CN138" s="32">
        <f t="shared" si="585"/>
        <v>79</v>
      </c>
      <c r="CO138" s="443">
        <f>IFERROR(CM138/CB138,0)</f>
        <v>0</v>
      </c>
      <c r="CP138" s="70">
        <f t="shared" si="617"/>
        <v>0</v>
      </c>
      <c r="CQ138" s="56">
        <f t="shared" si="586"/>
        <v>1257</v>
      </c>
      <c r="CR138" s="109">
        <f t="shared" si="587"/>
        <v>0</v>
      </c>
      <c r="CS138" s="53">
        <f t="shared" si="396"/>
        <v>1257</v>
      </c>
      <c r="CT138" s="56">
        <f t="shared" si="588"/>
        <v>86</v>
      </c>
      <c r="CU138" s="109">
        <f t="shared" si="589"/>
        <v>0</v>
      </c>
      <c r="CV138" s="53">
        <f t="shared" si="610"/>
        <v>86</v>
      </c>
      <c r="CX138" s="197">
        <f t="shared" si="611"/>
        <v>34</v>
      </c>
      <c r="CY138" s="8">
        <f t="shared" si="590"/>
        <v>18</v>
      </c>
      <c r="CZ138" s="136"/>
      <c r="DA138" s="54">
        <f t="shared" si="488"/>
        <v>0</v>
      </c>
      <c r="DB138" s="55">
        <f t="shared" si="512"/>
        <v>0</v>
      </c>
      <c r="DC138" s="137"/>
      <c r="DD138" s="138"/>
      <c r="DE138" s="138"/>
      <c r="DF138" s="34">
        <f t="shared" si="371"/>
        <v>0</v>
      </c>
      <c r="DG138" s="32">
        <f t="shared" si="553"/>
        <v>0</v>
      </c>
      <c r="DH138" s="32">
        <f t="shared" si="591"/>
        <v>0.16</v>
      </c>
      <c r="DI138" s="96">
        <f>IFERROR((DF138*1000)/DA138,0)</f>
        <v>0</v>
      </c>
      <c r="DJ138" s="36">
        <f t="shared" si="592"/>
        <v>4.4800000000000013</v>
      </c>
      <c r="DK138" s="156">
        <f t="shared" si="364"/>
        <v>0</v>
      </c>
      <c r="DL138" s="137"/>
      <c r="DM138" s="32">
        <f t="shared" si="593"/>
        <v>79</v>
      </c>
      <c r="DN138" s="443">
        <f>IFERROR(DL138/DA138,0)</f>
        <v>0</v>
      </c>
      <c r="DO138" s="70">
        <f t="shared" si="365"/>
        <v>0</v>
      </c>
      <c r="DP138" s="56">
        <f t="shared" si="594"/>
        <v>1257</v>
      </c>
      <c r="DQ138" s="109">
        <f t="shared" si="595"/>
        <v>0</v>
      </c>
      <c r="DR138" s="53">
        <f t="shared" si="397"/>
        <v>1257</v>
      </c>
      <c r="DS138" s="56">
        <f t="shared" si="596"/>
        <v>86</v>
      </c>
      <c r="DT138" s="109">
        <f t="shared" si="597"/>
        <v>0</v>
      </c>
      <c r="DU138" s="53">
        <f t="shared" ref="DU138" si="621">DS138-DT138</f>
        <v>86</v>
      </c>
    </row>
    <row r="139" spans="2:125" x14ac:dyDescent="0.25">
      <c r="B139" s="455"/>
      <c r="C139" s="456"/>
      <c r="D139" s="455"/>
      <c r="E139" s="457"/>
      <c r="F139" s="457"/>
      <c r="G139" s="458"/>
      <c r="H139" s="458"/>
      <c r="I139" s="458"/>
      <c r="J139" s="459"/>
      <c r="K139" s="459"/>
      <c r="L139" s="459"/>
      <c r="M139" s="460"/>
      <c r="N139" s="461"/>
      <c r="O139" s="460"/>
      <c r="P139" s="458"/>
      <c r="Q139" s="459"/>
      <c r="R139" s="462"/>
      <c r="S139" s="457"/>
      <c r="T139" s="459"/>
      <c r="U139" s="463"/>
      <c r="V139" s="459"/>
      <c r="W139" s="459"/>
      <c r="X139" s="463"/>
      <c r="Y139" s="459"/>
      <c r="Z139" s="487"/>
      <c r="AA139" s="455"/>
      <c r="AB139" s="456"/>
      <c r="AC139" s="455"/>
      <c r="AD139" s="457"/>
      <c r="AE139" s="457"/>
      <c r="AF139" s="458"/>
      <c r="AG139" s="458"/>
      <c r="AH139" s="458"/>
      <c r="AI139" s="459"/>
      <c r="AJ139" s="459"/>
      <c r="AK139" s="459"/>
      <c r="AL139" s="460"/>
      <c r="AM139" s="461"/>
      <c r="AN139" s="460"/>
      <c r="AO139" s="458"/>
      <c r="AP139" s="459"/>
      <c r="AQ139" s="462"/>
      <c r="AR139" s="457"/>
      <c r="AS139" s="459"/>
      <c r="AT139" s="463"/>
      <c r="AU139" s="459"/>
      <c r="AV139" s="459"/>
      <c r="AW139" s="463"/>
      <c r="AX139" s="459"/>
      <c r="AZ139" s="455"/>
      <c r="BA139" s="456"/>
      <c r="BB139" s="455"/>
      <c r="BC139" s="459"/>
      <c r="BD139" s="459"/>
      <c r="BE139" s="458"/>
      <c r="BF139" s="458"/>
      <c r="BG139" s="458"/>
      <c r="BH139" s="459"/>
      <c r="BI139" s="459"/>
      <c r="BJ139" s="459"/>
      <c r="BK139" s="460"/>
      <c r="BL139" s="461"/>
      <c r="BM139" s="460"/>
      <c r="BN139" s="458"/>
      <c r="BO139" s="459"/>
      <c r="BP139" s="457"/>
      <c r="BQ139" s="457"/>
      <c r="BR139" s="459"/>
      <c r="BS139" s="463"/>
      <c r="BT139" s="459"/>
      <c r="BU139" s="459"/>
      <c r="BV139" s="463"/>
      <c r="BW139" s="459"/>
      <c r="BY139" s="455"/>
      <c r="BZ139" s="456"/>
      <c r="CA139" s="455"/>
      <c r="CB139" s="459"/>
      <c r="CC139" s="459"/>
      <c r="CD139" s="458"/>
      <c r="CE139" s="458"/>
      <c r="CF139" s="458"/>
      <c r="CG139" s="459"/>
      <c r="CH139" s="459"/>
      <c r="CI139" s="459"/>
      <c r="CJ139" s="460"/>
      <c r="CK139" s="461"/>
      <c r="CL139" s="460"/>
      <c r="CM139" s="458"/>
      <c r="CN139" s="459"/>
      <c r="CO139" s="457"/>
      <c r="CP139" s="457"/>
      <c r="CQ139" s="459"/>
      <c r="CR139" s="463"/>
      <c r="CS139" s="463"/>
      <c r="CT139" s="459"/>
      <c r="CU139" s="463"/>
      <c r="CV139" s="459"/>
    </row>
    <row r="140" spans="2:125" x14ac:dyDescent="0.25">
      <c r="B140" s="455"/>
      <c r="C140" s="456"/>
      <c r="D140" s="455"/>
      <c r="E140" s="457"/>
      <c r="F140" s="457"/>
      <c r="G140" s="458"/>
      <c r="H140" s="458"/>
      <c r="I140" s="458"/>
      <c r="J140" s="459"/>
      <c r="K140" s="459"/>
      <c r="L140" s="459"/>
      <c r="M140" s="460"/>
      <c r="N140" s="461"/>
      <c r="O140" s="460"/>
      <c r="P140" s="458"/>
      <c r="Q140" s="459"/>
      <c r="R140" s="462"/>
      <c r="S140" s="457"/>
      <c r="T140" s="459"/>
      <c r="U140" s="463"/>
      <c r="V140" s="459"/>
      <c r="W140" s="459"/>
      <c r="X140" s="463"/>
      <c r="Y140" s="459"/>
      <c r="Z140" s="487"/>
      <c r="AA140" s="455"/>
      <c r="AB140" s="456"/>
      <c r="AC140" s="455"/>
      <c r="AD140" s="457"/>
      <c r="AE140" s="457"/>
      <c r="AF140" s="458"/>
      <c r="AG140" s="458"/>
      <c r="AH140" s="458"/>
      <c r="AI140" s="459"/>
      <c r="AJ140" s="459"/>
      <c r="AK140" s="459"/>
      <c r="AL140" s="460"/>
      <c r="AM140" s="461"/>
      <c r="AN140" s="460"/>
      <c r="AO140" s="458"/>
      <c r="AP140" s="459"/>
      <c r="AQ140" s="462"/>
      <c r="AR140" s="457"/>
      <c r="AS140" s="459"/>
      <c r="AT140" s="463"/>
      <c r="AU140" s="459"/>
      <c r="AV140" s="459"/>
      <c r="AW140" s="463"/>
      <c r="AX140" s="459"/>
      <c r="AZ140" s="455"/>
      <c r="BA140" s="456"/>
      <c r="BB140" s="455"/>
      <c r="BC140" s="459"/>
      <c r="BD140" s="459"/>
      <c r="BE140" s="458"/>
      <c r="BF140" s="458"/>
      <c r="BG140" s="458"/>
      <c r="BH140" s="459"/>
      <c r="BI140" s="459"/>
      <c r="BJ140" s="459"/>
      <c r="BK140" s="460"/>
      <c r="BL140" s="461"/>
      <c r="BM140" s="460"/>
      <c r="BN140" s="458"/>
      <c r="BO140" s="459"/>
      <c r="BP140" s="457"/>
      <c r="BQ140" s="457"/>
      <c r="BR140" s="459"/>
      <c r="BS140" s="463"/>
      <c r="BT140" s="459"/>
      <c r="BU140" s="459"/>
      <c r="BV140" s="463"/>
      <c r="BW140" s="459"/>
      <c r="BY140" s="455"/>
      <c r="BZ140" s="456"/>
      <c r="CA140" s="455"/>
      <c r="CB140" s="459"/>
      <c r="CC140" s="459"/>
      <c r="CD140" s="458"/>
      <c r="CE140" s="458"/>
      <c r="CF140" s="458"/>
      <c r="CG140" s="459"/>
      <c r="CH140" s="459"/>
      <c r="CI140" s="459"/>
      <c r="CJ140" s="460"/>
      <c r="CK140" s="461"/>
      <c r="CL140" s="460"/>
      <c r="CM140" s="458"/>
      <c r="CN140" s="459"/>
      <c r="CO140" s="457"/>
      <c r="CP140" s="457"/>
      <c r="CQ140" s="459"/>
      <c r="CR140" s="463"/>
      <c r="CS140" s="463"/>
      <c r="CT140" s="459"/>
      <c r="CU140" s="463"/>
      <c r="CV140" s="459"/>
    </row>
    <row r="141" spans="2:125" s="4" customFormat="1" x14ac:dyDescent="0.25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74"/>
      <c r="Z141" s="492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460"/>
      <c r="AO141" s="3"/>
      <c r="AP141" s="3"/>
      <c r="AQ141" s="3"/>
      <c r="AR141" s="3"/>
      <c r="AS141" s="3"/>
      <c r="AT141" s="3"/>
      <c r="AU141" s="3"/>
      <c r="AV141" s="3"/>
      <c r="AW141" s="3"/>
      <c r="AX141" s="74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74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74"/>
    </row>
    <row r="142" spans="2:125" s="4" customFormat="1" x14ac:dyDescent="0.25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74"/>
      <c r="Z142" s="492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460"/>
      <c r="AO142" s="3"/>
      <c r="AP142" s="3"/>
      <c r="AQ142" s="3"/>
      <c r="AR142" s="3"/>
      <c r="AS142" s="3"/>
      <c r="AT142" s="3"/>
      <c r="AU142" s="3"/>
      <c r="AV142" s="3"/>
      <c r="AW142" s="3"/>
      <c r="AX142" s="74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74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74"/>
    </row>
    <row r="143" spans="2:125" x14ac:dyDescent="0.25"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454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 t="s">
        <v>140</v>
      </c>
      <c r="AM143" s="1"/>
      <c r="AN143" s="460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2:125" ht="37.5" customHeight="1" x14ac:dyDescent="0.25">
      <c r="C144" s="89" t="s">
        <v>43</v>
      </c>
      <c r="D144" s="90" t="s">
        <v>58</v>
      </c>
      <c r="E144" s="86" t="s">
        <v>67</v>
      </c>
      <c r="F144" s="86" t="s">
        <v>34</v>
      </c>
      <c r="G144" s="88" t="s">
        <v>27</v>
      </c>
      <c r="H144" s="88" t="s">
        <v>16</v>
      </c>
      <c r="I144" s="88" t="s">
        <v>17</v>
      </c>
      <c r="J144" s="88" t="s">
        <v>18</v>
      </c>
      <c r="K144" s="88" t="s">
        <v>48</v>
      </c>
      <c r="L144" s="86" t="s">
        <v>72</v>
      </c>
      <c r="M144" s="86" t="s">
        <v>74</v>
      </c>
      <c r="N144" s="87" t="s">
        <v>49</v>
      </c>
      <c r="O144" s="87" t="s">
        <v>73</v>
      </c>
      <c r="P144" s="88" t="s">
        <v>9</v>
      </c>
      <c r="Q144" s="86" t="s">
        <v>75</v>
      </c>
      <c r="R144" s="86" t="s">
        <v>62</v>
      </c>
      <c r="S144" s="86" t="s">
        <v>50</v>
      </c>
      <c r="T144" s="86" t="s">
        <v>63</v>
      </c>
      <c r="U144" s="86" t="s">
        <v>64</v>
      </c>
      <c r="V144" s="88" t="s">
        <v>15</v>
      </c>
      <c r="W144" s="86" t="s">
        <v>65</v>
      </c>
      <c r="X144" s="86" t="s">
        <v>66</v>
      </c>
      <c r="Y144" s="88" t="s">
        <v>15</v>
      </c>
      <c r="Z144" s="488"/>
      <c r="AA144" s="1"/>
      <c r="AB144" s="89" t="s">
        <v>43</v>
      </c>
      <c r="AC144" s="90" t="s">
        <v>58</v>
      </c>
      <c r="AD144" s="86" t="s">
        <v>67</v>
      </c>
      <c r="AE144" s="86" t="s">
        <v>34</v>
      </c>
      <c r="AF144" s="88" t="s">
        <v>27</v>
      </c>
      <c r="AG144" s="88" t="s">
        <v>16</v>
      </c>
      <c r="AH144" s="88" t="s">
        <v>17</v>
      </c>
      <c r="AI144" s="88" t="s">
        <v>18</v>
      </c>
      <c r="AJ144" s="88" t="s">
        <v>48</v>
      </c>
      <c r="AK144" s="86" t="s">
        <v>72</v>
      </c>
      <c r="AL144" s="86" t="s">
        <v>74</v>
      </c>
      <c r="AM144" s="87" t="s">
        <v>49</v>
      </c>
      <c r="AN144" s="155"/>
      <c r="AO144" s="88" t="s">
        <v>9</v>
      </c>
      <c r="AP144" s="86" t="s">
        <v>75</v>
      </c>
      <c r="AQ144" s="86" t="s">
        <v>62</v>
      </c>
      <c r="AR144" s="86" t="s">
        <v>50</v>
      </c>
      <c r="AS144" s="86" t="s">
        <v>63</v>
      </c>
      <c r="AT144" s="86" t="s">
        <v>64</v>
      </c>
      <c r="AU144" s="88" t="s">
        <v>15</v>
      </c>
      <c r="AV144" s="86" t="s">
        <v>65</v>
      </c>
      <c r="AW144" s="86" t="s">
        <v>66</v>
      </c>
      <c r="AX144" s="88" t="s">
        <v>15</v>
      </c>
      <c r="AZ144" s="1"/>
      <c r="BA144" s="89" t="s">
        <v>43</v>
      </c>
      <c r="BB144" s="90" t="s">
        <v>58</v>
      </c>
      <c r="BC144" s="86" t="s">
        <v>67</v>
      </c>
      <c r="BD144" s="86" t="s">
        <v>34</v>
      </c>
      <c r="BE144" s="88" t="s">
        <v>27</v>
      </c>
      <c r="BF144" s="88" t="s">
        <v>16</v>
      </c>
      <c r="BG144" s="88" t="s">
        <v>17</v>
      </c>
      <c r="BH144" s="88" t="s">
        <v>18</v>
      </c>
      <c r="BI144" s="88" t="s">
        <v>48</v>
      </c>
      <c r="BJ144" s="86" t="s">
        <v>72</v>
      </c>
      <c r="BK144" s="86" t="s">
        <v>74</v>
      </c>
      <c r="BL144" s="87" t="s">
        <v>49</v>
      </c>
      <c r="BM144" s="87" t="s">
        <v>73</v>
      </c>
      <c r="BN144" s="88" t="s">
        <v>9</v>
      </c>
      <c r="BO144" s="86" t="s">
        <v>75</v>
      </c>
      <c r="BP144" s="86" t="s">
        <v>62</v>
      </c>
      <c r="BQ144" s="86" t="s">
        <v>50</v>
      </c>
      <c r="BR144" s="86" t="s">
        <v>63</v>
      </c>
      <c r="BS144" s="86" t="s">
        <v>64</v>
      </c>
      <c r="BT144" s="88" t="s">
        <v>15</v>
      </c>
      <c r="BU144" s="86" t="s">
        <v>65</v>
      </c>
      <c r="BV144" s="86" t="s">
        <v>66</v>
      </c>
      <c r="BW144" s="88" t="s">
        <v>15</v>
      </c>
      <c r="BY144" s="1"/>
      <c r="BZ144" s="89" t="s">
        <v>43</v>
      </c>
      <c r="CA144" s="90" t="s">
        <v>58</v>
      </c>
      <c r="CB144" s="86" t="s">
        <v>67</v>
      </c>
      <c r="CC144" s="86" t="s">
        <v>34</v>
      </c>
      <c r="CD144" s="88" t="s">
        <v>27</v>
      </c>
      <c r="CE144" s="88" t="s">
        <v>16</v>
      </c>
      <c r="CF144" s="88" t="s">
        <v>17</v>
      </c>
      <c r="CG144" s="88" t="s">
        <v>18</v>
      </c>
      <c r="CH144" s="88" t="s">
        <v>48</v>
      </c>
      <c r="CI144" s="86" t="s">
        <v>72</v>
      </c>
      <c r="CJ144" s="86" t="s">
        <v>74</v>
      </c>
      <c r="CK144" s="87" t="s">
        <v>49</v>
      </c>
      <c r="CL144" s="87" t="s">
        <v>73</v>
      </c>
      <c r="CM144" s="88" t="s">
        <v>9</v>
      </c>
      <c r="CN144" s="86" t="s">
        <v>75</v>
      </c>
      <c r="CO144" s="86" t="s">
        <v>62</v>
      </c>
      <c r="CP144" s="86" t="s">
        <v>50</v>
      </c>
      <c r="CQ144" s="86" t="s">
        <v>63</v>
      </c>
      <c r="CR144" s="86" t="s">
        <v>64</v>
      </c>
      <c r="CS144" s="88" t="s">
        <v>15</v>
      </c>
      <c r="CT144" s="86" t="s">
        <v>65</v>
      </c>
      <c r="CU144" s="86" t="s">
        <v>66</v>
      </c>
      <c r="CV144" s="88" t="s">
        <v>15</v>
      </c>
      <c r="CY144" s="89" t="s">
        <v>43</v>
      </c>
      <c r="CZ144" s="90" t="s">
        <v>58</v>
      </c>
      <c r="DA144" s="86" t="s">
        <v>67</v>
      </c>
      <c r="DB144" s="86" t="s">
        <v>34</v>
      </c>
      <c r="DC144" s="88" t="s">
        <v>27</v>
      </c>
      <c r="DD144" s="88" t="s">
        <v>16</v>
      </c>
      <c r="DE144" s="88" t="s">
        <v>17</v>
      </c>
      <c r="DF144" s="88" t="s">
        <v>18</v>
      </c>
      <c r="DG144" s="88" t="s">
        <v>48</v>
      </c>
      <c r="DH144" s="86" t="s">
        <v>72</v>
      </c>
      <c r="DI144" s="86" t="s">
        <v>74</v>
      </c>
      <c r="DJ144" s="87" t="s">
        <v>49</v>
      </c>
      <c r="DK144" s="87" t="s">
        <v>73</v>
      </c>
      <c r="DL144" s="88" t="s">
        <v>9</v>
      </c>
      <c r="DM144" s="86" t="s">
        <v>75</v>
      </c>
      <c r="DN144" s="86" t="s">
        <v>62</v>
      </c>
      <c r="DO144" s="86" t="s">
        <v>50</v>
      </c>
      <c r="DP144" s="86" t="s">
        <v>63</v>
      </c>
      <c r="DQ144" s="86" t="s">
        <v>64</v>
      </c>
      <c r="DR144" s="88" t="s">
        <v>15</v>
      </c>
      <c r="DS144" s="86" t="s">
        <v>65</v>
      </c>
      <c r="DT144" s="86" t="s">
        <v>66</v>
      </c>
      <c r="DU144" s="88" t="s">
        <v>15</v>
      </c>
    </row>
    <row r="145" spans="3:125" ht="21" customHeight="1" x14ac:dyDescent="0.25">
      <c r="C145" s="90">
        <v>0</v>
      </c>
      <c r="D145" s="369" t="s">
        <v>52</v>
      </c>
      <c r="E145" s="26">
        <f>INDEX($C$6:$Y$138,7,2)</f>
        <v>0</v>
      </c>
      <c r="F145" s="26">
        <f>INDEX($C$6:$Y$138,7,4)</f>
        <v>0</v>
      </c>
      <c r="G145" s="23">
        <f>SUMIFS($G$6:$G$138,$C$6:$C$138,$C145)</f>
        <v>0</v>
      </c>
      <c r="H145" s="23">
        <f>SUMIFS($H$6:$H$138,$C$6:$C$138,$C145)</f>
        <v>0</v>
      </c>
      <c r="I145" s="23">
        <f>SUMIFS($I$6:$I$138,$C$6:$C$138,$C145)</f>
        <v>0</v>
      </c>
      <c r="J145" s="88">
        <f>SUM(G145:I145)</f>
        <v>0</v>
      </c>
      <c r="K145" s="26">
        <f>INDEX($C$6:$Y$138,7,9)</f>
        <v>0</v>
      </c>
      <c r="L145" s="47">
        <f t="shared" ref="L145:L163" si="622">VLOOKUP($C145,LOHMANN,4,FALSE)</f>
        <v>0.7</v>
      </c>
      <c r="M145" s="28" t="e">
        <f>(J145*100)/E145</f>
        <v>#DIV/0!</v>
      </c>
      <c r="N145" s="47">
        <f>VLOOKUP($C145,LOHMANN,5,FALSE)</f>
        <v>0.7</v>
      </c>
      <c r="O145" s="47">
        <f>IFERROR((K145*100)/E145,0)</f>
        <v>0</v>
      </c>
      <c r="P145" s="464">
        <f>SUMIFS($P$6:$P$138,$C$6:$C$138,$C145)</f>
        <v>0</v>
      </c>
      <c r="Q145" s="14">
        <f>VLOOKUP($C145,LOHMANN,6,FALSE)</f>
        <v>10</v>
      </c>
      <c r="R145" s="742">
        <f>IFERROR((P145/7/E145)*1000,0)</f>
        <v>0</v>
      </c>
      <c r="S145" s="30">
        <f>INDEX($C$6:$Y$138,7,17)</f>
        <v>0</v>
      </c>
      <c r="T145" s="14">
        <f>VLOOKUP($C145,LOHMANN,2,FALSE)</f>
        <v>40</v>
      </c>
      <c r="U145" s="349">
        <f>INDEX($C$6:$Y$138,7,19)</f>
        <v>0</v>
      </c>
      <c r="V145" s="415">
        <f t="shared" ref="V145:V163" si="623">T145-U145</f>
        <v>40</v>
      </c>
      <c r="W145" s="14">
        <f t="shared" ref="W145:W163" si="624">VLOOKUP(C145,LOHMANN,3,FALSE)</f>
        <v>77</v>
      </c>
      <c r="X145" s="75">
        <f>INDEX($C$6:$Y$138,7,22)</f>
        <v>0</v>
      </c>
      <c r="Y145" s="609">
        <f t="shared" ref="Y145:Y163" si="625">W145-X145</f>
        <v>77</v>
      </c>
      <c r="Z145" s="489"/>
      <c r="AA145" s="1"/>
      <c r="AB145" s="90">
        <v>0</v>
      </c>
      <c r="AC145" s="369" t="s">
        <v>53</v>
      </c>
      <c r="AD145" s="26">
        <f>INDEX($AB$6:$AX$138,5,3)</f>
        <v>0</v>
      </c>
      <c r="AE145" s="26">
        <f>INDEX($AB$6:$AX$138,7,4)</f>
        <v>0</v>
      </c>
      <c r="AF145" s="23">
        <f>SUMIFS($AF$6:$AF$138,$AB$6:$AB$138,$AB145)</f>
        <v>0</v>
      </c>
      <c r="AG145" s="23">
        <f>SUMIFS($AG$6:$AG$138,$AB$6:$AB$138,$AB145)</f>
        <v>0</v>
      </c>
      <c r="AH145" s="23">
        <f>SUMIFS($AH$6:$AH$138,$AB$6:$AB$138,$AB145)</f>
        <v>0</v>
      </c>
      <c r="AI145" s="88">
        <f>SUM(AF145:AH145)</f>
        <v>0</v>
      </c>
      <c r="AJ145" s="26">
        <f>INDEX($AB$6:$AX$138,7,9)</f>
        <v>0</v>
      </c>
      <c r="AK145" s="47">
        <f>VLOOKUP($C145,LOHMANN,4,FALSE)</f>
        <v>0.7</v>
      </c>
      <c r="AL145" s="28">
        <f>AVERAGEIFS($AL$6:$AL$138,$AB$6:$AB$138,$AB145)</f>
        <v>0</v>
      </c>
      <c r="AM145" s="47">
        <f>VLOOKUP($C145,LOHMANN,5,FALSE)</f>
        <v>0.7</v>
      </c>
      <c r="AN145" s="47">
        <f>IFERROR((AJ145*100)/AD145,0)</f>
        <v>0</v>
      </c>
      <c r="AO145" s="464">
        <f>SUMIFS($AO$6:$AO$138,$AB$6:$AB$138,$AB145)</f>
        <v>0</v>
      </c>
      <c r="AP145" s="14">
        <f>VLOOKUP($C145,LOHMANN,6,FALSE)</f>
        <v>10</v>
      </c>
      <c r="AQ145" s="23">
        <f>IFERROR(((AO145/7)/AD145)*1000,0)</f>
        <v>0</v>
      </c>
      <c r="AR145" s="30">
        <f>INDEX($AB$6:$AX$138,7,17)</f>
        <v>0</v>
      </c>
      <c r="AS145" s="14">
        <f>VLOOKUP($C145,LOHMANN,2,FALSE)</f>
        <v>40</v>
      </c>
      <c r="AT145" s="349">
        <f>INDEX($AB$6:$AX$138,7,19)</f>
        <v>0</v>
      </c>
      <c r="AU145" s="415">
        <f>AS145-AT145</f>
        <v>40</v>
      </c>
      <c r="AV145" s="14">
        <f>VLOOKUP(AB145,LOHMANN,3,FALSE)</f>
        <v>77</v>
      </c>
      <c r="AW145" s="75">
        <f>INDEX($AB$6:$AX$138,7,22)</f>
        <v>0</v>
      </c>
      <c r="AX145" s="609">
        <f t="shared" ref="AX145:AX163" si="626">AV145-AW145</f>
        <v>77</v>
      </c>
      <c r="AZ145" s="1"/>
      <c r="BA145" s="90">
        <v>0</v>
      </c>
      <c r="BB145" s="348" t="s">
        <v>54</v>
      </c>
      <c r="BC145" s="26">
        <f>INDEX($BA$6:$BW$138,1,3)</f>
        <v>0</v>
      </c>
      <c r="BD145" s="26">
        <f>INDEX($BA$6:$BW$138,7,4)</f>
        <v>0</v>
      </c>
      <c r="BE145" s="23">
        <f>SUMIFS($BE$6:$BE$138,$BA$6:$BA$138,$BA145)</f>
        <v>0</v>
      </c>
      <c r="BF145" s="23">
        <f>SUMIFS($BF$6:$BF$138,$BA$6:$BA$138,$BA145)</f>
        <v>0</v>
      </c>
      <c r="BG145" s="23">
        <f>SUMIFS($BG$6:$BG$138,$BA$6:$BA$138,$BA145)</f>
        <v>0</v>
      </c>
      <c r="BH145" s="88">
        <f>SUM(BE145:BG145)</f>
        <v>0</v>
      </c>
      <c r="BI145" s="26">
        <f>INDEX($BA$6:$BW$138,7,9)</f>
        <v>0</v>
      </c>
      <c r="BJ145" s="47">
        <f t="shared" ref="BJ145:BJ163" si="627">VLOOKUP($BA145,LOHMANN,4,FALSE)</f>
        <v>0.7</v>
      </c>
      <c r="BK145" s="28">
        <f>AVERAGEIFS($BK$6:$BK$138,$BA$6:$BA$138,$BA145)</f>
        <v>0</v>
      </c>
      <c r="BL145" s="47">
        <f t="shared" ref="BL145:BL163" si="628">VLOOKUP($BA145,LOHMANN,5,FALSE)</f>
        <v>0.7</v>
      </c>
      <c r="BM145" s="27">
        <f>INDEX($BA$6:$BW$138,7,13)</f>
        <v>0</v>
      </c>
      <c r="BN145" s="23">
        <f>SUMIFS($BN$6:$BN$138,$BA$6:$BA$138,$BA145)</f>
        <v>0</v>
      </c>
      <c r="BO145" s="14">
        <f t="shared" ref="BO145:BO163" si="629">VLOOKUP($BA145,LOHMANN,6,FALSE)</f>
        <v>10</v>
      </c>
      <c r="BP145" s="23">
        <f>IFERROR(((BN145/7)/BC145)*1000,0)</f>
        <v>0</v>
      </c>
      <c r="BQ145" s="27">
        <f>INDEX($BA$6:$BW$138,7,17)</f>
        <v>0</v>
      </c>
      <c r="BR145" s="14">
        <f t="shared" ref="BR145:BR163" si="630">VLOOKUP($BA145,LOHMANN,2,FALSE)</f>
        <v>40</v>
      </c>
      <c r="BS145" s="350">
        <f>INDEX($BA$6:$BW$138,7,19)</f>
        <v>0</v>
      </c>
      <c r="BT145" s="26">
        <f>BR145-BS145</f>
        <v>40</v>
      </c>
      <c r="BU145" s="14">
        <f t="shared" ref="BU145:BU163" si="631">VLOOKUP(BA145,LOHMANN,3,FALSE)</f>
        <v>77</v>
      </c>
      <c r="BV145" s="26">
        <f>INDEX($BA$6:$BW$138,7,22)</f>
        <v>0</v>
      </c>
      <c r="BW145" s="26">
        <f>BU145-BV145</f>
        <v>77</v>
      </c>
      <c r="BY145" s="1"/>
      <c r="BZ145" s="90">
        <v>0</v>
      </c>
      <c r="CA145" s="348" t="s">
        <v>55</v>
      </c>
      <c r="CB145" s="26">
        <f>INDEX($BZ$6:$CV$138,1,3)</f>
        <v>0</v>
      </c>
      <c r="CC145" s="26">
        <f>INDEX($BZ$6:$CV$138,7,4)</f>
        <v>0</v>
      </c>
      <c r="CD145" s="23">
        <f>SUMIFS($CD$6:$CD$138,$BZ$6:$BZ$138,$BZ145)</f>
        <v>0</v>
      </c>
      <c r="CE145" s="23">
        <f>SUMIFS($CE$6:$CE$138,$BZ$6:$BZ$138,$BZ145)</f>
        <v>0</v>
      </c>
      <c r="CF145" s="23">
        <f>SUMIFS($CF$6:$CF$138,$BZ$6:$BZ$138,$BZ145)</f>
        <v>0</v>
      </c>
      <c r="CG145" s="88">
        <f>SUM(CD145:CF145)</f>
        <v>0</v>
      </c>
      <c r="CH145" s="26">
        <f>INDEX($BZ$6:$CV$138,7,9)</f>
        <v>0</v>
      </c>
      <c r="CI145" s="47">
        <f>VLOOKUP($BZ145,LOHMANN,4,FALSE)</f>
        <v>0.7</v>
      </c>
      <c r="CJ145" s="23">
        <f>AVERAGEIFS($CJ$6:$CJ$138,$BZ$6:$BZ$138,$BZ145)</f>
        <v>0</v>
      </c>
      <c r="CK145" s="47">
        <f>VLOOKUP($BZ145,LOHMANN,5,FALSE)</f>
        <v>0.7</v>
      </c>
      <c r="CL145" s="27">
        <f>INDEX($BZ$6:$CV$138,7,13)</f>
        <v>0</v>
      </c>
      <c r="CM145" s="23">
        <f>SUMIFS($CM$6:$CM$138,$BZ$6:$BZ$138,$BZ145)</f>
        <v>0</v>
      </c>
      <c r="CN145" s="14">
        <f>VLOOKUP($BZ145,LOHMANN,6,FALSE)</f>
        <v>10</v>
      </c>
      <c r="CO145" s="23">
        <f>AVERAGEIFS($CO$6:$CO$131,$BZ$6:$BZ$131,$BZ145)</f>
        <v>0</v>
      </c>
      <c r="CP145" s="27">
        <f>INDEX($BZ$6:$CV$138,7,17)</f>
        <v>0</v>
      </c>
      <c r="CQ145" s="14">
        <f t="shared" ref="CQ145:CQ162" si="632">VLOOKUP($BZ145,LOHMANN,2,FALSE)</f>
        <v>40</v>
      </c>
      <c r="CR145" s="351">
        <f>INDEX($BZ$6:$CV$138,7,19)</f>
        <v>0</v>
      </c>
      <c r="CS145" s="416">
        <f>CQ145-CR145</f>
        <v>40</v>
      </c>
      <c r="CT145" s="14">
        <f>VLOOKUP(BZ145,LOHMANN,3,FALSE)</f>
        <v>77</v>
      </c>
      <c r="CU145" s="29">
        <f>INDEX($BZ$6:$CV$138,7,22)</f>
        <v>0</v>
      </c>
      <c r="CV145" s="417">
        <f>CT145-CU145</f>
        <v>77</v>
      </c>
      <c r="CY145" s="90">
        <v>0</v>
      </c>
      <c r="CZ145" s="348" t="s">
        <v>56</v>
      </c>
      <c r="DA145" s="26">
        <f>INDEX($BZ$6:$CV$138,1,3)</f>
        <v>0</v>
      </c>
      <c r="DB145" s="26">
        <f>INDEX($BZ$6:$CV$138,7,4)</f>
        <v>0</v>
      </c>
      <c r="DC145" s="23">
        <f>SUMIFS($CD$6:$CD$138,$BZ$6:$BZ$138,$BZ145)</f>
        <v>0</v>
      </c>
      <c r="DD145" s="23">
        <f>SUMIFS($CE$6:$CE$138,$BZ$6:$BZ$138,$BZ145)</f>
        <v>0</v>
      </c>
      <c r="DE145" s="23">
        <f>SUMIFS($CF$6:$CF$138,$BZ$6:$BZ$138,$BZ145)</f>
        <v>0</v>
      </c>
      <c r="DF145" s="88">
        <f>SUM(DC145:DE145)</f>
        <v>0</v>
      </c>
      <c r="DG145" s="26">
        <f>INDEX($BZ$6:$CV$138,7,9)</f>
        <v>0</v>
      </c>
      <c r="DH145" s="47">
        <f>VLOOKUP($BZ145,LOHMANN,4,FALSE)</f>
        <v>0.7</v>
      </c>
      <c r="DI145" s="23">
        <f>AVERAGEIFS($CJ$6:$CJ$138,$BZ$6:$BZ$138,$BZ145)</f>
        <v>0</v>
      </c>
      <c r="DJ145" s="47">
        <f>VLOOKUP($BZ145,LOHMANN,5,FALSE)</f>
        <v>0.7</v>
      </c>
      <c r="DK145" s="27">
        <f>INDEX($BZ$6:$CV$138,7,13)</f>
        <v>0</v>
      </c>
      <c r="DL145" s="23">
        <f>SUMIFS($CM$6:$CM$138,$BZ$6:$BZ$138,$BZ145)</f>
        <v>0</v>
      </c>
      <c r="DM145" s="14">
        <f>VLOOKUP($BZ145,LOHMANN,6,FALSE)</f>
        <v>10</v>
      </c>
      <c r="DN145" s="23">
        <f>AVERAGEIFS($CO$6:$CO$131,$BZ$6:$BZ$131,$BZ145)</f>
        <v>0</v>
      </c>
      <c r="DO145" s="27">
        <f>INDEX($BZ$6:$CV$138,7,17)</f>
        <v>0</v>
      </c>
      <c r="DP145" s="14">
        <f t="shared" ref="DP145:DP162" si="633">VLOOKUP($BZ145,LOHMANN,2,FALSE)</f>
        <v>40</v>
      </c>
      <c r="DQ145" s="351">
        <f>INDEX($BZ$6:$CV$138,7,19)</f>
        <v>0</v>
      </c>
      <c r="DR145" s="416">
        <f>DP145-DQ145</f>
        <v>40</v>
      </c>
      <c r="DS145" s="14">
        <f>VLOOKUP(CY145,LOHMANN,3,FALSE)</f>
        <v>77</v>
      </c>
      <c r="DT145" s="29">
        <f>INDEX($BZ$6:$CV$138,7,22)</f>
        <v>0</v>
      </c>
      <c r="DU145" s="417">
        <f>DS145-DT145</f>
        <v>77</v>
      </c>
    </row>
    <row r="146" spans="3:125" x14ac:dyDescent="0.25">
      <c r="C146" s="25">
        <v>1</v>
      </c>
      <c r="D146" s="23" t="str">
        <f>D145</f>
        <v>CASETA 1</v>
      </c>
      <c r="E146" s="26">
        <f>INDEX($C$6:$Y$138,8,3)</f>
        <v>0</v>
      </c>
      <c r="F146" s="26">
        <f>INDEX($C$6:$Y$138,14,4)</f>
        <v>0</v>
      </c>
      <c r="G146" s="23">
        <f>SUMIFS($G$6:$G$138,$C$6:$C$138,$C146)</f>
        <v>0</v>
      </c>
      <c r="H146" s="23">
        <f>SUMIFS($H$6:$H$138,$C$6:$C$138,$C146)</f>
        <v>0</v>
      </c>
      <c r="I146" s="23">
        <f>SUMIFS($I$6:$I$138,$C$6:$C$138,$C146)</f>
        <v>0</v>
      </c>
      <c r="J146" s="88">
        <f>SUM(G146:I146)</f>
        <v>0</v>
      </c>
      <c r="K146" s="26">
        <f>INDEX($C$6:$Y$138,14,9)</f>
        <v>0</v>
      </c>
      <c r="L146" s="47">
        <f t="shared" si="622"/>
        <v>0.7</v>
      </c>
      <c r="M146" s="28" t="e">
        <f>(J146*100)/E146</f>
        <v>#DIV/0!</v>
      </c>
      <c r="N146" s="47">
        <f t="shared" ref="N146:N163" si="634">VLOOKUP($C146,LOHMANN,5,FALSE)</f>
        <v>0.7</v>
      </c>
      <c r="O146" s="47">
        <f>IFERROR((K146*100)/E146,0)</f>
        <v>0</v>
      </c>
      <c r="P146" s="464">
        <f>SUMIFS($P$6:$P$138,$C$6:$C$138,$C146)</f>
        <v>0</v>
      </c>
      <c r="Q146" s="14">
        <f t="shared" ref="Q146:Q163" si="635">VLOOKUP($C146,LOHMANN,6,FALSE)</f>
        <v>10</v>
      </c>
      <c r="R146" s="23">
        <f t="shared" ref="R146:R163" si="636">IFERROR(((P146/7)/E146)*1000,0)</f>
        <v>0</v>
      </c>
      <c r="S146" s="30">
        <f>INDEX($C$6:$Y$138,14,17)</f>
        <v>0</v>
      </c>
      <c r="T146" s="14">
        <f t="shared" ref="T146:T163" si="637">VLOOKUP($C146,LOHMANN,2,FALSE)</f>
        <v>70</v>
      </c>
      <c r="U146" s="349">
        <f>INDEX($C$6:$Y$138,14,19)</f>
        <v>0</v>
      </c>
      <c r="V146" s="415">
        <f t="shared" si="623"/>
        <v>70</v>
      </c>
      <c r="W146" s="14">
        <f t="shared" si="624"/>
        <v>77</v>
      </c>
      <c r="X146" s="75">
        <f>INDEX($C$6:$Y$138,14,22)</f>
        <v>0</v>
      </c>
      <c r="Y146" s="609">
        <f t="shared" si="625"/>
        <v>77</v>
      </c>
      <c r="Z146" s="489"/>
      <c r="AA146" s="1"/>
      <c r="AB146" s="25">
        <v>1</v>
      </c>
      <c r="AC146" s="23" t="str">
        <f>AC145</f>
        <v>CASETA 2</v>
      </c>
      <c r="AD146" s="26">
        <f>INDEX($AB$6:$AX$138,14,2)</f>
        <v>0</v>
      </c>
      <c r="AE146" s="26">
        <f>INDEX($AB$6:$AX$138,14,4)</f>
        <v>0</v>
      </c>
      <c r="AF146" s="23">
        <f t="shared" ref="AF146:AF163" si="638">SUMIFS($AF$6:$AF$138,$AB$6:$AB$138,$AB146)</f>
        <v>0</v>
      </c>
      <c r="AG146" s="23">
        <f t="shared" ref="AG146:AG163" si="639">SUMIFS($AG$6:$AG$138,$AB$6:$AB$138,$AB146)</f>
        <v>0</v>
      </c>
      <c r="AH146" s="23">
        <f t="shared" ref="AH146:AH163" si="640">SUMIFS($AH$6:$AH$138,$AB$6:$AB$138,$AB146)</f>
        <v>0</v>
      </c>
      <c r="AI146" s="88">
        <f t="shared" ref="AI146:AI163" si="641">SUM(AF146:AH146)</f>
        <v>0</v>
      </c>
      <c r="AJ146" s="26">
        <f>INDEX($AB$6:$AX$138,14,9)</f>
        <v>0</v>
      </c>
      <c r="AK146" s="47">
        <f t="shared" ref="AK146:AK163" si="642">VLOOKUP($C146,LOHMANN,4,FALSE)</f>
        <v>0.7</v>
      </c>
      <c r="AL146" s="28">
        <f t="shared" ref="AL146:AL163" si="643">AVERAGEIFS($AL$6:$AL$138,$AB$6:$AB$138,$AB146)</f>
        <v>0</v>
      </c>
      <c r="AM146" s="47">
        <f t="shared" ref="AM146:AM163" si="644">VLOOKUP($C146,LOHMANN,5,FALSE)</f>
        <v>0.7</v>
      </c>
      <c r="AN146" s="47">
        <f t="shared" ref="AN146:AN163" si="645">IFERROR((AJ146*100)/AD146,0)</f>
        <v>0</v>
      </c>
      <c r="AO146" s="464">
        <f t="shared" ref="AO146:AO163" si="646">SUMIFS($AO$6:$AO$138,$AB$6:$AB$138,$AB146)</f>
        <v>0</v>
      </c>
      <c r="AP146" s="14">
        <f t="shared" ref="AP146:AP163" si="647">VLOOKUP($C146,LOHMANN,6,FALSE)</f>
        <v>10</v>
      </c>
      <c r="AQ146" s="23">
        <f t="shared" ref="AQ146:AQ163" si="648">IFERROR(((AO146/7)/AD146)*1000,0)</f>
        <v>0</v>
      </c>
      <c r="AR146" s="30">
        <f>INDEX($AB$6:$AX$138,14,17)</f>
        <v>0</v>
      </c>
      <c r="AS146" s="14">
        <f t="shared" ref="AS146:AS163" si="649">VLOOKUP($C146,LOHMANN,2,FALSE)</f>
        <v>70</v>
      </c>
      <c r="AT146" s="349">
        <f>INDEX($AB$6:$AX$138,14,19)</f>
        <v>0</v>
      </c>
      <c r="AU146" s="415">
        <f t="shared" ref="AU146:AU163" si="650">AS146-AT146</f>
        <v>70</v>
      </c>
      <c r="AV146" s="14">
        <f t="shared" ref="AV146:AV163" si="651">VLOOKUP(AB146,LOHMANN,3,FALSE)</f>
        <v>77</v>
      </c>
      <c r="AW146" s="75">
        <f>INDEX($AB$6:$AX$138,14,22)</f>
        <v>0</v>
      </c>
      <c r="AX146" s="609">
        <f t="shared" si="626"/>
        <v>77</v>
      </c>
      <c r="AZ146" s="1"/>
      <c r="BA146" s="25">
        <v>1</v>
      </c>
      <c r="BB146" s="348" t="str">
        <f>BB145</f>
        <v>CASETA 3</v>
      </c>
      <c r="BC146" s="26">
        <f>INDEX($BA$6:$BW$138,8,3)</f>
        <v>0</v>
      </c>
      <c r="BD146" s="26">
        <f>INDEX($BA$6:$BW$138,14,4)</f>
        <v>0</v>
      </c>
      <c r="BE146" s="23">
        <f t="shared" ref="BE146:BE163" si="652">SUMIFS($BE$6:$BE$138,$BA$6:$BA$138,$BA146)</f>
        <v>0</v>
      </c>
      <c r="BF146" s="23">
        <f t="shared" ref="BF146:BF163" si="653">SUMIFS($BF$6:$BF$138,$BA$6:$BA$138,$BA146)</f>
        <v>0</v>
      </c>
      <c r="BG146" s="23">
        <f t="shared" ref="BG146:BG163" si="654">SUMIFS($BG$6:$BG$138,$BA$6:$BA$138,$BA146)</f>
        <v>0</v>
      </c>
      <c r="BH146" s="88">
        <f t="shared" ref="BH146:BH163" si="655">SUM(BE146:BG146)</f>
        <v>0</v>
      </c>
      <c r="BI146" s="26">
        <f>INDEX($BA$6:$BW$138,14,9)</f>
        <v>0</v>
      </c>
      <c r="BJ146" s="47">
        <f t="shared" si="627"/>
        <v>0.7</v>
      </c>
      <c r="BK146" s="28">
        <f t="shared" ref="BK146:BK163" si="656">AVERAGEIFS($BK$6:$BK$138,$BA$6:$BA$138,$BA146)</f>
        <v>0</v>
      </c>
      <c r="BL146" s="47">
        <f t="shared" si="628"/>
        <v>0.7</v>
      </c>
      <c r="BM146" s="27">
        <f>INDEX($BA$6:$BW$138,14,13)</f>
        <v>0</v>
      </c>
      <c r="BN146" s="23">
        <f t="shared" ref="BN146:BN163" si="657">SUMIFS($BN$6:$BN$138,$BA$6:$BA$138,$BA146)</f>
        <v>0</v>
      </c>
      <c r="BO146" s="14">
        <f t="shared" si="629"/>
        <v>10</v>
      </c>
      <c r="BP146" s="23">
        <f t="shared" ref="BP146:BP163" si="658">IFERROR(((BN146/7)/BC146)*1000,0)</f>
        <v>0</v>
      </c>
      <c r="BQ146" s="27">
        <f>INDEX($BA$6:$BW$138,14,17)</f>
        <v>0</v>
      </c>
      <c r="BR146" s="14">
        <f t="shared" si="630"/>
        <v>70</v>
      </c>
      <c r="BS146" s="350">
        <f>INDEX($BA$6:$BW$138,14,19)</f>
        <v>0</v>
      </c>
      <c r="BT146" s="26">
        <f>BR146-BS146</f>
        <v>70</v>
      </c>
      <c r="BU146" s="14">
        <f t="shared" si="631"/>
        <v>77</v>
      </c>
      <c r="BV146" s="26">
        <f>INDEX($BA$6:$BW$138,14,22)</f>
        <v>0</v>
      </c>
      <c r="BW146" s="26">
        <f>BU146-BV146</f>
        <v>77</v>
      </c>
      <c r="BY146" s="1"/>
      <c r="BZ146" s="25">
        <v>1</v>
      </c>
      <c r="CA146" s="348" t="str">
        <f>CA145</f>
        <v>CASETA 4</v>
      </c>
      <c r="CB146" s="26">
        <f>INDEX($BZ$6:$CV$138,8,3)</f>
        <v>0</v>
      </c>
      <c r="CC146" s="26">
        <f>INDEX($BZ$6:$CV$138,14,4)</f>
        <v>0</v>
      </c>
      <c r="CD146" s="23">
        <f t="shared" ref="CD146:CD162" si="659">SUMIFS($CD$6:$CD$138,$BZ$6:$BZ$138,$BZ146)</f>
        <v>0</v>
      </c>
      <c r="CE146" s="23">
        <f t="shared" ref="CE146:CE163" si="660">SUMIFS($CE$6:$CE$138,$BZ$6:$BZ$138,$BZ146)</f>
        <v>0</v>
      </c>
      <c r="CF146" s="23">
        <f t="shared" ref="CF146:CF163" si="661">SUMIFS($CF$6:$CF$138,$BZ$6:$BZ$138,$BZ146)</f>
        <v>0</v>
      </c>
      <c r="CG146" s="88">
        <f t="shared" ref="CG146:CG163" si="662">SUM(CD146:CF146)</f>
        <v>0</v>
      </c>
      <c r="CH146" s="26">
        <f>INDEX($BZ$6:$CV$138,14,9)</f>
        <v>0</v>
      </c>
      <c r="CI146" s="47">
        <f t="shared" ref="CI146:CI163" si="663">VLOOKUP($BZ146,LOHMANN,4,FALSE)</f>
        <v>0.7</v>
      </c>
      <c r="CJ146" s="23">
        <f>AVERAGEIFS($CJ$6:$CJ$138,$BZ$6:$BZ$138,$BZ146)</f>
        <v>0</v>
      </c>
      <c r="CK146" s="47">
        <f t="shared" ref="CK146:CK163" si="664">VLOOKUP($BZ146,LOHMANN,5,FALSE)</f>
        <v>0.7</v>
      </c>
      <c r="CL146" s="27">
        <f>INDEX($BZ$6:$CV$138,14,13)</f>
        <v>0</v>
      </c>
      <c r="CM146" s="23">
        <f t="shared" ref="CM146:CM163" si="665">SUMIFS($CM$6:$CM$138,$BZ$6:$BZ$138,$BZ146)</f>
        <v>0</v>
      </c>
      <c r="CN146" s="14">
        <f t="shared" ref="CN146:CN163" si="666">VLOOKUP($BZ146,LOHMANN,6,FALSE)</f>
        <v>10</v>
      </c>
      <c r="CO146" s="23">
        <f>AVERAGEIFS($CO$6:$CO$131,$BZ$6:$BZ$131,$BZ146)</f>
        <v>0</v>
      </c>
      <c r="CP146" s="27">
        <f>INDEX($BZ$6:$CV$138,14,17)</f>
        <v>0</v>
      </c>
      <c r="CQ146" s="14">
        <f t="shared" si="632"/>
        <v>70</v>
      </c>
      <c r="CR146" s="351">
        <f>INDEX($BZ$6:$CV$138,14,19)</f>
        <v>0</v>
      </c>
      <c r="CS146" s="416">
        <f t="shared" ref="CS146:CS163" si="667">CQ146-CR146</f>
        <v>70</v>
      </c>
      <c r="CT146" s="14">
        <f t="shared" ref="CT146:CT162" si="668">VLOOKUP(BZ146,LOHMANN,3,FALSE)</f>
        <v>77</v>
      </c>
      <c r="CU146" s="29">
        <f>INDEX($BZ$6:$CV$138,14,22)</f>
        <v>0</v>
      </c>
      <c r="CV146" s="417">
        <f t="shared" ref="CV146:CV163" si="669">CT146-CU146</f>
        <v>77</v>
      </c>
      <c r="CY146" s="25">
        <v>1</v>
      </c>
      <c r="CZ146" s="348" t="str">
        <f>CZ145</f>
        <v>CASETA 5</v>
      </c>
      <c r="DA146" s="26">
        <f>INDEX($BZ$6:$CV$138,8,3)</f>
        <v>0</v>
      </c>
      <c r="DB146" s="26">
        <f>INDEX($BZ$6:$CV$138,14,4)</f>
        <v>0</v>
      </c>
      <c r="DC146" s="23">
        <f t="shared" ref="DC146:DC162" si="670">SUMIFS($CD$6:$CD$138,$BZ$6:$BZ$138,$BZ146)</f>
        <v>0</v>
      </c>
      <c r="DD146" s="23">
        <f t="shared" ref="DD146:DD163" si="671">SUMIFS($CE$6:$CE$138,$BZ$6:$BZ$138,$BZ146)</f>
        <v>0</v>
      </c>
      <c r="DE146" s="23">
        <f t="shared" ref="DE146:DE163" si="672">SUMIFS($CF$6:$CF$138,$BZ$6:$BZ$138,$BZ146)</f>
        <v>0</v>
      </c>
      <c r="DF146" s="88">
        <f t="shared" ref="DF146:DF148" si="673">SUM(DC146:DE146)</f>
        <v>0</v>
      </c>
      <c r="DG146" s="26">
        <f>INDEX($BZ$6:$CV$138,14,9)</f>
        <v>0</v>
      </c>
      <c r="DH146" s="47">
        <f t="shared" ref="DH146:DH163" si="674">VLOOKUP($BZ146,LOHMANN,4,FALSE)</f>
        <v>0.7</v>
      </c>
      <c r="DI146" s="23">
        <f>AVERAGEIFS($CJ$6:$CJ$138,$BZ$6:$BZ$138,$BZ146)</f>
        <v>0</v>
      </c>
      <c r="DJ146" s="47">
        <f t="shared" ref="DJ146:DJ163" si="675">VLOOKUP($BZ146,LOHMANN,5,FALSE)</f>
        <v>0.7</v>
      </c>
      <c r="DK146" s="27">
        <f>INDEX($BZ$6:$CV$138,14,13)</f>
        <v>0</v>
      </c>
      <c r="DL146" s="23">
        <f t="shared" ref="DL146:DL163" si="676">SUMIFS($CM$6:$CM$138,$BZ$6:$BZ$138,$BZ146)</f>
        <v>0</v>
      </c>
      <c r="DM146" s="14">
        <f t="shared" ref="DM146:DM163" si="677">VLOOKUP($BZ146,LOHMANN,6,FALSE)</f>
        <v>10</v>
      </c>
      <c r="DN146" s="23">
        <f>AVERAGEIFS($CO$6:$CO$131,$BZ$6:$BZ$131,$BZ146)</f>
        <v>0</v>
      </c>
      <c r="DO146" s="27">
        <f>INDEX($BZ$6:$CV$138,14,17)</f>
        <v>0</v>
      </c>
      <c r="DP146" s="14">
        <f t="shared" si="633"/>
        <v>70</v>
      </c>
      <c r="DQ146" s="351">
        <f>INDEX($BZ$6:$CV$138,14,19)</f>
        <v>0</v>
      </c>
      <c r="DR146" s="416">
        <f t="shared" ref="DR146:DR163" si="678">DP146-DQ146</f>
        <v>70</v>
      </c>
      <c r="DS146" s="14">
        <f t="shared" ref="DS146:DS162" si="679">VLOOKUP(CY146,LOHMANN,3,FALSE)</f>
        <v>77</v>
      </c>
      <c r="DT146" s="29">
        <f>INDEX($BZ$6:$CV$138,14,22)</f>
        <v>0</v>
      </c>
      <c r="DU146" s="417">
        <f t="shared" ref="DU146:DU163" si="680">DS146-DT146</f>
        <v>77</v>
      </c>
    </row>
    <row r="147" spans="3:125" x14ac:dyDescent="0.25">
      <c r="C147" s="25">
        <v>2</v>
      </c>
      <c r="D147" s="23" t="str">
        <f t="shared" ref="D147:D163" si="681">D146</f>
        <v>CASETA 1</v>
      </c>
      <c r="E147" s="26">
        <f>INDEX($C$6:$Y$138,15,3)</f>
        <v>0</v>
      </c>
      <c r="F147" s="26">
        <f>INDEX($C$6:$Y$138,21,4)</f>
        <v>0</v>
      </c>
      <c r="G147" s="23">
        <f t="shared" ref="G147:G163" si="682">SUMIFS($G$6:$G$138,$C$6:$C$138,$C147)</f>
        <v>0</v>
      </c>
      <c r="H147" s="23">
        <f t="shared" ref="H147:H163" si="683">SUMIFS($H$6:$H$138,$C$6:$C$138,$C147)</f>
        <v>0</v>
      </c>
      <c r="I147" s="23">
        <f t="shared" ref="I147:I163" si="684">SUMIFS($I$6:$I$138,$C$6:$C$138,$C147)</f>
        <v>0</v>
      </c>
      <c r="J147" s="88">
        <f t="shared" ref="J147:J162" si="685">SUM(G147:I147)</f>
        <v>0</v>
      </c>
      <c r="K147" s="26">
        <f>INDEX($C$6:$Y$138,21,9)</f>
        <v>0</v>
      </c>
      <c r="L147" s="47">
        <f t="shared" si="622"/>
        <v>0.7</v>
      </c>
      <c r="M147" s="28" t="e">
        <f t="shared" ref="M147:M163" si="686">(J147*100)/E147</f>
        <v>#DIV/0!</v>
      </c>
      <c r="N147" s="47">
        <f t="shared" si="634"/>
        <v>1.4</v>
      </c>
      <c r="O147" s="47">
        <f t="shared" ref="O147:O163" si="687">IFERROR((K147*100)/E147,0)</f>
        <v>0</v>
      </c>
      <c r="P147" s="464">
        <f t="shared" ref="P147:P163" si="688">SUMIFS($P$6:$P$138,$C$6:$C$138,$C147)</f>
        <v>0</v>
      </c>
      <c r="Q147" s="14">
        <f t="shared" si="635"/>
        <v>17</v>
      </c>
      <c r="R147" s="23">
        <f t="shared" si="636"/>
        <v>0</v>
      </c>
      <c r="S147" s="30">
        <f>INDEX($C$6:$Y$138,21,17)</f>
        <v>0</v>
      </c>
      <c r="T147" s="14">
        <f t="shared" si="637"/>
        <v>120</v>
      </c>
      <c r="U147" s="349">
        <f>INDEX($C$6:$Y$138,21,19)</f>
        <v>0</v>
      </c>
      <c r="V147" s="415">
        <f t="shared" si="623"/>
        <v>120</v>
      </c>
      <c r="W147" s="14">
        <f t="shared" si="624"/>
        <v>77</v>
      </c>
      <c r="X147" s="75">
        <f>INDEX($C$6:$Y$138,21,22)</f>
        <v>0</v>
      </c>
      <c r="Y147" s="609">
        <f t="shared" si="625"/>
        <v>77</v>
      </c>
      <c r="Z147" s="489"/>
      <c r="AA147" s="1"/>
      <c r="AB147" s="25">
        <v>2</v>
      </c>
      <c r="AC147" s="23" t="str">
        <f t="shared" ref="AC147:AC163" si="689">AC146</f>
        <v>CASETA 2</v>
      </c>
      <c r="AD147" s="26">
        <f>INDEX($AB$6:$AX$138,15,3)</f>
        <v>0</v>
      </c>
      <c r="AE147" s="26">
        <f>INDEX($AB$6:$AX$138,21,4)</f>
        <v>0</v>
      </c>
      <c r="AF147" s="23">
        <f t="shared" si="638"/>
        <v>0</v>
      </c>
      <c r="AG147" s="23">
        <f t="shared" si="639"/>
        <v>0</v>
      </c>
      <c r="AH147" s="23">
        <f t="shared" si="640"/>
        <v>0</v>
      </c>
      <c r="AI147" s="88">
        <f t="shared" si="641"/>
        <v>0</v>
      </c>
      <c r="AJ147" s="26">
        <f>INDEX($AB$6:$AX$138,21,9)</f>
        <v>0</v>
      </c>
      <c r="AK147" s="47">
        <f t="shared" si="642"/>
        <v>0.7</v>
      </c>
      <c r="AL147" s="28">
        <f t="shared" si="643"/>
        <v>0</v>
      </c>
      <c r="AM147" s="47">
        <f t="shared" si="644"/>
        <v>1.4</v>
      </c>
      <c r="AN147" s="47">
        <f t="shared" si="645"/>
        <v>0</v>
      </c>
      <c r="AO147" s="464">
        <f t="shared" si="646"/>
        <v>0</v>
      </c>
      <c r="AP147" s="14">
        <f t="shared" si="647"/>
        <v>17</v>
      </c>
      <c r="AQ147" s="23">
        <f>IFERROR(((AO147/7)/AD147)*1000,0)</f>
        <v>0</v>
      </c>
      <c r="AR147" s="30">
        <f>INDEX($AB$6:$AX$138,21,17)</f>
        <v>0</v>
      </c>
      <c r="AS147" s="14">
        <f t="shared" si="649"/>
        <v>120</v>
      </c>
      <c r="AT147" s="349">
        <f>INDEX($AB$6:$AX$138,21,19)</f>
        <v>0</v>
      </c>
      <c r="AU147" s="415">
        <f t="shared" si="650"/>
        <v>120</v>
      </c>
      <c r="AV147" s="14">
        <f t="shared" si="651"/>
        <v>77</v>
      </c>
      <c r="AW147" s="75">
        <f>INDEX($AB$6:$AX$138,21,22)</f>
        <v>0</v>
      </c>
      <c r="AX147" s="609">
        <f t="shared" si="626"/>
        <v>77</v>
      </c>
      <c r="AZ147" s="1"/>
      <c r="BA147" s="25">
        <v>2</v>
      </c>
      <c r="BB147" s="25" t="str">
        <f>BB146</f>
        <v>CASETA 3</v>
      </c>
      <c r="BC147" s="26">
        <f>INDEX($BA$6:$BW$138,15,3)</f>
        <v>0</v>
      </c>
      <c r="BD147" s="26">
        <f>INDEX($BA$6:$BW$138,21,4)</f>
        <v>0</v>
      </c>
      <c r="BE147" s="23">
        <f t="shared" si="652"/>
        <v>0</v>
      </c>
      <c r="BF147" s="23">
        <f>SUMIFS($BF$6:$BF$138,$BA$6:$BA$138,$BA147)</f>
        <v>0</v>
      </c>
      <c r="BG147" s="23">
        <f t="shared" si="654"/>
        <v>0</v>
      </c>
      <c r="BH147" s="88">
        <f t="shared" si="655"/>
        <v>0</v>
      </c>
      <c r="BI147" s="26">
        <f>INDEX($BA$6:$BW$138,21,9)</f>
        <v>0</v>
      </c>
      <c r="BJ147" s="47">
        <f t="shared" si="627"/>
        <v>0.7</v>
      </c>
      <c r="BK147" s="28">
        <f t="shared" si="656"/>
        <v>0</v>
      </c>
      <c r="BL147" s="47">
        <f t="shared" si="628"/>
        <v>1.4</v>
      </c>
      <c r="BM147" s="27">
        <f>INDEX($BA$6:$BW$138,21,13)</f>
        <v>0</v>
      </c>
      <c r="BN147" s="23">
        <f t="shared" si="657"/>
        <v>0</v>
      </c>
      <c r="BO147" s="14">
        <f t="shared" si="629"/>
        <v>17</v>
      </c>
      <c r="BP147" s="23">
        <f t="shared" si="658"/>
        <v>0</v>
      </c>
      <c r="BQ147" s="27">
        <f>INDEX($BA$6:$BW$138,21,17)</f>
        <v>0</v>
      </c>
      <c r="BR147" s="14">
        <f t="shared" si="630"/>
        <v>120</v>
      </c>
      <c r="BS147" s="350">
        <f>INDEX($BA$6:$BW$138,21,19)</f>
        <v>0</v>
      </c>
      <c r="BT147" s="26">
        <f t="shared" ref="BT147:BT163" si="690">BR147-BS147</f>
        <v>120</v>
      </c>
      <c r="BU147" s="14">
        <f t="shared" si="631"/>
        <v>77</v>
      </c>
      <c r="BV147" s="26">
        <f>INDEX($BA$6:$BW$138,21,22)</f>
        <v>0</v>
      </c>
      <c r="BW147" s="26">
        <f>BU147-BV147</f>
        <v>77</v>
      </c>
      <c r="BY147" s="1"/>
      <c r="BZ147" s="25">
        <v>2</v>
      </c>
      <c r="CA147" s="25" t="str">
        <f>CA146</f>
        <v>CASETA 4</v>
      </c>
      <c r="CB147" s="26">
        <f>INDEX($BZ$6:$CV$138,15,3)</f>
        <v>0</v>
      </c>
      <c r="CC147" s="26">
        <f>INDEX($BZ$6:$CV$138,21,4)</f>
        <v>0</v>
      </c>
      <c r="CD147" s="23">
        <f t="shared" si="659"/>
        <v>0</v>
      </c>
      <c r="CE147" s="23">
        <f t="shared" si="660"/>
        <v>0</v>
      </c>
      <c r="CF147" s="23">
        <f t="shared" si="661"/>
        <v>0</v>
      </c>
      <c r="CG147" s="88">
        <f t="shared" si="662"/>
        <v>0</v>
      </c>
      <c r="CH147" s="26">
        <f>INDEX($BZ$6:$CV$138,21,9)</f>
        <v>0</v>
      </c>
      <c r="CI147" s="47">
        <f t="shared" si="663"/>
        <v>0.7</v>
      </c>
      <c r="CJ147" s="23">
        <f t="shared" ref="CJ147:CJ163" si="691">AVERAGEIFS($CJ$6:$CJ$138,$BZ$6:$BZ$138,$BZ147)</f>
        <v>0</v>
      </c>
      <c r="CK147" s="47">
        <f t="shared" si="664"/>
        <v>1.4</v>
      </c>
      <c r="CL147" s="27">
        <f>INDEX($BZ$6:$CV$138,21,13)</f>
        <v>0</v>
      </c>
      <c r="CM147" s="23">
        <f t="shared" si="665"/>
        <v>0</v>
      </c>
      <c r="CN147" s="14">
        <f t="shared" si="666"/>
        <v>17</v>
      </c>
      <c r="CO147" s="23">
        <f t="shared" ref="CO147:CO162" si="692">AVERAGEIFS($CO$6:$CO$131,$BZ$6:$BZ$131,$BZ147)</f>
        <v>0</v>
      </c>
      <c r="CP147" s="27">
        <f>INDEX($BZ$6:$CV$138,21,17)</f>
        <v>0</v>
      </c>
      <c r="CQ147" s="14">
        <f t="shared" si="632"/>
        <v>120</v>
      </c>
      <c r="CR147" s="351">
        <f>INDEX($BZ$6:$CV$138,21,19)</f>
        <v>0</v>
      </c>
      <c r="CS147" s="416">
        <f t="shared" si="667"/>
        <v>120</v>
      </c>
      <c r="CT147" s="14">
        <f t="shared" si="668"/>
        <v>77</v>
      </c>
      <c r="CU147" s="29">
        <f>INDEX($BZ$6:$CV$138,21,22)</f>
        <v>0</v>
      </c>
      <c r="CV147" s="417">
        <f t="shared" si="669"/>
        <v>77</v>
      </c>
      <c r="CY147" s="25">
        <v>2</v>
      </c>
      <c r="CZ147" s="25" t="str">
        <f>CZ146</f>
        <v>CASETA 5</v>
      </c>
      <c r="DA147" s="26">
        <f>INDEX($BZ$6:$CV$138,15,3)</f>
        <v>0</v>
      </c>
      <c r="DB147" s="26">
        <f>INDEX($BZ$6:$CV$138,21,4)</f>
        <v>0</v>
      </c>
      <c r="DC147" s="23">
        <f t="shared" si="670"/>
        <v>0</v>
      </c>
      <c r="DD147" s="23">
        <f t="shared" si="671"/>
        <v>0</v>
      </c>
      <c r="DE147" s="23">
        <f t="shared" si="672"/>
        <v>0</v>
      </c>
      <c r="DF147" s="88">
        <f t="shared" si="673"/>
        <v>0</v>
      </c>
      <c r="DG147" s="26">
        <f>INDEX($BZ$6:$CV$138,21,9)</f>
        <v>0</v>
      </c>
      <c r="DH147" s="47">
        <f t="shared" si="674"/>
        <v>0.7</v>
      </c>
      <c r="DI147" s="23">
        <f t="shared" ref="DI147:DI163" si="693">AVERAGEIFS($CJ$6:$CJ$138,$BZ$6:$BZ$138,$BZ147)</f>
        <v>0</v>
      </c>
      <c r="DJ147" s="47">
        <f t="shared" si="675"/>
        <v>1.4</v>
      </c>
      <c r="DK147" s="27">
        <f>INDEX($BZ$6:$CV$138,21,13)</f>
        <v>0</v>
      </c>
      <c r="DL147" s="23">
        <f t="shared" si="676"/>
        <v>0</v>
      </c>
      <c r="DM147" s="14">
        <f t="shared" si="677"/>
        <v>17</v>
      </c>
      <c r="DN147" s="23">
        <f t="shared" ref="DN147:DN162" si="694">AVERAGEIFS($CO$6:$CO$131,$BZ$6:$BZ$131,$BZ147)</f>
        <v>0</v>
      </c>
      <c r="DO147" s="27">
        <f>INDEX($BZ$6:$CV$138,21,17)</f>
        <v>0</v>
      </c>
      <c r="DP147" s="14">
        <f t="shared" si="633"/>
        <v>120</v>
      </c>
      <c r="DQ147" s="351">
        <f>INDEX($BZ$6:$CV$138,21,19)</f>
        <v>0</v>
      </c>
      <c r="DR147" s="416">
        <f t="shared" si="678"/>
        <v>120</v>
      </c>
      <c r="DS147" s="14">
        <f t="shared" si="679"/>
        <v>77</v>
      </c>
      <c r="DT147" s="29">
        <f>INDEX($BZ$6:$CV$138,21,22)</f>
        <v>0</v>
      </c>
      <c r="DU147" s="417">
        <f t="shared" si="680"/>
        <v>77</v>
      </c>
    </row>
    <row r="148" spans="3:125" x14ac:dyDescent="0.25">
      <c r="C148" s="25">
        <v>3</v>
      </c>
      <c r="D148" s="23" t="str">
        <f t="shared" si="681"/>
        <v>CASETA 1</v>
      </c>
      <c r="E148" s="26">
        <f>INDEX($C$6:$Y$138,25,3)</f>
        <v>0</v>
      </c>
      <c r="F148" s="26">
        <f>INDEX($C$6:$Y$138,28,4)</f>
        <v>0</v>
      </c>
      <c r="G148" s="23">
        <f t="shared" si="682"/>
        <v>0</v>
      </c>
      <c r="H148" s="23">
        <f t="shared" si="683"/>
        <v>0</v>
      </c>
      <c r="I148" s="23">
        <f t="shared" si="684"/>
        <v>0</v>
      </c>
      <c r="J148" s="88">
        <f t="shared" si="685"/>
        <v>0</v>
      </c>
      <c r="K148" s="26">
        <f>INDEX($C$6:$Y$138,28,9)</f>
        <v>0</v>
      </c>
      <c r="L148" s="47">
        <f t="shared" si="622"/>
        <v>0.5</v>
      </c>
      <c r="M148" s="28" t="e">
        <f t="shared" si="686"/>
        <v>#DIV/0!</v>
      </c>
      <c r="N148" s="47">
        <f t="shared" si="634"/>
        <v>1.9</v>
      </c>
      <c r="O148" s="47">
        <f t="shared" si="687"/>
        <v>0</v>
      </c>
      <c r="P148" s="464">
        <f t="shared" si="688"/>
        <v>0</v>
      </c>
      <c r="Q148" s="14">
        <f t="shared" si="635"/>
        <v>23</v>
      </c>
      <c r="R148" s="23">
        <f t="shared" si="636"/>
        <v>0</v>
      </c>
      <c r="S148" s="30">
        <f>INDEX($C$6:$Y$138,28,17)</f>
        <v>0</v>
      </c>
      <c r="T148" s="14">
        <f t="shared" si="637"/>
        <v>185</v>
      </c>
      <c r="U148" s="349">
        <f>INDEX($C$6:$Y$138,28,19)</f>
        <v>0</v>
      </c>
      <c r="V148" s="415">
        <f t="shared" si="623"/>
        <v>185</v>
      </c>
      <c r="W148" s="14">
        <f t="shared" si="624"/>
        <v>77</v>
      </c>
      <c r="X148" s="75">
        <f>INDEX($C$6:$Y$138,28,22)</f>
        <v>0</v>
      </c>
      <c r="Y148" s="609">
        <f t="shared" si="625"/>
        <v>77</v>
      </c>
      <c r="Z148" s="489"/>
      <c r="AA148" s="1"/>
      <c r="AB148" s="25">
        <v>3</v>
      </c>
      <c r="AC148" s="23" t="str">
        <f t="shared" si="689"/>
        <v>CASETA 2</v>
      </c>
      <c r="AD148" s="26">
        <f>INDEX($AB$6:$AX$138,22,3)</f>
        <v>0</v>
      </c>
      <c r="AE148" s="26">
        <f>INDEX($AB$6:$AX$138,28,4)</f>
        <v>0</v>
      </c>
      <c r="AF148" s="23">
        <f t="shared" si="638"/>
        <v>0</v>
      </c>
      <c r="AG148" s="23">
        <f t="shared" si="639"/>
        <v>0</v>
      </c>
      <c r="AH148" s="23">
        <f t="shared" si="640"/>
        <v>0</v>
      </c>
      <c r="AI148" s="88">
        <f t="shared" si="641"/>
        <v>0</v>
      </c>
      <c r="AJ148" s="26">
        <f>INDEX($AB$6:$AX$138,28,9)</f>
        <v>0</v>
      </c>
      <c r="AK148" s="47">
        <f t="shared" si="642"/>
        <v>0.5</v>
      </c>
      <c r="AL148" s="28">
        <f t="shared" si="643"/>
        <v>0</v>
      </c>
      <c r="AM148" s="47">
        <f t="shared" si="644"/>
        <v>1.9</v>
      </c>
      <c r="AN148" s="47">
        <f t="shared" si="645"/>
        <v>0</v>
      </c>
      <c r="AO148" s="464">
        <f t="shared" si="646"/>
        <v>0</v>
      </c>
      <c r="AP148" s="14">
        <f t="shared" si="647"/>
        <v>23</v>
      </c>
      <c r="AQ148" s="23">
        <f>IFERROR(((AO148/7)/AD148)*1000,0)</f>
        <v>0</v>
      </c>
      <c r="AR148" s="30">
        <f>INDEX($AB$6:$AX$138,28,17)</f>
        <v>0</v>
      </c>
      <c r="AS148" s="14">
        <f>VLOOKUP($C148,LOHMANN,2,FALSE)</f>
        <v>185</v>
      </c>
      <c r="AT148" s="349">
        <f>INDEX($AB$6:$AX$138,28,19)</f>
        <v>0</v>
      </c>
      <c r="AU148" s="415">
        <f t="shared" si="650"/>
        <v>185</v>
      </c>
      <c r="AV148" s="14">
        <f t="shared" si="651"/>
        <v>77</v>
      </c>
      <c r="AW148" s="75">
        <f>INDEX($AB$6:$AX$138,28,22)</f>
        <v>0</v>
      </c>
      <c r="AX148" s="609">
        <f t="shared" si="626"/>
        <v>77</v>
      </c>
      <c r="AZ148" s="1"/>
      <c r="BA148" s="25">
        <v>3</v>
      </c>
      <c r="BB148" s="25" t="str">
        <f t="shared" ref="BB148:BB163" si="695">BB147</f>
        <v>CASETA 3</v>
      </c>
      <c r="BC148" s="26">
        <f>INDEX($BA$6:$BW$138,28,2)</f>
        <v>0</v>
      </c>
      <c r="BD148" s="26">
        <f>INDEX($BA$6:$BW$138,28,4)</f>
        <v>0</v>
      </c>
      <c r="BE148" s="23">
        <f t="shared" si="652"/>
        <v>0</v>
      </c>
      <c r="BF148" s="23">
        <f t="shared" si="653"/>
        <v>0</v>
      </c>
      <c r="BG148" s="23">
        <f t="shared" si="654"/>
        <v>0</v>
      </c>
      <c r="BH148" s="88">
        <f t="shared" si="655"/>
        <v>0</v>
      </c>
      <c r="BI148" s="26">
        <f>INDEX($BA$6:$BW$138,28,9)</f>
        <v>0</v>
      </c>
      <c r="BJ148" s="47">
        <f t="shared" si="627"/>
        <v>0.5</v>
      </c>
      <c r="BK148" s="28">
        <f t="shared" si="656"/>
        <v>0</v>
      </c>
      <c r="BL148" s="47">
        <f t="shared" si="628"/>
        <v>1.9</v>
      </c>
      <c r="BM148" s="27">
        <f>INDEX($BA$6:$BW$138,28,13)</f>
        <v>0</v>
      </c>
      <c r="BN148" s="23">
        <f t="shared" si="657"/>
        <v>0</v>
      </c>
      <c r="BO148" s="14">
        <f t="shared" si="629"/>
        <v>23</v>
      </c>
      <c r="BP148" s="23">
        <f t="shared" si="658"/>
        <v>0</v>
      </c>
      <c r="BQ148" s="27">
        <f>INDEX($BA$6:$BW$138,28,17)</f>
        <v>0</v>
      </c>
      <c r="BR148" s="14">
        <f t="shared" si="630"/>
        <v>185</v>
      </c>
      <c r="BS148" s="350">
        <f>INDEX($BA$6:$BW$138,28,19)</f>
        <v>0</v>
      </c>
      <c r="BT148" s="26">
        <f t="shared" si="690"/>
        <v>185</v>
      </c>
      <c r="BU148" s="14">
        <f t="shared" si="631"/>
        <v>77</v>
      </c>
      <c r="BV148" s="26">
        <f>INDEX($BA$6:$BW$138,28,22)</f>
        <v>0</v>
      </c>
      <c r="BW148" s="26">
        <f>BU148-BV148</f>
        <v>77</v>
      </c>
      <c r="BY148" s="1"/>
      <c r="BZ148" s="25">
        <v>3</v>
      </c>
      <c r="CA148" s="25" t="str">
        <f t="shared" ref="CA148:CA163" si="696">CA147</f>
        <v>CASETA 4</v>
      </c>
      <c r="CB148" s="26">
        <f>INDEX($BZ$6:$CV$138,22,3)</f>
        <v>0</v>
      </c>
      <c r="CC148" s="26">
        <f>INDEX($BZ$6:$CV$138,28,4)</f>
        <v>0</v>
      </c>
      <c r="CD148" s="23">
        <f t="shared" si="659"/>
        <v>0</v>
      </c>
      <c r="CE148" s="23">
        <f t="shared" si="660"/>
        <v>0</v>
      </c>
      <c r="CF148" s="23">
        <f t="shared" si="661"/>
        <v>0</v>
      </c>
      <c r="CG148" s="88">
        <f t="shared" si="662"/>
        <v>0</v>
      </c>
      <c r="CH148" s="26">
        <f>INDEX($BZ$6:$CV$138,28,9)</f>
        <v>0</v>
      </c>
      <c r="CI148" s="47">
        <f t="shared" si="663"/>
        <v>0.5</v>
      </c>
      <c r="CJ148" s="23">
        <f t="shared" si="691"/>
        <v>0</v>
      </c>
      <c r="CK148" s="47">
        <f t="shared" si="664"/>
        <v>1.9</v>
      </c>
      <c r="CL148" s="27">
        <f>INDEX($BZ$6:$CV$138,28,13)</f>
        <v>0</v>
      </c>
      <c r="CM148" s="23">
        <f t="shared" si="665"/>
        <v>0</v>
      </c>
      <c r="CN148" s="14">
        <f t="shared" si="666"/>
        <v>23</v>
      </c>
      <c r="CO148" s="23">
        <f t="shared" si="692"/>
        <v>0</v>
      </c>
      <c r="CP148" s="27">
        <f>INDEX($BZ$6:$CV$138,28,17)</f>
        <v>0</v>
      </c>
      <c r="CQ148" s="14">
        <f t="shared" si="632"/>
        <v>185</v>
      </c>
      <c r="CR148" s="351">
        <f>INDEX($BZ$6:$CV$138,28,19)</f>
        <v>0</v>
      </c>
      <c r="CS148" s="416">
        <f t="shared" si="667"/>
        <v>185</v>
      </c>
      <c r="CT148" s="14">
        <f t="shared" si="668"/>
        <v>77</v>
      </c>
      <c r="CU148" s="29">
        <f>INDEX($BZ$6:$CV$138,28,22)</f>
        <v>0</v>
      </c>
      <c r="CV148" s="417">
        <f t="shared" si="669"/>
        <v>77</v>
      </c>
      <c r="CY148" s="25">
        <v>3</v>
      </c>
      <c r="CZ148" s="25" t="str">
        <f t="shared" ref="CZ148:CZ163" si="697">CZ147</f>
        <v>CASETA 5</v>
      </c>
      <c r="DA148" s="26">
        <f>INDEX($BZ$6:$CV$138,22,3)</f>
        <v>0</v>
      </c>
      <c r="DB148" s="26">
        <f>INDEX($BZ$6:$CV$138,28,4)</f>
        <v>0</v>
      </c>
      <c r="DC148" s="23">
        <f t="shared" si="670"/>
        <v>0</v>
      </c>
      <c r="DD148" s="23">
        <f t="shared" si="671"/>
        <v>0</v>
      </c>
      <c r="DE148" s="23">
        <f t="shared" si="672"/>
        <v>0</v>
      </c>
      <c r="DF148" s="88">
        <f t="shared" si="673"/>
        <v>0</v>
      </c>
      <c r="DG148" s="26">
        <f>INDEX($BZ$6:$CV$138,28,9)</f>
        <v>0</v>
      </c>
      <c r="DH148" s="47">
        <f t="shared" si="674"/>
        <v>0.5</v>
      </c>
      <c r="DI148" s="23">
        <f t="shared" si="693"/>
        <v>0</v>
      </c>
      <c r="DJ148" s="47">
        <f t="shared" si="675"/>
        <v>1.9</v>
      </c>
      <c r="DK148" s="27">
        <f>INDEX($BZ$6:$CV$138,28,13)</f>
        <v>0</v>
      </c>
      <c r="DL148" s="23">
        <f t="shared" si="676"/>
        <v>0</v>
      </c>
      <c r="DM148" s="14">
        <f t="shared" si="677"/>
        <v>23</v>
      </c>
      <c r="DN148" s="23">
        <f t="shared" si="694"/>
        <v>0</v>
      </c>
      <c r="DO148" s="27">
        <f>INDEX($BZ$6:$CV$138,28,17)</f>
        <v>0</v>
      </c>
      <c r="DP148" s="14">
        <f t="shared" si="633"/>
        <v>185</v>
      </c>
      <c r="DQ148" s="351">
        <f>INDEX($BZ$6:$CV$138,28,19)</f>
        <v>0</v>
      </c>
      <c r="DR148" s="416">
        <f t="shared" si="678"/>
        <v>185</v>
      </c>
      <c r="DS148" s="14">
        <f t="shared" si="679"/>
        <v>77</v>
      </c>
      <c r="DT148" s="29">
        <f>INDEX($BZ$6:$CV$138,28,22)</f>
        <v>0</v>
      </c>
      <c r="DU148" s="417">
        <f t="shared" si="680"/>
        <v>77</v>
      </c>
    </row>
    <row r="149" spans="3:125" x14ac:dyDescent="0.25">
      <c r="C149" s="25">
        <v>4</v>
      </c>
      <c r="D149" s="23" t="str">
        <f t="shared" si="681"/>
        <v>CASETA 1</v>
      </c>
      <c r="E149" s="26">
        <f>INDEX($C$6:$Y$138,29,3)</f>
        <v>0</v>
      </c>
      <c r="F149" s="26">
        <f>INDEX($C$6:$Y$138,35,4)</f>
        <v>0</v>
      </c>
      <c r="G149" s="23">
        <f t="shared" si="682"/>
        <v>0</v>
      </c>
      <c r="H149" s="23">
        <f t="shared" si="683"/>
        <v>0</v>
      </c>
      <c r="I149" s="23">
        <f t="shared" si="684"/>
        <v>0</v>
      </c>
      <c r="J149" s="88">
        <f t="shared" si="685"/>
        <v>0</v>
      </c>
      <c r="K149" s="26">
        <f>INDEX($C$6:$Y$138,35,9)</f>
        <v>0</v>
      </c>
      <c r="L149" s="47">
        <f t="shared" si="622"/>
        <v>0.3</v>
      </c>
      <c r="M149" s="28" t="e">
        <f t="shared" si="686"/>
        <v>#DIV/0!</v>
      </c>
      <c r="N149" s="47">
        <f t="shared" si="634"/>
        <v>2.1999999999999997</v>
      </c>
      <c r="O149" s="47">
        <f t="shared" si="687"/>
        <v>0</v>
      </c>
      <c r="P149" s="464">
        <f t="shared" si="688"/>
        <v>0</v>
      </c>
      <c r="Q149" s="14">
        <f t="shared" si="635"/>
        <v>29</v>
      </c>
      <c r="R149" s="23">
        <f t="shared" si="636"/>
        <v>0</v>
      </c>
      <c r="S149" s="30">
        <f>INDEX($C$6:$Y$138,35,17)</f>
        <v>0</v>
      </c>
      <c r="T149" s="14">
        <f t="shared" si="637"/>
        <v>255</v>
      </c>
      <c r="U149" s="349">
        <f>INDEX($C$6:$Y$138,35,19)</f>
        <v>0</v>
      </c>
      <c r="V149" s="415">
        <f t="shared" si="623"/>
        <v>255</v>
      </c>
      <c r="W149" s="14">
        <f t="shared" si="624"/>
        <v>79</v>
      </c>
      <c r="X149" s="75">
        <f>INDEX($C$6:$Y$138,35,22)</f>
        <v>0</v>
      </c>
      <c r="Y149" s="609">
        <f t="shared" si="625"/>
        <v>79</v>
      </c>
      <c r="Z149" s="489"/>
      <c r="AA149" s="1"/>
      <c r="AB149" s="25">
        <v>4</v>
      </c>
      <c r="AC149" s="23" t="str">
        <f t="shared" si="689"/>
        <v>CASETA 2</v>
      </c>
      <c r="AD149" s="26">
        <f>INDEX($AB$6:$AX$138,29,3)</f>
        <v>0</v>
      </c>
      <c r="AE149" s="26">
        <f>INDEX($AB$6:$AX$138,35,4)</f>
        <v>0</v>
      </c>
      <c r="AF149" s="23">
        <f t="shared" si="638"/>
        <v>0</v>
      </c>
      <c r="AG149" s="23">
        <f t="shared" si="639"/>
        <v>0</v>
      </c>
      <c r="AH149" s="23">
        <f t="shared" si="640"/>
        <v>0</v>
      </c>
      <c r="AI149" s="88">
        <f t="shared" si="641"/>
        <v>0</v>
      </c>
      <c r="AJ149" s="26">
        <f>INDEX($AB$6:$AX$138,35,9)</f>
        <v>0</v>
      </c>
      <c r="AK149" s="47">
        <f t="shared" si="642"/>
        <v>0.3</v>
      </c>
      <c r="AL149" s="28">
        <f t="shared" si="643"/>
        <v>0</v>
      </c>
      <c r="AM149" s="47">
        <f t="shared" si="644"/>
        <v>2.1999999999999997</v>
      </c>
      <c r="AN149" s="47">
        <f t="shared" si="645"/>
        <v>0</v>
      </c>
      <c r="AO149" s="464">
        <f t="shared" si="646"/>
        <v>0</v>
      </c>
      <c r="AP149" s="14">
        <f t="shared" si="647"/>
        <v>29</v>
      </c>
      <c r="AQ149" s="23">
        <f t="shared" si="648"/>
        <v>0</v>
      </c>
      <c r="AR149" s="30">
        <f>INDEX($AB$6:$AX$138,35,17)</f>
        <v>0</v>
      </c>
      <c r="AS149" s="14">
        <f t="shared" si="649"/>
        <v>255</v>
      </c>
      <c r="AT149" s="349">
        <f>INDEX($AB$6:$AX$138,35,19)</f>
        <v>0</v>
      </c>
      <c r="AU149" s="415">
        <f t="shared" si="650"/>
        <v>255</v>
      </c>
      <c r="AV149" s="14">
        <f t="shared" si="651"/>
        <v>79</v>
      </c>
      <c r="AW149" s="75">
        <f>INDEX($AB$6:$AX$138,35,22)</f>
        <v>0</v>
      </c>
      <c r="AX149" s="609">
        <f t="shared" si="626"/>
        <v>79</v>
      </c>
      <c r="AZ149" s="1"/>
      <c r="BA149" s="25">
        <v>4</v>
      </c>
      <c r="BB149" s="25" t="str">
        <f t="shared" si="695"/>
        <v>CASETA 3</v>
      </c>
      <c r="BC149" s="26">
        <f>INDEX($BA$6:$BW$138,29,3)</f>
        <v>0</v>
      </c>
      <c r="BD149" s="26">
        <f>INDEX($BA$6:$BW$138,35,4)</f>
        <v>0</v>
      </c>
      <c r="BE149" s="23">
        <f t="shared" si="652"/>
        <v>0</v>
      </c>
      <c r="BF149" s="23">
        <f t="shared" si="653"/>
        <v>0</v>
      </c>
      <c r="BG149" s="23">
        <f t="shared" si="654"/>
        <v>0</v>
      </c>
      <c r="BH149" s="88">
        <f>SUM(BE149:BG149)</f>
        <v>0</v>
      </c>
      <c r="BI149" s="26">
        <f>INDEX($BA$6:$BW$138,35,9)</f>
        <v>0</v>
      </c>
      <c r="BJ149" s="47">
        <f t="shared" si="627"/>
        <v>0.3</v>
      </c>
      <c r="BK149" s="28">
        <f>AVERAGEIFS($BK$6:$BK$138,$BA$6:$BA$138,$BA149)</f>
        <v>0</v>
      </c>
      <c r="BL149" s="47">
        <f t="shared" si="628"/>
        <v>2.1999999999999997</v>
      </c>
      <c r="BM149" s="27">
        <f>INDEX($BA$6:$BW$138,35,13)</f>
        <v>0</v>
      </c>
      <c r="BN149" s="23">
        <f t="shared" si="657"/>
        <v>0</v>
      </c>
      <c r="BO149" s="14">
        <f t="shared" si="629"/>
        <v>29</v>
      </c>
      <c r="BP149" s="23">
        <f t="shared" si="658"/>
        <v>0</v>
      </c>
      <c r="BQ149" s="27">
        <f>INDEX($BA$6:$BW$138,35,17)</f>
        <v>0</v>
      </c>
      <c r="BR149" s="14">
        <f t="shared" si="630"/>
        <v>255</v>
      </c>
      <c r="BS149" s="350">
        <f>INDEX($BA$6:$BW$138,35,19)</f>
        <v>0</v>
      </c>
      <c r="BT149" s="26">
        <f t="shared" si="690"/>
        <v>255</v>
      </c>
      <c r="BU149" s="14">
        <f t="shared" si="631"/>
        <v>79</v>
      </c>
      <c r="BV149" s="26">
        <f>INDEX($BA$6:$BW$138,35,22)</f>
        <v>0</v>
      </c>
      <c r="BW149" s="26">
        <f>BU149-BV149</f>
        <v>79</v>
      </c>
      <c r="BY149" s="1"/>
      <c r="BZ149" s="25">
        <v>4</v>
      </c>
      <c r="CA149" s="25" t="str">
        <f t="shared" si="696"/>
        <v>CASETA 4</v>
      </c>
      <c r="CB149" s="26">
        <f>INDEX($BZ$6:$CV$138,35,3)</f>
        <v>0</v>
      </c>
      <c r="CC149" s="26">
        <f>INDEX($BZ$6:$CV$138,35,4)</f>
        <v>0</v>
      </c>
      <c r="CD149" s="23">
        <f>SUMIFS($CD$6:$CD$138,$BZ$6:$BZ$138,$BZ149)</f>
        <v>0</v>
      </c>
      <c r="CE149" s="23">
        <f>SUMIFS($CE$6:$CE$138,$BZ$6:$BZ$138,$BZ149)</f>
        <v>0</v>
      </c>
      <c r="CF149" s="23">
        <f>SUMIFS($CF$6:$CF$138,$BZ$6:$BZ$138,$BZ149)</f>
        <v>0</v>
      </c>
      <c r="CG149" s="88">
        <f>SUM(CD149:CF149)</f>
        <v>0</v>
      </c>
      <c r="CH149" s="26">
        <f>INDEX($BZ$6:$CV$138,35,9)</f>
        <v>0</v>
      </c>
      <c r="CI149" s="47">
        <f t="shared" si="663"/>
        <v>0.3</v>
      </c>
      <c r="CJ149" s="23">
        <f t="shared" si="691"/>
        <v>0</v>
      </c>
      <c r="CK149" s="47">
        <f t="shared" si="664"/>
        <v>2.1999999999999997</v>
      </c>
      <c r="CL149" s="27">
        <f>INDEX($BZ$6:$CV$138,35,13)</f>
        <v>0</v>
      </c>
      <c r="CM149" s="23">
        <f>SUMIFS($CM$6:$CM$138,$BZ$6:$BZ$138,$BZ149)</f>
        <v>0</v>
      </c>
      <c r="CN149" s="14">
        <f>VLOOKUP($BZ149,LOHMANN,6,FALSE)</f>
        <v>29</v>
      </c>
      <c r="CO149" s="23">
        <f>AVERAGEIFS($CO$6:$CO$131,$BZ$6:$BZ$131,$BZ149)</f>
        <v>0</v>
      </c>
      <c r="CP149" s="27">
        <f>INDEX($BZ$6:$CV$138,35,17)</f>
        <v>0</v>
      </c>
      <c r="CQ149" s="14">
        <f t="shared" si="632"/>
        <v>255</v>
      </c>
      <c r="CR149" s="351">
        <f>INDEX($BZ$6:$CV$138,35,19)</f>
        <v>0</v>
      </c>
      <c r="CS149" s="416">
        <f t="shared" si="667"/>
        <v>255</v>
      </c>
      <c r="CT149" s="14">
        <f t="shared" si="668"/>
        <v>79</v>
      </c>
      <c r="CU149" s="29">
        <f>INDEX($BZ$6:$CV$138,35,22)</f>
        <v>0</v>
      </c>
      <c r="CV149" s="417">
        <f t="shared" si="669"/>
        <v>79</v>
      </c>
      <c r="CY149" s="25">
        <v>4</v>
      </c>
      <c r="CZ149" s="25" t="str">
        <f t="shared" si="697"/>
        <v>CASETA 5</v>
      </c>
      <c r="DA149" s="26">
        <f>INDEX($BZ$6:$CV$138,35,3)</f>
        <v>0</v>
      </c>
      <c r="DB149" s="26">
        <f>INDEX($BZ$6:$CV$138,35,4)</f>
        <v>0</v>
      </c>
      <c r="DC149" s="23">
        <f>SUMIFS($CD$6:$CD$138,$BZ$6:$BZ$138,$BZ149)</f>
        <v>0</v>
      </c>
      <c r="DD149" s="23">
        <f>SUMIFS($CE$6:$CE$138,$BZ$6:$BZ$138,$BZ149)</f>
        <v>0</v>
      </c>
      <c r="DE149" s="23">
        <f>SUMIFS($CF$6:$CF$138,$BZ$6:$BZ$138,$BZ149)</f>
        <v>0</v>
      </c>
      <c r="DF149" s="88">
        <f>SUM(DC149:DE149)</f>
        <v>0</v>
      </c>
      <c r="DG149" s="26">
        <f>INDEX($BZ$6:$CV$138,35,9)</f>
        <v>0</v>
      </c>
      <c r="DH149" s="47">
        <f t="shared" si="674"/>
        <v>0.3</v>
      </c>
      <c r="DI149" s="23">
        <f t="shared" si="693"/>
        <v>0</v>
      </c>
      <c r="DJ149" s="47">
        <f t="shared" si="675"/>
        <v>2.1999999999999997</v>
      </c>
      <c r="DK149" s="27">
        <f>INDEX($BZ$6:$CV$138,35,13)</f>
        <v>0</v>
      </c>
      <c r="DL149" s="23">
        <f>SUMIFS($CM$6:$CM$138,$BZ$6:$BZ$138,$BZ149)</f>
        <v>0</v>
      </c>
      <c r="DM149" s="14">
        <f>VLOOKUP($BZ149,LOHMANN,6,FALSE)</f>
        <v>29</v>
      </c>
      <c r="DN149" s="23">
        <f>AVERAGEIFS($CO$6:$CO$131,$BZ$6:$BZ$131,$BZ149)</f>
        <v>0</v>
      </c>
      <c r="DO149" s="27">
        <f>INDEX($BZ$6:$CV$138,35,17)</f>
        <v>0</v>
      </c>
      <c r="DP149" s="14">
        <f t="shared" si="633"/>
        <v>255</v>
      </c>
      <c r="DQ149" s="351">
        <f>INDEX($BZ$6:$CV$138,35,19)</f>
        <v>0</v>
      </c>
      <c r="DR149" s="416">
        <f t="shared" si="678"/>
        <v>255</v>
      </c>
      <c r="DS149" s="14">
        <f t="shared" si="679"/>
        <v>79</v>
      </c>
      <c r="DT149" s="29">
        <f>INDEX($BZ$6:$CV$138,35,22)</f>
        <v>0</v>
      </c>
      <c r="DU149" s="417">
        <f t="shared" si="680"/>
        <v>79</v>
      </c>
    </row>
    <row r="150" spans="3:125" x14ac:dyDescent="0.25">
      <c r="C150" s="25">
        <v>5</v>
      </c>
      <c r="D150" s="23" t="str">
        <f t="shared" si="681"/>
        <v>CASETA 1</v>
      </c>
      <c r="E150" s="26">
        <f>INDEX($C$6:$Y$138,36,3)</f>
        <v>0</v>
      </c>
      <c r="F150" s="26">
        <f>INDEX($C$6:$Y$138,42,4)</f>
        <v>0</v>
      </c>
      <c r="G150" s="23">
        <f t="shared" si="682"/>
        <v>0</v>
      </c>
      <c r="H150" s="23">
        <f>SUMIFS($H$6:$H$138,$C$6:$C$138,$C150)</f>
        <v>0</v>
      </c>
      <c r="I150" s="23">
        <f>SUMIFS($I$6:$I$138,$C$6:$C$138,$C150)</f>
        <v>0</v>
      </c>
      <c r="J150" s="88">
        <f t="shared" si="685"/>
        <v>0</v>
      </c>
      <c r="K150" s="26">
        <f>INDEX($C$6:$Y$138,42,9)</f>
        <v>0</v>
      </c>
      <c r="L150" s="47">
        <f t="shared" si="622"/>
        <v>0.18</v>
      </c>
      <c r="M150" s="28" t="e">
        <f t="shared" si="686"/>
        <v>#DIV/0!</v>
      </c>
      <c r="N150" s="47">
        <f t="shared" si="634"/>
        <v>2.38</v>
      </c>
      <c r="O150" s="47">
        <f t="shared" si="687"/>
        <v>0</v>
      </c>
      <c r="P150" s="464">
        <f t="shared" si="688"/>
        <v>0</v>
      </c>
      <c r="Q150" s="14">
        <f t="shared" si="635"/>
        <v>34</v>
      </c>
      <c r="R150" s="23">
        <f t="shared" si="636"/>
        <v>0</v>
      </c>
      <c r="S150" s="30">
        <f>INDEX($C$6:$Y$138,42,17)</f>
        <v>0</v>
      </c>
      <c r="T150" s="14">
        <f t="shared" si="637"/>
        <v>334</v>
      </c>
      <c r="U150" s="349">
        <f>INDEX($C$6:$Y$138,42,19)</f>
        <v>0</v>
      </c>
      <c r="V150" s="415">
        <f t="shared" si="623"/>
        <v>334</v>
      </c>
      <c r="W150" s="14">
        <f t="shared" si="624"/>
        <v>79</v>
      </c>
      <c r="X150" s="75">
        <f>INDEX($C$6:$Y$138,42,22)</f>
        <v>0</v>
      </c>
      <c r="Y150" s="609">
        <f t="shared" si="625"/>
        <v>79</v>
      </c>
      <c r="Z150" s="489"/>
      <c r="AA150" s="1"/>
      <c r="AB150" s="25">
        <v>5</v>
      </c>
      <c r="AC150" s="23" t="str">
        <f t="shared" si="689"/>
        <v>CASETA 2</v>
      </c>
      <c r="AD150" s="26">
        <f>INDEX($AB$6:$AX$138,36,3)</f>
        <v>0</v>
      </c>
      <c r="AE150" s="26">
        <f>INDEX($AB$6:$AX$138,42,4)</f>
        <v>0</v>
      </c>
      <c r="AF150" s="23">
        <f t="shared" si="638"/>
        <v>0</v>
      </c>
      <c r="AG150" s="23">
        <f t="shared" si="639"/>
        <v>0</v>
      </c>
      <c r="AH150" s="23">
        <f t="shared" si="640"/>
        <v>0</v>
      </c>
      <c r="AI150" s="88">
        <f>SUM(AF150:AH150)</f>
        <v>0</v>
      </c>
      <c r="AJ150" s="26">
        <f>INDEX($AB$6:$AX$138,42,9)</f>
        <v>0</v>
      </c>
      <c r="AK150" s="47">
        <f t="shared" si="642"/>
        <v>0.18</v>
      </c>
      <c r="AL150" s="28">
        <f t="shared" si="643"/>
        <v>0</v>
      </c>
      <c r="AM150" s="47">
        <f t="shared" si="644"/>
        <v>2.38</v>
      </c>
      <c r="AN150" s="47">
        <f t="shared" si="645"/>
        <v>0</v>
      </c>
      <c r="AO150" s="464">
        <f t="shared" si="646"/>
        <v>0</v>
      </c>
      <c r="AP150" s="14">
        <f t="shared" si="647"/>
        <v>34</v>
      </c>
      <c r="AQ150" s="23">
        <f t="shared" si="648"/>
        <v>0</v>
      </c>
      <c r="AR150" s="30">
        <f>INDEX($AB$6:$AX$138,42,17)</f>
        <v>0</v>
      </c>
      <c r="AS150" s="14">
        <f t="shared" si="649"/>
        <v>334</v>
      </c>
      <c r="AT150" s="349">
        <f>INDEX($AB$6:$AX$138,42,19)</f>
        <v>0</v>
      </c>
      <c r="AU150" s="415">
        <f t="shared" si="650"/>
        <v>334</v>
      </c>
      <c r="AV150" s="14">
        <f t="shared" si="651"/>
        <v>79</v>
      </c>
      <c r="AW150" s="75">
        <f>INDEX($AB$6:$AX$138,42,22)</f>
        <v>0</v>
      </c>
      <c r="AX150" s="609">
        <f>AV150-AW150</f>
        <v>79</v>
      </c>
      <c r="AZ150" s="1"/>
      <c r="BA150" s="25">
        <v>5</v>
      </c>
      <c r="BB150" s="25" t="str">
        <f t="shared" si="695"/>
        <v>CASETA 3</v>
      </c>
      <c r="BC150" s="26">
        <f>INDEX($BA$6:$BW$138,36,3)</f>
        <v>0</v>
      </c>
      <c r="BD150" s="26">
        <f>INDEX($BA$6:$BW$138,42,4)</f>
        <v>0</v>
      </c>
      <c r="BE150" s="23">
        <f t="shared" si="652"/>
        <v>0</v>
      </c>
      <c r="BF150" s="23">
        <f t="shared" si="653"/>
        <v>0</v>
      </c>
      <c r="BG150" s="23">
        <f t="shared" si="654"/>
        <v>0</v>
      </c>
      <c r="BH150" s="88">
        <f t="shared" si="655"/>
        <v>0</v>
      </c>
      <c r="BI150" s="26">
        <f>INDEX($BA$6:$BW$138,42,9)</f>
        <v>0</v>
      </c>
      <c r="BJ150" s="47">
        <f t="shared" si="627"/>
        <v>0.18</v>
      </c>
      <c r="BK150" s="28">
        <f t="shared" si="656"/>
        <v>0</v>
      </c>
      <c r="BL150" s="47">
        <f t="shared" si="628"/>
        <v>2.38</v>
      </c>
      <c r="BM150" s="27">
        <f>INDEX($BA$6:$BW$138,42,13)</f>
        <v>0</v>
      </c>
      <c r="BN150" s="23">
        <f t="shared" si="657"/>
        <v>0</v>
      </c>
      <c r="BO150" s="14">
        <f t="shared" si="629"/>
        <v>34</v>
      </c>
      <c r="BP150" s="23">
        <f t="shared" si="658"/>
        <v>0</v>
      </c>
      <c r="BQ150" s="27">
        <f>INDEX($BA$6:$BW$138,42,17)</f>
        <v>0</v>
      </c>
      <c r="BR150" s="14">
        <f t="shared" si="630"/>
        <v>334</v>
      </c>
      <c r="BS150" s="350">
        <f>INDEX($BA$6:$BW$138,42,19)</f>
        <v>0</v>
      </c>
      <c r="BT150" s="26">
        <f t="shared" si="690"/>
        <v>334</v>
      </c>
      <c r="BU150" s="14">
        <f t="shared" si="631"/>
        <v>79</v>
      </c>
      <c r="BV150" s="26">
        <f>INDEX($BA$6:$BW$138,42,22)</f>
        <v>0</v>
      </c>
      <c r="BW150" s="26">
        <f t="shared" ref="BW150:BW163" si="698">BU150-BV150</f>
        <v>79</v>
      </c>
      <c r="BY150" s="1"/>
      <c r="BZ150" s="25">
        <v>5</v>
      </c>
      <c r="CA150" s="25" t="str">
        <f t="shared" si="696"/>
        <v>CASETA 4</v>
      </c>
      <c r="CB150" s="26">
        <f>INDEX($BZ$6:$CV$138,36,3)</f>
        <v>0</v>
      </c>
      <c r="CC150" s="26">
        <f>INDEX($BZ$6:$CV$138,42,4)</f>
        <v>0</v>
      </c>
      <c r="CD150" s="23">
        <f t="shared" si="659"/>
        <v>0</v>
      </c>
      <c r="CE150" s="23">
        <f t="shared" si="660"/>
        <v>0</v>
      </c>
      <c r="CF150" s="23">
        <f t="shared" si="661"/>
        <v>0</v>
      </c>
      <c r="CG150" s="88">
        <f t="shared" si="662"/>
        <v>0</v>
      </c>
      <c r="CH150" s="26">
        <f>INDEX($BZ$6:$CV$138,42,9)</f>
        <v>0</v>
      </c>
      <c r="CI150" s="47">
        <f t="shared" si="663"/>
        <v>0.18</v>
      </c>
      <c r="CJ150" s="23">
        <f>AVERAGEIFS($CJ$6:$CJ$138,$BZ$6:$BZ$138,$BZ150)</f>
        <v>0</v>
      </c>
      <c r="CK150" s="47">
        <f t="shared" si="664"/>
        <v>2.38</v>
      </c>
      <c r="CL150" s="27">
        <f>INDEX($BZ$6:$CV$138,42,13)</f>
        <v>0</v>
      </c>
      <c r="CM150" s="23">
        <f t="shared" si="665"/>
        <v>0</v>
      </c>
      <c r="CN150" s="14">
        <f t="shared" si="666"/>
        <v>34</v>
      </c>
      <c r="CO150" s="23">
        <f t="shared" si="692"/>
        <v>0</v>
      </c>
      <c r="CP150" s="27">
        <f>INDEX($BZ$6:$CV$138,42,17)</f>
        <v>0</v>
      </c>
      <c r="CQ150" s="14">
        <f t="shared" si="632"/>
        <v>334</v>
      </c>
      <c r="CR150" s="351">
        <f>INDEX($BZ$6:$CV$138,42,19)</f>
        <v>0</v>
      </c>
      <c r="CS150" s="416">
        <f t="shared" si="667"/>
        <v>334</v>
      </c>
      <c r="CT150" s="14">
        <f t="shared" si="668"/>
        <v>79</v>
      </c>
      <c r="CU150" s="29">
        <f>INDEX($BZ$6:$CV$138,42,22)</f>
        <v>0</v>
      </c>
      <c r="CV150" s="417">
        <f t="shared" si="669"/>
        <v>79</v>
      </c>
      <c r="CY150" s="25">
        <v>5</v>
      </c>
      <c r="CZ150" s="25" t="str">
        <f t="shared" si="697"/>
        <v>CASETA 5</v>
      </c>
      <c r="DA150" s="26">
        <f>INDEX($BZ$6:$CV$138,36,3)</f>
        <v>0</v>
      </c>
      <c r="DB150" s="26">
        <f>INDEX($BZ$6:$CV$138,42,4)</f>
        <v>0</v>
      </c>
      <c r="DC150" s="23">
        <f t="shared" si="670"/>
        <v>0</v>
      </c>
      <c r="DD150" s="23">
        <f t="shared" si="671"/>
        <v>0</v>
      </c>
      <c r="DE150" s="23">
        <f t="shared" si="672"/>
        <v>0</v>
      </c>
      <c r="DF150" s="88">
        <f t="shared" ref="DF150:DF163" si="699">SUM(DC150:DE150)</f>
        <v>0</v>
      </c>
      <c r="DG150" s="26">
        <f>INDEX($BZ$6:$CV$138,42,9)</f>
        <v>0</v>
      </c>
      <c r="DH150" s="47">
        <f t="shared" si="674"/>
        <v>0.18</v>
      </c>
      <c r="DI150" s="23">
        <f>AVERAGEIFS($CJ$6:$CJ$138,$BZ$6:$BZ$138,$BZ150)</f>
        <v>0</v>
      </c>
      <c r="DJ150" s="47">
        <f t="shared" si="675"/>
        <v>2.38</v>
      </c>
      <c r="DK150" s="27">
        <f>INDEX($BZ$6:$CV$138,42,13)</f>
        <v>0</v>
      </c>
      <c r="DL150" s="23">
        <f t="shared" si="676"/>
        <v>0</v>
      </c>
      <c r="DM150" s="14">
        <f t="shared" si="677"/>
        <v>34</v>
      </c>
      <c r="DN150" s="23">
        <f t="shared" si="694"/>
        <v>0</v>
      </c>
      <c r="DO150" s="27">
        <f>INDEX($BZ$6:$CV$138,42,17)</f>
        <v>0</v>
      </c>
      <c r="DP150" s="14">
        <f t="shared" si="633"/>
        <v>334</v>
      </c>
      <c r="DQ150" s="351">
        <f>INDEX($BZ$6:$CV$138,42,19)</f>
        <v>0</v>
      </c>
      <c r="DR150" s="416">
        <f t="shared" si="678"/>
        <v>334</v>
      </c>
      <c r="DS150" s="14">
        <f t="shared" si="679"/>
        <v>79</v>
      </c>
      <c r="DT150" s="29">
        <f>INDEX($BZ$6:$CV$138,42,22)</f>
        <v>0</v>
      </c>
      <c r="DU150" s="417">
        <f t="shared" si="680"/>
        <v>79</v>
      </c>
    </row>
    <row r="151" spans="3:125" x14ac:dyDescent="0.25">
      <c r="C151" s="25">
        <v>6</v>
      </c>
      <c r="D151" s="23" t="str">
        <f t="shared" si="681"/>
        <v>CASETA 1</v>
      </c>
      <c r="E151" s="26">
        <f>INDEX($C$6:$Y$138,43,3)</f>
        <v>0</v>
      </c>
      <c r="F151" s="26">
        <f>INDEX($C$6:$Y$138,49,4)</f>
        <v>0</v>
      </c>
      <c r="G151" s="23">
        <f t="shared" si="682"/>
        <v>0</v>
      </c>
      <c r="H151" s="23">
        <f t="shared" si="683"/>
        <v>0</v>
      </c>
      <c r="I151" s="23">
        <f t="shared" si="684"/>
        <v>0</v>
      </c>
      <c r="J151" s="88">
        <f t="shared" si="685"/>
        <v>0</v>
      </c>
      <c r="K151" s="26">
        <f>INDEX($C$6:$Y$138,49,9)</f>
        <v>0</v>
      </c>
      <c r="L151" s="47">
        <f t="shared" si="622"/>
        <v>0.18</v>
      </c>
      <c r="M151" s="28" t="e">
        <f t="shared" si="686"/>
        <v>#DIV/0!</v>
      </c>
      <c r="N151" s="47">
        <f t="shared" si="634"/>
        <v>2.56</v>
      </c>
      <c r="O151" s="47">
        <f t="shared" si="687"/>
        <v>0</v>
      </c>
      <c r="P151" s="464">
        <f t="shared" si="688"/>
        <v>0</v>
      </c>
      <c r="Q151" s="14">
        <f t="shared" si="635"/>
        <v>38</v>
      </c>
      <c r="R151" s="23">
        <f t="shared" si="636"/>
        <v>0</v>
      </c>
      <c r="S151" s="30">
        <f>INDEX($C$6:$Y$138,49,17)</f>
        <v>0</v>
      </c>
      <c r="T151" s="14">
        <f t="shared" si="637"/>
        <v>425</v>
      </c>
      <c r="U151" s="349">
        <f>INDEX($C$6:$Y$138,49,19)</f>
        <v>0</v>
      </c>
      <c r="V151" s="415">
        <f t="shared" si="623"/>
        <v>425</v>
      </c>
      <c r="W151" s="14">
        <f t="shared" si="624"/>
        <v>79</v>
      </c>
      <c r="X151" s="75">
        <f>INDEX($C$6:$Y$138,49,22)</f>
        <v>0</v>
      </c>
      <c r="Y151" s="609">
        <f t="shared" si="625"/>
        <v>79</v>
      </c>
      <c r="Z151" s="489"/>
      <c r="AA151" s="1"/>
      <c r="AB151" s="25">
        <v>6</v>
      </c>
      <c r="AC151" s="23" t="str">
        <f t="shared" si="689"/>
        <v>CASETA 2</v>
      </c>
      <c r="AD151" s="26">
        <f>INDEX($AB$6:$AX$138,43,3)</f>
        <v>0</v>
      </c>
      <c r="AE151" s="26">
        <f>INDEX($AB$6:$AX$138,49,4)</f>
        <v>0</v>
      </c>
      <c r="AF151" s="23">
        <f t="shared" si="638"/>
        <v>0</v>
      </c>
      <c r="AG151" s="23">
        <f t="shared" si="639"/>
        <v>0</v>
      </c>
      <c r="AH151" s="23">
        <f t="shared" si="640"/>
        <v>0</v>
      </c>
      <c r="AI151" s="88">
        <f t="shared" si="641"/>
        <v>0</v>
      </c>
      <c r="AJ151" s="26">
        <f>INDEX($AB$6:$AX$138,49,9)</f>
        <v>0</v>
      </c>
      <c r="AK151" s="47">
        <f t="shared" si="642"/>
        <v>0.18</v>
      </c>
      <c r="AL151" s="28">
        <f t="shared" si="643"/>
        <v>0</v>
      </c>
      <c r="AM151" s="47">
        <f t="shared" si="644"/>
        <v>2.56</v>
      </c>
      <c r="AN151" s="47">
        <f t="shared" si="645"/>
        <v>0</v>
      </c>
      <c r="AO151" s="464">
        <f t="shared" si="646"/>
        <v>0</v>
      </c>
      <c r="AP151" s="14">
        <f t="shared" si="647"/>
        <v>38</v>
      </c>
      <c r="AQ151" s="23">
        <f t="shared" si="648"/>
        <v>0</v>
      </c>
      <c r="AR151" s="30">
        <f>INDEX($AB$6:$AX$138,49,17)</f>
        <v>0</v>
      </c>
      <c r="AS151" s="14">
        <f t="shared" si="649"/>
        <v>425</v>
      </c>
      <c r="AT151" s="349">
        <f>INDEX($AB$6:$AX$138,49,19)</f>
        <v>0</v>
      </c>
      <c r="AU151" s="415">
        <f t="shared" si="650"/>
        <v>425</v>
      </c>
      <c r="AV151" s="14">
        <f t="shared" si="651"/>
        <v>79</v>
      </c>
      <c r="AW151" s="75">
        <f>INDEX($AB$6:$AX$138,49,22)</f>
        <v>0</v>
      </c>
      <c r="AX151" s="609">
        <f t="shared" si="626"/>
        <v>79</v>
      </c>
      <c r="AZ151" s="1"/>
      <c r="BA151" s="25">
        <v>6</v>
      </c>
      <c r="BB151" s="25" t="str">
        <f t="shared" si="695"/>
        <v>CASETA 3</v>
      </c>
      <c r="BC151" s="26">
        <f>INDEX($BA$6:$BW$138,43,3)</f>
        <v>0</v>
      </c>
      <c r="BD151" s="26">
        <f>INDEX($BA$6:$BW$138,49,4)</f>
        <v>0</v>
      </c>
      <c r="BE151" s="23">
        <f t="shared" si="652"/>
        <v>0</v>
      </c>
      <c r="BF151" s="23">
        <f t="shared" si="653"/>
        <v>0</v>
      </c>
      <c r="BG151" s="23">
        <f t="shared" si="654"/>
        <v>0</v>
      </c>
      <c r="BH151" s="88">
        <f t="shared" si="655"/>
        <v>0</v>
      </c>
      <c r="BI151" s="26">
        <f>INDEX($BA$6:$BW$138,49,9)</f>
        <v>0</v>
      </c>
      <c r="BJ151" s="47">
        <f t="shared" si="627"/>
        <v>0.18</v>
      </c>
      <c r="BK151" s="28">
        <f t="shared" si="656"/>
        <v>0</v>
      </c>
      <c r="BL151" s="47">
        <f t="shared" si="628"/>
        <v>2.56</v>
      </c>
      <c r="BM151" s="27">
        <f>INDEX($BA$6:$BW$138,49,13)</f>
        <v>0</v>
      </c>
      <c r="BN151" s="23">
        <f t="shared" si="657"/>
        <v>0</v>
      </c>
      <c r="BO151" s="14">
        <f t="shared" si="629"/>
        <v>38</v>
      </c>
      <c r="BP151" s="23">
        <f t="shared" si="658"/>
        <v>0</v>
      </c>
      <c r="BQ151" s="27">
        <f>INDEX($BA$6:$BW$138,49,17)</f>
        <v>0</v>
      </c>
      <c r="BR151" s="14">
        <f t="shared" si="630"/>
        <v>425</v>
      </c>
      <c r="BS151" s="350">
        <f>INDEX($BA$6:$BW$138,49,19)</f>
        <v>0</v>
      </c>
      <c r="BT151" s="26">
        <f t="shared" si="690"/>
        <v>425</v>
      </c>
      <c r="BU151" s="14">
        <f t="shared" si="631"/>
        <v>79</v>
      </c>
      <c r="BV151" s="26">
        <f>INDEX($BA$6:$BW$138,49,22)</f>
        <v>0</v>
      </c>
      <c r="BW151" s="26">
        <f t="shared" si="698"/>
        <v>79</v>
      </c>
      <c r="BY151" s="1"/>
      <c r="BZ151" s="25">
        <v>6</v>
      </c>
      <c r="CA151" s="25" t="str">
        <f t="shared" si="696"/>
        <v>CASETA 4</v>
      </c>
      <c r="CB151" s="26">
        <f>INDEX($BZ$6:$CV$138,43,3)</f>
        <v>0</v>
      </c>
      <c r="CC151" s="26">
        <f>INDEX($BZ$6:$CV$138,49,4)</f>
        <v>0</v>
      </c>
      <c r="CD151" s="23">
        <f t="shared" si="659"/>
        <v>0</v>
      </c>
      <c r="CE151" s="23">
        <f t="shared" si="660"/>
        <v>0</v>
      </c>
      <c r="CF151" s="23">
        <f t="shared" si="661"/>
        <v>0</v>
      </c>
      <c r="CG151" s="88">
        <f t="shared" si="662"/>
        <v>0</v>
      </c>
      <c r="CH151" s="26">
        <f>INDEX($BZ$6:$CV$138,49,9)</f>
        <v>0</v>
      </c>
      <c r="CI151" s="47">
        <f t="shared" si="663"/>
        <v>0.18</v>
      </c>
      <c r="CJ151" s="23">
        <f t="shared" si="691"/>
        <v>0</v>
      </c>
      <c r="CK151" s="47">
        <f t="shared" si="664"/>
        <v>2.56</v>
      </c>
      <c r="CL151" s="27">
        <f>INDEX($BZ$6:$CV$138,49,13)</f>
        <v>0</v>
      </c>
      <c r="CM151" s="23">
        <f t="shared" si="665"/>
        <v>0</v>
      </c>
      <c r="CN151" s="14">
        <f t="shared" si="666"/>
        <v>38</v>
      </c>
      <c r="CO151" s="23">
        <f t="shared" si="692"/>
        <v>0</v>
      </c>
      <c r="CP151" s="27">
        <f>INDEX($BZ$6:$CV$138,49,17)</f>
        <v>0</v>
      </c>
      <c r="CQ151" s="14">
        <f t="shared" si="632"/>
        <v>425</v>
      </c>
      <c r="CR151" s="351">
        <f>INDEX($BZ$6:$CV$138,49,19)</f>
        <v>0</v>
      </c>
      <c r="CS151" s="416">
        <f t="shared" si="667"/>
        <v>425</v>
      </c>
      <c r="CT151" s="14">
        <f t="shared" si="668"/>
        <v>79</v>
      </c>
      <c r="CU151" s="29">
        <f>INDEX($BZ$6:$CV$138,49,22)</f>
        <v>0</v>
      </c>
      <c r="CV151" s="417">
        <f t="shared" si="669"/>
        <v>79</v>
      </c>
      <c r="CY151" s="25">
        <v>6</v>
      </c>
      <c r="CZ151" s="25" t="str">
        <f t="shared" si="697"/>
        <v>CASETA 5</v>
      </c>
      <c r="DA151" s="26">
        <f>INDEX($BZ$6:$CV$138,43,3)</f>
        <v>0</v>
      </c>
      <c r="DB151" s="26">
        <f>INDEX($BZ$6:$CV$138,49,4)</f>
        <v>0</v>
      </c>
      <c r="DC151" s="23">
        <f t="shared" si="670"/>
        <v>0</v>
      </c>
      <c r="DD151" s="23">
        <f t="shared" si="671"/>
        <v>0</v>
      </c>
      <c r="DE151" s="23">
        <f t="shared" si="672"/>
        <v>0</v>
      </c>
      <c r="DF151" s="88">
        <f t="shared" si="699"/>
        <v>0</v>
      </c>
      <c r="DG151" s="26">
        <f>INDEX($BZ$6:$CV$138,49,9)</f>
        <v>0</v>
      </c>
      <c r="DH151" s="47">
        <f t="shared" si="674"/>
        <v>0.18</v>
      </c>
      <c r="DI151" s="23">
        <f t="shared" si="693"/>
        <v>0</v>
      </c>
      <c r="DJ151" s="47">
        <f t="shared" si="675"/>
        <v>2.56</v>
      </c>
      <c r="DK151" s="27">
        <f>INDEX($BZ$6:$CV$138,49,13)</f>
        <v>0</v>
      </c>
      <c r="DL151" s="23">
        <f t="shared" si="676"/>
        <v>0</v>
      </c>
      <c r="DM151" s="14">
        <f t="shared" si="677"/>
        <v>38</v>
      </c>
      <c r="DN151" s="23">
        <f t="shared" si="694"/>
        <v>0</v>
      </c>
      <c r="DO151" s="27">
        <f>INDEX($BZ$6:$CV$138,49,17)</f>
        <v>0</v>
      </c>
      <c r="DP151" s="14">
        <f t="shared" si="633"/>
        <v>425</v>
      </c>
      <c r="DQ151" s="351">
        <f>INDEX($BZ$6:$CV$138,49,19)</f>
        <v>0</v>
      </c>
      <c r="DR151" s="416">
        <f t="shared" si="678"/>
        <v>425</v>
      </c>
      <c r="DS151" s="14">
        <f t="shared" si="679"/>
        <v>79</v>
      </c>
      <c r="DT151" s="29">
        <f>INDEX($BZ$6:$CV$138,49,22)</f>
        <v>0</v>
      </c>
      <c r="DU151" s="417">
        <f t="shared" si="680"/>
        <v>79</v>
      </c>
    </row>
    <row r="152" spans="3:125" x14ac:dyDescent="0.25">
      <c r="C152" s="25">
        <v>7</v>
      </c>
      <c r="D152" s="23" t="str">
        <f t="shared" si="681"/>
        <v>CASETA 1</v>
      </c>
      <c r="E152" s="26">
        <f>INDEX($C$6:$Y$138,50,3)</f>
        <v>0</v>
      </c>
      <c r="F152" s="26">
        <f>INDEX($C$6:$Y$138,56,4)</f>
        <v>0</v>
      </c>
      <c r="G152" s="23">
        <f t="shared" si="682"/>
        <v>0</v>
      </c>
      <c r="H152" s="23">
        <f t="shared" si="683"/>
        <v>0</v>
      </c>
      <c r="I152" s="23">
        <f t="shared" si="684"/>
        <v>0</v>
      </c>
      <c r="J152" s="88">
        <f t="shared" si="685"/>
        <v>0</v>
      </c>
      <c r="K152" s="26">
        <f>INDEX($C$6:$Y$138,56,9)</f>
        <v>0</v>
      </c>
      <c r="L152" s="47">
        <f t="shared" si="622"/>
        <v>0.16</v>
      </c>
      <c r="M152" s="28" t="e">
        <f t="shared" si="686"/>
        <v>#DIV/0!</v>
      </c>
      <c r="N152" s="47">
        <f t="shared" si="634"/>
        <v>2.72</v>
      </c>
      <c r="O152" s="47">
        <f t="shared" si="687"/>
        <v>0</v>
      </c>
      <c r="P152" s="464">
        <f t="shared" si="688"/>
        <v>0</v>
      </c>
      <c r="Q152" s="14">
        <f t="shared" si="635"/>
        <v>42</v>
      </c>
      <c r="R152" s="23">
        <f t="shared" si="636"/>
        <v>0</v>
      </c>
      <c r="S152" s="30">
        <f>INDEX($C$6:$Y$138,56,17)</f>
        <v>0</v>
      </c>
      <c r="T152" s="14">
        <f t="shared" si="637"/>
        <v>524</v>
      </c>
      <c r="U152" s="349">
        <f>INDEX($C$6:$Y$138,56,19)</f>
        <v>0</v>
      </c>
      <c r="V152" s="415">
        <f t="shared" si="623"/>
        <v>524</v>
      </c>
      <c r="W152" s="14">
        <f t="shared" si="624"/>
        <v>79</v>
      </c>
      <c r="X152" s="75">
        <f>INDEX($C$6:$Y$138,56,22)</f>
        <v>0</v>
      </c>
      <c r="Y152" s="609">
        <f t="shared" si="625"/>
        <v>79</v>
      </c>
      <c r="Z152" s="489"/>
      <c r="AA152" s="1"/>
      <c r="AB152" s="25">
        <v>7</v>
      </c>
      <c r="AC152" s="23" t="str">
        <f t="shared" si="689"/>
        <v>CASETA 2</v>
      </c>
      <c r="AD152" s="26">
        <f>INDEX($AB$6:$AX$138,50,3)</f>
        <v>0</v>
      </c>
      <c r="AE152" s="26">
        <f>INDEX($AB$6:$AX$138,56,4)</f>
        <v>0</v>
      </c>
      <c r="AF152" s="23">
        <f t="shared" si="638"/>
        <v>0</v>
      </c>
      <c r="AG152" s="23">
        <f t="shared" si="639"/>
        <v>0</v>
      </c>
      <c r="AH152" s="23">
        <f t="shared" si="640"/>
        <v>0</v>
      </c>
      <c r="AI152" s="88">
        <f t="shared" si="641"/>
        <v>0</v>
      </c>
      <c r="AJ152" s="26">
        <f>INDEX($AB$6:$AX$138,56,9)</f>
        <v>0</v>
      </c>
      <c r="AK152" s="47">
        <f t="shared" si="642"/>
        <v>0.16</v>
      </c>
      <c r="AL152" s="28">
        <f t="shared" si="643"/>
        <v>0</v>
      </c>
      <c r="AM152" s="47">
        <f t="shared" si="644"/>
        <v>2.72</v>
      </c>
      <c r="AN152" s="47">
        <f t="shared" si="645"/>
        <v>0</v>
      </c>
      <c r="AO152" s="464">
        <f>SUMIFS($AO$6:$AO$138,$AB$6:$AB$138,$AB152)</f>
        <v>0</v>
      </c>
      <c r="AP152" s="14">
        <f t="shared" si="647"/>
        <v>42</v>
      </c>
      <c r="AQ152" s="23">
        <f t="shared" si="648"/>
        <v>0</v>
      </c>
      <c r="AR152" s="30">
        <f>INDEX($AB$6:$AX$138,56,17)</f>
        <v>0</v>
      </c>
      <c r="AS152" s="14">
        <f t="shared" si="649"/>
        <v>524</v>
      </c>
      <c r="AT152" s="349">
        <f>INDEX($AB$6:$AX$138,56,19)</f>
        <v>0</v>
      </c>
      <c r="AU152" s="415">
        <f t="shared" si="650"/>
        <v>524</v>
      </c>
      <c r="AV152" s="14">
        <f t="shared" si="651"/>
        <v>79</v>
      </c>
      <c r="AW152" s="75">
        <f>INDEX($AB$6:$AX$138,56,22)</f>
        <v>0</v>
      </c>
      <c r="AX152" s="609">
        <f t="shared" si="626"/>
        <v>79</v>
      </c>
      <c r="AZ152" s="1"/>
      <c r="BA152" s="25">
        <v>7</v>
      </c>
      <c r="BB152" s="25" t="str">
        <f t="shared" si="695"/>
        <v>CASETA 3</v>
      </c>
      <c r="BC152" s="26">
        <f>INDEX($BA$6:$BW$138,50,3)</f>
        <v>0</v>
      </c>
      <c r="BD152" s="26">
        <f>INDEX($BA$6:$BW$138,56,4)</f>
        <v>0</v>
      </c>
      <c r="BE152" s="23">
        <f t="shared" si="652"/>
        <v>0</v>
      </c>
      <c r="BF152" s="23">
        <f t="shared" si="653"/>
        <v>0</v>
      </c>
      <c r="BG152" s="23">
        <f t="shared" si="654"/>
        <v>0</v>
      </c>
      <c r="BH152" s="88">
        <f t="shared" si="655"/>
        <v>0</v>
      </c>
      <c r="BI152" s="26">
        <f>INDEX($BA$6:$BW$138,56,9)</f>
        <v>0</v>
      </c>
      <c r="BJ152" s="47">
        <f t="shared" si="627"/>
        <v>0.16</v>
      </c>
      <c r="BK152" s="28">
        <f t="shared" si="656"/>
        <v>0</v>
      </c>
      <c r="BL152" s="47">
        <f t="shared" si="628"/>
        <v>2.72</v>
      </c>
      <c r="BM152" s="27">
        <f>INDEX($BA$6:$BW$138,56,13)</f>
        <v>0</v>
      </c>
      <c r="BN152" s="23">
        <f t="shared" si="657"/>
        <v>0</v>
      </c>
      <c r="BO152" s="14">
        <f t="shared" si="629"/>
        <v>42</v>
      </c>
      <c r="BP152" s="23">
        <f t="shared" si="658"/>
        <v>0</v>
      </c>
      <c r="BQ152" s="27">
        <f>INDEX($BA$6:$BW$138,56,17)</f>
        <v>0</v>
      </c>
      <c r="BR152" s="14">
        <f t="shared" si="630"/>
        <v>524</v>
      </c>
      <c r="BS152" s="350">
        <f>INDEX($BA$6:$BW$138,56,19)</f>
        <v>0</v>
      </c>
      <c r="BT152" s="26">
        <f t="shared" si="690"/>
        <v>524</v>
      </c>
      <c r="BU152" s="14">
        <f t="shared" si="631"/>
        <v>79</v>
      </c>
      <c r="BV152" s="26">
        <f>INDEX($BA$6:$BW$138,56,22)</f>
        <v>0</v>
      </c>
      <c r="BW152" s="26">
        <f t="shared" si="698"/>
        <v>79</v>
      </c>
      <c r="BY152" s="1"/>
      <c r="BZ152" s="25">
        <v>7</v>
      </c>
      <c r="CA152" s="25" t="str">
        <f t="shared" si="696"/>
        <v>CASETA 4</v>
      </c>
      <c r="CB152" s="26">
        <f>INDEX($BZ$6:$CV$138,50,3)</f>
        <v>0</v>
      </c>
      <c r="CC152" s="26">
        <f>INDEX($BZ$6:$CV$138,56,4)</f>
        <v>0</v>
      </c>
      <c r="CD152" s="23">
        <f t="shared" si="659"/>
        <v>0</v>
      </c>
      <c r="CE152" s="23">
        <f t="shared" si="660"/>
        <v>0</v>
      </c>
      <c r="CF152" s="23">
        <f t="shared" si="661"/>
        <v>0</v>
      </c>
      <c r="CG152" s="88">
        <f t="shared" si="662"/>
        <v>0</v>
      </c>
      <c r="CH152" s="26">
        <f>INDEX($BZ$6:$CV$138,56,9)</f>
        <v>0</v>
      </c>
      <c r="CI152" s="47">
        <f t="shared" si="663"/>
        <v>0.16</v>
      </c>
      <c r="CJ152" s="23">
        <f t="shared" si="691"/>
        <v>0</v>
      </c>
      <c r="CK152" s="47">
        <f t="shared" si="664"/>
        <v>2.72</v>
      </c>
      <c r="CL152" s="27">
        <f>INDEX($BZ$6:$CV$138,56,13)</f>
        <v>0</v>
      </c>
      <c r="CM152" s="23">
        <f t="shared" si="665"/>
        <v>0</v>
      </c>
      <c r="CN152" s="14">
        <f t="shared" si="666"/>
        <v>42</v>
      </c>
      <c r="CO152" s="23">
        <f t="shared" si="692"/>
        <v>0</v>
      </c>
      <c r="CP152" s="27">
        <f>INDEX($BZ$6:$CV$138,56,17)</f>
        <v>0</v>
      </c>
      <c r="CQ152" s="14">
        <f t="shared" si="632"/>
        <v>524</v>
      </c>
      <c r="CR152" s="351">
        <f>INDEX($BZ$6:$CV$138,56,19)</f>
        <v>0</v>
      </c>
      <c r="CS152" s="416">
        <f t="shared" si="667"/>
        <v>524</v>
      </c>
      <c r="CT152" s="14">
        <f t="shared" si="668"/>
        <v>79</v>
      </c>
      <c r="CU152" s="29">
        <f>INDEX($BZ$6:$CV$138,56,22)</f>
        <v>0</v>
      </c>
      <c r="CV152" s="417">
        <f t="shared" si="669"/>
        <v>79</v>
      </c>
      <c r="CY152" s="25">
        <v>7</v>
      </c>
      <c r="CZ152" s="25" t="str">
        <f t="shared" si="697"/>
        <v>CASETA 5</v>
      </c>
      <c r="DA152" s="26">
        <f>INDEX($BZ$6:$CV$138,50,3)</f>
        <v>0</v>
      </c>
      <c r="DB152" s="26">
        <f>INDEX($BZ$6:$CV$138,56,4)</f>
        <v>0</v>
      </c>
      <c r="DC152" s="23">
        <f t="shared" si="670"/>
        <v>0</v>
      </c>
      <c r="DD152" s="23">
        <f t="shared" si="671"/>
        <v>0</v>
      </c>
      <c r="DE152" s="23">
        <f t="shared" si="672"/>
        <v>0</v>
      </c>
      <c r="DF152" s="88">
        <f t="shared" si="699"/>
        <v>0</v>
      </c>
      <c r="DG152" s="26">
        <f>INDEX($BZ$6:$CV$138,56,9)</f>
        <v>0</v>
      </c>
      <c r="DH152" s="47">
        <f t="shared" si="674"/>
        <v>0.16</v>
      </c>
      <c r="DI152" s="23">
        <f t="shared" si="693"/>
        <v>0</v>
      </c>
      <c r="DJ152" s="47">
        <f t="shared" si="675"/>
        <v>2.72</v>
      </c>
      <c r="DK152" s="27">
        <f>INDEX($BZ$6:$CV$138,56,13)</f>
        <v>0</v>
      </c>
      <c r="DL152" s="23">
        <f t="shared" si="676"/>
        <v>0</v>
      </c>
      <c r="DM152" s="14">
        <f t="shared" si="677"/>
        <v>42</v>
      </c>
      <c r="DN152" s="23">
        <f t="shared" si="694"/>
        <v>0</v>
      </c>
      <c r="DO152" s="27">
        <f>INDEX($BZ$6:$CV$138,56,17)</f>
        <v>0</v>
      </c>
      <c r="DP152" s="14">
        <f t="shared" si="633"/>
        <v>524</v>
      </c>
      <c r="DQ152" s="351">
        <f>INDEX($BZ$6:$CV$138,56,19)</f>
        <v>0</v>
      </c>
      <c r="DR152" s="416">
        <f t="shared" si="678"/>
        <v>524</v>
      </c>
      <c r="DS152" s="14">
        <f t="shared" si="679"/>
        <v>79</v>
      </c>
      <c r="DT152" s="29">
        <f>INDEX($BZ$6:$CV$138,56,22)</f>
        <v>0</v>
      </c>
      <c r="DU152" s="417">
        <f t="shared" si="680"/>
        <v>79</v>
      </c>
    </row>
    <row r="153" spans="3:125" x14ac:dyDescent="0.25">
      <c r="C153" s="25">
        <v>8</v>
      </c>
      <c r="D153" s="23" t="str">
        <f t="shared" si="681"/>
        <v>CASETA 1</v>
      </c>
      <c r="E153" s="26">
        <f>INDEX($C$6:$Y$138,57,3)</f>
        <v>0</v>
      </c>
      <c r="F153" s="26">
        <f>INDEX($C$6:$Y$138,63,4)</f>
        <v>0</v>
      </c>
      <c r="G153" s="23">
        <f t="shared" si="682"/>
        <v>0</v>
      </c>
      <c r="H153" s="23">
        <f t="shared" si="683"/>
        <v>0</v>
      </c>
      <c r="I153" s="23">
        <f t="shared" si="684"/>
        <v>0</v>
      </c>
      <c r="J153" s="88">
        <f t="shared" si="685"/>
        <v>0</v>
      </c>
      <c r="K153" s="26">
        <f>INDEX($C$6:$Y$138,63,9)</f>
        <v>0</v>
      </c>
      <c r="L153" s="47">
        <f t="shared" si="622"/>
        <v>0.16</v>
      </c>
      <c r="M153" s="28" t="e">
        <f t="shared" si="686"/>
        <v>#DIV/0!</v>
      </c>
      <c r="N153" s="47">
        <f t="shared" si="634"/>
        <v>2.8800000000000003</v>
      </c>
      <c r="O153" s="47">
        <f t="shared" si="687"/>
        <v>0</v>
      </c>
      <c r="P153" s="464">
        <f t="shared" si="688"/>
        <v>0</v>
      </c>
      <c r="Q153" s="14">
        <f t="shared" si="635"/>
        <v>46</v>
      </c>
      <c r="R153" s="23">
        <f t="shared" si="636"/>
        <v>0</v>
      </c>
      <c r="S153" s="30">
        <f>INDEX($C$6:$Y$138,63,17)</f>
        <v>0</v>
      </c>
      <c r="T153" s="14">
        <f t="shared" si="637"/>
        <v>618</v>
      </c>
      <c r="U153" s="349">
        <f>INDEX($C$6:$Y$138,63,19)</f>
        <v>0</v>
      </c>
      <c r="V153" s="415">
        <f t="shared" si="623"/>
        <v>618</v>
      </c>
      <c r="W153" s="14">
        <f t="shared" si="624"/>
        <v>79</v>
      </c>
      <c r="X153" s="75">
        <f>INDEX($C$6:$Y$138,63,22)</f>
        <v>0</v>
      </c>
      <c r="Y153" s="609">
        <f t="shared" si="625"/>
        <v>79</v>
      </c>
      <c r="Z153" s="489"/>
      <c r="AA153" s="1"/>
      <c r="AB153" s="25">
        <v>8</v>
      </c>
      <c r="AC153" s="23" t="str">
        <f t="shared" si="689"/>
        <v>CASETA 2</v>
      </c>
      <c r="AD153" s="26">
        <f>INDEX($AB$6:$AX$138,57,3)</f>
        <v>0</v>
      </c>
      <c r="AE153" s="26">
        <f>INDEX($AB$6:$AX$138,63,4)</f>
        <v>0</v>
      </c>
      <c r="AF153" s="23">
        <f t="shared" si="638"/>
        <v>0</v>
      </c>
      <c r="AG153" s="23">
        <f t="shared" si="639"/>
        <v>0</v>
      </c>
      <c r="AH153" s="23">
        <f t="shared" si="640"/>
        <v>0</v>
      </c>
      <c r="AI153" s="88">
        <f t="shared" si="641"/>
        <v>0</v>
      </c>
      <c r="AJ153" s="26">
        <f>INDEX($AB$6:$AX$138,63,9)</f>
        <v>0</v>
      </c>
      <c r="AK153" s="47">
        <f t="shared" si="642"/>
        <v>0.16</v>
      </c>
      <c r="AL153" s="28">
        <f t="shared" si="643"/>
        <v>0</v>
      </c>
      <c r="AM153" s="47">
        <f t="shared" si="644"/>
        <v>2.8800000000000003</v>
      </c>
      <c r="AN153" s="47">
        <f t="shared" si="645"/>
        <v>0</v>
      </c>
      <c r="AO153" s="464">
        <f t="shared" si="646"/>
        <v>0</v>
      </c>
      <c r="AP153" s="14">
        <f t="shared" si="647"/>
        <v>46</v>
      </c>
      <c r="AQ153" s="23">
        <f t="shared" si="648"/>
        <v>0</v>
      </c>
      <c r="AR153" s="30">
        <f>INDEX($AB$6:$AX$138,63,17)</f>
        <v>0</v>
      </c>
      <c r="AS153" s="14">
        <f t="shared" si="649"/>
        <v>618</v>
      </c>
      <c r="AT153" s="349">
        <f>INDEX($AB$6:$AX$138,63,19)</f>
        <v>0</v>
      </c>
      <c r="AU153" s="415">
        <f t="shared" si="650"/>
        <v>618</v>
      </c>
      <c r="AV153" s="14">
        <f t="shared" si="651"/>
        <v>79</v>
      </c>
      <c r="AW153" s="75">
        <f>INDEX($AB$6:$AX$138,63,22)</f>
        <v>0</v>
      </c>
      <c r="AX153" s="609">
        <f t="shared" si="626"/>
        <v>79</v>
      </c>
      <c r="AZ153" s="1"/>
      <c r="BA153" s="25">
        <v>8</v>
      </c>
      <c r="BB153" s="25" t="str">
        <f t="shared" si="695"/>
        <v>CASETA 3</v>
      </c>
      <c r="BC153" s="26">
        <f>INDEX($BA$6:$BW$138,57,3)</f>
        <v>0</v>
      </c>
      <c r="BD153" s="26">
        <f>INDEX($BA$6:$BW$138,63,4)</f>
        <v>0</v>
      </c>
      <c r="BE153" s="23">
        <f t="shared" si="652"/>
        <v>0</v>
      </c>
      <c r="BF153" s="23">
        <f t="shared" si="653"/>
        <v>0</v>
      </c>
      <c r="BG153" s="23">
        <f t="shared" si="654"/>
        <v>0</v>
      </c>
      <c r="BH153" s="88">
        <f t="shared" si="655"/>
        <v>0</v>
      </c>
      <c r="BI153" s="26">
        <f>INDEX($BA$6:$BW$138,63,9)</f>
        <v>0</v>
      </c>
      <c r="BJ153" s="47">
        <f t="shared" si="627"/>
        <v>0.16</v>
      </c>
      <c r="BK153" s="28">
        <f t="shared" si="656"/>
        <v>0</v>
      </c>
      <c r="BL153" s="47">
        <f t="shared" si="628"/>
        <v>2.8800000000000003</v>
      </c>
      <c r="BM153" s="27">
        <f>INDEX($BA$6:$BW$138,63,13)</f>
        <v>0</v>
      </c>
      <c r="BN153" s="23">
        <f t="shared" si="657"/>
        <v>0</v>
      </c>
      <c r="BO153" s="14">
        <f t="shared" si="629"/>
        <v>46</v>
      </c>
      <c r="BP153" s="23">
        <f t="shared" si="658"/>
        <v>0</v>
      </c>
      <c r="BQ153" s="27">
        <f>INDEX($BA$6:$BW$138,63,17)</f>
        <v>0</v>
      </c>
      <c r="BR153" s="14">
        <f t="shared" si="630"/>
        <v>618</v>
      </c>
      <c r="BS153" s="350">
        <f>INDEX($BA$6:$BW$138,63,19)</f>
        <v>0</v>
      </c>
      <c r="BT153" s="26">
        <f t="shared" si="690"/>
        <v>618</v>
      </c>
      <c r="BU153" s="14">
        <f t="shared" si="631"/>
        <v>79</v>
      </c>
      <c r="BV153" s="26">
        <f>INDEX($BA$6:$BW$138,63,22)</f>
        <v>0</v>
      </c>
      <c r="BW153" s="26">
        <f t="shared" si="698"/>
        <v>79</v>
      </c>
      <c r="BY153" s="1"/>
      <c r="BZ153" s="25">
        <v>8</v>
      </c>
      <c r="CA153" s="25" t="str">
        <f t="shared" si="696"/>
        <v>CASETA 4</v>
      </c>
      <c r="CB153" s="26">
        <f>INDEX($BZ$6:$CV$138,57,3)</f>
        <v>0</v>
      </c>
      <c r="CC153" s="26">
        <f>INDEX($BZ$6:$CV$138,63,4)</f>
        <v>0</v>
      </c>
      <c r="CD153" s="23">
        <f t="shared" si="659"/>
        <v>0</v>
      </c>
      <c r="CE153" s="23">
        <f t="shared" si="660"/>
        <v>0</v>
      </c>
      <c r="CF153" s="23">
        <f t="shared" si="661"/>
        <v>0</v>
      </c>
      <c r="CG153" s="88">
        <f t="shared" si="662"/>
        <v>0</v>
      </c>
      <c r="CH153" s="26">
        <f>INDEX($BZ$6:$CV$138,63,9)</f>
        <v>0</v>
      </c>
      <c r="CI153" s="47">
        <f t="shared" si="663"/>
        <v>0.16</v>
      </c>
      <c r="CJ153" s="23">
        <f t="shared" si="691"/>
        <v>0</v>
      </c>
      <c r="CK153" s="47">
        <f t="shared" si="664"/>
        <v>2.8800000000000003</v>
      </c>
      <c r="CL153" s="27">
        <f>INDEX($BZ$6:$CV$138,63,13)</f>
        <v>0</v>
      </c>
      <c r="CM153" s="23">
        <f t="shared" si="665"/>
        <v>0</v>
      </c>
      <c r="CN153" s="14">
        <f t="shared" si="666"/>
        <v>46</v>
      </c>
      <c r="CO153" s="23">
        <f t="shared" si="692"/>
        <v>0</v>
      </c>
      <c r="CP153" s="27">
        <f>INDEX($BZ$6:$CV$138,63,17)</f>
        <v>0</v>
      </c>
      <c r="CQ153" s="14">
        <f t="shared" si="632"/>
        <v>618</v>
      </c>
      <c r="CR153" s="351">
        <f>INDEX($BZ$6:$CV$138,63,19)</f>
        <v>0</v>
      </c>
      <c r="CS153" s="416">
        <f t="shared" si="667"/>
        <v>618</v>
      </c>
      <c r="CT153" s="14">
        <f t="shared" si="668"/>
        <v>79</v>
      </c>
      <c r="CU153" s="29">
        <f>INDEX($BZ$6:$CV$138,63,22)</f>
        <v>0</v>
      </c>
      <c r="CV153" s="417">
        <f t="shared" si="669"/>
        <v>79</v>
      </c>
      <c r="CY153" s="25">
        <v>8</v>
      </c>
      <c r="CZ153" s="25" t="str">
        <f t="shared" si="697"/>
        <v>CASETA 5</v>
      </c>
      <c r="DA153" s="26">
        <f>INDEX($BZ$6:$CV$138,57,3)</f>
        <v>0</v>
      </c>
      <c r="DB153" s="26">
        <f>INDEX($BZ$6:$CV$138,63,4)</f>
        <v>0</v>
      </c>
      <c r="DC153" s="23">
        <f t="shared" si="670"/>
        <v>0</v>
      </c>
      <c r="DD153" s="23">
        <f t="shared" si="671"/>
        <v>0</v>
      </c>
      <c r="DE153" s="23">
        <f t="shared" si="672"/>
        <v>0</v>
      </c>
      <c r="DF153" s="88">
        <f t="shared" si="699"/>
        <v>0</v>
      </c>
      <c r="DG153" s="26">
        <f>INDEX($BZ$6:$CV$138,63,9)</f>
        <v>0</v>
      </c>
      <c r="DH153" s="47">
        <f t="shared" si="674"/>
        <v>0.16</v>
      </c>
      <c r="DI153" s="23">
        <f t="shared" si="693"/>
        <v>0</v>
      </c>
      <c r="DJ153" s="47">
        <f t="shared" si="675"/>
        <v>2.8800000000000003</v>
      </c>
      <c r="DK153" s="27">
        <f>INDEX($BZ$6:$CV$138,63,13)</f>
        <v>0</v>
      </c>
      <c r="DL153" s="23">
        <f t="shared" si="676"/>
        <v>0</v>
      </c>
      <c r="DM153" s="14">
        <f t="shared" si="677"/>
        <v>46</v>
      </c>
      <c r="DN153" s="23">
        <f t="shared" si="694"/>
        <v>0</v>
      </c>
      <c r="DO153" s="27">
        <f>INDEX($BZ$6:$CV$138,63,17)</f>
        <v>0</v>
      </c>
      <c r="DP153" s="14">
        <f t="shared" si="633"/>
        <v>618</v>
      </c>
      <c r="DQ153" s="351">
        <f>INDEX($BZ$6:$CV$138,63,19)</f>
        <v>0</v>
      </c>
      <c r="DR153" s="416">
        <f t="shared" si="678"/>
        <v>618</v>
      </c>
      <c r="DS153" s="14">
        <f t="shared" si="679"/>
        <v>79</v>
      </c>
      <c r="DT153" s="29">
        <f>INDEX($BZ$6:$CV$138,63,22)</f>
        <v>0</v>
      </c>
      <c r="DU153" s="417">
        <f t="shared" si="680"/>
        <v>79</v>
      </c>
    </row>
    <row r="154" spans="3:125" x14ac:dyDescent="0.25">
      <c r="C154" s="25">
        <v>9</v>
      </c>
      <c r="D154" s="23" t="str">
        <f t="shared" si="681"/>
        <v>CASETA 1</v>
      </c>
      <c r="E154" s="26">
        <f>INDEX($C$6:$Y$138,64,3)</f>
        <v>0</v>
      </c>
      <c r="F154" s="26">
        <f>INDEX($C$6:$Y$138,70,4)</f>
        <v>0</v>
      </c>
      <c r="G154" s="23">
        <f t="shared" si="682"/>
        <v>0</v>
      </c>
      <c r="H154" s="23">
        <f t="shared" si="683"/>
        <v>0</v>
      </c>
      <c r="I154" s="23">
        <f t="shared" si="684"/>
        <v>0</v>
      </c>
      <c r="J154" s="88">
        <f t="shared" si="685"/>
        <v>0</v>
      </c>
      <c r="K154" s="26">
        <f>INDEX($C$6:$Y$138,70,9)</f>
        <v>0</v>
      </c>
      <c r="L154" s="47">
        <f t="shared" si="622"/>
        <v>0.16</v>
      </c>
      <c r="M154" s="28" t="e">
        <f t="shared" si="686"/>
        <v>#DIV/0!</v>
      </c>
      <c r="N154" s="47">
        <f t="shared" si="634"/>
        <v>3.0400000000000005</v>
      </c>
      <c r="O154" s="47">
        <f t="shared" si="687"/>
        <v>0</v>
      </c>
      <c r="P154" s="464">
        <f t="shared" si="688"/>
        <v>0</v>
      </c>
      <c r="Q154" s="14">
        <f t="shared" si="635"/>
        <v>49</v>
      </c>
      <c r="R154" s="23">
        <f t="shared" si="636"/>
        <v>0</v>
      </c>
      <c r="S154" s="30">
        <f>INDEX($C$6:$Y$138,70,17)</f>
        <v>0</v>
      </c>
      <c r="T154" s="14">
        <f t="shared" si="637"/>
        <v>712</v>
      </c>
      <c r="U154" s="349">
        <f>INDEX($C$6:$Y$138,70,19)</f>
        <v>0</v>
      </c>
      <c r="V154" s="415">
        <f t="shared" si="623"/>
        <v>712</v>
      </c>
      <c r="W154" s="14">
        <f t="shared" si="624"/>
        <v>79</v>
      </c>
      <c r="X154" s="75">
        <f>INDEX($C$6:$Y$138,70,22)</f>
        <v>0</v>
      </c>
      <c r="Y154" s="609">
        <f t="shared" si="625"/>
        <v>79</v>
      </c>
      <c r="Z154" s="489"/>
      <c r="AA154" s="1"/>
      <c r="AB154" s="25">
        <v>9</v>
      </c>
      <c r="AC154" s="23" t="str">
        <f t="shared" si="689"/>
        <v>CASETA 2</v>
      </c>
      <c r="AD154" s="26">
        <f>INDEX($AB$6:$AX$138,64,3)</f>
        <v>0</v>
      </c>
      <c r="AE154" s="26">
        <f>INDEX($AB$6:$AX$138,70,4)</f>
        <v>0</v>
      </c>
      <c r="AF154" s="23">
        <f t="shared" si="638"/>
        <v>0</v>
      </c>
      <c r="AG154" s="23">
        <f t="shared" si="639"/>
        <v>0</v>
      </c>
      <c r="AH154" s="23">
        <f t="shared" si="640"/>
        <v>0</v>
      </c>
      <c r="AI154" s="88">
        <f t="shared" si="641"/>
        <v>0</v>
      </c>
      <c r="AJ154" s="26">
        <f>INDEX($AB$6:$AX$138,70,9)</f>
        <v>0</v>
      </c>
      <c r="AK154" s="47">
        <f t="shared" si="642"/>
        <v>0.16</v>
      </c>
      <c r="AL154" s="28">
        <f t="shared" si="643"/>
        <v>0</v>
      </c>
      <c r="AM154" s="47">
        <f t="shared" si="644"/>
        <v>3.0400000000000005</v>
      </c>
      <c r="AN154" s="47">
        <f t="shared" si="645"/>
        <v>0</v>
      </c>
      <c r="AO154" s="464">
        <f t="shared" si="646"/>
        <v>0</v>
      </c>
      <c r="AP154" s="14">
        <f t="shared" si="647"/>
        <v>49</v>
      </c>
      <c r="AQ154" s="23">
        <f t="shared" si="648"/>
        <v>0</v>
      </c>
      <c r="AR154" s="30">
        <f>INDEX($AB$6:$AX$138,70,17)</f>
        <v>0</v>
      </c>
      <c r="AS154" s="14">
        <f t="shared" si="649"/>
        <v>712</v>
      </c>
      <c r="AT154" s="349">
        <f>INDEX($AB$6:$AX$138,70,19)</f>
        <v>0</v>
      </c>
      <c r="AU154" s="415">
        <f t="shared" si="650"/>
        <v>712</v>
      </c>
      <c r="AV154" s="14">
        <f t="shared" si="651"/>
        <v>79</v>
      </c>
      <c r="AW154" s="75">
        <f>INDEX($AB$6:$AX$138,70,22)</f>
        <v>0</v>
      </c>
      <c r="AX154" s="609">
        <f t="shared" si="626"/>
        <v>79</v>
      </c>
      <c r="AZ154" s="1"/>
      <c r="BA154" s="25">
        <v>9</v>
      </c>
      <c r="BB154" s="25" t="str">
        <f t="shared" si="695"/>
        <v>CASETA 3</v>
      </c>
      <c r="BC154" s="26">
        <f>INDEX($BA$6:$BW$138,64,3)</f>
        <v>0</v>
      </c>
      <c r="BD154" s="26">
        <f>INDEX($BA$6:$BW$138,70,4)</f>
        <v>0</v>
      </c>
      <c r="BE154" s="23">
        <f t="shared" si="652"/>
        <v>0</v>
      </c>
      <c r="BF154" s="23">
        <f t="shared" si="653"/>
        <v>0</v>
      </c>
      <c r="BG154" s="23">
        <f t="shared" si="654"/>
        <v>0</v>
      </c>
      <c r="BH154" s="88">
        <f t="shared" si="655"/>
        <v>0</v>
      </c>
      <c r="BI154" s="26">
        <f>INDEX($BA$6:$BW$138,70,9)</f>
        <v>0</v>
      </c>
      <c r="BJ154" s="47">
        <f t="shared" si="627"/>
        <v>0.16</v>
      </c>
      <c r="BK154" s="28">
        <f t="shared" si="656"/>
        <v>0</v>
      </c>
      <c r="BL154" s="47">
        <f t="shared" si="628"/>
        <v>3.0400000000000005</v>
      </c>
      <c r="BM154" s="27">
        <f>INDEX($BA$6:$BW$138,70,13)</f>
        <v>0</v>
      </c>
      <c r="BN154" s="23">
        <f t="shared" si="657"/>
        <v>0</v>
      </c>
      <c r="BO154" s="14">
        <f t="shared" si="629"/>
        <v>49</v>
      </c>
      <c r="BP154" s="23">
        <f t="shared" si="658"/>
        <v>0</v>
      </c>
      <c r="BQ154" s="27">
        <f>INDEX($BA$6:$BW$138,70,17)</f>
        <v>0</v>
      </c>
      <c r="BR154" s="14">
        <f t="shared" si="630"/>
        <v>712</v>
      </c>
      <c r="BS154" s="350">
        <f>INDEX($BA$6:$BW$138,70,19)</f>
        <v>0</v>
      </c>
      <c r="BT154" s="26">
        <f t="shared" si="690"/>
        <v>712</v>
      </c>
      <c r="BU154" s="14">
        <f t="shared" si="631"/>
        <v>79</v>
      </c>
      <c r="BV154" s="26">
        <f>INDEX($BA$6:$BW$138,70,22)</f>
        <v>0</v>
      </c>
      <c r="BW154" s="26">
        <f t="shared" si="698"/>
        <v>79</v>
      </c>
      <c r="BY154" s="1"/>
      <c r="BZ154" s="25">
        <v>9</v>
      </c>
      <c r="CA154" s="25" t="str">
        <f t="shared" si="696"/>
        <v>CASETA 4</v>
      </c>
      <c r="CB154" s="26">
        <f>INDEX($BZ$6:$CV$138,64,3)</f>
        <v>0</v>
      </c>
      <c r="CC154" s="26">
        <f>INDEX($BZ$6:$CV$138,70,4)</f>
        <v>0</v>
      </c>
      <c r="CD154" s="23">
        <f t="shared" si="659"/>
        <v>0</v>
      </c>
      <c r="CE154" s="23">
        <f t="shared" si="660"/>
        <v>0</v>
      </c>
      <c r="CF154" s="23">
        <f t="shared" si="661"/>
        <v>0</v>
      </c>
      <c r="CG154" s="88">
        <f t="shared" si="662"/>
        <v>0</v>
      </c>
      <c r="CH154" s="26">
        <f>INDEX($BZ$6:$CV$138,70,9)</f>
        <v>0</v>
      </c>
      <c r="CI154" s="47">
        <f t="shared" si="663"/>
        <v>0.16</v>
      </c>
      <c r="CJ154" s="23">
        <f t="shared" si="691"/>
        <v>0</v>
      </c>
      <c r="CK154" s="47">
        <f t="shared" si="664"/>
        <v>3.0400000000000005</v>
      </c>
      <c r="CL154" s="27">
        <f>INDEX($BZ$6:$CV$138,70,13)</f>
        <v>0</v>
      </c>
      <c r="CM154" s="23">
        <f t="shared" si="665"/>
        <v>0</v>
      </c>
      <c r="CN154" s="14">
        <f t="shared" si="666"/>
        <v>49</v>
      </c>
      <c r="CO154" s="23">
        <f t="shared" si="692"/>
        <v>0</v>
      </c>
      <c r="CP154" s="27">
        <f>INDEX($BZ$6:$CV$138,70,17)</f>
        <v>0</v>
      </c>
      <c r="CQ154" s="14">
        <f t="shared" si="632"/>
        <v>712</v>
      </c>
      <c r="CR154" s="351">
        <f>INDEX($BZ$6:$CV$138,70,19)</f>
        <v>0</v>
      </c>
      <c r="CS154" s="416">
        <f t="shared" si="667"/>
        <v>712</v>
      </c>
      <c r="CT154" s="14">
        <f t="shared" si="668"/>
        <v>79</v>
      </c>
      <c r="CU154" s="29">
        <f>INDEX($BZ$6:$CV$138,70,22)</f>
        <v>0</v>
      </c>
      <c r="CV154" s="417">
        <f t="shared" si="669"/>
        <v>79</v>
      </c>
      <c r="CY154" s="25">
        <v>9</v>
      </c>
      <c r="CZ154" s="25" t="str">
        <f t="shared" si="697"/>
        <v>CASETA 5</v>
      </c>
      <c r="DA154" s="26">
        <f>INDEX($BZ$6:$CV$138,64,3)</f>
        <v>0</v>
      </c>
      <c r="DB154" s="26">
        <f>INDEX($BZ$6:$CV$138,70,4)</f>
        <v>0</v>
      </c>
      <c r="DC154" s="23">
        <f t="shared" si="670"/>
        <v>0</v>
      </c>
      <c r="DD154" s="23">
        <f t="shared" si="671"/>
        <v>0</v>
      </c>
      <c r="DE154" s="23">
        <f t="shared" si="672"/>
        <v>0</v>
      </c>
      <c r="DF154" s="88">
        <f t="shared" si="699"/>
        <v>0</v>
      </c>
      <c r="DG154" s="26">
        <f>INDEX($BZ$6:$CV$138,70,9)</f>
        <v>0</v>
      </c>
      <c r="DH154" s="47">
        <f t="shared" si="674"/>
        <v>0.16</v>
      </c>
      <c r="DI154" s="23">
        <f t="shared" si="693"/>
        <v>0</v>
      </c>
      <c r="DJ154" s="47">
        <f t="shared" si="675"/>
        <v>3.0400000000000005</v>
      </c>
      <c r="DK154" s="27">
        <f>INDEX($BZ$6:$CV$138,70,13)</f>
        <v>0</v>
      </c>
      <c r="DL154" s="23">
        <f t="shared" si="676"/>
        <v>0</v>
      </c>
      <c r="DM154" s="14">
        <f t="shared" si="677"/>
        <v>49</v>
      </c>
      <c r="DN154" s="23">
        <f t="shared" si="694"/>
        <v>0</v>
      </c>
      <c r="DO154" s="27">
        <f>INDEX($BZ$6:$CV$138,70,17)</f>
        <v>0</v>
      </c>
      <c r="DP154" s="14">
        <f t="shared" si="633"/>
        <v>712</v>
      </c>
      <c r="DQ154" s="351">
        <f>INDEX($BZ$6:$CV$138,70,19)</f>
        <v>0</v>
      </c>
      <c r="DR154" s="416">
        <f t="shared" si="678"/>
        <v>712</v>
      </c>
      <c r="DS154" s="14">
        <f t="shared" si="679"/>
        <v>79</v>
      </c>
      <c r="DT154" s="29">
        <f>INDEX($BZ$6:$CV$138,70,22)</f>
        <v>0</v>
      </c>
      <c r="DU154" s="417">
        <f t="shared" si="680"/>
        <v>79</v>
      </c>
    </row>
    <row r="155" spans="3:125" x14ac:dyDescent="0.25">
      <c r="C155" s="25">
        <v>10</v>
      </c>
      <c r="D155" s="23" t="str">
        <f t="shared" si="681"/>
        <v>CASETA 1</v>
      </c>
      <c r="E155" s="26">
        <f>INDEX($C$6:$Y$138,71,3)</f>
        <v>0</v>
      </c>
      <c r="F155" s="26">
        <f>INDEX($C$6:$Y$138,77,4)</f>
        <v>0</v>
      </c>
      <c r="G155" s="23">
        <f t="shared" si="682"/>
        <v>0</v>
      </c>
      <c r="H155" s="23">
        <f t="shared" si="683"/>
        <v>0</v>
      </c>
      <c r="I155" s="23">
        <f>SUMIFS($I$6:$I$138,$C$6:$C$138,$C155)</f>
        <v>0</v>
      </c>
      <c r="J155" s="88">
        <f t="shared" si="685"/>
        <v>0</v>
      </c>
      <c r="K155" s="26">
        <f>INDEX($C$6:$Y$138,77,9)</f>
        <v>0</v>
      </c>
      <c r="L155" s="47">
        <f t="shared" si="622"/>
        <v>0.16</v>
      </c>
      <c r="M155" s="28" t="e">
        <f t="shared" si="686"/>
        <v>#DIV/0!</v>
      </c>
      <c r="N155" s="47">
        <f t="shared" si="634"/>
        <v>3.2000000000000006</v>
      </c>
      <c r="O155" s="47">
        <f t="shared" si="687"/>
        <v>0</v>
      </c>
      <c r="P155" s="464">
        <f t="shared" si="688"/>
        <v>0</v>
      </c>
      <c r="Q155" s="14">
        <f t="shared" si="635"/>
        <v>52</v>
      </c>
      <c r="R155" s="23">
        <f t="shared" si="636"/>
        <v>0</v>
      </c>
      <c r="S155" s="30">
        <f>INDEX($C$6:$Y$138,77,17)</f>
        <v>0</v>
      </c>
      <c r="T155" s="14">
        <f t="shared" si="637"/>
        <v>802</v>
      </c>
      <c r="U155" s="349">
        <f>INDEX($C$6:$Y$138,77,19)</f>
        <v>0</v>
      </c>
      <c r="V155" s="415">
        <f t="shared" si="623"/>
        <v>802</v>
      </c>
      <c r="W155" s="14">
        <f t="shared" si="624"/>
        <v>80</v>
      </c>
      <c r="X155" s="75">
        <f>INDEX($C$6:$Y$138,77,22)</f>
        <v>0</v>
      </c>
      <c r="Y155" s="609">
        <f t="shared" si="625"/>
        <v>80</v>
      </c>
      <c r="Z155" s="489"/>
      <c r="AA155" s="1"/>
      <c r="AB155" s="25">
        <v>10</v>
      </c>
      <c r="AC155" s="23" t="str">
        <f t="shared" si="689"/>
        <v>CASETA 2</v>
      </c>
      <c r="AD155" s="26">
        <f>INDEX($AB$6:$AX$138,71,3)</f>
        <v>0</v>
      </c>
      <c r="AE155" s="26">
        <f>INDEX($AB$6:$AX$138,77,4)</f>
        <v>0</v>
      </c>
      <c r="AF155" s="23">
        <f t="shared" si="638"/>
        <v>0</v>
      </c>
      <c r="AG155" s="23">
        <f t="shared" si="639"/>
        <v>0</v>
      </c>
      <c r="AH155" s="23">
        <f t="shared" si="640"/>
        <v>0</v>
      </c>
      <c r="AI155" s="88">
        <f t="shared" si="641"/>
        <v>0</v>
      </c>
      <c r="AJ155" s="26">
        <f>INDEX($AB$6:$AX$138,77,9)</f>
        <v>0</v>
      </c>
      <c r="AK155" s="47">
        <f t="shared" si="642"/>
        <v>0.16</v>
      </c>
      <c r="AL155" s="28">
        <f t="shared" si="643"/>
        <v>0</v>
      </c>
      <c r="AM155" s="47">
        <f t="shared" si="644"/>
        <v>3.2000000000000006</v>
      </c>
      <c r="AN155" s="47">
        <f t="shared" si="645"/>
        <v>0</v>
      </c>
      <c r="AO155" s="464">
        <f t="shared" si="646"/>
        <v>0</v>
      </c>
      <c r="AP155" s="14">
        <f t="shared" si="647"/>
        <v>52</v>
      </c>
      <c r="AQ155" s="23">
        <f t="shared" si="648"/>
        <v>0</v>
      </c>
      <c r="AR155" s="30">
        <f>INDEX($AB$6:$AX$138,77,17)</f>
        <v>0</v>
      </c>
      <c r="AS155" s="14">
        <f t="shared" si="649"/>
        <v>802</v>
      </c>
      <c r="AT155" s="349">
        <f>INDEX($AB$6:$AX$138,77,19)</f>
        <v>0</v>
      </c>
      <c r="AU155" s="415">
        <f t="shared" si="650"/>
        <v>802</v>
      </c>
      <c r="AV155" s="14">
        <f t="shared" si="651"/>
        <v>80</v>
      </c>
      <c r="AW155" s="75">
        <f>INDEX($AB$6:$AX$138,77,22)</f>
        <v>0</v>
      </c>
      <c r="AX155" s="609">
        <f t="shared" si="626"/>
        <v>80</v>
      </c>
      <c r="AZ155" s="1"/>
      <c r="BA155" s="25">
        <v>10</v>
      </c>
      <c r="BB155" s="25" t="str">
        <f t="shared" si="695"/>
        <v>CASETA 3</v>
      </c>
      <c r="BC155" s="26">
        <f>INDEX($BA$6:$BW$138,71,3)</f>
        <v>0</v>
      </c>
      <c r="BD155" s="26">
        <f>INDEX($BA$6:$BW$138,77,4)</f>
        <v>0</v>
      </c>
      <c r="BE155" s="23">
        <f t="shared" si="652"/>
        <v>0</v>
      </c>
      <c r="BF155" s="23">
        <f t="shared" si="653"/>
        <v>0</v>
      </c>
      <c r="BG155" s="23">
        <f t="shared" si="654"/>
        <v>0</v>
      </c>
      <c r="BH155" s="88">
        <f t="shared" si="655"/>
        <v>0</v>
      </c>
      <c r="BI155" s="26">
        <f>INDEX($BA$6:$BW$138,77,9)</f>
        <v>0</v>
      </c>
      <c r="BJ155" s="47">
        <f t="shared" si="627"/>
        <v>0.16</v>
      </c>
      <c r="BK155" s="28">
        <f t="shared" si="656"/>
        <v>0</v>
      </c>
      <c r="BL155" s="47">
        <f t="shared" si="628"/>
        <v>3.2000000000000006</v>
      </c>
      <c r="BM155" s="27">
        <f>INDEX($BA$6:$BW$138,77,13)</f>
        <v>0</v>
      </c>
      <c r="BN155" s="23">
        <f t="shared" si="657"/>
        <v>0</v>
      </c>
      <c r="BO155" s="14">
        <f t="shared" si="629"/>
        <v>52</v>
      </c>
      <c r="BP155" s="23">
        <f t="shared" si="658"/>
        <v>0</v>
      </c>
      <c r="BQ155" s="27">
        <f>INDEX($BA$6:$BW$138,77,17)</f>
        <v>0</v>
      </c>
      <c r="BR155" s="14">
        <f t="shared" si="630"/>
        <v>802</v>
      </c>
      <c r="BS155" s="350">
        <f>INDEX($BA$6:$BW$138,77,19)</f>
        <v>0</v>
      </c>
      <c r="BT155" s="26">
        <f t="shared" si="690"/>
        <v>802</v>
      </c>
      <c r="BU155" s="14">
        <f t="shared" si="631"/>
        <v>80</v>
      </c>
      <c r="BV155" s="26">
        <f>INDEX($BA$6:$BW$138,77,22)</f>
        <v>0</v>
      </c>
      <c r="BW155" s="26">
        <f t="shared" si="698"/>
        <v>80</v>
      </c>
      <c r="BY155" s="1"/>
      <c r="BZ155" s="25">
        <v>10</v>
      </c>
      <c r="CA155" s="25" t="str">
        <f t="shared" si="696"/>
        <v>CASETA 4</v>
      </c>
      <c r="CB155" s="26">
        <f>INDEX($BZ$6:$CV$138,71,3)</f>
        <v>0</v>
      </c>
      <c r="CC155" s="26">
        <f>INDEX($BZ$6:$CV$138,77,4)</f>
        <v>0</v>
      </c>
      <c r="CD155" s="23">
        <f t="shared" si="659"/>
        <v>0</v>
      </c>
      <c r="CE155" s="23">
        <f t="shared" si="660"/>
        <v>0</v>
      </c>
      <c r="CF155" s="23">
        <f t="shared" si="661"/>
        <v>0</v>
      </c>
      <c r="CG155" s="88">
        <f t="shared" si="662"/>
        <v>0</v>
      </c>
      <c r="CH155" s="26">
        <f>INDEX($BZ$6:$CV$138,77,9)</f>
        <v>0</v>
      </c>
      <c r="CI155" s="47">
        <f t="shared" si="663"/>
        <v>0.16</v>
      </c>
      <c r="CJ155" s="23">
        <f t="shared" si="691"/>
        <v>0</v>
      </c>
      <c r="CK155" s="47">
        <f t="shared" si="664"/>
        <v>3.2000000000000006</v>
      </c>
      <c r="CL155" s="27">
        <f>INDEX($BZ$6:$CV$138,77,13)</f>
        <v>0</v>
      </c>
      <c r="CM155" s="23">
        <f t="shared" si="665"/>
        <v>0</v>
      </c>
      <c r="CN155" s="14">
        <f t="shared" si="666"/>
        <v>52</v>
      </c>
      <c r="CO155" s="23">
        <f t="shared" si="692"/>
        <v>0</v>
      </c>
      <c r="CP155" s="27">
        <f>INDEX($BZ$6:$CV$138,77,17)</f>
        <v>0</v>
      </c>
      <c r="CQ155" s="14">
        <f t="shared" si="632"/>
        <v>802</v>
      </c>
      <c r="CR155" s="351">
        <f>INDEX($BZ$6:$CV$138,77,19)</f>
        <v>0</v>
      </c>
      <c r="CS155" s="416">
        <f t="shared" si="667"/>
        <v>802</v>
      </c>
      <c r="CT155" s="14">
        <f t="shared" si="668"/>
        <v>80</v>
      </c>
      <c r="CU155" s="29">
        <f>INDEX($BZ$6:$CV$138,77,22)</f>
        <v>0</v>
      </c>
      <c r="CV155" s="417">
        <f t="shared" si="669"/>
        <v>80</v>
      </c>
      <c r="CY155" s="25">
        <v>10</v>
      </c>
      <c r="CZ155" s="25" t="str">
        <f t="shared" si="697"/>
        <v>CASETA 5</v>
      </c>
      <c r="DA155" s="26">
        <f>INDEX($BZ$6:$CV$138,71,3)</f>
        <v>0</v>
      </c>
      <c r="DB155" s="26">
        <f>INDEX($BZ$6:$CV$138,77,4)</f>
        <v>0</v>
      </c>
      <c r="DC155" s="23">
        <f t="shared" si="670"/>
        <v>0</v>
      </c>
      <c r="DD155" s="23">
        <f t="shared" si="671"/>
        <v>0</v>
      </c>
      <c r="DE155" s="23">
        <f t="shared" si="672"/>
        <v>0</v>
      </c>
      <c r="DF155" s="88">
        <f t="shared" si="699"/>
        <v>0</v>
      </c>
      <c r="DG155" s="26">
        <f>INDEX($BZ$6:$CV$138,77,9)</f>
        <v>0</v>
      </c>
      <c r="DH155" s="47">
        <f t="shared" si="674"/>
        <v>0.16</v>
      </c>
      <c r="DI155" s="23">
        <f t="shared" si="693"/>
        <v>0</v>
      </c>
      <c r="DJ155" s="47">
        <f t="shared" si="675"/>
        <v>3.2000000000000006</v>
      </c>
      <c r="DK155" s="27">
        <f>INDEX($BZ$6:$CV$138,77,13)</f>
        <v>0</v>
      </c>
      <c r="DL155" s="23">
        <f t="shared" si="676"/>
        <v>0</v>
      </c>
      <c r="DM155" s="14">
        <f t="shared" si="677"/>
        <v>52</v>
      </c>
      <c r="DN155" s="23">
        <f t="shared" si="694"/>
        <v>0</v>
      </c>
      <c r="DO155" s="27">
        <f>INDEX($BZ$6:$CV$138,77,17)</f>
        <v>0</v>
      </c>
      <c r="DP155" s="14">
        <f t="shared" si="633"/>
        <v>802</v>
      </c>
      <c r="DQ155" s="351">
        <f>INDEX($BZ$6:$CV$138,77,19)</f>
        <v>0</v>
      </c>
      <c r="DR155" s="416">
        <f t="shared" si="678"/>
        <v>802</v>
      </c>
      <c r="DS155" s="14">
        <f t="shared" si="679"/>
        <v>80</v>
      </c>
      <c r="DT155" s="29">
        <f>INDEX($BZ$6:$CV$138,77,22)</f>
        <v>0</v>
      </c>
      <c r="DU155" s="417">
        <f t="shared" si="680"/>
        <v>80</v>
      </c>
    </row>
    <row r="156" spans="3:125" x14ac:dyDescent="0.25">
      <c r="C156" s="25">
        <v>11</v>
      </c>
      <c r="D156" s="23" t="str">
        <f t="shared" si="681"/>
        <v>CASETA 1</v>
      </c>
      <c r="E156" s="26">
        <f>INDEX($C$6:$Y$138,78,3)</f>
        <v>0</v>
      </c>
      <c r="F156" s="26">
        <f>INDEX($C$6:$Y$138,84,4)</f>
        <v>0</v>
      </c>
      <c r="G156" s="23">
        <f t="shared" si="682"/>
        <v>0</v>
      </c>
      <c r="H156" s="23">
        <f t="shared" si="683"/>
        <v>0</v>
      </c>
      <c r="I156" s="23">
        <f t="shared" si="684"/>
        <v>0</v>
      </c>
      <c r="J156" s="88">
        <f t="shared" si="685"/>
        <v>0</v>
      </c>
      <c r="K156" s="26">
        <f>INDEX($C$6:$Y$138,84,9)</f>
        <v>0</v>
      </c>
      <c r="L156" s="47">
        <f t="shared" si="622"/>
        <v>0.16</v>
      </c>
      <c r="M156" s="28" t="e">
        <f t="shared" si="686"/>
        <v>#DIV/0!</v>
      </c>
      <c r="N156" s="47">
        <f t="shared" si="634"/>
        <v>3.3600000000000008</v>
      </c>
      <c r="O156" s="47">
        <f t="shared" si="687"/>
        <v>0</v>
      </c>
      <c r="P156" s="464">
        <f t="shared" si="688"/>
        <v>0</v>
      </c>
      <c r="Q156" s="14">
        <f t="shared" si="635"/>
        <v>55</v>
      </c>
      <c r="R156" s="23">
        <f t="shared" si="636"/>
        <v>0</v>
      </c>
      <c r="S156" s="30">
        <f>INDEX($C$6:$Y$138,84,17)</f>
        <v>0</v>
      </c>
      <c r="T156" s="14">
        <f t="shared" si="637"/>
        <v>880</v>
      </c>
      <c r="U156" s="349">
        <f>INDEX($C$6:$Y$138,84,19)</f>
        <v>0</v>
      </c>
      <c r="V156" s="415">
        <f t="shared" si="623"/>
        <v>880</v>
      </c>
      <c r="W156" s="14">
        <f t="shared" si="624"/>
        <v>80</v>
      </c>
      <c r="X156" s="75">
        <f>INDEX($C$6:$Y$138,84,22)</f>
        <v>0</v>
      </c>
      <c r="Y156" s="609">
        <f t="shared" si="625"/>
        <v>80</v>
      </c>
      <c r="Z156" s="489"/>
      <c r="AA156" s="1"/>
      <c r="AB156" s="25">
        <v>11</v>
      </c>
      <c r="AC156" s="23" t="str">
        <f t="shared" si="689"/>
        <v>CASETA 2</v>
      </c>
      <c r="AD156" s="26">
        <f>INDEX($AB$6:$AX$138,78,3)</f>
        <v>0</v>
      </c>
      <c r="AE156" s="26">
        <f>INDEX($AB$6:$AX$138,84,4)</f>
        <v>0</v>
      </c>
      <c r="AF156" s="23">
        <f t="shared" si="638"/>
        <v>0</v>
      </c>
      <c r="AG156" s="23">
        <f t="shared" si="639"/>
        <v>0</v>
      </c>
      <c r="AH156" s="23">
        <f t="shared" si="640"/>
        <v>0</v>
      </c>
      <c r="AI156" s="88">
        <f t="shared" si="641"/>
        <v>0</v>
      </c>
      <c r="AJ156" s="26">
        <f>INDEX($AB$6:$AX$138,84,9)</f>
        <v>0</v>
      </c>
      <c r="AK156" s="47">
        <f t="shared" si="642"/>
        <v>0.16</v>
      </c>
      <c r="AL156" s="28">
        <f t="shared" si="643"/>
        <v>0</v>
      </c>
      <c r="AM156" s="47">
        <f t="shared" si="644"/>
        <v>3.3600000000000008</v>
      </c>
      <c r="AN156" s="47">
        <f t="shared" si="645"/>
        <v>0</v>
      </c>
      <c r="AO156" s="464">
        <f t="shared" si="646"/>
        <v>0</v>
      </c>
      <c r="AP156" s="14">
        <f t="shared" si="647"/>
        <v>55</v>
      </c>
      <c r="AQ156" s="23">
        <f t="shared" si="648"/>
        <v>0</v>
      </c>
      <c r="AR156" s="30">
        <f>INDEX($AB$6:$AX$138,84,17)</f>
        <v>0</v>
      </c>
      <c r="AS156" s="14">
        <f t="shared" si="649"/>
        <v>880</v>
      </c>
      <c r="AT156" s="349">
        <f>INDEX($AB$6:$AX$138,84,19)</f>
        <v>0</v>
      </c>
      <c r="AU156" s="415">
        <f t="shared" si="650"/>
        <v>880</v>
      </c>
      <c r="AV156" s="14">
        <f t="shared" si="651"/>
        <v>80</v>
      </c>
      <c r="AW156" s="75">
        <f>INDEX($AB$6:$AX$138,84,22)</f>
        <v>0</v>
      </c>
      <c r="AX156" s="609">
        <f t="shared" si="626"/>
        <v>80</v>
      </c>
      <c r="AZ156" s="1"/>
      <c r="BA156" s="25">
        <v>11</v>
      </c>
      <c r="BB156" s="25" t="str">
        <f t="shared" si="695"/>
        <v>CASETA 3</v>
      </c>
      <c r="BC156" s="26">
        <f>INDEX($BA$6:$BW$138,78,3)</f>
        <v>0</v>
      </c>
      <c r="BD156" s="26">
        <f>INDEX($BA$6:$BW$138,84,4)</f>
        <v>0</v>
      </c>
      <c r="BE156" s="23">
        <f t="shared" si="652"/>
        <v>0</v>
      </c>
      <c r="BF156" s="23">
        <f t="shared" si="653"/>
        <v>0</v>
      </c>
      <c r="BG156" s="23">
        <f t="shared" si="654"/>
        <v>0</v>
      </c>
      <c r="BH156" s="88">
        <f t="shared" si="655"/>
        <v>0</v>
      </c>
      <c r="BI156" s="26">
        <f>INDEX($BA$6:$BW$138,84,9)</f>
        <v>0</v>
      </c>
      <c r="BJ156" s="47">
        <f t="shared" si="627"/>
        <v>0.16</v>
      </c>
      <c r="BK156" s="28">
        <f t="shared" si="656"/>
        <v>0</v>
      </c>
      <c r="BL156" s="47">
        <f t="shared" si="628"/>
        <v>3.3600000000000008</v>
      </c>
      <c r="BM156" s="27">
        <f>INDEX($BA$6:$BW$138,84,13)</f>
        <v>0</v>
      </c>
      <c r="BN156" s="23">
        <f t="shared" si="657"/>
        <v>0</v>
      </c>
      <c r="BO156" s="14">
        <f t="shared" si="629"/>
        <v>55</v>
      </c>
      <c r="BP156" s="23">
        <f t="shared" si="658"/>
        <v>0</v>
      </c>
      <c r="BQ156" s="27">
        <f>INDEX($BA$6:$BW$138,84,17)</f>
        <v>0</v>
      </c>
      <c r="BR156" s="14">
        <f t="shared" si="630"/>
        <v>880</v>
      </c>
      <c r="BS156" s="350">
        <f>INDEX($BA$6:$BW$138,84,19)</f>
        <v>0</v>
      </c>
      <c r="BT156" s="26">
        <f t="shared" si="690"/>
        <v>880</v>
      </c>
      <c r="BU156" s="14">
        <f t="shared" si="631"/>
        <v>80</v>
      </c>
      <c r="BV156" s="26">
        <f>INDEX($BA$6:$BW$138,84,22)</f>
        <v>0</v>
      </c>
      <c r="BW156" s="26">
        <f t="shared" si="698"/>
        <v>80</v>
      </c>
      <c r="BY156" s="1"/>
      <c r="BZ156" s="25">
        <v>11</v>
      </c>
      <c r="CA156" s="25" t="str">
        <f t="shared" si="696"/>
        <v>CASETA 4</v>
      </c>
      <c r="CB156" s="26">
        <f>INDEX($BZ$6:$CV$138,78,3)</f>
        <v>0</v>
      </c>
      <c r="CC156" s="26">
        <f>INDEX($BZ$6:$CV$138,84,4)</f>
        <v>0</v>
      </c>
      <c r="CD156" s="23">
        <f t="shared" si="659"/>
        <v>0</v>
      </c>
      <c r="CE156" s="23">
        <f t="shared" si="660"/>
        <v>0</v>
      </c>
      <c r="CF156" s="23">
        <f t="shared" si="661"/>
        <v>0</v>
      </c>
      <c r="CG156" s="88">
        <f t="shared" si="662"/>
        <v>0</v>
      </c>
      <c r="CH156" s="26">
        <f>INDEX($BZ$6:$CV$138,84,9)</f>
        <v>0</v>
      </c>
      <c r="CI156" s="47">
        <f t="shared" si="663"/>
        <v>0.16</v>
      </c>
      <c r="CJ156" s="23">
        <f t="shared" si="691"/>
        <v>0</v>
      </c>
      <c r="CK156" s="47">
        <f t="shared" si="664"/>
        <v>3.3600000000000008</v>
      </c>
      <c r="CL156" s="27">
        <f>INDEX($BZ$6:$CV$138,84,13)</f>
        <v>0</v>
      </c>
      <c r="CM156" s="23">
        <f t="shared" si="665"/>
        <v>0</v>
      </c>
      <c r="CN156" s="14">
        <f t="shared" si="666"/>
        <v>55</v>
      </c>
      <c r="CO156" s="23">
        <f t="shared" si="692"/>
        <v>0</v>
      </c>
      <c r="CP156" s="27">
        <f>INDEX($BZ$6:$CV$138,84,17)</f>
        <v>0</v>
      </c>
      <c r="CQ156" s="14">
        <f t="shared" si="632"/>
        <v>880</v>
      </c>
      <c r="CR156" s="351">
        <f>INDEX($BZ$6:$CV$138,84,19)</f>
        <v>0</v>
      </c>
      <c r="CS156" s="416">
        <f t="shared" si="667"/>
        <v>880</v>
      </c>
      <c r="CT156" s="14">
        <f t="shared" si="668"/>
        <v>80</v>
      </c>
      <c r="CU156" s="29">
        <f>INDEX($BZ$6:$CV$138,84,22)</f>
        <v>0</v>
      </c>
      <c r="CV156" s="417">
        <f t="shared" si="669"/>
        <v>80</v>
      </c>
      <c r="CY156" s="25">
        <v>11</v>
      </c>
      <c r="CZ156" s="25" t="str">
        <f t="shared" si="697"/>
        <v>CASETA 5</v>
      </c>
      <c r="DA156" s="26">
        <f>INDEX($BZ$6:$CV$138,78,3)</f>
        <v>0</v>
      </c>
      <c r="DB156" s="26">
        <f>INDEX($BZ$6:$CV$138,84,4)</f>
        <v>0</v>
      </c>
      <c r="DC156" s="23">
        <f t="shared" si="670"/>
        <v>0</v>
      </c>
      <c r="DD156" s="23">
        <f t="shared" si="671"/>
        <v>0</v>
      </c>
      <c r="DE156" s="23">
        <f t="shared" si="672"/>
        <v>0</v>
      </c>
      <c r="DF156" s="88">
        <f t="shared" si="699"/>
        <v>0</v>
      </c>
      <c r="DG156" s="26">
        <f>INDEX($BZ$6:$CV$138,84,9)</f>
        <v>0</v>
      </c>
      <c r="DH156" s="47">
        <f t="shared" si="674"/>
        <v>0.16</v>
      </c>
      <c r="DI156" s="23">
        <f t="shared" si="693"/>
        <v>0</v>
      </c>
      <c r="DJ156" s="47">
        <f t="shared" si="675"/>
        <v>3.3600000000000008</v>
      </c>
      <c r="DK156" s="27">
        <f>INDEX($BZ$6:$CV$138,84,13)</f>
        <v>0</v>
      </c>
      <c r="DL156" s="23">
        <f t="shared" si="676"/>
        <v>0</v>
      </c>
      <c r="DM156" s="14">
        <f t="shared" si="677"/>
        <v>55</v>
      </c>
      <c r="DN156" s="23">
        <f t="shared" si="694"/>
        <v>0</v>
      </c>
      <c r="DO156" s="27">
        <f>INDEX($BZ$6:$CV$138,84,17)</f>
        <v>0</v>
      </c>
      <c r="DP156" s="14">
        <f t="shared" si="633"/>
        <v>880</v>
      </c>
      <c r="DQ156" s="351">
        <f>INDEX($BZ$6:$CV$138,84,19)</f>
        <v>0</v>
      </c>
      <c r="DR156" s="416">
        <f t="shared" si="678"/>
        <v>880</v>
      </c>
      <c r="DS156" s="14">
        <f t="shared" si="679"/>
        <v>80</v>
      </c>
      <c r="DT156" s="29">
        <f>INDEX($BZ$6:$CV$138,84,22)</f>
        <v>0</v>
      </c>
      <c r="DU156" s="417">
        <f t="shared" si="680"/>
        <v>80</v>
      </c>
    </row>
    <row r="157" spans="3:125" x14ac:dyDescent="0.25">
      <c r="C157" s="25">
        <v>12</v>
      </c>
      <c r="D157" s="23" t="str">
        <f t="shared" si="681"/>
        <v>CASETA 1</v>
      </c>
      <c r="E157" s="26">
        <f>INDEX($C$6:$Y$138,85,3)</f>
        <v>0</v>
      </c>
      <c r="F157" s="26">
        <f>INDEX($C$6:$Y$138,91,4)</f>
        <v>0</v>
      </c>
      <c r="G157" s="23">
        <f t="shared" si="682"/>
        <v>0</v>
      </c>
      <c r="H157" s="23">
        <f t="shared" si="683"/>
        <v>0</v>
      </c>
      <c r="I157" s="23">
        <f t="shared" si="684"/>
        <v>0</v>
      </c>
      <c r="J157" s="88">
        <f t="shared" si="685"/>
        <v>0</v>
      </c>
      <c r="K157" s="26">
        <f>INDEX($C$6:$Y$138,91,9)</f>
        <v>0</v>
      </c>
      <c r="L157" s="47">
        <f t="shared" si="622"/>
        <v>0.16</v>
      </c>
      <c r="M157" s="28" t="e">
        <f t="shared" si="686"/>
        <v>#DIV/0!</v>
      </c>
      <c r="N157" s="47">
        <f t="shared" si="634"/>
        <v>3.5200000000000009</v>
      </c>
      <c r="O157" s="47">
        <f t="shared" si="687"/>
        <v>0</v>
      </c>
      <c r="P157" s="464">
        <f t="shared" si="688"/>
        <v>0</v>
      </c>
      <c r="Q157" s="14">
        <f t="shared" si="635"/>
        <v>58</v>
      </c>
      <c r="R157" s="23">
        <f t="shared" si="636"/>
        <v>0</v>
      </c>
      <c r="S157" s="30">
        <f>INDEX($C$6:$Y$138,91,17)</f>
        <v>0</v>
      </c>
      <c r="T157" s="14">
        <f t="shared" si="637"/>
        <v>950</v>
      </c>
      <c r="U157" s="349">
        <f>INDEX($C$6:$Y$138,91,19)</f>
        <v>0</v>
      </c>
      <c r="V157" s="415">
        <f t="shared" si="623"/>
        <v>950</v>
      </c>
      <c r="W157" s="14">
        <f t="shared" si="624"/>
        <v>82</v>
      </c>
      <c r="X157" s="75">
        <f>INDEX($C$6:$Y$138,91,22)</f>
        <v>0</v>
      </c>
      <c r="Y157" s="609">
        <f t="shared" si="625"/>
        <v>82</v>
      </c>
      <c r="Z157" s="489"/>
      <c r="AA157" s="1"/>
      <c r="AB157" s="25">
        <v>12</v>
      </c>
      <c r="AC157" s="23" t="str">
        <f t="shared" si="689"/>
        <v>CASETA 2</v>
      </c>
      <c r="AD157" s="26">
        <f>INDEX($AB$6:$AX$138,85,3)</f>
        <v>0</v>
      </c>
      <c r="AE157" s="26">
        <f>INDEX($AB$6:$AX$138,91,4)</f>
        <v>0</v>
      </c>
      <c r="AF157" s="23">
        <f t="shared" si="638"/>
        <v>0</v>
      </c>
      <c r="AG157" s="23">
        <f t="shared" si="639"/>
        <v>0</v>
      </c>
      <c r="AH157" s="23">
        <f t="shared" si="640"/>
        <v>0</v>
      </c>
      <c r="AI157" s="88">
        <f t="shared" si="641"/>
        <v>0</v>
      </c>
      <c r="AJ157" s="26">
        <f>INDEX($AB$6:$AX$138,91,9)</f>
        <v>0</v>
      </c>
      <c r="AK157" s="47">
        <f t="shared" si="642"/>
        <v>0.16</v>
      </c>
      <c r="AL157" s="28">
        <f t="shared" si="643"/>
        <v>0</v>
      </c>
      <c r="AM157" s="47">
        <f t="shared" si="644"/>
        <v>3.5200000000000009</v>
      </c>
      <c r="AN157" s="47">
        <f t="shared" si="645"/>
        <v>0</v>
      </c>
      <c r="AO157" s="464">
        <f t="shared" si="646"/>
        <v>0</v>
      </c>
      <c r="AP157" s="14">
        <f t="shared" si="647"/>
        <v>58</v>
      </c>
      <c r="AQ157" s="23">
        <f t="shared" si="648"/>
        <v>0</v>
      </c>
      <c r="AR157" s="30">
        <f>INDEX($AB$6:$AX$138,91,17)</f>
        <v>0</v>
      </c>
      <c r="AS157" s="14">
        <f t="shared" si="649"/>
        <v>950</v>
      </c>
      <c r="AT157" s="349">
        <f>INDEX($AB$6:$AX$138,91,19)</f>
        <v>0</v>
      </c>
      <c r="AU157" s="415">
        <f t="shared" si="650"/>
        <v>950</v>
      </c>
      <c r="AV157" s="14">
        <f t="shared" si="651"/>
        <v>82</v>
      </c>
      <c r="AW157" s="75">
        <f>INDEX($AB$6:$AX$138,91,22)</f>
        <v>0</v>
      </c>
      <c r="AX157" s="609">
        <f t="shared" si="626"/>
        <v>82</v>
      </c>
      <c r="AZ157" s="1"/>
      <c r="BA157" s="25">
        <v>12</v>
      </c>
      <c r="BB157" s="25" t="str">
        <f t="shared" si="695"/>
        <v>CASETA 3</v>
      </c>
      <c r="BC157" s="26">
        <f>INDEX($BA$6:$BW$138,85,3)</f>
        <v>0</v>
      </c>
      <c r="BD157" s="26">
        <f>INDEX($BA$6:$BW$138,91,4)</f>
        <v>0</v>
      </c>
      <c r="BE157" s="23">
        <f t="shared" si="652"/>
        <v>0</v>
      </c>
      <c r="BF157" s="23">
        <f t="shared" si="653"/>
        <v>0</v>
      </c>
      <c r="BG157" s="23">
        <f t="shared" si="654"/>
        <v>0</v>
      </c>
      <c r="BH157" s="88">
        <f t="shared" si="655"/>
        <v>0</v>
      </c>
      <c r="BI157" s="26">
        <f>INDEX($BA$6:$BW$138,91,9)</f>
        <v>0</v>
      </c>
      <c r="BJ157" s="47">
        <f t="shared" si="627"/>
        <v>0.16</v>
      </c>
      <c r="BK157" s="28">
        <f t="shared" si="656"/>
        <v>0</v>
      </c>
      <c r="BL157" s="47">
        <f t="shared" si="628"/>
        <v>3.5200000000000009</v>
      </c>
      <c r="BM157" s="27">
        <f>INDEX($BA$6:$BW$138,91,13)</f>
        <v>0</v>
      </c>
      <c r="BN157" s="23">
        <f t="shared" si="657"/>
        <v>0</v>
      </c>
      <c r="BO157" s="14">
        <f t="shared" si="629"/>
        <v>58</v>
      </c>
      <c r="BP157" s="23">
        <f t="shared" si="658"/>
        <v>0</v>
      </c>
      <c r="BQ157" s="27">
        <f>INDEX($BA$6:$BW$138,91,17)</f>
        <v>0</v>
      </c>
      <c r="BR157" s="14">
        <f t="shared" si="630"/>
        <v>950</v>
      </c>
      <c r="BS157" s="350">
        <f>INDEX($BA$6:$BW$138,91,19)</f>
        <v>0</v>
      </c>
      <c r="BT157" s="26">
        <f t="shared" si="690"/>
        <v>950</v>
      </c>
      <c r="BU157" s="14">
        <f t="shared" si="631"/>
        <v>82</v>
      </c>
      <c r="BV157" s="26">
        <f>INDEX($BA$6:$BW$138,91,22)</f>
        <v>0</v>
      </c>
      <c r="BW157" s="26">
        <f t="shared" si="698"/>
        <v>82</v>
      </c>
      <c r="BY157" s="1"/>
      <c r="BZ157" s="25">
        <v>12</v>
      </c>
      <c r="CA157" s="25" t="str">
        <f t="shared" si="696"/>
        <v>CASETA 4</v>
      </c>
      <c r="CB157" s="26">
        <f>INDEX($BZ$6:$CV$138,85,3)</f>
        <v>0</v>
      </c>
      <c r="CC157" s="26">
        <f>INDEX($BZ$6:$CV$138,91,4)</f>
        <v>0</v>
      </c>
      <c r="CD157" s="23">
        <f t="shared" si="659"/>
        <v>0</v>
      </c>
      <c r="CE157" s="23">
        <f t="shared" si="660"/>
        <v>0</v>
      </c>
      <c r="CF157" s="23">
        <f t="shared" si="661"/>
        <v>0</v>
      </c>
      <c r="CG157" s="88">
        <f t="shared" si="662"/>
        <v>0</v>
      </c>
      <c r="CH157" s="26">
        <f>INDEX($BZ$6:$CV$138,91,9)</f>
        <v>0</v>
      </c>
      <c r="CI157" s="47">
        <f t="shared" si="663"/>
        <v>0.16</v>
      </c>
      <c r="CJ157" s="23">
        <f t="shared" si="691"/>
        <v>0</v>
      </c>
      <c r="CK157" s="47">
        <f t="shared" si="664"/>
        <v>3.5200000000000009</v>
      </c>
      <c r="CL157" s="27">
        <f>INDEX($BZ$6:$CV$138,91,13)</f>
        <v>0</v>
      </c>
      <c r="CM157" s="23">
        <f t="shared" si="665"/>
        <v>0</v>
      </c>
      <c r="CN157" s="14">
        <f t="shared" si="666"/>
        <v>58</v>
      </c>
      <c r="CO157" s="23">
        <f t="shared" si="692"/>
        <v>0</v>
      </c>
      <c r="CP157" s="27">
        <f>INDEX($BZ$6:$CV$138,91,17)</f>
        <v>0</v>
      </c>
      <c r="CQ157" s="14">
        <f t="shared" si="632"/>
        <v>950</v>
      </c>
      <c r="CR157" s="351">
        <f>INDEX($BZ$6:$CV$138,91,19)</f>
        <v>0</v>
      </c>
      <c r="CS157" s="416">
        <f t="shared" si="667"/>
        <v>950</v>
      </c>
      <c r="CT157" s="14">
        <f t="shared" si="668"/>
        <v>82</v>
      </c>
      <c r="CU157" s="29">
        <f>INDEX($BZ$6:$CV$138,91,22)</f>
        <v>0</v>
      </c>
      <c r="CV157" s="417">
        <f t="shared" si="669"/>
        <v>82</v>
      </c>
      <c r="CY157" s="25">
        <v>12</v>
      </c>
      <c r="CZ157" s="25" t="str">
        <f t="shared" si="697"/>
        <v>CASETA 5</v>
      </c>
      <c r="DA157" s="26">
        <f>INDEX($BZ$6:$CV$138,85,3)</f>
        <v>0</v>
      </c>
      <c r="DB157" s="26">
        <f>INDEX($BZ$6:$CV$138,91,4)</f>
        <v>0</v>
      </c>
      <c r="DC157" s="23">
        <f t="shared" si="670"/>
        <v>0</v>
      </c>
      <c r="DD157" s="23">
        <f t="shared" si="671"/>
        <v>0</v>
      </c>
      <c r="DE157" s="23">
        <f t="shared" si="672"/>
        <v>0</v>
      </c>
      <c r="DF157" s="88">
        <f t="shared" si="699"/>
        <v>0</v>
      </c>
      <c r="DG157" s="26">
        <f>INDEX($BZ$6:$CV$138,91,9)</f>
        <v>0</v>
      </c>
      <c r="DH157" s="47">
        <f t="shared" si="674"/>
        <v>0.16</v>
      </c>
      <c r="DI157" s="23">
        <f t="shared" si="693"/>
        <v>0</v>
      </c>
      <c r="DJ157" s="47">
        <f t="shared" si="675"/>
        <v>3.5200000000000009</v>
      </c>
      <c r="DK157" s="27">
        <f>INDEX($BZ$6:$CV$138,91,13)</f>
        <v>0</v>
      </c>
      <c r="DL157" s="23">
        <f t="shared" si="676"/>
        <v>0</v>
      </c>
      <c r="DM157" s="14">
        <f t="shared" si="677"/>
        <v>58</v>
      </c>
      <c r="DN157" s="23">
        <f t="shared" si="694"/>
        <v>0</v>
      </c>
      <c r="DO157" s="27">
        <f>INDEX($BZ$6:$CV$138,91,17)</f>
        <v>0</v>
      </c>
      <c r="DP157" s="14">
        <f t="shared" si="633"/>
        <v>950</v>
      </c>
      <c r="DQ157" s="351">
        <f>INDEX($BZ$6:$CV$138,91,19)</f>
        <v>0</v>
      </c>
      <c r="DR157" s="416">
        <f t="shared" si="678"/>
        <v>950</v>
      </c>
      <c r="DS157" s="14">
        <f t="shared" si="679"/>
        <v>82</v>
      </c>
      <c r="DT157" s="29">
        <f>INDEX($BZ$6:$CV$138,91,22)</f>
        <v>0</v>
      </c>
      <c r="DU157" s="417">
        <f t="shared" si="680"/>
        <v>82</v>
      </c>
    </row>
    <row r="158" spans="3:125" x14ac:dyDescent="0.25">
      <c r="C158" s="25">
        <v>13</v>
      </c>
      <c r="D158" s="23" t="str">
        <f t="shared" si="681"/>
        <v>CASETA 1</v>
      </c>
      <c r="E158" s="26">
        <f>INDEX($C$6:$Y$138,92,3)</f>
        <v>0</v>
      </c>
      <c r="F158" s="26">
        <f>INDEX($C$6:$Y$138,98,4)</f>
        <v>0</v>
      </c>
      <c r="G158" s="23">
        <f t="shared" si="682"/>
        <v>0</v>
      </c>
      <c r="H158" s="23">
        <f t="shared" si="683"/>
        <v>0</v>
      </c>
      <c r="I158" s="23">
        <f t="shared" si="684"/>
        <v>0</v>
      </c>
      <c r="J158" s="88">
        <f>SUM(G158:I158)</f>
        <v>0</v>
      </c>
      <c r="K158" s="26">
        <f>INDEX($C$6:$Y$138,98,9)</f>
        <v>0</v>
      </c>
      <c r="L158" s="47">
        <f t="shared" si="622"/>
        <v>0.16</v>
      </c>
      <c r="M158" s="28" t="e">
        <f t="shared" si="686"/>
        <v>#DIV/0!</v>
      </c>
      <c r="N158" s="47">
        <f t="shared" si="634"/>
        <v>3.680000000000001</v>
      </c>
      <c r="O158" s="47">
        <f t="shared" si="687"/>
        <v>0</v>
      </c>
      <c r="P158" s="464">
        <f t="shared" si="688"/>
        <v>0</v>
      </c>
      <c r="Q158" s="14">
        <f t="shared" si="635"/>
        <v>61</v>
      </c>
      <c r="R158" s="23">
        <f t="shared" si="636"/>
        <v>0</v>
      </c>
      <c r="S158" s="30">
        <f>INDEX($C$6:$Y$138,98,17)</f>
        <v>0</v>
      </c>
      <c r="T158" s="14">
        <f t="shared" si="637"/>
        <v>1010</v>
      </c>
      <c r="U158" s="349">
        <f>INDEX($C$6:$Y$138,98,19)</f>
        <v>0</v>
      </c>
      <c r="V158" s="415">
        <f t="shared" si="623"/>
        <v>1010</v>
      </c>
      <c r="W158" s="14">
        <f t="shared" si="624"/>
        <v>82</v>
      </c>
      <c r="X158" s="75">
        <f>INDEX($C$6:$Y$138,98,22)</f>
        <v>0</v>
      </c>
      <c r="Y158" s="609">
        <f t="shared" si="625"/>
        <v>82</v>
      </c>
      <c r="Z158" s="489"/>
      <c r="AA158" s="1"/>
      <c r="AB158" s="25">
        <v>13</v>
      </c>
      <c r="AC158" s="23" t="str">
        <f t="shared" si="689"/>
        <v>CASETA 2</v>
      </c>
      <c r="AD158" s="26">
        <f>INDEX($AB$6:$AX$138,92,3)</f>
        <v>0</v>
      </c>
      <c r="AE158" s="26">
        <f>INDEX($AB$6:$AX$138,98,4)</f>
        <v>0</v>
      </c>
      <c r="AF158" s="23">
        <f t="shared" si="638"/>
        <v>0</v>
      </c>
      <c r="AG158" s="23">
        <f t="shared" si="639"/>
        <v>0</v>
      </c>
      <c r="AH158" s="23">
        <f t="shared" si="640"/>
        <v>0</v>
      </c>
      <c r="AI158" s="88">
        <f t="shared" si="641"/>
        <v>0</v>
      </c>
      <c r="AJ158" s="26">
        <f>INDEX($AB$6:$AX$138,98,9)</f>
        <v>0</v>
      </c>
      <c r="AK158" s="47">
        <f t="shared" si="642"/>
        <v>0.16</v>
      </c>
      <c r="AL158" s="28">
        <f t="shared" si="643"/>
        <v>0</v>
      </c>
      <c r="AM158" s="47">
        <f t="shared" si="644"/>
        <v>3.680000000000001</v>
      </c>
      <c r="AN158" s="47">
        <f t="shared" si="645"/>
        <v>0</v>
      </c>
      <c r="AO158" s="464">
        <f t="shared" si="646"/>
        <v>0</v>
      </c>
      <c r="AP158" s="14">
        <f t="shared" si="647"/>
        <v>61</v>
      </c>
      <c r="AQ158" s="23">
        <f t="shared" si="648"/>
        <v>0</v>
      </c>
      <c r="AR158" s="30">
        <f>INDEX($AB$6:$AX$138,98,17)</f>
        <v>0</v>
      </c>
      <c r="AS158" s="14">
        <f t="shared" si="649"/>
        <v>1010</v>
      </c>
      <c r="AT158" s="349">
        <f>INDEX($AB$6:$AX$138,98,19)</f>
        <v>0</v>
      </c>
      <c r="AU158" s="415">
        <f t="shared" si="650"/>
        <v>1010</v>
      </c>
      <c r="AV158" s="14">
        <f t="shared" si="651"/>
        <v>82</v>
      </c>
      <c r="AW158" s="75">
        <f>INDEX($AB$6:$AX$138,98,22)</f>
        <v>0</v>
      </c>
      <c r="AX158" s="609">
        <f t="shared" si="626"/>
        <v>82</v>
      </c>
      <c r="AZ158" s="1"/>
      <c r="BA158" s="25">
        <v>13</v>
      </c>
      <c r="BB158" s="25" t="str">
        <f t="shared" si="695"/>
        <v>CASETA 3</v>
      </c>
      <c r="BC158" s="26">
        <f>INDEX($BA$6:$BW$138,92,3)</f>
        <v>0</v>
      </c>
      <c r="BD158" s="26">
        <f>INDEX($BA$6:$BW$138,98,4)</f>
        <v>0</v>
      </c>
      <c r="BE158" s="23">
        <f t="shared" si="652"/>
        <v>0</v>
      </c>
      <c r="BF158" s="23">
        <f t="shared" si="653"/>
        <v>0</v>
      </c>
      <c r="BG158" s="23">
        <f t="shared" si="654"/>
        <v>0</v>
      </c>
      <c r="BH158" s="88">
        <f t="shared" si="655"/>
        <v>0</v>
      </c>
      <c r="BI158" s="26">
        <f>INDEX($BA$6:$BW$138,98,9)</f>
        <v>0</v>
      </c>
      <c r="BJ158" s="47">
        <f t="shared" si="627"/>
        <v>0.16</v>
      </c>
      <c r="BK158" s="28">
        <f t="shared" si="656"/>
        <v>0</v>
      </c>
      <c r="BL158" s="47">
        <f t="shared" si="628"/>
        <v>3.680000000000001</v>
      </c>
      <c r="BM158" s="27">
        <f>INDEX($BA$6:$BW$138,98,13)</f>
        <v>0</v>
      </c>
      <c r="BN158" s="23">
        <f t="shared" si="657"/>
        <v>0</v>
      </c>
      <c r="BO158" s="14">
        <f t="shared" si="629"/>
        <v>61</v>
      </c>
      <c r="BP158" s="23">
        <f t="shared" si="658"/>
        <v>0</v>
      </c>
      <c r="BQ158" s="27">
        <f>INDEX($BA$6:$BW$138,98,17)</f>
        <v>0</v>
      </c>
      <c r="BR158" s="14">
        <f t="shared" si="630"/>
        <v>1010</v>
      </c>
      <c r="BS158" s="350">
        <f>INDEX($BA$6:$BW$138,98,19)</f>
        <v>0</v>
      </c>
      <c r="BT158" s="26">
        <f t="shared" si="690"/>
        <v>1010</v>
      </c>
      <c r="BU158" s="14">
        <f t="shared" si="631"/>
        <v>82</v>
      </c>
      <c r="BV158" s="26">
        <f>INDEX($BA$6:$BW$138,98,22)</f>
        <v>0</v>
      </c>
      <c r="BW158" s="26">
        <f t="shared" si="698"/>
        <v>82</v>
      </c>
      <c r="BY158" s="1"/>
      <c r="BZ158" s="25">
        <v>13</v>
      </c>
      <c r="CA158" s="25" t="str">
        <f t="shared" si="696"/>
        <v>CASETA 4</v>
      </c>
      <c r="CB158" s="26">
        <f>INDEX($BZ$6:$CV$138,92,3)</f>
        <v>0</v>
      </c>
      <c r="CC158" s="26">
        <f>INDEX($BZ$6:$CV$138,98,4)</f>
        <v>0</v>
      </c>
      <c r="CD158" s="23">
        <f t="shared" si="659"/>
        <v>0</v>
      </c>
      <c r="CE158" s="23">
        <f t="shared" si="660"/>
        <v>0</v>
      </c>
      <c r="CF158" s="23">
        <f t="shared" si="661"/>
        <v>0</v>
      </c>
      <c r="CG158" s="88">
        <f t="shared" si="662"/>
        <v>0</v>
      </c>
      <c r="CH158" s="26">
        <f>INDEX($BZ$6:$CV$138,98,9)</f>
        <v>0</v>
      </c>
      <c r="CI158" s="47">
        <f t="shared" si="663"/>
        <v>0.16</v>
      </c>
      <c r="CJ158" s="23">
        <f t="shared" si="691"/>
        <v>0</v>
      </c>
      <c r="CK158" s="47">
        <f t="shared" si="664"/>
        <v>3.680000000000001</v>
      </c>
      <c r="CL158" s="27">
        <f>INDEX($BZ$6:$CV$138,98,13)</f>
        <v>0</v>
      </c>
      <c r="CM158" s="23">
        <f t="shared" si="665"/>
        <v>0</v>
      </c>
      <c r="CN158" s="14">
        <f t="shared" si="666"/>
        <v>61</v>
      </c>
      <c r="CO158" s="23">
        <f t="shared" si="692"/>
        <v>0</v>
      </c>
      <c r="CP158" s="27">
        <f>INDEX($BZ$6:$CV$138,98,17)</f>
        <v>0</v>
      </c>
      <c r="CQ158" s="14">
        <f t="shared" si="632"/>
        <v>1010</v>
      </c>
      <c r="CR158" s="351">
        <f>INDEX($BZ$6:$CV$138,98,19)</f>
        <v>0</v>
      </c>
      <c r="CS158" s="416">
        <f t="shared" si="667"/>
        <v>1010</v>
      </c>
      <c r="CT158" s="14">
        <f t="shared" si="668"/>
        <v>82</v>
      </c>
      <c r="CU158" s="29">
        <f>INDEX($BZ$6:$CV$138,98,22)</f>
        <v>0</v>
      </c>
      <c r="CV158" s="417">
        <f t="shared" si="669"/>
        <v>82</v>
      </c>
      <c r="CY158" s="25">
        <v>13</v>
      </c>
      <c r="CZ158" s="25" t="str">
        <f t="shared" si="697"/>
        <v>CASETA 5</v>
      </c>
      <c r="DA158" s="26">
        <f>INDEX($BZ$6:$CV$138,92,3)</f>
        <v>0</v>
      </c>
      <c r="DB158" s="26">
        <f>INDEX($BZ$6:$CV$138,98,4)</f>
        <v>0</v>
      </c>
      <c r="DC158" s="23">
        <f t="shared" si="670"/>
        <v>0</v>
      </c>
      <c r="DD158" s="23">
        <f t="shared" si="671"/>
        <v>0</v>
      </c>
      <c r="DE158" s="23">
        <f t="shared" si="672"/>
        <v>0</v>
      </c>
      <c r="DF158" s="88">
        <f t="shared" si="699"/>
        <v>0</v>
      </c>
      <c r="DG158" s="26">
        <f>INDEX($BZ$6:$CV$138,98,9)</f>
        <v>0</v>
      </c>
      <c r="DH158" s="47">
        <f t="shared" si="674"/>
        <v>0.16</v>
      </c>
      <c r="DI158" s="23">
        <f t="shared" si="693"/>
        <v>0</v>
      </c>
      <c r="DJ158" s="47">
        <f t="shared" si="675"/>
        <v>3.680000000000001</v>
      </c>
      <c r="DK158" s="27">
        <f>INDEX($BZ$6:$CV$138,98,13)</f>
        <v>0</v>
      </c>
      <c r="DL158" s="23">
        <f t="shared" si="676"/>
        <v>0</v>
      </c>
      <c r="DM158" s="14">
        <f t="shared" si="677"/>
        <v>61</v>
      </c>
      <c r="DN158" s="23">
        <f t="shared" si="694"/>
        <v>0</v>
      </c>
      <c r="DO158" s="27">
        <f>INDEX($BZ$6:$CV$138,98,17)</f>
        <v>0</v>
      </c>
      <c r="DP158" s="14">
        <f t="shared" si="633"/>
        <v>1010</v>
      </c>
      <c r="DQ158" s="351">
        <f>INDEX($BZ$6:$CV$138,98,19)</f>
        <v>0</v>
      </c>
      <c r="DR158" s="416">
        <f t="shared" si="678"/>
        <v>1010</v>
      </c>
      <c r="DS158" s="14">
        <f t="shared" si="679"/>
        <v>82</v>
      </c>
      <c r="DT158" s="29">
        <f>INDEX($BZ$6:$CV$138,98,22)</f>
        <v>0</v>
      </c>
      <c r="DU158" s="417">
        <f t="shared" si="680"/>
        <v>82</v>
      </c>
    </row>
    <row r="159" spans="3:125" x14ac:dyDescent="0.25">
      <c r="C159" s="25">
        <v>14</v>
      </c>
      <c r="D159" s="23" t="str">
        <f t="shared" si="681"/>
        <v>CASETA 1</v>
      </c>
      <c r="E159" s="26">
        <f>INDEX($C$6:$Y$138,99,3)</f>
        <v>0</v>
      </c>
      <c r="F159" s="26">
        <f>INDEX($C$6:$Y$138,105,4)</f>
        <v>0</v>
      </c>
      <c r="G159" s="23">
        <f t="shared" si="682"/>
        <v>0</v>
      </c>
      <c r="H159" s="23">
        <f t="shared" si="683"/>
        <v>0</v>
      </c>
      <c r="I159" s="23">
        <f t="shared" si="684"/>
        <v>0</v>
      </c>
      <c r="J159" s="88">
        <f t="shared" si="685"/>
        <v>0</v>
      </c>
      <c r="K159" s="26">
        <f>INDEX($C$6:$Y$138,105,9)</f>
        <v>0</v>
      </c>
      <c r="L159" s="47">
        <f t="shared" si="622"/>
        <v>0.16</v>
      </c>
      <c r="M159" s="28" t="e">
        <f t="shared" si="686"/>
        <v>#DIV/0!</v>
      </c>
      <c r="N159" s="47">
        <f t="shared" si="634"/>
        <v>3.8400000000000012</v>
      </c>
      <c r="O159" s="47">
        <f t="shared" si="687"/>
        <v>0</v>
      </c>
      <c r="P159" s="464">
        <f t="shared" si="688"/>
        <v>0</v>
      </c>
      <c r="Q159" s="14">
        <f t="shared" si="635"/>
        <v>64</v>
      </c>
      <c r="R159" s="23">
        <f t="shared" si="636"/>
        <v>0</v>
      </c>
      <c r="S159" s="30">
        <f>INDEX($C$6:$Y$138,105,17)</f>
        <v>0</v>
      </c>
      <c r="T159" s="14">
        <f t="shared" si="637"/>
        <v>1065</v>
      </c>
      <c r="U159" s="349">
        <f>INDEX($C$6:$Y$138,105,19)</f>
        <v>0</v>
      </c>
      <c r="V159" s="415">
        <f t="shared" si="623"/>
        <v>1065</v>
      </c>
      <c r="W159" s="14">
        <f t="shared" si="624"/>
        <v>84</v>
      </c>
      <c r="X159" s="75">
        <f>INDEX($C$6:$Y$138,105,22)</f>
        <v>0</v>
      </c>
      <c r="Y159" s="609">
        <f t="shared" si="625"/>
        <v>84</v>
      </c>
      <c r="Z159" s="489"/>
      <c r="AA159" s="1"/>
      <c r="AB159" s="25">
        <v>14</v>
      </c>
      <c r="AC159" s="23" t="str">
        <f t="shared" si="689"/>
        <v>CASETA 2</v>
      </c>
      <c r="AD159" s="26">
        <f>INDEX($AB$6:$AX$138,99,3)</f>
        <v>0</v>
      </c>
      <c r="AE159" s="26">
        <f>INDEX($AB$6:$AX$138,105,4)</f>
        <v>0</v>
      </c>
      <c r="AF159" s="23">
        <f t="shared" si="638"/>
        <v>0</v>
      </c>
      <c r="AG159" s="23">
        <f t="shared" si="639"/>
        <v>0</v>
      </c>
      <c r="AH159" s="23">
        <f t="shared" si="640"/>
        <v>0</v>
      </c>
      <c r="AI159" s="88">
        <f t="shared" si="641"/>
        <v>0</v>
      </c>
      <c r="AJ159" s="26">
        <f>INDEX($AB$6:$AX$138,105,9)</f>
        <v>0</v>
      </c>
      <c r="AK159" s="47">
        <f t="shared" si="642"/>
        <v>0.16</v>
      </c>
      <c r="AL159" s="28">
        <f t="shared" si="643"/>
        <v>0</v>
      </c>
      <c r="AM159" s="47">
        <f t="shared" si="644"/>
        <v>3.8400000000000012</v>
      </c>
      <c r="AN159" s="47">
        <f t="shared" si="645"/>
        <v>0</v>
      </c>
      <c r="AO159" s="464">
        <f t="shared" si="646"/>
        <v>0</v>
      </c>
      <c r="AP159" s="14">
        <f t="shared" si="647"/>
        <v>64</v>
      </c>
      <c r="AQ159" s="23">
        <f t="shared" si="648"/>
        <v>0</v>
      </c>
      <c r="AR159" s="30">
        <f>INDEX($AB$6:$AX$138,105,17)</f>
        <v>0</v>
      </c>
      <c r="AS159" s="14">
        <f t="shared" si="649"/>
        <v>1065</v>
      </c>
      <c r="AT159" s="349">
        <f>INDEX($AB$6:$AX$138,105,19)</f>
        <v>0</v>
      </c>
      <c r="AU159" s="415">
        <f t="shared" si="650"/>
        <v>1065</v>
      </c>
      <c r="AV159" s="14">
        <f t="shared" si="651"/>
        <v>84</v>
      </c>
      <c r="AW159" s="75">
        <f>INDEX($AB$6:$AX$138,105,22)</f>
        <v>0</v>
      </c>
      <c r="AX159" s="609">
        <f t="shared" si="626"/>
        <v>84</v>
      </c>
      <c r="AZ159" s="1"/>
      <c r="BA159" s="25">
        <v>14</v>
      </c>
      <c r="BB159" s="25" t="str">
        <f t="shared" si="695"/>
        <v>CASETA 3</v>
      </c>
      <c r="BC159" s="26">
        <f>INDEX($BA$6:$BW$138,99,3)</f>
        <v>0</v>
      </c>
      <c r="BD159" s="26">
        <f>INDEX($BA$6:$BW$138,105,4)</f>
        <v>0</v>
      </c>
      <c r="BE159" s="23">
        <f t="shared" si="652"/>
        <v>0</v>
      </c>
      <c r="BF159" s="23">
        <f t="shared" si="653"/>
        <v>0</v>
      </c>
      <c r="BG159" s="23">
        <f t="shared" si="654"/>
        <v>0</v>
      </c>
      <c r="BH159" s="88">
        <f t="shared" si="655"/>
        <v>0</v>
      </c>
      <c r="BI159" s="26">
        <f>INDEX($BA$6:$BW$138,105,9)</f>
        <v>0</v>
      </c>
      <c r="BJ159" s="47">
        <f t="shared" si="627"/>
        <v>0.16</v>
      </c>
      <c r="BK159" s="28">
        <f t="shared" si="656"/>
        <v>0</v>
      </c>
      <c r="BL159" s="47">
        <f t="shared" si="628"/>
        <v>3.8400000000000012</v>
      </c>
      <c r="BM159" s="27">
        <f>INDEX($BA$6:$BW$138,105,13)</f>
        <v>0</v>
      </c>
      <c r="BN159" s="23">
        <f t="shared" si="657"/>
        <v>0</v>
      </c>
      <c r="BO159" s="14">
        <f t="shared" si="629"/>
        <v>64</v>
      </c>
      <c r="BP159" s="23">
        <f t="shared" si="658"/>
        <v>0</v>
      </c>
      <c r="BQ159" s="27">
        <f>INDEX($BA$6:$BW$138,105,17)</f>
        <v>0</v>
      </c>
      <c r="BR159" s="14">
        <f t="shared" si="630"/>
        <v>1065</v>
      </c>
      <c r="BS159" s="350">
        <f>INDEX($BA$6:$BW$138,105,19)</f>
        <v>0</v>
      </c>
      <c r="BT159" s="26">
        <f t="shared" si="690"/>
        <v>1065</v>
      </c>
      <c r="BU159" s="14">
        <f t="shared" si="631"/>
        <v>84</v>
      </c>
      <c r="BV159" s="26">
        <f>INDEX($BA$6:$BW$138,105,22)</f>
        <v>0</v>
      </c>
      <c r="BW159" s="26">
        <f t="shared" si="698"/>
        <v>84</v>
      </c>
      <c r="BY159" s="1"/>
      <c r="BZ159" s="25">
        <v>14</v>
      </c>
      <c r="CA159" s="25" t="str">
        <f t="shared" si="696"/>
        <v>CASETA 4</v>
      </c>
      <c r="CB159" s="26">
        <f>INDEX($BZ$6:$CV$138,99,3)</f>
        <v>0</v>
      </c>
      <c r="CC159" s="26">
        <f>INDEX($BZ$6:$CV$138,105,4)</f>
        <v>0</v>
      </c>
      <c r="CD159" s="23">
        <f t="shared" si="659"/>
        <v>0</v>
      </c>
      <c r="CE159" s="23">
        <f t="shared" si="660"/>
        <v>0</v>
      </c>
      <c r="CF159" s="23">
        <f t="shared" si="661"/>
        <v>0</v>
      </c>
      <c r="CG159" s="88">
        <f t="shared" si="662"/>
        <v>0</v>
      </c>
      <c r="CH159" s="26">
        <f>INDEX($BZ$6:$CV$138,105,9)</f>
        <v>0</v>
      </c>
      <c r="CI159" s="47">
        <f t="shared" si="663"/>
        <v>0.16</v>
      </c>
      <c r="CJ159" s="23">
        <f t="shared" si="691"/>
        <v>0</v>
      </c>
      <c r="CK159" s="47">
        <f t="shared" si="664"/>
        <v>3.8400000000000012</v>
      </c>
      <c r="CL159" s="27">
        <f>INDEX($BZ$6:$CV$138,105,13)</f>
        <v>0</v>
      </c>
      <c r="CM159" s="23">
        <f t="shared" si="665"/>
        <v>0</v>
      </c>
      <c r="CN159" s="14">
        <f t="shared" si="666"/>
        <v>64</v>
      </c>
      <c r="CO159" s="23">
        <f t="shared" si="692"/>
        <v>0</v>
      </c>
      <c r="CP159" s="27">
        <f>INDEX($BZ$6:$CV$138,105,17)</f>
        <v>0</v>
      </c>
      <c r="CQ159" s="14">
        <f t="shared" si="632"/>
        <v>1065</v>
      </c>
      <c r="CR159" s="351">
        <f>INDEX($BZ$6:$CV$138,105,19)</f>
        <v>0</v>
      </c>
      <c r="CS159" s="416">
        <f t="shared" si="667"/>
        <v>1065</v>
      </c>
      <c r="CT159" s="14">
        <f t="shared" si="668"/>
        <v>84</v>
      </c>
      <c r="CU159" s="29">
        <f>INDEX($BZ$6:$CV$138,105,22)</f>
        <v>0</v>
      </c>
      <c r="CV159" s="417">
        <f t="shared" si="669"/>
        <v>84</v>
      </c>
      <c r="CY159" s="25">
        <v>14</v>
      </c>
      <c r="CZ159" s="25" t="str">
        <f t="shared" si="697"/>
        <v>CASETA 5</v>
      </c>
      <c r="DA159" s="26">
        <f>INDEX($BZ$6:$CV$138,99,3)</f>
        <v>0</v>
      </c>
      <c r="DB159" s="26">
        <f>INDEX($BZ$6:$CV$138,105,4)</f>
        <v>0</v>
      </c>
      <c r="DC159" s="23">
        <f t="shared" si="670"/>
        <v>0</v>
      </c>
      <c r="DD159" s="23">
        <f t="shared" si="671"/>
        <v>0</v>
      </c>
      <c r="DE159" s="23">
        <f t="shared" si="672"/>
        <v>0</v>
      </c>
      <c r="DF159" s="88">
        <f t="shared" si="699"/>
        <v>0</v>
      </c>
      <c r="DG159" s="26">
        <f>INDEX($BZ$6:$CV$138,105,9)</f>
        <v>0</v>
      </c>
      <c r="DH159" s="47">
        <f t="shared" si="674"/>
        <v>0.16</v>
      </c>
      <c r="DI159" s="23">
        <f t="shared" si="693"/>
        <v>0</v>
      </c>
      <c r="DJ159" s="47">
        <f t="shared" si="675"/>
        <v>3.8400000000000012</v>
      </c>
      <c r="DK159" s="27">
        <f>INDEX($BZ$6:$CV$138,105,13)</f>
        <v>0</v>
      </c>
      <c r="DL159" s="23">
        <f t="shared" si="676"/>
        <v>0</v>
      </c>
      <c r="DM159" s="14">
        <f t="shared" si="677"/>
        <v>64</v>
      </c>
      <c r="DN159" s="23">
        <f t="shared" si="694"/>
        <v>0</v>
      </c>
      <c r="DO159" s="27">
        <f>INDEX($BZ$6:$CV$138,105,17)</f>
        <v>0</v>
      </c>
      <c r="DP159" s="14">
        <f t="shared" si="633"/>
        <v>1065</v>
      </c>
      <c r="DQ159" s="351">
        <f>INDEX($BZ$6:$CV$138,105,19)</f>
        <v>0</v>
      </c>
      <c r="DR159" s="416">
        <f t="shared" si="678"/>
        <v>1065</v>
      </c>
      <c r="DS159" s="14">
        <f t="shared" si="679"/>
        <v>84</v>
      </c>
      <c r="DT159" s="29">
        <f>INDEX($BZ$6:$CV$138,105,22)</f>
        <v>0</v>
      </c>
      <c r="DU159" s="417">
        <f t="shared" si="680"/>
        <v>84</v>
      </c>
    </row>
    <row r="160" spans="3:125" x14ac:dyDescent="0.25">
      <c r="C160" s="25">
        <v>15</v>
      </c>
      <c r="D160" s="23" t="str">
        <f t="shared" si="681"/>
        <v>CASETA 1</v>
      </c>
      <c r="E160" s="26">
        <f>INDEX($C$6:$Y$138,106,3)</f>
        <v>0</v>
      </c>
      <c r="F160" s="26">
        <f>INDEX($C$6:$Y$138,112,4)</f>
        <v>0</v>
      </c>
      <c r="G160" s="23">
        <f t="shared" si="682"/>
        <v>0</v>
      </c>
      <c r="H160" s="23">
        <f t="shared" si="683"/>
        <v>0</v>
      </c>
      <c r="I160" s="23">
        <f t="shared" si="684"/>
        <v>0</v>
      </c>
      <c r="J160" s="88">
        <f>SUM(G160:I160)</f>
        <v>0</v>
      </c>
      <c r="K160" s="26">
        <f>INDEX($C$6:$Y$138,112,9)</f>
        <v>0</v>
      </c>
      <c r="L160" s="47">
        <f t="shared" si="622"/>
        <v>0.16</v>
      </c>
      <c r="M160" s="28" t="e">
        <f t="shared" si="686"/>
        <v>#DIV/0!</v>
      </c>
      <c r="N160" s="47">
        <f t="shared" si="634"/>
        <v>4.0000000000000009</v>
      </c>
      <c r="O160" s="47">
        <f t="shared" si="687"/>
        <v>0</v>
      </c>
      <c r="P160" s="464">
        <f t="shared" si="688"/>
        <v>0</v>
      </c>
      <c r="Q160" s="14">
        <f t="shared" si="635"/>
        <v>67</v>
      </c>
      <c r="R160" s="23">
        <f t="shared" si="636"/>
        <v>0</v>
      </c>
      <c r="S160" s="30">
        <f>INDEX($C$6:$Y$138,112,17)</f>
        <v>0</v>
      </c>
      <c r="T160" s="14">
        <f t="shared" si="637"/>
        <v>1115</v>
      </c>
      <c r="U160" s="349">
        <f>INDEX($C$6:$Y$138,112,19)</f>
        <v>0</v>
      </c>
      <c r="V160" s="415">
        <f t="shared" si="623"/>
        <v>1115</v>
      </c>
      <c r="W160" s="14">
        <f t="shared" si="624"/>
        <v>86</v>
      </c>
      <c r="X160" s="75">
        <f>INDEX($C$6:$Y$138,112,22)</f>
        <v>0</v>
      </c>
      <c r="Y160" s="609">
        <f t="shared" si="625"/>
        <v>86</v>
      </c>
      <c r="Z160" s="489"/>
      <c r="AA160" s="1"/>
      <c r="AB160" s="25">
        <v>15</v>
      </c>
      <c r="AC160" s="23" t="str">
        <f t="shared" si="689"/>
        <v>CASETA 2</v>
      </c>
      <c r="AD160" s="26">
        <f>INDEX($AB$6:$AX$138,106,3)</f>
        <v>0</v>
      </c>
      <c r="AE160" s="26">
        <f>INDEX($AB$6:$AX$138,112,4)</f>
        <v>0</v>
      </c>
      <c r="AF160" s="23">
        <f t="shared" si="638"/>
        <v>0</v>
      </c>
      <c r="AG160" s="23">
        <f t="shared" si="639"/>
        <v>0</v>
      </c>
      <c r="AH160" s="23">
        <f t="shared" si="640"/>
        <v>0</v>
      </c>
      <c r="AI160" s="88">
        <f t="shared" si="641"/>
        <v>0</v>
      </c>
      <c r="AJ160" s="26">
        <f>INDEX($AB$6:$AX$138,112,9)</f>
        <v>0</v>
      </c>
      <c r="AK160" s="47">
        <f t="shared" si="642"/>
        <v>0.16</v>
      </c>
      <c r="AL160" s="28">
        <f t="shared" si="643"/>
        <v>0</v>
      </c>
      <c r="AM160" s="47">
        <f t="shared" si="644"/>
        <v>4.0000000000000009</v>
      </c>
      <c r="AN160" s="47">
        <f t="shared" si="645"/>
        <v>0</v>
      </c>
      <c r="AO160" s="464">
        <f t="shared" si="646"/>
        <v>0</v>
      </c>
      <c r="AP160" s="14">
        <f t="shared" si="647"/>
        <v>67</v>
      </c>
      <c r="AQ160" s="23">
        <f t="shared" si="648"/>
        <v>0</v>
      </c>
      <c r="AR160" s="30">
        <f>INDEX($AB$6:$AX$138,112,17)</f>
        <v>0</v>
      </c>
      <c r="AS160" s="14">
        <f t="shared" si="649"/>
        <v>1115</v>
      </c>
      <c r="AT160" s="349">
        <f>INDEX($AB$6:$AX$138,112,19)</f>
        <v>0</v>
      </c>
      <c r="AU160" s="415">
        <f t="shared" si="650"/>
        <v>1115</v>
      </c>
      <c r="AV160" s="14">
        <f t="shared" si="651"/>
        <v>86</v>
      </c>
      <c r="AW160" s="75">
        <f>INDEX($AB$6:$AX$138,112,22)</f>
        <v>0</v>
      </c>
      <c r="AX160" s="609">
        <f t="shared" si="626"/>
        <v>86</v>
      </c>
      <c r="AZ160" s="1"/>
      <c r="BA160" s="25">
        <v>15</v>
      </c>
      <c r="BB160" s="25" t="str">
        <f t="shared" si="695"/>
        <v>CASETA 3</v>
      </c>
      <c r="BC160" s="26">
        <f>INDEX($BA$6:$BW$138,106,3)</f>
        <v>0</v>
      </c>
      <c r="BD160" s="26">
        <f>INDEX($BA$6:$BW$138,112,4)</f>
        <v>0</v>
      </c>
      <c r="BE160" s="23">
        <f>SUMIFS($BE$6:$BE$138,$BA$6:$BA$138,$BA160)</f>
        <v>0</v>
      </c>
      <c r="BF160" s="23">
        <f t="shared" si="653"/>
        <v>0</v>
      </c>
      <c r="BG160" s="23">
        <f t="shared" si="654"/>
        <v>0</v>
      </c>
      <c r="BH160" s="88">
        <f t="shared" si="655"/>
        <v>0</v>
      </c>
      <c r="BI160" s="26">
        <f>INDEX($BA$6:$BW$138,112,9)</f>
        <v>0</v>
      </c>
      <c r="BJ160" s="47">
        <f t="shared" si="627"/>
        <v>0.16</v>
      </c>
      <c r="BK160" s="28">
        <f t="shared" si="656"/>
        <v>0</v>
      </c>
      <c r="BL160" s="47">
        <f t="shared" si="628"/>
        <v>4.0000000000000009</v>
      </c>
      <c r="BM160" s="27">
        <f>INDEX($BA$6:$BW$138,112,13)</f>
        <v>0</v>
      </c>
      <c r="BN160" s="23">
        <f t="shared" si="657"/>
        <v>0</v>
      </c>
      <c r="BO160" s="14">
        <f t="shared" si="629"/>
        <v>67</v>
      </c>
      <c r="BP160" s="23">
        <f t="shared" si="658"/>
        <v>0</v>
      </c>
      <c r="BQ160" s="27">
        <f>INDEX($BA$6:$BW$138,112,17)</f>
        <v>0</v>
      </c>
      <c r="BR160" s="14">
        <f t="shared" si="630"/>
        <v>1115</v>
      </c>
      <c r="BS160" s="350">
        <f>INDEX($BA$6:$BW$138,112,19)</f>
        <v>0</v>
      </c>
      <c r="BT160" s="26">
        <f t="shared" si="690"/>
        <v>1115</v>
      </c>
      <c r="BU160" s="14">
        <f t="shared" si="631"/>
        <v>86</v>
      </c>
      <c r="BV160" s="26">
        <f>INDEX($BA$6:$BW$138,112,22)</f>
        <v>0</v>
      </c>
      <c r="BW160" s="26">
        <f t="shared" si="698"/>
        <v>86</v>
      </c>
      <c r="BY160" s="1"/>
      <c r="BZ160" s="25">
        <v>15</v>
      </c>
      <c r="CA160" s="25" t="str">
        <f t="shared" si="696"/>
        <v>CASETA 4</v>
      </c>
      <c r="CB160" s="26">
        <f>INDEX($BZ$6:$CV$138,106,3)</f>
        <v>0</v>
      </c>
      <c r="CC160" s="26">
        <f>INDEX($BZ$6:$CV$138,112,4)</f>
        <v>0</v>
      </c>
      <c r="CD160" s="23">
        <f t="shared" si="659"/>
        <v>0</v>
      </c>
      <c r="CE160" s="23">
        <f t="shared" si="660"/>
        <v>0</v>
      </c>
      <c r="CF160" s="23">
        <f t="shared" si="661"/>
        <v>0</v>
      </c>
      <c r="CG160" s="88">
        <f t="shared" si="662"/>
        <v>0</v>
      </c>
      <c r="CH160" s="26">
        <f>INDEX($BZ$6:$CV$138,112,9)</f>
        <v>0</v>
      </c>
      <c r="CI160" s="47">
        <f t="shared" si="663"/>
        <v>0.16</v>
      </c>
      <c r="CJ160" s="23">
        <f t="shared" si="691"/>
        <v>0</v>
      </c>
      <c r="CK160" s="47">
        <f t="shared" si="664"/>
        <v>4.0000000000000009</v>
      </c>
      <c r="CL160" s="27">
        <f>INDEX($BZ$6:$CV$138,112,13)</f>
        <v>0</v>
      </c>
      <c r="CM160" s="23">
        <f t="shared" si="665"/>
        <v>0</v>
      </c>
      <c r="CN160" s="14">
        <f t="shared" si="666"/>
        <v>67</v>
      </c>
      <c r="CO160" s="23">
        <f t="shared" si="692"/>
        <v>0</v>
      </c>
      <c r="CP160" s="27">
        <f>INDEX($BZ$6:$CV$138,112,17)</f>
        <v>0</v>
      </c>
      <c r="CQ160" s="14">
        <f t="shared" si="632"/>
        <v>1115</v>
      </c>
      <c r="CR160" s="351">
        <f>INDEX($BZ$6:$CV$138,112,19)</f>
        <v>0</v>
      </c>
      <c r="CS160" s="416">
        <f t="shared" si="667"/>
        <v>1115</v>
      </c>
      <c r="CT160" s="14">
        <f t="shared" si="668"/>
        <v>86</v>
      </c>
      <c r="CU160" s="29">
        <f>INDEX($BZ$6:$CV$138,112,22)</f>
        <v>0</v>
      </c>
      <c r="CV160" s="417">
        <f t="shared" si="669"/>
        <v>86</v>
      </c>
      <c r="CY160" s="25">
        <v>15</v>
      </c>
      <c r="CZ160" s="25" t="str">
        <f t="shared" si="697"/>
        <v>CASETA 5</v>
      </c>
      <c r="DA160" s="26">
        <f>INDEX($BZ$6:$CV$138,106,3)</f>
        <v>0</v>
      </c>
      <c r="DB160" s="26">
        <f>INDEX($BZ$6:$CV$138,112,4)</f>
        <v>0</v>
      </c>
      <c r="DC160" s="23">
        <f t="shared" si="670"/>
        <v>0</v>
      </c>
      <c r="DD160" s="23">
        <f t="shared" si="671"/>
        <v>0</v>
      </c>
      <c r="DE160" s="23">
        <f t="shared" si="672"/>
        <v>0</v>
      </c>
      <c r="DF160" s="88">
        <f t="shared" si="699"/>
        <v>0</v>
      </c>
      <c r="DG160" s="26">
        <f>INDEX($BZ$6:$CV$138,112,9)</f>
        <v>0</v>
      </c>
      <c r="DH160" s="47">
        <f t="shared" si="674"/>
        <v>0.16</v>
      </c>
      <c r="DI160" s="23">
        <f t="shared" si="693"/>
        <v>0</v>
      </c>
      <c r="DJ160" s="47">
        <f t="shared" si="675"/>
        <v>4.0000000000000009</v>
      </c>
      <c r="DK160" s="27">
        <f>INDEX($BZ$6:$CV$138,112,13)</f>
        <v>0</v>
      </c>
      <c r="DL160" s="23">
        <f t="shared" si="676"/>
        <v>0</v>
      </c>
      <c r="DM160" s="14">
        <f t="shared" si="677"/>
        <v>67</v>
      </c>
      <c r="DN160" s="23">
        <f t="shared" si="694"/>
        <v>0</v>
      </c>
      <c r="DO160" s="27">
        <f>INDEX($BZ$6:$CV$138,112,17)</f>
        <v>0</v>
      </c>
      <c r="DP160" s="14">
        <f t="shared" si="633"/>
        <v>1115</v>
      </c>
      <c r="DQ160" s="351">
        <f>INDEX($BZ$6:$CV$138,112,19)</f>
        <v>0</v>
      </c>
      <c r="DR160" s="416">
        <f t="shared" si="678"/>
        <v>1115</v>
      </c>
      <c r="DS160" s="14">
        <f t="shared" si="679"/>
        <v>86</v>
      </c>
      <c r="DT160" s="29">
        <f>INDEX($BZ$6:$CV$138,112,22)</f>
        <v>0</v>
      </c>
      <c r="DU160" s="417">
        <f t="shared" si="680"/>
        <v>86</v>
      </c>
    </row>
    <row r="161" spans="3:125" x14ac:dyDescent="0.25">
      <c r="C161" s="25">
        <v>16</v>
      </c>
      <c r="D161" s="23" t="str">
        <f t="shared" si="681"/>
        <v>CASETA 1</v>
      </c>
      <c r="E161" s="26">
        <f>INDEX($C$6:$Y$138,113,3)</f>
        <v>0</v>
      </c>
      <c r="F161" s="26">
        <f>INDEX($C$6:$Y$138,119,4)</f>
        <v>0</v>
      </c>
      <c r="G161" s="23">
        <f t="shared" si="682"/>
        <v>0</v>
      </c>
      <c r="H161" s="23">
        <f t="shared" si="683"/>
        <v>0</v>
      </c>
      <c r="I161" s="23">
        <f t="shared" si="684"/>
        <v>0</v>
      </c>
      <c r="J161" s="88">
        <f>SUM(G161:I161)</f>
        <v>0</v>
      </c>
      <c r="K161" s="26">
        <f>INDEX($C$6:$Y$138,119,9)</f>
        <v>0</v>
      </c>
      <c r="L161" s="47">
        <f t="shared" si="622"/>
        <v>0.16</v>
      </c>
      <c r="M161" s="28" t="e">
        <f t="shared" si="686"/>
        <v>#DIV/0!</v>
      </c>
      <c r="N161" s="47">
        <f t="shared" si="634"/>
        <v>4.160000000000001</v>
      </c>
      <c r="O161" s="47">
        <f t="shared" si="687"/>
        <v>0</v>
      </c>
      <c r="P161" s="464">
        <f t="shared" si="688"/>
        <v>0</v>
      </c>
      <c r="Q161" s="14">
        <f t="shared" si="635"/>
        <v>71</v>
      </c>
      <c r="R161" s="23">
        <f t="shared" si="636"/>
        <v>0</v>
      </c>
      <c r="S161" s="30">
        <f>INDEX($C$6:$Y$138,119,17)</f>
        <v>0</v>
      </c>
      <c r="T161" s="14">
        <f t="shared" si="637"/>
        <v>1160</v>
      </c>
      <c r="U161" s="349">
        <f>INDEX($C$6:$Y$138,119,19)</f>
        <v>0</v>
      </c>
      <c r="V161" s="415">
        <f t="shared" si="623"/>
        <v>1160</v>
      </c>
      <c r="W161" s="14">
        <f t="shared" si="624"/>
        <v>86</v>
      </c>
      <c r="X161" s="75">
        <f>INDEX($C$6:$Y$138,119,22)</f>
        <v>0</v>
      </c>
      <c r="Y161" s="609">
        <f t="shared" si="625"/>
        <v>86</v>
      </c>
      <c r="Z161" s="489"/>
      <c r="AA161" s="1"/>
      <c r="AB161" s="25">
        <v>16</v>
      </c>
      <c r="AC161" s="23" t="str">
        <f t="shared" si="689"/>
        <v>CASETA 2</v>
      </c>
      <c r="AD161" s="26">
        <f>INDEX($AB$6:$AX$138,113,3)</f>
        <v>0</v>
      </c>
      <c r="AE161" s="26">
        <f>INDEX($AB$6:$AX$138,119,4)</f>
        <v>0</v>
      </c>
      <c r="AF161" s="23">
        <f t="shared" si="638"/>
        <v>0</v>
      </c>
      <c r="AG161" s="23">
        <f t="shared" si="639"/>
        <v>0</v>
      </c>
      <c r="AH161" s="23">
        <f t="shared" si="640"/>
        <v>0</v>
      </c>
      <c r="AI161" s="88">
        <f t="shared" si="641"/>
        <v>0</v>
      </c>
      <c r="AJ161" s="26">
        <f>INDEX($AB$6:$AX$138,119,9)</f>
        <v>0</v>
      </c>
      <c r="AK161" s="47">
        <f t="shared" si="642"/>
        <v>0.16</v>
      </c>
      <c r="AL161" s="28">
        <f t="shared" si="643"/>
        <v>0</v>
      </c>
      <c r="AM161" s="47">
        <f t="shared" si="644"/>
        <v>4.160000000000001</v>
      </c>
      <c r="AN161" s="47">
        <f t="shared" si="645"/>
        <v>0</v>
      </c>
      <c r="AO161" s="464">
        <f t="shared" si="646"/>
        <v>0</v>
      </c>
      <c r="AP161" s="14">
        <f t="shared" si="647"/>
        <v>71</v>
      </c>
      <c r="AQ161" s="23">
        <f t="shared" si="648"/>
        <v>0</v>
      </c>
      <c r="AR161" s="30">
        <f>INDEX($AB$6:$AX$138,119,17)</f>
        <v>0</v>
      </c>
      <c r="AS161" s="14">
        <f t="shared" si="649"/>
        <v>1160</v>
      </c>
      <c r="AT161" s="349">
        <f>INDEX($AB$6:$AX$138,119,19)</f>
        <v>0</v>
      </c>
      <c r="AU161" s="415">
        <f t="shared" si="650"/>
        <v>1160</v>
      </c>
      <c r="AV161" s="14">
        <f t="shared" si="651"/>
        <v>86</v>
      </c>
      <c r="AW161" s="75">
        <f>INDEX($AB$6:$AX$138,119,22)</f>
        <v>0</v>
      </c>
      <c r="AX161" s="609">
        <f t="shared" si="626"/>
        <v>86</v>
      </c>
      <c r="AZ161" s="1"/>
      <c r="BA161" s="25">
        <v>16</v>
      </c>
      <c r="BB161" s="25" t="str">
        <f t="shared" si="695"/>
        <v>CASETA 3</v>
      </c>
      <c r="BC161" s="26">
        <f>INDEX($BA$6:$BW$138,113,3)</f>
        <v>0</v>
      </c>
      <c r="BD161" s="26">
        <f>INDEX($BA$6:$BW$138,119,4)</f>
        <v>0</v>
      </c>
      <c r="BE161" s="23">
        <f t="shared" si="652"/>
        <v>0</v>
      </c>
      <c r="BF161" s="23">
        <f t="shared" si="653"/>
        <v>0</v>
      </c>
      <c r="BG161" s="23">
        <f t="shared" si="654"/>
        <v>0</v>
      </c>
      <c r="BH161" s="88">
        <f t="shared" si="655"/>
        <v>0</v>
      </c>
      <c r="BI161" s="26">
        <f>INDEX($BA$6:$BW$138,119,9)</f>
        <v>0</v>
      </c>
      <c r="BJ161" s="47">
        <f t="shared" si="627"/>
        <v>0.16</v>
      </c>
      <c r="BK161" s="28">
        <f>AVERAGEIFS($BK$6:$BK$138,$BA$6:$BA$138,$BA161)</f>
        <v>0</v>
      </c>
      <c r="BL161" s="47">
        <f t="shared" si="628"/>
        <v>4.160000000000001</v>
      </c>
      <c r="BM161" s="27">
        <f>INDEX($BA$6:$BW$138,119,13)</f>
        <v>0</v>
      </c>
      <c r="BN161" s="23">
        <f t="shared" si="657"/>
        <v>0</v>
      </c>
      <c r="BO161" s="14">
        <f t="shared" si="629"/>
        <v>71</v>
      </c>
      <c r="BP161" s="23">
        <f t="shared" si="658"/>
        <v>0</v>
      </c>
      <c r="BQ161" s="27">
        <f>INDEX($BA$6:$BW$138,119,17)</f>
        <v>0</v>
      </c>
      <c r="BR161" s="14">
        <f t="shared" si="630"/>
        <v>1160</v>
      </c>
      <c r="BS161" s="350">
        <f>INDEX($BA$6:$BW$138,119,19)</f>
        <v>0</v>
      </c>
      <c r="BT161" s="26">
        <f t="shared" si="690"/>
        <v>1160</v>
      </c>
      <c r="BU161" s="14">
        <f t="shared" si="631"/>
        <v>86</v>
      </c>
      <c r="BV161" s="26">
        <f>INDEX($BA$6:$BW$138,119,22)</f>
        <v>0</v>
      </c>
      <c r="BW161" s="26">
        <f t="shared" si="698"/>
        <v>86</v>
      </c>
      <c r="BY161" s="1"/>
      <c r="BZ161" s="25">
        <v>16</v>
      </c>
      <c r="CA161" s="25" t="str">
        <f t="shared" si="696"/>
        <v>CASETA 4</v>
      </c>
      <c r="CB161" s="26">
        <f>INDEX($BZ$6:$CV$138,113,3)</f>
        <v>0</v>
      </c>
      <c r="CC161" s="26">
        <f>INDEX($BZ$6:$CV$138,119,4)</f>
        <v>0</v>
      </c>
      <c r="CD161" s="23">
        <f t="shared" si="659"/>
        <v>0</v>
      </c>
      <c r="CE161" s="23">
        <f t="shared" si="660"/>
        <v>0</v>
      </c>
      <c r="CF161" s="23">
        <f t="shared" si="661"/>
        <v>0</v>
      </c>
      <c r="CG161" s="88">
        <f t="shared" si="662"/>
        <v>0</v>
      </c>
      <c r="CH161" s="26">
        <f>INDEX($BZ$6:$CV$138,119,9)</f>
        <v>0</v>
      </c>
      <c r="CI161" s="47">
        <f t="shared" si="663"/>
        <v>0.16</v>
      </c>
      <c r="CJ161" s="23">
        <f t="shared" si="691"/>
        <v>0</v>
      </c>
      <c r="CK161" s="47">
        <f t="shared" si="664"/>
        <v>4.160000000000001</v>
      </c>
      <c r="CL161" s="27">
        <f>INDEX($BZ$6:$CV$138,119,13)</f>
        <v>0</v>
      </c>
      <c r="CM161" s="23">
        <f t="shared" si="665"/>
        <v>0</v>
      </c>
      <c r="CN161" s="14">
        <f t="shared" si="666"/>
        <v>71</v>
      </c>
      <c r="CO161" s="23">
        <f t="shared" si="692"/>
        <v>0</v>
      </c>
      <c r="CP161" s="27">
        <f>INDEX($BZ$6:$CV$138,119,17)</f>
        <v>0</v>
      </c>
      <c r="CQ161" s="14">
        <f t="shared" si="632"/>
        <v>1160</v>
      </c>
      <c r="CR161" s="351">
        <f>INDEX($BZ$6:$CV$138,119,19)</f>
        <v>0</v>
      </c>
      <c r="CS161" s="416">
        <f t="shared" si="667"/>
        <v>1160</v>
      </c>
      <c r="CT161" s="14">
        <f t="shared" si="668"/>
        <v>86</v>
      </c>
      <c r="CU161" s="29">
        <f>INDEX($BZ$6:$CV$138,119,22)</f>
        <v>0</v>
      </c>
      <c r="CV161" s="417">
        <f t="shared" si="669"/>
        <v>86</v>
      </c>
      <c r="CY161" s="25">
        <v>16</v>
      </c>
      <c r="CZ161" s="25" t="str">
        <f t="shared" si="697"/>
        <v>CASETA 5</v>
      </c>
      <c r="DA161" s="26">
        <f>INDEX($BZ$6:$CV$138,113,3)</f>
        <v>0</v>
      </c>
      <c r="DB161" s="26">
        <f>INDEX($BZ$6:$CV$138,119,4)</f>
        <v>0</v>
      </c>
      <c r="DC161" s="23">
        <f t="shared" si="670"/>
        <v>0</v>
      </c>
      <c r="DD161" s="23">
        <f t="shared" si="671"/>
        <v>0</v>
      </c>
      <c r="DE161" s="23">
        <f t="shared" si="672"/>
        <v>0</v>
      </c>
      <c r="DF161" s="88">
        <f t="shared" si="699"/>
        <v>0</v>
      </c>
      <c r="DG161" s="26">
        <f>INDEX($BZ$6:$CV$138,119,9)</f>
        <v>0</v>
      </c>
      <c r="DH161" s="47">
        <f t="shared" si="674"/>
        <v>0.16</v>
      </c>
      <c r="DI161" s="23">
        <f t="shared" si="693"/>
        <v>0</v>
      </c>
      <c r="DJ161" s="47">
        <f t="shared" si="675"/>
        <v>4.160000000000001</v>
      </c>
      <c r="DK161" s="27">
        <f>INDEX($BZ$6:$CV$138,119,13)</f>
        <v>0</v>
      </c>
      <c r="DL161" s="23">
        <f t="shared" si="676"/>
        <v>0</v>
      </c>
      <c r="DM161" s="14">
        <f t="shared" si="677"/>
        <v>71</v>
      </c>
      <c r="DN161" s="23">
        <f t="shared" si="694"/>
        <v>0</v>
      </c>
      <c r="DO161" s="27">
        <f>INDEX($BZ$6:$CV$138,119,17)</f>
        <v>0</v>
      </c>
      <c r="DP161" s="14">
        <f t="shared" si="633"/>
        <v>1160</v>
      </c>
      <c r="DQ161" s="351">
        <f>INDEX($BZ$6:$CV$138,119,19)</f>
        <v>0</v>
      </c>
      <c r="DR161" s="416">
        <f t="shared" si="678"/>
        <v>1160</v>
      </c>
      <c r="DS161" s="14">
        <f t="shared" si="679"/>
        <v>86</v>
      </c>
      <c r="DT161" s="29">
        <f>INDEX($BZ$6:$CV$138,119,22)</f>
        <v>0</v>
      </c>
      <c r="DU161" s="417">
        <f t="shared" si="680"/>
        <v>86</v>
      </c>
    </row>
    <row r="162" spans="3:125" x14ac:dyDescent="0.25">
      <c r="C162" s="25">
        <v>17</v>
      </c>
      <c r="D162" s="23" t="str">
        <f t="shared" si="681"/>
        <v>CASETA 1</v>
      </c>
      <c r="E162" s="26">
        <f>INDEX($C$6:$Y$138,120,3)</f>
        <v>0</v>
      </c>
      <c r="F162" s="26">
        <f>INDEX($C$6:$Y$138,126,4)</f>
        <v>0</v>
      </c>
      <c r="G162" s="23">
        <f t="shared" si="682"/>
        <v>0</v>
      </c>
      <c r="H162" s="23">
        <f t="shared" si="683"/>
        <v>0</v>
      </c>
      <c r="I162" s="23">
        <f t="shared" si="684"/>
        <v>0</v>
      </c>
      <c r="J162" s="88">
        <f t="shared" si="685"/>
        <v>0</v>
      </c>
      <c r="K162" s="26">
        <f>INDEX($C$6:$Y$138,126,9)</f>
        <v>0</v>
      </c>
      <c r="L162" s="47">
        <f t="shared" si="622"/>
        <v>0.16</v>
      </c>
      <c r="M162" s="28" t="e">
        <f t="shared" si="686"/>
        <v>#DIV/0!</v>
      </c>
      <c r="N162" s="47">
        <f t="shared" si="634"/>
        <v>4.3200000000000012</v>
      </c>
      <c r="O162" s="47">
        <f t="shared" si="687"/>
        <v>0</v>
      </c>
      <c r="P162" s="464">
        <f t="shared" si="688"/>
        <v>0</v>
      </c>
      <c r="Q162" s="14">
        <f t="shared" si="635"/>
        <v>75</v>
      </c>
      <c r="R162" s="23">
        <f t="shared" si="636"/>
        <v>0</v>
      </c>
      <c r="S162" s="30">
        <f>INDEX($C$6:$Y$138,126,17)</f>
        <v>0</v>
      </c>
      <c r="T162" s="14">
        <f t="shared" si="637"/>
        <v>1207</v>
      </c>
      <c r="U162" s="349">
        <f>INDEX($C$6:$Y$138,126,19)</f>
        <v>0</v>
      </c>
      <c r="V162" s="415">
        <f t="shared" si="623"/>
        <v>1207</v>
      </c>
      <c r="W162" s="14">
        <f t="shared" si="624"/>
        <v>86</v>
      </c>
      <c r="X162" s="75">
        <f>INDEX($C$6:$Y$138,126,22)</f>
        <v>0</v>
      </c>
      <c r="Y162" s="609">
        <f t="shared" si="625"/>
        <v>86</v>
      </c>
      <c r="Z162" s="489"/>
      <c r="AA162" s="1"/>
      <c r="AB162" s="25">
        <v>17</v>
      </c>
      <c r="AC162" s="23" t="str">
        <f t="shared" si="689"/>
        <v>CASETA 2</v>
      </c>
      <c r="AD162" s="26">
        <f>INDEX($AB$6:$AX$138,120,3)</f>
        <v>0</v>
      </c>
      <c r="AE162" s="26">
        <f>INDEX($AB$6:$AX$138,126,4)</f>
        <v>0</v>
      </c>
      <c r="AF162" s="23">
        <f t="shared" si="638"/>
        <v>0</v>
      </c>
      <c r="AG162" s="23">
        <f t="shared" si="639"/>
        <v>0</v>
      </c>
      <c r="AH162" s="23">
        <f t="shared" si="640"/>
        <v>0</v>
      </c>
      <c r="AI162" s="88">
        <f t="shared" si="641"/>
        <v>0</v>
      </c>
      <c r="AJ162" s="26">
        <f>INDEX($AB$6:$AX$138,126,9)</f>
        <v>0</v>
      </c>
      <c r="AK162" s="47">
        <f t="shared" si="642"/>
        <v>0.16</v>
      </c>
      <c r="AL162" s="28">
        <f t="shared" si="643"/>
        <v>0</v>
      </c>
      <c r="AM162" s="47">
        <f t="shared" si="644"/>
        <v>4.3200000000000012</v>
      </c>
      <c r="AN162" s="47">
        <f t="shared" si="645"/>
        <v>0</v>
      </c>
      <c r="AO162" s="464">
        <f t="shared" si="646"/>
        <v>0</v>
      </c>
      <c r="AP162" s="14">
        <f t="shared" si="647"/>
        <v>75</v>
      </c>
      <c r="AQ162" s="23">
        <f t="shared" si="648"/>
        <v>0</v>
      </c>
      <c r="AR162" s="30">
        <f>INDEX($AB$6:$AX$138,126,17)</f>
        <v>0</v>
      </c>
      <c r="AS162" s="14">
        <f t="shared" si="649"/>
        <v>1207</v>
      </c>
      <c r="AT162" s="349">
        <f>INDEX($AB$6:$AX$138,126,19)</f>
        <v>0</v>
      </c>
      <c r="AU162" s="415">
        <f t="shared" si="650"/>
        <v>1207</v>
      </c>
      <c r="AV162" s="14">
        <f t="shared" si="651"/>
        <v>86</v>
      </c>
      <c r="AW162" s="75">
        <f>INDEX($AB$6:$AX$138,126,22)</f>
        <v>0</v>
      </c>
      <c r="AX162" s="609">
        <f t="shared" si="626"/>
        <v>86</v>
      </c>
      <c r="AZ162" s="1"/>
      <c r="BA162" s="25">
        <v>17</v>
      </c>
      <c r="BB162" s="25" t="str">
        <f t="shared" si="695"/>
        <v>CASETA 3</v>
      </c>
      <c r="BC162" s="26">
        <f>INDEX($BA$6:$BW$138,120,3)</f>
        <v>0</v>
      </c>
      <c r="BD162" s="26">
        <f>INDEX($BA$6:$BW$138,126,4)</f>
        <v>0</v>
      </c>
      <c r="BE162" s="23">
        <f t="shared" si="652"/>
        <v>0</v>
      </c>
      <c r="BF162" s="23">
        <f t="shared" si="653"/>
        <v>0</v>
      </c>
      <c r="BG162" s="23">
        <f t="shared" si="654"/>
        <v>0</v>
      </c>
      <c r="BH162" s="88">
        <f t="shared" si="655"/>
        <v>0</v>
      </c>
      <c r="BI162" s="26">
        <f>INDEX($BA$6:$BW$138,126,9)</f>
        <v>0</v>
      </c>
      <c r="BJ162" s="47">
        <f t="shared" si="627"/>
        <v>0.16</v>
      </c>
      <c r="BK162" s="28">
        <f t="shared" si="656"/>
        <v>0</v>
      </c>
      <c r="BL162" s="47">
        <f t="shared" si="628"/>
        <v>4.3200000000000012</v>
      </c>
      <c r="BM162" s="27">
        <f>INDEX($BA$6:$BW$138,126,13)</f>
        <v>0</v>
      </c>
      <c r="BN162" s="23">
        <f>SUMIFS($BN$6:$BN$138,$BA$6:$BA$138,$BA162)</f>
        <v>0</v>
      </c>
      <c r="BO162" s="14">
        <f t="shared" si="629"/>
        <v>75</v>
      </c>
      <c r="BP162" s="23">
        <f t="shared" si="658"/>
        <v>0</v>
      </c>
      <c r="BQ162" s="27">
        <f>INDEX($BA$6:$BW$138,126,17)</f>
        <v>0</v>
      </c>
      <c r="BR162" s="14">
        <f t="shared" si="630"/>
        <v>1207</v>
      </c>
      <c r="BS162" s="350">
        <f>INDEX($BA$6:$BW$138,126,19)</f>
        <v>0</v>
      </c>
      <c r="BT162" s="26">
        <f t="shared" si="690"/>
        <v>1207</v>
      </c>
      <c r="BU162" s="14">
        <f t="shared" si="631"/>
        <v>86</v>
      </c>
      <c r="BV162" s="26">
        <f>INDEX($BA$6:$BW$138,126,22)</f>
        <v>0</v>
      </c>
      <c r="BW162" s="26">
        <f t="shared" si="698"/>
        <v>86</v>
      </c>
      <c r="BY162" s="1"/>
      <c r="BZ162" s="25">
        <v>17</v>
      </c>
      <c r="CA162" s="25" t="str">
        <f t="shared" si="696"/>
        <v>CASETA 4</v>
      </c>
      <c r="CB162" s="26">
        <f>INDEX($BZ$6:$CV$138,120,3)</f>
        <v>0</v>
      </c>
      <c r="CC162" s="26">
        <f>INDEX($BZ$6:$CV$138,126,4)</f>
        <v>0</v>
      </c>
      <c r="CD162" s="23">
        <f t="shared" si="659"/>
        <v>0</v>
      </c>
      <c r="CE162" s="23">
        <f t="shared" si="660"/>
        <v>0</v>
      </c>
      <c r="CF162" s="23">
        <f t="shared" si="661"/>
        <v>0</v>
      </c>
      <c r="CG162" s="88">
        <f t="shared" si="662"/>
        <v>0</v>
      </c>
      <c r="CH162" s="26">
        <f>INDEX($BZ$6:$CV$138,126,9)</f>
        <v>0</v>
      </c>
      <c r="CI162" s="47">
        <f t="shared" si="663"/>
        <v>0.16</v>
      </c>
      <c r="CJ162" s="23">
        <f t="shared" si="691"/>
        <v>0</v>
      </c>
      <c r="CK162" s="47">
        <f t="shared" si="664"/>
        <v>4.3200000000000012</v>
      </c>
      <c r="CL162" s="27">
        <f>INDEX($BZ$6:$CV$138,126,13)</f>
        <v>0</v>
      </c>
      <c r="CM162" s="23">
        <f>SUMIFS($CM$6:$CM$138,$BZ$6:$BZ$138,$BZ162)</f>
        <v>0</v>
      </c>
      <c r="CN162" s="14">
        <f t="shared" si="666"/>
        <v>75</v>
      </c>
      <c r="CO162" s="23">
        <f t="shared" si="692"/>
        <v>0</v>
      </c>
      <c r="CP162" s="27">
        <f>INDEX($BZ$6:$CV$138,126,17)</f>
        <v>0</v>
      </c>
      <c r="CQ162" s="14">
        <f t="shared" si="632"/>
        <v>1207</v>
      </c>
      <c r="CR162" s="351">
        <f>INDEX($BZ$6:$CV$138,126,19)</f>
        <v>0</v>
      </c>
      <c r="CS162" s="416">
        <f t="shared" si="667"/>
        <v>1207</v>
      </c>
      <c r="CT162" s="14">
        <f t="shared" si="668"/>
        <v>86</v>
      </c>
      <c r="CU162" s="29">
        <f>INDEX($BZ$6:$CV$138,126,22)</f>
        <v>0</v>
      </c>
      <c r="CV162" s="417">
        <f t="shared" si="669"/>
        <v>86</v>
      </c>
      <c r="CY162" s="25">
        <v>17</v>
      </c>
      <c r="CZ162" s="25" t="str">
        <f t="shared" si="697"/>
        <v>CASETA 5</v>
      </c>
      <c r="DA162" s="26">
        <f>INDEX($BZ$6:$CV$138,120,3)</f>
        <v>0</v>
      </c>
      <c r="DB162" s="26">
        <f>INDEX($BZ$6:$CV$138,126,4)</f>
        <v>0</v>
      </c>
      <c r="DC162" s="23">
        <f t="shared" si="670"/>
        <v>0</v>
      </c>
      <c r="DD162" s="23">
        <f t="shared" si="671"/>
        <v>0</v>
      </c>
      <c r="DE162" s="23">
        <f t="shared" si="672"/>
        <v>0</v>
      </c>
      <c r="DF162" s="88">
        <f t="shared" si="699"/>
        <v>0</v>
      </c>
      <c r="DG162" s="26">
        <f>INDEX($BZ$6:$CV$138,126,9)</f>
        <v>0</v>
      </c>
      <c r="DH162" s="47">
        <f t="shared" si="674"/>
        <v>0.16</v>
      </c>
      <c r="DI162" s="23">
        <f t="shared" si="693"/>
        <v>0</v>
      </c>
      <c r="DJ162" s="47">
        <f t="shared" si="675"/>
        <v>4.3200000000000012</v>
      </c>
      <c r="DK162" s="27">
        <f>INDEX($BZ$6:$CV$138,126,13)</f>
        <v>0</v>
      </c>
      <c r="DL162" s="23">
        <f>SUMIFS($CM$6:$CM$138,$BZ$6:$BZ$138,$BZ162)</f>
        <v>0</v>
      </c>
      <c r="DM162" s="14">
        <f t="shared" si="677"/>
        <v>75</v>
      </c>
      <c r="DN162" s="23">
        <f t="shared" si="694"/>
        <v>0</v>
      </c>
      <c r="DO162" s="27">
        <f>INDEX($BZ$6:$CV$138,126,17)</f>
        <v>0</v>
      </c>
      <c r="DP162" s="14">
        <f t="shared" si="633"/>
        <v>1207</v>
      </c>
      <c r="DQ162" s="351">
        <f>INDEX($BZ$6:$CV$138,126,19)</f>
        <v>0</v>
      </c>
      <c r="DR162" s="416">
        <f t="shared" si="678"/>
        <v>1207</v>
      </c>
      <c r="DS162" s="14">
        <f t="shared" si="679"/>
        <v>86</v>
      </c>
      <c r="DT162" s="29">
        <f>INDEX($BZ$6:$CV$138,126,22)</f>
        <v>0</v>
      </c>
      <c r="DU162" s="417">
        <f t="shared" si="680"/>
        <v>86</v>
      </c>
    </row>
    <row r="163" spans="3:125" x14ac:dyDescent="0.25">
      <c r="C163" s="25">
        <v>18</v>
      </c>
      <c r="D163" s="23" t="str">
        <f t="shared" si="681"/>
        <v>CASETA 1</v>
      </c>
      <c r="E163" s="26">
        <f>INDEX($C$6:$Y$138,127,3)</f>
        <v>0</v>
      </c>
      <c r="F163" s="26">
        <f>INDEX($C$6:$Y$138,133,4)</f>
        <v>0</v>
      </c>
      <c r="G163" s="23">
        <f t="shared" si="682"/>
        <v>0</v>
      </c>
      <c r="H163" s="23">
        <f t="shared" si="683"/>
        <v>0</v>
      </c>
      <c r="I163" s="23">
        <f t="shared" si="684"/>
        <v>0</v>
      </c>
      <c r="J163" s="88">
        <f>SUM(G163:I163)</f>
        <v>0</v>
      </c>
      <c r="K163" s="26">
        <f>INDEX($C$6:$Y$138,133,9)</f>
        <v>0</v>
      </c>
      <c r="L163" s="47">
        <f t="shared" si="622"/>
        <v>0.16</v>
      </c>
      <c r="M163" s="28" t="e">
        <f t="shared" si="686"/>
        <v>#DIV/0!</v>
      </c>
      <c r="N163" s="47">
        <f t="shared" si="634"/>
        <v>4.4800000000000013</v>
      </c>
      <c r="O163" s="47">
        <f t="shared" si="687"/>
        <v>0</v>
      </c>
      <c r="P163" s="464">
        <f t="shared" si="688"/>
        <v>0</v>
      </c>
      <c r="Q163" s="14">
        <f t="shared" si="635"/>
        <v>79</v>
      </c>
      <c r="R163" s="23">
        <f t="shared" si="636"/>
        <v>0</v>
      </c>
      <c r="S163" s="30">
        <f>INDEX($C$6:$Y$138,126,17)</f>
        <v>0</v>
      </c>
      <c r="T163" s="14">
        <f t="shared" si="637"/>
        <v>1257</v>
      </c>
      <c r="U163" s="349">
        <f>INDEX($C$6:$Y$138,126,19)</f>
        <v>0</v>
      </c>
      <c r="V163" s="415">
        <f t="shared" si="623"/>
        <v>1257</v>
      </c>
      <c r="W163" s="14">
        <f t="shared" si="624"/>
        <v>86</v>
      </c>
      <c r="X163" s="75">
        <f>INDEX($C$6:$Y$138,126,22)</f>
        <v>0</v>
      </c>
      <c r="Y163" s="609">
        <f t="shared" si="625"/>
        <v>86</v>
      </c>
      <c r="Z163" s="489"/>
      <c r="AA163" s="1"/>
      <c r="AB163" s="25">
        <v>18</v>
      </c>
      <c r="AC163" s="23" t="str">
        <f t="shared" si="689"/>
        <v>CASETA 2</v>
      </c>
      <c r="AD163" s="26">
        <f>INDEX($AB$6:$AX$138,127,3)</f>
        <v>0</v>
      </c>
      <c r="AE163" s="26">
        <f>INDEX($AB$6:$AX$138,133,4)</f>
        <v>0</v>
      </c>
      <c r="AF163" s="23">
        <f t="shared" si="638"/>
        <v>0</v>
      </c>
      <c r="AG163" s="23">
        <f t="shared" si="639"/>
        <v>0</v>
      </c>
      <c r="AH163" s="23">
        <f t="shared" si="640"/>
        <v>0</v>
      </c>
      <c r="AI163" s="88">
        <f t="shared" si="641"/>
        <v>0</v>
      </c>
      <c r="AJ163" s="26">
        <f>INDEX($AB$6:$AX$138,133,9)</f>
        <v>0</v>
      </c>
      <c r="AK163" s="47">
        <f t="shared" si="642"/>
        <v>0.16</v>
      </c>
      <c r="AL163" s="28">
        <f t="shared" si="643"/>
        <v>0</v>
      </c>
      <c r="AM163" s="47">
        <f t="shared" si="644"/>
        <v>4.4800000000000013</v>
      </c>
      <c r="AN163" s="47">
        <f t="shared" si="645"/>
        <v>0</v>
      </c>
      <c r="AO163" s="464">
        <f t="shared" si="646"/>
        <v>0</v>
      </c>
      <c r="AP163" s="14">
        <f t="shared" si="647"/>
        <v>79</v>
      </c>
      <c r="AQ163" s="23">
        <f t="shared" si="648"/>
        <v>0</v>
      </c>
      <c r="AR163" s="30">
        <f>INDEX($AB$6:$AX$138,133,17)</f>
        <v>0</v>
      </c>
      <c r="AS163" s="14">
        <f t="shared" si="649"/>
        <v>1257</v>
      </c>
      <c r="AT163" s="349">
        <f>INDEX($AB$6:$AX$138,133,19)</f>
        <v>0</v>
      </c>
      <c r="AU163" s="415">
        <f t="shared" si="650"/>
        <v>1257</v>
      </c>
      <c r="AV163" s="14">
        <f t="shared" si="651"/>
        <v>86</v>
      </c>
      <c r="AW163" s="75">
        <f>INDEX($AB$6:$AX$138,133,22)</f>
        <v>0</v>
      </c>
      <c r="AX163" s="609">
        <f t="shared" si="626"/>
        <v>86</v>
      </c>
      <c r="AZ163" s="1"/>
      <c r="BA163" s="25">
        <v>18</v>
      </c>
      <c r="BB163" s="25" t="str">
        <f t="shared" si="695"/>
        <v>CASETA 3</v>
      </c>
      <c r="BC163" s="26">
        <f>INDEX($BA$6:$BW$138,127,3)</f>
        <v>0</v>
      </c>
      <c r="BD163" s="26">
        <f>INDEX($BA$6:$BW$138,133,4)</f>
        <v>0</v>
      </c>
      <c r="BE163" s="23">
        <f t="shared" si="652"/>
        <v>0</v>
      </c>
      <c r="BF163" s="23">
        <f t="shared" si="653"/>
        <v>0</v>
      </c>
      <c r="BG163" s="23">
        <f t="shared" si="654"/>
        <v>0</v>
      </c>
      <c r="BH163" s="88">
        <f t="shared" si="655"/>
        <v>0</v>
      </c>
      <c r="BI163" s="26">
        <f>INDEX($BA$6:$BW$138,133,9)</f>
        <v>0</v>
      </c>
      <c r="BJ163" s="47">
        <f t="shared" si="627"/>
        <v>0.16</v>
      </c>
      <c r="BK163" s="28">
        <f t="shared" si="656"/>
        <v>0</v>
      </c>
      <c r="BL163" s="47">
        <f t="shared" si="628"/>
        <v>4.4800000000000013</v>
      </c>
      <c r="BM163" s="27">
        <f>INDEX($BA$6:$BW$138,133,13)</f>
        <v>0</v>
      </c>
      <c r="BN163" s="23">
        <f t="shared" si="657"/>
        <v>0</v>
      </c>
      <c r="BO163" s="14">
        <f t="shared" si="629"/>
        <v>79</v>
      </c>
      <c r="BP163" s="23">
        <f t="shared" si="658"/>
        <v>0</v>
      </c>
      <c r="BQ163" s="27">
        <f>INDEX($BA$6:$BW$138,133,17)</f>
        <v>0</v>
      </c>
      <c r="BR163" s="14">
        <f t="shared" si="630"/>
        <v>1257</v>
      </c>
      <c r="BS163" s="350">
        <f>INDEX($BA$6:$BW$138,133,19)</f>
        <v>0</v>
      </c>
      <c r="BT163" s="26">
        <f t="shared" si="690"/>
        <v>1257</v>
      </c>
      <c r="BU163" s="14">
        <f t="shared" si="631"/>
        <v>86</v>
      </c>
      <c r="BV163" s="26">
        <f>INDEX($BA$6:$BW$138,133,22)</f>
        <v>0</v>
      </c>
      <c r="BW163" s="26">
        <f t="shared" si="698"/>
        <v>86</v>
      </c>
      <c r="BY163" s="1"/>
      <c r="BZ163" s="25">
        <v>18</v>
      </c>
      <c r="CA163" s="25" t="str">
        <f t="shared" si="696"/>
        <v>CASETA 4</v>
      </c>
      <c r="CB163" s="26">
        <f>INDEX($BZ$6:$CV$138,127,3)</f>
        <v>0</v>
      </c>
      <c r="CC163" s="26">
        <f>INDEX($BZ$6:$CV$138,133,4)</f>
        <v>0</v>
      </c>
      <c r="CD163" s="23">
        <f>SUMIFS($CD$6:$CD$138,$BZ$6:$BZ$138,$BZ163)</f>
        <v>0</v>
      </c>
      <c r="CE163" s="23">
        <f t="shared" si="660"/>
        <v>0</v>
      </c>
      <c r="CF163" s="23">
        <f t="shared" si="661"/>
        <v>0</v>
      </c>
      <c r="CG163" s="88">
        <f t="shared" si="662"/>
        <v>0</v>
      </c>
      <c r="CH163" s="26">
        <f>INDEX($BZ$6:$CV$138,133,9)</f>
        <v>0</v>
      </c>
      <c r="CI163" s="47">
        <f t="shared" si="663"/>
        <v>0.16</v>
      </c>
      <c r="CJ163" s="23">
        <f t="shared" si="691"/>
        <v>0</v>
      </c>
      <c r="CK163" s="47">
        <f t="shared" si="664"/>
        <v>4.4800000000000013</v>
      </c>
      <c r="CL163" s="27">
        <f>INDEX($BZ$6:$CV$138,133,13)</f>
        <v>0</v>
      </c>
      <c r="CM163" s="23">
        <f t="shared" si="665"/>
        <v>0</v>
      </c>
      <c r="CN163" s="14">
        <f t="shared" si="666"/>
        <v>79</v>
      </c>
      <c r="CO163" s="23"/>
      <c r="CP163" s="27">
        <f>INDEX($BZ$6:$CV$138,133,17)</f>
        <v>0</v>
      </c>
      <c r="CQ163" s="14">
        <f>VLOOKUP($BZ163,LOHMANN,2,FALSE)</f>
        <v>1257</v>
      </c>
      <c r="CR163" s="351">
        <f>INDEX($BZ$6:$CV$138,133,19)</f>
        <v>0</v>
      </c>
      <c r="CS163" s="416">
        <f t="shared" si="667"/>
        <v>1257</v>
      </c>
      <c r="CT163" s="14">
        <f>VLOOKUP(BZ163,LOHMANN,3,FALSE)</f>
        <v>86</v>
      </c>
      <c r="CU163" s="29">
        <f>INDEX($BZ$6:$CV$138,133,22)</f>
        <v>0</v>
      </c>
      <c r="CV163" s="417">
        <f t="shared" si="669"/>
        <v>86</v>
      </c>
      <c r="CY163" s="25">
        <v>18</v>
      </c>
      <c r="CZ163" s="25" t="str">
        <f t="shared" si="697"/>
        <v>CASETA 5</v>
      </c>
      <c r="DA163" s="26">
        <f>INDEX($BZ$6:$CV$138,127,3)</f>
        <v>0</v>
      </c>
      <c r="DB163" s="26">
        <f>INDEX($BZ$6:$CV$138,133,4)</f>
        <v>0</v>
      </c>
      <c r="DC163" s="23">
        <f>SUMIFS($CD$6:$CD$138,$BZ$6:$BZ$138,$BZ163)</f>
        <v>0</v>
      </c>
      <c r="DD163" s="23">
        <f t="shared" si="671"/>
        <v>0</v>
      </c>
      <c r="DE163" s="23">
        <f t="shared" si="672"/>
        <v>0</v>
      </c>
      <c r="DF163" s="88">
        <f t="shared" si="699"/>
        <v>0</v>
      </c>
      <c r="DG163" s="26">
        <f>INDEX($BZ$6:$CV$138,133,9)</f>
        <v>0</v>
      </c>
      <c r="DH163" s="47">
        <f t="shared" si="674"/>
        <v>0.16</v>
      </c>
      <c r="DI163" s="23">
        <f t="shared" si="693"/>
        <v>0</v>
      </c>
      <c r="DJ163" s="47">
        <f t="shared" si="675"/>
        <v>4.4800000000000013</v>
      </c>
      <c r="DK163" s="27">
        <f>INDEX($BZ$6:$CV$138,133,13)</f>
        <v>0</v>
      </c>
      <c r="DL163" s="23">
        <f t="shared" si="676"/>
        <v>0</v>
      </c>
      <c r="DM163" s="14">
        <f t="shared" si="677"/>
        <v>79</v>
      </c>
      <c r="DN163" s="23"/>
      <c r="DO163" s="27">
        <f>INDEX($BZ$6:$CV$138,133,17)</f>
        <v>0</v>
      </c>
      <c r="DP163" s="14">
        <f>VLOOKUP($BZ163,LOHMANN,2,FALSE)</f>
        <v>1257</v>
      </c>
      <c r="DQ163" s="351">
        <f>INDEX($BZ$6:$CV$138,133,19)</f>
        <v>0</v>
      </c>
      <c r="DR163" s="416">
        <f t="shared" si="678"/>
        <v>1257</v>
      </c>
      <c r="DS163" s="14">
        <f>VLOOKUP(CY163,LOHMANN,3,FALSE)</f>
        <v>86</v>
      </c>
      <c r="DT163" s="29">
        <f>INDEX($BZ$6:$CV$138,133,22)</f>
        <v>0</v>
      </c>
      <c r="DU163" s="417">
        <f t="shared" si="680"/>
        <v>86</v>
      </c>
    </row>
    <row r="164" spans="3:125" x14ac:dyDescent="0.25">
      <c r="O164" s="4"/>
    </row>
    <row r="168" spans="3:125" x14ac:dyDescent="0.25">
      <c r="E168" s="352">
        <v>0</v>
      </c>
      <c r="F168" s="76">
        <v>1</v>
      </c>
      <c r="G168" s="76">
        <v>2</v>
      </c>
      <c r="H168" s="76">
        <v>3</v>
      </c>
      <c r="I168" s="76">
        <v>4</v>
      </c>
      <c r="J168" s="76">
        <v>5</v>
      </c>
      <c r="K168" s="76">
        <v>6</v>
      </c>
      <c r="L168" s="76">
        <v>7</v>
      </c>
      <c r="M168" s="76">
        <v>8</v>
      </c>
      <c r="N168" s="76">
        <v>9</v>
      </c>
      <c r="O168" s="76">
        <v>10</v>
      </c>
      <c r="P168" s="76">
        <v>11</v>
      </c>
      <c r="Q168" s="76">
        <v>12</v>
      </c>
      <c r="R168" s="76">
        <v>13</v>
      </c>
      <c r="S168" s="76">
        <v>14</v>
      </c>
      <c r="T168" s="76">
        <v>15</v>
      </c>
      <c r="U168" s="76">
        <v>16</v>
      </c>
      <c r="V168" s="76">
        <v>17</v>
      </c>
      <c r="W168" s="76">
        <v>18</v>
      </c>
      <c r="X168" s="316"/>
    </row>
    <row r="169" spans="3:125" ht="25.5" x14ac:dyDescent="0.25">
      <c r="C169" s="315" t="s">
        <v>52</v>
      </c>
      <c r="D169" s="24" t="s">
        <v>67</v>
      </c>
      <c r="E169" s="83">
        <f t="shared" ref="E169:W169" si="700">VLOOKUP(E$168,CST1BY,3,0)</f>
        <v>0</v>
      </c>
      <c r="F169" s="83">
        <f t="shared" si="700"/>
        <v>0</v>
      </c>
      <c r="G169" s="83">
        <f t="shared" si="700"/>
        <v>0</v>
      </c>
      <c r="H169" s="83">
        <f t="shared" si="700"/>
        <v>0</v>
      </c>
      <c r="I169" s="83">
        <f t="shared" si="700"/>
        <v>0</v>
      </c>
      <c r="J169" s="83">
        <f t="shared" si="700"/>
        <v>0</v>
      </c>
      <c r="K169" s="83">
        <f t="shared" si="700"/>
        <v>0</v>
      </c>
      <c r="L169" s="83">
        <f t="shared" si="700"/>
        <v>0</v>
      </c>
      <c r="M169" s="83">
        <f t="shared" si="700"/>
        <v>0</v>
      </c>
      <c r="N169" s="83">
        <f t="shared" si="700"/>
        <v>0</v>
      </c>
      <c r="O169" s="83">
        <f t="shared" si="700"/>
        <v>0</v>
      </c>
      <c r="P169" s="83">
        <f t="shared" si="700"/>
        <v>0</v>
      </c>
      <c r="Q169" s="83">
        <f t="shared" si="700"/>
        <v>0</v>
      </c>
      <c r="R169" s="83">
        <f t="shared" si="700"/>
        <v>0</v>
      </c>
      <c r="S169" s="83">
        <f t="shared" si="700"/>
        <v>0</v>
      </c>
      <c r="T169" s="83">
        <f t="shared" si="700"/>
        <v>0</v>
      </c>
      <c r="U169" s="83">
        <f t="shared" si="700"/>
        <v>0</v>
      </c>
      <c r="V169" s="83">
        <f t="shared" si="700"/>
        <v>0</v>
      </c>
      <c r="W169" s="83">
        <f t="shared" si="700"/>
        <v>0</v>
      </c>
    </row>
    <row r="170" spans="3:125" ht="24" customHeight="1" x14ac:dyDescent="0.25">
      <c r="C170" s="77" t="str">
        <f>C169</f>
        <v>CASETA 1</v>
      </c>
      <c r="D170" s="24" t="s">
        <v>34</v>
      </c>
      <c r="E170" s="83">
        <f t="shared" ref="E170:W170" si="701">VLOOKUP(E$168,CST1BY,4,0)</f>
        <v>0</v>
      </c>
      <c r="F170" s="83">
        <f t="shared" si="701"/>
        <v>0</v>
      </c>
      <c r="G170" s="83">
        <f t="shared" si="701"/>
        <v>0</v>
      </c>
      <c r="H170" s="83">
        <f t="shared" si="701"/>
        <v>0</v>
      </c>
      <c r="I170" s="83">
        <f t="shared" si="701"/>
        <v>0</v>
      </c>
      <c r="J170" s="83">
        <f t="shared" si="701"/>
        <v>0</v>
      </c>
      <c r="K170" s="83">
        <f t="shared" si="701"/>
        <v>0</v>
      </c>
      <c r="L170" s="83">
        <f t="shared" si="701"/>
        <v>0</v>
      </c>
      <c r="M170" s="83">
        <f t="shared" si="701"/>
        <v>0</v>
      </c>
      <c r="N170" s="83">
        <f t="shared" si="701"/>
        <v>0</v>
      </c>
      <c r="O170" s="83">
        <f t="shared" si="701"/>
        <v>0</v>
      </c>
      <c r="P170" s="83">
        <f t="shared" si="701"/>
        <v>0</v>
      </c>
      <c r="Q170" s="83">
        <f t="shared" si="701"/>
        <v>0</v>
      </c>
      <c r="R170" s="83">
        <f t="shared" si="701"/>
        <v>0</v>
      </c>
      <c r="S170" s="83">
        <f t="shared" si="701"/>
        <v>0</v>
      </c>
      <c r="T170" s="83">
        <f t="shared" si="701"/>
        <v>0</v>
      </c>
      <c r="U170" s="83">
        <f t="shared" si="701"/>
        <v>0</v>
      </c>
      <c r="V170" s="83">
        <f t="shared" si="701"/>
        <v>0</v>
      </c>
      <c r="W170" s="83">
        <f t="shared" si="701"/>
        <v>0</v>
      </c>
    </row>
    <row r="171" spans="3:125" x14ac:dyDescent="0.25">
      <c r="C171" s="77" t="str">
        <f t="shared" ref="C171:C189" si="702">C170</f>
        <v>CASETA 1</v>
      </c>
      <c r="D171" s="23" t="s">
        <v>27</v>
      </c>
      <c r="E171" s="83">
        <f>VLOOKUP(E$168,CST1BY,5,0)</f>
        <v>0</v>
      </c>
      <c r="F171" s="83">
        <f>VLOOKUP(F$168,CST1BY,5,0)</f>
        <v>0</v>
      </c>
      <c r="G171" s="83">
        <f>VLOOKUP(G$168,CST1BY,5,0)</f>
        <v>0</v>
      </c>
      <c r="H171" s="83">
        <f t="shared" ref="H171:W171" si="703">VLOOKUP(H$168,CST1BY,5,0)</f>
        <v>0</v>
      </c>
      <c r="I171" s="83">
        <f t="shared" si="703"/>
        <v>0</v>
      </c>
      <c r="J171" s="83">
        <f>VLOOKUP(J$168,CST1BY,5,0)</f>
        <v>0</v>
      </c>
      <c r="K171" s="83">
        <f t="shared" si="703"/>
        <v>0</v>
      </c>
      <c r="L171" s="83">
        <f t="shared" si="703"/>
        <v>0</v>
      </c>
      <c r="M171" s="83">
        <f t="shared" si="703"/>
        <v>0</v>
      </c>
      <c r="N171" s="83">
        <f t="shared" si="703"/>
        <v>0</v>
      </c>
      <c r="O171" s="83">
        <f t="shared" si="703"/>
        <v>0</v>
      </c>
      <c r="P171" s="83">
        <f t="shared" si="703"/>
        <v>0</v>
      </c>
      <c r="Q171" s="83">
        <f t="shared" si="703"/>
        <v>0</v>
      </c>
      <c r="R171" s="83">
        <f t="shared" si="703"/>
        <v>0</v>
      </c>
      <c r="S171" s="83">
        <f t="shared" si="703"/>
        <v>0</v>
      </c>
      <c r="T171" s="83">
        <f t="shared" si="703"/>
        <v>0</v>
      </c>
      <c r="U171" s="83">
        <f t="shared" si="703"/>
        <v>0</v>
      </c>
      <c r="V171" s="83">
        <f t="shared" si="703"/>
        <v>0</v>
      </c>
      <c r="W171" s="83">
        <f t="shared" si="703"/>
        <v>0</v>
      </c>
    </row>
    <row r="172" spans="3:125" x14ac:dyDescent="0.25">
      <c r="C172" s="77" t="str">
        <f t="shared" si="702"/>
        <v>CASETA 1</v>
      </c>
      <c r="D172" s="23" t="s">
        <v>16</v>
      </c>
      <c r="E172" s="83">
        <f>VLOOKUP(E$168,CST1BY,6,0)</f>
        <v>0</v>
      </c>
      <c r="F172" s="83">
        <f>VLOOKUP(F$168,CST1BY,6,0)</f>
        <v>0</v>
      </c>
      <c r="G172" s="83">
        <f t="shared" ref="G172:W172" si="704">VLOOKUP(G$168,CST1BY,6,0)</f>
        <v>0</v>
      </c>
      <c r="H172" s="83">
        <f t="shared" si="704"/>
        <v>0</v>
      </c>
      <c r="I172" s="83">
        <f t="shared" si="704"/>
        <v>0</v>
      </c>
      <c r="J172" s="83">
        <f t="shared" si="704"/>
        <v>0</v>
      </c>
      <c r="K172" s="83">
        <f t="shared" si="704"/>
        <v>0</v>
      </c>
      <c r="L172" s="83">
        <f t="shared" si="704"/>
        <v>0</v>
      </c>
      <c r="M172" s="83">
        <f t="shared" si="704"/>
        <v>0</v>
      </c>
      <c r="N172" s="83">
        <f t="shared" si="704"/>
        <v>0</v>
      </c>
      <c r="O172" s="83">
        <f t="shared" si="704"/>
        <v>0</v>
      </c>
      <c r="P172" s="83">
        <f t="shared" si="704"/>
        <v>0</v>
      </c>
      <c r="Q172" s="83">
        <f t="shared" si="704"/>
        <v>0</v>
      </c>
      <c r="R172" s="83">
        <f t="shared" si="704"/>
        <v>0</v>
      </c>
      <c r="S172" s="83">
        <f t="shared" si="704"/>
        <v>0</v>
      </c>
      <c r="T172" s="83">
        <f t="shared" si="704"/>
        <v>0</v>
      </c>
      <c r="U172" s="83">
        <f t="shared" si="704"/>
        <v>0</v>
      </c>
      <c r="V172" s="83">
        <f t="shared" si="704"/>
        <v>0</v>
      </c>
      <c r="W172" s="83">
        <f t="shared" si="704"/>
        <v>0</v>
      </c>
    </row>
    <row r="173" spans="3:125" x14ac:dyDescent="0.25">
      <c r="C173" s="77" t="str">
        <f t="shared" si="702"/>
        <v>CASETA 1</v>
      </c>
      <c r="D173" s="23" t="s">
        <v>17</v>
      </c>
      <c r="E173" s="83">
        <f>VLOOKUP(E$168,CST1BY,7,0)</f>
        <v>0</v>
      </c>
      <c r="F173" s="83">
        <f>VLOOKUP(F$168,CST1BY,7,0)</f>
        <v>0</v>
      </c>
      <c r="G173" s="83">
        <f t="shared" ref="G173:W173" si="705">VLOOKUP(G$168,CST1BY,7,0)</f>
        <v>0</v>
      </c>
      <c r="H173" s="83">
        <f t="shared" si="705"/>
        <v>0</v>
      </c>
      <c r="I173" s="83">
        <f t="shared" si="705"/>
        <v>0</v>
      </c>
      <c r="J173" s="83">
        <f t="shared" si="705"/>
        <v>0</v>
      </c>
      <c r="K173" s="83">
        <f t="shared" si="705"/>
        <v>0</v>
      </c>
      <c r="L173" s="83">
        <f t="shared" si="705"/>
        <v>0</v>
      </c>
      <c r="M173" s="83">
        <f t="shared" si="705"/>
        <v>0</v>
      </c>
      <c r="N173" s="83">
        <f t="shared" si="705"/>
        <v>0</v>
      </c>
      <c r="O173" s="83">
        <f t="shared" si="705"/>
        <v>0</v>
      </c>
      <c r="P173" s="83">
        <f t="shared" si="705"/>
        <v>0</v>
      </c>
      <c r="Q173" s="83">
        <f t="shared" si="705"/>
        <v>0</v>
      </c>
      <c r="R173" s="83">
        <f t="shared" si="705"/>
        <v>0</v>
      </c>
      <c r="S173" s="83">
        <f t="shared" si="705"/>
        <v>0</v>
      </c>
      <c r="T173" s="83">
        <f t="shared" si="705"/>
        <v>0</v>
      </c>
      <c r="U173" s="83">
        <f t="shared" si="705"/>
        <v>0</v>
      </c>
      <c r="V173" s="83">
        <f t="shared" si="705"/>
        <v>0</v>
      </c>
      <c r="W173" s="83">
        <f t="shared" si="705"/>
        <v>0</v>
      </c>
    </row>
    <row r="174" spans="3:125" x14ac:dyDescent="0.25">
      <c r="C174" s="77" t="str">
        <f t="shared" si="702"/>
        <v>CASETA 1</v>
      </c>
      <c r="D174" s="23" t="s">
        <v>18</v>
      </c>
      <c r="E174" s="83">
        <f>SUM(E171:E173)</f>
        <v>0</v>
      </c>
      <c r="F174" s="83">
        <f>SUM(F171:F173)</f>
        <v>0</v>
      </c>
      <c r="G174" s="83">
        <f t="shared" ref="G174:W174" si="706">SUM(G171:G173)</f>
        <v>0</v>
      </c>
      <c r="H174" s="83">
        <f t="shared" si="706"/>
        <v>0</v>
      </c>
      <c r="I174" s="83">
        <f t="shared" si="706"/>
        <v>0</v>
      </c>
      <c r="J174" s="83">
        <f t="shared" si="706"/>
        <v>0</v>
      </c>
      <c r="K174" s="83">
        <f t="shared" si="706"/>
        <v>0</v>
      </c>
      <c r="L174" s="83">
        <f t="shared" si="706"/>
        <v>0</v>
      </c>
      <c r="M174" s="83">
        <f t="shared" si="706"/>
        <v>0</v>
      </c>
      <c r="N174" s="83">
        <f t="shared" si="706"/>
        <v>0</v>
      </c>
      <c r="O174" s="83">
        <f t="shared" si="706"/>
        <v>0</v>
      </c>
      <c r="P174" s="83">
        <f t="shared" si="706"/>
        <v>0</v>
      </c>
      <c r="Q174" s="83">
        <f t="shared" si="706"/>
        <v>0</v>
      </c>
      <c r="R174" s="83">
        <f t="shared" si="706"/>
        <v>0</v>
      </c>
      <c r="S174" s="83">
        <f t="shared" si="706"/>
        <v>0</v>
      </c>
      <c r="T174" s="83">
        <f t="shared" si="706"/>
        <v>0</v>
      </c>
      <c r="U174" s="83">
        <f t="shared" si="706"/>
        <v>0</v>
      </c>
      <c r="V174" s="83">
        <f t="shared" si="706"/>
        <v>0</v>
      </c>
      <c r="W174" s="83">
        <f t="shared" si="706"/>
        <v>0</v>
      </c>
    </row>
    <row r="175" spans="3:125" x14ac:dyDescent="0.25">
      <c r="C175" s="77" t="str">
        <f t="shared" si="702"/>
        <v>CASETA 1</v>
      </c>
      <c r="D175" s="23" t="s">
        <v>48</v>
      </c>
      <c r="E175" s="83">
        <f>VLOOKUP(E$168,CST1BY,9,0)</f>
        <v>0</v>
      </c>
      <c r="F175" s="83">
        <f>VLOOKUP(F$168,CST1BY,9,0)</f>
        <v>0</v>
      </c>
      <c r="G175" s="83">
        <f>VLOOKUP(G$168,CST1BY,9,0)</f>
        <v>0</v>
      </c>
      <c r="H175" s="83">
        <f t="shared" ref="H175:W175" si="707">VLOOKUP(H$168,CST1BY,9,0)</f>
        <v>0</v>
      </c>
      <c r="I175" s="83">
        <f t="shared" si="707"/>
        <v>0</v>
      </c>
      <c r="J175" s="83">
        <f t="shared" si="707"/>
        <v>0</v>
      </c>
      <c r="K175" s="83">
        <f t="shared" si="707"/>
        <v>0</v>
      </c>
      <c r="L175" s="83">
        <f t="shared" si="707"/>
        <v>0</v>
      </c>
      <c r="M175" s="83">
        <f t="shared" si="707"/>
        <v>0</v>
      </c>
      <c r="N175" s="83">
        <f t="shared" si="707"/>
        <v>0</v>
      </c>
      <c r="O175" s="83">
        <f t="shared" si="707"/>
        <v>0</v>
      </c>
      <c r="P175" s="83">
        <f t="shared" si="707"/>
        <v>0</v>
      </c>
      <c r="Q175" s="83">
        <f t="shared" si="707"/>
        <v>0</v>
      </c>
      <c r="R175" s="83">
        <f t="shared" si="707"/>
        <v>0</v>
      </c>
      <c r="S175" s="83">
        <f t="shared" si="707"/>
        <v>0</v>
      </c>
      <c r="T175" s="83">
        <f t="shared" si="707"/>
        <v>0</v>
      </c>
      <c r="U175" s="83">
        <f t="shared" si="707"/>
        <v>0</v>
      </c>
      <c r="V175" s="83">
        <f t="shared" si="707"/>
        <v>0</v>
      </c>
      <c r="W175" s="83">
        <f t="shared" si="707"/>
        <v>0</v>
      </c>
    </row>
    <row r="176" spans="3:125" x14ac:dyDescent="0.25">
      <c r="C176" s="77" t="str">
        <f t="shared" si="702"/>
        <v>CASETA 1</v>
      </c>
      <c r="D176" s="86" t="s">
        <v>72</v>
      </c>
      <c r="E176" s="295">
        <f>VLOOKUP(E$168,CST1BY,10,0)</f>
        <v>0.7</v>
      </c>
      <c r="F176" s="295">
        <f>VLOOKUP(F$168,CST1BY,10,0)</f>
        <v>0.7</v>
      </c>
      <c r="G176" s="295">
        <f>VLOOKUP(G$168,CST1BY,10,0)</f>
        <v>0.7</v>
      </c>
      <c r="H176" s="295">
        <f t="shared" ref="H176:W176" si="708">VLOOKUP(H$168,CST1BY,10,0)</f>
        <v>0.5</v>
      </c>
      <c r="I176" s="295">
        <f t="shared" si="708"/>
        <v>0.3</v>
      </c>
      <c r="J176" s="295">
        <f t="shared" si="708"/>
        <v>0.18</v>
      </c>
      <c r="K176" s="295">
        <f t="shared" si="708"/>
        <v>0.18</v>
      </c>
      <c r="L176" s="295">
        <f t="shared" si="708"/>
        <v>0.16</v>
      </c>
      <c r="M176" s="295">
        <f t="shared" si="708"/>
        <v>0.16</v>
      </c>
      <c r="N176" s="295">
        <f t="shared" si="708"/>
        <v>0.16</v>
      </c>
      <c r="O176" s="295">
        <f t="shared" si="708"/>
        <v>0.16</v>
      </c>
      <c r="P176" s="295">
        <f t="shared" si="708"/>
        <v>0.16</v>
      </c>
      <c r="Q176" s="295">
        <f t="shared" si="708"/>
        <v>0.16</v>
      </c>
      <c r="R176" s="295">
        <f t="shared" si="708"/>
        <v>0.16</v>
      </c>
      <c r="S176" s="295">
        <f t="shared" si="708"/>
        <v>0.16</v>
      </c>
      <c r="T176" s="295">
        <f t="shared" si="708"/>
        <v>0.16</v>
      </c>
      <c r="U176" s="295">
        <f t="shared" si="708"/>
        <v>0.16</v>
      </c>
      <c r="V176" s="295">
        <f t="shared" si="708"/>
        <v>0.16</v>
      </c>
      <c r="W176" s="295">
        <f t="shared" si="708"/>
        <v>0.16</v>
      </c>
    </row>
    <row r="177" spans="3:23" x14ac:dyDescent="0.25">
      <c r="C177" s="77" t="str">
        <f t="shared" si="702"/>
        <v>CASETA 1</v>
      </c>
      <c r="D177" s="86" t="s">
        <v>74</v>
      </c>
      <c r="E177" s="214" t="e">
        <f>VLOOKUP(E$168,CST1BY,11,0)</f>
        <v>#DIV/0!</v>
      </c>
      <c r="F177" s="214" t="e">
        <f>VLOOKUP(F$168,CST1BY,11,0)</f>
        <v>#DIV/0!</v>
      </c>
      <c r="G177" s="214" t="e">
        <f t="shared" ref="G177:W177" si="709">VLOOKUP(G$168,CST1BY,11,0)</f>
        <v>#DIV/0!</v>
      </c>
      <c r="H177" s="214" t="e">
        <f t="shared" si="709"/>
        <v>#DIV/0!</v>
      </c>
      <c r="I177" s="214" t="e">
        <f t="shared" si="709"/>
        <v>#DIV/0!</v>
      </c>
      <c r="J177" s="214" t="e">
        <f t="shared" si="709"/>
        <v>#DIV/0!</v>
      </c>
      <c r="K177" s="214" t="e">
        <f>VLOOKUP(K$168,CST1BY,11,0)</f>
        <v>#DIV/0!</v>
      </c>
      <c r="L177" s="214" t="e">
        <f t="shared" si="709"/>
        <v>#DIV/0!</v>
      </c>
      <c r="M177" s="214" t="e">
        <f t="shared" si="709"/>
        <v>#DIV/0!</v>
      </c>
      <c r="N177" s="214" t="e">
        <f t="shared" si="709"/>
        <v>#DIV/0!</v>
      </c>
      <c r="O177" s="214" t="e">
        <f t="shared" si="709"/>
        <v>#DIV/0!</v>
      </c>
      <c r="P177" s="214" t="e">
        <f t="shared" si="709"/>
        <v>#DIV/0!</v>
      </c>
      <c r="Q177" s="214" t="e">
        <f t="shared" si="709"/>
        <v>#DIV/0!</v>
      </c>
      <c r="R177" s="214" t="e">
        <f t="shared" si="709"/>
        <v>#DIV/0!</v>
      </c>
      <c r="S177" s="214" t="e">
        <f t="shared" si="709"/>
        <v>#DIV/0!</v>
      </c>
      <c r="T177" s="214" t="e">
        <f t="shared" si="709"/>
        <v>#DIV/0!</v>
      </c>
      <c r="U177" s="214" t="e">
        <f t="shared" si="709"/>
        <v>#DIV/0!</v>
      </c>
      <c r="V177" s="214" t="e">
        <f t="shared" si="709"/>
        <v>#DIV/0!</v>
      </c>
      <c r="W177" s="214" t="e">
        <f t="shared" si="709"/>
        <v>#DIV/0!</v>
      </c>
    </row>
    <row r="178" spans="3:23" ht="25.5" x14ac:dyDescent="0.25">
      <c r="C178" s="77" t="str">
        <f t="shared" si="702"/>
        <v>CASETA 1</v>
      </c>
      <c r="D178" s="87" t="s">
        <v>49</v>
      </c>
      <c r="E178" s="319">
        <f>VLOOKUP(E$168,CST1BY,12,0)</f>
        <v>0.7</v>
      </c>
      <c r="F178" s="319">
        <f>VLOOKUP(F$168,CST1BY,12,0)</f>
        <v>0.7</v>
      </c>
      <c r="G178" s="319">
        <f t="shared" ref="G178:W178" si="710">VLOOKUP(G$168,CST1BY,12,0)</f>
        <v>1.4</v>
      </c>
      <c r="H178" s="319">
        <f t="shared" si="710"/>
        <v>1.9</v>
      </c>
      <c r="I178" s="319">
        <f t="shared" si="710"/>
        <v>2.1999999999999997</v>
      </c>
      <c r="J178" s="319">
        <f t="shared" si="710"/>
        <v>2.38</v>
      </c>
      <c r="K178" s="319">
        <f t="shared" si="710"/>
        <v>2.56</v>
      </c>
      <c r="L178" s="319">
        <f t="shared" si="710"/>
        <v>2.72</v>
      </c>
      <c r="M178" s="319">
        <f t="shared" si="710"/>
        <v>2.8800000000000003</v>
      </c>
      <c r="N178" s="319">
        <f t="shared" si="710"/>
        <v>3.0400000000000005</v>
      </c>
      <c r="O178" s="319">
        <f t="shared" si="710"/>
        <v>3.2000000000000006</v>
      </c>
      <c r="P178" s="319">
        <f t="shared" si="710"/>
        <v>3.3600000000000008</v>
      </c>
      <c r="Q178" s="319">
        <f t="shared" si="710"/>
        <v>3.5200000000000009</v>
      </c>
      <c r="R178" s="319">
        <f t="shared" si="710"/>
        <v>3.680000000000001</v>
      </c>
      <c r="S178" s="319">
        <f t="shared" si="710"/>
        <v>3.8400000000000012</v>
      </c>
      <c r="T178" s="319">
        <f t="shared" si="710"/>
        <v>4.0000000000000009</v>
      </c>
      <c r="U178" s="319">
        <f t="shared" si="710"/>
        <v>4.160000000000001</v>
      </c>
      <c r="V178" s="319">
        <f t="shared" si="710"/>
        <v>4.3200000000000012</v>
      </c>
      <c r="W178" s="319">
        <f t="shared" si="710"/>
        <v>4.4800000000000013</v>
      </c>
    </row>
    <row r="179" spans="3:23" ht="25.5" x14ac:dyDescent="0.25">
      <c r="C179" s="77" t="str">
        <f t="shared" si="702"/>
        <v>CASETA 1</v>
      </c>
      <c r="D179" s="87" t="s">
        <v>73</v>
      </c>
      <c r="E179" s="214">
        <f>VLOOKUP(E$168,CST1BY,13,0)</f>
        <v>0</v>
      </c>
      <c r="F179" s="214">
        <f>VLOOKUP(F$168,CST1BY,13,0)</f>
        <v>0</v>
      </c>
      <c r="G179" s="214">
        <f t="shared" ref="G179:W179" si="711">VLOOKUP(G$168,CST1BY,13,0)</f>
        <v>0</v>
      </c>
      <c r="H179" s="214">
        <f t="shared" si="711"/>
        <v>0</v>
      </c>
      <c r="I179" s="214">
        <f t="shared" si="711"/>
        <v>0</v>
      </c>
      <c r="J179" s="214">
        <f t="shared" si="711"/>
        <v>0</v>
      </c>
      <c r="K179" s="214">
        <f t="shared" si="711"/>
        <v>0</v>
      </c>
      <c r="L179" s="214">
        <f t="shared" si="711"/>
        <v>0</v>
      </c>
      <c r="M179" s="214">
        <f t="shared" si="711"/>
        <v>0</v>
      </c>
      <c r="N179" s="214">
        <f t="shared" si="711"/>
        <v>0</v>
      </c>
      <c r="O179" s="214">
        <f t="shared" si="711"/>
        <v>0</v>
      </c>
      <c r="P179" s="214">
        <f t="shared" si="711"/>
        <v>0</v>
      </c>
      <c r="Q179" s="214">
        <f t="shared" si="711"/>
        <v>0</v>
      </c>
      <c r="R179" s="214">
        <f t="shared" si="711"/>
        <v>0</v>
      </c>
      <c r="S179" s="214">
        <f t="shared" si="711"/>
        <v>0</v>
      </c>
      <c r="T179" s="214">
        <f t="shared" si="711"/>
        <v>0</v>
      </c>
      <c r="U179" s="214">
        <f t="shared" si="711"/>
        <v>0</v>
      </c>
      <c r="V179" s="214">
        <f t="shared" si="711"/>
        <v>0</v>
      </c>
      <c r="W179" s="214">
        <f t="shared" si="711"/>
        <v>0</v>
      </c>
    </row>
    <row r="180" spans="3:23" x14ac:dyDescent="0.25">
      <c r="C180" s="77" t="str">
        <f t="shared" si="702"/>
        <v>CASETA 1</v>
      </c>
      <c r="D180" s="23" t="s">
        <v>9</v>
      </c>
      <c r="E180" s="83">
        <f>VLOOKUP(E$168,CST1BY,14,0)</f>
        <v>0</v>
      </c>
      <c r="F180" s="83">
        <f>VLOOKUP(F$168,CST1BY,14,0)</f>
        <v>0</v>
      </c>
      <c r="G180" s="83">
        <f t="shared" ref="G180:W180" si="712">VLOOKUP(G$168,CST1BY,14,0)</f>
        <v>0</v>
      </c>
      <c r="H180" s="83">
        <f t="shared" si="712"/>
        <v>0</v>
      </c>
      <c r="I180" s="83">
        <f t="shared" si="712"/>
        <v>0</v>
      </c>
      <c r="J180" s="83">
        <f t="shared" si="712"/>
        <v>0</v>
      </c>
      <c r="K180" s="83">
        <f t="shared" si="712"/>
        <v>0</v>
      </c>
      <c r="L180" s="83">
        <f t="shared" si="712"/>
        <v>0</v>
      </c>
      <c r="M180" s="83">
        <f t="shared" si="712"/>
        <v>0</v>
      </c>
      <c r="N180" s="83">
        <f t="shared" si="712"/>
        <v>0</v>
      </c>
      <c r="O180" s="83">
        <f t="shared" si="712"/>
        <v>0</v>
      </c>
      <c r="P180" s="83">
        <f t="shared" si="712"/>
        <v>0</v>
      </c>
      <c r="Q180" s="83">
        <f t="shared" si="712"/>
        <v>0</v>
      </c>
      <c r="R180" s="83">
        <f t="shared" si="712"/>
        <v>0</v>
      </c>
      <c r="S180" s="83">
        <f t="shared" si="712"/>
        <v>0</v>
      </c>
      <c r="T180" s="83">
        <f t="shared" si="712"/>
        <v>0</v>
      </c>
      <c r="U180" s="83">
        <f t="shared" si="712"/>
        <v>0</v>
      </c>
      <c r="V180" s="83">
        <f t="shared" si="712"/>
        <v>0</v>
      </c>
      <c r="W180" s="83">
        <f t="shared" si="712"/>
        <v>0</v>
      </c>
    </row>
    <row r="181" spans="3:23" ht="25.5" x14ac:dyDescent="0.25">
      <c r="C181" s="77" t="str">
        <f t="shared" si="702"/>
        <v>CASETA 1</v>
      </c>
      <c r="D181" s="86" t="s">
        <v>75</v>
      </c>
      <c r="E181" s="83">
        <f>VLOOKUP(E$168,CST1BY,15,0)</f>
        <v>10</v>
      </c>
      <c r="F181" s="83">
        <f>VLOOKUP(F$168,CST1BY,15,0)</f>
        <v>10</v>
      </c>
      <c r="G181" s="83">
        <f t="shared" ref="G181:W181" si="713">VLOOKUP(G$168,CST1BY,15,0)</f>
        <v>17</v>
      </c>
      <c r="H181" s="83">
        <f t="shared" si="713"/>
        <v>23</v>
      </c>
      <c r="I181" s="83">
        <f>VLOOKUP(I$168,CST1BY,15,0)</f>
        <v>29</v>
      </c>
      <c r="J181" s="83">
        <f t="shared" si="713"/>
        <v>34</v>
      </c>
      <c r="K181" s="83">
        <f t="shared" si="713"/>
        <v>38</v>
      </c>
      <c r="L181" s="83">
        <f t="shared" si="713"/>
        <v>42</v>
      </c>
      <c r="M181" s="83">
        <f t="shared" si="713"/>
        <v>46</v>
      </c>
      <c r="N181" s="83">
        <f t="shared" si="713"/>
        <v>49</v>
      </c>
      <c r="O181" s="83">
        <f t="shared" si="713"/>
        <v>52</v>
      </c>
      <c r="P181" s="83">
        <f t="shared" si="713"/>
        <v>55</v>
      </c>
      <c r="Q181" s="83">
        <f t="shared" si="713"/>
        <v>58</v>
      </c>
      <c r="R181" s="83">
        <f t="shared" si="713"/>
        <v>61</v>
      </c>
      <c r="S181" s="83">
        <f t="shared" si="713"/>
        <v>64</v>
      </c>
      <c r="T181" s="83">
        <f t="shared" si="713"/>
        <v>67</v>
      </c>
      <c r="U181" s="83">
        <f t="shared" si="713"/>
        <v>71</v>
      </c>
      <c r="V181" s="83">
        <f t="shared" si="713"/>
        <v>75</v>
      </c>
      <c r="W181" s="83">
        <f t="shared" si="713"/>
        <v>79</v>
      </c>
    </row>
    <row r="182" spans="3:23" ht="25.5" x14ac:dyDescent="0.25">
      <c r="C182" s="77" t="str">
        <f t="shared" si="702"/>
        <v>CASETA 1</v>
      </c>
      <c r="D182" s="86" t="s">
        <v>62</v>
      </c>
      <c r="E182" s="83">
        <f>VLOOKUP(E$168,CST1BY,16,0)</f>
        <v>0</v>
      </c>
      <c r="F182" s="83">
        <f>VLOOKUP(F$168,CST1BY,16,0)</f>
        <v>0</v>
      </c>
      <c r="G182" s="83">
        <f t="shared" ref="G182:W182" si="714">VLOOKUP(G$168,CST1BY,16,0)</f>
        <v>0</v>
      </c>
      <c r="H182" s="83">
        <f>VLOOKUP(H$168,CST1BY,16,0)</f>
        <v>0</v>
      </c>
      <c r="I182" s="83">
        <f t="shared" si="714"/>
        <v>0</v>
      </c>
      <c r="J182" s="83">
        <f t="shared" si="714"/>
        <v>0</v>
      </c>
      <c r="K182" s="83">
        <f t="shared" si="714"/>
        <v>0</v>
      </c>
      <c r="L182" s="83">
        <f t="shared" si="714"/>
        <v>0</v>
      </c>
      <c r="M182" s="83">
        <f t="shared" si="714"/>
        <v>0</v>
      </c>
      <c r="N182" s="83">
        <f t="shared" si="714"/>
        <v>0</v>
      </c>
      <c r="O182" s="83">
        <f t="shared" si="714"/>
        <v>0</v>
      </c>
      <c r="P182" s="83">
        <f t="shared" si="714"/>
        <v>0</v>
      </c>
      <c r="Q182" s="83">
        <f t="shared" si="714"/>
        <v>0</v>
      </c>
      <c r="R182" s="83">
        <f t="shared" si="714"/>
        <v>0</v>
      </c>
      <c r="S182" s="83">
        <f t="shared" si="714"/>
        <v>0</v>
      </c>
      <c r="T182" s="83">
        <f t="shared" si="714"/>
        <v>0</v>
      </c>
      <c r="U182" s="83">
        <f t="shared" si="714"/>
        <v>0</v>
      </c>
      <c r="V182" s="83">
        <f t="shared" si="714"/>
        <v>0</v>
      </c>
      <c r="W182" s="83">
        <f t="shared" si="714"/>
        <v>0</v>
      </c>
    </row>
    <row r="183" spans="3:23" ht="25.5" x14ac:dyDescent="0.25">
      <c r="C183" s="77" t="str">
        <f t="shared" si="702"/>
        <v>CASETA 1</v>
      </c>
      <c r="D183" s="24" t="s">
        <v>50</v>
      </c>
      <c r="E183" s="83">
        <f>VLOOKUP(E$168,CST1BY,17,0)</f>
        <v>0</v>
      </c>
      <c r="F183" s="83">
        <f>VLOOKUP(F$168,CST1BY,17,0)</f>
        <v>0</v>
      </c>
      <c r="G183" s="83">
        <f t="shared" ref="G183:W183" si="715">VLOOKUP(G$168,CST1BY,17,0)</f>
        <v>0</v>
      </c>
      <c r="H183" s="83">
        <f t="shared" si="715"/>
        <v>0</v>
      </c>
      <c r="I183" s="83">
        <f t="shared" si="715"/>
        <v>0</v>
      </c>
      <c r="J183" s="83">
        <f t="shared" si="715"/>
        <v>0</v>
      </c>
      <c r="K183" s="83">
        <f t="shared" si="715"/>
        <v>0</v>
      </c>
      <c r="L183" s="83">
        <f t="shared" si="715"/>
        <v>0</v>
      </c>
      <c r="M183" s="83">
        <f t="shared" si="715"/>
        <v>0</v>
      </c>
      <c r="N183" s="83">
        <f t="shared" si="715"/>
        <v>0</v>
      </c>
      <c r="O183" s="83">
        <f t="shared" si="715"/>
        <v>0</v>
      </c>
      <c r="P183" s="83">
        <f t="shared" si="715"/>
        <v>0</v>
      </c>
      <c r="Q183" s="83">
        <f t="shared" si="715"/>
        <v>0</v>
      </c>
      <c r="R183" s="83">
        <f t="shared" si="715"/>
        <v>0</v>
      </c>
      <c r="S183" s="83">
        <f t="shared" si="715"/>
        <v>0</v>
      </c>
      <c r="T183" s="83">
        <f t="shared" si="715"/>
        <v>0</v>
      </c>
      <c r="U183" s="83">
        <f t="shared" si="715"/>
        <v>0</v>
      </c>
      <c r="V183" s="83">
        <f t="shared" si="715"/>
        <v>0</v>
      </c>
      <c r="W183" s="83">
        <f t="shared" si="715"/>
        <v>0</v>
      </c>
    </row>
    <row r="184" spans="3:23" x14ac:dyDescent="0.25">
      <c r="C184" s="77" t="str">
        <f t="shared" si="702"/>
        <v>CASETA 1</v>
      </c>
      <c r="D184" s="86" t="s">
        <v>63</v>
      </c>
      <c r="E184" s="83">
        <f>VLOOKUP(E$168,CST1BY,18,0)</f>
        <v>40</v>
      </c>
      <c r="F184" s="83">
        <f>VLOOKUP(F$168,CST1BY,18,0)</f>
        <v>70</v>
      </c>
      <c r="G184" s="83">
        <f t="shared" ref="G184:W184" si="716">VLOOKUP(G$168,CST1BY,18,0)</f>
        <v>120</v>
      </c>
      <c r="H184" s="83">
        <f t="shared" si="716"/>
        <v>185</v>
      </c>
      <c r="I184" s="83">
        <f t="shared" si="716"/>
        <v>255</v>
      </c>
      <c r="J184" s="83">
        <f t="shared" si="716"/>
        <v>334</v>
      </c>
      <c r="K184" s="83">
        <f t="shared" si="716"/>
        <v>425</v>
      </c>
      <c r="L184" s="83">
        <f t="shared" si="716"/>
        <v>524</v>
      </c>
      <c r="M184" s="83">
        <f t="shared" si="716"/>
        <v>618</v>
      </c>
      <c r="N184" s="83">
        <f t="shared" si="716"/>
        <v>712</v>
      </c>
      <c r="O184" s="83">
        <f t="shared" si="716"/>
        <v>802</v>
      </c>
      <c r="P184" s="83">
        <f t="shared" si="716"/>
        <v>880</v>
      </c>
      <c r="Q184" s="83">
        <f t="shared" si="716"/>
        <v>950</v>
      </c>
      <c r="R184" s="83">
        <f t="shared" si="716"/>
        <v>1010</v>
      </c>
      <c r="S184" s="83">
        <f t="shared" si="716"/>
        <v>1065</v>
      </c>
      <c r="T184" s="83">
        <f t="shared" si="716"/>
        <v>1115</v>
      </c>
      <c r="U184" s="83">
        <f t="shared" si="716"/>
        <v>1160</v>
      </c>
      <c r="V184" s="83">
        <f t="shared" si="716"/>
        <v>1207</v>
      </c>
      <c r="W184" s="83">
        <f t="shared" si="716"/>
        <v>1257</v>
      </c>
    </row>
    <row r="185" spans="3:23" x14ac:dyDescent="0.25">
      <c r="C185" s="77" t="str">
        <f t="shared" si="702"/>
        <v>CASETA 1</v>
      </c>
      <c r="D185" s="86" t="s">
        <v>64</v>
      </c>
      <c r="E185" s="83">
        <f>VLOOKUP(E$168,CST1BY,19,0)</f>
        <v>0</v>
      </c>
      <c r="F185" s="83">
        <f>VLOOKUP(F$168,CST1BY,19,0)</f>
        <v>0</v>
      </c>
      <c r="G185" s="83">
        <f t="shared" ref="G185:W185" si="717">VLOOKUP(G$168,CST1BY,19,0)</f>
        <v>0</v>
      </c>
      <c r="H185" s="83">
        <f t="shared" si="717"/>
        <v>0</v>
      </c>
      <c r="I185" s="83">
        <f t="shared" si="717"/>
        <v>0</v>
      </c>
      <c r="J185" s="83">
        <f t="shared" si="717"/>
        <v>0</v>
      </c>
      <c r="K185" s="83">
        <f t="shared" si="717"/>
        <v>0</v>
      </c>
      <c r="L185" s="83">
        <f t="shared" si="717"/>
        <v>0</v>
      </c>
      <c r="M185" s="83">
        <f t="shared" si="717"/>
        <v>0</v>
      </c>
      <c r="N185" s="83">
        <f t="shared" si="717"/>
        <v>0</v>
      </c>
      <c r="O185" s="83">
        <f t="shared" si="717"/>
        <v>0</v>
      </c>
      <c r="P185" s="83">
        <f t="shared" si="717"/>
        <v>0</v>
      </c>
      <c r="Q185" s="83">
        <f t="shared" si="717"/>
        <v>0</v>
      </c>
      <c r="R185" s="83">
        <f t="shared" si="717"/>
        <v>0</v>
      </c>
      <c r="S185" s="83">
        <f t="shared" si="717"/>
        <v>0</v>
      </c>
      <c r="T185" s="83">
        <f t="shared" si="717"/>
        <v>0</v>
      </c>
      <c r="U185" s="83">
        <f t="shared" si="717"/>
        <v>0</v>
      </c>
      <c r="V185" s="83">
        <f t="shared" si="717"/>
        <v>0</v>
      </c>
      <c r="W185" s="83">
        <f t="shared" si="717"/>
        <v>0</v>
      </c>
    </row>
    <row r="186" spans="3:23" x14ac:dyDescent="0.25">
      <c r="C186" s="77" t="str">
        <f t="shared" si="702"/>
        <v>CASETA 1</v>
      </c>
      <c r="D186" s="23" t="s">
        <v>15</v>
      </c>
      <c r="E186" s="83">
        <f>VLOOKUP(E$168,CST1BY,20,0)</f>
        <v>40</v>
      </c>
      <c r="F186" s="83">
        <f>VLOOKUP(F$168,CST1BY,20,0)</f>
        <v>70</v>
      </c>
      <c r="G186" s="83">
        <f t="shared" ref="G186:W186" si="718">VLOOKUP(G$168,CST1BY,20,0)</f>
        <v>120</v>
      </c>
      <c r="H186" s="83">
        <f t="shared" si="718"/>
        <v>185</v>
      </c>
      <c r="I186" s="83">
        <f t="shared" si="718"/>
        <v>255</v>
      </c>
      <c r="J186" s="83">
        <f t="shared" si="718"/>
        <v>334</v>
      </c>
      <c r="K186" s="83">
        <f t="shared" si="718"/>
        <v>425</v>
      </c>
      <c r="L186" s="83">
        <f t="shared" si="718"/>
        <v>524</v>
      </c>
      <c r="M186" s="83">
        <f t="shared" si="718"/>
        <v>618</v>
      </c>
      <c r="N186" s="83">
        <f t="shared" si="718"/>
        <v>712</v>
      </c>
      <c r="O186" s="83">
        <f t="shared" si="718"/>
        <v>802</v>
      </c>
      <c r="P186" s="83">
        <f t="shared" si="718"/>
        <v>880</v>
      </c>
      <c r="Q186" s="83">
        <f t="shared" si="718"/>
        <v>950</v>
      </c>
      <c r="R186" s="83">
        <f t="shared" si="718"/>
        <v>1010</v>
      </c>
      <c r="S186" s="83">
        <f t="shared" si="718"/>
        <v>1065</v>
      </c>
      <c r="T186" s="83">
        <f t="shared" si="718"/>
        <v>1115</v>
      </c>
      <c r="U186" s="83">
        <f t="shared" si="718"/>
        <v>1160</v>
      </c>
      <c r="V186" s="83">
        <f t="shared" si="718"/>
        <v>1207</v>
      </c>
      <c r="W186" s="83">
        <f t="shared" si="718"/>
        <v>1257</v>
      </c>
    </row>
    <row r="187" spans="3:23" ht="25.5" x14ac:dyDescent="0.25">
      <c r="C187" s="77" t="str">
        <f t="shared" si="702"/>
        <v>CASETA 1</v>
      </c>
      <c r="D187" s="86" t="s">
        <v>65</v>
      </c>
      <c r="E187" s="83">
        <f>VLOOKUP(E$168,CST1BY,21,0)</f>
        <v>77</v>
      </c>
      <c r="F187" s="83">
        <f>VLOOKUP(F$168,CST1BY,21,0)</f>
        <v>77</v>
      </c>
      <c r="G187" s="83">
        <f t="shared" ref="G187:W187" si="719">VLOOKUP(G$168,CST1BY,21,0)</f>
        <v>77</v>
      </c>
      <c r="H187" s="83">
        <f t="shared" si="719"/>
        <v>77</v>
      </c>
      <c r="I187" s="83">
        <f t="shared" si="719"/>
        <v>79</v>
      </c>
      <c r="J187" s="83">
        <f t="shared" si="719"/>
        <v>79</v>
      </c>
      <c r="K187" s="83">
        <f t="shared" si="719"/>
        <v>79</v>
      </c>
      <c r="L187" s="83">
        <f t="shared" si="719"/>
        <v>79</v>
      </c>
      <c r="M187" s="83">
        <f t="shared" si="719"/>
        <v>79</v>
      </c>
      <c r="N187" s="83">
        <f t="shared" si="719"/>
        <v>79</v>
      </c>
      <c r="O187" s="83">
        <f t="shared" si="719"/>
        <v>80</v>
      </c>
      <c r="P187" s="83">
        <f t="shared" si="719"/>
        <v>80</v>
      </c>
      <c r="Q187" s="83">
        <f t="shared" si="719"/>
        <v>82</v>
      </c>
      <c r="R187" s="83">
        <f t="shared" si="719"/>
        <v>82</v>
      </c>
      <c r="S187" s="83">
        <f t="shared" si="719"/>
        <v>84</v>
      </c>
      <c r="T187" s="83">
        <f t="shared" si="719"/>
        <v>86</v>
      </c>
      <c r="U187" s="83">
        <f t="shared" si="719"/>
        <v>86</v>
      </c>
      <c r="V187" s="83">
        <f t="shared" si="719"/>
        <v>86</v>
      </c>
      <c r="W187" s="83">
        <f t="shared" si="719"/>
        <v>86</v>
      </c>
    </row>
    <row r="188" spans="3:23" ht="25.5" x14ac:dyDescent="0.25">
      <c r="C188" s="77" t="str">
        <f t="shared" si="702"/>
        <v>CASETA 1</v>
      </c>
      <c r="D188" s="86" t="s">
        <v>66</v>
      </c>
      <c r="E188" s="83">
        <f t="shared" ref="E188:W188" si="720">VLOOKUP(E$168,CST1BY,22,0)</f>
        <v>0</v>
      </c>
      <c r="F188" s="83">
        <f t="shared" si="720"/>
        <v>0</v>
      </c>
      <c r="G188" s="83">
        <f t="shared" si="720"/>
        <v>0</v>
      </c>
      <c r="H188" s="83">
        <f t="shared" si="720"/>
        <v>0</v>
      </c>
      <c r="I188" s="83">
        <f t="shared" si="720"/>
        <v>0</v>
      </c>
      <c r="J188" s="83">
        <f t="shared" si="720"/>
        <v>0</v>
      </c>
      <c r="K188" s="83">
        <f t="shared" si="720"/>
        <v>0</v>
      </c>
      <c r="L188" s="83">
        <f t="shared" si="720"/>
        <v>0</v>
      </c>
      <c r="M188" s="83">
        <f t="shared" si="720"/>
        <v>0</v>
      </c>
      <c r="N188" s="83">
        <f t="shared" si="720"/>
        <v>0</v>
      </c>
      <c r="O188" s="83">
        <f t="shared" si="720"/>
        <v>0</v>
      </c>
      <c r="P188" s="83">
        <f t="shared" si="720"/>
        <v>0</v>
      </c>
      <c r="Q188" s="83">
        <f t="shared" si="720"/>
        <v>0</v>
      </c>
      <c r="R188" s="83">
        <f t="shared" si="720"/>
        <v>0</v>
      </c>
      <c r="S188" s="83">
        <f t="shared" si="720"/>
        <v>0</v>
      </c>
      <c r="T188" s="83">
        <f t="shared" si="720"/>
        <v>0</v>
      </c>
      <c r="U188" s="83">
        <f t="shared" si="720"/>
        <v>0</v>
      </c>
      <c r="V188" s="83">
        <f t="shared" si="720"/>
        <v>0</v>
      </c>
      <c r="W188" s="83">
        <f t="shared" si="720"/>
        <v>0</v>
      </c>
    </row>
    <row r="189" spans="3:23" x14ac:dyDescent="0.25">
      <c r="C189" s="77" t="str">
        <f t="shared" si="702"/>
        <v>CASETA 1</v>
      </c>
      <c r="D189" s="23" t="s">
        <v>15</v>
      </c>
      <c r="E189" s="83">
        <f t="shared" ref="E189:W189" si="721">VLOOKUP(E$168,CST1BY,23,0)</f>
        <v>77</v>
      </c>
      <c r="F189" s="83">
        <f t="shared" si="721"/>
        <v>77</v>
      </c>
      <c r="G189" s="83">
        <f t="shared" si="721"/>
        <v>77</v>
      </c>
      <c r="H189" s="83">
        <f t="shared" si="721"/>
        <v>77</v>
      </c>
      <c r="I189" s="83">
        <f t="shared" si="721"/>
        <v>79</v>
      </c>
      <c r="J189" s="83">
        <f t="shared" si="721"/>
        <v>79</v>
      </c>
      <c r="K189" s="83">
        <f t="shared" si="721"/>
        <v>79</v>
      </c>
      <c r="L189" s="83">
        <f t="shared" si="721"/>
        <v>79</v>
      </c>
      <c r="M189" s="83">
        <f t="shared" si="721"/>
        <v>79</v>
      </c>
      <c r="N189" s="83">
        <f>VLOOKUP(N$168,CST1BY,23,0)</f>
        <v>79</v>
      </c>
      <c r="O189" s="83">
        <f t="shared" si="721"/>
        <v>80</v>
      </c>
      <c r="P189" s="83">
        <f t="shared" si="721"/>
        <v>80</v>
      </c>
      <c r="Q189" s="83">
        <f t="shared" si="721"/>
        <v>82</v>
      </c>
      <c r="R189" s="83">
        <f t="shared" si="721"/>
        <v>82</v>
      </c>
      <c r="S189" s="83">
        <f t="shared" si="721"/>
        <v>84</v>
      </c>
      <c r="T189" s="83">
        <f t="shared" si="721"/>
        <v>86</v>
      </c>
      <c r="U189" s="83">
        <f t="shared" si="721"/>
        <v>86</v>
      </c>
      <c r="V189" s="83">
        <f t="shared" si="721"/>
        <v>86</v>
      </c>
      <c r="W189" s="83">
        <f t="shared" si="721"/>
        <v>86</v>
      </c>
    </row>
    <row r="190" spans="3:23" x14ac:dyDescent="0.25">
      <c r="E190" s="1"/>
      <c r="F190" s="316"/>
      <c r="G190" s="316"/>
      <c r="H190" s="316"/>
      <c r="I190" s="316"/>
      <c r="J190" s="316"/>
      <c r="K190" s="316"/>
      <c r="L190" s="316"/>
      <c r="M190" s="316"/>
      <c r="N190" s="316"/>
      <c r="O190" s="316"/>
      <c r="P190" s="316"/>
      <c r="Q190" s="316"/>
      <c r="R190" s="316"/>
      <c r="S190" s="316"/>
      <c r="T190" s="316"/>
      <c r="U190" s="316"/>
      <c r="V190" s="316"/>
      <c r="W190" s="316"/>
    </row>
    <row r="191" spans="3:23" x14ac:dyDescent="0.25">
      <c r="E191" s="1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316"/>
      <c r="T191" s="316"/>
      <c r="U191" s="316"/>
      <c r="V191" s="316"/>
      <c r="W191" s="316"/>
    </row>
    <row r="192" spans="3:23" ht="25.5" x14ac:dyDescent="0.25">
      <c r="C192" s="315" t="s">
        <v>53</v>
      </c>
      <c r="D192" s="24" t="s">
        <v>67</v>
      </c>
      <c r="E192" s="83">
        <f t="shared" ref="E192:W192" si="722">VLOOKUP(E$168,CST2BY,3,0)</f>
        <v>0</v>
      </c>
      <c r="F192" s="83">
        <f t="shared" si="722"/>
        <v>0</v>
      </c>
      <c r="G192" s="83">
        <f t="shared" si="722"/>
        <v>0</v>
      </c>
      <c r="H192" s="83">
        <f t="shared" si="722"/>
        <v>0</v>
      </c>
      <c r="I192" s="83">
        <f t="shared" si="722"/>
        <v>0</v>
      </c>
      <c r="J192" s="83">
        <f t="shared" si="722"/>
        <v>0</v>
      </c>
      <c r="K192" s="83">
        <f t="shared" si="722"/>
        <v>0</v>
      </c>
      <c r="L192" s="83">
        <f t="shared" si="722"/>
        <v>0</v>
      </c>
      <c r="M192" s="83">
        <f t="shared" si="722"/>
        <v>0</v>
      </c>
      <c r="N192" s="83">
        <f t="shared" si="722"/>
        <v>0</v>
      </c>
      <c r="O192" s="83">
        <f t="shared" si="722"/>
        <v>0</v>
      </c>
      <c r="P192" s="83">
        <f t="shared" si="722"/>
        <v>0</v>
      </c>
      <c r="Q192" s="83">
        <f t="shared" si="722"/>
        <v>0</v>
      </c>
      <c r="R192" s="83">
        <f t="shared" si="722"/>
        <v>0</v>
      </c>
      <c r="S192" s="83">
        <f t="shared" si="722"/>
        <v>0</v>
      </c>
      <c r="T192" s="83">
        <f t="shared" si="722"/>
        <v>0</v>
      </c>
      <c r="U192" s="83">
        <f t="shared" si="722"/>
        <v>0</v>
      </c>
      <c r="V192" s="83">
        <f t="shared" si="722"/>
        <v>0</v>
      </c>
      <c r="W192" s="83">
        <f t="shared" si="722"/>
        <v>0</v>
      </c>
    </row>
    <row r="193" spans="3:23" x14ac:dyDescent="0.25">
      <c r="C193" s="77" t="str">
        <f>C192</f>
        <v>CASETA 2</v>
      </c>
      <c r="D193" s="24" t="s">
        <v>34</v>
      </c>
      <c r="E193" s="83">
        <f t="shared" ref="E193:W193" si="723">VLOOKUP(E$168,CST2BY,4,0)</f>
        <v>0</v>
      </c>
      <c r="F193" s="83">
        <f t="shared" si="723"/>
        <v>0</v>
      </c>
      <c r="G193" s="83">
        <f t="shared" si="723"/>
        <v>0</v>
      </c>
      <c r="H193" s="83">
        <f t="shared" si="723"/>
        <v>0</v>
      </c>
      <c r="I193" s="83">
        <f t="shared" si="723"/>
        <v>0</v>
      </c>
      <c r="J193" s="83">
        <f t="shared" si="723"/>
        <v>0</v>
      </c>
      <c r="K193" s="83">
        <f t="shared" si="723"/>
        <v>0</v>
      </c>
      <c r="L193" s="83">
        <f t="shared" si="723"/>
        <v>0</v>
      </c>
      <c r="M193" s="83">
        <f t="shared" si="723"/>
        <v>0</v>
      </c>
      <c r="N193" s="83">
        <f t="shared" si="723"/>
        <v>0</v>
      </c>
      <c r="O193" s="83">
        <f t="shared" si="723"/>
        <v>0</v>
      </c>
      <c r="P193" s="83">
        <f t="shared" si="723"/>
        <v>0</v>
      </c>
      <c r="Q193" s="83">
        <f t="shared" si="723"/>
        <v>0</v>
      </c>
      <c r="R193" s="83">
        <f t="shared" si="723"/>
        <v>0</v>
      </c>
      <c r="S193" s="83">
        <f t="shared" si="723"/>
        <v>0</v>
      </c>
      <c r="T193" s="83">
        <f t="shared" si="723"/>
        <v>0</v>
      </c>
      <c r="U193" s="83">
        <f t="shared" si="723"/>
        <v>0</v>
      </c>
      <c r="V193" s="83">
        <f t="shared" si="723"/>
        <v>0</v>
      </c>
      <c r="W193" s="83">
        <f t="shared" si="723"/>
        <v>0</v>
      </c>
    </row>
    <row r="194" spans="3:23" x14ac:dyDescent="0.25">
      <c r="C194" s="77" t="str">
        <f t="shared" ref="C194:C212" si="724">C193</f>
        <v>CASETA 2</v>
      </c>
      <c r="D194" s="23" t="s">
        <v>27</v>
      </c>
      <c r="E194" s="83">
        <f t="shared" ref="E194:W194" si="725">VLOOKUP(E$168,CST2BY,5,0)</f>
        <v>0</v>
      </c>
      <c r="F194" s="83">
        <f t="shared" si="725"/>
        <v>0</v>
      </c>
      <c r="G194" s="83">
        <f t="shared" si="725"/>
        <v>0</v>
      </c>
      <c r="H194" s="83">
        <f t="shared" si="725"/>
        <v>0</v>
      </c>
      <c r="I194" s="83">
        <f t="shared" si="725"/>
        <v>0</v>
      </c>
      <c r="J194" s="83">
        <f t="shared" si="725"/>
        <v>0</v>
      </c>
      <c r="K194" s="83">
        <f t="shared" si="725"/>
        <v>0</v>
      </c>
      <c r="L194" s="83">
        <f t="shared" si="725"/>
        <v>0</v>
      </c>
      <c r="M194" s="83">
        <f t="shared" si="725"/>
        <v>0</v>
      </c>
      <c r="N194" s="83">
        <f t="shared" si="725"/>
        <v>0</v>
      </c>
      <c r="O194" s="83">
        <f t="shared" si="725"/>
        <v>0</v>
      </c>
      <c r="P194" s="83">
        <f t="shared" si="725"/>
        <v>0</v>
      </c>
      <c r="Q194" s="83">
        <f t="shared" si="725"/>
        <v>0</v>
      </c>
      <c r="R194" s="83">
        <f t="shared" si="725"/>
        <v>0</v>
      </c>
      <c r="S194" s="83">
        <f t="shared" si="725"/>
        <v>0</v>
      </c>
      <c r="T194" s="83">
        <f t="shared" si="725"/>
        <v>0</v>
      </c>
      <c r="U194" s="83">
        <f t="shared" si="725"/>
        <v>0</v>
      </c>
      <c r="V194" s="83">
        <f t="shared" si="725"/>
        <v>0</v>
      </c>
      <c r="W194" s="83">
        <f t="shared" si="725"/>
        <v>0</v>
      </c>
    </row>
    <row r="195" spans="3:23" x14ac:dyDescent="0.25">
      <c r="C195" s="77" t="str">
        <f t="shared" si="724"/>
        <v>CASETA 2</v>
      </c>
      <c r="D195" s="23" t="s">
        <v>16</v>
      </c>
      <c r="E195" s="83">
        <f t="shared" ref="E195:W195" si="726">VLOOKUP(E$168,CST2BY,6,0)</f>
        <v>0</v>
      </c>
      <c r="F195" s="83">
        <f t="shared" si="726"/>
        <v>0</v>
      </c>
      <c r="G195" s="83">
        <f t="shared" si="726"/>
        <v>0</v>
      </c>
      <c r="H195" s="83">
        <f t="shared" si="726"/>
        <v>0</v>
      </c>
      <c r="I195" s="83">
        <f t="shared" si="726"/>
        <v>0</v>
      </c>
      <c r="J195" s="83">
        <f t="shared" si="726"/>
        <v>0</v>
      </c>
      <c r="K195" s="83">
        <f t="shared" si="726"/>
        <v>0</v>
      </c>
      <c r="L195" s="83">
        <f t="shared" si="726"/>
        <v>0</v>
      </c>
      <c r="M195" s="83">
        <f t="shared" si="726"/>
        <v>0</v>
      </c>
      <c r="N195" s="83">
        <f t="shared" si="726"/>
        <v>0</v>
      </c>
      <c r="O195" s="83">
        <f t="shared" si="726"/>
        <v>0</v>
      </c>
      <c r="P195" s="83">
        <f t="shared" si="726"/>
        <v>0</v>
      </c>
      <c r="Q195" s="83">
        <f t="shared" si="726"/>
        <v>0</v>
      </c>
      <c r="R195" s="83">
        <f t="shared" si="726"/>
        <v>0</v>
      </c>
      <c r="S195" s="83">
        <f t="shared" si="726"/>
        <v>0</v>
      </c>
      <c r="T195" s="83">
        <f t="shared" si="726"/>
        <v>0</v>
      </c>
      <c r="U195" s="83">
        <f t="shared" si="726"/>
        <v>0</v>
      </c>
      <c r="V195" s="83">
        <f t="shared" si="726"/>
        <v>0</v>
      </c>
      <c r="W195" s="83">
        <f t="shared" si="726"/>
        <v>0</v>
      </c>
    </row>
    <row r="196" spans="3:23" x14ac:dyDescent="0.25">
      <c r="C196" s="77" t="str">
        <f t="shared" si="724"/>
        <v>CASETA 2</v>
      </c>
      <c r="D196" s="23" t="s">
        <v>17</v>
      </c>
      <c r="E196" s="83">
        <f t="shared" ref="E196:W196" si="727">VLOOKUP(E$168,CST2BY,7,0)</f>
        <v>0</v>
      </c>
      <c r="F196" s="83">
        <f t="shared" si="727"/>
        <v>0</v>
      </c>
      <c r="G196" s="83">
        <f t="shared" si="727"/>
        <v>0</v>
      </c>
      <c r="H196" s="83">
        <f t="shared" si="727"/>
        <v>0</v>
      </c>
      <c r="I196" s="83">
        <f t="shared" si="727"/>
        <v>0</v>
      </c>
      <c r="J196" s="83">
        <f t="shared" si="727"/>
        <v>0</v>
      </c>
      <c r="K196" s="83">
        <f t="shared" si="727"/>
        <v>0</v>
      </c>
      <c r="L196" s="83">
        <f t="shared" si="727"/>
        <v>0</v>
      </c>
      <c r="M196" s="83">
        <f t="shared" si="727"/>
        <v>0</v>
      </c>
      <c r="N196" s="83">
        <f t="shared" si="727"/>
        <v>0</v>
      </c>
      <c r="O196" s="83">
        <f t="shared" si="727"/>
        <v>0</v>
      </c>
      <c r="P196" s="83">
        <f t="shared" si="727"/>
        <v>0</v>
      </c>
      <c r="Q196" s="83">
        <f t="shared" si="727"/>
        <v>0</v>
      </c>
      <c r="R196" s="83">
        <f t="shared" si="727"/>
        <v>0</v>
      </c>
      <c r="S196" s="83">
        <f t="shared" si="727"/>
        <v>0</v>
      </c>
      <c r="T196" s="83">
        <f t="shared" si="727"/>
        <v>0</v>
      </c>
      <c r="U196" s="83">
        <f t="shared" si="727"/>
        <v>0</v>
      </c>
      <c r="V196" s="83">
        <f t="shared" si="727"/>
        <v>0</v>
      </c>
      <c r="W196" s="83">
        <f t="shared" si="727"/>
        <v>0</v>
      </c>
    </row>
    <row r="197" spans="3:23" x14ac:dyDescent="0.25">
      <c r="C197" s="77" t="str">
        <f t="shared" si="724"/>
        <v>CASETA 2</v>
      </c>
      <c r="D197" s="23" t="s">
        <v>18</v>
      </c>
      <c r="E197" s="83">
        <f>SUM(E194:E196)</f>
        <v>0</v>
      </c>
      <c r="F197" s="83">
        <f>SUM(F194:F196)</f>
        <v>0</v>
      </c>
      <c r="G197" s="83">
        <f t="shared" ref="G197:W197" si="728">SUM(G194:G196)</f>
        <v>0</v>
      </c>
      <c r="H197" s="83">
        <f t="shared" si="728"/>
        <v>0</v>
      </c>
      <c r="I197" s="83">
        <f t="shared" si="728"/>
        <v>0</v>
      </c>
      <c r="J197" s="83">
        <f t="shared" si="728"/>
        <v>0</v>
      </c>
      <c r="K197" s="83">
        <f t="shared" si="728"/>
        <v>0</v>
      </c>
      <c r="L197" s="83">
        <f t="shared" si="728"/>
        <v>0</v>
      </c>
      <c r="M197" s="83">
        <f t="shared" si="728"/>
        <v>0</v>
      </c>
      <c r="N197" s="83">
        <f t="shared" si="728"/>
        <v>0</v>
      </c>
      <c r="O197" s="83">
        <f t="shared" si="728"/>
        <v>0</v>
      </c>
      <c r="P197" s="83">
        <f t="shared" si="728"/>
        <v>0</v>
      </c>
      <c r="Q197" s="83">
        <f t="shared" si="728"/>
        <v>0</v>
      </c>
      <c r="R197" s="83">
        <f t="shared" si="728"/>
        <v>0</v>
      </c>
      <c r="S197" s="83">
        <f t="shared" si="728"/>
        <v>0</v>
      </c>
      <c r="T197" s="83">
        <f t="shared" si="728"/>
        <v>0</v>
      </c>
      <c r="U197" s="83">
        <f t="shared" si="728"/>
        <v>0</v>
      </c>
      <c r="V197" s="83">
        <f t="shared" si="728"/>
        <v>0</v>
      </c>
      <c r="W197" s="83">
        <f t="shared" si="728"/>
        <v>0</v>
      </c>
    </row>
    <row r="198" spans="3:23" x14ac:dyDescent="0.25">
      <c r="C198" s="77" t="str">
        <f t="shared" si="724"/>
        <v>CASETA 2</v>
      </c>
      <c r="D198" s="23" t="s">
        <v>48</v>
      </c>
      <c r="E198" s="83">
        <f t="shared" ref="E198:W198" si="729">VLOOKUP(E$168,CST2BY,9,0)</f>
        <v>0</v>
      </c>
      <c r="F198" s="83">
        <f t="shared" si="729"/>
        <v>0</v>
      </c>
      <c r="G198" s="83">
        <f t="shared" si="729"/>
        <v>0</v>
      </c>
      <c r="H198" s="83">
        <f t="shared" si="729"/>
        <v>0</v>
      </c>
      <c r="I198" s="83">
        <f t="shared" si="729"/>
        <v>0</v>
      </c>
      <c r="J198" s="83">
        <f t="shared" si="729"/>
        <v>0</v>
      </c>
      <c r="K198" s="83">
        <f t="shared" si="729"/>
        <v>0</v>
      </c>
      <c r="L198" s="83">
        <f t="shared" si="729"/>
        <v>0</v>
      </c>
      <c r="M198" s="83">
        <f t="shared" si="729"/>
        <v>0</v>
      </c>
      <c r="N198" s="83">
        <f t="shared" si="729"/>
        <v>0</v>
      </c>
      <c r="O198" s="83">
        <f t="shared" si="729"/>
        <v>0</v>
      </c>
      <c r="P198" s="83">
        <f t="shared" si="729"/>
        <v>0</v>
      </c>
      <c r="Q198" s="83">
        <f t="shared" si="729"/>
        <v>0</v>
      </c>
      <c r="R198" s="83">
        <f t="shared" si="729"/>
        <v>0</v>
      </c>
      <c r="S198" s="83">
        <f t="shared" si="729"/>
        <v>0</v>
      </c>
      <c r="T198" s="83">
        <f t="shared" si="729"/>
        <v>0</v>
      </c>
      <c r="U198" s="83">
        <f t="shared" si="729"/>
        <v>0</v>
      </c>
      <c r="V198" s="83">
        <f t="shared" si="729"/>
        <v>0</v>
      </c>
      <c r="W198" s="83">
        <f t="shared" si="729"/>
        <v>0</v>
      </c>
    </row>
    <row r="199" spans="3:23" x14ac:dyDescent="0.25">
      <c r="C199" s="77" t="str">
        <f t="shared" si="724"/>
        <v>CASETA 2</v>
      </c>
      <c r="D199" s="86" t="s">
        <v>72</v>
      </c>
      <c r="E199" s="295">
        <f t="shared" ref="E199:W199" si="730">VLOOKUP(E$168,CST2BY,10,0)</f>
        <v>0.7</v>
      </c>
      <c r="F199" s="295">
        <f t="shared" si="730"/>
        <v>0.7</v>
      </c>
      <c r="G199" s="295">
        <f t="shared" si="730"/>
        <v>0.7</v>
      </c>
      <c r="H199" s="295">
        <f t="shared" si="730"/>
        <v>0.5</v>
      </c>
      <c r="I199" s="295">
        <f t="shared" si="730"/>
        <v>0.3</v>
      </c>
      <c r="J199" s="295">
        <f t="shared" si="730"/>
        <v>0.18</v>
      </c>
      <c r="K199" s="295">
        <f t="shared" si="730"/>
        <v>0.18</v>
      </c>
      <c r="L199" s="295">
        <f t="shared" si="730"/>
        <v>0.16</v>
      </c>
      <c r="M199" s="295">
        <f t="shared" si="730"/>
        <v>0.16</v>
      </c>
      <c r="N199" s="295">
        <f t="shared" si="730"/>
        <v>0.16</v>
      </c>
      <c r="O199" s="295">
        <f t="shared" si="730"/>
        <v>0.16</v>
      </c>
      <c r="P199" s="295">
        <f t="shared" si="730"/>
        <v>0.16</v>
      </c>
      <c r="Q199" s="295">
        <f t="shared" si="730"/>
        <v>0.16</v>
      </c>
      <c r="R199" s="295">
        <f t="shared" si="730"/>
        <v>0.16</v>
      </c>
      <c r="S199" s="295">
        <f t="shared" si="730"/>
        <v>0.16</v>
      </c>
      <c r="T199" s="295">
        <f t="shared" si="730"/>
        <v>0.16</v>
      </c>
      <c r="U199" s="295">
        <f t="shared" si="730"/>
        <v>0.16</v>
      </c>
      <c r="V199" s="295">
        <f t="shared" si="730"/>
        <v>0.16</v>
      </c>
      <c r="W199" s="295">
        <f t="shared" si="730"/>
        <v>0.16</v>
      </c>
    </row>
    <row r="200" spans="3:23" x14ac:dyDescent="0.25">
      <c r="C200" s="77" t="str">
        <f t="shared" si="724"/>
        <v>CASETA 2</v>
      </c>
      <c r="D200" s="86" t="s">
        <v>74</v>
      </c>
      <c r="E200" s="214">
        <f t="shared" ref="E200:W200" si="731">VLOOKUP(E$168,CST2BY,11,0)</f>
        <v>0</v>
      </c>
      <c r="F200" s="214">
        <f t="shared" si="731"/>
        <v>0</v>
      </c>
      <c r="G200" s="214">
        <f t="shared" si="731"/>
        <v>0</v>
      </c>
      <c r="H200" s="214">
        <f t="shared" si="731"/>
        <v>0</v>
      </c>
      <c r="I200" s="214">
        <f t="shared" si="731"/>
        <v>0</v>
      </c>
      <c r="J200" s="214">
        <f t="shared" si="731"/>
        <v>0</v>
      </c>
      <c r="K200" s="214">
        <f t="shared" si="731"/>
        <v>0</v>
      </c>
      <c r="L200" s="214">
        <f t="shared" si="731"/>
        <v>0</v>
      </c>
      <c r="M200" s="214">
        <f t="shared" si="731"/>
        <v>0</v>
      </c>
      <c r="N200" s="214">
        <f t="shared" si="731"/>
        <v>0</v>
      </c>
      <c r="O200" s="214">
        <f t="shared" si="731"/>
        <v>0</v>
      </c>
      <c r="P200" s="214">
        <f t="shared" si="731"/>
        <v>0</v>
      </c>
      <c r="Q200" s="214">
        <f t="shared" si="731"/>
        <v>0</v>
      </c>
      <c r="R200" s="214">
        <f t="shared" si="731"/>
        <v>0</v>
      </c>
      <c r="S200" s="214">
        <f t="shared" si="731"/>
        <v>0</v>
      </c>
      <c r="T200" s="214">
        <f t="shared" si="731"/>
        <v>0</v>
      </c>
      <c r="U200" s="214">
        <f t="shared" si="731"/>
        <v>0</v>
      </c>
      <c r="V200" s="214">
        <f t="shared" si="731"/>
        <v>0</v>
      </c>
      <c r="W200" s="214">
        <f t="shared" si="731"/>
        <v>0</v>
      </c>
    </row>
    <row r="201" spans="3:23" ht="25.5" x14ac:dyDescent="0.25">
      <c r="C201" s="77" t="str">
        <f t="shared" si="724"/>
        <v>CASETA 2</v>
      </c>
      <c r="D201" s="87" t="s">
        <v>49</v>
      </c>
      <c r="E201" s="319">
        <f t="shared" ref="E201:W201" si="732">VLOOKUP(E$168,CST2BY,12,0)</f>
        <v>0.7</v>
      </c>
      <c r="F201" s="319">
        <f t="shared" si="732"/>
        <v>0.7</v>
      </c>
      <c r="G201" s="319">
        <f t="shared" si="732"/>
        <v>1.4</v>
      </c>
      <c r="H201" s="319">
        <f t="shared" si="732"/>
        <v>1.9</v>
      </c>
      <c r="I201" s="319">
        <f t="shared" si="732"/>
        <v>2.1999999999999997</v>
      </c>
      <c r="J201" s="319">
        <f t="shared" si="732"/>
        <v>2.38</v>
      </c>
      <c r="K201" s="319">
        <f t="shared" si="732"/>
        <v>2.56</v>
      </c>
      <c r="L201" s="319">
        <f t="shared" si="732"/>
        <v>2.72</v>
      </c>
      <c r="M201" s="319">
        <f t="shared" si="732"/>
        <v>2.8800000000000003</v>
      </c>
      <c r="N201" s="319">
        <f t="shared" si="732"/>
        <v>3.0400000000000005</v>
      </c>
      <c r="O201" s="319">
        <f t="shared" si="732"/>
        <v>3.2000000000000006</v>
      </c>
      <c r="P201" s="319">
        <f t="shared" si="732"/>
        <v>3.3600000000000008</v>
      </c>
      <c r="Q201" s="319">
        <f t="shared" si="732"/>
        <v>3.5200000000000009</v>
      </c>
      <c r="R201" s="319">
        <f t="shared" si="732"/>
        <v>3.680000000000001</v>
      </c>
      <c r="S201" s="319">
        <f t="shared" si="732"/>
        <v>3.8400000000000012</v>
      </c>
      <c r="T201" s="319">
        <f t="shared" si="732"/>
        <v>4.0000000000000009</v>
      </c>
      <c r="U201" s="319">
        <f t="shared" si="732"/>
        <v>4.160000000000001</v>
      </c>
      <c r="V201" s="319">
        <f t="shared" si="732"/>
        <v>4.3200000000000012</v>
      </c>
      <c r="W201" s="319">
        <f t="shared" si="732"/>
        <v>4.4800000000000013</v>
      </c>
    </row>
    <row r="202" spans="3:23" ht="25.5" x14ac:dyDescent="0.25">
      <c r="C202" s="77" t="str">
        <f t="shared" si="724"/>
        <v>CASETA 2</v>
      </c>
      <c r="D202" s="87" t="s">
        <v>73</v>
      </c>
      <c r="E202" s="214">
        <f t="shared" ref="E202:W202" si="733">VLOOKUP(E$168,CST2BY,13,0)</f>
        <v>0</v>
      </c>
      <c r="F202" s="214">
        <f t="shared" si="733"/>
        <v>0</v>
      </c>
      <c r="G202" s="214">
        <f t="shared" si="733"/>
        <v>0</v>
      </c>
      <c r="H202" s="214">
        <f t="shared" si="733"/>
        <v>0</v>
      </c>
      <c r="I202" s="214">
        <f t="shared" si="733"/>
        <v>0</v>
      </c>
      <c r="J202" s="214">
        <f t="shared" si="733"/>
        <v>0</v>
      </c>
      <c r="K202" s="214">
        <f t="shared" si="733"/>
        <v>0</v>
      </c>
      <c r="L202" s="214">
        <f t="shared" si="733"/>
        <v>0</v>
      </c>
      <c r="M202" s="214">
        <f t="shared" si="733"/>
        <v>0</v>
      </c>
      <c r="N202" s="214">
        <f t="shared" si="733"/>
        <v>0</v>
      </c>
      <c r="O202" s="214">
        <f t="shared" si="733"/>
        <v>0</v>
      </c>
      <c r="P202" s="214">
        <f t="shared" si="733"/>
        <v>0</v>
      </c>
      <c r="Q202" s="214">
        <f t="shared" si="733"/>
        <v>0</v>
      </c>
      <c r="R202" s="214">
        <f t="shared" si="733"/>
        <v>0</v>
      </c>
      <c r="S202" s="214">
        <f t="shared" si="733"/>
        <v>0</v>
      </c>
      <c r="T202" s="214">
        <f t="shared" si="733"/>
        <v>0</v>
      </c>
      <c r="U202" s="214">
        <f t="shared" si="733"/>
        <v>0</v>
      </c>
      <c r="V202" s="214">
        <f t="shared" si="733"/>
        <v>0</v>
      </c>
      <c r="W202" s="214">
        <f t="shared" si="733"/>
        <v>0</v>
      </c>
    </row>
    <row r="203" spans="3:23" x14ac:dyDescent="0.25">
      <c r="C203" s="77" t="str">
        <f t="shared" si="724"/>
        <v>CASETA 2</v>
      </c>
      <c r="D203" s="23" t="s">
        <v>9</v>
      </c>
      <c r="E203" s="83">
        <f t="shared" ref="E203:W203" si="734">VLOOKUP(E$168,CST2BY,14,0)</f>
        <v>0</v>
      </c>
      <c r="F203" s="83">
        <f t="shared" si="734"/>
        <v>0</v>
      </c>
      <c r="G203" s="83">
        <f t="shared" si="734"/>
        <v>0</v>
      </c>
      <c r="H203" s="83">
        <f t="shared" si="734"/>
        <v>0</v>
      </c>
      <c r="I203" s="83">
        <f t="shared" si="734"/>
        <v>0</v>
      </c>
      <c r="J203" s="83">
        <f t="shared" si="734"/>
        <v>0</v>
      </c>
      <c r="K203" s="83">
        <f t="shared" si="734"/>
        <v>0</v>
      </c>
      <c r="L203" s="83">
        <f t="shared" si="734"/>
        <v>0</v>
      </c>
      <c r="M203" s="83">
        <f t="shared" si="734"/>
        <v>0</v>
      </c>
      <c r="N203" s="83">
        <f t="shared" si="734"/>
        <v>0</v>
      </c>
      <c r="O203" s="83">
        <f t="shared" si="734"/>
        <v>0</v>
      </c>
      <c r="P203" s="83">
        <f t="shared" si="734"/>
        <v>0</v>
      </c>
      <c r="Q203" s="83">
        <f t="shared" si="734"/>
        <v>0</v>
      </c>
      <c r="R203" s="83">
        <f t="shared" si="734"/>
        <v>0</v>
      </c>
      <c r="S203" s="83">
        <f t="shared" si="734"/>
        <v>0</v>
      </c>
      <c r="T203" s="83">
        <f t="shared" si="734"/>
        <v>0</v>
      </c>
      <c r="U203" s="83">
        <f t="shared" si="734"/>
        <v>0</v>
      </c>
      <c r="V203" s="83">
        <f t="shared" si="734"/>
        <v>0</v>
      </c>
      <c r="W203" s="83">
        <f t="shared" si="734"/>
        <v>0</v>
      </c>
    </row>
    <row r="204" spans="3:23" ht="25.5" x14ac:dyDescent="0.25">
      <c r="C204" s="77" t="str">
        <f t="shared" si="724"/>
        <v>CASETA 2</v>
      </c>
      <c r="D204" s="86" t="s">
        <v>75</v>
      </c>
      <c r="E204" s="83">
        <f t="shared" ref="E204:W204" si="735">VLOOKUP(E$168,CST2BY,15,0)</f>
        <v>10</v>
      </c>
      <c r="F204" s="83">
        <f t="shared" si="735"/>
        <v>10</v>
      </c>
      <c r="G204" s="83">
        <f t="shared" si="735"/>
        <v>17</v>
      </c>
      <c r="H204" s="83">
        <f t="shared" si="735"/>
        <v>23</v>
      </c>
      <c r="I204" s="83">
        <f t="shared" si="735"/>
        <v>29</v>
      </c>
      <c r="J204" s="83">
        <f t="shared" si="735"/>
        <v>34</v>
      </c>
      <c r="K204" s="83">
        <f t="shared" si="735"/>
        <v>38</v>
      </c>
      <c r="L204" s="83">
        <f t="shared" si="735"/>
        <v>42</v>
      </c>
      <c r="M204" s="83">
        <f t="shared" si="735"/>
        <v>46</v>
      </c>
      <c r="N204" s="83">
        <f t="shared" si="735"/>
        <v>49</v>
      </c>
      <c r="O204" s="83">
        <f t="shared" si="735"/>
        <v>52</v>
      </c>
      <c r="P204" s="83">
        <f t="shared" si="735"/>
        <v>55</v>
      </c>
      <c r="Q204" s="83">
        <f t="shared" si="735"/>
        <v>58</v>
      </c>
      <c r="R204" s="83">
        <f t="shared" si="735"/>
        <v>61</v>
      </c>
      <c r="S204" s="83">
        <f t="shared" si="735"/>
        <v>64</v>
      </c>
      <c r="T204" s="83">
        <f t="shared" si="735"/>
        <v>67</v>
      </c>
      <c r="U204" s="83">
        <f t="shared" si="735"/>
        <v>71</v>
      </c>
      <c r="V204" s="83">
        <f t="shared" si="735"/>
        <v>75</v>
      </c>
      <c r="W204" s="83">
        <f t="shared" si="735"/>
        <v>79</v>
      </c>
    </row>
    <row r="205" spans="3:23" ht="25.5" x14ac:dyDescent="0.25">
      <c r="C205" s="77" t="str">
        <f t="shared" si="724"/>
        <v>CASETA 2</v>
      </c>
      <c r="D205" s="86" t="s">
        <v>62</v>
      </c>
      <c r="E205" s="83">
        <f t="shared" ref="E205:W205" si="736">VLOOKUP(E$168,CST2BY,16,0)</f>
        <v>0</v>
      </c>
      <c r="F205" s="83">
        <f t="shared" si="736"/>
        <v>0</v>
      </c>
      <c r="G205" s="83">
        <f t="shared" si="736"/>
        <v>0</v>
      </c>
      <c r="H205" s="83">
        <f t="shared" si="736"/>
        <v>0</v>
      </c>
      <c r="I205" s="83">
        <f t="shared" si="736"/>
        <v>0</v>
      </c>
      <c r="J205" s="83">
        <f t="shared" si="736"/>
        <v>0</v>
      </c>
      <c r="K205" s="83">
        <f t="shared" si="736"/>
        <v>0</v>
      </c>
      <c r="L205" s="83">
        <f t="shared" si="736"/>
        <v>0</v>
      </c>
      <c r="M205" s="83">
        <f t="shared" si="736"/>
        <v>0</v>
      </c>
      <c r="N205" s="83">
        <f t="shared" si="736"/>
        <v>0</v>
      </c>
      <c r="O205" s="83">
        <f t="shared" si="736"/>
        <v>0</v>
      </c>
      <c r="P205" s="83">
        <f t="shared" si="736"/>
        <v>0</v>
      </c>
      <c r="Q205" s="83">
        <f t="shared" si="736"/>
        <v>0</v>
      </c>
      <c r="R205" s="83">
        <f t="shared" si="736"/>
        <v>0</v>
      </c>
      <c r="S205" s="83">
        <f t="shared" si="736"/>
        <v>0</v>
      </c>
      <c r="T205" s="83">
        <f t="shared" si="736"/>
        <v>0</v>
      </c>
      <c r="U205" s="83">
        <f t="shared" si="736"/>
        <v>0</v>
      </c>
      <c r="V205" s="83">
        <f t="shared" si="736"/>
        <v>0</v>
      </c>
      <c r="W205" s="83">
        <f t="shared" si="736"/>
        <v>0</v>
      </c>
    </row>
    <row r="206" spans="3:23" ht="25.5" x14ac:dyDescent="0.25">
      <c r="C206" s="77" t="str">
        <f t="shared" si="724"/>
        <v>CASETA 2</v>
      </c>
      <c r="D206" s="24" t="s">
        <v>50</v>
      </c>
      <c r="E206" s="83">
        <f t="shared" ref="E206:W206" si="737">VLOOKUP(E$168,CST2BY,17,0)</f>
        <v>0</v>
      </c>
      <c r="F206" s="83">
        <f t="shared" si="737"/>
        <v>0</v>
      </c>
      <c r="G206" s="83">
        <f t="shared" si="737"/>
        <v>0</v>
      </c>
      <c r="H206" s="83">
        <f t="shared" si="737"/>
        <v>0</v>
      </c>
      <c r="I206" s="83">
        <f t="shared" si="737"/>
        <v>0</v>
      </c>
      <c r="J206" s="83">
        <f t="shared" si="737"/>
        <v>0</v>
      </c>
      <c r="K206" s="83">
        <f t="shared" si="737"/>
        <v>0</v>
      </c>
      <c r="L206" s="83">
        <f t="shared" si="737"/>
        <v>0</v>
      </c>
      <c r="M206" s="83">
        <f t="shared" si="737"/>
        <v>0</v>
      </c>
      <c r="N206" s="83">
        <f t="shared" si="737"/>
        <v>0</v>
      </c>
      <c r="O206" s="83">
        <f t="shared" si="737"/>
        <v>0</v>
      </c>
      <c r="P206" s="83">
        <f t="shared" si="737"/>
        <v>0</v>
      </c>
      <c r="Q206" s="83">
        <f t="shared" si="737"/>
        <v>0</v>
      </c>
      <c r="R206" s="83">
        <f t="shared" si="737"/>
        <v>0</v>
      </c>
      <c r="S206" s="83">
        <f t="shared" si="737"/>
        <v>0</v>
      </c>
      <c r="T206" s="83">
        <f t="shared" si="737"/>
        <v>0</v>
      </c>
      <c r="U206" s="83">
        <f t="shared" si="737"/>
        <v>0</v>
      </c>
      <c r="V206" s="83">
        <f t="shared" si="737"/>
        <v>0</v>
      </c>
      <c r="W206" s="83">
        <f t="shared" si="737"/>
        <v>0</v>
      </c>
    </row>
    <row r="207" spans="3:23" x14ac:dyDescent="0.25">
      <c r="C207" s="77" t="str">
        <f t="shared" si="724"/>
        <v>CASETA 2</v>
      </c>
      <c r="D207" s="86" t="s">
        <v>63</v>
      </c>
      <c r="E207" s="83">
        <f t="shared" ref="E207:W207" si="738">VLOOKUP(E$168,CST2BY,18,0)</f>
        <v>40</v>
      </c>
      <c r="F207" s="83">
        <f t="shared" si="738"/>
        <v>70</v>
      </c>
      <c r="G207" s="83">
        <f t="shared" si="738"/>
        <v>120</v>
      </c>
      <c r="H207" s="83">
        <f t="shared" si="738"/>
        <v>185</v>
      </c>
      <c r="I207" s="83">
        <f t="shared" si="738"/>
        <v>255</v>
      </c>
      <c r="J207" s="83">
        <f t="shared" si="738"/>
        <v>334</v>
      </c>
      <c r="K207" s="83">
        <f t="shared" si="738"/>
        <v>425</v>
      </c>
      <c r="L207" s="83">
        <f t="shared" si="738"/>
        <v>524</v>
      </c>
      <c r="M207" s="83">
        <f t="shared" si="738"/>
        <v>618</v>
      </c>
      <c r="N207" s="83">
        <f t="shared" si="738"/>
        <v>712</v>
      </c>
      <c r="O207" s="83">
        <f t="shared" si="738"/>
        <v>802</v>
      </c>
      <c r="P207" s="83">
        <f t="shared" si="738"/>
        <v>880</v>
      </c>
      <c r="Q207" s="83">
        <f t="shared" si="738"/>
        <v>950</v>
      </c>
      <c r="R207" s="83">
        <f t="shared" si="738"/>
        <v>1010</v>
      </c>
      <c r="S207" s="83">
        <f t="shared" si="738"/>
        <v>1065</v>
      </c>
      <c r="T207" s="83">
        <f t="shared" si="738"/>
        <v>1115</v>
      </c>
      <c r="U207" s="83">
        <f t="shared" si="738"/>
        <v>1160</v>
      </c>
      <c r="V207" s="83">
        <f t="shared" si="738"/>
        <v>1207</v>
      </c>
      <c r="W207" s="83">
        <f t="shared" si="738"/>
        <v>1257</v>
      </c>
    </row>
    <row r="208" spans="3:23" x14ac:dyDescent="0.25">
      <c r="C208" s="77" t="str">
        <f t="shared" si="724"/>
        <v>CASETA 2</v>
      </c>
      <c r="D208" s="86" t="s">
        <v>64</v>
      </c>
      <c r="E208" s="83">
        <f t="shared" ref="E208:W208" si="739">VLOOKUP(E$168,CST2BY,19,0)</f>
        <v>0</v>
      </c>
      <c r="F208" s="83">
        <f t="shared" si="739"/>
        <v>0</v>
      </c>
      <c r="G208" s="83">
        <f t="shared" si="739"/>
        <v>0</v>
      </c>
      <c r="H208" s="83">
        <f t="shared" si="739"/>
        <v>0</v>
      </c>
      <c r="I208" s="83">
        <f t="shared" si="739"/>
        <v>0</v>
      </c>
      <c r="J208" s="83">
        <f t="shared" si="739"/>
        <v>0</v>
      </c>
      <c r="K208" s="83">
        <f t="shared" si="739"/>
        <v>0</v>
      </c>
      <c r="L208" s="83">
        <f t="shared" si="739"/>
        <v>0</v>
      </c>
      <c r="M208" s="83">
        <f t="shared" si="739"/>
        <v>0</v>
      </c>
      <c r="N208" s="83">
        <f t="shared" si="739"/>
        <v>0</v>
      </c>
      <c r="O208" s="83">
        <f t="shared" si="739"/>
        <v>0</v>
      </c>
      <c r="P208" s="83">
        <f t="shared" si="739"/>
        <v>0</v>
      </c>
      <c r="Q208" s="83">
        <f t="shared" si="739"/>
        <v>0</v>
      </c>
      <c r="R208" s="83">
        <f t="shared" si="739"/>
        <v>0</v>
      </c>
      <c r="S208" s="83">
        <f t="shared" si="739"/>
        <v>0</v>
      </c>
      <c r="T208" s="83">
        <f t="shared" si="739"/>
        <v>0</v>
      </c>
      <c r="U208" s="83">
        <f t="shared" si="739"/>
        <v>0</v>
      </c>
      <c r="V208" s="83">
        <f t="shared" si="739"/>
        <v>0</v>
      </c>
      <c r="W208" s="83">
        <f t="shared" si="739"/>
        <v>0</v>
      </c>
    </row>
    <row r="209" spans="3:23" x14ac:dyDescent="0.25">
      <c r="C209" s="77" t="str">
        <f t="shared" si="724"/>
        <v>CASETA 2</v>
      </c>
      <c r="D209" s="23" t="s">
        <v>15</v>
      </c>
      <c r="E209" s="83">
        <f t="shared" ref="E209:W209" si="740">VLOOKUP(E$168,CST2BY,20,0)</f>
        <v>40</v>
      </c>
      <c r="F209" s="83">
        <f t="shared" si="740"/>
        <v>70</v>
      </c>
      <c r="G209" s="83">
        <f t="shared" si="740"/>
        <v>120</v>
      </c>
      <c r="H209" s="83">
        <f t="shared" si="740"/>
        <v>185</v>
      </c>
      <c r="I209" s="83">
        <f t="shared" si="740"/>
        <v>255</v>
      </c>
      <c r="J209" s="83">
        <f t="shared" si="740"/>
        <v>334</v>
      </c>
      <c r="K209" s="83">
        <f t="shared" si="740"/>
        <v>425</v>
      </c>
      <c r="L209" s="83">
        <f t="shared" si="740"/>
        <v>524</v>
      </c>
      <c r="M209" s="83">
        <f t="shared" si="740"/>
        <v>618</v>
      </c>
      <c r="N209" s="83">
        <f t="shared" si="740"/>
        <v>712</v>
      </c>
      <c r="O209" s="83">
        <f t="shared" si="740"/>
        <v>802</v>
      </c>
      <c r="P209" s="83">
        <f t="shared" si="740"/>
        <v>880</v>
      </c>
      <c r="Q209" s="83">
        <f t="shared" si="740"/>
        <v>950</v>
      </c>
      <c r="R209" s="83">
        <f t="shared" si="740"/>
        <v>1010</v>
      </c>
      <c r="S209" s="83">
        <f t="shared" si="740"/>
        <v>1065</v>
      </c>
      <c r="T209" s="83">
        <f t="shared" si="740"/>
        <v>1115</v>
      </c>
      <c r="U209" s="83">
        <f t="shared" si="740"/>
        <v>1160</v>
      </c>
      <c r="V209" s="83">
        <f t="shared" si="740"/>
        <v>1207</v>
      </c>
      <c r="W209" s="83">
        <f t="shared" si="740"/>
        <v>1257</v>
      </c>
    </row>
    <row r="210" spans="3:23" ht="25.5" x14ac:dyDescent="0.25">
      <c r="C210" s="77" t="str">
        <f t="shared" si="724"/>
        <v>CASETA 2</v>
      </c>
      <c r="D210" s="86" t="s">
        <v>65</v>
      </c>
      <c r="E210" s="83">
        <f t="shared" ref="E210:W210" si="741">VLOOKUP(E$168,CST2BY,21,0)</f>
        <v>77</v>
      </c>
      <c r="F210" s="83">
        <f t="shared" si="741"/>
        <v>77</v>
      </c>
      <c r="G210" s="83">
        <f t="shared" si="741"/>
        <v>77</v>
      </c>
      <c r="H210" s="83">
        <f t="shared" si="741"/>
        <v>77</v>
      </c>
      <c r="I210" s="83">
        <f t="shared" si="741"/>
        <v>79</v>
      </c>
      <c r="J210" s="83">
        <f t="shared" si="741"/>
        <v>79</v>
      </c>
      <c r="K210" s="83">
        <f t="shared" si="741"/>
        <v>79</v>
      </c>
      <c r="L210" s="83">
        <f t="shared" si="741"/>
        <v>79</v>
      </c>
      <c r="M210" s="83">
        <f t="shared" si="741"/>
        <v>79</v>
      </c>
      <c r="N210" s="83">
        <f t="shared" si="741"/>
        <v>79</v>
      </c>
      <c r="O210" s="83">
        <f t="shared" si="741"/>
        <v>80</v>
      </c>
      <c r="P210" s="83">
        <f t="shared" si="741"/>
        <v>80</v>
      </c>
      <c r="Q210" s="83">
        <f t="shared" si="741"/>
        <v>82</v>
      </c>
      <c r="R210" s="83">
        <f t="shared" si="741"/>
        <v>82</v>
      </c>
      <c r="S210" s="83">
        <f t="shared" si="741"/>
        <v>84</v>
      </c>
      <c r="T210" s="83">
        <f t="shared" si="741"/>
        <v>86</v>
      </c>
      <c r="U210" s="83">
        <f t="shared" si="741"/>
        <v>86</v>
      </c>
      <c r="V210" s="83">
        <f t="shared" si="741"/>
        <v>86</v>
      </c>
      <c r="W210" s="83">
        <f t="shared" si="741"/>
        <v>86</v>
      </c>
    </row>
    <row r="211" spans="3:23" ht="25.5" x14ac:dyDescent="0.25">
      <c r="C211" s="77" t="str">
        <f t="shared" si="724"/>
        <v>CASETA 2</v>
      </c>
      <c r="D211" s="86" t="s">
        <v>66</v>
      </c>
      <c r="E211" s="83">
        <f t="shared" ref="E211:W211" si="742">VLOOKUP(E$168,CST2BY,22,0)</f>
        <v>0</v>
      </c>
      <c r="F211" s="83">
        <f t="shared" si="742"/>
        <v>0</v>
      </c>
      <c r="G211" s="83">
        <f t="shared" si="742"/>
        <v>0</v>
      </c>
      <c r="H211" s="83">
        <f t="shared" si="742"/>
        <v>0</v>
      </c>
      <c r="I211" s="83">
        <f t="shared" si="742"/>
        <v>0</v>
      </c>
      <c r="J211" s="83">
        <f t="shared" si="742"/>
        <v>0</v>
      </c>
      <c r="K211" s="83">
        <f t="shared" si="742"/>
        <v>0</v>
      </c>
      <c r="L211" s="83">
        <f t="shared" si="742"/>
        <v>0</v>
      </c>
      <c r="M211" s="83">
        <f t="shared" si="742"/>
        <v>0</v>
      </c>
      <c r="N211" s="83">
        <f t="shared" si="742"/>
        <v>0</v>
      </c>
      <c r="O211" s="83">
        <f t="shared" si="742"/>
        <v>0</v>
      </c>
      <c r="P211" s="83">
        <f t="shared" si="742"/>
        <v>0</v>
      </c>
      <c r="Q211" s="83">
        <f t="shared" si="742"/>
        <v>0</v>
      </c>
      <c r="R211" s="83">
        <f t="shared" si="742"/>
        <v>0</v>
      </c>
      <c r="S211" s="83">
        <f t="shared" si="742"/>
        <v>0</v>
      </c>
      <c r="T211" s="83">
        <f t="shared" si="742"/>
        <v>0</v>
      </c>
      <c r="U211" s="83">
        <f t="shared" si="742"/>
        <v>0</v>
      </c>
      <c r="V211" s="83">
        <f t="shared" si="742"/>
        <v>0</v>
      </c>
      <c r="W211" s="83">
        <f t="shared" si="742"/>
        <v>0</v>
      </c>
    </row>
    <row r="212" spans="3:23" x14ac:dyDescent="0.25">
      <c r="C212" s="77" t="str">
        <f t="shared" si="724"/>
        <v>CASETA 2</v>
      </c>
      <c r="D212" s="23" t="s">
        <v>15</v>
      </c>
      <c r="E212" s="83">
        <f t="shared" ref="E212:W212" si="743">VLOOKUP(E$168,CST2BY,23,0)</f>
        <v>77</v>
      </c>
      <c r="F212" s="83">
        <f t="shared" si="743"/>
        <v>77</v>
      </c>
      <c r="G212" s="83">
        <f t="shared" si="743"/>
        <v>77</v>
      </c>
      <c r="H212" s="83">
        <f t="shared" si="743"/>
        <v>77</v>
      </c>
      <c r="I212" s="83">
        <f t="shared" si="743"/>
        <v>79</v>
      </c>
      <c r="J212" s="83">
        <f t="shared" si="743"/>
        <v>79</v>
      </c>
      <c r="K212" s="83">
        <f t="shared" si="743"/>
        <v>79</v>
      </c>
      <c r="L212" s="83">
        <f t="shared" si="743"/>
        <v>79</v>
      </c>
      <c r="M212" s="83">
        <f t="shared" si="743"/>
        <v>79</v>
      </c>
      <c r="N212" s="83">
        <f t="shared" si="743"/>
        <v>79</v>
      </c>
      <c r="O212" s="83">
        <f t="shared" si="743"/>
        <v>80</v>
      </c>
      <c r="P212" s="83">
        <f t="shared" si="743"/>
        <v>80</v>
      </c>
      <c r="Q212" s="83">
        <f t="shared" si="743"/>
        <v>82</v>
      </c>
      <c r="R212" s="83">
        <f t="shared" si="743"/>
        <v>82</v>
      </c>
      <c r="S212" s="83">
        <f t="shared" si="743"/>
        <v>84</v>
      </c>
      <c r="T212" s="83">
        <f t="shared" si="743"/>
        <v>86</v>
      </c>
      <c r="U212" s="83">
        <f t="shared" si="743"/>
        <v>86</v>
      </c>
      <c r="V212" s="83">
        <f t="shared" si="743"/>
        <v>86</v>
      </c>
      <c r="W212" s="83">
        <f t="shared" si="743"/>
        <v>86</v>
      </c>
    </row>
    <row r="213" spans="3:23" x14ac:dyDescent="0.25">
      <c r="E213" s="1"/>
      <c r="F213" s="316"/>
      <c r="G213" s="316"/>
      <c r="H213" s="316"/>
      <c r="I213" s="316"/>
      <c r="J213" s="316"/>
      <c r="K213" s="316"/>
      <c r="L213" s="316"/>
      <c r="M213" s="316"/>
      <c r="N213" s="316"/>
      <c r="O213" s="316"/>
      <c r="P213" s="316"/>
      <c r="Q213" s="316"/>
      <c r="R213" s="316"/>
      <c r="S213" s="316"/>
      <c r="T213" s="316"/>
      <c r="U213" s="316"/>
      <c r="V213" s="316"/>
      <c r="W213" s="316"/>
    </row>
    <row r="214" spans="3:23" x14ac:dyDescent="0.25">
      <c r="E214" s="1"/>
      <c r="F214" s="316"/>
      <c r="G214" s="316"/>
      <c r="H214" s="316"/>
      <c r="I214" s="316"/>
      <c r="J214" s="316"/>
      <c r="K214" s="316"/>
      <c r="L214" s="316"/>
      <c r="M214" s="316"/>
      <c r="N214" s="316"/>
      <c r="O214" s="316"/>
      <c r="P214" s="316"/>
      <c r="Q214" s="316"/>
      <c r="R214" s="316"/>
      <c r="S214" s="316"/>
      <c r="T214" s="316"/>
      <c r="U214" s="316"/>
      <c r="V214" s="316"/>
      <c r="W214" s="316"/>
    </row>
    <row r="215" spans="3:23" x14ac:dyDescent="0.25">
      <c r="E215" s="1"/>
      <c r="F215" s="316"/>
      <c r="G215" s="316"/>
      <c r="H215" s="316"/>
      <c r="I215" s="316"/>
      <c r="J215" s="316"/>
      <c r="K215" s="316"/>
      <c r="L215" s="316"/>
      <c r="M215" s="316"/>
      <c r="N215" s="316"/>
      <c r="O215" s="316"/>
      <c r="P215" s="316"/>
      <c r="Q215" s="316"/>
      <c r="R215" s="316"/>
      <c r="S215" s="316"/>
      <c r="T215" s="316"/>
      <c r="U215" s="316"/>
      <c r="V215" s="316"/>
      <c r="W215" s="316"/>
    </row>
    <row r="216" spans="3:23" x14ac:dyDescent="0.25">
      <c r="E216" s="1"/>
      <c r="F216" s="316"/>
      <c r="G216" s="316"/>
      <c r="H216" s="316"/>
      <c r="I216" s="316"/>
      <c r="J216" s="316"/>
      <c r="K216" s="316"/>
      <c r="L216" s="316"/>
      <c r="M216" s="316"/>
      <c r="N216" s="316"/>
      <c r="O216" s="316"/>
      <c r="P216" s="316"/>
      <c r="Q216" s="316"/>
      <c r="R216" s="316"/>
      <c r="S216" s="316"/>
      <c r="T216" s="316"/>
      <c r="U216" s="316"/>
      <c r="V216" s="316"/>
      <c r="W216" s="316"/>
    </row>
    <row r="217" spans="3:23" ht="22.5" customHeight="1" x14ac:dyDescent="0.25">
      <c r="C217" s="77" t="s">
        <v>54</v>
      </c>
      <c r="D217" s="24" t="s">
        <v>67</v>
      </c>
      <c r="E217" s="83">
        <f>VLOOKUP(E$168,CST3BY,3,0)</f>
        <v>0</v>
      </c>
      <c r="F217" s="83">
        <f t="shared" ref="F217:W217" si="744">VLOOKUP(F$168,CST3BY,3,0)</f>
        <v>0</v>
      </c>
      <c r="G217" s="83">
        <f t="shared" si="744"/>
        <v>0</v>
      </c>
      <c r="H217" s="83">
        <f t="shared" si="744"/>
        <v>0</v>
      </c>
      <c r="I217" s="83">
        <f t="shared" si="744"/>
        <v>0</v>
      </c>
      <c r="J217" s="83">
        <f t="shared" si="744"/>
        <v>0</v>
      </c>
      <c r="K217" s="83">
        <f t="shared" si="744"/>
        <v>0</v>
      </c>
      <c r="L217" s="83">
        <f t="shared" si="744"/>
        <v>0</v>
      </c>
      <c r="M217" s="83">
        <f t="shared" si="744"/>
        <v>0</v>
      </c>
      <c r="N217" s="83">
        <f t="shared" si="744"/>
        <v>0</v>
      </c>
      <c r="O217" s="83">
        <f t="shared" si="744"/>
        <v>0</v>
      </c>
      <c r="P217" s="83">
        <f t="shared" si="744"/>
        <v>0</v>
      </c>
      <c r="Q217" s="83">
        <f t="shared" si="744"/>
        <v>0</v>
      </c>
      <c r="R217" s="83">
        <f t="shared" si="744"/>
        <v>0</v>
      </c>
      <c r="S217" s="83">
        <f t="shared" si="744"/>
        <v>0</v>
      </c>
      <c r="T217" s="83">
        <f t="shared" si="744"/>
        <v>0</v>
      </c>
      <c r="U217" s="83">
        <f t="shared" si="744"/>
        <v>0</v>
      </c>
      <c r="V217" s="83">
        <f t="shared" si="744"/>
        <v>0</v>
      </c>
      <c r="W217" s="83">
        <f t="shared" si="744"/>
        <v>0</v>
      </c>
    </row>
    <row r="218" spans="3:23" x14ac:dyDescent="0.25">
      <c r="C218" s="78" t="str">
        <f>C217</f>
        <v>CASETA 3</v>
      </c>
      <c r="D218" s="24" t="s">
        <v>34</v>
      </c>
      <c r="E218" s="83">
        <f>VLOOKUP(E$168,CST3BY,4,0)</f>
        <v>0</v>
      </c>
      <c r="F218" s="83">
        <f t="shared" ref="F218:W218" si="745">VLOOKUP(F$168,CST3BY,4,0)</f>
        <v>0</v>
      </c>
      <c r="G218" s="83">
        <f t="shared" si="745"/>
        <v>0</v>
      </c>
      <c r="H218" s="83">
        <f t="shared" si="745"/>
        <v>0</v>
      </c>
      <c r="I218" s="83">
        <f t="shared" si="745"/>
        <v>0</v>
      </c>
      <c r="J218" s="83">
        <f t="shared" si="745"/>
        <v>0</v>
      </c>
      <c r="K218" s="83">
        <f t="shared" si="745"/>
        <v>0</v>
      </c>
      <c r="L218" s="83">
        <f t="shared" si="745"/>
        <v>0</v>
      </c>
      <c r="M218" s="83">
        <f t="shared" si="745"/>
        <v>0</v>
      </c>
      <c r="N218" s="83">
        <f t="shared" si="745"/>
        <v>0</v>
      </c>
      <c r="O218" s="83">
        <f t="shared" si="745"/>
        <v>0</v>
      </c>
      <c r="P218" s="83">
        <f t="shared" si="745"/>
        <v>0</v>
      </c>
      <c r="Q218" s="83">
        <f t="shared" si="745"/>
        <v>0</v>
      </c>
      <c r="R218" s="83">
        <f t="shared" si="745"/>
        <v>0</v>
      </c>
      <c r="S218" s="83">
        <f t="shared" si="745"/>
        <v>0</v>
      </c>
      <c r="T218" s="83">
        <f t="shared" si="745"/>
        <v>0</v>
      </c>
      <c r="U218" s="83">
        <f t="shared" si="745"/>
        <v>0</v>
      </c>
      <c r="V218" s="83">
        <f t="shared" si="745"/>
        <v>0</v>
      </c>
      <c r="W218" s="83">
        <f t="shared" si="745"/>
        <v>0</v>
      </c>
    </row>
    <row r="219" spans="3:23" x14ac:dyDescent="0.25">
      <c r="C219" s="78" t="str">
        <f t="shared" ref="C219:C236" si="746">C218</f>
        <v>CASETA 3</v>
      </c>
      <c r="D219" s="23" t="s">
        <v>27</v>
      </c>
      <c r="E219" s="83">
        <f t="shared" ref="E219:W219" si="747">VLOOKUP(E$168,CST3BY,5,0)</f>
        <v>0</v>
      </c>
      <c r="F219" s="83">
        <f t="shared" si="747"/>
        <v>0</v>
      </c>
      <c r="G219" s="83">
        <f t="shared" si="747"/>
        <v>0</v>
      </c>
      <c r="H219" s="83">
        <f t="shared" si="747"/>
        <v>0</v>
      </c>
      <c r="I219" s="83">
        <f t="shared" si="747"/>
        <v>0</v>
      </c>
      <c r="J219" s="83">
        <f t="shared" si="747"/>
        <v>0</v>
      </c>
      <c r="K219" s="83">
        <f t="shared" si="747"/>
        <v>0</v>
      </c>
      <c r="L219" s="83">
        <f t="shared" si="747"/>
        <v>0</v>
      </c>
      <c r="M219" s="83">
        <f t="shared" si="747"/>
        <v>0</v>
      </c>
      <c r="N219" s="83">
        <f t="shared" si="747"/>
        <v>0</v>
      </c>
      <c r="O219" s="83">
        <f t="shared" si="747"/>
        <v>0</v>
      </c>
      <c r="P219" s="83">
        <f t="shared" si="747"/>
        <v>0</v>
      </c>
      <c r="Q219" s="83">
        <f t="shared" si="747"/>
        <v>0</v>
      </c>
      <c r="R219" s="83">
        <f t="shared" si="747"/>
        <v>0</v>
      </c>
      <c r="S219" s="83">
        <f t="shared" si="747"/>
        <v>0</v>
      </c>
      <c r="T219" s="83">
        <f t="shared" si="747"/>
        <v>0</v>
      </c>
      <c r="U219" s="83">
        <f t="shared" si="747"/>
        <v>0</v>
      </c>
      <c r="V219" s="83">
        <f t="shared" si="747"/>
        <v>0</v>
      </c>
      <c r="W219" s="83">
        <f t="shared" si="747"/>
        <v>0</v>
      </c>
    </row>
    <row r="220" spans="3:23" x14ac:dyDescent="0.25">
      <c r="C220" s="78" t="str">
        <f t="shared" si="746"/>
        <v>CASETA 3</v>
      </c>
      <c r="D220" s="23" t="s">
        <v>16</v>
      </c>
      <c r="E220" s="83">
        <f t="shared" ref="E220:W220" si="748">VLOOKUP(E$168,CST3BY,6,0)</f>
        <v>0</v>
      </c>
      <c r="F220" s="83">
        <f t="shared" si="748"/>
        <v>0</v>
      </c>
      <c r="G220" s="83">
        <f t="shared" si="748"/>
        <v>0</v>
      </c>
      <c r="H220" s="83">
        <f t="shared" si="748"/>
        <v>0</v>
      </c>
      <c r="I220" s="83">
        <f t="shared" si="748"/>
        <v>0</v>
      </c>
      <c r="J220" s="83">
        <f t="shared" si="748"/>
        <v>0</v>
      </c>
      <c r="K220" s="83">
        <f t="shared" si="748"/>
        <v>0</v>
      </c>
      <c r="L220" s="83">
        <f t="shared" si="748"/>
        <v>0</v>
      </c>
      <c r="M220" s="83">
        <f t="shared" si="748"/>
        <v>0</v>
      </c>
      <c r="N220" s="83">
        <f t="shared" si="748"/>
        <v>0</v>
      </c>
      <c r="O220" s="83">
        <f t="shared" si="748"/>
        <v>0</v>
      </c>
      <c r="P220" s="83">
        <f t="shared" si="748"/>
        <v>0</v>
      </c>
      <c r="Q220" s="83">
        <f t="shared" si="748"/>
        <v>0</v>
      </c>
      <c r="R220" s="83">
        <f t="shared" si="748"/>
        <v>0</v>
      </c>
      <c r="S220" s="83">
        <f t="shared" si="748"/>
        <v>0</v>
      </c>
      <c r="T220" s="83">
        <f t="shared" si="748"/>
        <v>0</v>
      </c>
      <c r="U220" s="83">
        <f t="shared" si="748"/>
        <v>0</v>
      </c>
      <c r="V220" s="83">
        <f t="shared" si="748"/>
        <v>0</v>
      </c>
      <c r="W220" s="83">
        <f t="shared" si="748"/>
        <v>0</v>
      </c>
    </row>
    <row r="221" spans="3:23" x14ac:dyDescent="0.25">
      <c r="C221" s="78" t="str">
        <f t="shared" si="746"/>
        <v>CASETA 3</v>
      </c>
      <c r="D221" s="23" t="s">
        <v>17</v>
      </c>
      <c r="E221" s="83">
        <f t="shared" ref="E221:W221" si="749">VLOOKUP(E$168,CST3BY,7,0)</f>
        <v>0</v>
      </c>
      <c r="F221" s="83">
        <f t="shared" si="749"/>
        <v>0</v>
      </c>
      <c r="G221" s="83">
        <f t="shared" si="749"/>
        <v>0</v>
      </c>
      <c r="H221" s="83">
        <f t="shared" si="749"/>
        <v>0</v>
      </c>
      <c r="I221" s="83">
        <f t="shared" si="749"/>
        <v>0</v>
      </c>
      <c r="J221" s="83">
        <f t="shared" si="749"/>
        <v>0</v>
      </c>
      <c r="K221" s="83">
        <f t="shared" si="749"/>
        <v>0</v>
      </c>
      <c r="L221" s="83">
        <f t="shared" si="749"/>
        <v>0</v>
      </c>
      <c r="M221" s="83">
        <f t="shared" si="749"/>
        <v>0</v>
      </c>
      <c r="N221" s="83">
        <f t="shared" si="749"/>
        <v>0</v>
      </c>
      <c r="O221" s="83">
        <f t="shared" si="749"/>
        <v>0</v>
      </c>
      <c r="P221" s="83">
        <f t="shared" si="749"/>
        <v>0</v>
      </c>
      <c r="Q221" s="83">
        <f t="shared" si="749"/>
        <v>0</v>
      </c>
      <c r="R221" s="83">
        <f t="shared" si="749"/>
        <v>0</v>
      </c>
      <c r="S221" s="83">
        <f t="shared" si="749"/>
        <v>0</v>
      </c>
      <c r="T221" s="83">
        <f t="shared" si="749"/>
        <v>0</v>
      </c>
      <c r="U221" s="83">
        <f t="shared" si="749"/>
        <v>0</v>
      </c>
      <c r="V221" s="83">
        <f t="shared" si="749"/>
        <v>0</v>
      </c>
      <c r="W221" s="83">
        <f t="shared" si="749"/>
        <v>0</v>
      </c>
    </row>
    <row r="222" spans="3:23" x14ac:dyDescent="0.25">
      <c r="C222" s="78" t="str">
        <f t="shared" si="746"/>
        <v>CASETA 3</v>
      </c>
      <c r="D222" s="23" t="s">
        <v>18</v>
      </c>
      <c r="E222" s="85">
        <f>SUM(E219:E221)</f>
        <v>0</v>
      </c>
      <c r="F222" s="85">
        <f t="shared" ref="F222:W222" si="750">SUM(F219:F221)</f>
        <v>0</v>
      </c>
      <c r="G222" s="85">
        <f t="shared" si="750"/>
        <v>0</v>
      </c>
      <c r="H222" s="85">
        <f t="shared" si="750"/>
        <v>0</v>
      </c>
      <c r="I222" s="85">
        <f t="shared" si="750"/>
        <v>0</v>
      </c>
      <c r="J222" s="85">
        <f t="shared" si="750"/>
        <v>0</v>
      </c>
      <c r="K222" s="85">
        <f t="shared" si="750"/>
        <v>0</v>
      </c>
      <c r="L222" s="85">
        <f t="shared" si="750"/>
        <v>0</v>
      </c>
      <c r="M222" s="85">
        <f t="shared" si="750"/>
        <v>0</v>
      </c>
      <c r="N222" s="85">
        <f t="shared" si="750"/>
        <v>0</v>
      </c>
      <c r="O222" s="85">
        <f t="shared" si="750"/>
        <v>0</v>
      </c>
      <c r="P222" s="85">
        <f t="shared" si="750"/>
        <v>0</v>
      </c>
      <c r="Q222" s="85">
        <f t="shared" si="750"/>
        <v>0</v>
      </c>
      <c r="R222" s="85">
        <f t="shared" si="750"/>
        <v>0</v>
      </c>
      <c r="S222" s="85">
        <f t="shared" si="750"/>
        <v>0</v>
      </c>
      <c r="T222" s="85">
        <f t="shared" si="750"/>
        <v>0</v>
      </c>
      <c r="U222" s="85">
        <f t="shared" si="750"/>
        <v>0</v>
      </c>
      <c r="V222" s="85">
        <f t="shared" si="750"/>
        <v>0</v>
      </c>
      <c r="W222" s="85">
        <f t="shared" si="750"/>
        <v>0</v>
      </c>
    </row>
    <row r="223" spans="3:23" x14ac:dyDescent="0.25">
      <c r="C223" s="78" t="str">
        <f t="shared" si="746"/>
        <v>CASETA 3</v>
      </c>
      <c r="D223" s="23" t="s">
        <v>48</v>
      </c>
      <c r="E223" s="83">
        <f>VLOOKUP(E$168,CST3BY,9,0)</f>
        <v>0</v>
      </c>
      <c r="F223" s="83">
        <f t="shared" ref="F223:W223" si="751">VLOOKUP(F$168,CST3BY,9,0)</f>
        <v>0</v>
      </c>
      <c r="G223" s="83">
        <f t="shared" si="751"/>
        <v>0</v>
      </c>
      <c r="H223" s="83">
        <f t="shared" si="751"/>
        <v>0</v>
      </c>
      <c r="I223" s="83">
        <f t="shared" si="751"/>
        <v>0</v>
      </c>
      <c r="J223" s="83">
        <f t="shared" si="751"/>
        <v>0</v>
      </c>
      <c r="K223" s="83">
        <f t="shared" si="751"/>
        <v>0</v>
      </c>
      <c r="L223" s="83">
        <f t="shared" si="751"/>
        <v>0</v>
      </c>
      <c r="M223" s="83">
        <f t="shared" si="751"/>
        <v>0</v>
      </c>
      <c r="N223" s="83">
        <f t="shared" si="751"/>
        <v>0</v>
      </c>
      <c r="O223" s="83">
        <f t="shared" si="751"/>
        <v>0</v>
      </c>
      <c r="P223" s="83">
        <f t="shared" si="751"/>
        <v>0</v>
      </c>
      <c r="Q223" s="83">
        <f t="shared" si="751"/>
        <v>0</v>
      </c>
      <c r="R223" s="83">
        <f t="shared" si="751"/>
        <v>0</v>
      </c>
      <c r="S223" s="83">
        <f t="shared" si="751"/>
        <v>0</v>
      </c>
      <c r="T223" s="83">
        <f t="shared" si="751"/>
        <v>0</v>
      </c>
      <c r="U223" s="83">
        <f t="shared" si="751"/>
        <v>0</v>
      </c>
      <c r="V223" s="83">
        <f t="shared" si="751"/>
        <v>0</v>
      </c>
      <c r="W223" s="83">
        <f t="shared" si="751"/>
        <v>0</v>
      </c>
    </row>
    <row r="224" spans="3:23" x14ac:dyDescent="0.25">
      <c r="C224" s="78" t="str">
        <f t="shared" si="746"/>
        <v>CASETA 3</v>
      </c>
      <c r="D224" s="86" t="s">
        <v>72</v>
      </c>
      <c r="E224" s="83">
        <f t="shared" ref="E224:W224" si="752">VLOOKUP(E$168,CST3BY,10,0)</f>
        <v>0.7</v>
      </c>
      <c r="F224" s="83">
        <f t="shared" si="752"/>
        <v>0.7</v>
      </c>
      <c r="G224" s="83">
        <f t="shared" si="752"/>
        <v>0.7</v>
      </c>
      <c r="H224" s="83">
        <f t="shared" si="752"/>
        <v>0.5</v>
      </c>
      <c r="I224" s="83">
        <f t="shared" si="752"/>
        <v>0.3</v>
      </c>
      <c r="J224" s="83">
        <f t="shared" si="752"/>
        <v>0.18</v>
      </c>
      <c r="K224" s="83">
        <f t="shared" si="752"/>
        <v>0.18</v>
      </c>
      <c r="L224" s="83">
        <f t="shared" si="752"/>
        <v>0.16</v>
      </c>
      <c r="M224" s="83">
        <f t="shared" si="752"/>
        <v>0.16</v>
      </c>
      <c r="N224" s="83">
        <f t="shared" si="752"/>
        <v>0.16</v>
      </c>
      <c r="O224" s="83">
        <f t="shared" si="752"/>
        <v>0.16</v>
      </c>
      <c r="P224" s="83">
        <f t="shared" si="752"/>
        <v>0.16</v>
      </c>
      <c r="Q224" s="83">
        <f t="shared" si="752"/>
        <v>0.16</v>
      </c>
      <c r="R224" s="83">
        <f t="shared" si="752"/>
        <v>0.16</v>
      </c>
      <c r="S224" s="83">
        <f t="shared" si="752"/>
        <v>0.16</v>
      </c>
      <c r="T224" s="83">
        <f t="shared" si="752"/>
        <v>0.16</v>
      </c>
      <c r="U224" s="83">
        <f t="shared" si="752"/>
        <v>0.16</v>
      </c>
      <c r="V224" s="83">
        <f t="shared" si="752"/>
        <v>0.16</v>
      </c>
      <c r="W224" s="83">
        <f t="shared" si="752"/>
        <v>0.16</v>
      </c>
    </row>
    <row r="225" spans="3:23" x14ac:dyDescent="0.25">
      <c r="C225" s="78" t="str">
        <f t="shared" si="746"/>
        <v>CASETA 3</v>
      </c>
      <c r="D225" s="86" t="s">
        <v>74</v>
      </c>
      <c r="E225" s="83">
        <f t="shared" ref="E225:W225" si="753">VLOOKUP(E$168,CST3BY,11,0)</f>
        <v>0</v>
      </c>
      <c r="F225" s="83">
        <f t="shared" si="753"/>
        <v>0</v>
      </c>
      <c r="G225" s="83">
        <f t="shared" si="753"/>
        <v>0</v>
      </c>
      <c r="H225" s="83">
        <f t="shared" si="753"/>
        <v>0</v>
      </c>
      <c r="I225" s="83">
        <f t="shared" si="753"/>
        <v>0</v>
      </c>
      <c r="J225" s="83">
        <f t="shared" si="753"/>
        <v>0</v>
      </c>
      <c r="K225" s="83">
        <f t="shared" si="753"/>
        <v>0</v>
      </c>
      <c r="L225" s="83">
        <f t="shared" si="753"/>
        <v>0</v>
      </c>
      <c r="M225" s="83">
        <f t="shared" si="753"/>
        <v>0</v>
      </c>
      <c r="N225" s="83">
        <f t="shared" si="753"/>
        <v>0</v>
      </c>
      <c r="O225" s="83">
        <f t="shared" si="753"/>
        <v>0</v>
      </c>
      <c r="P225" s="83">
        <f t="shared" si="753"/>
        <v>0</v>
      </c>
      <c r="Q225" s="83">
        <f t="shared" si="753"/>
        <v>0</v>
      </c>
      <c r="R225" s="83">
        <f t="shared" si="753"/>
        <v>0</v>
      </c>
      <c r="S225" s="83">
        <f t="shared" si="753"/>
        <v>0</v>
      </c>
      <c r="T225" s="83">
        <f t="shared" si="753"/>
        <v>0</v>
      </c>
      <c r="U225" s="83">
        <f t="shared" si="753"/>
        <v>0</v>
      </c>
      <c r="V225" s="83">
        <f t="shared" si="753"/>
        <v>0</v>
      </c>
      <c r="W225" s="83">
        <f t="shared" si="753"/>
        <v>0</v>
      </c>
    </row>
    <row r="226" spans="3:23" ht="25.5" x14ac:dyDescent="0.25">
      <c r="C226" s="78" t="str">
        <f t="shared" si="746"/>
        <v>CASETA 3</v>
      </c>
      <c r="D226" s="87" t="s">
        <v>49</v>
      </c>
      <c r="E226" s="83">
        <f t="shared" ref="E226:W226" si="754">VLOOKUP(E$168,CST3BY,12,0)</f>
        <v>0.7</v>
      </c>
      <c r="F226" s="83">
        <f t="shared" si="754"/>
        <v>0.7</v>
      </c>
      <c r="G226" s="83">
        <f t="shared" si="754"/>
        <v>1.4</v>
      </c>
      <c r="H226" s="83">
        <f t="shared" si="754"/>
        <v>1.9</v>
      </c>
      <c r="I226" s="83">
        <f t="shared" si="754"/>
        <v>2.1999999999999997</v>
      </c>
      <c r="J226" s="83">
        <f t="shared" si="754"/>
        <v>2.38</v>
      </c>
      <c r="K226" s="83">
        <f t="shared" si="754"/>
        <v>2.56</v>
      </c>
      <c r="L226" s="83">
        <f t="shared" si="754"/>
        <v>2.72</v>
      </c>
      <c r="M226" s="83">
        <f t="shared" si="754"/>
        <v>2.8800000000000003</v>
      </c>
      <c r="N226" s="83">
        <f t="shared" si="754"/>
        <v>3.0400000000000005</v>
      </c>
      <c r="O226" s="83">
        <f t="shared" si="754"/>
        <v>3.2000000000000006</v>
      </c>
      <c r="P226" s="83">
        <f t="shared" si="754"/>
        <v>3.3600000000000008</v>
      </c>
      <c r="Q226" s="83">
        <f t="shared" si="754"/>
        <v>3.5200000000000009</v>
      </c>
      <c r="R226" s="83">
        <f t="shared" si="754"/>
        <v>3.680000000000001</v>
      </c>
      <c r="S226" s="83">
        <f t="shared" si="754"/>
        <v>3.8400000000000012</v>
      </c>
      <c r="T226" s="83">
        <f t="shared" si="754"/>
        <v>4.0000000000000009</v>
      </c>
      <c r="U226" s="83">
        <f t="shared" si="754"/>
        <v>4.160000000000001</v>
      </c>
      <c r="V226" s="83">
        <f t="shared" si="754"/>
        <v>4.3200000000000012</v>
      </c>
      <c r="W226" s="83">
        <f t="shared" si="754"/>
        <v>4.4800000000000013</v>
      </c>
    </row>
    <row r="227" spans="3:23" ht="25.5" x14ac:dyDescent="0.25">
      <c r="C227" s="78" t="str">
        <f t="shared" si="746"/>
        <v>CASETA 3</v>
      </c>
      <c r="D227" s="87" t="s">
        <v>73</v>
      </c>
      <c r="E227" s="83">
        <f t="shared" ref="E227:W227" si="755">VLOOKUP(E$168,CST3BY,13,0)</f>
        <v>0</v>
      </c>
      <c r="F227" s="83">
        <f t="shared" si="755"/>
        <v>0</v>
      </c>
      <c r="G227" s="83">
        <f t="shared" si="755"/>
        <v>0</v>
      </c>
      <c r="H227" s="83">
        <f t="shared" si="755"/>
        <v>0</v>
      </c>
      <c r="I227" s="83">
        <f t="shared" si="755"/>
        <v>0</v>
      </c>
      <c r="J227" s="83">
        <f t="shared" si="755"/>
        <v>0</v>
      </c>
      <c r="K227" s="83">
        <f t="shared" si="755"/>
        <v>0</v>
      </c>
      <c r="L227" s="83">
        <f t="shared" si="755"/>
        <v>0</v>
      </c>
      <c r="M227" s="83">
        <f t="shared" si="755"/>
        <v>0</v>
      </c>
      <c r="N227" s="83">
        <f t="shared" si="755"/>
        <v>0</v>
      </c>
      <c r="O227" s="83">
        <f t="shared" si="755"/>
        <v>0</v>
      </c>
      <c r="P227" s="83">
        <f t="shared" si="755"/>
        <v>0</v>
      </c>
      <c r="Q227" s="83">
        <f t="shared" si="755"/>
        <v>0</v>
      </c>
      <c r="R227" s="83">
        <f t="shared" si="755"/>
        <v>0</v>
      </c>
      <c r="S227" s="83">
        <f t="shared" si="755"/>
        <v>0</v>
      </c>
      <c r="T227" s="83">
        <f t="shared" si="755"/>
        <v>0</v>
      </c>
      <c r="U227" s="83">
        <f t="shared" si="755"/>
        <v>0</v>
      </c>
      <c r="V227" s="83">
        <f t="shared" si="755"/>
        <v>0</v>
      </c>
      <c r="W227" s="83">
        <f t="shared" si="755"/>
        <v>0</v>
      </c>
    </row>
    <row r="228" spans="3:23" x14ac:dyDescent="0.25">
      <c r="C228" s="78" t="str">
        <f t="shared" si="746"/>
        <v>CASETA 3</v>
      </c>
      <c r="D228" s="23" t="s">
        <v>9</v>
      </c>
      <c r="E228" s="83">
        <f t="shared" ref="E228:W228" si="756">VLOOKUP(E$168,CST3BY,14,0)</f>
        <v>0</v>
      </c>
      <c r="F228" s="83">
        <f t="shared" si="756"/>
        <v>0</v>
      </c>
      <c r="G228" s="83">
        <f t="shared" si="756"/>
        <v>0</v>
      </c>
      <c r="H228" s="83">
        <f t="shared" si="756"/>
        <v>0</v>
      </c>
      <c r="I228" s="83">
        <f t="shared" si="756"/>
        <v>0</v>
      </c>
      <c r="J228" s="83">
        <f t="shared" si="756"/>
        <v>0</v>
      </c>
      <c r="K228" s="83">
        <f t="shared" si="756"/>
        <v>0</v>
      </c>
      <c r="L228" s="83">
        <f t="shared" si="756"/>
        <v>0</v>
      </c>
      <c r="M228" s="83">
        <f t="shared" si="756"/>
        <v>0</v>
      </c>
      <c r="N228" s="83">
        <f t="shared" si="756"/>
        <v>0</v>
      </c>
      <c r="O228" s="83">
        <f t="shared" si="756"/>
        <v>0</v>
      </c>
      <c r="P228" s="83">
        <f t="shared" si="756"/>
        <v>0</v>
      </c>
      <c r="Q228" s="83">
        <f t="shared" si="756"/>
        <v>0</v>
      </c>
      <c r="R228" s="83">
        <f t="shared" si="756"/>
        <v>0</v>
      </c>
      <c r="S228" s="83">
        <f t="shared" si="756"/>
        <v>0</v>
      </c>
      <c r="T228" s="83">
        <f t="shared" si="756"/>
        <v>0</v>
      </c>
      <c r="U228" s="83">
        <f t="shared" si="756"/>
        <v>0</v>
      </c>
      <c r="V228" s="83">
        <f t="shared" si="756"/>
        <v>0</v>
      </c>
      <c r="W228" s="83">
        <f t="shared" si="756"/>
        <v>0</v>
      </c>
    </row>
    <row r="229" spans="3:23" ht="25.5" x14ac:dyDescent="0.25">
      <c r="C229" s="78" t="str">
        <f t="shared" si="746"/>
        <v>CASETA 3</v>
      </c>
      <c r="D229" s="86" t="s">
        <v>75</v>
      </c>
      <c r="E229" s="83">
        <f t="shared" ref="E229:W229" si="757">VLOOKUP(E$168,CST3BY,15,0)</f>
        <v>10</v>
      </c>
      <c r="F229" s="83">
        <f t="shared" si="757"/>
        <v>10</v>
      </c>
      <c r="G229" s="83">
        <f t="shared" si="757"/>
        <v>17</v>
      </c>
      <c r="H229" s="83">
        <f t="shared" si="757"/>
        <v>23</v>
      </c>
      <c r="I229" s="83">
        <f t="shared" si="757"/>
        <v>29</v>
      </c>
      <c r="J229" s="83">
        <f t="shared" si="757"/>
        <v>34</v>
      </c>
      <c r="K229" s="83">
        <f t="shared" si="757"/>
        <v>38</v>
      </c>
      <c r="L229" s="83">
        <f t="shared" si="757"/>
        <v>42</v>
      </c>
      <c r="M229" s="83">
        <f t="shared" si="757"/>
        <v>46</v>
      </c>
      <c r="N229" s="83">
        <f t="shared" si="757"/>
        <v>49</v>
      </c>
      <c r="O229" s="83">
        <f t="shared" si="757"/>
        <v>52</v>
      </c>
      <c r="P229" s="83">
        <f t="shared" si="757"/>
        <v>55</v>
      </c>
      <c r="Q229" s="83">
        <f t="shared" si="757"/>
        <v>58</v>
      </c>
      <c r="R229" s="83">
        <f t="shared" si="757"/>
        <v>61</v>
      </c>
      <c r="S229" s="83">
        <f t="shared" si="757"/>
        <v>64</v>
      </c>
      <c r="T229" s="83">
        <f t="shared" si="757"/>
        <v>67</v>
      </c>
      <c r="U229" s="83">
        <f t="shared" si="757"/>
        <v>71</v>
      </c>
      <c r="V229" s="83">
        <f t="shared" si="757"/>
        <v>75</v>
      </c>
      <c r="W229" s="83">
        <f t="shared" si="757"/>
        <v>79</v>
      </c>
    </row>
    <row r="230" spans="3:23" ht="25.5" x14ac:dyDescent="0.25">
      <c r="C230" s="78" t="str">
        <f t="shared" si="746"/>
        <v>CASETA 3</v>
      </c>
      <c r="D230" s="86" t="s">
        <v>62</v>
      </c>
      <c r="E230" s="83">
        <f t="shared" ref="E230:W230" si="758">VLOOKUP(E$168,CST3BY,16,0)</f>
        <v>0</v>
      </c>
      <c r="F230" s="83">
        <f t="shared" si="758"/>
        <v>0</v>
      </c>
      <c r="G230" s="83">
        <f t="shared" si="758"/>
        <v>0</v>
      </c>
      <c r="H230" s="83">
        <f t="shared" si="758"/>
        <v>0</v>
      </c>
      <c r="I230" s="83">
        <f t="shared" si="758"/>
        <v>0</v>
      </c>
      <c r="J230" s="83">
        <f t="shared" si="758"/>
        <v>0</v>
      </c>
      <c r="K230" s="83">
        <f t="shared" si="758"/>
        <v>0</v>
      </c>
      <c r="L230" s="83">
        <f t="shared" si="758"/>
        <v>0</v>
      </c>
      <c r="M230" s="83">
        <f t="shared" si="758"/>
        <v>0</v>
      </c>
      <c r="N230" s="83">
        <f t="shared" si="758"/>
        <v>0</v>
      </c>
      <c r="O230" s="83">
        <f t="shared" si="758"/>
        <v>0</v>
      </c>
      <c r="P230" s="83">
        <f t="shared" si="758"/>
        <v>0</v>
      </c>
      <c r="Q230" s="83">
        <f t="shared" si="758"/>
        <v>0</v>
      </c>
      <c r="R230" s="83">
        <f t="shared" si="758"/>
        <v>0</v>
      </c>
      <c r="S230" s="83">
        <f t="shared" si="758"/>
        <v>0</v>
      </c>
      <c r="T230" s="83">
        <f t="shared" si="758"/>
        <v>0</v>
      </c>
      <c r="U230" s="83">
        <f t="shared" si="758"/>
        <v>0</v>
      </c>
      <c r="V230" s="83">
        <f t="shared" si="758"/>
        <v>0</v>
      </c>
      <c r="W230" s="83">
        <f t="shared" si="758"/>
        <v>0</v>
      </c>
    </row>
    <row r="231" spans="3:23" ht="25.5" x14ac:dyDescent="0.25">
      <c r="C231" s="78" t="str">
        <f t="shared" si="746"/>
        <v>CASETA 3</v>
      </c>
      <c r="D231" s="24" t="s">
        <v>50</v>
      </c>
      <c r="E231" s="83">
        <f t="shared" ref="E231:W231" si="759">VLOOKUP(E$168,CST3BY,17,0)</f>
        <v>0</v>
      </c>
      <c r="F231" s="83">
        <f t="shared" si="759"/>
        <v>0</v>
      </c>
      <c r="G231" s="83">
        <f t="shared" si="759"/>
        <v>0</v>
      </c>
      <c r="H231" s="83">
        <f t="shared" si="759"/>
        <v>0</v>
      </c>
      <c r="I231" s="83">
        <f t="shared" si="759"/>
        <v>0</v>
      </c>
      <c r="J231" s="83">
        <f t="shared" si="759"/>
        <v>0</v>
      </c>
      <c r="K231" s="83">
        <f t="shared" si="759"/>
        <v>0</v>
      </c>
      <c r="L231" s="83">
        <f t="shared" si="759"/>
        <v>0</v>
      </c>
      <c r="M231" s="83">
        <f t="shared" si="759"/>
        <v>0</v>
      </c>
      <c r="N231" s="83">
        <f t="shared" si="759"/>
        <v>0</v>
      </c>
      <c r="O231" s="83">
        <f t="shared" si="759"/>
        <v>0</v>
      </c>
      <c r="P231" s="83">
        <f t="shared" si="759"/>
        <v>0</v>
      </c>
      <c r="Q231" s="83">
        <f t="shared" si="759"/>
        <v>0</v>
      </c>
      <c r="R231" s="83">
        <f t="shared" si="759"/>
        <v>0</v>
      </c>
      <c r="S231" s="83">
        <f t="shared" si="759"/>
        <v>0</v>
      </c>
      <c r="T231" s="83">
        <f t="shared" si="759"/>
        <v>0</v>
      </c>
      <c r="U231" s="83">
        <f t="shared" si="759"/>
        <v>0</v>
      </c>
      <c r="V231" s="83">
        <f t="shared" si="759"/>
        <v>0</v>
      </c>
      <c r="W231" s="83">
        <f t="shared" si="759"/>
        <v>0</v>
      </c>
    </row>
    <row r="232" spans="3:23" x14ac:dyDescent="0.25">
      <c r="C232" s="78" t="str">
        <f t="shared" si="746"/>
        <v>CASETA 3</v>
      </c>
      <c r="D232" s="86" t="s">
        <v>63</v>
      </c>
      <c r="E232" s="83">
        <f t="shared" ref="E232:W232" si="760">VLOOKUP(E$168,CST3BY,18,0)</f>
        <v>40</v>
      </c>
      <c r="F232" s="83">
        <f t="shared" si="760"/>
        <v>70</v>
      </c>
      <c r="G232" s="83">
        <f t="shared" si="760"/>
        <v>120</v>
      </c>
      <c r="H232" s="83">
        <f t="shared" si="760"/>
        <v>185</v>
      </c>
      <c r="I232" s="83">
        <f t="shared" si="760"/>
        <v>255</v>
      </c>
      <c r="J232" s="83">
        <f t="shared" si="760"/>
        <v>334</v>
      </c>
      <c r="K232" s="83">
        <f t="shared" si="760"/>
        <v>425</v>
      </c>
      <c r="L232" s="83">
        <f t="shared" si="760"/>
        <v>524</v>
      </c>
      <c r="M232" s="83">
        <f t="shared" si="760"/>
        <v>618</v>
      </c>
      <c r="N232" s="83">
        <f t="shared" si="760"/>
        <v>712</v>
      </c>
      <c r="O232" s="83">
        <f t="shared" si="760"/>
        <v>802</v>
      </c>
      <c r="P232" s="83">
        <f t="shared" si="760"/>
        <v>880</v>
      </c>
      <c r="Q232" s="83">
        <f t="shared" si="760"/>
        <v>950</v>
      </c>
      <c r="R232" s="83">
        <f t="shared" si="760"/>
        <v>1010</v>
      </c>
      <c r="S232" s="83">
        <f t="shared" si="760"/>
        <v>1065</v>
      </c>
      <c r="T232" s="83">
        <f t="shared" si="760"/>
        <v>1115</v>
      </c>
      <c r="U232" s="83">
        <f t="shared" si="760"/>
        <v>1160</v>
      </c>
      <c r="V232" s="83">
        <f t="shared" si="760"/>
        <v>1207</v>
      </c>
      <c r="W232" s="83">
        <f t="shared" si="760"/>
        <v>1257</v>
      </c>
    </row>
    <row r="233" spans="3:23" x14ac:dyDescent="0.25">
      <c r="C233" s="78" t="str">
        <f t="shared" si="746"/>
        <v>CASETA 3</v>
      </c>
      <c r="D233" s="86" t="s">
        <v>64</v>
      </c>
      <c r="E233" s="83">
        <f t="shared" ref="E233:W233" si="761">VLOOKUP(E$168,CST3BY,19,0)</f>
        <v>0</v>
      </c>
      <c r="F233" s="83">
        <f t="shared" si="761"/>
        <v>0</v>
      </c>
      <c r="G233" s="83">
        <f t="shared" si="761"/>
        <v>0</v>
      </c>
      <c r="H233" s="83">
        <f t="shared" si="761"/>
        <v>0</v>
      </c>
      <c r="I233" s="83">
        <f t="shared" si="761"/>
        <v>0</v>
      </c>
      <c r="J233" s="83">
        <f t="shared" si="761"/>
        <v>0</v>
      </c>
      <c r="K233" s="83">
        <f t="shared" si="761"/>
        <v>0</v>
      </c>
      <c r="L233" s="83">
        <f t="shared" si="761"/>
        <v>0</v>
      </c>
      <c r="M233" s="83">
        <f t="shared" si="761"/>
        <v>0</v>
      </c>
      <c r="N233" s="83">
        <f t="shared" si="761"/>
        <v>0</v>
      </c>
      <c r="O233" s="83">
        <f t="shared" si="761"/>
        <v>0</v>
      </c>
      <c r="P233" s="83">
        <f t="shared" si="761"/>
        <v>0</v>
      </c>
      <c r="Q233" s="83">
        <f t="shared" si="761"/>
        <v>0</v>
      </c>
      <c r="R233" s="83">
        <f t="shared" si="761"/>
        <v>0</v>
      </c>
      <c r="S233" s="83">
        <f t="shared" si="761"/>
        <v>0</v>
      </c>
      <c r="T233" s="83">
        <f t="shared" si="761"/>
        <v>0</v>
      </c>
      <c r="U233" s="83">
        <f t="shared" si="761"/>
        <v>0</v>
      </c>
      <c r="V233" s="83">
        <f t="shared" si="761"/>
        <v>0</v>
      </c>
      <c r="W233" s="83">
        <f t="shared" si="761"/>
        <v>0</v>
      </c>
    </row>
    <row r="234" spans="3:23" x14ac:dyDescent="0.25">
      <c r="C234" s="78" t="str">
        <f t="shared" si="746"/>
        <v>CASETA 3</v>
      </c>
      <c r="D234" s="23" t="s">
        <v>15</v>
      </c>
      <c r="E234" s="83">
        <f t="shared" ref="E234:W234" si="762">VLOOKUP(E$168,CST3BY,20,0)</f>
        <v>40</v>
      </c>
      <c r="F234" s="83">
        <f t="shared" si="762"/>
        <v>70</v>
      </c>
      <c r="G234" s="83">
        <f t="shared" si="762"/>
        <v>120</v>
      </c>
      <c r="H234" s="83">
        <f t="shared" si="762"/>
        <v>185</v>
      </c>
      <c r="I234" s="83">
        <f t="shared" si="762"/>
        <v>255</v>
      </c>
      <c r="J234" s="83">
        <f t="shared" si="762"/>
        <v>334</v>
      </c>
      <c r="K234" s="83">
        <f t="shared" si="762"/>
        <v>425</v>
      </c>
      <c r="L234" s="83">
        <f t="shared" si="762"/>
        <v>524</v>
      </c>
      <c r="M234" s="83">
        <f t="shared" si="762"/>
        <v>618</v>
      </c>
      <c r="N234" s="83">
        <f t="shared" si="762"/>
        <v>712</v>
      </c>
      <c r="O234" s="83">
        <f t="shared" si="762"/>
        <v>802</v>
      </c>
      <c r="P234" s="83">
        <f t="shared" si="762"/>
        <v>880</v>
      </c>
      <c r="Q234" s="83">
        <f t="shared" si="762"/>
        <v>950</v>
      </c>
      <c r="R234" s="83">
        <f t="shared" si="762"/>
        <v>1010</v>
      </c>
      <c r="S234" s="83">
        <f t="shared" si="762"/>
        <v>1065</v>
      </c>
      <c r="T234" s="83">
        <f t="shared" si="762"/>
        <v>1115</v>
      </c>
      <c r="U234" s="83">
        <f t="shared" si="762"/>
        <v>1160</v>
      </c>
      <c r="V234" s="83">
        <f t="shared" si="762"/>
        <v>1207</v>
      </c>
      <c r="W234" s="83">
        <f t="shared" si="762"/>
        <v>1257</v>
      </c>
    </row>
    <row r="235" spans="3:23" ht="25.5" x14ac:dyDescent="0.25">
      <c r="C235" s="78" t="str">
        <f t="shared" si="746"/>
        <v>CASETA 3</v>
      </c>
      <c r="D235" s="86" t="s">
        <v>65</v>
      </c>
      <c r="E235" s="83">
        <f t="shared" ref="E235:W235" si="763">VLOOKUP(E$168,CST3BY,21,0)</f>
        <v>77</v>
      </c>
      <c r="F235" s="83">
        <f t="shared" si="763"/>
        <v>77</v>
      </c>
      <c r="G235" s="83">
        <f t="shared" si="763"/>
        <v>77</v>
      </c>
      <c r="H235" s="83">
        <f t="shared" si="763"/>
        <v>77</v>
      </c>
      <c r="I235" s="83">
        <f t="shared" si="763"/>
        <v>79</v>
      </c>
      <c r="J235" s="83">
        <f t="shared" si="763"/>
        <v>79</v>
      </c>
      <c r="K235" s="83">
        <f t="shared" si="763"/>
        <v>79</v>
      </c>
      <c r="L235" s="83">
        <f t="shared" si="763"/>
        <v>79</v>
      </c>
      <c r="M235" s="83">
        <f t="shared" si="763"/>
        <v>79</v>
      </c>
      <c r="N235" s="83">
        <f t="shared" si="763"/>
        <v>79</v>
      </c>
      <c r="O235" s="83">
        <f t="shared" si="763"/>
        <v>80</v>
      </c>
      <c r="P235" s="83">
        <f t="shared" si="763"/>
        <v>80</v>
      </c>
      <c r="Q235" s="83">
        <f t="shared" si="763"/>
        <v>82</v>
      </c>
      <c r="R235" s="83">
        <f t="shared" si="763"/>
        <v>82</v>
      </c>
      <c r="S235" s="83">
        <f t="shared" si="763"/>
        <v>84</v>
      </c>
      <c r="T235" s="83">
        <f t="shared" si="763"/>
        <v>86</v>
      </c>
      <c r="U235" s="83">
        <f t="shared" si="763"/>
        <v>86</v>
      </c>
      <c r="V235" s="83">
        <f t="shared" si="763"/>
        <v>86</v>
      </c>
      <c r="W235" s="83">
        <f t="shared" si="763"/>
        <v>86</v>
      </c>
    </row>
    <row r="236" spans="3:23" ht="25.5" x14ac:dyDescent="0.25">
      <c r="C236" s="78" t="str">
        <f t="shared" si="746"/>
        <v>CASETA 3</v>
      </c>
      <c r="D236" s="86" t="s">
        <v>66</v>
      </c>
      <c r="E236" s="83">
        <f t="shared" ref="E236:W236" si="764">VLOOKUP(E$168,CST3BY,22,0)</f>
        <v>0</v>
      </c>
      <c r="F236" s="83">
        <f t="shared" si="764"/>
        <v>0</v>
      </c>
      <c r="G236" s="83">
        <f t="shared" si="764"/>
        <v>0</v>
      </c>
      <c r="H236" s="83">
        <f t="shared" si="764"/>
        <v>0</v>
      </c>
      <c r="I236" s="83">
        <f t="shared" si="764"/>
        <v>0</v>
      </c>
      <c r="J236" s="83">
        <f t="shared" si="764"/>
        <v>0</v>
      </c>
      <c r="K236" s="83">
        <f t="shared" si="764"/>
        <v>0</v>
      </c>
      <c r="L236" s="83">
        <f t="shared" si="764"/>
        <v>0</v>
      </c>
      <c r="M236" s="83">
        <f t="shared" si="764"/>
        <v>0</v>
      </c>
      <c r="N236" s="83">
        <f t="shared" si="764"/>
        <v>0</v>
      </c>
      <c r="O236" s="83">
        <f t="shared" si="764"/>
        <v>0</v>
      </c>
      <c r="P236" s="83">
        <f t="shared" si="764"/>
        <v>0</v>
      </c>
      <c r="Q236" s="83">
        <f t="shared" si="764"/>
        <v>0</v>
      </c>
      <c r="R236" s="83">
        <f t="shared" si="764"/>
        <v>0</v>
      </c>
      <c r="S236" s="83">
        <f t="shared" si="764"/>
        <v>0</v>
      </c>
      <c r="T236" s="83">
        <f t="shared" si="764"/>
        <v>0</v>
      </c>
      <c r="U236" s="83">
        <f t="shared" si="764"/>
        <v>0</v>
      </c>
      <c r="V236" s="83">
        <f t="shared" si="764"/>
        <v>0</v>
      </c>
      <c r="W236" s="83">
        <f t="shared" si="764"/>
        <v>0</v>
      </c>
    </row>
    <row r="237" spans="3:23" x14ac:dyDescent="0.25">
      <c r="C237" s="78" t="str">
        <f>C236</f>
        <v>CASETA 3</v>
      </c>
      <c r="D237" s="23" t="s">
        <v>15</v>
      </c>
      <c r="E237" s="85">
        <f>E235-E236</f>
        <v>77</v>
      </c>
      <c r="F237" s="85">
        <f t="shared" ref="F237:W237" si="765">F235-F236</f>
        <v>77</v>
      </c>
      <c r="G237" s="85">
        <f t="shared" si="765"/>
        <v>77</v>
      </c>
      <c r="H237" s="85">
        <f t="shared" si="765"/>
        <v>77</v>
      </c>
      <c r="I237" s="85">
        <f t="shared" si="765"/>
        <v>79</v>
      </c>
      <c r="J237" s="85">
        <f t="shared" si="765"/>
        <v>79</v>
      </c>
      <c r="K237" s="85">
        <f t="shared" si="765"/>
        <v>79</v>
      </c>
      <c r="L237" s="85">
        <f t="shared" si="765"/>
        <v>79</v>
      </c>
      <c r="M237" s="85">
        <f t="shared" si="765"/>
        <v>79</v>
      </c>
      <c r="N237" s="85">
        <f t="shared" si="765"/>
        <v>79</v>
      </c>
      <c r="O237" s="85">
        <f t="shared" si="765"/>
        <v>80</v>
      </c>
      <c r="P237" s="85">
        <f t="shared" si="765"/>
        <v>80</v>
      </c>
      <c r="Q237" s="85">
        <f t="shared" si="765"/>
        <v>82</v>
      </c>
      <c r="R237" s="85">
        <f t="shared" si="765"/>
        <v>82</v>
      </c>
      <c r="S237" s="85">
        <f t="shared" si="765"/>
        <v>84</v>
      </c>
      <c r="T237" s="85">
        <f t="shared" si="765"/>
        <v>86</v>
      </c>
      <c r="U237" s="85">
        <f t="shared" si="765"/>
        <v>86</v>
      </c>
      <c r="V237" s="85">
        <f t="shared" si="765"/>
        <v>86</v>
      </c>
      <c r="W237" s="85">
        <f t="shared" si="765"/>
        <v>86</v>
      </c>
    </row>
    <row r="238" spans="3:23" x14ac:dyDescent="0.25">
      <c r="C238" s="78"/>
      <c r="D238" s="85"/>
      <c r="E238" s="85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</row>
    <row r="239" spans="3:23" x14ac:dyDescent="0.25">
      <c r="C239" s="78"/>
      <c r="D239" s="85"/>
      <c r="E239" s="85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</row>
    <row r="240" spans="3:23" x14ac:dyDescent="0.25">
      <c r="C240" s="78"/>
      <c r="D240" s="85"/>
      <c r="E240" s="85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</row>
    <row r="241" spans="3:23" ht="20.25" customHeight="1" x14ac:dyDescent="0.25">
      <c r="C241" s="77" t="s">
        <v>55</v>
      </c>
      <c r="D241" s="24" t="s">
        <v>67</v>
      </c>
      <c r="E241" s="83">
        <f t="shared" ref="E241:W241" si="766">VLOOKUP(E$168,CST4BY,3,0)</f>
        <v>0</v>
      </c>
      <c r="F241" s="83">
        <f t="shared" si="766"/>
        <v>0</v>
      </c>
      <c r="G241" s="83">
        <f t="shared" si="766"/>
        <v>0</v>
      </c>
      <c r="H241" s="83">
        <f t="shared" si="766"/>
        <v>0</v>
      </c>
      <c r="I241" s="83">
        <f t="shared" si="766"/>
        <v>0</v>
      </c>
      <c r="J241" s="83">
        <f t="shared" si="766"/>
        <v>0</v>
      </c>
      <c r="K241" s="83">
        <f t="shared" si="766"/>
        <v>0</v>
      </c>
      <c r="L241" s="83">
        <f t="shared" si="766"/>
        <v>0</v>
      </c>
      <c r="M241" s="83">
        <f t="shared" si="766"/>
        <v>0</v>
      </c>
      <c r="N241" s="83">
        <f t="shared" si="766"/>
        <v>0</v>
      </c>
      <c r="O241" s="83">
        <f t="shared" si="766"/>
        <v>0</v>
      </c>
      <c r="P241" s="83">
        <f t="shared" si="766"/>
        <v>0</v>
      </c>
      <c r="Q241" s="83">
        <f t="shared" si="766"/>
        <v>0</v>
      </c>
      <c r="R241" s="83">
        <f t="shared" si="766"/>
        <v>0</v>
      </c>
      <c r="S241" s="83">
        <f t="shared" si="766"/>
        <v>0</v>
      </c>
      <c r="T241" s="83">
        <f t="shared" si="766"/>
        <v>0</v>
      </c>
      <c r="U241" s="83">
        <f t="shared" si="766"/>
        <v>0</v>
      </c>
      <c r="V241" s="83">
        <f t="shared" si="766"/>
        <v>0</v>
      </c>
      <c r="W241" s="83">
        <f t="shared" si="766"/>
        <v>0</v>
      </c>
    </row>
    <row r="242" spans="3:23" x14ac:dyDescent="0.25">
      <c r="C242" s="78" t="str">
        <f>C241</f>
        <v>CASETA 4</v>
      </c>
      <c r="D242" s="24" t="s">
        <v>34</v>
      </c>
      <c r="E242" s="83">
        <f t="shared" ref="E242:W242" si="767">VLOOKUP(E$168,CST4BY,4,0)</f>
        <v>0</v>
      </c>
      <c r="F242" s="83">
        <f t="shared" si="767"/>
        <v>0</v>
      </c>
      <c r="G242" s="83">
        <f t="shared" si="767"/>
        <v>0</v>
      </c>
      <c r="H242" s="83">
        <f t="shared" si="767"/>
        <v>0</v>
      </c>
      <c r="I242" s="83">
        <f t="shared" si="767"/>
        <v>0</v>
      </c>
      <c r="J242" s="83">
        <f t="shared" si="767"/>
        <v>0</v>
      </c>
      <c r="K242" s="83">
        <f t="shared" si="767"/>
        <v>0</v>
      </c>
      <c r="L242" s="83">
        <f t="shared" si="767"/>
        <v>0</v>
      </c>
      <c r="M242" s="83">
        <f t="shared" si="767"/>
        <v>0</v>
      </c>
      <c r="N242" s="83">
        <f t="shared" si="767"/>
        <v>0</v>
      </c>
      <c r="O242" s="83">
        <f t="shared" si="767"/>
        <v>0</v>
      </c>
      <c r="P242" s="83">
        <f t="shared" si="767"/>
        <v>0</v>
      </c>
      <c r="Q242" s="83">
        <f t="shared" si="767"/>
        <v>0</v>
      </c>
      <c r="R242" s="83">
        <f t="shared" si="767"/>
        <v>0</v>
      </c>
      <c r="S242" s="83">
        <f t="shared" si="767"/>
        <v>0</v>
      </c>
      <c r="T242" s="83">
        <f t="shared" si="767"/>
        <v>0</v>
      </c>
      <c r="U242" s="83">
        <f t="shared" si="767"/>
        <v>0</v>
      </c>
      <c r="V242" s="83">
        <f t="shared" si="767"/>
        <v>0</v>
      </c>
      <c r="W242" s="83">
        <f t="shared" si="767"/>
        <v>0</v>
      </c>
    </row>
    <row r="243" spans="3:23" x14ac:dyDescent="0.25">
      <c r="C243" s="78" t="str">
        <f t="shared" ref="C243:C260" si="768">C242</f>
        <v>CASETA 4</v>
      </c>
      <c r="D243" s="23" t="s">
        <v>27</v>
      </c>
      <c r="E243" s="83">
        <f t="shared" ref="E243:W243" si="769">VLOOKUP(E$168,CST4BY,5,0)</f>
        <v>0</v>
      </c>
      <c r="F243" s="83">
        <f t="shared" si="769"/>
        <v>0</v>
      </c>
      <c r="G243" s="83">
        <f t="shared" si="769"/>
        <v>0</v>
      </c>
      <c r="H243" s="83">
        <f t="shared" si="769"/>
        <v>0</v>
      </c>
      <c r="I243" s="83">
        <f t="shared" si="769"/>
        <v>0</v>
      </c>
      <c r="J243" s="83">
        <f t="shared" si="769"/>
        <v>0</v>
      </c>
      <c r="K243" s="83">
        <f t="shared" si="769"/>
        <v>0</v>
      </c>
      <c r="L243" s="83">
        <f t="shared" si="769"/>
        <v>0</v>
      </c>
      <c r="M243" s="83">
        <f t="shared" si="769"/>
        <v>0</v>
      </c>
      <c r="N243" s="83">
        <f t="shared" si="769"/>
        <v>0</v>
      </c>
      <c r="O243" s="83">
        <f t="shared" si="769"/>
        <v>0</v>
      </c>
      <c r="P243" s="83">
        <f t="shared" si="769"/>
        <v>0</v>
      </c>
      <c r="Q243" s="83">
        <f t="shared" si="769"/>
        <v>0</v>
      </c>
      <c r="R243" s="83">
        <f t="shared" si="769"/>
        <v>0</v>
      </c>
      <c r="S243" s="83">
        <f t="shared" si="769"/>
        <v>0</v>
      </c>
      <c r="T243" s="83">
        <f t="shared" si="769"/>
        <v>0</v>
      </c>
      <c r="U243" s="83">
        <f t="shared" si="769"/>
        <v>0</v>
      </c>
      <c r="V243" s="83">
        <f t="shared" si="769"/>
        <v>0</v>
      </c>
      <c r="W243" s="83">
        <f t="shared" si="769"/>
        <v>0</v>
      </c>
    </row>
    <row r="244" spans="3:23" x14ac:dyDescent="0.25">
      <c r="C244" s="78" t="str">
        <f t="shared" si="768"/>
        <v>CASETA 4</v>
      </c>
      <c r="D244" s="23" t="s">
        <v>16</v>
      </c>
      <c r="E244" s="83">
        <f t="shared" ref="E244:W244" si="770">VLOOKUP(E$168,CST4BY,6,0)</f>
        <v>0</v>
      </c>
      <c r="F244" s="83">
        <f t="shared" si="770"/>
        <v>0</v>
      </c>
      <c r="G244" s="83">
        <f t="shared" si="770"/>
        <v>0</v>
      </c>
      <c r="H244" s="83">
        <f t="shared" si="770"/>
        <v>0</v>
      </c>
      <c r="I244" s="83">
        <f t="shared" si="770"/>
        <v>0</v>
      </c>
      <c r="J244" s="83">
        <f t="shared" si="770"/>
        <v>0</v>
      </c>
      <c r="K244" s="83">
        <f t="shared" si="770"/>
        <v>0</v>
      </c>
      <c r="L244" s="83">
        <f t="shared" si="770"/>
        <v>0</v>
      </c>
      <c r="M244" s="83">
        <f t="shared" si="770"/>
        <v>0</v>
      </c>
      <c r="N244" s="83">
        <f t="shared" si="770"/>
        <v>0</v>
      </c>
      <c r="O244" s="83">
        <f t="shared" si="770"/>
        <v>0</v>
      </c>
      <c r="P244" s="83">
        <f t="shared" si="770"/>
        <v>0</v>
      </c>
      <c r="Q244" s="83">
        <f t="shared" si="770"/>
        <v>0</v>
      </c>
      <c r="R244" s="83">
        <f t="shared" si="770"/>
        <v>0</v>
      </c>
      <c r="S244" s="83">
        <f t="shared" si="770"/>
        <v>0</v>
      </c>
      <c r="T244" s="83">
        <f t="shared" si="770"/>
        <v>0</v>
      </c>
      <c r="U244" s="83">
        <f t="shared" si="770"/>
        <v>0</v>
      </c>
      <c r="V244" s="83">
        <f t="shared" si="770"/>
        <v>0</v>
      </c>
      <c r="W244" s="83">
        <f t="shared" si="770"/>
        <v>0</v>
      </c>
    </row>
    <row r="245" spans="3:23" x14ac:dyDescent="0.25">
      <c r="C245" s="78" t="str">
        <f t="shared" si="768"/>
        <v>CASETA 4</v>
      </c>
      <c r="D245" s="23" t="s">
        <v>17</v>
      </c>
      <c r="E245" s="83">
        <f t="shared" ref="E245:W245" si="771">VLOOKUP(E$168,CST4BY,7,0)</f>
        <v>0</v>
      </c>
      <c r="F245" s="83">
        <f t="shared" si="771"/>
        <v>0</v>
      </c>
      <c r="G245" s="83">
        <f t="shared" si="771"/>
        <v>0</v>
      </c>
      <c r="H245" s="83">
        <f t="shared" si="771"/>
        <v>0</v>
      </c>
      <c r="I245" s="83">
        <f t="shared" si="771"/>
        <v>0</v>
      </c>
      <c r="J245" s="83">
        <f t="shared" si="771"/>
        <v>0</v>
      </c>
      <c r="K245" s="83">
        <f t="shared" si="771"/>
        <v>0</v>
      </c>
      <c r="L245" s="83">
        <f t="shared" si="771"/>
        <v>0</v>
      </c>
      <c r="M245" s="83">
        <f t="shared" si="771"/>
        <v>0</v>
      </c>
      <c r="N245" s="83">
        <f t="shared" si="771"/>
        <v>0</v>
      </c>
      <c r="O245" s="83">
        <f t="shared" si="771"/>
        <v>0</v>
      </c>
      <c r="P245" s="83">
        <f t="shared" si="771"/>
        <v>0</v>
      </c>
      <c r="Q245" s="83">
        <f t="shared" si="771"/>
        <v>0</v>
      </c>
      <c r="R245" s="83">
        <f t="shared" si="771"/>
        <v>0</v>
      </c>
      <c r="S245" s="83">
        <f t="shared" si="771"/>
        <v>0</v>
      </c>
      <c r="T245" s="83">
        <f t="shared" si="771"/>
        <v>0</v>
      </c>
      <c r="U245" s="83">
        <f t="shared" si="771"/>
        <v>0</v>
      </c>
      <c r="V245" s="83">
        <f t="shared" si="771"/>
        <v>0</v>
      </c>
      <c r="W245" s="83">
        <f t="shared" si="771"/>
        <v>0</v>
      </c>
    </row>
    <row r="246" spans="3:23" x14ac:dyDescent="0.25">
      <c r="C246" s="78" t="str">
        <f t="shared" si="768"/>
        <v>CASETA 4</v>
      </c>
      <c r="D246" s="23" t="s">
        <v>18</v>
      </c>
      <c r="E246" s="85">
        <f>SUM(E243:E245)</f>
        <v>0</v>
      </c>
      <c r="F246" s="85">
        <f>SUM(F243:F245)</f>
        <v>0</v>
      </c>
      <c r="G246" s="85">
        <f t="shared" ref="G246:W246" si="772">SUM(G243:G245)</f>
        <v>0</v>
      </c>
      <c r="H246" s="85">
        <f t="shared" si="772"/>
        <v>0</v>
      </c>
      <c r="I246" s="85">
        <f t="shared" si="772"/>
        <v>0</v>
      </c>
      <c r="J246" s="85">
        <f t="shared" si="772"/>
        <v>0</v>
      </c>
      <c r="K246" s="85">
        <f t="shared" si="772"/>
        <v>0</v>
      </c>
      <c r="L246" s="85">
        <f t="shared" si="772"/>
        <v>0</v>
      </c>
      <c r="M246" s="85">
        <f t="shared" si="772"/>
        <v>0</v>
      </c>
      <c r="N246" s="85">
        <f t="shared" si="772"/>
        <v>0</v>
      </c>
      <c r="O246" s="85">
        <f t="shared" si="772"/>
        <v>0</v>
      </c>
      <c r="P246" s="85">
        <f t="shared" si="772"/>
        <v>0</v>
      </c>
      <c r="Q246" s="85">
        <f t="shared" si="772"/>
        <v>0</v>
      </c>
      <c r="R246" s="85">
        <f t="shared" si="772"/>
        <v>0</v>
      </c>
      <c r="S246" s="85">
        <f t="shared" si="772"/>
        <v>0</v>
      </c>
      <c r="T246" s="85">
        <f t="shared" si="772"/>
        <v>0</v>
      </c>
      <c r="U246" s="85">
        <f t="shared" si="772"/>
        <v>0</v>
      </c>
      <c r="V246" s="85">
        <f t="shared" si="772"/>
        <v>0</v>
      </c>
      <c r="W246" s="85">
        <f t="shared" si="772"/>
        <v>0</v>
      </c>
    </row>
    <row r="247" spans="3:23" x14ac:dyDescent="0.25">
      <c r="C247" s="78" t="str">
        <f t="shared" si="768"/>
        <v>CASETA 4</v>
      </c>
      <c r="D247" s="23" t="s">
        <v>48</v>
      </c>
      <c r="E247" s="83">
        <f t="shared" ref="E247:W247" si="773">VLOOKUP(E$168,CST4BY,9,0)</f>
        <v>0</v>
      </c>
      <c r="F247" s="83">
        <f t="shared" si="773"/>
        <v>0</v>
      </c>
      <c r="G247" s="83">
        <f t="shared" si="773"/>
        <v>0</v>
      </c>
      <c r="H247" s="83">
        <f t="shared" si="773"/>
        <v>0</v>
      </c>
      <c r="I247" s="83">
        <f t="shared" si="773"/>
        <v>0</v>
      </c>
      <c r="J247" s="83">
        <f t="shared" si="773"/>
        <v>0</v>
      </c>
      <c r="K247" s="83">
        <f t="shared" si="773"/>
        <v>0</v>
      </c>
      <c r="L247" s="83">
        <f t="shared" si="773"/>
        <v>0</v>
      </c>
      <c r="M247" s="83">
        <f t="shared" si="773"/>
        <v>0</v>
      </c>
      <c r="N247" s="83">
        <f t="shared" si="773"/>
        <v>0</v>
      </c>
      <c r="O247" s="83">
        <f t="shared" si="773"/>
        <v>0</v>
      </c>
      <c r="P247" s="83">
        <f t="shared" si="773"/>
        <v>0</v>
      </c>
      <c r="Q247" s="83">
        <f t="shared" si="773"/>
        <v>0</v>
      </c>
      <c r="R247" s="83">
        <f t="shared" si="773"/>
        <v>0</v>
      </c>
      <c r="S247" s="83">
        <f t="shared" si="773"/>
        <v>0</v>
      </c>
      <c r="T247" s="83">
        <f t="shared" si="773"/>
        <v>0</v>
      </c>
      <c r="U247" s="83">
        <f t="shared" si="773"/>
        <v>0</v>
      </c>
      <c r="V247" s="83">
        <f t="shared" si="773"/>
        <v>0</v>
      </c>
      <c r="W247" s="83">
        <f t="shared" si="773"/>
        <v>0</v>
      </c>
    </row>
    <row r="248" spans="3:23" x14ac:dyDescent="0.25">
      <c r="C248" s="78" t="str">
        <f t="shared" si="768"/>
        <v>CASETA 4</v>
      </c>
      <c r="D248" s="86" t="s">
        <v>72</v>
      </c>
      <c r="E248" s="83">
        <f t="shared" ref="E248:W248" si="774">VLOOKUP(E$168,CST4BY,10,0)</f>
        <v>0.7</v>
      </c>
      <c r="F248" s="83">
        <f t="shared" si="774"/>
        <v>0.7</v>
      </c>
      <c r="G248" s="83">
        <f t="shared" si="774"/>
        <v>0.7</v>
      </c>
      <c r="H248" s="83">
        <f t="shared" si="774"/>
        <v>0.5</v>
      </c>
      <c r="I248" s="83">
        <f t="shared" si="774"/>
        <v>0.3</v>
      </c>
      <c r="J248" s="83">
        <f t="shared" si="774"/>
        <v>0.18</v>
      </c>
      <c r="K248" s="83">
        <f t="shared" si="774"/>
        <v>0.18</v>
      </c>
      <c r="L248" s="83">
        <f t="shared" si="774"/>
        <v>0.16</v>
      </c>
      <c r="M248" s="83">
        <f t="shared" si="774"/>
        <v>0.16</v>
      </c>
      <c r="N248" s="83">
        <f t="shared" si="774"/>
        <v>0.16</v>
      </c>
      <c r="O248" s="83">
        <f t="shared" si="774"/>
        <v>0.16</v>
      </c>
      <c r="P248" s="83">
        <f t="shared" si="774"/>
        <v>0.16</v>
      </c>
      <c r="Q248" s="83">
        <f t="shared" si="774"/>
        <v>0.16</v>
      </c>
      <c r="R248" s="83">
        <f t="shared" si="774"/>
        <v>0.16</v>
      </c>
      <c r="S248" s="83">
        <f t="shared" si="774"/>
        <v>0.16</v>
      </c>
      <c r="T248" s="83">
        <f t="shared" si="774"/>
        <v>0.16</v>
      </c>
      <c r="U248" s="83">
        <f t="shared" si="774"/>
        <v>0.16</v>
      </c>
      <c r="V248" s="83">
        <f t="shared" si="774"/>
        <v>0.16</v>
      </c>
      <c r="W248" s="83">
        <f t="shared" si="774"/>
        <v>0.16</v>
      </c>
    </row>
    <row r="249" spans="3:23" x14ac:dyDescent="0.25">
      <c r="C249" s="78" t="str">
        <f t="shared" si="768"/>
        <v>CASETA 4</v>
      </c>
      <c r="D249" s="86" t="s">
        <v>74</v>
      </c>
      <c r="E249" s="83">
        <f t="shared" ref="E249:W249" si="775">VLOOKUP(E$168,CST4BY,11,0)</f>
        <v>0</v>
      </c>
      <c r="F249" s="83">
        <f t="shared" si="775"/>
        <v>0</v>
      </c>
      <c r="G249" s="83">
        <f t="shared" si="775"/>
        <v>0</v>
      </c>
      <c r="H249" s="83">
        <f t="shared" si="775"/>
        <v>0</v>
      </c>
      <c r="I249" s="83">
        <f t="shared" si="775"/>
        <v>0</v>
      </c>
      <c r="J249" s="83">
        <f t="shared" si="775"/>
        <v>0</v>
      </c>
      <c r="K249" s="83">
        <f t="shared" si="775"/>
        <v>0</v>
      </c>
      <c r="L249" s="83">
        <f t="shared" si="775"/>
        <v>0</v>
      </c>
      <c r="M249" s="83">
        <f t="shared" si="775"/>
        <v>0</v>
      </c>
      <c r="N249" s="83">
        <f t="shared" si="775"/>
        <v>0</v>
      </c>
      <c r="O249" s="83">
        <f t="shared" si="775"/>
        <v>0</v>
      </c>
      <c r="P249" s="83">
        <f t="shared" si="775"/>
        <v>0</v>
      </c>
      <c r="Q249" s="83">
        <f t="shared" si="775"/>
        <v>0</v>
      </c>
      <c r="R249" s="83">
        <f t="shared" si="775"/>
        <v>0</v>
      </c>
      <c r="S249" s="83">
        <f t="shared" si="775"/>
        <v>0</v>
      </c>
      <c r="T249" s="83">
        <f t="shared" si="775"/>
        <v>0</v>
      </c>
      <c r="U249" s="83">
        <f t="shared" si="775"/>
        <v>0</v>
      </c>
      <c r="V249" s="83">
        <f t="shared" si="775"/>
        <v>0</v>
      </c>
      <c r="W249" s="83">
        <f t="shared" si="775"/>
        <v>0</v>
      </c>
    </row>
    <row r="250" spans="3:23" ht="25.5" x14ac:dyDescent="0.25">
      <c r="C250" s="78" t="str">
        <f t="shared" si="768"/>
        <v>CASETA 4</v>
      </c>
      <c r="D250" s="87" t="s">
        <v>49</v>
      </c>
      <c r="E250" s="83">
        <f t="shared" ref="E250:W250" si="776">VLOOKUP(E$168,CST4BY,12,0)</f>
        <v>0.7</v>
      </c>
      <c r="F250" s="83">
        <f t="shared" si="776"/>
        <v>0.7</v>
      </c>
      <c r="G250" s="83">
        <f t="shared" si="776"/>
        <v>1.4</v>
      </c>
      <c r="H250" s="83">
        <f t="shared" si="776"/>
        <v>1.9</v>
      </c>
      <c r="I250" s="83">
        <f t="shared" si="776"/>
        <v>2.1999999999999997</v>
      </c>
      <c r="J250" s="83">
        <f t="shared" si="776"/>
        <v>2.38</v>
      </c>
      <c r="K250" s="83">
        <f t="shared" si="776"/>
        <v>2.56</v>
      </c>
      <c r="L250" s="83">
        <f t="shared" si="776"/>
        <v>2.72</v>
      </c>
      <c r="M250" s="83">
        <f t="shared" si="776"/>
        <v>2.8800000000000003</v>
      </c>
      <c r="N250" s="83">
        <f t="shared" si="776"/>
        <v>3.0400000000000005</v>
      </c>
      <c r="O250" s="83">
        <f t="shared" si="776"/>
        <v>3.2000000000000006</v>
      </c>
      <c r="P250" s="83">
        <f t="shared" si="776"/>
        <v>3.3600000000000008</v>
      </c>
      <c r="Q250" s="83">
        <f t="shared" si="776"/>
        <v>3.5200000000000009</v>
      </c>
      <c r="R250" s="83">
        <f t="shared" si="776"/>
        <v>3.680000000000001</v>
      </c>
      <c r="S250" s="83">
        <f t="shared" si="776"/>
        <v>3.8400000000000012</v>
      </c>
      <c r="T250" s="83">
        <f t="shared" si="776"/>
        <v>4.0000000000000009</v>
      </c>
      <c r="U250" s="83">
        <f t="shared" si="776"/>
        <v>4.160000000000001</v>
      </c>
      <c r="V250" s="83">
        <f t="shared" si="776"/>
        <v>4.3200000000000012</v>
      </c>
      <c r="W250" s="83">
        <f t="shared" si="776"/>
        <v>4.4800000000000013</v>
      </c>
    </row>
    <row r="251" spans="3:23" ht="25.5" x14ac:dyDescent="0.25">
      <c r="C251" s="78" t="str">
        <f t="shared" si="768"/>
        <v>CASETA 4</v>
      </c>
      <c r="D251" s="87" t="s">
        <v>73</v>
      </c>
      <c r="E251" s="83">
        <f t="shared" ref="E251:W251" si="777">VLOOKUP(E$168,CST4BY,13,0)</f>
        <v>0</v>
      </c>
      <c r="F251" s="83">
        <f t="shared" si="777"/>
        <v>0</v>
      </c>
      <c r="G251" s="83">
        <f t="shared" si="777"/>
        <v>0</v>
      </c>
      <c r="H251" s="83">
        <f t="shared" si="777"/>
        <v>0</v>
      </c>
      <c r="I251" s="83">
        <f t="shared" si="777"/>
        <v>0</v>
      </c>
      <c r="J251" s="83">
        <f t="shared" si="777"/>
        <v>0</v>
      </c>
      <c r="K251" s="83">
        <f t="shared" si="777"/>
        <v>0</v>
      </c>
      <c r="L251" s="83">
        <f t="shared" si="777"/>
        <v>0</v>
      </c>
      <c r="M251" s="83">
        <f t="shared" si="777"/>
        <v>0</v>
      </c>
      <c r="N251" s="83">
        <f t="shared" si="777"/>
        <v>0</v>
      </c>
      <c r="O251" s="83">
        <f t="shared" si="777"/>
        <v>0</v>
      </c>
      <c r="P251" s="83">
        <f t="shared" si="777"/>
        <v>0</v>
      </c>
      <c r="Q251" s="83">
        <f t="shared" si="777"/>
        <v>0</v>
      </c>
      <c r="R251" s="83">
        <f t="shared" si="777"/>
        <v>0</v>
      </c>
      <c r="S251" s="83">
        <f t="shared" si="777"/>
        <v>0</v>
      </c>
      <c r="T251" s="83">
        <f t="shared" si="777"/>
        <v>0</v>
      </c>
      <c r="U251" s="83">
        <f t="shared" si="777"/>
        <v>0</v>
      </c>
      <c r="V251" s="83">
        <f t="shared" si="777"/>
        <v>0</v>
      </c>
      <c r="W251" s="83">
        <f t="shared" si="777"/>
        <v>0</v>
      </c>
    </row>
    <row r="252" spans="3:23" x14ac:dyDescent="0.25">
      <c r="C252" s="78" t="str">
        <f t="shared" si="768"/>
        <v>CASETA 4</v>
      </c>
      <c r="D252" s="23" t="s">
        <v>9</v>
      </c>
      <c r="E252" s="83">
        <f t="shared" ref="E252:W252" si="778">VLOOKUP(E$168,CST4BY,14,0)</f>
        <v>0</v>
      </c>
      <c r="F252" s="83">
        <f t="shared" si="778"/>
        <v>0</v>
      </c>
      <c r="G252" s="83">
        <f t="shared" si="778"/>
        <v>0</v>
      </c>
      <c r="H252" s="83">
        <f t="shared" si="778"/>
        <v>0</v>
      </c>
      <c r="I252" s="83">
        <f t="shared" si="778"/>
        <v>0</v>
      </c>
      <c r="J252" s="83">
        <f t="shared" si="778"/>
        <v>0</v>
      </c>
      <c r="K252" s="83">
        <f t="shared" si="778"/>
        <v>0</v>
      </c>
      <c r="L252" s="83">
        <f t="shared" si="778"/>
        <v>0</v>
      </c>
      <c r="M252" s="83">
        <f t="shared" si="778"/>
        <v>0</v>
      </c>
      <c r="N252" s="83">
        <f t="shared" si="778"/>
        <v>0</v>
      </c>
      <c r="O252" s="83">
        <f t="shared" si="778"/>
        <v>0</v>
      </c>
      <c r="P252" s="83">
        <f t="shared" si="778"/>
        <v>0</v>
      </c>
      <c r="Q252" s="83">
        <f t="shared" si="778"/>
        <v>0</v>
      </c>
      <c r="R252" s="83">
        <f t="shared" si="778"/>
        <v>0</v>
      </c>
      <c r="S252" s="83">
        <f t="shared" si="778"/>
        <v>0</v>
      </c>
      <c r="T252" s="83">
        <f t="shared" si="778"/>
        <v>0</v>
      </c>
      <c r="U252" s="83">
        <f t="shared" si="778"/>
        <v>0</v>
      </c>
      <c r="V252" s="83">
        <f t="shared" si="778"/>
        <v>0</v>
      </c>
      <c r="W252" s="83">
        <f t="shared" si="778"/>
        <v>0</v>
      </c>
    </row>
    <row r="253" spans="3:23" ht="25.5" x14ac:dyDescent="0.25">
      <c r="C253" s="78" t="str">
        <f t="shared" si="768"/>
        <v>CASETA 4</v>
      </c>
      <c r="D253" s="86" t="s">
        <v>75</v>
      </c>
      <c r="E253" s="83">
        <f t="shared" ref="E253:W253" si="779">VLOOKUP(E$168,CST4BY,15,0)</f>
        <v>10</v>
      </c>
      <c r="F253" s="83">
        <f t="shared" si="779"/>
        <v>10</v>
      </c>
      <c r="G253" s="83">
        <f t="shared" si="779"/>
        <v>17</v>
      </c>
      <c r="H253" s="83">
        <f t="shared" si="779"/>
        <v>23</v>
      </c>
      <c r="I253" s="83">
        <f t="shared" si="779"/>
        <v>29</v>
      </c>
      <c r="J253" s="83">
        <f t="shared" si="779"/>
        <v>34</v>
      </c>
      <c r="K253" s="83">
        <f t="shared" si="779"/>
        <v>38</v>
      </c>
      <c r="L253" s="83">
        <f t="shared" si="779"/>
        <v>42</v>
      </c>
      <c r="M253" s="83">
        <f t="shared" si="779"/>
        <v>46</v>
      </c>
      <c r="N253" s="83">
        <f t="shared" si="779"/>
        <v>49</v>
      </c>
      <c r="O253" s="83">
        <f t="shared" si="779"/>
        <v>52</v>
      </c>
      <c r="P253" s="83">
        <f t="shared" si="779"/>
        <v>55</v>
      </c>
      <c r="Q253" s="83">
        <f t="shared" si="779"/>
        <v>58</v>
      </c>
      <c r="R253" s="83">
        <f t="shared" si="779"/>
        <v>61</v>
      </c>
      <c r="S253" s="83">
        <f t="shared" si="779"/>
        <v>64</v>
      </c>
      <c r="T253" s="83">
        <f t="shared" si="779"/>
        <v>67</v>
      </c>
      <c r="U253" s="83">
        <f t="shared" si="779"/>
        <v>71</v>
      </c>
      <c r="V253" s="83">
        <f t="shared" si="779"/>
        <v>75</v>
      </c>
      <c r="W253" s="83">
        <f t="shared" si="779"/>
        <v>79</v>
      </c>
    </row>
    <row r="254" spans="3:23" ht="25.5" x14ac:dyDescent="0.25">
      <c r="C254" s="78" t="str">
        <f t="shared" si="768"/>
        <v>CASETA 4</v>
      </c>
      <c r="D254" s="86" t="s">
        <v>62</v>
      </c>
      <c r="E254" s="83">
        <f t="shared" ref="E254:W254" si="780">VLOOKUP(E$168,CST4BY,16,0)</f>
        <v>0</v>
      </c>
      <c r="F254" s="83">
        <f t="shared" si="780"/>
        <v>0</v>
      </c>
      <c r="G254" s="83">
        <f t="shared" si="780"/>
        <v>0</v>
      </c>
      <c r="H254" s="83">
        <f t="shared" si="780"/>
        <v>0</v>
      </c>
      <c r="I254" s="83">
        <f t="shared" si="780"/>
        <v>0</v>
      </c>
      <c r="J254" s="83">
        <f t="shared" si="780"/>
        <v>0</v>
      </c>
      <c r="K254" s="83">
        <f t="shared" si="780"/>
        <v>0</v>
      </c>
      <c r="L254" s="83">
        <f t="shared" si="780"/>
        <v>0</v>
      </c>
      <c r="M254" s="83">
        <f t="shared" si="780"/>
        <v>0</v>
      </c>
      <c r="N254" s="83">
        <f t="shared" si="780"/>
        <v>0</v>
      </c>
      <c r="O254" s="83">
        <f t="shared" si="780"/>
        <v>0</v>
      </c>
      <c r="P254" s="83">
        <f t="shared" si="780"/>
        <v>0</v>
      </c>
      <c r="Q254" s="83">
        <f t="shared" si="780"/>
        <v>0</v>
      </c>
      <c r="R254" s="83">
        <f t="shared" si="780"/>
        <v>0</v>
      </c>
      <c r="S254" s="83">
        <f t="shared" si="780"/>
        <v>0</v>
      </c>
      <c r="T254" s="83">
        <f t="shared" si="780"/>
        <v>0</v>
      </c>
      <c r="U254" s="83">
        <f t="shared" si="780"/>
        <v>0</v>
      </c>
      <c r="V254" s="83">
        <f t="shared" si="780"/>
        <v>0</v>
      </c>
      <c r="W254" s="83">
        <f t="shared" si="780"/>
        <v>0</v>
      </c>
    </row>
    <row r="255" spans="3:23" ht="25.5" x14ac:dyDescent="0.25">
      <c r="C255" s="78" t="str">
        <f t="shared" si="768"/>
        <v>CASETA 4</v>
      </c>
      <c r="D255" s="24" t="s">
        <v>50</v>
      </c>
      <c r="E255" s="83">
        <f t="shared" ref="E255:W255" si="781">VLOOKUP(E$168,CST4BY,17,0)</f>
        <v>0</v>
      </c>
      <c r="F255" s="83">
        <f t="shared" si="781"/>
        <v>0</v>
      </c>
      <c r="G255" s="83">
        <f t="shared" si="781"/>
        <v>0</v>
      </c>
      <c r="H255" s="83">
        <f t="shared" si="781"/>
        <v>0</v>
      </c>
      <c r="I255" s="83">
        <f t="shared" si="781"/>
        <v>0</v>
      </c>
      <c r="J255" s="83">
        <f t="shared" si="781"/>
        <v>0</v>
      </c>
      <c r="K255" s="83">
        <f t="shared" si="781"/>
        <v>0</v>
      </c>
      <c r="L255" s="83">
        <f t="shared" si="781"/>
        <v>0</v>
      </c>
      <c r="M255" s="83">
        <f t="shared" si="781"/>
        <v>0</v>
      </c>
      <c r="N255" s="83">
        <f t="shared" si="781"/>
        <v>0</v>
      </c>
      <c r="O255" s="83">
        <f t="shared" si="781"/>
        <v>0</v>
      </c>
      <c r="P255" s="83">
        <f t="shared" si="781"/>
        <v>0</v>
      </c>
      <c r="Q255" s="83">
        <f t="shared" si="781"/>
        <v>0</v>
      </c>
      <c r="R255" s="83">
        <f t="shared" si="781"/>
        <v>0</v>
      </c>
      <c r="S255" s="83">
        <f t="shared" si="781"/>
        <v>0</v>
      </c>
      <c r="T255" s="83">
        <f t="shared" si="781"/>
        <v>0</v>
      </c>
      <c r="U255" s="83">
        <f t="shared" si="781"/>
        <v>0</v>
      </c>
      <c r="V255" s="83">
        <f t="shared" si="781"/>
        <v>0</v>
      </c>
      <c r="W255" s="83">
        <f t="shared" si="781"/>
        <v>0</v>
      </c>
    </row>
    <row r="256" spans="3:23" x14ac:dyDescent="0.25">
      <c r="C256" s="78" t="str">
        <f t="shared" si="768"/>
        <v>CASETA 4</v>
      </c>
      <c r="D256" s="86" t="s">
        <v>63</v>
      </c>
      <c r="E256" s="83">
        <f t="shared" ref="E256:W256" si="782">VLOOKUP(E$168,CST4BY,18,0)</f>
        <v>40</v>
      </c>
      <c r="F256" s="83">
        <f t="shared" si="782"/>
        <v>70</v>
      </c>
      <c r="G256" s="83">
        <f t="shared" si="782"/>
        <v>120</v>
      </c>
      <c r="H256" s="83">
        <f t="shared" si="782"/>
        <v>185</v>
      </c>
      <c r="I256" s="83">
        <f t="shared" si="782"/>
        <v>255</v>
      </c>
      <c r="J256" s="83">
        <f t="shared" si="782"/>
        <v>334</v>
      </c>
      <c r="K256" s="83">
        <f t="shared" si="782"/>
        <v>425</v>
      </c>
      <c r="L256" s="83">
        <f t="shared" si="782"/>
        <v>524</v>
      </c>
      <c r="M256" s="83">
        <f t="shared" si="782"/>
        <v>618</v>
      </c>
      <c r="N256" s="83">
        <f t="shared" si="782"/>
        <v>712</v>
      </c>
      <c r="O256" s="83">
        <f t="shared" si="782"/>
        <v>802</v>
      </c>
      <c r="P256" s="83">
        <f t="shared" si="782"/>
        <v>880</v>
      </c>
      <c r="Q256" s="83">
        <f t="shared" si="782"/>
        <v>950</v>
      </c>
      <c r="R256" s="83">
        <f t="shared" si="782"/>
        <v>1010</v>
      </c>
      <c r="S256" s="83">
        <f t="shared" si="782"/>
        <v>1065</v>
      </c>
      <c r="T256" s="83">
        <f t="shared" si="782"/>
        <v>1115</v>
      </c>
      <c r="U256" s="83">
        <f t="shared" si="782"/>
        <v>1160</v>
      </c>
      <c r="V256" s="83">
        <f t="shared" si="782"/>
        <v>1207</v>
      </c>
      <c r="W256" s="83">
        <f t="shared" si="782"/>
        <v>1257</v>
      </c>
    </row>
    <row r="257" spans="3:23" x14ac:dyDescent="0.25">
      <c r="C257" s="78" t="str">
        <f t="shared" si="768"/>
        <v>CASETA 4</v>
      </c>
      <c r="D257" s="86" t="s">
        <v>64</v>
      </c>
      <c r="E257" s="83">
        <f t="shared" ref="E257:W257" si="783">VLOOKUP(E$168,CST4BY,19,0)</f>
        <v>0</v>
      </c>
      <c r="F257" s="83">
        <f t="shared" si="783"/>
        <v>0</v>
      </c>
      <c r="G257" s="83">
        <f t="shared" si="783"/>
        <v>0</v>
      </c>
      <c r="H257" s="83">
        <f t="shared" si="783"/>
        <v>0</v>
      </c>
      <c r="I257" s="83">
        <f t="shared" si="783"/>
        <v>0</v>
      </c>
      <c r="J257" s="83">
        <f t="shared" si="783"/>
        <v>0</v>
      </c>
      <c r="K257" s="83">
        <f t="shared" si="783"/>
        <v>0</v>
      </c>
      <c r="L257" s="83">
        <f t="shared" si="783"/>
        <v>0</v>
      </c>
      <c r="M257" s="83">
        <f t="shared" si="783"/>
        <v>0</v>
      </c>
      <c r="N257" s="83">
        <f t="shared" si="783"/>
        <v>0</v>
      </c>
      <c r="O257" s="83">
        <f t="shared" si="783"/>
        <v>0</v>
      </c>
      <c r="P257" s="83">
        <f t="shared" si="783"/>
        <v>0</v>
      </c>
      <c r="Q257" s="83">
        <f t="shared" si="783"/>
        <v>0</v>
      </c>
      <c r="R257" s="83">
        <f t="shared" si="783"/>
        <v>0</v>
      </c>
      <c r="S257" s="83">
        <f t="shared" si="783"/>
        <v>0</v>
      </c>
      <c r="T257" s="83">
        <f t="shared" si="783"/>
        <v>0</v>
      </c>
      <c r="U257" s="83">
        <f t="shared" si="783"/>
        <v>0</v>
      </c>
      <c r="V257" s="83">
        <f t="shared" si="783"/>
        <v>0</v>
      </c>
      <c r="W257" s="83">
        <f t="shared" si="783"/>
        <v>0</v>
      </c>
    </row>
    <row r="258" spans="3:23" x14ac:dyDescent="0.25">
      <c r="C258" s="78" t="str">
        <f t="shared" si="768"/>
        <v>CASETA 4</v>
      </c>
      <c r="D258" s="23" t="s">
        <v>15</v>
      </c>
      <c r="E258" s="83">
        <f t="shared" ref="E258:W258" si="784">VLOOKUP(E$168,CST4BY,20,0)</f>
        <v>40</v>
      </c>
      <c r="F258" s="83">
        <f t="shared" si="784"/>
        <v>70</v>
      </c>
      <c r="G258" s="83">
        <f t="shared" si="784"/>
        <v>120</v>
      </c>
      <c r="H258" s="83">
        <f t="shared" si="784"/>
        <v>185</v>
      </c>
      <c r="I258" s="83">
        <f t="shared" si="784"/>
        <v>255</v>
      </c>
      <c r="J258" s="83">
        <f t="shared" si="784"/>
        <v>334</v>
      </c>
      <c r="K258" s="83">
        <f t="shared" si="784"/>
        <v>425</v>
      </c>
      <c r="L258" s="83">
        <f t="shared" si="784"/>
        <v>524</v>
      </c>
      <c r="M258" s="83">
        <f t="shared" si="784"/>
        <v>618</v>
      </c>
      <c r="N258" s="83">
        <f t="shared" si="784"/>
        <v>712</v>
      </c>
      <c r="O258" s="83">
        <f t="shared" si="784"/>
        <v>802</v>
      </c>
      <c r="P258" s="83">
        <f t="shared" si="784"/>
        <v>880</v>
      </c>
      <c r="Q258" s="83">
        <f t="shared" si="784"/>
        <v>950</v>
      </c>
      <c r="R258" s="83">
        <f t="shared" si="784"/>
        <v>1010</v>
      </c>
      <c r="S258" s="83">
        <f t="shared" si="784"/>
        <v>1065</v>
      </c>
      <c r="T258" s="83">
        <f t="shared" si="784"/>
        <v>1115</v>
      </c>
      <c r="U258" s="83">
        <f t="shared" si="784"/>
        <v>1160</v>
      </c>
      <c r="V258" s="83">
        <f t="shared" si="784"/>
        <v>1207</v>
      </c>
      <c r="W258" s="83">
        <f t="shared" si="784"/>
        <v>1257</v>
      </c>
    </row>
    <row r="259" spans="3:23" ht="25.5" x14ac:dyDescent="0.25">
      <c r="C259" s="78" t="str">
        <f t="shared" si="768"/>
        <v>CASETA 4</v>
      </c>
      <c r="D259" s="86" t="s">
        <v>65</v>
      </c>
      <c r="E259" s="83">
        <f t="shared" ref="E259:W259" si="785">VLOOKUP(E$168,CST4BY,21,0)</f>
        <v>77</v>
      </c>
      <c r="F259" s="83">
        <f t="shared" si="785"/>
        <v>77</v>
      </c>
      <c r="G259" s="83">
        <f t="shared" si="785"/>
        <v>77</v>
      </c>
      <c r="H259" s="83">
        <f t="shared" si="785"/>
        <v>77</v>
      </c>
      <c r="I259" s="83">
        <f t="shared" si="785"/>
        <v>79</v>
      </c>
      <c r="J259" s="83">
        <f t="shared" si="785"/>
        <v>79</v>
      </c>
      <c r="K259" s="83">
        <f t="shared" si="785"/>
        <v>79</v>
      </c>
      <c r="L259" s="83">
        <f t="shared" si="785"/>
        <v>79</v>
      </c>
      <c r="M259" s="83">
        <f t="shared" si="785"/>
        <v>79</v>
      </c>
      <c r="N259" s="83">
        <f t="shared" si="785"/>
        <v>79</v>
      </c>
      <c r="O259" s="83">
        <f t="shared" si="785"/>
        <v>80</v>
      </c>
      <c r="P259" s="83">
        <f t="shared" si="785"/>
        <v>80</v>
      </c>
      <c r="Q259" s="83">
        <f t="shared" si="785"/>
        <v>82</v>
      </c>
      <c r="R259" s="83">
        <f t="shared" si="785"/>
        <v>82</v>
      </c>
      <c r="S259" s="83">
        <f t="shared" si="785"/>
        <v>84</v>
      </c>
      <c r="T259" s="83">
        <f t="shared" si="785"/>
        <v>86</v>
      </c>
      <c r="U259" s="83">
        <f t="shared" si="785"/>
        <v>86</v>
      </c>
      <c r="V259" s="83">
        <f t="shared" si="785"/>
        <v>86</v>
      </c>
      <c r="W259" s="83">
        <f t="shared" si="785"/>
        <v>86</v>
      </c>
    </row>
    <row r="260" spans="3:23" ht="25.5" x14ac:dyDescent="0.25">
      <c r="C260" s="78" t="str">
        <f t="shared" si="768"/>
        <v>CASETA 4</v>
      </c>
      <c r="D260" s="86" t="s">
        <v>66</v>
      </c>
      <c r="E260" s="83">
        <f t="shared" ref="E260:W260" si="786">VLOOKUP(E$168,CST4BY,22,0)</f>
        <v>0</v>
      </c>
      <c r="F260" s="83">
        <f t="shared" si="786"/>
        <v>0</v>
      </c>
      <c r="G260" s="83">
        <f t="shared" si="786"/>
        <v>0</v>
      </c>
      <c r="H260" s="83">
        <f t="shared" si="786"/>
        <v>0</v>
      </c>
      <c r="I260" s="83">
        <f t="shared" si="786"/>
        <v>0</v>
      </c>
      <c r="J260" s="83">
        <f t="shared" si="786"/>
        <v>0</v>
      </c>
      <c r="K260" s="83">
        <f t="shared" si="786"/>
        <v>0</v>
      </c>
      <c r="L260" s="83">
        <f t="shared" si="786"/>
        <v>0</v>
      </c>
      <c r="M260" s="83">
        <f t="shared" si="786"/>
        <v>0</v>
      </c>
      <c r="N260" s="83">
        <f t="shared" si="786"/>
        <v>0</v>
      </c>
      <c r="O260" s="83">
        <f t="shared" si="786"/>
        <v>0</v>
      </c>
      <c r="P260" s="83">
        <f t="shared" si="786"/>
        <v>0</v>
      </c>
      <c r="Q260" s="83">
        <f t="shared" si="786"/>
        <v>0</v>
      </c>
      <c r="R260" s="83">
        <f t="shared" si="786"/>
        <v>0</v>
      </c>
      <c r="S260" s="83">
        <f t="shared" si="786"/>
        <v>0</v>
      </c>
      <c r="T260" s="83">
        <f t="shared" si="786"/>
        <v>0</v>
      </c>
      <c r="U260" s="83">
        <f t="shared" si="786"/>
        <v>0</v>
      </c>
      <c r="V260" s="83">
        <f t="shared" si="786"/>
        <v>0</v>
      </c>
      <c r="W260" s="83">
        <f t="shared" si="786"/>
        <v>0</v>
      </c>
    </row>
    <row r="261" spans="3:23" x14ac:dyDescent="0.25">
      <c r="C261" s="78" t="str">
        <f>C260</f>
        <v>CASETA 4</v>
      </c>
      <c r="D261" s="23" t="s">
        <v>15</v>
      </c>
      <c r="E261" s="85">
        <f>E259-E260</f>
        <v>77</v>
      </c>
      <c r="F261" s="85">
        <f t="shared" ref="F261:W261" si="787">F259-F260</f>
        <v>77</v>
      </c>
      <c r="G261" s="85">
        <f t="shared" si="787"/>
        <v>77</v>
      </c>
      <c r="H261" s="85">
        <f t="shared" si="787"/>
        <v>77</v>
      </c>
      <c r="I261" s="85">
        <f t="shared" si="787"/>
        <v>79</v>
      </c>
      <c r="J261" s="85">
        <f t="shared" si="787"/>
        <v>79</v>
      </c>
      <c r="K261" s="85">
        <f t="shared" si="787"/>
        <v>79</v>
      </c>
      <c r="L261" s="85">
        <f t="shared" si="787"/>
        <v>79</v>
      </c>
      <c r="M261" s="85">
        <f t="shared" si="787"/>
        <v>79</v>
      </c>
      <c r="N261" s="85">
        <f t="shared" si="787"/>
        <v>79</v>
      </c>
      <c r="O261" s="85">
        <f t="shared" si="787"/>
        <v>80</v>
      </c>
      <c r="P261" s="85">
        <f t="shared" si="787"/>
        <v>80</v>
      </c>
      <c r="Q261" s="85">
        <f t="shared" si="787"/>
        <v>82</v>
      </c>
      <c r="R261" s="85">
        <f t="shared" si="787"/>
        <v>82</v>
      </c>
      <c r="S261" s="85">
        <f t="shared" si="787"/>
        <v>84</v>
      </c>
      <c r="T261" s="85">
        <f t="shared" si="787"/>
        <v>86</v>
      </c>
      <c r="U261" s="85">
        <f t="shared" si="787"/>
        <v>86</v>
      </c>
      <c r="V261" s="85">
        <f t="shared" si="787"/>
        <v>86</v>
      </c>
      <c r="W261" s="85">
        <f t="shared" si="787"/>
        <v>86</v>
      </c>
    </row>
    <row r="262" spans="3:23" x14ac:dyDescent="0.25">
      <c r="C262" s="78"/>
      <c r="D262" s="85"/>
      <c r="E262" s="85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</row>
    <row r="263" spans="3:23" x14ac:dyDescent="0.25">
      <c r="E263" s="1"/>
      <c r="F263" s="316"/>
      <c r="G263" s="316"/>
      <c r="H263" s="316"/>
      <c r="I263" s="316"/>
      <c r="J263" s="316"/>
      <c r="K263" s="316"/>
      <c r="L263" s="316"/>
      <c r="M263" s="316"/>
      <c r="N263" s="316"/>
      <c r="O263" s="316"/>
      <c r="P263" s="316"/>
      <c r="Q263" s="316"/>
      <c r="R263" s="316"/>
      <c r="S263" s="316"/>
      <c r="T263" s="316"/>
      <c r="U263" s="316"/>
      <c r="V263" s="316"/>
      <c r="W263" s="316"/>
    </row>
    <row r="264" spans="3:23" ht="18" customHeight="1" x14ac:dyDescent="0.25">
      <c r="C264" s="77" t="s">
        <v>56</v>
      </c>
      <c r="D264" s="24" t="s">
        <v>67</v>
      </c>
      <c r="E264" s="83">
        <f t="shared" ref="E264:W264" si="788">VLOOKUP(E$168,CST5BY,3,0)</f>
        <v>0</v>
      </c>
      <c r="F264" s="83">
        <f t="shared" si="788"/>
        <v>0</v>
      </c>
      <c r="G264" s="83">
        <f t="shared" si="788"/>
        <v>0</v>
      </c>
      <c r="H264" s="83">
        <f t="shared" si="788"/>
        <v>0</v>
      </c>
      <c r="I264" s="83">
        <f t="shared" si="788"/>
        <v>0</v>
      </c>
      <c r="J264" s="83">
        <f t="shared" si="788"/>
        <v>0</v>
      </c>
      <c r="K264" s="83">
        <f t="shared" si="788"/>
        <v>0</v>
      </c>
      <c r="L264" s="83">
        <f t="shared" si="788"/>
        <v>0</v>
      </c>
      <c r="M264" s="83">
        <f t="shared" si="788"/>
        <v>0</v>
      </c>
      <c r="N264" s="83">
        <f t="shared" si="788"/>
        <v>0</v>
      </c>
      <c r="O264" s="83">
        <f t="shared" si="788"/>
        <v>0</v>
      </c>
      <c r="P264" s="83">
        <f t="shared" si="788"/>
        <v>0</v>
      </c>
      <c r="Q264" s="83">
        <f t="shared" si="788"/>
        <v>0</v>
      </c>
      <c r="R264" s="83">
        <f t="shared" si="788"/>
        <v>0</v>
      </c>
      <c r="S264" s="83">
        <f t="shared" si="788"/>
        <v>0</v>
      </c>
      <c r="T264" s="83">
        <f t="shared" si="788"/>
        <v>0</v>
      </c>
      <c r="U264" s="83">
        <f t="shared" si="788"/>
        <v>0</v>
      </c>
      <c r="V264" s="83">
        <f t="shared" si="788"/>
        <v>0</v>
      </c>
      <c r="W264" s="83">
        <f t="shared" si="788"/>
        <v>0</v>
      </c>
    </row>
    <row r="265" spans="3:23" x14ac:dyDescent="0.25">
      <c r="C265" s="78" t="str">
        <f>C264</f>
        <v>CASETA 5</v>
      </c>
      <c r="D265" s="24" t="s">
        <v>34</v>
      </c>
      <c r="E265" s="83">
        <f>VLOOKUP(E$168,CST5BY,4,0)</f>
        <v>0</v>
      </c>
      <c r="F265" s="83">
        <f t="shared" ref="F265:W265" si="789">VLOOKUP(F$168,CST5BY,4,0)</f>
        <v>0</v>
      </c>
      <c r="G265" s="83">
        <f t="shared" si="789"/>
        <v>0</v>
      </c>
      <c r="H265" s="83">
        <f t="shared" si="789"/>
        <v>0</v>
      </c>
      <c r="I265" s="83">
        <f t="shared" si="789"/>
        <v>0</v>
      </c>
      <c r="J265" s="83">
        <f t="shared" si="789"/>
        <v>0</v>
      </c>
      <c r="K265" s="83">
        <f t="shared" si="789"/>
        <v>0</v>
      </c>
      <c r="L265" s="83">
        <f t="shared" si="789"/>
        <v>0</v>
      </c>
      <c r="M265" s="83">
        <f t="shared" si="789"/>
        <v>0</v>
      </c>
      <c r="N265" s="83">
        <f t="shared" si="789"/>
        <v>0</v>
      </c>
      <c r="O265" s="83">
        <f t="shared" si="789"/>
        <v>0</v>
      </c>
      <c r="P265" s="83">
        <f t="shared" si="789"/>
        <v>0</v>
      </c>
      <c r="Q265" s="83">
        <f t="shared" si="789"/>
        <v>0</v>
      </c>
      <c r="R265" s="83">
        <f t="shared" si="789"/>
        <v>0</v>
      </c>
      <c r="S265" s="83">
        <f t="shared" si="789"/>
        <v>0</v>
      </c>
      <c r="T265" s="83">
        <f t="shared" si="789"/>
        <v>0</v>
      </c>
      <c r="U265" s="83">
        <f t="shared" si="789"/>
        <v>0</v>
      </c>
      <c r="V265" s="83">
        <f t="shared" si="789"/>
        <v>0</v>
      </c>
      <c r="W265" s="83">
        <f t="shared" si="789"/>
        <v>0</v>
      </c>
    </row>
    <row r="266" spans="3:23" x14ac:dyDescent="0.25">
      <c r="C266" s="78" t="str">
        <f t="shared" ref="C266:C284" si="790">C265</f>
        <v>CASETA 5</v>
      </c>
      <c r="D266" s="23" t="s">
        <v>27</v>
      </c>
      <c r="E266" s="83">
        <f t="shared" ref="E266:W266" si="791">VLOOKUP(E$168,CST5BY,5,0)</f>
        <v>0</v>
      </c>
      <c r="F266" s="83">
        <f t="shared" si="791"/>
        <v>0</v>
      </c>
      <c r="G266" s="83">
        <f t="shared" si="791"/>
        <v>0</v>
      </c>
      <c r="H266" s="83">
        <f t="shared" si="791"/>
        <v>0</v>
      </c>
      <c r="I266" s="83">
        <f t="shared" si="791"/>
        <v>0</v>
      </c>
      <c r="J266" s="83">
        <f t="shared" si="791"/>
        <v>0</v>
      </c>
      <c r="K266" s="83">
        <f t="shared" si="791"/>
        <v>0</v>
      </c>
      <c r="L266" s="83">
        <f t="shared" si="791"/>
        <v>0</v>
      </c>
      <c r="M266" s="83">
        <f t="shared" si="791"/>
        <v>0</v>
      </c>
      <c r="N266" s="83">
        <f t="shared" si="791"/>
        <v>0</v>
      </c>
      <c r="O266" s="83">
        <f t="shared" si="791"/>
        <v>0</v>
      </c>
      <c r="P266" s="83">
        <f t="shared" si="791"/>
        <v>0</v>
      </c>
      <c r="Q266" s="83">
        <f t="shared" si="791"/>
        <v>0</v>
      </c>
      <c r="R266" s="83">
        <f t="shared" si="791"/>
        <v>0</v>
      </c>
      <c r="S266" s="83">
        <f t="shared" si="791"/>
        <v>0</v>
      </c>
      <c r="T266" s="83">
        <f t="shared" si="791"/>
        <v>0</v>
      </c>
      <c r="U266" s="83">
        <f t="shared" si="791"/>
        <v>0</v>
      </c>
      <c r="V266" s="83">
        <f t="shared" si="791"/>
        <v>0</v>
      </c>
      <c r="W266" s="83">
        <f t="shared" si="791"/>
        <v>0</v>
      </c>
    </row>
    <row r="267" spans="3:23" x14ac:dyDescent="0.25">
      <c r="C267" s="78" t="str">
        <f t="shared" si="790"/>
        <v>CASETA 5</v>
      </c>
      <c r="D267" s="23" t="s">
        <v>16</v>
      </c>
      <c r="E267" s="83">
        <f t="shared" ref="E267:W267" si="792">VLOOKUP(E$168,CST5BY,6,0)</f>
        <v>0</v>
      </c>
      <c r="F267" s="83">
        <f t="shared" si="792"/>
        <v>0</v>
      </c>
      <c r="G267" s="83">
        <f t="shared" si="792"/>
        <v>0</v>
      </c>
      <c r="H267" s="83">
        <f t="shared" si="792"/>
        <v>0</v>
      </c>
      <c r="I267" s="83">
        <f t="shared" si="792"/>
        <v>0</v>
      </c>
      <c r="J267" s="83">
        <f t="shared" si="792"/>
        <v>0</v>
      </c>
      <c r="K267" s="83">
        <f t="shared" si="792"/>
        <v>0</v>
      </c>
      <c r="L267" s="83">
        <f t="shared" si="792"/>
        <v>0</v>
      </c>
      <c r="M267" s="83">
        <f t="shared" si="792"/>
        <v>0</v>
      </c>
      <c r="N267" s="83">
        <f t="shared" si="792"/>
        <v>0</v>
      </c>
      <c r="O267" s="83">
        <f t="shared" si="792"/>
        <v>0</v>
      </c>
      <c r="P267" s="83">
        <f t="shared" si="792"/>
        <v>0</v>
      </c>
      <c r="Q267" s="83">
        <f t="shared" si="792"/>
        <v>0</v>
      </c>
      <c r="R267" s="83">
        <f t="shared" si="792"/>
        <v>0</v>
      </c>
      <c r="S267" s="83">
        <f t="shared" si="792"/>
        <v>0</v>
      </c>
      <c r="T267" s="83">
        <f t="shared" si="792"/>
        <v>0</v>
      </c>
      <c r="U267" s="83">
        <f t="shared" si="792"/>
        <v>0</v>
      </c>
      <c r="V267" s="83">
        <f t="shared" si="792"/>
        <v>0</v>
      </c>
      <c r="W267" s="83">
        <f t="shared" si="792"/>
        <v>0</v>
      </c>
    </row>
    <row r="268" spans="3:23" x14ac:dyDescent="0.25">
      <c r="C268" s="78" t="str">
        <f t="shared" si="790"/>
        <v>CASETA 5</v>
      </c>
      <c r="D268" s="23" t="s">
        <v>17</v>
      </c>
      <c r="E268" s="83">
        <f t="shared" ref="E268:W268" si="793">VLOOKUP(E$168,CST5BY,7,0)</f>
        <v>0</v>
      </c>
      <c r="F268" s="83">
        <f t="shared" si="793"/>
        <v>0</v>
      </c>
      <c r="G268" s="83">
        <f t="shared" si="793"/>
        <v>0</v>
      </c>
      <c r="H268" s="83">
        <f t="shared" si="793"/>
        <v>0</v>
      </c>
      <c r="I268" s="83">
        <f t="shared" si="793"/>
        <v>0</v>
      </c>
      <c r="J268" s="83">
        <f t="shared" si="793"/>
        <v>0</v>
      </c>
      <c r="K268" s="83">
        <f t="shared" si="793"/>
        <v>0</v>
      </c>
      <c r="L268" s="83">
        <f t="shared" si="793"/>
        <v>0</v>
      </c>
      <c r="M268" s="83">
        <f t="shared" si="793"/>
        <v>0</v>
      </c>
      <c r="N268" s="83">
        <f t="shared" si="793"/>
        <v>0</v>
      </c>
      <c r="O268" s="83">
        <f t="shared" si="793"/>
        <v>0</v>
      </c>
      <c r="P268" s="83">
        <f t="shared" si="793"/>
        <v>0</v>
      </c>
      <c r="Q268" s="83">
        <f t="shared" si="793"/>
        <v>0</v>
      </c>
      <c r="R268" s="83">
        <f t="shared" si="793"/>
        <v>0</v>
      </c>
      <c r="S268" s="83">
        <f t="shared" si="793"/>
        <v>0</v>
      </c>
      <c r="T268" s="83">
        <f t="shared" si="793"/>
        <v>0</v>
      </c>
      <c r="U268" s="83">
        <f t="shared" si="793"/>
        <v>0</v>
      </c>
      <c r="V268" s="83">
        <f t="shared" si="793"/>
        <v>0</v>
      </c>
      <c r="W268" s="83">
        <f t="shared" si="793"/>
        <v>0</v>
      </c>
    </row>
    <row r="269" spans="3:23" x14ac:dyDescent="0.25">
      <c r="C269" s="78" t="str">
        <f t="shared" si="790"/>
        <v>CASETA 5</v>
      </c>
      <c r="D269" s="23" t="s">
        <v>18</v>
      </c>
      <c r="E269" s="83">
        <f t="shared" ref="E269:W269" si="794">VLOOKUP(E$168,CST5BY,8,0)</f>
        <v>0</v>
      </c>
      <c r="F269" s="83">
        <f t="shared" si="794"/>
        <v>0</v>
      </c>
      <c r="G269" s="83">
        <f t="shared" si="794"/>
        <v>0</v>
      </c>
      <c r="H269" s="83">
        <f t="shared" si="794"/>
        <v>0</v>
      </c>
      <c r="I269" s="83">
        <f t="shared" si="794"/>
        <v>0</v>
      </c>
      <c r="J269" s="83">
        <f t="shared" si="794"/>
        <v>0</v>
      </c>
      <c r="K269" s="83">
        <f t="shared" si="794"/>
        <v>0</v>
      </c>
      <c r="L269" s="83">
        <f t="shared" si="794"/>
        <v>0</v>
      </c>
      <c r="M269" s="83">
        <f t="shared" si="794"/>
        <v>0</v>
      </c>
      <c r="N269" s="83">
        <f t="shared" si="794"/>
        <v>0</v>
      </c>
      <c r="O269" s="83">
        <f t="shared" si="794"/>
        <v>0</v>
      </c>
      <c r="P269" s="83">
        <f t="shared" si="794"/>
        <v>0</v>
      </c>
      <c r="Q269" s="83">
        <f t="shared" si="794"/>
        <v>0</v>
      </c>
      <c r="R269" s="83">
        <f t="shared" si="794"/>
        <v>0</v>
      </c>
      <c r="S269" s="83">
        <f t="shared" si="794"/>
        <v>0</v>
      </c>
      <c r="T269" s="83">
        <f t="shared" si="794"/>
        <v>0</v>
      </c>
      <c r="U269" s="83">
        <f t="shared" si="794"/>
        <v>0</v>
      </c>
      <c r="V269" s="83">
        <f t="shared" si="794"/>
        <v>0</v>
      </c>
      <c r="W269" s="83">
        <f t="shared" si="794"/>
        <v>0</v>
      </c>
    </row>
    <row r="270" spans="3:23" x14ac:dyDescent="0.25">
      <c r="C270" s="78" t="str">
        <f t="shared" si="790"/>
        <v>CASETA 5</v>
      </c>
      <c r="D270" s="23" t="s">
        <v>48</v>
      </c>
      <c r="E270" s="83">
        <f t="shared" ref="E270:W270" si="795">VLOOKUP(E$168,CST5BY,9,0)</f>
        <v>0</v>
      </c>
      <c r="F270" s="83">
        <f t="shared" si="795"/>
        <v>0</v>
      </c>
      <c r="G270" s="83">
        <f t="shared" si="795"/>
        <v>0</v>
      </c>
      <c r="H270" s="83">
        <f t="shared" si="795"/>
        <v>0</v>
      </c>
      <c r="I270" s="83">
        <f t="shared" si="795"/>
        <v>0</v>
      </c>
      <c r="J270" s="83">
        <f t="shared" si="795"/>
        <v>0</v>
      </c>
      <c r="K270" s="83">
        <f t="shared" si="795"/>
        <v>0</v>
      </c>
      <c r="L270" s="83">
        <f t="shared" si="795"/>
        <v>0</v>
      </c>
      <c r="M270" s="83">
        <f t="shared" si="795"/>
        <v>0</v>
      </c>
      <c r="N270" s="83">
        <f t="shared" si="795"/>
        <v>0</v>
      </c>
      <c r="O270" s="83">
        <f t="shared" si="795"/>
        <v>0</v>
      </c>
      <c r="P270" s="83">
        <f t="shared" si="795"/>
        <v>0</v>
      </c>
      <c r="Q270" s="83">
        <f t="shared" si="795"/>
        <v>0</v>
      </c>
      <c r="R270" s="83">
        <f t="shared" si="795"/>
        <v>0</v>
      </c>
      <c r="S270" s="83">
        <f t="shared" si="795"/>
        <v>0</v>
      </c>
      <c r="T270" s="83">
        <f t="shared" si="795"/>
        <v>0</v>
      </c>
      <c r="U270" s="83">
        <f t="shared" si="795"/>
        <v>0</v>
      </c>
      <c r="V270" s="83">
        <f t="shared" si="795"/>
        <v>0</v>
      </c>
      <c r="W270" s="83">
        <f t="shared" si="795"/>
        <v>0</v>
      </c>
    </row>
    <row r="271" spans="3:23" x14ac:dyDescent="0.25">
      <c r="C271" s="78" t="str">
        <f t="shared" si="790"/>
        <v>CASETA 5</v>
      </c>
      <c r="D271" s="86" t="s">
        <v>72</v>
      </c>
      <c r="E271" s="83">
        <f t="shared" ref="E271:W271" si="796">VLOOKUP(E$168,CST5BY,10,0)</f>
        <v>0.7</v>
      </c>
      <c r="F271" s="83">
        <f t="shared" si="796"/>
        <v>0.7</v>
      </c>
      <c r="G271" s="83">
        <f t="shared" si="796"/>
        <v>0.7</v>
      </c>
      <c r="H271" s="83">
        <f t="shared" si="796"/>
        <v>0.5</v>
      </c>
      <c r="I271" s="83">
        <f t="shared" si="796"/>
        <v>0.3</v>
      </c>
      <c r="J271" s="83">
        <f t="shared" si="796"/>
        <v>0.18</v>
      </c>
      <c r="K271" s="83">
        <f t="shared" si="796"/>
        <v>0.18</v>
      </c>
      <c r="L271" s="83">
        <f t="shared" si="796"/>
        <v>0.16</v>
      </c>
      <c r="M271" s="83">
        <f t="shared" si="796"/>
        <v>0.16</v>
      </c>
      <c r="N271" s="83">
        <f t="shared" si="796"/>
        <v>0.16</v>
      </c>
      <c r="O271" s="83">
        <f t="shared" si="796"/>
        <v>0.16</v>
      </c>
      <c r="P271" s="83">
        <f t="shared" si="796"/>
        <v>0.16</v>
      </c>
      <c r="Q271" s="83">
        <f t="shared" si="796"/>
        <v>0.16</v>
      </c>
      <c r="R271" s="83">
        <f t="shared" si="796"/>
        <v>0.16</v>
      </c>
      <c r="S271" s="83">
        <f t="shared" si="796"/>
        <v>0.16</v>
      </c>
      <c r="T271" s="83">
        <f t="shared" si="796"/>
        <v>0.16</v>
      </c>
      <c r="U271" s="83">
        <f t="shared" si="796"/>
        <v>0.16</v>
      </c>
      <c r="V271" s="83">
        <f t="shared" si="796"/>
        <v>0.16</v>
      </c>
      <c r="W271" s="83">
        <f t="shared" si="796"/>
        <v>0.16</v>
      </c>
    </row>
    <row r="272" spans="3:23" x14ac:dyDescent="0.25">
      <c r="C272" s="78" t="str">
        <f t="shared" si="790"/>
        <v>CASETA 5</v>
      </c>
      <c r="D272" s="86" t="s">
        <v>74</v>
      </c>
      <c r="E272" s="83">
        <f t="shared" ref="E272:W272" si="797">VLOOKUP(E$168,CST5BY,11,0)</f>
        <v>0</v>
      </c>
      <c r="F272" s="83">
        <f t="shared" si="797"/>
        <v>0</v>
      </c>
      <c r="G272" s="83">
        <f t="shared" si="797"/>
        <v>0</v>
      </c>
      <c r="H272" s="83">
        <f t="shared" si="797"/>
        <v>0</v>
      </c>
      <c r="I272" s="83">
        <f t="shared" si="797"/>
        <v>0</v>
      </c>
      <c r="J272" s="83">
        <f t="shared" si="797"/>
        <v>0</v>
      </c>
      <c r="K272" s="83">
        <f t="shared" si="797"/>
        <v>0</v>
      </c>
      <c r="L272" s="83">
        <f t="shared" si="797"/>
        <v>0</v>
      </c>
      <c r="M272" s="83">
        <f t="shared" si="797"/>
        <v>0</v>
      </c>
      <c r="N272" s="83">
        <f t="shared" si="797"/>
        <v>0</v>
      </c>
      <c r="O272" s="83">
        <f t="shared" si="797"/>
        <v>0</v>
      </c>
      <c r="P272" s="83">
        <f t="shared" si="797"/>
        <v>0</v>
      </c>
      <c r="Q272" s="83">
        <f t="shared" si="797"/>
        <v>0</v>
      </c>
      <c r="R272" s="83">
        <f t="shared" si="797"/>
        <v>0</v>
      </c>
      <c r="S272" s="83">
        <f t="shared" si="797"/>
        <v>0</v>
      </c>
      <c r="T272" s="83">
        <f t="shared" si="797"/>
        <v>0</v>
      </c>
      <c r="U272" s="83">
        <f t="shared" si="797"/>
        <v>0</v>
      </c>
      <c r="V272" s="83">
        <f t="shared" si="797"/>
        <v>0</v>
      </c>
      <c r="W272" s="83">
        <f t="shared" si="797"/>
        <v>0</v>
      </c>
    </row>
    <row r="273" spans="2:50" ht="25.5" x14ac:dyDescent="0.25">
      <c r="C273" s="78" t="str">
        <f t="shared" si="790"/>
        <v>CASETA 5</v>
      </c>
      <c r="D273" s="87" t="s">
        <v>49</v>
      </c>
      <c r="E273" s="83">
        <f t="shared" ref="E273:W273" si="798">VLOOKUP(E$168,CST5BY,12,0)</f>
        <v>0.7</v>
      </c>
      <c r="F273" s="83">
        <f t="shared" si="798"/>
        <v>0.7</v>
      </c>
      <c r="G273" s="83">
        <f t="shared" si="798"/>
        <v>1.4</v>
      </c>
      <c r="H273" s="83">
        <f t="shared" si="798"/>
        <v>1.9</v>
      </c>
      <c r="I273" s="83">
        <f t="shared" si="798"/>
        <v>2.1999999999999997</v>
      </c>
      <c r="J273" s="83">
        <f t="shared" si="798"/>
        <v>2.38</v>
      </c>
      <c r="K273" s="83">
        <f t="shared" si="798"/>
        <v>2.56</v>
      </c>
      <c r="L273" s="83">
        <f t="shared" si="798"/>
        <v>2.72</v>
      </c>
      <c r="M273" s="83">
        <f t="shared" si="798"/>
        <v>2.8800000000000003</v>
      </c>
      <c r="N273" s="83">
        <f t="shared" si="798"/>
        <v>3.0400000000000005</v>
      </c>
      <c r="O273" s="83">
        <f t="shared" si="798"/>
        <v>3.2000000000000006</v>
      </c>
      <c r="P273" s="83">
        <f t="shared" si="798"/>
        <v>3.3600000000000008</v>
      </c>
      <c r="Q273" s="83">
        <f t="shared" si="798"/>
        <v>3.5200000000000009</v>
      </c>
      <c r="R273" s="83">
        <f t="shared" si="798"/>
        <v>3.680000000000001</v>
      </c>
      <c r="S273" s="83">
        <f t="shared" si="798"/>
        <v>3.8400000000000012</v>
      </c>
      <c r="T273" s="83">
        <f t="shared" si="798"/>
        <v>4.0000000000000009</v>
      </c>
      <c r="U273" s="83">
        <f t="shared" si="798"/>
        <v>4.160000000000001</v>
      </c>
      <c r="V273" s="83">
        <f t="shared" si="798"/>
        <v>4.3200000000000012</v>
      </c>
      <c r="W273" s="83">
        <f t="shared" si="798"/>
        <v>4.4800000000000013</v>
      </c>
    </row>
    <row r="274" spans="2:50" ht="25.5" x14ac:dyDescent="0.25">
      <c r="C274" s="78" t="str">
        <f t="shared" si="790"/>
        <v>CASETA 5</v>
      </c>
      <c r="D274" s="87" t="s">
        <v>73</v>
      </c>
      <c r="E274" s="83">
        <f t="shared" ref="E274:W274" si="799">VLOOKUP(E$168,CST5BY,13,0)</f>
        <v>0</v>
      </c>
      <c r="F274" s="83">
        <f t="shared" si="799"/>
        <v>0</v>
      </c>
      <c r="G274" s="83">
        <f t="shared" si="799"/>
        <v>0</v>
      </c>
      <c r="H274" s="83">
        <f t="shared" si="799"/>
        <v>0</v>
      </c>
      <c r="I274" s="83">
        <f t="shared" si="799"/>
        <v>0</v>
      </c>
      <c r="J274" s="83">
        <f t="shared" si="799"/>
        <v>0</v>
      </c>
      <c r="K274" s="83">
        <f t="shared" si="799"/>
        <v>0</v>
      </c>
      <c r="L274" s="83">
        <f t="shared" si="799"/>
        <v>0</v>
      </c>
      <c r="M274" s="83">
        <f t="shared" si="799"/>
        <v>0</v>
      </c>
      <c r="N274" s="83">
        <f t="shared" si="799"/>
        <v>0</v>
      </c>
      <c r="O274" s="83">
        <f t="shared" si="799"/>
        <v>0</v>
      </c>
      <c r="P274" s="83">
        <f t="shared" si="799"/>
        <v>0</v>
      </c>
      <c r="Q274" s="83">
        <f t="shared" si="799"/>
        <v>0</v>
      </c>
      <c r="R274" s="83">
        <f t="shared" si="799"/>
        <v>0</v>
      </c>
      <c r="S274" s="83">
        <f t="shared" si="799"/>
        <v>0</v>
      </c>
      <c r="T274" s="83">
        <f t="shared" si="799"/>
        <v>0</v>
      </c>
      <c r="U274" s="83">
        <f t="shared" si="799"/>
        <v>0</v>
      </c>
      <c r="V274" s="83">
        <f t="shared" si="799"/>
        <v>0</v>
      </c>
      <c r="W274" s="83">
        <f t="shared" si="799"/>
        <v>0</v>
      </c>
    </row>
    <row r="275" spans="2:50" x14ac:dyDescent="0.25">
      <c r="C275" s="78" t="str">
        <f t="shared" si="790"/>
        <v>CASETA 5</v>
      </c>
      <c r="D275" s="23" t="s">
        <v>9</v>
      </c>
      <c r="E275" s="83">
        <f t="shared" ref="E275:W275" si="800">VLOOKUP(E$168,CST5BY,14,0)</f>
        <v>0</v>
      </c>
      <c r="F275" s="83">
        <f t="shared" si="800"/>
        <v>0</v>
      </c>
      <c r="G275" s="83">
        <f t="shared" si="800"/>
        <v>0</v>
      </c>
      <c r="H275" s="83">
        <f t="shared" si="800"/>
        <v>0</v>
      </c>
      <c r="I275" s="83">
        <f t="shared" si="800"/>
        <v>0</v>
      </c>
      <c r="J275" s="83">
        <f t="shared" si="800"/>
        <v>0</v>
      </c>
      <c r="K275" s="83">
        <f t="shared" si="800"/>
        <v>0</v>
      </c>
      <c r="L275" s="83">
        <f t="shared" si="800"/>
        <v>0</v>
      </c>
      <c r="M275" s="83">
        <f t="shared" si="800"/>
        <v>0</v>
      </c>
      <c r="N275" s="83">
        <f t="shared" si="800"/>
        <v>0</v>
      </c>
      <c r="O275" s="83">
        <f t="shared" si="800"/>
        <v>0</v>
      </c>
      <c r="P275" s="83">
        <f t="shared" si="800"/>
        <v>0</v>
      </c>
      <c r="Q275" s="83">
        <f t="shared" si="800"/>
        <v>0</v>
      </c>
      <c r="R275" s="83">
        <f t="shared" si="800"/>
        <v>0</v>
      </c>
      <c r="S275" s="83">
        <f t="shared" si="800"/>
        <v>0</v>
      </c>
      <c r="T275" s="83">
        <f t="shared" si="800"/>
        <v>0</v>
      </c>
      <c r="U275" s="83">
        <f t="shared" si="800"/>
        <v>0</v>
      </c>
      <c r="V275" s="83">
        <f t="shared" si="800"/>
        <v>0</v>
      </c>
      <c r="W275" s="83">
        <f t="shared" si="800"/>
        <v>0</v>
      </c>
    </row>
    <row r="276" spans="2:50" ht="25.5" x14ac:dyDescent="0.25">
      <c r="C276" s="78" t="str">
        <f t="shared" si="790"/>
        <v>CASETA 5</v>
      </c>
      <c r="D276" s="86" t="s">
        <v>75</v>
      </c>
      <c r="E276" s="83">
        <f t="shared" ref="E276:W276" si="801">VLOOKUP(E$168,CST5BY,15,0)</f>
        <v>10</v>
      </c>
      <c r="F276" s="83">
        <f t="shared" si="801"/>
        <v>10</v>
      </c>
      <c r="G276" s="83">
        <f t="shared" si="801"/>
        <v>17</v>
      </c>
      <c r="H276" s="83">
        <f t="shared" si="801"/>
        <v>23</v>
      </c>
      <c r="I276" s="83">
        <f t="shared" si="801"/>
        <v>29</v>
      </c>
      <c r="J276" s="83">
        <f t="shared" si="801"/>
        <v>34</v>
      </c>
      <c r="K276" s="83">
        <f t="shared" si="801"/>
        <v>38</v>
      </c>
      <c r="L276" s="83">
        <f t="shared" si="801"/>
        <v>42</v>
      </c>
      <c r="M276" s="83">
        <f t="shared" si="801"/>
        <v>46</v>
      </c>
      <c r="N276" s="83">
        <f t="shared" si="801"/>
        <v>49</v>
      </c>
      <c r="O276" s="83">
        <f t="shared" si="801"/>
        <v>52</v>
      </c>
      <c r="P276" s="83">
        <f t="shared" si="801"/>
        <v>55</v>
      </c>
      <c r="Q276" s="83">
        <f t="shared" si="801"/>
        <v>58</v>
      </c>
      <c r="R276" s="83">
        <f t="shared" si="801"/>
        <v>61</v>
      </c>
      <c r="S276" s="83">
        <f t="shared" si="801"/>
        <v>64</v>
      </c>
      <c r="T276" s="83">
        <f t="shared" si="801"/>
        <v>67</v>
      </c>
      <c r="U276" s="83">
        <f t="shared" si="801"/>
        <v>71</v>
      </c>
      <c r="V276" s="83">
        <f t="shared" si="801"/>
        <v>75</v>
      </c>
      <c r="W276" s="83">
        <f t="shared" si="801"/>
        <v>79</v>
      </c>
    </row>
    <row r="277" spans="2:50" ht="25.5" x14ac:dyDescent="0.25">
      <c r="C277" s="78" t="str">
        <f t="shared" si="790"/>
        <v>CASETA 5</v>
      </c>
      <c r="D277" s="86" t="s">
        <v>62</v>
      </c>
      <c r="E277" s="83">
        <f t="shared" ref="E277:W277" si="802">VLOOKUP(E$168,CST5BY,16,0)</f>
        <v>0</v>
      </c>
      <c r="F277" s="83">
        <f t="shared" si="802"/>
        <v>0</v>
      </c>
      <c r="G277" s="83">
        <f t="shared" si="802"/>
        <v>0</v>
      </c>
      <c r="H277" s="83">
        <f t="shared" si="802"/>
        <v>0</v>
      </c>
      <c r="I277" s="83">
        <f t="shared" si="802"/>
        <v>0</v>
      </c>
      <c r="J277" s="83">
        <f t="shared" si="802"/>
        <v>0</v>
      </c>
      <c r="K277" s="83">
        <f t="shared" si="802"/>
        <v>0</v>
      </c>
      <c r="L277" s="83">
        <f t="shared" si="802"/>
        <v>0</v>
      </c>
      <c r="M277" s="83">
        <f t="shared" si="802"/>
        <v>0</v>
      </c>
      <c r="N277" s="83">
        <f t="shared" si="802"/>
        <v>0</v>
      </c>
      <c r="O277" s="83">
        <f t="shared" si="802"/>
        <v>0</v>
      </c>
      <c r="P277" s="83">
        <f t="shared" si="802"/>
        <v>0</v>
      </c>
      <c r="Q277" s="83">
        <f t="shared" si="802"/>
        <v>0</v>
      </c>
      <c r="R277" s="83">
        <f t="shared" si="802"/>
        <v>0</v>
      </c>
      <c r="S277" s="83">
        <f t="shared" si="802"/>
        <v>0</v>
      </c>
      <c r="T277" s="83">
        <f t="shared" si="802"/>
        <v>0</v>
      </c>
      <c r="U277" s="83">
        <f t="shared" si="802"/>
        <v>0</v>
      </c>
      <c r="V277" s="83">
        <f t="shared" si="802"/>
        <v>0</v>
      </c>
      <c r="W277" s="83">
        <f t="shared" si="802"/>
        <v>0</v>
      </c>
    </row>
    <row r="278" spans="2:50" ht="25.5" x14ac:dyDescent="0.25">
      <c r="C278" s="78" t="str">
        <f t="shared" si="790"/>
        <v>CASETA 5</v>
      </c>
      <c r="D278" s="24" t="s">
        <v>50</v>
      </c>
      <c r="E278" s="83">
        <f t="shared" ref="E278:W278" si="803">VLOOKUP(E$168,CST5BY,17,0)</f>
        <v>0</v>
      </c>
      <c r="F278" s="83">
        <f t="shared" si="803"/>
        <v>0</v>
      </c>
      <c r="G278" s="83">
        <f t="shared" si="803"/>
        <v>0</v>
      </c>
      <c r="H278" s="83">
        <f t="shared" si="803"/>
        <v>0</v>
      </c>
      <c r="I278" s="83">
        <f t="shared" si="803"/>
        <v>0</v>
      </c>
      <c r="J278" s="83">
        <f t="shared" si="803"/>
        <v>0</v>
      </c>
      <c r="K278" s="83">
        <f t="shared" si="803"/>
        <v>0</v>
      </c>
      <c r="L278" s="83">
        <f t="shared" si="803"/>
        <v>0</v>
      </c>
      <c r="M278" s="83">
        <f t="shared" si="803"/>
        <v>0</v>
      </c>
      <c r="N278" s="83">
        <f t="shared" si="803"/>
        <v>0</v>
      </c>
      <c r="O278" s="83">
        <f t="shared" si="803"/>
        <v>0</v>
      </c>
      <c r="P278" s="83">
        <f t="shared" si="803"/>
        <v>0</v>
      </c>
      <c r="Q278" s="83">
        <f t="shared" si="803"/>
        <v>0</v>
      </c>
      <c r="R278" s="83">
        <f t="shared" si="803"/>
        <v>0</v>
      </c>
      <c r="S278" s="83">
        <f t="shared" si="803"/>
        <v>0</v>
      </c>
      <c r="T278" s="83">
        <f t="shared" si="803"/>
        <v>0</v>
      </c>
      <c r="U278" s="83">
        <f t="shared" si="803"/>
        <v>0</v>
      </c>
      <c r="V278" s="83">
        <f t="shared" si="803"/>
        <v>0</v>
      </c>
      <c r="W278" s="83">
        <f t="shared" si="803"/>
        <v>0</v>
      </c>
    </row>
    <row r="279" spans="2:50" x14ac:dyDescent="0.25">
      <c r="C279" s="78" t="str">
        <f t="shared" si="790"/>
        <v>CASETA 5</v>
      </c>
      <c r="D279" s="86" t="s">
        <v>63</v>
      </c>
      <c r="E279" s="83">
        <f t="shared" ref="E279:W279" si="804">VLOOKUP(E$168,CST5BY,18,0)</f>
        <v>40</v>
      </c>
      <c r="F279" s="83">
        <f t="shared" si="804"/>
        <v>70</v>
      </c>
      <c r="G279" s="83">
        <f t="shared" si="804"/>
        <v>120</v>
      </c>
      <c r="H279" s="83">
        <f t="shared" si="804"/>
        <v>185</v>
      </c>
      <c r="I279" s="83">
        <f t="shared" si="804"/>
        <v>255</v>
      </c>
      <c r="J279" s="83">
        <f t="shared" si="804"/>
        <v>334</v>
      </c>
      <c r="K279" s="83">
        <f t="shared" si="804"/>
        <v>425</v>
      </c>
      <c r="L279" s="83">
        <f t="shared" si="804"/>
        <v>524</v>
      </c>
      <c r="M279" s="83">
        <f t="shared" si="804"/>
        <v>618</v>
      </c>
      <c r="N279" s="83">
        <f t="shared" si="804"/>
        <v>712</v>
      </c>
      <c r="O279" s="83">
        <f t="shared" si="804"/>
        <v>802</v>
      </c>
      <c r="P279" s="83">
        <f t="shared" si="804"/>
        <v>880</v>
      </c>
      <c r="Q279" s="83">
        <f t="shared" si="804"/>
        <v>950</v>
      </c>
      <c r="R279" s="83">
        <f t="shared" si="804"/>
        <v>1010</v>
      </c>
      <c r="S279" s="83">
        <f t="shared" si="804"/>
        <v>1065</v>
      </c>
      <c r="T279" s="83">
        <f t="shared" si="804"/>
        <v>1115</v>
      </c>
      <c r="U279" s="83">
        <f t="shared" si="804"/>
        <v>1160</v>
      </c>
      <c r="V279" s="83">
        <f t="shared" si="804"/>
        <v>1207</v>
      </c>
      <c r="W279" s="83">
        <f t="shared" si="804"/>
        <v>1257</v>
      </c>
    </row>
    <row r="280" spans="2:50" x14ac:dyDescent="0.25">
      <c r="C280" s="78" t="str">
        <f t="shared" si="790"/>
        <v>CASETA 5</v>
      </c>
      <c r="D280" s="86" t="s">
        <v>64</v>
      </c>
      <c r="E280" s="83">
        <f t="shared" ref="E280:W280" si="805">VLOOKUP(E$168,CST5BY,19,0)</f>
        <v>0</v>
      </c>
      <c r="F280" s="83">
        <f t="shared" si="805"/>
        <v>0</v>
      </c>
      <c r="G280" s="83">
        <f t="shared" si="805"/>
        <v>0</v>
      </c>
      <c r="H280" s="83">
        <f t="shared" si="805"/>
        <v>0</v>
      </c>
      <c r="I280" s="83">
        <f t="shared" si="805"/>
        <v>0</v>
      </c>
      <c r="J280" s="83">
        <f t="shared" si="805"/>
        <v>0</v>
      </c>
      <c r="K280" s="83">
        <f t="shared" si="805"/>
        <v>0</v>
      </c>
      <c r="L280" s="83">
        <f t="shared" si="805"/>
        <v>0</v>
      </c>
      <c r="M280" s="83">
        <f t="shared" si="805"/>
        <v>0</v>
      </c>
      <c r="N280" s="83">
        <f t="shared" si="805"/>
        <v>0</v>
      </c>
      <c r="O280" s="83">
        <f t="shared" si="805"/>
        <v>0</v>
      </c>
      <c r="P280" s="83">
        <f t="shared" si="805"/>
        <v>0</v>
      </c>
      <c r="Q280" s="83">
        <f t="shared" si="805"/>
        <v>0</v>
      </c>
      <c r="R280" s="83">
        <f t="shared" si="805"/>
        <v>0</v>
      </c>
      <c r="S280" s="83">
        <f t="shared" si="805"/>
        <v>0</v>
      </c>
      <c r="T280" s="83">
        <f t="shared" si="805"/>
        <v>0</v>
      </c>
      <c r="U280" s="83">
        <f t="shared" si="805"/>
        <v>0</v>
      </c>
      <c r="V280" s="83">
        <f t="shared" si="805"/>
        <v>0</v>
      </c>
      <c r="W280" s="83">
        <f t="shared" si="805"/>
        <v>0</v>
      </c>
    </row>
    <row r="281" spans="2:50" x14ac:dyDescent="0.25">
      <c r="C281" s="78" t="str">
        <f t="shared" si="790"/>
        <v>CASETA 5</v>
      </c>
      <c r="D281" s="23" t="s">
        <v>15</v>
      </c>
      <c r="E281" s="83">
        <f>E279-E280</f>
        <v>40</v>
      </c>
      <c r="F281" s="83">
        <f t="shared" ref="F281:W281" si="806">F279-F280</f>
        <v>70</v>
      </c>
      <c r="G281" s="83">
        <f t="shared" si="806"/>
        <v>120</v>
      </c>
      <c r="H281" s="83">
        <f t="shared" si="806"/>
        <v>185</v>
      </c>
      <c r="I281" s="83">
        <f t="shared" si="806"/>
        <v>255</v>
      </c>
      <c r="J281" s="83">
        <f t="shared" si="806"/>
        <v>334</v>
      </c>
      <c r="K281" s="83">
        <f t="shared" si="806"/>
        <v>425</v>
      </c>
      <c r="L281" s="83">
        <f t="shared" si="806"/>
        <v>524</v>
      </c>
      <c r="M281" s="83">
        <f t="shared" si="806"/>
        <v>618</v>
      </c>
      <c r="N281" s="83">
        <f t="shared" si="806"/>
        <v>712</v>
      </c>
      <c r="O281" s="83">
        <f t="shared" si="806"/>
        <v>802</v>
      </c>
      <c r="P281" s="83">
        <f t="shared" si="806"/>
        <v>880</v>
      </c>
      <c r="Q281" s="83">
        <f t="shared" si="806"/>
        <v>950</v>
      </c>
      <c r="R281" s="83">
        <f t="shared" si="806"/>
        <v>1010</v>
      </c>
      <c r="S281" s="83">
        <f t="shared" si="806"/>
        <v>1065</v>
      </c>
      <c r="T281" s="83">
        <f t="shared" si="806"/>
        <v>1115</v>
      </c>
      <c r="U281" s="83">
        <f t="shared" si="806"/>
        <v>1160</v>
      </c>
      <c r="V281" s="83">
        <f t="shared" si="806"/>
        <v>1207</v>
      </c>
      <c r="W281" s="83">
        <f t="shared" si="806"/>
        <v>1257</v>
      </c>
      <c r="X281" s="83"/>
    </row>
    <row r="282" spans="2:50" ht="25.5" x14ac:dyDescent="0.25">
      <c r="C282" s="78" t="str">
        <f t="shared" si="790"/>
        <v>CASETA 5</v>
      </c>
      <c r="D282" s="86" t="s">
        <v>65</v>
      </c>
      <c r="E282" s="83">
        <f t="shared" ref="E282:W282" si="807">VLOOKUP(E$168,CST5BY,21,0)</f>
        <v>77</v>
      </c>
      <c r="F282" s="83">
        <f t="shared" si="807"/>
        <v>77</v>
      </c>
      <c r="G282" s="83">
        <f t="shared" si="807"/>
        <v>77</v>
      </c>
      <c r="H282" s="83">
        <f t="shared" si="807"/>
        <v>77</v>
      </c>
      <c r="I282" s="83">
        <f t="shared" si="807"/>
        <v>79</v>
      </c>
      <c r="J282" s="83">
        <f t="shared" si="807"/>
        <v>79</v>
      </c>
      <c r="K282" s="83">
        <f t="shared" si="807"/>
        <v>79</v>
      </c>
      <c r="L282" s="83">
        <f t="shared" si="807"/>
        <v>79</v>
      </c>
      <c r="M282" s="83">
        <f t="shared" si="807"/>
        <v>79</v>
      </c>
      <c r="N282" s="83">
        <f t="shared" si="807"/>
        <v>79</v>
      </c>
      <c r="O282" s="83">
        <f t="shared" si="807"/>
        <v>80</v>
      </c>
      <c r="P282" s="83">
        <f t="shared" si="807"/>
        <v>80</v>
      </c>
      <c r="Q282" s="83">
        <f t="shared" si="807"/>
        <v>82</v>
      </c>
      <c r="R282" s="83">
        <f t="shared" si="807"/>
        <v>82</v>
      </c>
      <c r="S282" s="83">
        <f t="shared" si="807"/>
        <v>84</v>
      </c>
      <c r="T282" s="83">
        <f t="shared" si="807"/>
        <v>86</v>
      </c>
      <c r="U282" s="83">
        <f t="shared" si="807"/>
        <v>86</v>
      </c>
      <c r="V282" s="83">
        <f t="shared" si="807"/>
        <v>86</v>
      </c>
      <c r="W282" s="83">
        <f t="shared" si="807"/>
        <v>86</v>
      </c>
    </row>
    <row r="283" spans="2:50" ht="25.5" x14ac:dyDescent="0.25">
      <c r="C283" s="78" t="str">
        <f t="shared" si="790"/>
        <v>CASETA 5</v>
      </c>
      <c r="D283" s="86" t="s">
        <v>66</v>
      </c>
      <c r="E283" s="83">
        <f t="shared" ref="E283:W283" si="808">VLOOKUP(E$168,CST5BY,22,0)</f>
        <v>0</v>
      </c>
      <c r="F283" s="83">
        <f t="shared" si="808"/>
        <v>0</v>
      </c>
      <c r="G283" s="83">
        <f t="shared" si="808"/>
        <v>0</v>
      </c>
      <c r="H283" s="83">
        <f t="shared" si="808"/>
        <v>0</v>
      </c>
      <c r="I283" s="83">
        <f t="shared" si="808"/>
        <v>0</v>
      </c>
      <c r="J283" s="83">
        <f t="shared" si="808"/>
        <v>0</v>
      </c>
      <c r="K283" s="83">
        <f t="shared" si="808"/>
        <v>0</v>
      </c>
      <c r="L283" s="83">
        <f t="shared" si="808"/>
        <v>0</v>
      </c>
      <c r="M283" s="83">
        <f t="shared" si="808"/>
        <v>0</v>
      </c>
      <c r="N283" s="83">
        <f t="shared" si="808"/>
        <v>0</v>
      </c>
      <c r="O283" s="83">
        <f t="shared" si="808"/>
        <v>0</v>
      </c>
      <c r="P283" s="83">
        <f t="shared" si="808"/>
        <v>0</v>
      </c>
      <c r="Q283" s="83">
        <f t="shared" si="808"/>
        <v>0</v>
      </c>
      <c r="R283" s="83">
        <f t="shared" si="808"/>
        <v>0</v>
      </c>
      <c r="S283" s="83">
        <f t="shared" si="808"/>
        <v>0</v>
      </c>
      <c r="T283" s="83">
        <f t="shared" si="808"/>
        <v>0</v>
      </c>
      <c r="U283" s="83">
        <f t="shared" si="808"/>
        <v>0</v>
      </c>
      <c r="V283" s="83">
        <f t="shared" si="808"/>
        <v>0</v>
      </c>
      <c r="W283" s="83">
        <f t="shared" si="808"/>
        <v>0</v>
      </c>
    </row>
    <row r="284" spans="2:50" x14ac:dyDescent="0.25">
      <c r="C284" s="78" t="str">
        <f t="shared" si="790"/>
        <v>CASETA 5</v>
      </c>
      <c r="D284" s="23" t="s">
        <v>15</v>
      </c>
      <c r="E284" s="83">
        <f>E282-E283</f>
        <v>77</v>
      </c>
      <c r="F284" s="83">
        <f t="shared" ref="F284:W284" si="809">F282-F283</f>
        <v>77</v>
      </c>
      <c r="G284" s="83">
        <f t="shared" si="809"/>
        <v>77</v>
      </c>
      <c r="H284" s="83">
        <f t="shared" si="809"/>
        <v>77</v>
      </c>
      <c r="I284" s="83">
        <f t="shared" si="809"/>
        <v>79</v>
      </c>
      <c r="J284" s="83">
        <f t="shared" si="809"/>
        <v>79</v>
      </c>
      <c r="K284" s="83">
        <f t="shared" si="809"/>
        <v>79</v>
      </c>
      <c r="L284" s="83">
        <f t="shared" si="809"/>
        <v>79</v>
      </c>
      <c r="M284" s="83">
        <f t="shared" si="809"/>
        <v>79</v>
      </c>
      <c r="N284" s="83">
        <f t="shared" si="809"/>
        <v>79</v>
      </c>
      <c r="O284" s="83">
        <f t="shared" si="809"/>
        <v>80</v>
      </c>
      <c r="P284" s="83">
        <f t="shared" si="809"/>
        <v>80</v>
      </c>
      <c r="Q284" s="83">
        <f t="shared" si="809"/>
        <v>82</v>
      </c>
      <c r="R284" s="83">
        <f t="shared" si="809"/>
        <v>82</v>
      </c>
      <c r="S284" s="83">
        <f t="shared" si="809"/>
        <v>84</v>
      </c>
      <c r="T284" s="83">
        <f t="shared" si="809"/>
        <v>86</v>
      </c>
      <c r="U284" s="83">
        <f t="shared" si="809"/>
        <v>86</v>
      </c>
      <c r="V284" s="83">
        <f t="shared" si="809"/>
        <v>86</v>
      </c>
      <c r="W284" s="83">
        <f t="shared" si="809"/>
        <v>86</v>
      </c>
    </row>
    <row r="285" spans="2:50" x14ac:dyDescent="0.25">
      <c r="E285" s="1"/>
      <c r="F285" s="316"/>
      <c r="G285" s="316"/>
      <c r="H285" s="316"/>
      <c r="I285" s="316"/>
      <c r="J285" s="316"/>
      <c r="K285" s="316"/>
      <c r="L285" s="316"/>
      <c r="M285" s="316"/>
      <c r="N285" s="316"/>
      <c r="O285" s="316"/>
      <c r="P285" s="316"/>
      <c r="Q285" s="316"/>
      <c r="R285" s="316"/>
      <c r="S285" s="316"/>
      <c r="T285" s="316"/>
      <c r="U285" s="316"/>
      <c r="V285" s="316"/>
      <c r="W285" s="316"/>
    </row>
    <row r="286" spans="2:50" x14ac:dyDescent="0.25">
      <c r="E286" s="1"/>
      <c r="F286" s="316"/>
      <c r="G286" s="316"/>
      <c r="H286" s="316"/>
      <c r="I286" s="316"/>
      <c r="J286" s="316"/>
      <c r="K286" s="316"/>
      <c r="L286" s="316"/>
      <c r="M286" s="316"/>
      <c r="N286" s="316"/>
      <c r="O286" s="316"/>
      <c r="P286" s="316"/>
      <c r="Q286" s="316"/>
      <c r="R286" s="316"/>
      <c r="S286" s="316"/>
      <c r="T286" s="316"/>
      <c r="U286" s="316"/>
      <c r="V286" s="316"/>
      <c r="W286" s="316"/>
    </row>
    <row r="287" spans="2:50" x14ac:dyDescent="0.25">
      <c r="E287" s="1"/>
      <c r="F287" s="316"/>
      <c r="G287" s="316"/>
      <c r="H287" s="316"/>
      <c r="I287" s="316"/>
      <c r="J287" s="316"/>
      <c r="K287" s="316"/>
      <c r="L287" s="316"/>
      <c r="M287" s="316"/>
      <c r="N287" s="316"/>
      <c r="O287" s="316"/>
      <c r="P287" s="316"/>
      <c r="Q287" s="316"/>
      <c r="R287" s="316"/>
      <c r="S287" s="316"/>
      <c r="T287" s="316"/>
      <c r="U287" s="316"/>
      <c r="V287" s="316"/>
      <c r="W287" s="316"/>
    </row>
    <row r="288" spans="2:50" s="81" customFormat="1" x14ac:dyDescent="0.25">
      <c r="B288" s="80"/>
      <c r="C288" s="80"/>
      <c r="D288" s="80"/>
      <c r="E288" s="80"/>
      <c r="F288" s="318"/>
      <c r="G288" s="318"/>
      <c r="H288" s="318"/>
      <c r="I288" s="318"/>
      <c r="J288" s="318"/>
      <c r="K288" s="318"/>
      <c r="L288" s="318"/>
      <c r="M288" s="318"/>
      <c r="N288" s="318"/>
      <c r="O288" s="318"/>
      <c r="P288" s="318"/>
      <c r="Q288" s="318"/>
      <c r="R288" s="318"/>
      <c r="S288" s="318"/>
      <c r="T288" s="318"/>
      <c r="U288" s="318"/>
      <c r="V288" s="318"/>
      <c r="W288" s="318"/>
      <c r="Z288" s="362"/>
      <c r="AA288" s="362"/>
      <c r="AB288" s="362"/>
      <c r="AC288" s="362"/>
      <c r="AD288" s="362"/>
      <c r="AE288" s="362"/>
      <c r="AF288" s="362"/>
      <c r="AG288" s="362"/>
      <c r="AH288" s="362"/>
      <c r="AI288" s="362"/>
      <c r="AJ288" s="362"/>
      <c r="AK288" s="362"/>
      <c r="AL288" s="362"/>
      <c r="AM288" s="362"/>
      <c r="AN288" s="362"/>
      <c r="AO288" s="362"/>
      <c r="AP288" s="362"/>
      <c r="AQ288" s="362"/>
      <c r="AR288" s="362"/>
      <c r="AS288" s="362"/>
      <c r="AT288" s="362"/>
      <c r="AU288" s="362"/>
      <c r="AV288" s="362"/>
      <c r="AW288" s="362"/>
      <c r="AX288" s="362"/>
    </row>
    <row r="289" spans="3:26" x14ac:dyDescent="0.25">
      <c r="E289" s="320">
        <v>0</v>
      </c>
      <c r="F289" s="320">
        <v>1</v>
      </c>
      <c r="G289" s="320">
        <v>2</v>
      </c>
      <c r="H289" s="320">
        <v>3</v>
      </c>
      <c r="I289" s="320">
        <v>4</v>
      </c>
      <c r="J289" s="320">
        <v>5</v>
      </c>
      <c r="K289" s="320">
        <v>6</v>
      </c>
      <c r="L289" s="320">
        <v>7</v>
      </c>
      <c r="M289" s="320">
        <v>8</v>
      </c>
      <c r="N289" s="320">
        <v>9</v>
      </c>
      <c r="O289" s="320">
        <v>10</v>
      </c>
      <c r="P289" s="320">
        <v>11</v>
      </c>
      <c r="Q289" s="320">
        <v>12</v>
      </c>
      <c r="R289" s="320">
        <v>13</v>
      </c>
      <c r="S289" s="320">
        <v>14</v>
      </c>
      <c r="T289" s="320">
        <v>15</v>
      </c>
      <c r="U289" s="320">
        <v>16</v>
      </c>
      <c r="V289" s="320">
        <v>17</v>
      </c>
      <c r="W289" s="320">
        <v>18</v>
      </c>
    </row>
    <row r="290" spans="3:26" ht="24.75" customHeight="1" x14ac:dyDescent="0.25">
      <c r="C290" s="78" t="str">
        <f>VLOOKUP(TABLERO!$M$48,TABLERO!$K$48:$L$55,2,FALSE)</f>
        <v>GENERAL</v>
      </c>
      <c r="D290" s="24" t="s">
        <v>67</v>
      </c>
      <c r="E290" s="83">
        <f>IF($C290="GENERAL",SUMIFS(E$169:E$286,$D$169:$D$286,$D290),SUMIFS(E$169:E$286,$C$169:$C$286,$C290,$D$169:$D$286,$D290))</f>
        <v>0</v>
      </c>
      <c r="F290" s="83">
        <f>IF($C290="GENERAL",SUMIFS(F$169:F$286,$D$169:$D$286,$D290),SUMIFS(F$169:F$286,$C$169:$C$286,$C290,$D$169:$D$286,$D290))</f>
        <v>0</v>
      </c>
      <c r="G290" s="83">
        <f>IF($C290="GENERAL",SUMIFS(G$169:G$286,$D$169:$D$286,$D290),SUMIFS(G$169:G$286,$C$169:$C$286,$C290,$D$169:$D$286,$D290))</f>
        <v>0</v>
      </c>
      <c r="H290" s="83">
        <f t="shared" ref="H290:W296" si="810">IF($C290="GENERAL",SUMIFS(H$169:H$286,$D$169:$D$286,$D290),SUMIFS(H$169:H$286,$C$169:$C$286,$C290,$D$169:$D$286,$D290))</f>
        <v>0</v>
      </c>
      <c r="I290" s="83">
        <f t="shared" si="810"/>
        <v>0</v>
      </c>
      <c r="J290" s="83">
        <f t="shared" si="810"/>
        <v>0</v>
      </c>
      <c r="K290" s="83">
        <f t="shared" si="810"/>
        <v>0</v>
      </c>
      <c r="L290" s="83">
        <f t="shared" si="810"/>
        <v>0</v>
      </c>
      <c r="M290" s="83">
        <f t="shared" si="810"/>
        <v>0</v>
      </c>
      <c r="N290" s="83">
        <f t="shared" si="810"/>
        <v>0</v>
      </c>
      <c r="O290" s="83">
        <f t="shared" si="810"/>
        <v>0</v>
      </c>
      <c r="P290" s="83">
        <f t="shared" si="810"/>
        <v>0</v>
      </c>
      <c r="Q290" s="83">
        <f t="shared" si="810"/>
        <v>0</v>
      </c>
      <c r="R290" s="83">
        <f t="shared" si="810"/>
        <v>0</v>
      </c>
      <c r="S290" s="83">
        <f t="shared" si="810"/>
        <v>0</v>
      </c>
      <c r="T290" s="83">
        <f t="shared" si="810"/>
        <v>0</v>
      </c>
      <c r="U290" s="83">
        <f t="shared" si="810"/>
        <v>0</v>
      </c>
      <c r="V290" s="83">
        <f t="shared" si="810"/>
        <v>0</v>
      </c>
      <c r="W290" s="83">
        <f t="shared" si="810"/>
        <v>0</v>
      </c>
    </row>
    <row r="291" spans="3:26" ht="24.75" customHeight="1" x14ac:dyDescent="0.25">
      <c r="C291" s="78" t="str">
        <f>C290</f>
        <v>GENERAL</v>
      </c>
      <c r="D291" s="24" t="s">
        <v>34</v>
      </c>
      <c r="E291" s="83">
        <f t="shared" ref="E291:N296" si="811">IF($C291="GENERAL",SUMIFS(E$169:E$286,$D$169:$D$286,$D291),SUMIFS(E$169:E$286,$C$169:$C$286,$C291,$D$169:$D$286,$D291))</f>
        <v>0</v>
      </c>
      <c r="F291" s="83">
        <f t="shared" si="811"/>
        <v>0</v>
      </c>
      <c r="G291" s="83">
        <f t="shared" si="811"/>
        <v>0</v>
      </c>
      <c r="H291" s="83">
        <f t="shared" si="811"/>
        <v>0</v>
      </c>
      <c r="I291" s="83">
        <f t="shared" si="811"/>
        <v>0</v>
      </c>
      <c r="J291" s="83">
        <f t="shared" si="811"/>
        <v>0</v>
      </c>
      <c r="K291" s="83">
        <f t="shared" si="811"/>
        <v>0</v>
      </c>
      <c r="L291" s="83">
        <f t="shared" si="811"/>
        <v>0</v>
      </c>
      <c r="M291" s="83">
        <f t="shared" si="811"/>
        <v>0</v>
      </c>
      <c r="N291" s="83">
        <f t="shared" si="811"/>
        <v>0</v>
      </c>
      <c r="O291" s="83">
        <f t="shared" si="810"/>
        <v>0</v>
      </c>
      <c r="P291" s="83">
        <f>IF($C291="GENERAL",SUMIFS(P$169:P$286,$D$169:$D$286,$D291),SUMIFS(P$169:P$286,$C$169:$C$286,$C291,$D$169:$D$286,$D291))</f>
        <v>0</v>
      </c>
      <c r="Q291" s="83">
        <f t="shared" si="810"/>
        <v>0</v>
      </c>
      <c r="R291" s="83">
        <f t="shared" si="810"/>
        <v>0</v>
      </c>
      <c r="S291" s="83">
        <f t="shared" si="810"/>
        <v>0</v>
      </c>
      <c r="T291" s="83">
        <f t="shared" si="810"/>
        <v>0</v>
      </c>
      <c r="U291" s="83">
        <f t="shared" si="810"/>
        <v>0</v>
      </c>
      <c r="V291" s="83">
        <f t="shared" si="810"/>
        <v>0</v>
      </c>
      <c r="W291" s="83">
        <f t="shared" si="810"/>
        <v>0</v>
      </c>
    </row>
    <row r="292" spans="3:26" ht="24.75" customHeight="1" x14ac:dyDescent="0.25">
      <c r="C292" s="78" t="str">
        <f t="shared" ref="C292:C311" si="812">C291</f>
        <v>GENERAL</v>
      </c>
      <c r="D292" s="23" t="s">
        <v>27</v>
      </c>
      <c r="E292" s="83">
        <f>IF($C292="GENERAL",SUMIFS(E$169:E$286,$D$169:$D$286,$D292),SUMIFS(E$169:E$286,$C$169:$C$286,$C292,$D$169:$D$286,$D292))</f>
        <v>0</v>
      </c>
      <c r="F292" s="83">
        <f t="shared" si="811"/>
        <v>0</v>
      </c>
      <c r="G292" s="83">
        <f t="shared" si="811"/>
        <v>0</v>
      </c>
      <c r="H292" s="83">
        <f t="shared" si="811"/>
        <v>0</v>
      </c>
      <c r="I292" s="83">
        <f t="shared" si="811"/>
        <v>0</v>
      </c>
      <c r="J292" s="83">
        <f t="shared" si="811"/>
        <v>0</v>
      </c>
      <c r="K292" s="83">
        <f t="shared" si="811"/>
        <v>0</v>
      </c>
      <c r="L292" s="83">
        <f t="shared" si="811"/>
        <v>0</v>
      </c>
      <c r="M292" s="83">
        <f t="shared" si="811"/>
        <v>0</v>
      </c>
      <c r="N292" s="83">
        <f t="shared" si="811"/>
        <v>0</v>
      </c>
      <c r="O292" s="83">
        <f t="shared" si="810"/>
        <v>0</v>
      </c>
      <c r="P292" s="83">
        <f t="shared" si="810"/>
        <v>0</v>
      </c>
      <c r="Q292" s="83">
        <f t="shared" si="810"/>
        <v>0</v>
      </c>
      <c r="R292" s="83">
        <f t="shared" si="810"/>
        <v>0</v>
      </c>
      <c r="S292" s="83">
        <f t="shared" si="810"/>
        <v>0</v>
      </c>
      <c r="T292" s="83">
        <f t="shared" si="810"/>
        <v>0</v>
      </c>
      <c r="U292" s="83">
        <f t="shared" si="810"/>
        <v>0</v>
      </c>
      <c r="V292" s="83">
        <f t="shared" si="810"/>
        <v>0</v>
      </c>
      <c r="W292" s="83">
        <f t="shared" si="810"/>
        <v>0</v>
      </c>
    </row>
    <row r="293" spans="3:26" ht="24.75" customHeight="1" x14ac:dyDescent="0.25">
      <c r="C293" s="78" t="str">
        <f t="shared" si="812"/>
        <v>GENERAL</v>
      </c>
      <c r="D293" s="23" t="s">
        <v>16</v>
      </c>
      <c r="E293" s="83">
        <f t="shared" si="811"/>
        <v>0</v>
      </c>
      <c r="F293" s="83">
        <f t="shared" si="811"/>
        <v>0</v>
      </c>
      <c r="G293" s="83">
        <f>IF($C293="GENERAL",SUMIFS(G$169:G$286,$D$169:$D$286,$D293),SUMIFS(G$169:G$286,$C$169:$C$286,$C293,$D$169:$D$286,$D293))</f>
        <v>0</v>
      </c>
      <c r="H293" s="83">
        <f t="shared" si="811"/>
        <v>0</v>
      </c>
      <c r="I293" s="83">
        <f t="shared" si="811"/>
        <v>0</v>
      </c>
      <c r="J293" s="83">
        <f t="shared" si="811"/>
        <v>0</v>
      </c>
      <c r="K293" s="83">
        <f t="shared" si="811"/>
        <v>0</v>
      </c>
      <c r="L293" s="83">
        <f t="shared" si="811"/>
        <v>0</v>
      </c>
      <c r="M293" s="83">
        <f t="shared" si="811"/>
        <v>0</v>
      </c>
      <c r="N293" s="83">
        <f t="shared" si="811"/>
        <v>0</v>
      </c>
      <c r="O293" s="83">
        <f t="shared" si="810"/>
        <v>0</v>
      </c>
      <c r="P293" s="83">
        <f t="shared" si="810"/>
        <v>0</v>
      </c>
      <c r="Q293" s="83">
        <f t="shared" si="810"/>
        <v>0</v>
      </c>
      <c r="R293" s="83">
        <f t="shared" si="810"/>
        <v>0</v>
      </c>
      <c r="S293" s="83">
        <f t="shared" si="810"/>
        <v>0</v>
      </c>
      <c r="T293" s="83">
        <f t="shared" si="810"/>
        <v>0</v>
      </c>
      <c r="U293" s="83">
        <f t="shared" si="810"/>
        <v>0</v>
      </c>
      <c r="V293" s="83">
        <f t="shared" si="810"/>
        <v>0</v>
      </c>
      <c r="W293" s="83">
        <f t="shared" si="810"/>
        <v>0</v>
      </c>
    </row>
    <row r="294" spans="3:26" ht="24.75" customHeight="1" x14ac:dyDescent="0.25">
      <c r="C294" s="78" t="str">
        <f t="shared" si="812"/>
        <v>GENERAL</v>
      </c>
      <c r="D294" s="23" t="s">
        <v>17</v>
      </c>
      <c r="E294" s="83">
        <f t="shared" si="811"/>
        <v>0</v>
      </c>
      <c r="F294" s="83">
        <f t="shared" si="811"/>
        <v>0</v>
      </c>
      <c r="G294" s="83">
        <f t="shared" si="811"/>
        <v>0</v>
      </c>
      <c r="H294" s="83">
        <f t="shared" si="811"/>
        <v>0</v>
      </c>
      <c r="I294" s="83">
        <f t="shared" si="811"/>
        <v>0</v>
      </c>
      <c r="J294" s="83">
        <f t="shared" si="811"/>
        <v>0</v>
      </c>
      <c r="K294" s="83">
        <f t="shared" si="811"/>
        <v>0</v>
      </c>
      <c r="L294" s="83">
        <f>IF($C294="GENERAL",SUMIFS(L$169:L$286,$D$169:$D$286,$D294),SUMIFS(L$169:L$286,$C$169:$C$286,$C294,$D$169:$D$286,$D294))</f>
        <v>0</v>
      </c>
      <c r="M294" s="83">
        <f t="shared" si="811"/>
        <v>0</v>
      </c>
      <c r="N294" s="83">
        <f t="shared" si="811"/>
        <v>0</v>
      </c>
      <c r="O294" s="83">
        <f t="shared" si="810"/>
        <v>0</v>
      </c>
      <c r="P294" s="83">
        <f t="shared" si="810"/>
        <v>0</v>
      </c>
      <c r="Q294" s="83">
        <f t="shared" si="810"/>
        <v>0</v>
      </c>
      <c r="R294" s="83">
        <f t="shared" si="810"/>
        <v>0</v>
      </c>
      <c r="S294" s="83">
        <f t="shared" si="810"/>
        <v>0</v>
      </c>
      <c r="T294" s="83">
        <f t="shared" si="810"/>
        <v>0</v>
      </c>
      <c r="U294" s="83">
        <f t="shared" si="810"/>
        <v>0</v>
      </c>
      <c r="V294" s="83">
        <f t="shared" si="810"/>
        <v>0</v>
      </c>
      <c r="W294" s="83">
        <f t="shared" si="810"/>
        <v>0</v>
      </c>
    </row>
    <row r="295" spans="3:26" ht="24.75" customHeight="1" x14ac:dyDescent="0.25">
      <c r="C295" s="78" t="str">
        <f t="shared" si="812"/>
        <v>GENERAL</v>
      </c>
      <c r="D295" s="23" t="s">
        <v>18</v>
      </c>
      <c r="E295" s="83">
        <f>IF($C295="GENERAL",SUMIFS(E$169:E$286,$D$169:$D$286,$D295),SUMIFS(E$169:E$286,$C$169:$C$286,$C295,$D$169:$D$286,$D295))</f>
        <v>0</v>
      </c>
      <c r="F295" s="83">
        <f t="shared" si="811"/>
        <v>0</v>
      </c>
      <c r="G295" s="83">
        <f t="shared" si="811"/>
        <v>0</v>
      </c>
      <c r="H295" s="83">
        <f t="shared" si="811"/>
        <v>0</v>
      </c>
      <c r="I295" s="83">
        <f t="shared" si="811"/>
        <v>0</v>
      </c>
      <c r="J295" s="83">
        <f t="shared" si="811"/>
        <v>0</v>
      </c>
      <c r="K295" s="83">
        <f t="shared" si="811"/>
        <v>0</v>
      </c>
      <c r="L295" s="83">
        <f t="shared" si="811"/>
        <v>0</v>
      </c>
      <c r="M295" s="83">
        <f t="shared" si="811"/>
        <v>0</v>
      </c>
      <c r="N295" s="83">
        <f t="shared" si="811"/>
        <v>0</v>
      </c>
      <c r="O295" s="83">
        <f t="shared" si="810"/>
        <v>0</v>
      </c>
      <c r="P295" s="83">
        <f t="shared" si="810"/>
        <v>0</v>
      </c>
      <c r="Q295" s="83">
        <f t="shared" si="810"/>
        <v>0</v>
      </c>
      <c r="R295" s="83">
        <f t="shared" si="810"/>
        <v>0</v>
      </c>
      <c r="S295" s="83">
        <f t="shared" si="810"/>
        <v>0</v>
      </c>
      <c r="T295" s="83">
        <f t="shared" si="810"/>
        <v>0</v>
      </c>
      <c r="U295" s="83">
        <f t="shared" si="810"/>
        <v>0</v>
      </c>
      <c r="V295" s="83">
        <f t="shared" si="810"/>
        <v>0</v>
      </c>
      <c r="W295" s="83">
        <f t="shared" si="810"/>
        <v>0</v>
      </c>
    </row>
    <row r="296" spans="3:26" ht="24.75" customHeight="1" x14ac:dyDescent="0.25">
      <c r="C296" s="78" t="str">
        <f t="shared" si="812"/>
        <v>GENERAL</v>
      </c>
      <c r="D296" s="23" t="s">
        <v>48</v>
      </c>
      <c r="E296" s="83">
        <f>IF($C296="GENERAL",SUMIFS(E$169:E$286,$D$169:$D$286,$D296),SUMIFS(E$169:E$286,$C$169:$C$286,$C296,$D$169:$D$286,$D296))</f>
        <v>0</v>
      </c>
      <c r="F296" s="83">
        <f t="shared" si="811"/>
        <v>0</v>
      </c>
      <c r="G296" s="83">
        <f t="shared" si="811"/>
        <v>0</v>
      </c>
      <c r="H296" s="83">
        <f t="shared" si="811"/>
        <v>0</v>
      </c>
      <c r="I296" s="83">
        <f t="shared" si="811"/>
        <v>0</v>
      </c>
      <c r="J296" s="83">
        <f t="shared" si="811"/>
        <v>0</v>
      </c>
      <c r="K296" s="83">
        <f>IF($C296="GENERAL",SUMIFS(K$169:K$286,$D$169:$D$286,$D296),SUMIFS(K$169:K$286,$C$169:$C$286,$C296,$D$169:$D$286,$D296))</f>
        <v>0</v>
      </c>
      <c r="L296" s="83">
        <f t="shared" si="811"/>
        <v>0</v>
      </c>
      <c r="M296" s="83">
        <f t="shared" si="811"/>
        <v>0</v>
      </c>
      <c r="N296" s="83">
        <f t="shared" si="811"/>
        <v>0</v>
      </c>
      <c r="O296" s="83">
        <f t="shared" si="810"/>
        <v>0</v>
      </c>
      <c r="P296" s="83">
        <f t="shared" si="810"/>
        <v>0</v>
      </c>
      <c r="Q296" s="83">
        <f t="shared" si="810"/>
        <v>0</v>
      </c>
      <c r="R296" s="83">
        <f t="shared" si="810"/>
        <v>0</v>
      </c>
      <c r="S296" s="83">
        <f t="shared" si="810"/>
        <v>0</v>
      </c>
      <c r="T296" s="83">
        <f t="shared" si="810"/>
        <v>0</v>
      </c>
      <c r="U296" s="83">
        <f t="shared" si="810"/>
        <v>0</v>
      </c>
      <c r="V296" s="83">
        <f t="shared" si="810"/>
        <v>0</v>
      </c>
      <c r="W296" s="83">
        <f t="shared" si="810"/>
        <v>0</v>
      </c>
    </row>
    <row r="297" spans="3:26" ht="24.75" customHeight="1" x14ac:dyDescent="0.25">
      <c r="C297" s="78" t="str">
        <f t="shared" si="812"/>
        <v>GENERAL</v>
      </c>
      <c r="D297" s="86" t="s">
        <v>72</v>
      </c>
      <c r="E297" s="83">
        <f>VLOOKUP(E$289,LOHMANN,4,0)</f>
        <v>0.7</v>
      </c>
      <c r="F297" s="83">
        <f t="shared" ref="F297:W297" si="813">VLOOKUP(F$289,LOHMANN,4,0)</f>
        <v>0.7</v>
      </c>
      <c r="G297" s="83">
        <f t="shared" si="813"/>
        <v>0.7</v>
      </c>
      <c r="H297" s="83">
        <f t="shared" si="813"/>
        <v>0.5</v>
      </c>
      <c r="I297" s="83">
        <f t="shared" si="813"/>
        <v>0.3</v>
      </c>
      <c r="J297" s="83">
        <f t="shared" si="813"/>
        <v>0.18</v>
      </c>
      <c r="K297" s="83">
        <f t="shared" si="813"/>
        <v>0.18</v>
      </c>
      <c r="L297" s="83">
        <f>VLOOKUP(L$289,LOHMANN,4,0)</f>
        <v>0.16</v>
      </c>
      <c r="M297" s="83">
        <f t="shared" si="813"/>
        <v>0.16</v>
      </c>
      <c r="N297" s="83">
        <f t="shared" si="813"/>
        <v>0.16</v>
      </c>
      <c r="O297" s="83">
        <f t="shared" si="813"/>
        <v>0.16</v>
      </c>
      <c r="P297" s="83">
        <f t="shared" si="813"/>
        <v>0.16</v>
      </c>
      <c r="Q297" s="83">
        <f t="shared" si="813"/>
        <v>0.16</v>
      </c>
      <c r="R297" s="83">
        <f t="shared" si="813"/>
        <v>0.16</v>
      </c>
      <c r="S297" s="83">
        <f t="shared" si="813"/>
        <v>0.16</v>
      </c>
      <c r="T297" s="83">
        <f t="shared" si="813"/>
        <v>0.16</v>
      </c>
      <c r="U297" s="83">
        <f t="shared" si="813"/>
        <v>0.16</v>
      </c>
      <c r="V297" s="83">
        <f t="shared" si="813"/>
        <v>0.16</v>
      </c>
      <c r="W297" s="83">
        <f t="shared" si="813"/>
        <v>0.16</v>
      </c>
    </row>
    <row r="298" spans="3:26" ht="24.75" customHeight="1" x14ac:dyDescent="0.25">
      <c r="C298" s="78" t="str">
        <f t="shared" si="812"/>
        <v>GENERAL</v>
      </c>
      <c r="D298" s="308" t="s">
        <v>74</v>
      </c>
      <c r="E298" s="213">
        <f>IFERROR((E295/E290)*100,0)</f>
        <v>0</v>
      </c>
      <c r="F298" s="213">
        <f>IFERROR((F295/F290)*100,0)</f>
        <v>0</v>
      </c>
      <c r="G298" s="213">
        <f>IFERROR((G295/G290)*100,0)</f>
        <v>0</v>
      </c>
      <c r="H298" s="213">
        <f t="shared" ref="H298:W298" si="814">IFERROR((H295/H290)*100,0)</f>
        <v>0</v>
      </c>
      <c r="I298" s="213">
        <f>IFERROR((I295/I290)*100,0)</f>
        <v>0</v>
      </c>
      <c r="J298" s="213">
        <f t="shared" si="814"/>
        <v>0</v>
      </c>
      <c r="K298" s="213">
        <f t="shared" si="814"/>
        <v>0</v>
      </c>
      <c r="L298" s="213">
        <f t="shared" si="814"/>
        <v>0</v>
      </c>
      <c r="M298" s="213">
        <f>IFERROR((M295/M290)*100,0)</f>
        <v>0</v>
      </c>
      <c r="N298" s="213">
        <f t="shared" si="814"/>
        <v>0</v>
      </c>
      <c r="O298" s="213">
        <f t="shared" si="814"/>
        <v>0</v>
      </c>
      <c r="P298" s="213">
        <f t="shared" si="814"/>
        <v>0</v>
      </c>
      <c r="Q298" s="213">
        <f t="shared" si="814"/>
        <v>0</v>
      </c>
      <c r="R298" s="213">
        <f t="shared" si="814"/>
        <v>0</v>
      </c>
      <c r="S298" s="213">
        <f t="shared" si="814"/>
        <v>0</v>
      </c>
      <c r="T298" s="213">
        <f t="shared" si="814"/>
        <v>0</v>
      </c>
      <c r="U298" s="213">
        <f t="shared" si="814"/>
        <v>0</v>
      </c>
      <c r="V298" s="213">
        <f t="shared" si="814"/>
        <v>0</v>
      </c>
      <c r="W298" s="213">
        <f t="shared" si="814"/>
        <v>0</v>
      </c>
    </row>
    <row r="299" spans="3:26" ht="24.75" customHeight="1" x14ac:dyDescent="0.25">
      <c r="C299" s="78" t="str">
        <f t="shared" si="812"/>
        <v>GENERAL</v>
      </c>
      <c r="D299" s="87" t="s">
        <v>49</v>
      </c>
      <c r="E299" s="83">
        <f>VLOOKUP(E$289,LOHMANN,5,0)</f>
        <v>0.7</v>
      </c>
      <c r="F299" s="83">
        <f t="shared" ref="F299:W299" si="815">VLOOKUP(F$289,LOHMANN,5,0)</f>
        <v>0.7</v>
      </c>
      <c r="G299" s="83">
        <f t="shared" si="815"/>
        <v>1.4</v>
      </c>
      <c r="H299" s="83">
        <f t="shared" si="815"/>
        <v>1.9</v>
      </c>
      <c r="I299" s="83">
        <f t="shared" si="815"/>
        <v>2.1999999999999997</v>
      </c>
      <c r="J299" s="83">
        <f t="shared" si="815"/>
        <v>2.38</v>
      </c>
      <c r="K299" s="83">
        <f t="shared" si="815"/>
        <v>2.56</v>
      </c>
      <c r="L299" s="83">
        <f t="shared" si="815"/>
        <v>2.72</v>
      </c>
      <c r="M299" s="83">
        <f t="shared" si="815"/>
        <v>2.8800000000000003</v>
      </c>
      <c r="N299" s="83">
        <f t="shared" si="815"/>
        <v>3.0400000000000005</v>
      </c>
      <c r="O299" s="83">
        <f>VLOOKUP(O$289,LOHMANN,5,0)</f>
        <v>3.2000000000000006</v>
      </c>
      <c r="P299" s="83">
        <f t="shared" si="815"/>
        <v>3.3600000000000008</v>
      </c>
      <c r="Q299" s="83">
        <f t="shared" si="815"/>
        <v>3.5200000000000009</v>
      </c>
      <c r="R299" s="83">
        <f t="shared" si="815"/>
        <v>3.680000000000001</v>
      </c>
      <c r="S299" s="83">
        <f t="shared" si="815"/>
        <v>3.8400000000000012</v>
      </c>
      <c r="T299" s="83">
        <f t="shared" si="815"/>
        <v>4.0000000000000009</v>
      </c>
      <c r="U299" s="83">
        <f t="shared" si="815"/>
        <v>4.160000000000001</v>
      </c>
      <c r="V299" s="83">
        <f t="shared" si="815"/>
        <v>4.3200000000000012</v>
      </c>
      <c r="W299" s="83">
        <f t="shared" si="815"/>
        <v>4.4800000000000013</v>
      </c>
    </row>
    <row r="300" spans="3:26" ht="24.75" customHeight="1" x14ac:dyDescent="0.25">
      <c r="C300" s="78" t="str">
        <f t="shared" si="812"/>
        <v>GENERAL</v>
      </c>
      <c r="D300" s="309" t="s">
        <v>73</v>
      </c>
      <c r="E300" s="213">
        <f>IFERROR((E296/E290)*100,0)</f>
        <v>0</v>
      </c>
      <c r="F300" s="213">
        <f>IFERROR((F296/F290)*100,0)</f>
        <v>0</v>
      </c>
      <c r="G300" s="213">
        <f>IFERROR((G296/G290)*100,0)</f>
        <v>0</v>
      </c>
      <c r="H300" s="213">
        <f>IFERROR((H296/H290)*100,0)</f>
        <v>0</v>
      </c>
      <c r="I300" s="213">
        <f t="shared" ref="I300:W300" si="816">IFERROR((I296/I290)*100,0)</f>
        <v>0</v>
      </c>
      <c r="J300" s="213">
        <f>IFERROR((J296/J290)*100,0)</f>
        <v>0</v>
      </c>
      <c r="K300" s="213">
        <f t="shared" si="816"/>
        <v>0</v>
      </c>
      <c r="L300" s="213">
        <f t="shared" si="816"/>
        <v>0</v>
      </c>
      <c r="M300" s="213">
        <f t="shared" si="816"/>
        <v>0</v>
      </c>
      <c r="N300" s="213">
        <f t="shared" si="816"/>
        <v>0</v>
      </c>
      <c r="O300" s="213">
        <f t="shared" si="816"/>
        <v>0</v>
      </c>
      <c r="P300" s="213">
        <f t="shared" si="816"/>
        <v>0</v>
      </c>
      <c r="Q300" s="213">
        <f t="shared" si="816"/>
        <v>0</v>
      </c>
      <c r="R300" s="213">
        <f t="shared" si="816"/>
        <v>0</v>
      </c>
      <c r="S300" s="213">
        <f t="shared" si="816"/>
        <v>0</v>
      </c>
      <c r="T300" s="213">
        <f t="shared" si="816"/>
        <v>0</v>
      </c>
      <c r="U300" s="213">
        <f t="shared" si="816"/>
        <v>0</v>
      </c>
      <c r="V300" s="213">
        <f t="shared" si="816"/>
        <v>0</v>
      </c>
      <c r="W300" s="213">
        <f t="shared" si="816"/>
        <v>0</v>
      </c>
    </row>
    <row r="301" spans="3:26" ht="24.75" customHeight="1" x14ac:dyDescent="0.25">
      <c r="C301" s="78" t="str">
        <f t="shared" si="812"/>
        <v>GENERAL</v>
      </c>
      <c r="D301" s="23" t="s">
        <v>9</v>
      </c>
      <c r="E301" s="83">
        <f>IF($C301="GENERAL",SUMIFS(E$169:E$286,$D$169:$D$286,$D301),SUMIFS(E$169:E$286,$C$169:$C$286,$C301,$D$169:$D$286,$D301))</f>
        <v>0</v>
      </c>
      <c r="F301" s="83">
        <f t="shared" ref="F301:W301" si="817">IF($C301="GENERAL",SUMIFS(F$169:F$286,$D$169:$D$286,$D301),SUMIFS(F$169:F$286,$C$169:$C$286,$C301,$D$169:$D$286,$D301))</f>
        <v>0</v>
      </c>
      <c r="G301" s="83">
        <f t="shared" si="817"/>
        <v>0</v>
      </c>
      <c r="H301" s="83">
        <f t="shared" si="817"/>
        <v>0</v>
      </c>
      <c r="I301" s="83">
        <f t="shared" si="817"/>
        <v>0</v>
      </c>
      <c r="J301" s="83">
        <f t="shared" si="817"/>
        <v>0</v>
      </c>
      <c r="K301" s="83">
        <f t="shared" si="817"/>
        <v>0</v>
      </c>
      <c r="L301" s="83">
        <f t="shared" si="817"/>
        <v>0</v>
      </c>
      <c r="M301" s="83">
        <f t="shared" si="817"/>
        <v>0</v>
      </c>
      <c r="N301" s="83">
        <f t="shared" si="817"/>
        <v>0</v>
      </c>
      <c r="O301" s="83">
        <f t="shared" si="817"/>
        <v>0</v>
      </c>
      <c r="P301" s="83">
        <f t="shared" si="817"/>
        <v>0</v>
      </c>
      <c r="Q301" s="83">
        <f t="shared" si="817"/>
        <v>0</v>
      </c>
      <c r="R301" s="83">
        <f t="shared" si="817"/>
        <v>0</v>
      </c>
      <c r="S301" s="83">
        <f>IF($C301="GENERAL",SUMIFS(S$169:S$286,$D$169:$D$286,$D301),SUMIFS(S$169:S$286,$C$169:$C$286,$C301,$D$169:$D$286,$D301))</f>
        <v>0</v>
      </c>
      <c r="T301" s="83">
        <f t="shared" si="817"/>
        <v>0</v>
      </c>
      <c r="U301" s="83">
        <f t="shared" si="817"/>
        <v>0</v>
      </c>
      <c r="V301" s="83">
        <f t="shared" si="817"/>
        <v>0</v>
      </c>
      <c r="W301" s="83">
        <f t="shared" si="817"/>
        <v>0</v>
      </c>
    </row>
    <row r="302" spans="3:26" ht="24.75" customHeight="1" x14ac:dyDescent="0.25">
      <c r="C302" s="78" t="str">
        <f t="shared" si="812"/>
        <v>GENERAL</v>
      </c>
      <c r="D302" s="86" t="s">
        <v>75</v>
      </c>
      <c r="E302" s="83">
        <f>VLOOKUP(E$289,LOHMANN,6,0)</f>
        <v>10</v>
      </c>
      <c r="F302" s="83">
        <f t="shared" ref="F302:W302" si="818">VLOOKUP(F$289,LOHMANN,6,0)</f>
        <v>10</v>
      </c>
      <c r="G302" s="83">
        <f t="shared" si="818"/>
        <v>17</v>
      </c>
      <c r="H302" s="83">
        <f t="shared" si="818"/>
        <v>23</v>
      </c>
      <c r="I302" s="83">
        <f t="shared" si="818"/>
        <v>29</v>
      </c>
      <c r="J302" s="83">
        <f t="shared" si="818"/>
        <v>34</v>
      </c>
      <c r="K302" s="83">
        <f t="shared" si="818"/>
        <v>38</v>
      </c>
      <c r="L302" s="83">
        <f t="shared" si="818"/>
        <v>42</v>
      </c>
      <c r="M302" s="83">
        <f t="shared" si="818"/>
        <v>46</v>
      </c>
      <c r="N302" s="83">
        <f t="shared" si="818"/>
        <v>49</v>
      </c>
      <c r="O302" s="83">
        <f t="shared" si="818"/>
        <v>52</v>
      </c>
      <c r="P302" s="83">
        <f t="shared" si="818"/>
        <v>55</v>
      </c>
      <c r="Q302" s="83">
        <f t="shared" si="818"/>
        <v>58</v>
      </c>
      <c r="R302" s="83">
        <f t="shared" si="818"/>
        <v>61</v>
      </c>
      <c r="S302" s="83">
        <f t="shared" si="818"/>
        <v>64</v>
      </c>
      <c r="T302" s="83">
        <f t="shared" si="818"/>
        <v>67</v>
      </c>
      <c r="U302" s="83">
        <f t="shared" si="818"/>
        <v>71</v>
      </c>
      <c r="V302" s="83">
        <f t="shared" si="818"/>
        <v>75</v>
      </c>
      <c r="W302" s="83">
        <f t="shared" si="818"/>
        <v>79</v>
      </c>
    </row>
    <row r="303" spans="3:26" ht="24.75" customHeight="1" x14ac:dyDescent="0.25">
      <c r="C303" s="78" t="str">
        <f t="shared" si="812"/>
        <v>GENERAL</v>
      </c>
      <c r="D303" s="308" t="s">
        <v>62</v>
      </c>
      <c r="E303" s="212">
        <f>IF($C303="GENERAL",AVERAGEIFS(E$169:E$286,$D$169:$D$286,$D303),SUMIFS(E$169:E$286,$C$169:$C$286,$C303,$D$169:$D$286,$D303))</f>
        <v>0</v>
      </c>
      <c r="F303" s="212">
        <f t="shared" ref="F303:W303" si="819">IF($C303="GENERAL",AVERAGEIFS(F$169:F$286,$D$169:$D$286,$D303),SUMIFS(F$169:F$286,$C$169:$C$286,$C303,$D$169:$D$286,$D303))</f>
        <v>0</v>
      </c>
      <c r="G303" s="212">
        <f t="shared" si="819"/>
        <v>0</v>
      </c>
      <c r="H303" s="212">
        <f t="shared" si="819"/>
        <v>0</v>
      </c>
      <c r="I303" s="212">
        <f t="shared" si="819"/>
        <v>0</v>
      </c>
      <c r="J303" s="212">
        <f t="shared" si="819"/>
        <v>0</v>
      </c>
      <c r="K303" s="212">
        <f t="shared" si="819"/>
        <v>0</v>
      </c>
      <c r="L303" s="212">
        <f t="shared" si="819"/>
        <v>0</v>
      </c>
      <c r="M303" s="212">
        <f t="shared" si="819"/>
        <v>0</v>
      </c>
      <c r="N303" s="212">
        <f t="shared" si="819"/>
        <v>0</v>
      </c>
      <c r="O303" s="212">
        <f t="shared" si="819"/>
        <v>0</v>
      </c>
      <c r="P303" s="212">
        <f t="shared" si="819"/>
        <v>0</v>
      </c>
      <c r="Q303" s="212">
        <f t="shared" si="819"/>
        <v>0</v>
      </c>
      <c r="R303" s="212">
        <f t="shared" si="819"/>
        <v>0</v>
      </c>
      <c r="S303" s="212">
        <f t="shared" si="819"/>
        <v>0</v>
      </c>
      <c r="T303" s="212">
        <f t="shared" si="819"/>
        <v>0</v>
      </c>
      <c r="U303" s="212">
        <f t="shared" si="819"/>
        <v>0</v>
      </c>
      <c r="V303" s="212">
        <f t="shared" si="819"/>
        <v>0</v>
      </c>
      <c r="W303" s="212">
        <f t="shared" si="819"/>
        <v>0</v>
      </c>
      <c r="X303" s="741"/>
      <c r="Y303" s="741"/>
      <c r="Z303" s="741"/>
    </row>
    <row r="304" spans="3:26" ht="24.75" customHeight="1" x14ac:dyDescent="0.25">
      <c r="C304" s="78" t="str">
        <f t="shared" si="812"/>
        <v>GENERAL</v>
      </c>
      <c r="D304" s="86" t="s">
        <v>142</v>
      </c>
      <c r="E304" s="83">
        <f t="shared" ref="E304:W304" si="820">VLOOKUP(E$289,LOHMANN,7,0)</f>
        <v>70</v>
      </c>
      <c r="F304" s="83">
        <f t="shared" si="820"/>
        <v>70</v>
      </c>
      <c r="G304" s="83">
        <f t="shared" si="820"/>
        <v>189</v>
      </c>
      <c r="H304" s="83">
        <f t="shared" si="820"/>
        <v>350</v>
      </c>
      <c r="I304" s="83">
        <f t="shared" si="820"/>
        <v>553</v>
      </c>
      <c r="J304" s="83">
        <f t="shared" si="820"/>
        <v>791</v>
      </c>
      <c r="K304" s="83">
        <f t="shared" si="820"/>
        <v>1057</v>
      </c>
      <c r="L304" s="83">
        <f t="shared" si="820"/>
        <v>1351</v>
      </c>
      <c r="M304" s="83">
        <f t="shared" si="820"/>
        <v>1673</v>
      </c>
      <c r="N304" s="83">
        <f t="shared" si="820"/>
        <v>2016</v>
      </c>
      <c r="O304" s="83">
        <f t="shared" si="820"/>
        <v>2380</v>
      </c>
      <c r="P304" s="83">
        <f t="shared" si="820"/>
        <v>2765</v>
      </c>
      <c r="Q304" s="83">
        <f t="shared" si="820"/>
        <v>3171</v>
      </c>
      <c r="R304" s="83">
        <f t="shared" si="820"/>
        <v>3598</v>
      </c>
      <c r="S304" s="83">
        <f t="shared" si="820"/>
        <v>4046</v>
      </c>
      <c r="T304" s="83">
        <f t="shared" si="820"/>
        <v>4515</v>
      </c>
      <c r="U304" s="83">
        <f t="shared" si="820"/>
        <v>5012</v>
      </c>
      <c r="V304" s="83">
        <f t="shared" si="820"/>
        <v>5537</v>
      </c>
      <c r="W304" s="83">
        <f t="shared" si="820"/>
        <v>6090</v>
      </c>
    </row>
    <row r="305" spans="1:27" ht="24.75" customHeight="1" x14ac:dyDescent="0.25">
      <c r="C305" s="78" t="str">
        <f t="shared" si="812"/>
        <v>GENERAL</v>
      </c>
      <c r="D305" s="24" t="s">
        <v>50</v>
      </c>
      <c r="E305" s="83" t="e">
        <f>IF($C305="GENERAL",E301/E290*1000,SUMIFS(E$169:E$286,$C$169:$C$286,$C305,$D$169:$D$286,$D305))</f>
        <v>#DIV/0!</v>
      </c>
      <c r="F305" s="83" t="e">
        <f>IF($C305="GENERAL",(F301/F290*1000)+E305,SUMIFS(F$169:F$286,$C$169:$C$286,$C305,$D$169:$D$286,$D305))</f>
        <v>#DIV/0!</v>
      </c>
      <c r="G305" s="83" t="e">
        <f>IF($C305="GENERAL",(G301/G290*1000)+F305,SUMIFS(G$169:G$286,$C$169:$C$286,$C305,$D$169:$D$286,$D305))</f>
        <v>#DIV/0!</v>
      </c>
      <c r="H305" s="83" t="e">
        <f>IF($C305="GENERAL",(H301/H290*1000)+G305,SUMIFS(H$169:H$286,$C$169:$C$286,$C305,$D$169:$D$286,$D305))</f>
        <v>#DIV/0!</v>
      </c>
      <c r="I305" s="83" t="e">
        <f t="shared" ref="I305:W305" si="821">IF($C305="GENERAL",(I301/I290*1000)+H305,SUMIFS(I$169:I$286,$C$169:$C$286,$C305,$D$169:$D$286,$D305))</f>
        <v>#DIV/0!</v>
      </c>
      <c r="J305" s="83" t="e">
        <f t="shared" si="821"/>
        <v>#DIV/0!</v>
      </c>
      <c r="K305" s="83" t="e">
        <f t="shared" si="821"/>
        <v>#DIV/0!</v>
      </c>
      <c r="L305" s="83" t="e">
        <f t="shared" si="821"/>
        <v>#DIV/0!</v>
      </c>
      <c r="M305" s="83" t="e">
        <f t="shared" si="821"/>
        <v>#DIV/0!</v>
      </c>
      <c r="N305" s="83" t="e">
        <f t="shared" si="821"/>
        <v>#DIV/0!</v>
      </c>
      <c r="O305" s="83" t="e">
        <f t="shared" si="821"/>
        <v>#DIV/0!</v>
      </c>
      <c r="P305" s="83" t="e">
        <f t="shared" si="821"/>
        <v>#DIV/0!</v>
      </c>
      <c r="Q305" s="83" t="e">
        <f>IF($C305="GENERAL",(Q301/Q290*1000)+P305,SUMIFS(Q$169:Q$286,$C$169:$C$286,$C305,$D$169:$D$286,$D305))</f>
        <v>#DIV/0!</v>
      </c>
      <c r="R305" s="83" t="e">
        <f t="shared" si="821"/>
        <v>#DIV/0!</v>
      </c>
      <c r="S305" s="83" t="e">
        <f t="shared" si="821"/>
        <v>#DIV/0!</v>
      </c>
      <c r="T305" s="83" t="e">
        <f t="shared" si="821"/>
        <v>#DIV/0!</v>
      </c>
      <c r="U305" s="83" t="e">
        <f t="shared" si="821"/>
        <v>#DIV/0!</v>
      </c>
      <c r="V305" s="83" t="e">
        <f t="shared" si="821"/>
        <v>#DIV/0!</v>
      </c>
      <c r="W305" s="83" t="e">
        <f t="shared" si="821"/>
        <v>#DIV/0!</v>
      </c>
    </row>
    <row r="306" spans="1:27" ht="24.75" customHeight="1" x14ac:dyDescent="0.25">
      <c r="C306" s="78" t="str">
        <f t="shared" si="812"/>
        <v>GENERAL</v>
      </c>
      <c r="D306" s="86" t="s">
        <v>63</v>
      </c>
      <c r="E306" s="83">
        <f t="shared" ref="E306:W306" si="822">VLOOKUP(E$289,LOHMANN,2,0)</f>
        <v>40</v>
      </c>
      <c r="F306" s="83">
        <f t="shared" si="822"/>
        <v>70</v>
      </c>
      <c r="G306" s="83">
        <f t="shared" si="822"/>
        <v>120</v>
      </c>
      <c r="H306" s="83">
        <f t="shared" si="822"/>
        <v>185</v>
      </c>
      <c r="I306" s="83">
        <f t="shared" si="822"/>
        <v>255</v>
      </c>
      <c r="J306" s="83">
        <f t="shared" si="822"/>
        <v>334</v>
      </c>
      <c r="K306" s="83">
        <f t="shared" si="822"/>
        <v>425</v>
      </c>
      <c r="L306" s="83">
        <f t="shared" si="822"/>
        <v>524</v>
      </c>
      <c r="M306" s="83">
        <f t="shared" si="822"/>
        <v>618</v>
      </c>
      <c r="N306" s="83">
        <f t="shared" si="822"/>
        <v>712</v>
      </c>
      <c r="O306" s="83">
        <f t="shared" si="822"/>
        <v>802</v>
      </c>
      <c r="P306" s="83">
        <f t="shared" si="822"/>
        <v>880</v>
      </c>
      <c r="Q306" s="83">
        <f t="shared" si="822"/>
        <v>950</v>
      </c>
      <c r="R306" s="83">
        <f t="shared" si="822"/>
        <v>1010</v>
      </c>
      <c r="S306" s="83">
        <f t="shared" si="822"/>
        <v>1065</v>
      </c>
      <c r="T306" s="83">
        <f t="shared" si="822"/>
        <v>1115</v>
      </c>
      <c r="U306" s="83">
        <f t="shared" si="822"/>
        <v>1160</v>
      </c>
      <c r="V306" s="83">
        <f t="shared" si="822"/>
        <v>1207</v>
      </c>
      <c r="W306" s="83">
        <f t="shared" si="822"/>
        <v>1257</v>
      </c>
    </row>
    <row r="307" spans="1:27" ht="24.75" customHeight="1" x14ac:dyDescent="0.25">
      <c r="C307" s="78" t="str">
        <f t="shared" si="812"/>
        <v>GENERAL</v>
      </c>
      <c r="D307" s="308" t="s">
        <v>64</v>
      </c>
      <c r="E307" s="294">
        <f>IF($C307="GENERAL",SUM(E185+E208)/2,SUMIFS(E$169:E$286,$C$169:$C$286,$C307,$D$169:$D$286,$D307))</f>
        <v>0</v>
      </c>
      <c r="F307" s="294">
        <f>IF($C307="GENERAL",SUM(F185+F208)/2,SUMIFS(F$169:F$286,$C$169:$C$286,$C307,$D$169:$D$286,$D307))</f>
        <v>0</v>
      </c>
      <c r="G307" s="294">
        <f>IF($C307="GENERAL",SUM(G185+G208)/2,SUMIFS(G$169:G$286,$C$169:$C$286,$C307,$D$169:$D$286,$D307))</f>
        <v>0</v>
      </c>
      <c r="H307" s="294">
        <f>IF($C307="GENERAL",SUM(H185+H208+H233)/3,SUMIFS(H$169:H$286,$C$169:$C$286,$C307,$D$169:$D$286,$D307))</f>
        <v>0</v>
      </c>
      <c r="I307" s="294">
        <f t="shared" ref="I307:W307" si="823">IF($C307="GENERAL",SUM(I185+I208+I233)/3,SUMIFS(I$169:I$286,$C$169:$C$286,$C307,$D$169:$D$286,$D307))</f>
        <v>0</v>
      </c>
      <c r="J307" s="294">
        <f t="shared" si="823"/>
        <v>0</v>
      </c>
      <c r="K307" s="294">
        <f>IF($C307="GENERAL",SUM(K185+K208+K233)/3,SUMIFS(K$169:K$286,$C$169:$C$286,$C307,$D$169:$D$286,$D307))</f>
        <v>0</v>
      </c>
      <c r="L307" s="294">
        <f t="shared" si="823"/>
        <v>0</v>
      </c>
      <c r="M307" s="294">
        <f t="shared" si="823"/>
        <v>0</v>
      </c>
      <c r="N307" s="294">
        <f t="shared" si="823"/>
        <v>0</v>
      </c>
      <c r="O307" s="294">
        <f t="shared" si="823"/>
        <v>0</v>
      </c>
      <c r="P307" s="294">
        <f t="shared" si="823"/>
        <v>0</v>
      </c>
      <c r="Q307" s="294">
        <f t="shared" si="823"/>
        <v>0</v>
      </c>
      <c r="R307" s="294">
        <f t="shared" si="823"/>
        <v>0</v>
      </c>
      <c r="S307" s="294">
        <f t="shared" si="823"/>
        <v>0</v>
      </c>
      <c r="T307" s="294">
        <f t="shared" si="823"/>
        <v>0</v>
      </c>
      <c r="U307" s="294">
        <f t="shared" si="823"/>
        <v>0</v>
      </c>
      <c r="V307" s="294">
        <f t="shared" si="823"/>
        <v>0</v>
      </c>
      <c r="W307" s="294">
        <f t="shared" si="823"/>
        <v>0</v>
      </c>
      <c r="X307" s="884" t="s">
        <v>164</v>
      </c>
      <c r="Y307" s="884"/>
      <c r="Z307" s="884"/>
      <c r="AA307" s="884"/>
    </row>
    <row r="308" spans="1:27" ht="24.75" customHeight="1" x14ac:dyDescent="0.25">
      <c r="C308" s="78" t="str">
        <f t="shared" si="812"/>
        <v>GENERAL</v>
      </c>
      <c r="D308" s="23" t="s">
        <v>15</v>
      </c>
      <c r="E308" s="295">
        <f>E306-E307</f>
        <v>40</v>
      </c>
      <c r="F308" s="295">
        <f t="shared" ref="F308:W308" si="824">F306-F307</f>
        <v>70</v>
      </c>
      <c r="G308" s="295">
        <f t="shared" si="824"/>
        <v>120</v>
      </c>
      <c r="H308" s="295">
        <f t="shared" si="824"/>
        <v>185</v>
      </c>
      <c r="I308" s="295">
        <f t="shared" si="824"/>
        <v>255</v>
      </c>
      <c r="J308" s="295">
        <f t="shared" si="824"/>
        <v>334</v>
      </c>
      <c r="K308" s="295">
        <f t="shared" si="824"/>
        <v>425</v>
      </c>
      <c r="L308" s="295">
        <f t="shared" si="824"/>
        <v>524</v>
      </c>
      <c r="M308" s="295">
        <f t="shared" si="824"/>
        <v>618</v>
      </c>
      <c r="N308" s="295">
        <f t="shared" si="824"/>
        <v>712</v>
      </c>
      <c r="O308" s="295">
        <f t="shared" si="824"/>
        <v>802</v>
      </c>
      <c r="P308" s="295">
        <f t="shared" si="824"/>
        <v>880</v>
      </c>
      <c r="Q308" s="295">
        <f t="shared" si="824"/>
        <v>950</v>
      </c>
      <c r="R308" s="295">
        <f t="shared" si="824"/>
        <v>1010</v>
      </c>
      <c r="S308" s="295">
        <f t="shared" si="824"/>
        <v>1065</v>
      </c>
      <c r="T308" s="295">
        <f t="shared" si="824"/>
        <v>1115</v>
      </c>
      <c r="U308" s="295">
        <f t="shared" si="824"/>
        <v>1160</v>
      </c>
      <c r="V308" s="295">
        <f t="shared" si="824"/>
        <v>1207</v>
      </c>
      <c r="W308" s="295">
        <f t="shared" si="824"/>
        <v>1257</v>
      </c>
    </row>
    <row r="309" spans="1:27" ht="24.75" customHeight="1" x14ac:dyDescent="0.25">
      <c r="C309" s="78" t="str">
        <f t="shared" si="812"/>
        <v>GENERAL</v>
      </c>
      <c r="D309" s="86" t="s">
        <v>65</v>
      </c>
      <c r="E309" s="83">
        <f>VLOOKUP(E$289,LOHMANN,3,0)</f>
        <v>77</v>
      </c>
      <c r="F309" s="83">
        <f t="shared" ref="F309:W309" si="825">VLOOKUP(F$289,LOHMANN,3,0)</f>
        <v>77</v>
      </c>
      <c r="G309" s="83">
        <f t="shared" si="825"/>
        <v>77</v>
      </c>
      <c r="H309" s="83">
        <f t="shared" si="825"/>
        <v>77</v>
      </c>
      <c r="I309" s="83">
        <f t="shared" si="825"/>
        <v>79</v>
      </c>
      <c r="J309" s="83">
        <f t="shared" si="825"/>
        <v>79</v>
      </c>
      <c r="K309" s="83">
        <f t="shared" si="825"/>
        <v>79</v>
      </c>
      <c r="L309" s="83">
        <f t="shared" si="825"/>
        <v>79</v>
      </c>
      <c r="M309" s="83">
        <f t="shared" si="825"/>
        <v>79</v>
      </c>
      <c r="N309" s="83">
        <f t="shared" si="825"/>
        <v>79</v>
      </c>
      <c r="O309" s="83">
        <f t="shared" si="825"/>
        <v>80</v>
      </c>
      <c r="P309" s="83">
        <f t="shared" si="825"/>
        <v>80</v>
      </c>
      <c r="Q309" s="83">
        <f t="shared" si="825"/>
        <v>82</v>
      </c>
      <c r="R309" s="83">
        <f t="shared" si="825"/>
        <v>82</v>
      </c>
      <c r="S309" s="83">
        <f t="shared" si="825"/>
        <v>84</v>
      </c>
      <c r="T309" s="83">
        <f t="shared" si="825"/>
        <v>86</v>
      </c>
      <c r="U309" s="83">
        <f t="shared" si="825"/>
        <v>86</v>
      </c>
      <c r="V309" s="83">
        <f t="shared" si="825"/>
        <v>86</v>
      </c>
      <c r="W309" s="83">
        <f t="shared" si="825"/>
        <v>86</v>
      </c>
    </row>
    <row r="310" spans="1:27" ht="24.75" customHeight="1" x14ac:dyDescent="0.25">
      <c r="C310" s="78" t="str">
        <f t="shared" si="812"/>
        <v>GENERAL</v>
      </c>
      <c r="D310" s="308" t="s">
        <v>66</v>
      </c>
      <c r="E310" s="294">
        <f>IF($C310="GENERAL",SUM(E188+E211)/2,SUMIFS(E$169:E$286,$C$169:$C$286,$C310,$D$169:$D$286,$D310))</f>
        <v>0</v>
      </c>
      <c r="F310" s="294">
        <f>IF($C310="GENERAL",SUM(F188+F211)/2,SUMIFS(F$169:F$286,$C$169:$C$286,$C310,$D$169:$D$286,$D310))</f>
        <v>0</v>
      </c>
      <c r="G310" s="294">
        <f>IF($C310="GENERAL",SUM(G188+G211)/2,SUMIFS(G$169:G$286,$C$169:$C$286,$C310,$D$169:$D$286,$D310))</f>
        <v>0</v>
      </c>
      <c r="H310" s="294">
        <f>IF($C310="GENERAL",SUM(H188+H211+H236)/3,SUMIFS(H$169:H$286,$C$169:$C$286,$C310,$D$169:$D$286,$D310))</f>
        <v>0</v>
      </c>
      <c r="I310" s="294">
        <f t="shared" ref="I310:W310" si="826">IF($C310="GENERAL",SUM(I188+I211+I236)/3,SUMIFS(I$169:I$286,$C$169:$C$286,$C310,$D$169:$D$286,$D310))</f>
        <v>0</v>
      </c>
      <c r="J310" s="294">
        <f t="shared" si="826"/>
        <v>0</v>
      </c>
      <c r="K310" s="294">
        <f t="shared" si="826"/>
        <v>0</v>
      </c>
      <c r="L310" s="294">
        <f>IF($C310="GENERAL",SUM(L188+L211+L236)/3,SUMIFS(L$169:L$286,$C$169:$C$286,$C310,$D$169:$D$286,$D310))</f>
        <v>0</v>
      </c>
      <c r="M310" s="294">
        <f>IF($C310="GENERAL",SUM(M188+M211+M236)/3,SUMIFS(M$169:M$286,$C$169:$C$286,$C310,$D$169:$D$286,$D310))</f>
        <v>0</v>
      </c>
      <c r="N310" s="294">
        <f t="shared" si="826"/>
        <v>0</v>
      </c>
      <c r="O310" s="294">
        <f t="shared" si="826"/>
        <v>0</v>
      </c>
      <c r="P310" s="294">
        <f t="shared" si="826"/>
        <v>0</v>
      </c>
      <c r="Q310" s="294">
        <f t="shared" si="826"/>
        <v>0</v>
      </c>
      <c r="R310" s="294">
        <f t="shared" si="826"/>
        <v>0</v>
      </c>
      <c r="S310" s="294">
        <f t="shared" si="826"/>
        <v>0</v>
      </c>
      <c r="T310" s="294">
        <f t="shared" si="826"/>
        <v>0</v>
      </c>
      <c r="U310" s="294">
        <f t="shared" si="826"/>
        <v>0</v>
      </c>
      <c r="V310" s="294">
        <f t="shared" si="826"/>
        <v>0</v>
      </c>
      <c r="W310" s="294">
        <f t="shared" si="826"/>
        <v>0</v>
      </c>
      <c r="X310" s="610"/>
      <c r="Y310" s="465" t="s">
        <v>162</v>
      </c>
      <c r="Z310" s="610"/>
      <c r="AA310" s="610"/>
    </row>
    <row r="311" spans="1:27" ht="24.75" customHeight="1" x14ac:dyDescent="0.25">
      <c r="C311" s="78" t="str">
        <f t="shared" si="812"/>
        <v>GENERAL</v>
      </c>
      <c r="D311" s="23" t="s">
        <v>15</v>
      </c>
      <c r="E311" s="295">
        <f>E309-E310</f>
        <v>77</v>
      </c>
      <c r="F311" s="295">
        <f>F309-F310</f>
        <v>77</v>
      </c>
      <c r="G311" s="295">
        <f t="shared" ref="G311:W311" si="827">G309-G310</f>
        <v>77</v>
      </c>
      <c r="H311" s="295">
        <f t="shared" si="827"/>
        <v>77</v>
      </c>
      <c r="I311" s="295">
        <f t="shared" si="827"/>
        <v>79</v>
      </c>
      <c r="J311" s="295">
        <f t="shared" si="827"/>
        <v>79</v>
      </c>
      <c r="K311" s="295">
        <f>K309-K310</f>
        <v>79</v>
      </c>
      <c r="L311" s="295">
        <f t="shared" si="827"/>
        <v>79</v>
      </c>
      <c r="M311" s="295">
        <f t="shared" si="827"/>
        <v>79</v>
      </c>
      <c r="N311" s="295">
        <f t="shared" si="827"/>
        <v>79</v>
      </c>
      <c r="O311" s="295">
        <f t="shared" si="827"/>
        <v>80</v>
      </c>
      <c r="P311" s="295">
        <f t="shared" si="827"/>
        <v>80</v>
      </c>
      <c r="Q311" s="295">
        <f t="shared" si="827"/>
        <v>82</v>
      </c>
      <c r="R311" s="295">
        <f t="shared" si="827"/>
        <v>82</v>
      </c>
      <c r="S311" s="295">
        <f t="shared" si="827"/>
        <v>84</v>
      </c>
      <c r="T311" s="295">
        <f t="shared" si="827"/>
        <v>86</v>
      </c>
      <c r="U311" s="295">
        <f t="shared" si="827"/>
        <v>86</v>
      </c>
      <c r="V311" s="295">
        <f t="shared" si="827"/>
        <v>86</v>
      </c>
      <c r="W311" s="295">
        <f t="shared" si="827"/>
        <v>86</v>
      </c>
    </row>
    <row r="312" spans="1:27" ht="24.75" customHeight="1" x14ac:dyDescent="0.25">
      <c r="C312" s="78"/>
      <c r="D312" s="8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295"/>
      <c r="T312" s="295"/>
      <c r="U312" s="295"/>
      <c r="V312" s="295"/>
      <c r="W312" s="295"/>
    </row>
    <row r="313" spans="1:27" x14ac:dyDescent="0.25">
      <c r="D313" s="85"/>
      <c r="E313" s="85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</row>
    <row r="314" spans="1:27" x14ac:dyDescent="0.25">
      <c r="D314" s="85"/>
      <c r="E314" s="320">
        <v>0</v>
      </c>
      <c r="F314" s="320">
        <v>1</v>
      </c>
      <c r="G314" s="320">
        <v>2</v>
      </c>
      <c r="H314" s="320">
        <v>3</v>
      </c>
      <c r="I314" s="320">
        <v>4</v>
      </c>
      <c r="J314" s="320">
        <v>5</v>
      </c>
      <c r="K314" s="320">
        <v>6</v>
      </c>
      <c r="L314" s="320">
        <v>7</v>
      </c>
      <c r="M314" s="320">
        <v>8</v>
      </c>
      <c r="N314" s="320">
        <v>9</v>
      </c>
      <c r="O314" s="320">
        <v>10</v>
      </c>
      <c r="P314" s="320">
        <v>11</v>
      </c>
      <c r="Q314" s="320">
        <v>12</v>
      </c>
      <c r="R314" s="320">
        <v>13</v>
      </c>
      <c r="S314" s="320">
        <v>14</v>
      </c>
      <c r="T314" s="320">
        <v>15</v>
      </c>
      <c r="U314" s="320">
        <v>16</v>
      </c>
      <c r="V314" s="320">
        <v>17</v>
      </c>
      <c r="W314" s="320">
        <v>18</v>
      </c>
    </row>
    <row r="315" spans="1:27" ht="25.5" customHeight="1" x14ac:dyDescent="0.25">
      <c r="A315" s="10" t="s">
        <v>86</v>
      </c>
      <c r="B315" s="883" t="s">
        <v>42</v>
      </c>
      <c r="C315" s="317" t="str">
        <f>C311</f>
        <v>GENERAL</v>
      </c>
      <c r="D315" s="24" t="s">
        <v>67</v>
      </c>
      <c r="E315" s="83">
        <f>IF($C315="GENERAL",SUMIFS(E$169:E$286,$D$169:$D$286,$D315),SUMIFS(E$169:E$286,$C$169:$C$286,$C315,$D$169:$D$286,$D315))</f>
        <v>0</v>
      </c>
      <c r="F315" s="83">
        <f t="shared" ref="F315:W315" si="828">IF($C315="GENERAL",SUMIFS(F$169:F$286,$D$169:$D$286,$D315),SUMIFS(F$169:F$286,$C$169:$C$286,$C315,$D$169:$D$286,$D315))</f>
        <v>0</v>
      </c>
      <c r="G315" s="83">
        <f t="shared" si="828"/>
        <v>0</v>
      </c>
      <c r="H315" s="83">
        <f t="shared" si="828"/>
        <v>0</v>
      </c>
      <c r="I315" s="83">
        <f t="shared" si="828"/>
        <v>0</v>
      </c>
      <c r="J315" s="83">
        <f t="shared" si="828"/>
        <v>0</v>
      </c>
      <c r="K315" s="83">
        <f t="shared" si="828"/>
        <v>0</v>
      </c>
      <c r="L315" s="83">
        <f t="shared" si="828"/>
        <v>0</v>
      </c>
      <c r="M315" s="83">
        <f t="shared" si="828"/>
        <v>0</v>
      </c>
      <c r="N315" s="83">
        <f t="shared" si="828"/>
        <v>0</v>
      </c>
      <c r="O315" s="83">
        <f t="shared" si="828"/>
        <v>0</v>
      </c>
      <c r="P315" s="83">
        <f t="shared" si="828"/>
        <v>0</v>
      </c>
      <c r="Q315" s="83">
        <f t="shared" si="828"/>
        <v>0</v>
      </c>
      <c r="R315" s="83">
        <f t="shared" si="828"/>
        <v>0</v>
      </c>
      <c r="S315" s="83">
        <f t="shared" si="828"/>
        <v>0</v>
      </c>
      <c r="T315" s="83">
        <f t="shared" si="828"/>
        <v>0</v>
      </c>
      <c r="U315" s="83">
        <f t="shared" si="828"/>
        <v>0</v>
      </c>
      <c r="V315" s="83">
        <f t="shared" si="828"/>
        <v>0</v>
      </c>
      <c r="W315" s="83">
        <f t="shared" si="828"/>
        <v>0</v>
      </c>
    </row>
    <row r="316" spans="1:27" ht="25.5" customHeight="1" x14ac:dyDescent="0.25">
      <c r="A316" s="10" t="s">
        <v>68</v>
      </c>
      <c r="B316" s="883"/>
      <c r="C316" s="317" t="str">
        <f>C311</f>
        <v>GENERAL</v>
      </c>
      <c r="D316" s="86" t="s">
        <v>72</v>
      </c>
      <c r="E316" s="83">
        <f>E297</f>
        <v>0.7</v>
      </c>
      <c r="F316" s="83">
        <f>F297</f>
        <v>0.7</v>
      </c>
      <c r="G316" s="83">
        <f t="shared" ref="G316:W316" si="829">G297</f>
        <v>0.7</v>
      </c>
      <c r="H316" s="83">
        <f t="shared" si="829"/>
        <v>0.5</v>
      </c>
      <c r="I316" s="83">
        <f t="shared" si="829"/>
        <v>0.3</v>
      </c>
      <c r="J316" s="83">
        <f t="shared" si="829"/>
        <v>0.18</v>
      </c>
      <c r="K316" s="83">
        <f t="shared" si="829"/>
        <v>0.18</v>
      </c>
      <c r="L316" s="83">
        <f t="shared" si="829"/>
        <v>0.16</v>
      </c>
      <c r="M316" s="83">
        <f t="shared" si="829"/>
        <v>0.16</v>
      </c>
      <c r="N316" s="83">
        <f t="shared" si="829"/>
        <v>0.16</v>
      </c>
      <c r="O316" s="83">
        <f t="shared" si="829"/>
        <v>0.16</v>
      </c>
      <c r="P316" s="83">
        <f t="shared" si="829"/>
        <v>0.16</v>
      </c>
      <c r="Q316" s="83">
        <f t="shared" si="829"/>
        <v>0.16</v>
      </c>
      <c r="R316" s="83">
        <f t="shared" si="829"/>
        <v>0.16</v>
      </c>
      <c r="S316" s="83">
        <f t="shared" si="829"/>
        <v>0.16</v>
      </c>
      <c r="T316" s="83">
        <f t="shared" si="829"/>
        <v>0.16</v>
      </c>
      <c r="U316" s="83">
        <f t="shared" si="829"/>
        <v>0.16</v>
      </c>
      <c r="V316" s="83">
        <f t="shared" si="829"/>
        <v>0.16</v>
      </c>
      <c r="W316" s="83">
        <f t="shared" si="829"/>
        <v>0.16</v>
      </c>
    </row>
    <row r="317" spans="1:27" ht="25.5" customHeight="1" x14ac:dyDescent="0.25">
      <c r="A317" s="10" t="s">
        <v>70</v>
      </c>
      <c r="B317" s="883"/>
      <c r="C317" s="317" t="str">
        <f>C316</f>
        <v>GENERAL</v>
      </c>
      <c r="D317" s="87" t="s">
        <v>49</v>
      </c>
      <c r="E317" s="83">
        <f>E299</f>
        <v>0.7</v>
      </c>
      <c r="F317" s="83">
        <f>F299</f>
        <v>0.7</v>
      </c>
      <c r="G317" s="83">
        <f t="shared" ref="G317:W317" si="830">G299</f>
        <v>1.4</v>
      </c>
      <c r="H317" s="83">
        <f t="shared" si="830"/>
        <v>1.9</v>
      </c>
      <c r="I317" s="83">
        <f t="shared" si="830"/>
        <v>2.1999999999999997</v>
      </c>
      <c r="J317" s="83">
        <f t="shared" si="830"/>
        <v>2.38</v>
      </c>
      <c r="K317" s="83">
        <f t="shared" si="830"/>
        <v>2.56</v>
      </c>
      <c r="L317" s="83">
        <f t="shared" si="830"/>
        <v>2.72</v>
      </c>
      <c r="M317" s="83">
        <f t="shared" si="830"/>
        <v>2.8800000000000003</v>
      </c>
      <c r="N317" s="83">
        <f>N299</f>
        <v>3.0400000000000005</v>
      </c>
      <c r="O317" s="83">
        <f t="shared" si="830"/>
        <v>3.2000000000000006</v>
      </c>
      <c r="P317" s="83">
        <f t="shared" si="830"/>
        <v>3.3600000000000008</v>
      </c>
      <c r="Q317" s="83">
        <f t="shared" si="830"/>
        <v>3.5200000000000009</v>
      </c>
      <c r="R317" s="83">
        <f t="shared" si="830"/>
        <v>3.680000000000001</v>
      </c>
      <c r="S317" s="83">
        <f t="shared" si="830"/>
        <v>3.8400000000000012</v>
      </c>
      <c r="T317" s="83">
        <f t="shared" si="830"/>
        <v>4.0000000000000009</v>
      </c>
      <c r="U317" s="83">
        <f t="shared" si="830"/>
        <v>4.160000000000001</v>
      </c>
      <c r="V317" s="83">
        <f t="shared" si="830"/>
        <v>4.3200000000000012</v>
      </c>
      <c r="W317" s="83">
        <f t="shared" si="830"/>
        <v>4.4800000000000013</v>
      </c>
    </row>
    <row r="318" spans="1:27" ht="25.5" customHeight="1" x14ac:dyDescent="0.25">
      <c r="A318" s="10" t="s">
        <v>71</v>
      </c>
      <c r="B318" s="883"/>
      <c r="C318" s="317" t="str">
        <f>C317</f>
        <v>GENERAL</v>
      </c>
      <c r="D318" s="86" t="s">
        <v>75</v>
      </c>
      <c r="E318" s="83">
        <f>E302</f>
        <v>10</v>
      </c>
      <c r="F318" s="83">
        <f>F302</f>
        <v>10</v>
      </c>
      <c r="G318" s="83">
        <f t="shared" ref="G318:W318" si="831">G302</f>
        <v>17</v>
      </c>
      <c r="H318" s="83">
        <f t="shared" si="831"/>
        <v>23</v>
      </c>
      <c r="I318" s="83">
        <f t="shared" si="831"/>
        <v>29</v>
      </c>
      <c r="J318" s="83">
        <f t="shared" si="831"/>
        <v>34</v>
      </c>
      <c r="K318" s="83">
        <f t="shared" si="831"/>
        <v>38</v>
      </c>
      <c r="L318" s="83">
        <f t="shared" si="831"/>
        <v>42</v>
      </c>
      <c r="M318" s="83">
        <f t="shared" si="831"/>
        <v>46</v>
      </c>
      <c r="N318" s="83">
        <f t="shared" si="831"/>
        <v>49</v>
      </c>
      <c r="O318" s="83">
        <f t="shared" si="831"/>
        <v>52</v>
      </c>
      <c r="P318" s="83">
        <f t="shared" si="831"/>
        <v>55</v>
      </c>
      <c r="Q318" s="83">
        <f t="shared" si="831"/>
        <v>58</v>
      </c>
      <c r="R318" s="83">
        <f t="shared" si="831"/>
        <v>61</v>
      </c>
      <c r="S318" s="83">
        <f t="shared" si="831"/>
        <v>64</v>
      </c>
      <c r="T318" s="83">
        <f t="shared" si="831"/>
        <v>67</v>
      </c>
      <c r="U318" s="83">
        <f t="shared" si="831"/>
        <v>71</v>
      </c>
      <c r="V318" s="83">
        <f t="shared" si="831"/>
        <v>75</v>
      </c>
      <c r="W318" s="83">
        <f t="shared" si="831"/>
        <v>79</v>
      </c>
    </row>
    <row r="319" spans="1:27" ht="25.5" customHeight="1" x14ac:dyDescent="0.25">
      <c r="A319" s="10" t="s">
        <v>142</v>
      </c>
      <c r="B319" s="883"/>
      <c r="C319" s="317" t="str">
        <f t="shared" ref="C319:C321" si="832">C318</f>
        <v>GENERAL</v>
      </c>
      <c r="D319" s="86" t="s">
        <v>142</v>
      </c>
      <c r="E319" s="83">
        <f>E304</f>
        <v>70</v>
      </c>
      <c r="F319" s="83">
        <f>F304</f>
        <v>70</v>
      </c>
      <c r="G319" s="83">
        <f t="shared" ref="G319:W319" si="833">G304</f>
        <v>189</v>
      </c>
      <c r="H319" s="83">
        <f t="shared" si="833"/>
        <v>350</v>
      </c>
      <c r="I319" s="83">
        <f t="shared" si="833"/>
        <v>553</v>
      </c>
      <c r="J319" s="83">
        <f t="shared" si="833"/>
        <v>791</v>
      </c>
      <c r="K319" s="83">
        <f t="shared" si="833"/>
        <v>1057</v>
      </c>
      <c r="L319" s="83">
        <f t="shared" si="833"/>
        <v>1351</v>
      </c>
      <c r="M319" s="83">
        <f t="shared" si="833"/>
        <v>1673</v>
      </c>
      <c r="N319" s="83">
        <f t="shared" si="833"/>
        <v>2016</v>
      </c>
      <c r="O319" s="83">
        <f t="shared" si="833"/>
        <v>2380</v>
      </c>
      <c r="P319" s="83">
        <f t="shared" si="833"/>
        <v>2765</v>
      </c>
      <c r="Q319" s="83">
        <f t="shared" si="833"/>
        <v>3171</v>
      </c>
      <c r="R319" s="83">
        <f t="shared" si="833"/>
        <v>3598</v>
      </c>
      <c r="S319" s="83">
        <f t="shared" si="833"/>
        <v>4046</v>
      </c>
      <c r="T319" s="83">
        <f t="shared" si="833"/>
        <v>4515</v>
      </c>
      <c r="U319" s="83">
        <f t="shared" si="833"/>
        <v>5012</v>
      </c>
      <c r="V319" s="83">
        <f t="shared" si="833"/>
        <v>5537</v>
      </c>
      <c r="W319" s="83">
        <f t="shared" si="833"/>
        <v>6090</v>
      </c>
    </row>
    <row r="320" spans="1:27" ht="25.5" customHeight="1" x14ac:dyDescent="0.25">
      <c r="A320" s="10" t="s">
        <v>11</v>
      </c>
      <c r="B320" s="883"/>
      <c r="C320" s="317" t="str">
        <f t="shared" si="832"/>
        <v>GENERAL</v>
      </c>
      <c r="D320" s="86" t="s">
        <v>63</v>
      </c>
      <c r="E320" s="83">
        <f>E306</f>
        <v>40</v>
      </c>
      <c r="F320" s="83">
        <f>F306</f>
        <v>70</v>
      </c>
      <c r="G320" s="83">
        <f t="shared" ref="G320:W320" si="834">G306</f>
        <v>120</v>
      </c>
      <c r="H320" s="83">
        <f t="shared" si="834"/>
        <v>185</v>
      </c>
      <c r="I320" s="83">
        <f t="shared" si="834"/>
        <v>255</v>
      </c>
      <c r="J320" s="83">
        <f t="shared" si="834"/>
        <v>334</v>
      </c>
      <c r="K320" s="83">
        <f t="shared" si="834"/>
        <v>425</v>
      </c>
      <c r="L320" s="83">
        <f t="shared" si="834"/>
        <v>524</v>
      </c>
      <c r="M320" s="83">
        <f t="shared" si="834"/>
        <v>618</v>
      </c>
      <c r="N320" s="83">
        <f t="shared" si="834"/>
        <v>712</v>
      </c>
      <c r="O320" s="83">
        <f t="shared" si="834"/>
        <v>802</v>
      </c>
      <c r="P320" s="83">
        <f t="shared" si="834"/>
        <v>880</v>
      </c>
      <c r="Q320" s="83">
        <f t="shared" si="834"/>
        <v>950</v>
      </c>
      <c r="R320" s="83">
        <f t="shared" si="834"/>
        <v>1010</v>
      </c>
      <c r="S320" s="83">
        <f t="shared" si="834"/>
        <v>1065</v>
      </c>
      <c r="T320" s="83">
        <f t="shared" si="834"/>
        <v>1115</v>
      </c>
      <c r="U320" s="83">
        <f t="shared" si="834"/>
        <v>1160</v>
      </c>
      <c r="V320" s="83">
        <f t="shared" si="834"/>
        <v>1207</v>
      </c>
      <c r="W320" s="83">
        <f t="shared" si="834"/>
        <v>1257</v>
      </c>
    </row>
    <row r="321" spans="1:23" ht="25.5" customHeight="1" x14ac:dyDescent="0.25">
      <c r="A321" s="10" t="s">
        <v>69</v>
      </c>
      <c r="B321" s="883"/>
      <c r="C321" s="317" t="str">
        <f t="shared" si="832"/>
        <v>GENERAL</v>
      </c>
      <c r="D321" s="86" t="s">
        <v>65</v>
      </c>
      <c r="E321" s="83">
        <f>E309</f>
        <v>77</v>
      </c>
      <c r="F321" s="83">
        <f>F309</f>
        <v>77</v>
      </c>
      <c r="G321" s="83">
        <f t="shared" ref="G321:W321" si="835">G309</f>
        <v>77</v>
      </c>
      <c r="H321" s="83">
        <f t="shared" si="835"/>
        <v>77</v>
      </c>
      <c r="I321" s="83">
        <f t="shared" si="835"/>
        <v>79</v>
      </c>
      <c r="J321" s="83">
        <f t="shared" si="835"/>
        <v>79</v>
      </c>
      <c r="K321" s="83">
        <f t="shared" si="835"/>
        <v>79</v>
      </c>
      <c r="L321" s="83">
        <f t="shared" si="835"/>
        <v>79</v>
      </c>
      <c r="M321" s="83">
        <f t="shared" si="835"/>
        <v>79</v>
      </c>
      <c r="N321" s="83">
        <f t="shared" si="835"/>
        <v>79</v>
      </c>
      <c r="O321" s="83">
        <f t="shared" si="835"/>
        <v>80</v>
      </c>
      <c r="P321" s="83">
        <f t="shared" si="835"/>
        <v>80</v>
      </c>
      <c r="Q321" s="83">
        <f t="shared" si="835"/>
        <v>82</v>
      </c>
      <c r="R321" s="83">
        <f t="shared" si="835"/>
        <v>82</v>
      </c>
      <c r="S321" s="83">
        <f t="shared" si="835"/>
        <v>84</v>
      </c>
      <c r="T321" s="83">
        <f t="shared" si="835"/>
        <v>86</v>
      </c>
      <c r="U321" s="83">
        <f t="shared" si="835"/>
        <v>86</v>
      </c>
      <c r="V321" s="83">
        <f t="shared" si="835"/>
        <v>86</v>
      </c>
      <c r="W321" s="83">
        <f t="shared" si="835"/>
        <v>86</v>
      </c>
    </row>
    <row r="322" spans="1:23" x14ac:dyDescent="0.25">
      <c r="C322" s="317"/>
      <c r="D322" s="85"/>
      <c r="E322" s="85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</row>
    <row r="323" spans="1:23" x14ac:dyDescent="0.25">
      <c r="C323" s="317"/>
      <c r="D323" s="85"/>
      <c r="E323" s="85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</row>
    <row r="324" spans="1:23" x14ac:dyDescent="0.25">
      <c r="C324" s="317"/>
      <c r="D324" s="85"/>
      <c r="E324" s="320">
        <v>0</v>
      </c>
      <c r="F324" s="320">
        <v>1</v>
      </c>
      <c r="G324" s="320">
        <v>2</v>
      </c>
      <c r="H324" s="320">
        <v>3</v>
      </c>
      <c r="I324" s="320">
        <v>4</v>
      </c>
      <c r="J324" s="320">
        <v>5</v>
      </c>
      <c r="K324" s="320">
        <v>6</v>
      </c>
      <c r="L324" s="320">
        <v>7</v>
      </c>
      <c r="M324" s="320">
        <v>8</v>
      </c>
      <c r="N324" s="320">
        <v>9</v>
      </c>
      <c r="O324" s="320">
        <v>10</v>
      </c>
      <c r="P324" s="320">
        <v>11</v>
      </c>
      <c r="Q324" s="320">
        <v>12</v>
      </c>
      <c r="R324" s="320">
        <v>13</v>
      </c>
      <c r="S324" s="320">
        <v>14</v>
      </c>
      <c r="T324" s="320">
        <v>15</v>
      </c>
      <c r="U324" s="320">
        <v>16</v>
      </c>
      <c r="V324" s="320">
        <v>17</v>
      </c>
      <c r="W324" s="320">
        <v>18</v>
      </c>
    </row>
    <row r="325" spans="1:23" x14ac:dyDescent="0.25">
      <c r="A325" s="2" t="s">
        <v>86</v>
      </c>
      <c r="B325" s="883" t="s">
        <v>38</v>
      </c>
      <c r="C325" s="317" t="str">
        <f>C321</f>
        <v>GENERAL</v>
      </c>
      <c r="D325" s="24" t="s">
        <v>34</v>
      </c>
      <c r="E325" s="83">
        <f t="shared" ref="E325:W325" si="836">IF($C325="GENERAL",SUMIFS(E$169:E$286,$D$169:$D$286,$D325),SUMIFS(E$169:E$286,$C$169:$C$286,$C325,$D$169:$D$286,$D325))</f>
        <v>0</v>
      </c>
      <c r="F325" s="83">
        <f t="shared" si="836"/>
        <v>0</v>
      </c>
      <c r="G325" s="83">
        <f t="shared" si="836"/>
        <v>0</v>
      </c>
      <c r="H325" s="83">
        <f t="shared" si="836"/>
        <v>0</v>
      </c>
      <c r="I325" s="83">
        <f t="shared" si="836"/>
        <v>0</v>
      </c>
      <c r="J325" s="83">
        <f t="shared" si="836"/>
        <v>0</v>
      </c>
      <c r="K325" s="83">
        <f t="shared" si="836"/>
        <v>0</v>
      </c>
      <c r="L325" s="83">
        <f t="shared" si="836"/>
        <v>0</v>
      </c>
      <c r="M325" s="83">
        <f t="shared" si="836"/>
        <v>0</v>
      </c>
      <c r="N325" s="83">
        <f t="shared" si="836"/>
        <v>0</v>
      </c>
      <c r="O325" s="83">
        <f t="shared" si="836"/>
        <v>0</v>
      </c>
      <c r="P325" s="83">
        <f t="shared" si="836"/>
        <v>0</v>
      </c>
      <c r="Q325" s="83">
        <f t="shared" si="836"/>
        <v>0</v>
      </c>
      <c r="R325" s="83">
        <f t="shared" si="836"/>
        <v>0</v>
      </c>
      <c r="S325" s="83">
        <f t="shared" si="836"/>
        <v>0</v>
      </c>
      <c r="T325" s="83">
        <f t="shared" si="836"/>
        <v>0</v>
      </c>
      <c r="U325" s="83">
        <f t="shared" si="836"/>
        <v>0</v>
      </c>
      <c r="V325" s="83">
        <f t="shared" si="836"/>
        <v>0</v>
      </c>
      <c r="W325" s="83">
        <f t="shared" si="836"/>
        <v>0</v>
      </c>
    </row>
    <row r="326" spans="1:23" ht="27.75" customHeight="1" x14ac:dyDescent="0.25">
      <c r="A326" s="10" t="s">
        <v>68</v>
      </c>
      <c r="B326" s="883"/>
      <c r="C326" s="317" t="str">
        <f>C325</f>
        <v>GENERAL</v>
      </c>
      <c r="D326" s="86" t="s">
        <v>74</v>
      </c>
      <c r="E326" s="214">
        <f>E298</f>
        <v>0</v>
      </c>
      <c r="F326" s="214">
        <f>F298</f>
        <v>0</v>
      </c>
      <c r="G326" s="214">
        <f>G298</f>
        <v>0</v>
      </c>
      <c r="H326" s="214">
        <f t="shared" ref="H326:W326" si="837">H298</f>
        <v>0</v>
      </c>
      <c r="I326" s="214">
        <f>I298</f>
        <v>0</v>
      </c>
      <c r="J326" s="214">
        <f t="shared" si="837"/>
        <v>0</v>
      </c>
      <c r="K326" s="214">
        <f t="shared" si="837"/>
        <v>0</v>
      </c>
      <c r="L326" s="214">
        <f t="shared" si="837"/>
        <v>0</v>
      </c>
      <c r="M326" s="214">
        <f t="shared" si="837"/>
        <v>0</v>
      </c>
      <c r="N326" s="214">
        <f t="shared" si="837"/>
        <v>0</v>
      </c>
      <c r="O326" s="214">
        <f t="shared" si="837"/>
        <v>0</v>
      </c>
      <c r="P326" s="214">
        <f t="shared" si="837"/>
        <v>0</v>
      </c>
      <c r="Q326" s="214">
        <f t="shared" si="837"/>
        <v>0</v>
      </c>
      <c r="R326" s="214">
        <f t="shared" si="837"/>
        <v>0</v>
      </c>
      <c r="S326" s="214">
        <f t="shared" si="837"/>
        <v>0</v>
      </c>
      <c r="T326" s="214">
        <f t="shared" si="837"/>
        <v>0</v>
      </c>
      <c r="U326" s="214">
        <f t="shared" si="837"/>
        <v>0</v>
      </c>
      <c r="V326" s="214">
        <f t="shared" si="837"/>
        <v>0</v>
      </c>
      <c r="W326" s="214">
        <f t="shared" si="837"/>
        <v>0</v>
      </c>
    </row>
    <row r="327" spans="1:23" ht="27.75" customHeight="1" x14ac:dyDescent="0.25">
      <c r="A327" s="10" t="s">
        <v>70</v>
      </c>
      <c r="B327" s="883"/>
      <c r="C327" s="317" t="str">
        <f t="shared" ref="C327:C331" si="838">C326</f>
        <v>GENERAL</v>
      </c>
      <c r="D327" s="87" t="s">
        <v>73</v>
      </c>
      <c r="E327" s="214">
        <f>E300</f>
        <v>0</v>
      </c>
      <c r="F327" s="214">
        <f>F300</f>
        <v>0</v>
      </c>
      <c r="G327" s="214">
        <f t="shared" ref="G327:W327" si="839">G300</f>
        <v>0</v>
      </c>
      <c r="H327" s="214">
        <f t="shared" si="839"/>
        <v>0</v>
      </c>
      <c r="I327" s="214">
        <f t="shared" si="839"/>
        <v>0</v>
      </c>
      <c r="J327" s="214">
        <f t="shared" si="839"/>
        <v>0</v>
      </c>
      <c r="K327" s="214">
        <f t="shared" si="839"/>
        <v>0</v>
      </c>
      <c r="L327" s="214">
        <f t="shared" si="839"/>
        <v>0</v>
      </c>
      <c r="M327" s="214">
        <f t="shared" si="839"/>
        <v>0</v>
      </c>
      <c r="N327" s="214">
        <f t="shared" si="839"/>
        <v>0</v>
      </c>
      <c r="O327" s="214">
        <f t="shared" si="839"/>
        <v>0</v>
      </c>
      <c r="P327" s="214">
        <f t="shared" si="839"/>
        <v>0</v>
      </c>
      <c r="Q327" s="214">
        <f t="shared" si="839"/>
        <v>0</v>
      </c>
      <c r="R327" s="214">
        <f t="shared" si="839"/>
        <v>0</v>
      </c>
      <c r="S327" s="214">
        <f t="shared" si="839"/>
        <v>0</v>
      </c>
      <c r="T327" s="214">
        <f t="shared" si="839"/>
        <v>0</v>
      </c>
      <c r="U327" s="214">
        <f t="shared" si="839"/>
        <v>0</v>
      </c>
      <c r="V327" s="214">
        <f t="shared" si="839"/>
        <v>0</v>
      </c>
      <c r="W327" s="214">
        <f t="shared" si="839"/>
        <v>0</v>
      </c>
    </row>
    <row r="328" spans="1:23" ht="27.75" customHeight="1" x14ac:dyDescent="0.25">
      <c r="A328" s="10" t="s">
        <v>71</v>
      </c>
      <c r="B328" s="883"/>
      <c r="C328" s="317" t="str">
        <f t="shared" si="838"/>
        <v>GENERAL</v>
      </c>
      <c r="D328" s="86" t="s">
        <v>62</v>
      </c>
      <c r="E328" s="83">
        <f>E303</f>
        <v>0</v>
      </c>
      <c r="F328" s="83">
        <f>F303</f>
        <v>0</v>
      </c>
      <c r="G328" s="83">
        <f t="shared" ref="G328:W328" si="840">G303</f>
        <v>0</v>
      </c>
      <c r="H328" s="83">
        <f>H303</f>
        <v>0</v>
      </c>
      <c r="I328" s="83">
        <f t="shared" si="840"/>
        <v>0</v>
      </c>
      <c r="J328" s="83">
        <f t="shared" si="840"/>
        <v>0</v>
      </c>
      <c r="K328" s="83">
        <f t="shared" si="840"/>
        <v>0</v>
      </c>
      <c r="L328" s="83">
        <f t="shared" si="840"/>
        <v>0</v>
      </c>
      <c r="M328" s="83">
        <f t="shared" si="840"/>
        <v>0</v>
      </c>
      <c r="N328" s="83">
        <f t="shared" si="840"/>
        <v>0</v>
      </c>
      <c r="O328" s="83">
        <f t="shared" si="840"/>
        <v>0</v>
      </c>
      <c r="P328" s="83">
        <f t="shared" si="840"/>
        <v>0</v>
      </c>
      <c r="Q328" s="83">
        <f t="shared" si="840"/>
        <v>0</v>
      </c>
      <c r="R328" s="83">
        <f t="shared" si="840"/>
        <v>0</v>
      </c>
      <c r="S328" s="83">
        <f t="shared" si="840"/>
        <v>0</v>
      </c>
      <c r="T328" s="83">
        <f t="shared" si="840"/>
        <v>0</v>
      </c>
      <c r="U328" s="83">
        <f t="shared" si="840"/>
        <v>0</v>
      </c>
      <c r="V328" s="83">
        <f t="shared" si="840"/>
        <v>0</v>
      </c>
      <c r="W328" s="83">
        <f t="shared" si="840"/>
        <v>0</v>
      </c>
    </row>
    <row r="329" spans="1:23" ht="27.75" customHeight="1" x14ac:dyDescent="0.25">
      <c r="A329" s="10" t="s">
        <v>142</v>
      </c>
      <c r="B329" s="883"/>
      <c r="C329" s="317" t="str">
        <f t="shared" si="838"/>
        <v>GENERAL</v>
      </c>
      <c r="D329" s="86" t="s">
        <v>142</v>
      </c>
      <c r="E329" s="83" t="e">
        <f>E305</f>
        <v>#DIV/0!</v>
      </c>
      <c r="F329" s="83" t="e">
        <f>F305</f>
        <v>#DIV/0!</v>
      </c>
      <c r="G329" s="83" t="e">
        <f t="shared" ref="G329:W329" si="841">G305</f>
        <v>#DIV/0!</v>
      </c>
      <c r="H329" s="83" t="e">
        <f t="shared" si="841"/>
        <v>#DIV/0!</v>
      </c>
      <c r="I329" s="83" t="e">
        <f t="shared" si="841"/>
        <v>#DIV/0!</v>
      </c>
      <c r="J329" s="83" t="e">
        <f t="shared" si="841"/>
        <v>#DIV/0!</v>
      </c>
      <c r="K329" s="83" t="e">
        <f t="shared" si="841"/>
        <v>#DIV/0!</v>
      </c>
      <c r="L329" s="83" t="e">
        <f t="shared" si="841"/>
        <v>#DIV/0!</v>
      </c>
      <c r="M329" s="83" t="e">
        <f t="shared" si="841"/>
        <v>#DIV/0!</v>
      </c>
      <c r="N329" s="83" t="e">
        <f t="shared" si="841"/>
        <v>#DIV/0!</v>
      </c>
      <c r="O329" s="83" t="e">
        <f t="shared" si="841"/>
        <v>#DIV/0!</v>
      </c>
      <c r="P329" s="83" t="e">
        <f t="shared" si="841"/>
        <v>#DIV/0!</v>
      </c>
      <c r="Q329" s="83" t="e">
        <f t="shared" si="841"/>
        <v>#DIV/0!</v>
      </c>
      <c r="R329" s="83" t="e">
        <f t="shared" si="841"/>
        <v>#DIV/0!</v>
      </c>
      <c r="S329" s="83" t="e">
        <f t="shared" si="841"/>
        <v>#DIV/0!</v>
      </c>
      <c r="T329" s="83" t="e">
        <f t="shared" si="841"/>
        <v>#DIV/0!</v>
      </c>
      <c r="U329" s="83" t="e">
        <f t="shared" si="841"/>
        <v>#DIV/0!</v>
      </c>
      <c r="V329" s="83" t="e">
        <f t="shared" si="841"/>
        <v>#DIV/0!</v>
      </c>
      <c r="W329" s="83" t="e">
        <f t="shared" si="841"/>
        <v>#DIV/0!</v>
      </c>
    </row>
    <row r="330" spans="1:23" ht="27.75" customHeight="1" x14ac:dyDescent="0.25">
      <c r="A330" s="10" t="s">
        <v>11</v>
      </c>
      <c r="B330" s="883"/>
      <c r="C330" s="317" t="str">
        <f t="shared" si="838"/>
        <v>GENERAL</v>
      </c>
      <c r="D330" s="86" t="s">
        <v>64</v>
      </c>
      <c r="E330" s="83">
        <f t="shared" ref="E330:W330" si="842">E307</f>
        <v>0</v>
      </c>
      <c r="F330" s="83">
        <f t="shared" si="842"/>
        <v>0</v>
      </c>
      <c r="G330" s="83">
        <f t="shared" si="842"/>
        <v>0</v>
      </c>
      <c r="H330" s="83">
        <f t="shared" si="842"/>
        <v>0</v>
      </c>
      <c r="I330" s="83">
        <f t="shared" si="842"/>
        <v>0</v>
      </c>
      <c r="J330" s="83">
        <f t="shared" si="842"/>
        <v>0</v>
      </c>
      <c r="K330" s="83">
        <f t="shared" si="842"/>
        <v>0</v>
      </c>
      <c r="L330" s="83">
        <f t="shared" si="842"/>
        <v>0</v>
      </c>
      <c r="M330" s="83">
        <f t="shared" si="842"/>
        <v>0</v>
      </c>
      <c r="N330" s="83">
        <f t="shared" si="842"/>
        <v>0</v>
      </c>
      <c r="O330" s="83">
        <f t="shared" si="842"/>
        <v>0</v>
      </c>
      <c r="P330" s="83">
        <f t="shared" si="842"/>
        <v>0</v>
      </c>
      <c r="Q330" s="83">
        <f t="shared" si="842"/>
        <v>0</v>
      </c>
      <c r="R330" s="83">
        <f t="shared" si="842"/>
        <v>0</v>
      </c>
      <c r="S330" s="83">
        <f t="shared" si="842"/>
        <v>0</v>
      </c>
      <c r="T330" s="83">
        <f t="shared" si="842"/>
        <v>0</v>
      </c>
      <c r="U330" s="83">
        <f t="shared" si="842"/>
        <v>0</v>
      </c>
      <c r="V330" s="83">
        <f t="shared" si="842"/>
        <v>0</v>
      </c>
      <c r="W330" s="83">
        <f t="shared" si="842"/>
        <v>0</v>
      </c>
    </row>
    <row r="331" spans="1:23" ht="27.75" customHeight="1" x14ac:dyDescent="0.25">
      <c r="A331" s="10" t="s">
        <v>69</v>
      </c>
      <c r="B331" s="883"/>
      <c r="C331" s="317" t="str">
        <f t="shared" si="838"/>
        <v>GENERAL</v>
      </c>
      <c r="D331" s="86" t="s">
        <v>66</v>
      </c>
      <c r="E331" s="83">
        <f>E310</f>
        <v>0</v>
      </c>
      <c r="F331" s="83">
        <f>F310</f>
        <v>0</v>
      </c>
      <c r="G331" s="83">
        <f t="shared" ref="G331:W331" si="843">G310</f>
        <v>0</v>
      </c>
      <c r="H331" s="83">
        <f t="shared" si="843"/>
        <v>0</v>
      </c>
      <c r="I331" s="83">
        <f t="shared" si="843"/>
        <v>0</v>
      </c>
      <c r="J331" s="83">
        <f t="shared" si="843"/>
        <v>0</v>
      </c>
      <c r="K331" s="83">
        <f t="shared" si="843"/>
        <v>0</v>
      </c>
      <c r="L331" s="83">
        <f t="shared" si="843"/>
        <v>0</v>
      </c>
      <c r="M331" s="83">
        <f t="shared" si="843"/>
        <v>0</v>
      </c>
      <c r="N331" s="83">
        <f t="shared" si="843"/>
        <v>0</v>
      </c>
      <c r="O331" s="83">
        <f t="shared" si="843"/>
        <v>0</v>
      </c>
      <c r="P331" s="83">
        <f t="shared" si="843"/>
        <v>0</v>
      </c>
      <c r="Q331" s="83">
        <f t="shared" si="843"/>
        <v>0</v>
      </c>
      <c r="R331" s="83">
        <f t="shared" si="843"/>
        <v>0</v>
      </c>
      <c r="S331" s="83">
        <f t="shared" si="843"/>
        <v>0</v>
      </c>
      <c r="T331" s="83">
        <f t="shared" si="843"/>
        <v>0</v>
      </c>
      <c r="U331" s="83">
        <f t="shared" si="843"/>
        <v>0</v>
      </c>
      <c r="V331" s="83">
        <f t="shared" si="843"/>
        <v>0</v>
      </c>
      <c r="W331" s="83">
        <f t="shared" si="843"/>
        <v>0</v>
      </c>
    </row>
    <row r="332" spans="1:23" x14ac:dyDescent="0.25">
      <c r="D332" s="85" t="s">
        <v>48</v>
      </c>
      <c r="E332" s="83">
        <f>E296</f>
        <v>0</v>
      </c>
      <c r="F332" s="83">
        <f>F296</f>
        <v>0</v>
      </c>
      <c r="G332" s="83">
        <f t="shared" ref="G332:W332" si="844">G296</f>
        <v>0</v>
      </c>
      <c r="H332" s="83">
        <f t="shared" si="844"/>
        <v>0</v>
      </c>
      <c r="I332" s="83">
        <f t="shared" si="844"/>
        <v>0</v>
      </c>
      <c r="J332" s="83">
        <f>J296</f>
        <v>0</v>
      </c>
      <c r="K332" s="83">
        <f t="shared" si="844"/>
        <v>0</v>
      </c>
      <c r="L332" s="83">
        <f>L296</f>
        <v>0</v>
      </c>
      <c r="M332" s="83">
        <f t="shared" si="844"/>
        <v>0</v>
      </c>
      <c r="N332" s="83">
        <f t="shared" si="844"/>
        <v>0</v>
      </c>
      <c r="O332" s="83">
        <f t="shared" si="844"/>
        <v>0</v>
      </c>
      <c r="P332" s="83">
        <f t="shared" si="844"/>
        <v>0</v>
      </c>
      <c r="Q332" s="83">
        <f t="shared" si="844"/>
        <v>0</v>
      </c>
      <c r="R332" s="83">
        <f t="shared" si="844"/>
        <v>0</v>
      </c>
      <c r="S332" s="83">
        <f t="shared" si="844"/>
        <v>0</v>
      </c>
      <c r="T332" s="83">
        <f t="shared" si="844"/>
        <v>0</v>
      </c>
      <c r="U332" s="83">
        <f t="shared" si="844"/>
        <v>0</v>
      </c>
      <c r="V332" s="83">
        <f t="shared" si="844"/>
        <v>0</v>
      </c>
      <c r="W332" s="83">
        <f t="shared" si="844"/>
        <v>0</v>
      </c>
    </row>
    <row r="333" spans="1:23" x14ac:dyDescent="0.25">
      <c r="D333" s="85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</row>
    <row r="334" spans="1:23" x14ac:dyDescent="0.25">
      <c r="D334" s="85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</row>
    <row r="335" spans="1:23" x14ac:dyDescent="0.25">
      <c r="E335" s="316"/>
      <c r="F335" s="316"/>
      <c r="G335" s="316"/>
      <c r="H335" s="316"/>
      <c r="I335" s="316"/>
      <c r="J335" s="316"/>
      <c r="K335" s="316"/>
      <c r="L335" s="316"/>
      <c r="M335" s="316"/>
      <c r="N335" s="316"/>
      <c r="O335" s="316"/>
      <c r="P335" s="316"/>
      <c r="Q335" s="316"/>
      <c r="R335" s="316"/>
      <c r="S335" s="316"/>
      <c r="T335" s="316"/>
      <c r="U335" s="316"/>
      <c r="V335" s="316"/>
    </row>
    <row r="336" spans="1:23" x14ac:dyDescent="0.25">
      <c r="E336" s="316"/>
      <c r="F336" s="316"/>
      <c r="G336" s="316"/>
      <c r="H336" s="316"/>
      <c r="I336" s="316"/>
      <c r="J336" s="316"/>
      <c r="K336" s="316"/>
      <c r="L336" s="316"/>
      <c r="M336" s="316"/>
      <c r="N336" s="316"/>
      <c r="O336" s="316"/>
      <c r="P336" s="316"/>
      <c r="Q336" s="316"/>
      <c r="R336" s="316"/>
      <c r="S336" s="316"/>
      <c r="T336" s="316"/>
      <c r="U336" s="316"/>
      <c r="V336" s="316"/>
    </row>
    <row r="337" spans="2:23" x14ac:dyDescent="0.25">
      <c r="B337" s="84" t="s">
        <v>61</v>
      </c>
      <c r="D337" s="1" t="s">
        <v>33</v>
      </c>
      <c r="E337" s="316"/>
      <c r="F337" s="316"/>
      <c r="G337" s="316"/>
      <c r="H337" s="316"/>
      <c r="I337" s="316"/>
      <c r="J337" s="316"/>
      <c r="K337" s="316"/>
      <c r="L337" s="316"/>
      <c r="M337" s="316"/>
      <c r="N337" s="316"/>
      <c r="O337" s="316"/>
      <c r="P337" s="316"/>
      <c r="Q337" s="316"/>
      <c r="R337" s="316"/>
      <c r="S337" s="316"/>
      <c r="T337" s="316"/>
      <c r="U337" s="316"/>
      <c r="V337" s="316"/>
    </row>
    <row r="338" spans="2:23" x14ac:dyDescent="0.25">
      <c r="B338" s="84"/>
      <c r="E338" s="316"/>
      <c r="F338" s="316"/>
      <c r="G338" s="316"/>
      <c r="H338" s="316"/>
      <c r="I338" s="316"/>
      <c r="J338" s="316"/>
      <c r="K338" s="316"/>
      <c r="L338" s="316"/>
      <c r="M338" s="316"/>
      <c r="N338" s="316"/>
      <c r="O338" s="316"/>
      <c r="P338" s="316"/>
      <c r="Q338" s="316"/>
      <c r="R338" s="316"/>
      <c r="S338" s="316"/>
      <c r="T338" s="316"/>
      <c r="U338" s="316"/>
      <c r="V338" s="316"/>
    </row>
    <row r="339" spans="2:23" x14ac:dyDescent="0.25">
      <c r="B339" s="84"/>
      <c r="E339" s="316"/>
      <c r="F339" s="316"/>
      <c r="G339" s="316"/>
      <c r="H339" s="316"/>
      <c r="I339" s="316"/>
      <c r="J339" s="316"/>
      <c r="K339" s="316"/>
      <c r="L339" s="316"/>
      <c r="M339" s="316"/>
      <c r="N339" s="316"/>
      <c r="O339" s="316"/>
      <c r="P339" s="316"/>
      <c r="Q339" s="316"/>
      <c r="R339" s="316"/>
      <c r="S339" s="316"/>
      <c r="T339" s="316"/>
      <c r="U339" s="316"/>
      <c r="V339" s="316"/>
    </row>
    <row r="340" spans="2:23" x14ac:dyDescent="0.25">
      <c r="B340" s="84"/>
      <c r="D340" s="1" t="s">
        <v>57</v>
      </c>
      <c r="E340" s="320">
        <v>0</v>
      </c>
      <c r="F340" s="320">
        <v>1</v>
      </c>
      <c r="G340" s="320">
        <v>2</v>
      </c>
      <c r="H340" s="320">
        <v>3</v>
      </c>
      <c r="I340" s="320">
        <v>4</v>
      </c>
      <c r="J340" s="320">
        <v>5</v>
      </c>
      <c r="K340" s="320">
        <v>6</v>
      </c>
      <c r="L340" s="320">
        <v>7</v>
      </c>
      <c r="M340" s="320">
        <v>8</v>
      </c>
      <c r="N340" s="320">
        <v>9</v>
      </c>
      <c r="O340" s="320">
        <v>10</v>
      </c>
      <c r="P340" s="320">
        <v>11</v>
      </c>
      <c r="Q340" s="320">
        <v>12</v>
      </c>
      <c r="R340" s="320">
        <v>13</v>
      </c>
      <c r="S340" s="320">
        <v>14</v>
      </c>
      <c r="T340" s="320">
        <v>15</v>
      </c>
      <c r="U340" s="320">
        <v>16</v>
      </c>
      <c r="V340" s="320">
        <v>17</v>
      </c>
      <c r="W340" s="320">
        <v>18</v>
      </c>
    </row>
    <row r="341" spans="2:23" x14ac:dyDescent="0.25">
      <c r="B341" s="84" t="b">
        <v>1</v>
      </c>
      <c r="D341" s="1" t="str">
        <f>IF(TABLERO!$Q$4=TRUE,VLOOKUP(TABLERO!$J$48,TABLERO!$H$48:$I$56,2,FALSE),"")</f>
        <v>%MORT. ACUMULADA</v>
      </c>
      <c r="E341" s="319">
        <f>SUMIFS(E$315:E$321,$A$315:$A$321,$D$341)</f>
        <v>0.7</v>
      </c>
      <c r="F341" s="319">
        <f t="shared" ref="F341:W341" si="845">SUMIFS(F$315:F$321,$A$315:$A$321,$D$341)</f>
        <v>0.7</v>
      </c>
      <c r="G341" s="319">
        <f t="shared" si="845"/>
        <v>1.4</v>
      </c>
      <c r="H341" s="319">
        <f t="shared" si="845"/>
        <v>1.9</v>
      </c>
      <c r="I341" s="319">
        <f t="shared" si="845"/>
        <v>2.1999999999999997</v>
      </c>
      <c r="J341" s="319">
        <f t="shared" si="845"/>
        <v>2.38</v>
      </c>
      <c r="K341" s="319">
        <f t="shared" si="845"/>
        <v>2.56</v>
      </c>
      <c r="L341" s="319">
        <f t="shared" si="845"/>
        <v>2.72</v>
      </c>
      <c r="M341" s="319">
        <f t="shared" si="845"/>
        <v>2.8800000000000003</v>
      </c>
      <c r="N341" s="319">
        <f t="shared" si="845"/>
        <v>3.0400000000000005</v>
      </c>
      <c r="O341" s="319">
        <f t="shared" si="845"/>
        <v>3.2000000000000006</v>
      </c>
      <c r="P341" s="319">
        <f t="shared" si="845"/>
        <v>3.3600000000000008</v>
      </c>
      <c r="Q341" s="319">
        <f t="shared" si="845"/>
        <v>3.5200000000000009</v>
      </c>
      <c r="R341" s="319">
        <f t="shared" si="845"/>
        <v>3.680000000000001</v>
      </c>
      <c r="S341" s="319">
        <f t="shared" si="845"/>
        <v>3.8400000000000012</v>
      </c>
      <c r="T341" s="319">
        <f t="shared" si="845"/>
        <v>4.0000000000000009</v>
      </c>
      <c r="U341" s="319">
        <f t="shared" si="845"/>
        <v>4.160000000000001</v>
      </c>
      <c r="V341" s="319">
        <f t="shared" si="845"/>
        <v>4.3200000000000012</v>
      </c>
      <c r="W341" s="319">
        <f t="shared" si="845"/>
        <v>4.4800000000000013</v>
      </c>
    </row>
    <row r="342" spans="2:23" x14ac:dyDescent="0.25">
      <c r="B342" s="84"/>
      <c r="D342" s="1" t="str">
        <f>IF(B341=FALSE,"",IF(TABLERO!$Q$5=TRUE,VLOOKUP(TABLERO!$J$48,TABLERO!$H$48:$I$56,2,FALSE),""))</f>
        <v>%MORT. ACUMULADA</v>
      </c>
      <c r="E342" s="319">
        <f>SUMIFS(E$325:E$331,$A$325:$A$331,$D$342)</f>
        <v>0</v>
      </c>
      <c r="F342" s="319">
        <f t="shared" ref="F342:W342" si="846">SUMIFS(F$325:F$331,$A$325:$A$331,$D$342)</f>
        <v>0</v>
      </c>
      <c r="G342" s="319">
        <f>SUMIFS(G$325:G$331,$A$325:$A$331,$D$342)</f>
        <v>0</v>
      </c>
      <c r="H342" s="319">
        <f>SUMIFS(H$325:H$331,$A$325:$A$331,$D$342)</f>
        <v>0</v>
      </c>
      <c r="I342" s="319">
        <f>SUMIFS(I$325:I$331,$A$325:$A$331,$D$342)</f>
        <v>0</v>
      </c>
      <c r="J342" s="319">
        <f t="shared" si="846"/>
        <v>0</v>
      </c>
      <c r="K342" s="319">
        <f t="shared" si="846"/>
        <v>0</v>
      </c>
      <c r="L342" s="319">
        <f t="shared" si="846"/>
        <v>0</v>
      </c>
      <c r="M342" s="319">
        <f t="shared" si="846"/>
        <v>0</v>
      </c>
      <c r="N342" s="319">
        <f t="shared" si="846"/>
        <v>0</v>
      </c>
      <c r="O342" s="319">
        <f t="shared" si="846"/>
        <v>0</v>
      </c>
      <c r="P342" s="319">
        <f t="shared" si="846"/>
        <v>0</v>
      </c>
      <c r="Q342" s="319">
        <f t="shared" si="846"/>
        <v>0</v>
      </c>
      <c r="R342" s="319">
        <f t="shared" si="846"/>
        <v>0</v>
      </c>
      <c r="S342" s="319">
        <f t="shared" si="846"/>
        <v>0</v>
      </c>
      <c r="T342" s="319">
        <f t="shared" si="846"/>
        <v>0</v>
      </c>
      <c r="U342" s="319">
        <f t="shared" si="846"/>
        <v>0</v>
      </c>
      <c r="V342" s="319">
        <f t="shared" si="846"/>
        <v>0</v>
      </c>
      <c r="W342" s="319">
        <f t="shared" si="846"/>
        <v>0</v>
      </c>
    </row>
    <row r="343" spans="2:23" x14ac:dyDescent="0.25">
      <c r="B343" s="84"/>
      <c r="C343" s="1" t="str">
        <f>CONCATENATE($D$337,"                                    ",$C$290,"                                      ",$D$341)</f>
        <v>BUEYERA 2                                    GENERAL                                      %MORT. ACUMULADA</v>
      </c>
      <c r="E343" s="316"/>
      <c r="F343" s="316"/>
      <c r="G343" s="316"/>
      <c r="H343" s="316"/>
      <c r="I343" s="316"/>
      <c r="J343" s="316"/>
      <c r="K343" s="316"/>
      <c r="L343" s="316"/>
      <c r="M343" s="316"/>
      <c r="N343" s="316"/>
      <c r="O343" s="316"/>
      <c r="P343" s="316"/>
      <c r="Q343" s="316"/>
      <c r="R343" s="316"/>
      <c r="S343" s="316"/>
      <c r="T343" s="316"/>
      <c r="U343" s="316"/>
      <c r="V343" s="316"/>
    </row>
    <row r="344" spans="2:23" x14ac:dyDescent="0.25">
      <c r="B344" s="84"/>
      <c r="E344" s="316"/>
      <c r="F344" s="316"/>
      <c r="G344" s="316"/>
      <c r="H344" s="316"/>
      <c r="I344" s="316"/>
      <c r="J344" s="316"/>
      <c r="K344" s="316"/>
      <c r="L344" s="316"/>
      <c r="M344" s="316"/>
      <c r="N344" s="316"/>
      <c r="O344" s="316"/>
      <c r="P344" s="316"/>
      <c r="Q344" s="316"/>
      <c r="R344" s="316"/>
      <c r="S344" s="316"/>
      <c r="T344" s="316"/>
      <c r="U344" s="316"/>
      <c r="V344" s="316"/>
    </row>
    <row r="345" spans="2:23" x14ac:dyDescent="0.25">
      <c r="B345" s="84"/>
      <c r="E345" s="316"/>
      <c r="F345" s="316"/>
      <c r="G345" s="316"/>
      <c r="H345" s="316"/>
      <c r="I345" s="316"/>
      <c r="J345" s="316"/>
      <c r="K345" s="316"/>
      <c r="L345" s="316"/>
      <c r="M345" s="316"/>
      <c r="N345" s="316"/>
      <c r="O345" s="316"/>
      <c r="P345" s="316"/>
      <c r="Q345" s="316"/>
      <c r="R345" s="316"/>
      <c r="S345" s="316"/>
      <c r="T345" s="316"/>
      <c r="U345" s="316"/>
      <c r="V345" s="316"/>
    </row>
    <row r="346" spans="2:23" x14ac:dyDescent="0.3">
      <c r="D346" s="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</row>
    <row r="347" spans="2:23" x14ac:dyDescent="0.25">
      <c r="D347" s="2"/>
    </row>
    <row r="348" spans="2:23" x14ac:dyDescent="0.25">
      <c r="D348" s="2"/>
    </row>
  </sheetData>
  <mergeCells count="46">
    <mergeCell ref="DP4:DR4"/>
    <mergeCell ref="DS4:DU4"/>
    <mergeCell ref="X307:AA307"/>
    <mergeCell ref="B315:B321"/>
    <mergeCell ref="B325:B331"/>
    <mergeCell ref="CT4:CV4"/>
    <mergeCell ref="CX4:CX5"/>
    <mergeCell ref="CY4:CY5"/>
    <mergeCell ref="CZ4:DB4"/>
    <mergeCell ref="DC4:DK4"/>
    <mergeCell ref="DL4:DO4"/>
    <mergeCell ref="BY4:BY5"/>
    <mergeCell ref="BZ4:BZ5"/>
    <mergeCell ref="CA4:CC4"/>
    <mergeCell ref="CD4:CL4"/>
    <mergeCell ref="CM4:CP4"/>
    <mergeCell ref="AV4:AX4"/>
    <mergeCell ref="CQ4:CS4"/>
    <mergeCell ref="BA4:BA5"/>
    <mergeCell ref="BB4:BD4"/>
    <mergeCell ref="BE4:BM4"/>
    <mergeCell ref="BN4:BQ4"/>
    <mergeCell ref="BR4:BT4"/>
    <mergeCell ref="BU4:BW4"/>
    <mergeCell ref="AZ4:AZ5"/>
    <mergeCell ref="DS3:DU3"/>
    <mergeCell ref="B4:B5"/>
    <mergeCell ref="C4:C5"/>
    <mergeCell ref="D4:F4"/>
    <mergeCell ref="G4:O4"/>
    <mergeCell ref="P4:S4"/>
    <mergeCell ref="T4:V4"/>
    <mergeCell ref="W4:Y4"/>
    <mergeCell ref="AA4:AA5"/>
    <mergeCell ref="AB4:AB5"/>
    <mergeCell ref="BU3:BW3"/>
    <mergeCell ref="CT3:CV3"/>
    <mergeCell ref="AC4:AE4"/>
    <mergeCell ref="AF4:AN4"/>
    <mergeCell ref="AO4:AR4"/>
    <mergeCell ref="AS4:AU4"/>
    <mergeCell ref="E2:Q2"/>
    <mergeCell ref="AD2:AQ2"/>
    <mergeCell ref="BC2:BP2"/>
    <mergeCell ref="CB2:CO2"/>
    <mergeCell ref="DA2:DN2"/>
  </mergeCells>
  <printOptions horizontalCentered="1"/>
  <pageMargins left="0" right="0" top="0" bottom="0" header="0.31496062992125984" footer="0.31496062992125984"/>
  <pageSetup paperSize="9" scale="1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4" name="Check Box 1">
              <controlPr defaultSize="0" autoFill="0" autoLine="0" autoPict="0">
                <anchor moveWithCells="1">
                  <from>
                    <xdr:col>1</xdr:col>
                    <xdr:colOff>85725</xdr:colOff>
                    <xdr:row>337</xdr:row>
                    <xdr:rowOff>133350</xdr:rowOff>
                  </from>
                  <to>
                    <xdr:col>2</xdr:col>
                    <xdr:colOff>333375</xdr:colOff>
                    <xdr:row>338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HQ350"/>
  <sheetViews>
    <sheetView showGridLines="0" zoomScale="85" zoomScaleNormal="85" zoomScaleSheetLayoutView="96" workbookViewId="0">
      <pane xSplit="1" ySplit="5" topLeftCell="B22" activePane="bottomRight" state="frozen"/>
      <selection pane="topRight" activeCell="B1" sqref="B1"/>
      <selection pane="bottomLeft" activeCell="A6" sqref="A6"/>
      <selection pane="bottomRight" activeCell="H28" sqref="H28"/>
    </sheetView>
  </sheetViews>
  <sheetFormatPr baseColWidth="10" defaultColWidth="11.42578125" defaultRowHeight="16.5" x14ac:dyDescent="0.25"/>
  <cols>
    <col min="1" max="1" width="16.7109375" style="2" customWidth="1"/>
    <col min="2" max="2" width="6.140625" style="1" customWidth="1"/>
    <col min="3" max="3" width="10.28515625" style="1" customWidth="1"/>
    <col min="4" max="4" width="10.42578125" style="1" customWidth="1"/>
    <col min="5" max="6" width="12.140625" style="2" customWidth="1"/>
    <col min="7" max="8" width="5.7109375" style="2" customWidth="1"/>
    <col min="9" max="10" width="6.85546875" style="2" customWidth="1"/>
    <col min="11" max="11" width="6.28515625" style="2" customWidth="1"/>
    <col min="12" max="12" width="5.85546875" style="2" customWidth="1"/>
    <col min="13" max="13" width="8" style="2" customWidth="1"/>
    <col min="14" max="14" width="10" style="2" customWidth="1"/>
    <col min="15" max="15" width="6.85546875" style="2" customWidth="1"/>
    <col min="16" max="17" width="7.85546875" style="2" customWidth="1"/>
    <col min="18" max="18" width="8.5703125" style="2" customWidth="1"/>
    <col min="19" max="19" width="9" style="2" customWidth="1"/>
    <col min="20" max="20" width="7.28515625" style="2" customWidth="1"/>
    <col min="21" max="21" width="6.85546875" style="2" customWidth="1"/>
    <col min="22" max="22" width="6.28515625" style="2" customWidth="1"/>
    <col min="23" max="23" width="6.140625" style="2" customWidth="1"/>
    <col min="24" max="24" width="5.42578125" style="2" customWidth="1"/>
    <col min="25" max="25" width="5.140625" style="2" customWidth="1"/>
    <col min="26" max="26" width="14.85546875" style="362" customWidth="1"/>
    <col min="27" max="28" width="5.140625" style="362" customWidth="1"/>
    <col min="29" max="29" width="11.85546875" style="362" customWidth="1"/>
    <col min="30" max="30" width="9.28515625" style="362" customWidth="1"/>
    <col min="31" max="31" width="8.140625" style="362" customWidth="1"/>
    <col min="32" max="35" width="5.140625" style="362" customWidth="1"/>
    <col min="36" max="38" width="7.28515625" style="362" customWidth="1"/>
    <col min="39" max="39" width="8.140625" style="362" customWidth="1"/>
    <col min="40" max="40" width="7.28515625" style="362" customWidth="1"/>
    <col min="41" max="41" width="8" style="362" customWidth="1"/>
    <col min="42" max="42" width="6.7109375" style="362" customWidth="1"/>
    <col min="43" max="43" width="8.140625" style="362" customWidth="1"/>
    <col min="44" max="44" width="9" style="362" customWidth="1"/>
    <col min="45" max="45" width="5.7109375" style="362" customWidth="1"/>
    <col min="46" max="46" width="7.140625" style="362" customWidth="1"/>
    <col min="47" max="47" width="6.28515625" style="362" customWidth="1"/>
    <col min="48" max="50" width="5.140625" style="362" customWidth="1"/>
    <col min="51" max="51" width="16.85546875" style="2" customWidth="1"/>
    <col min="52" max="53" width="4.85546875" style="2" customWidth="1"/>
    <col min="54" max="54" width="11.140625" style="2" customWidth="1"/>
    <col min="55" max="56" width="10.140625" style="2" customWidth="1"/>
    <col min="57" max="60" width="5.42578125" style="2" customWidth="1"/>
    <col min="61" max="63" width="7" style="2" customWidth="1"/>
    <col min="64" max="64" width="9.85546875" style="2" customWidth="1"/>
    <col min="65" max="65" width="7.85546875" style="2" customWidth="1"/>
    <col min="66" max="68" width="7.42578125" style="2" customWidth="1"/>
    <col min="69" max="69" width="8.28515625" style="2" customWidth="1"/>
    <col min="70" max="70" width="5.42578125" style="2" customWidth="1"/>
    <col min="71" max="71" width="5.7109375" style="2" customWidth="1"/>
    <col min="72" max="72" width="5.42578125" style="2" customWidth="1"/>
    <col min="73" max="73" width="7.28515625" style="2" customWidth="1"/>
    <col min="74" max="74" width="6.28515625" style="2" customWidth="1"/>
    <col min="75" max="75" width="7.28515625" style="2" customWidth="1"/>
    <col min="76" max="76" width="16.85546875" style="2" customWidth="1"/>
    <col min="77" max="78" width="5.85546875" style="2" customWidth="1"/>
    <col min="79" max="79" width="10.140625" style="2" customWidth="1"/>
    <col min="80" max="81" width="9.140625" style="2" customWidth="1"/>
    <col min="82" max="85" width="5.7109375" style="2" customWidth="1"/>
    <col min="86" max="90" width="7.28515625" style="2" customWidth="1"/>
    <col min="91" max="91" width="8.85546875" style="2" customWidth="1"/>
    <col min="92" max="94" width="7.5703125" style="2" customWidth="1"/>
    <col min="95" max="96" width="5.140625" style="2" customWidth="1"/>
    <col min="97" max="97" width="6.28515625" style="2" customWidth="1"/>
    <col min="98" max="100" width="5.140625" style="2" customWidth="1"/>
    <col min="101" max="101" width="11.42578125" style="2"/>
    <col min="102" max="103" width="6.5703125" style="2" customWidth="1"/>
    <col min="104" max="106" width="10.140625" style="2" customWidth="1"/>
    <col min="107" max="109" width="6.28515625" style="2" customWidth="1"/>
    <col min="110" max="110" width="7" style="2" customWidth="1"/>
    <col min="111" max="113" width="9.140625" style="2" customWidth="1"/>
    <col min="114" max="114" width="10.85546875" style="2" customWidth="1"/>
    <col min="115" max="115" width="9.140625" style="2" customWidth="1"/>
    <col min="116" max="116" width="11.42578125" style="2"/>
    <col min="117" max="119" width="7.28515625" style="2" customWidth="1"/>
    <col min="120" max="122" width="7.7109375" style="2" customWidth="1"/>
    <col min="123" max="125" width="8.7109375" style="2" customWidth="1"/>
    <col min="126" max="16384" width="11.42578125" style="2"/>
  </cols>
  <sheetData>
    <row r="1" spans="1:125" ht="17.25" thickBot="1" x14ac:dyDescent="0.3">
      <c r="AZ1" s="392"/>
      <c r="BA1" s="392"/>
      <c r="BB1" s="392"/>
      <c r="BC1" s="392"/>
      <c r="BD1" s="392"/>
      <c r="BE1" s="392"/>
      <c r="BF1" s="392"/>
      <c r="BG1" s="392"/>
      <c r="BH1" s="392"/>
      <c r="BI1" s="392"/>
      <c r="BJ1" s="392"/>
      <c r="BK1" s="392"/>
      <c r="BL1" s="392"/>
      <c r="BM1" s="392"/>
      <c r="BN1" s="392"/>
      <c r="BO1" s="392"/>
      <c r="BP1" s="392"/>
      <c r="BQ1" s="392"/>
      <c r="BR1" s="392"/>
      <c r="BS1" s="392"/>
      <c r="BT1" s="392"/>
      <c r="BU1" s="392"/>
      <c r="BV1" s="392"/>
      <c r="BW1" s="392"/>
    </row>
    <row r="2" spans="1:125" ht="36.75" customHeight="1" x14ac:dyDescent="0.25">
      <c r="A2" s="4"/>
      <c r="B2" s="539"/>
      <c r="C2" s="540"/>
      <c r="D2" s="540"/>
      <c r="E2" s="885" t="s">
        <v>188</v>
      </c>
      <c r="F2" s="885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542"/>
      <c r="S2" s="543" t="s">
        <v>193</v>
      </c>
      <c r="T2" s="831">
        <v>1</v>
      </c>
      <c r="U2" s="543"/>
      <c r="V2" s="543"/>
      <c r="W2" s="543" t="s">
        <v>190</v>
      </c>
      <c r="X2" s="541"/>
      <c r="Y2" s="558"/>
      <c r="Z2" s="490"/>
      <c r="AA2" s="539"/>
      <c r="AB2" s="540"/>
      <c r="AC2" s="540"/>
      <c r="AD2" s="885" t="s">
        <v>188</v>
      </c>
      <c r="AE2" s="885"/>
      <c r="AF2" s="885"/>
      <c r="AG2" s="885"/>
      <c r="AH2" s="885"/>
      <c r="AI2" s="885"/>
      <c r="AJ2" s="885"/>
      <c r="AK2" s="885"/>
      <c r="AL2" s="885"/>
      <c r="AM2" s="885"/>
      <c r="AN2" s="885"/>
      <c r="AO2" s="885"/>
      <c r="AP2" s="885"/>
      <c r="AQ2" s="542"/>
      <c r="AR2" s="543" t="s">
        <v>193</v>
      </c>
      <c r="AS2" s="832">
        <v>2</v>
      </c>
      <c r="AT2" s="543"/>
      <c r="AU2" s="543"/>
      <c r="AV2" s="543" t="s">
        <v>190</v>
      </c>
      <c r="AW2" s="541"/>
      <c r="AX2" s="558"/>
      <c r="AZ2" s="539"/>
      <c r="BA2" s="540"/>
      <c r="BB2" s="540"/>
      <c r="BC2" s="885" t="s">
        <v>188</v>
      </c>
      <c r="BD2" s="885"/>
      <c r="BE2" s="885"/>
      <c r="BF2" s="885"/>
      <c r="BG2" s="885"/>
      <c r="BH2" s="885"/>
      <c r="BI2" s="885"/>
      <c r="BJ2" s="885"/>
      <c r="BK2" s="885"/>
      <c r="BL2" s="885"/>
      <c r="BM2" s="885"/>
      <c r="BN2" s="885"/>
      <c r="BO2" s="885"/>
      <c r="BP2" s="542"/>
      <c r="BQ2" s="543" t="s">
        <v>193</v>
      </c>
      <c r="BR2" s="832">
        <v>3</v>
      </c>
      <c r="BS2" s="543"/>
      <c r="BT2" s="543"/>
      <c r="BU2" s="543" t="s">
        <v>190</v>
      </c>
      <c r="BV2" s="541"/>
      <c r="BW2" s="558"/>
      <c r="BY2" s="539"/>
      <c r="BZ2" s="540"/>
      <c r="CA2" s="540"/>
      <c r="CB2" s="885" t="s">
        <v>188</v>
      </c>
      <c r="CC2" s="885"/>
      <c r="CD2" s="885"/>
      <c r="CE2" s="885"/>
      <c r="CF2" s="885"/>
      <c r="CG2" s="885"/>
      <c r="CH2" s="885"/>
      <c r="CI2" s="885"/>
      <c r="CJ2" s="885"/>
      <c r="CK2" s="885"/>
      <c r="CL2" s="885"/>
      <c r="CM2" s="885"/>
      <c r="CN2" s="885"/>
      <c r="CO2" s="542"/>
      <c r="CP2" s="543" t="s">
        <v>193</v>
      </c>
      <c r="CQ2" s="832">
        <v>4</v>
      </c>
      <c r="CR2" s="543"/>
      <c r="CS2" s="543"/>
      <c r="CT2" s="543" t="s">
        <v>190</v>
      </c>
      <c r="CU2" s="541"/>
      <c r="CV2" s="558"/>
      <c r="CX2" s="539"/>
      <c r="CY2" s="540"/>
      <c r="CZ2" s="540"/>
      <c r="DA2" s="885" t="s">
        <v>188</v>
      </c>
      <c r="DB2" s="885"/>
      <c r="DC2" s="885"/>
      <c r="DD2" s="885"/>
      <c r="DE2" s="885"/>
      <c r="DF2" s="885"/>
      <c r="DG2" s="885"/>
      <c r="DH2" s="885"/>
      <c r="DI2" s="885"/>
      <c r="DJ2" s="885"/>
      <c r="DK2" s="885"/>
      <c r="DL2" s="885"/>
      <c r="DM2" s="885"/>
      <c r="DN2" s="542"/>
      <c r="DO2" s="543" t="s">
        <v>193</v>
      </c>
      <c r="DP2" s="832">
        <v>5</v>
      </c>
      <c r="DQ2" s="543"/>
      <c r="DR2" s="543"/>
      <c r="DS2" s="543" t="s">
        <v>190</v>
      </c>
      <c r="DT2" s="541"/>
      <c r="DU2" s="558"/>
    </row>
    <row r="3" spans="1:125" ht="36.75" customHeight="1" thickBot="1" x14ac:dyDescent="0.3">
      <c r="A3" s="4"/>
      <c r="B3" s="544" t="s">
        <v>191</v>
      </c>
      <c r="C3" s="545"/>
      <c r="D3" s="545"/>
      <c r="E3" s="545"/>
      <c r="F3" s="545"/>
      <c r="G3" s="545" t="s">
        <v>130</v>
      </c>
      <c r="H3" s="545"/>
      <c r="I3" s="545"/>
      <c r="J3" s="545"/>
      <c r="K3" s="545"/>
      <c r="L3" s="545"/>
      <c r="M3" s="545" t="s">
        <v>189</v>
      </c>
      <c r="N3" s="545"/>
      <c r="O3" s="545"/>
      <c r="P3" s="546"/>
      <c r="Q3" s="546"/>
      <c r="R3" s="546"/>
      <c r="S3" s="546"/>
      <c r="T3" s="547" t="s">
        <v>195</v>
      </c>
      <c r="U3" s="546"/>
      <c r="V3" s="546"/>
      <c r="W3" s="545"/>
      <c r="X3" s="545"/>
      <c r="Y3" s="559"/>
      <c r="Z3" s="490"/>
      <c r="AA3" s="544" t="s">
        <v>191</v>
      </c>
      <c r="AB3" s="545"/>
      <c r="AC3" s="545"/>
      <c r="AD3" s="545"/>
      <c r="AE3" s="545"/>
      <c r="AF3" s="545" t="s">
        <v>130</v>
      </c>
      <c r="AG3" s="545"/>
      <c r="AH3" s="545"/>
      <c r="AI3" s="545"/>
      <c r="AJ3" s="545"/>
      <c r="AK3" s="545"/>
      <c r="AL3" s="545" t="s">
        <v>189</v>
      </c>
      <c r="AM3" s="545"/>
      <c r="AN3" s="545"/>
      <c r="AO3" s="546"/>
      <c r="AP3" s="546"/>
      <c r="AQ3" s="546"/>
      <c r="AR3" s="546"/>
      <c r="AS3" s="547" t="s">
        <v>12</v>
      </c>
      <c r="AT3" s="546"/>
      <c r="AU3" s="546"/>
      <c r="AV3" s="545"/>
      <c r="AW3" s="545"/>
      <c r="AX3" s="559"/>
      <c r="AZ3" s="544" t="s">
        <v>191</v>
      </c>
      <c r="BA3" s="545"/>
      <c r="BB3" s="545"/>
      <c r="BC3" s="545"/>
      <c r="BD3" s="545"/>
      <c r="BE3" s="545" t="s">
        <v>130</v>
      </c>
      <c r="BF3" s="545"/>
      <c r="BG3" s="545"/>
      <c r="BH3" s="545"/>
      <c r="BI3" s="545"/>
      <c r="BJ3" s="545"/>
      <c r="BK3" s="545" t="s">
        <v>189</v>
      </c>
      <c r="BL3" s="545"/>
      <c r="BM3" s="545"/>
      <c r="BN3" s="546"/>
      <c r="BO3" s="546"/>
      <c r="BP3" s="546"/>
      <c r="BQ3" s="546"/>
      <c r="BR3" s="547" t="s">
        <v>12</v>
      </c>
      <c r="BS3" s="546"/>
      <c r="BT3" s="546"/>
      <c r="BU3" s="545"/>
      <c r="BV3" s="545"/>
      <c r="BW3" s="559"/>
      <c r="BY3" s="544" t="s">
        <v>191</v>
      </c>
      <c r="BZ3" s="545"/>
      <c r="CA3" s="545"/>
      <c r="CB3" s="545"/>
      <c r="CC3" s="545"/>
      <c r="CD3" s="545" t="s">
        <v>130</v>
      </c>
      <c r="CE3" s="545"/>
      <c r="CF3" s="545"/>
      <c r="CG3" s="545"/>
      <c r="CH3" s="545"/>
      <c r="CI3" s="545"/>
      <c r="CJ3" s="545" t="s">
        <v>189</v>
      </c>
      <c r="CK3" s="545"/>
      <c r="CL3" s="545"/>
      <c r="CM3" s="546"/>
      <c r="CN3" s="546"/>
      <c r="CO3" s="546"/>
      <c r="CP3" s="546"/>
      <c r="CQ3" s="547" t="s">
        <v>12</v>
      </c>
      <c r="CR3" s="546"/>
      <c r="CS3" s="546"/>
      <c r="CT3" s="545"/>
      <c r="CU3" s="545"/>
      <c r="CV3" s="559"/>
      <c r="CX3" s="544" t="s">
        <v>191</v>
      </c>
      <c r="CY3" s="545"/>
      <c r="CZ3" s="545"/>
      <c r="DA3" s="545"/>
      <c r="DB3" s="545"/>
      <c r="DC3" s="545" t="s">
        <v>130</v>
      </c>
      <c r="DD3" s="545"/>
      <c r="DE3" s="545"/>
      <c r="DF3" s="545"/>
      <c r="DG3" s="545"/>
      <c r="DH3" s="545"/>
      <c r="DI3" s="545" t="s">
        <v>189</v>
      </c>
      <c r="DJ3" s="545"/>
      <c r="DK3" s="545"/>
      <c r="DL3" s="546"/>
      <c r="DM3" s="546"/>
      <c r="DN3" s="546"/>
      <c r="DO3" s="546"/>
      <c r="DP3" s="547" t="s">
        <v>12</v>
      </c>
      <c r="DQ3" s="546"/>
      <c r="DR3" s="546"/>
      <c r="DS3" s="545"/>
      <c r="DT3" s="545"/>
      <c r="DU3" s="559"/>
    </row>
    <row r="4" spans="1:125" ht="27.75" customHeight="1" x14ac:dyDescent="0.25">
      <c r="A4" s="4"/>
      <c r="B4" s="888" t="s">
        <v>4</v>
      </c>
      <c r="C4" s="888" t="s">
        <v>41</v>
      </c>
      <c r="D4" s="890" t="s">
        <v>5</v>
      </c>
      <c r="E4" s="891"/>
      <c r="F4" s="892"/>
      <c r="G4" s="890" t="s">
        <v>3</v>
      </c>
      <c r="H4" s="891"/>
      <c r="I4" s="891"/>
      <c r="J4" s="891"/>
      <c r="K4" s="891"/>
      <c r="L4" s="891"/>
      <c r="M4" s="891"/>
      <c r="N4" s="891"/>
      <c r="O4" s="892"/>
      <c r="P4" s="890" t="s">
        <v>8</v>
      </c>
      <c r="Q4" s="891"/>
      <c r="R4" s="891"/>
      <c r="S4" s="892"/>
      <c r="T4" s="890" t="s">
        <v>11</v>
      </c>
      <c r="U4" s="891"/>
      <c r="V4" s="892"/>
      <c r="W4" s="890" t="s">
        <v>2</v>
      </c>
      <c r="X4" s="891"/>
      <c r="Y4" s="892"/>
      <c r="Z4" s="491"/>
      <c r="AA4" s="888" t="s">
        <v>4</v>
      </c>
      <c r="AB4" s="888" t="s">
        <v>41</v>
      </c>
      <c r="AC4" s="890" t="s">
        <v>5</v>
      </c>
      <c r="AD4" s="891"/>
      <c r="AE4" s="892"/>
      <c r="AF4" s="890" t="s">
        <v>3</v>
      </c>
      <c r="AG4" s="891"/>
      <c r="AH4" s="891"/>
      <c r="AI4" s="891"/>
      <c r="AJ4" s="891"/>
      <c r="AK4" s="891"/>
      <c r="AL4" s="891"/>
      <c r="AM4" s="891"/>
      <c r="AN4" s="892"/>
      <c r="AO4" s="890" t="s">
        <v>8</v>
      </c>
      <c r="AP4" s="891"/>
      <c r="AQ4" s="891"/>
      <c r="AR4" s="892"/>
      <c r="AS4" s="890" t="s">
        <v>11</v>
      </c>
      <c r="AT4" s="891"/>
      <c r="AU4" s="892"/>
      <c r="AV4" s="890" t="s">
        <v>2</v>
      </c>
      <c r="AW4" s="891"/>
      <c r="AX4" s="892"/>
      <c r="AZ4" s="888" t="s">
        <v>4</v>
      </c>
      <c r="BA4" s="888" t="s">
        <v>41</v>
      </c>
      <c r="BB4" s="890" t="s">
        <v>5</v>
      </c>
      <c r="BC4" s="891"/>
      <c r="BD4" s="892"/>
      <c r="BE4" s="890" t="s">
        <v>3</v>
      </c>
      <c r="BF4" s="891"/>
      <c r="BG4" s="891"/>
      <c r="BH4" s="891"/>
      <c r="BI4" s="891"/>
      <c r="BJ4" s="891"/>
      <c r="BK4" s="891"/>
      <c r="BL4" s="891"/>
      <c r="BM4" s="892"/>
      <c r="BN4" s="890" t="s">
        <v>8</v>
      </c>
      <c r="BO4" s="891"/>
      <c r="BP4" s="891"/>
      <c r="BQ4" s="892"/>
      <c r="BR4" s="890" t="s">
        <v>11</v>
      </c>
      <c r="BS4" s="891"/>
      <c r="BT4" s="892"/>
      <c r="BU4" s="890" t="s">
        <v>2</v>
      </c>
      <c r="BV4" s="891"/>
      <c r="BW4" s="892"/>
      <c r="BY4" s="888" t="s">
        <v>4</v>
      </c>
      <c r="BZ4" s="888" t="s">
        <v>41</v>
      </c>
      <c r="CA4" s="890" t="s">
        <v>5</v>
      </c>
      <c r="CB4" s="891"/>
      <c r="CC4" s="892"/>
      <c r="CD4" s="890" t="s">
        <v>3</v>
      </c>
      <c r="CE4" s="891"/>
      <c r="CF4" s="891"/>
      <c r="CG4" s="891"/>
      <c r="CH4" s="891"/>
      <c r="CI4" s="891"/>
      <c r="CJ4" s="891"/>
      <c r="CK4" s="891"/>
      <c r="CL4" s="892"/>
      <c r="CM4" s="890" t="s">
        <v>8</v>
      </c>
      <c r="CN4" s="891"/>
      <c r="CO4" s="891"/>
      <c r="CP4" s="892"/>
      <c r="CQ4" s="890" t="s">
        <v>11</v>
      </c>
      <c r="CR4" s="891"/>
      <c r="CS4" s="892"/>
      <c r="CT4" s="890" t="s">
        <v>2</v>
      </c>
      <c r="CU4" s="891"/>
      <c r="CV4" s="892"/>
      <c r="CX4" s="888" t="s">
        <v>4</v>
      </c>
      <c r="CY4" s="888" t="s">
        <v>41</v>
      </c>
      <c r="CZ4" s="890" t="s">
        <v>5</v>
      </c>
      <c r="DA4" s="891"/>
      <c r="DB4" s="892"/>
      <c r="DC4" s="890" t="s">
        <v>3</v>
      </c>
      <c r="DD4" s="891"/>
      <c r="DE4" s="891"/>
      <c r="DF4" s="891"/>
      <c r="DG4" s="891"/>
      <c r="DH4" s="891"/>
      <c r="DI4" s="891"/>
      <c r="DJ4" s="891"/>
      <c r="DK4" s="892"/>
      <c r="DL4" s="890" t="s">
        <v>8</v>
      </c>
      <c r="DM4" s="891"/>
      <c r="DN4" s="891"/>
      <c r="DO4" s="892"/>
      <c r="DP4" s="890" t="s">
        <v>11</v>
      </c>
      <c r="DQ4" s="891"/>
      <c r="DR4" s="892"/>
      <c r="DS4" s="890" t="s">
        <v>2</v>
      </c>
      <c r="DT4" s="891"/>
      <c r="DU4" s="892"/>
    </row>
    <row r="5" spans="1:125" ht="42" customHeight="1" thickBot="1" x14ac:dyDescent="0.3">
      <c r="A5" s="4"/>
      <c r="B5" s="889"/>
      <c r="C5" s="889"/>
      <c r="D5" s="579" t="s">
        <v>167</v>
      </c>
      <c r="E5" s="580" t="s">
        <v>6</v>
      </c>
      <c r="F5" s="581" t="s">
        <v>7</v>
      </c>
      <c r="G5" s="548" t="s">
        <v>27</v>
      </c>
      <c r="H5" s="549" t="s">
        <v>16</v>
      </c>
      <c r="I5" s="551" t="s">
        <v>17</v>
      </c>
      <c r="J5" s="551" t="s">
        <v>18</v>
      </c>
      <c r="K5" s="551" t="s">
        <v>24</v>
      </c>
      <c r="L5" s="551" t="s">
        <v>46</v>
      </c>
      <c r="M5" s="551" t="s">
        <v>22</v>
      </c>
      <c r="N5" s="549" t="s">
        <v>47</v>
      </c>
      <c r="O5" s="550" t="s">
        <v>23</v>
      </c>
      <c r="P5" s="548" t="s">
        <v>187</v>
      </c>
      <c r="Q5" s="552" t="s">
        <v>42</v>
      </c>
      <c r="R5" s="553" t="s">
        <v>170</v>
      </c>
      <c r="S5" s="554" t="s">
        <v>21</v>
      </c>
      <c r="T5" s="548" t="s">
        <v>25</v>
      </c>
      <c r="U5" s="555" t="s">
        <v>26</v>
      </c>
      <c r="V5" s="554" t="s">
        <v>15</v>
      </c>
      <c r="W5" s="548" t="s">
        <v>19</v>
      </c>
      <c r="X5" s="549" t="s">
        <v>20</v>
      </c>
      <c r="Y5" s="550" t="s">
        <v>15</v>
      </c>
      <c r="Z5" s="361"/>
      <c r="AA5" s="889"/>
      <c r="AB5" s="889"/>
      <c r="AC5" s="579" t="s">
        <v>167</v>
      </c>
      <c r="AD5" s="580" t="s">
        <v>6</v>
      </c>
      <c r="AE5" s="581" t="s">
        <v>7</v>
      </c>
      <c r="AF5" s="548" t="s">
        <v>27</v>
      </c>
      <c r="AG5" s="549" t="s">
        <v>16</v>
      </c>
      <c r="AH5" s="551" t="s">
        <v>17</v>
      </c>
      <c r="AI5" s="551" t="s">
        <v>18</v>
      </c>
      <c r="AJ5" s="551" t="s">
        <v>24</v>
      </c>
      <c r="AK5" s="551" t="s">
        <v>46</v>
      </c>
      <c r="AL5" s="551" t="s">
        <v>22</v>
      </c>
      <c r="AM5" s="549" t="s">
        <v>47</v>
      </c>
      <c r="AN5" s="550" t="s">
        <v>23</v>
      </c>
      <c r="AO5" s="548" t="s">
        <v>187</v>
      </c>
      <c r="AP5" s="552" t="s">
        <v>42</v>
      </c>
      <c r="AQ5" s="553" t="s">
        <v>170</v>
      </c>
      <c r="AR5" s="554" t="s">
        <v>21</v>
      </c>
      <c r="AS5" s="548" t="s">
        <v>25</v>
      </c>
      <c r="AT5" s="555" t="s">
        <v>26</v>
      </c>
      <c r="AU5" s="554" t="s">
        <v>15</v>
      </c>
      <c r="AV5" s="548" t="s">
        <v>19</v>
      </c>
      <c r="AW5" s="549" t="s">
        <v>20</v>
      </c>
      <c r="AX5" s="550" t="s">
        <v>15</v>
      </c>
      <c r="AZ5" s="889"/>
      <c r="BA5" s="889"/>
      <c r="BB5" s="579" t="s">
        <v>167</v>
      </c>
      <c r="BC5" s="580" t="s">
        <v>6</v>
      </c>
      <c r="BD5" s="581" t="s">
        <v>7</v>
      </c>
      <c r="BE5" s="548" t="s">
        <v>27</v>
      </c>
      <c r="BF5" s="549" t="s">
        <v>16</v>
      </c>
      <c r="BG5" s="551" t="s">
        <v>17</v>
      </c>
      <c r="BH5" s="551" t="s">
        <v>18</v>
      </c>
      <c r="BI5" s="551" t="s">
        <v>24</v>
      </c>
      <c r="BJ5" s="551" t="s">
        <v>46</v>
      </c>
      <c r="BK5" s="551" t="s">
        <v>22</v>
      </c>
      <c r="BL5" s="549" t="s">
        <v>47</v>
      </c>
      <c r="BM5" s="550" t="s">
        <v>23</v>
      </c>
      <c r="BN5" s="548" t="s">
        <v>187</v>
      </c>
      <c r="BO5" s="552" t="s">
        <v>42</v>
      </c>
      <c r="BP5" s="553" t="s">
        <v>170</v>
      </c>
      <c r="BQ5" s="554" t="s">
        <v>21</v>
      </c>
      <c r="BR5" s="548" t="s">
        <v>25</v>
      </c>
      <c r="BS5" s="555" t="s">
        <v>26</v>
      </c>
      <c r="BT5" s="554" t="s">
        <v>15</v>
      </c>
      <c r="BU5" s="548" t="s">
        <v>19</v>
      </c>
      <c r="BV5" s="549" t="s">
        <v>20</v>
      </c>
      <c r="BW5" s="550" t="s">
        <v>15</v>
      </c>
      <c r="BY5" s="889"/>
      <c r="BZ5" s="889"/>
      <c r="CA5" s="579" t="s">
        <v>167</v>
      </c>
      <c r="CB5" s="580" t="s">
        <v>6</v>
      </c>
      <c r="CC5" s="581" t="s">
        <v>7</v>
      </c>
      <c r="CD5" s="548" t="s">
        <v>27</v>
      </c>
      <c r="CE5" s="549" t="s">
        <v>16</v>
      </c>
      <c r="CF5" s="551" t="s">
        <v>17</v>
      </c>
      <c r="CG5" s="551" t="s">
        <v>18</v>
      </c>
      <c r="CH5" s="551" t="s">
        <v>24</v>
      </c>
      <c r="CI5" s="551" t="s">
        <v>46</v>
      </c>
      <c r="CJ5" s="551" t="s">
        <v>22</v>
      </c>
      <c r="CK5" s="549" t="s">
        <v>47</v>
      </c>
      <c r="CL5" s="550" t="s">
        <v>23</v>
      </c>
      <c r="CM5" s="548" t="s">
        <v>187</v>
      </c>
      <c r="CN5" s="552" t="s">
        <v>42</v>
      </c>
      <c r="CO5" s="553" t="s">
        <v>170</v>
      </c>
      <c r="CP5" s="554" t="s">
        <v>21</v>
      </c>
      <c r="CQ5" s="548" t="s">
        <v>25</v>
      </c>
      <c r="CR5" s="555" t="s">
        <v>26</v>
      </c>
      <c r="CS5" s="554" t="s">
        <v>15</v>
      </c>
      <c r="CT5" s="548" t="s">
        <v>19</v>
      </c>
      <c r="CU5" s="549" t="s">
        <v>20</v>
      </c>
      <c r="CV5" s="550" t="s">
        <v>15</v>
      </c>
      <c r="CX5" s="889"/>
      <c r="CY5" s="889"/>
      <c r="CZ5" s="579" t="s">
        <v>167</v>
      </c>
      <c r="DA5" s="580" t="s">
        <v>6</v>
      </c>
      <c r="DB5" s="581" t="s">
        <v>7</v>
      </c>
      <c r="DC5" s="548" t="s">
        <v>27</v>
      </c>
      <c r="DD5" s="549" t="s">
        <v>16</v>
      </c>
      <c r="DE5" s="551" t="s">
        <v>17</v>
      </c>
      <c r="DF5" s="551" t="s">
        <v>18</v>
      </c>
      <c r="DG5" s="551" t="s">
        <v>24</v>
      </c>
      <c r="DH5" s="551" t="s">
        <v>46</v>
      </c>
      <c r="DI5" s="551" t="s">
        <v>22</v>
      </c>
      <c r="DJ5" s="549" t="s">
        <v>47</v>
      </c>
      <c r="DK5" s="550" t="s">
        <v>23</v>
      </c>
      <c r="DL5" s="548" t="s">
        <v>187</v>
      </c>
      <c r="DM5" s="552" t="s">
        <v>42</v>
      </c>
      <c r="DN5" s="553" t="s">
        <v>170</v>
      </c>
      <c r="DO5" s="554" t="s">
        <v>21</v>
      </c>
      <c r="DP5" s="548" t="s">
        <v>25</v>
      </c>
      <c r="DQ5" s="555" t="s">
        <v>26</v>
      </c>
      <c r="DR5" s="554" t="s">
        <v>15</v>
      </c>
      <c r="DS5" s="548" t="s">
        <v>19</v>
      </c>
      <c r="DT5" s="549" t="s">
        <v>20</v>
      </c>
      <c r="DU5" s="550" t="s">
        <v>15</v>
      </c>
    </row>
    <row r="6" spans="1:125" x14ac:dyDescent="0.25">
      <c r="A6" s="465" t="s">
        <v>107</v>
      </c>
      <c r="B6" s="466">
        <v>8</v>
      </c>
      <c r="C6" s="569">
        <v>0</v>
      </c>
      <c r="D6" s="500">
        <v>84365</v>
      </c>
      <c r="E6" s="444">
        <f>D6</f>
        <v>84365</v>
      </c>
      <c r="F6" s="44">
        <f t="shared" ref="F6:F69" si="0">IFERROR(E6-J6,0)</f>
        <v>84365</v>
      </c>
      <c r="G6" s="130"/>
      <c r="H6" s="131">
        <v>0</v>
      </c>
      <c r="I6" s="131"/>
      <c r="J6" s="11">
        <f>SUM(G6:I6)</f>
        <v>0</v>
      </c>
      <c r="K6" s="11">
        <f>J6</f>
        <v>0</v>
      </c>
      <c r="L6" s="16">
        <f t="shared" ref="L6:L69" si="1">VLOOKUP($C6,LOHMANN,4,FALSE)</f>
        <v>0.7</v>
      </c>
      <c r="M6" s="42">
        <f>IFERROR((J6*100)/E6,0)</f>
        <v>0</v>
      </c>
      <c r="N6" s="154">
        <f>VLOOKUP($C6,LOHMANN,5,FALSE)</f>
        <v>0.7</v>
      </c>
      <c r="O6" s="165">
        <f t="shared" ref="O6:O19" si="2">IFERROR((K6*100)/$D$12,0)</f>
        <v>0</v>
      </c>
      <c r="P6" s="158">
        <v>2700</v>
      </c>
      <c r="Q6" s="16">
        <f t="shared" ref="Q6:Q69" si="3">VLOOKUP($C6,LOHMANN,6,FALSE)</f>
        <v>10</v>
      </c>
      <c r="R6" s="441">
        <f t="shared" ref="R6:R14" si="4">IFERROR((P6/E6)*1000,0)</f>
        <v>32.003793042138334</v>
      </c>
      <c r="S6" s="469">
        <f>R6</f>
        <v>32.003793042138334</v>
      </c>
      <c r="T6" s="45">
        <f t="shared" ref="T6:T69" si="5">VLOOKUP($C6,LOHMANN,2,FALSE)</f>
        <v>40</v>
      </c>
      <c r="U6" s="131">
        <v>33</v>
      </c>
      <c r="V6" s="57">
        <f>T6-U6</f>
        <v>7</v>
      </c>
      <c r="W6" s="58">
        <f t="shared" ref="W6:W69" si="6">VLOOKUP(C6,LOHMANN,3,FALSE)</f>
        <v>77</v>
      </c>
      <c r="X6" s="131">
        <v>84</v>
      </c>
      <c r="Y6" s="57">
        <f>W6-X6</f>
        <v>-7</v>
      </c>
      <c r="Z6" s="487"/>
      <c r="AA6" s="394">
        <v>8</v>
      </c>
      <c r="AB6" s="785">
        <v>0</v>
      </c>
      <c r="AC6" s="786"/>
      <c r="AD6" s="444">
        <f>AC6</f>
        <v>0</v>
      </c>
      <c r="AE6" s="44">
        <f t="shared" ref="AE6:AE12" si="7">IFERROR(AD6-AI6,0)</f>
        <v>0</v>
      </c>
      <c r="AF6" s="130"/>
      <c r="AG6" s="131"/>
      <c r="AH6" s="131"/>
      <c r="AI6" s="11">
        <f>SUM(AF6:AH6)</f>
        <v>0</v>
      </c>
      <c r="AJ6" s="11">
        <f>AI6</f>
        <v>0</v>
      </c>
      <c r="AK6" s="16">
        <f t="shared" ref="AK6:AK69" si="8">VLOOKUP($C6,LOHMANN,4,FALSE)</f>
        <v>0.7</v>
      </c>
      <c r="AL6" s="42">
        <f>IFERROR((AI6*100)/AD6,0)</f>
        <v>0</v>
      </c>
      <c r="AM6" s="154">
        <f t="shared" ref="AM6:AM69" si="9">VLOOKUP($C6,LOHMANN,5,FALSE)</f>
        <v>0.7</v>
      </c>
      <c r="AN6" s="165">
        <f>IFERROR((AJ6*100)/$D$12,0)</f>
        <v>0</v>
      </c>
      <c r="AO6" s="158"/>
      <c r="AP6" s="16">
        <f t="shared" ref="AP6:AP69" si="10">VLOOKUP($C6,LOHMANN,6,FALSE)</f>
        <v>10</v>
      </c>
      <c r="AQ6" s="441">
        <f t="shared" ref="AQ6:AQ69" si="11">IFERROR((AO6/AD6)*1000,0)</f>
        <v>0</v>
      </c>
      <c r="AR6" s="469">
        <f>AQ6</f>
        <v>0</v>
      </c>
      <c r="AS6" s="45">
        <f t="shared" ref="AS6:AS69" si="12">VLOOKUP($C6,LOHMANN,2,FALSE)</f>
        <v>40</v>
      </c>
      <c r="AT6" s="131"/>
      <c r="AU6" s="57">
        <f>AS6-AT6</f>
        <v>40</v>
      </c>
      <c r="AV6" s="58">
        <f t="shared" ref="AV6:AV69" si="13">VLOOKUP(AB6,LOHMANN,3,FALSE)</f>
        <v>77</v>
      </c>
      <c r="AW6" s="131"/>
      <c r="AX6" s="57">
        <f>AV6-AW6</f>
        <v>77</v>
      </c>
      <c r="AY6" s="84"/>
      <c r="AZ6" s="394">
        <v>8</v>
      </c>
      <c r="BA6" s="785">
        <v>0</v>
      </c>
      <c r="BB6" s="786"/>
      <c r="BC6" s="444">
        <f>BB6</f>
        <v>0</v>
      </c>
      <c r="BD6" s="44">
        <f t="shared" ref="BD6:BD12" si="14">IFERROR(BC6-BH6,0)</f>
        <v>0</v>
      </c>
      <c r="BE6" s="130"/>
      <c r="BF6" s="131"/>
      <c r="BG6" s="131"/>
      <c r="BH6" s="11">
        <f>SUM(BE6:BG6)</f>
        <v>0</v>
      </c>
      <c r="BI6" s="11">
        <f>BH6</f>
        <v>0</v>
      </c>
      <c r="BJ6" s="16">
        <f t="shared" ref="BJ6:BJ69" si="15">VLOOKUP($C6,LOHMANN,4,FALSE)</f>
        <v>0.7</v>
      </c>
      <c r="BK6" s="42">
        <f>IFERROR((BH6*100)/BC6,0)</f>
        <v>0</v>
      </c>
      <c r="BL6" s="154">
        <f t="shared" ref="BL6:BL69" si="16">VLOOKUP($C6,LOHMANN,5,FALSE)</f>
        <v>0.7</v>
      </c>
      <c r="BM6" s="165">
        <f>IFERROR((BI6*100)/$BB$14,0)</f>
        <v>0</v>
      </c>
      <c r="BN6" s="158"/>
      <c r="BO6" s="16">
        <f t="shared" ref="BO6:BO69" si="17">VLOOKUP($C6,LOHMANN,6,FALSE)</f>
        <v>10</v>
      </c>
      <c r="BP6" s="441">
        <f t="shared" ref="BP6:BP69" si="18">IFERROR((BN6/BC6)*1000,0)</f>
        <v>0</v>
      </c>
      <c r="BQ6" s="469">
        <f>BP6</f>
        <v>0</v>
      </c>
      <c r="BR6" s="45">
        <f t="shared" ref="BR6:BR69" si="19">VLOOKUP($C6,LOHMANN,2,FALSE)</f>
        <v>40</v>
      </c>
      <c r="BS6" s="131">
        <v>33</v>
      </c>
      <c r="BT6" s="57">
        <f>BR6-BS6</f>
        <v>7</v>
      </c>
      <c r="BU6" s="58">
        <f t="shared" ref="BU6:BU69" si="20">VLOOKUP(BA6,LOHMANN,3,FALSE)</f>
        <v>77</v>
      </c>
      <c r="BV6" s="131">
        <v>84</v>
      </c>
      <c r="BW6" s="57">
        <f>BU6-BV6</f>
        <v>-7</v>
      </c>
      <c r="BX6" s="84"/>
      <c r="BY6" s="394">
        <v>8</v>
      </c>
      <c r="BZ6" s="785">
        <v>0</v>
      </c>
      <c r="CA6" s="786"/>
      <c r="CB6" s="444">
        <f>CA6</f>
        <v>0</v>
      </c>
      <c r="CC6" s="44">
        <f t="shared" ref="CC6:CC12" si="21">IFERROR(CB6-CG6,0)</f>
        <v>0</v>
      </c>
      <c r="CD6" s="130"/>
      <c r="CE6" s="131"/>
      <c r="CF6" s="131"/>
      <c r="CG6" s="11">
        <f>SUM(CD6:CF6)</f>
        <v>0</v>
      </c>
      <c r="CH6" s="11">
        <f>CG6</f>
        <v>0</v>
      </c>
      <c r="CI6" s="16">
        <f t="shared" ref="CI6:CI69" si="22">VLOOKUP($C6,LOHMANN,4,FALSE)</f>
        <v>0.7</v>
      </c>
      <c r="CJ6" s="42">
        <f>IFERROR((CG6*100)/CB6,0)</f>
        <v>0</v>
      </c>
      <c r="CK6" s="154">
        <f t="shared" ref="CK6:CK69" si="23">VLOOKUP($C6,LOHMANN,5,FALSE)</f>
        <v>0.7</v>
      </c>
      <c r="CL6" s="165">
        <f>IFERROR((CH6*100)/$D$12,0)</f>
        <v>0</v>
      </c>
      <c r="CM6" s="158"/>
      <c r="CN6" s="16">
        <f t="shared" ref="CN6:CN69" si="24">VLOOKUP($C6,LOHMANN,6,FALSE)</f>
        <v>10</v>
      </c>
      <c r="CO6" s="441">
        <f t="shared" ref="CO6:CO69" si="25">IFERROR((CM6/CB6)*1000,0)</f>
        <v>0</v>
      </c>
      <c r="CP6" s="469">
        <f>CO6</f>
        <v>0</v>
      </c>
      <c r="CQ6" s="45">
        <f t="shared" ref="CQ6:CQ69" si="26">VLOOKUP($C6,LOHMANN,2,FALSE)</f>
        <v>40</v>
      </c>
      <c r="CR6" s="131"/>
      <c r="CS6" s="57">
        <f>CQ6-CR6</f>
        <v>40</v>
      </c>
      <c r="CT6" s="58">
        <f t="shared" ref="CT6:CT69" si="27">VLOOKUP(BZ6,LOHMANN,3,FALSE)</f>
        <v>77</v>
      </c>
      <c r="CU6" s="131"/>
      <c r="CV6" s="57">
        <f>CT6-CU6</f>
        <v>77</v>
      </c>
      <c r="CW6" s="84"/>
      <c r="CX6" s="466">
        <v>8</v>
      </c>
      <c r="CY6" s="569">
        <v>0</v>
      </c>
      <c r="CZ6" s="500"/>
      <c r="DA6" s="444">
        <f>CZ6</f>
        <v>0</v>
      </c>
      <c r="DB6" s="44">
        <f t="shared" ref="DB6:DB12" si="28">IFERROR(DA6-DF6,0)</f>
        <v>0</v>
      </c>
      <c r="DC6" s="130"/>
      <c r="DD6" s="131"/>
      <c r="DE6" s="131"/>
      <c r="DF6" s="11">
        <f>SUM(DC6:DE6)</f>
        <v>0</v>
      </c>
      <c r="DG6" s="11">
        <f>DF6</f>
        <v>0</v>
      </c>
      <c r="DH6" s="16">
        <f t="shared" ref="DH6:DH69" si="29">VLOOKUP($C6,LOHMANN,4,FALSE)</f>
        <v>0.7</v>
      </c>
      <c r="DI6" s="42">
        <f>IFERROR((DF6*100)/DA6,0)</f>
        <v>0</v>
      </c>
      <c r="DJ6" s="154">
        <f t="shared" ref="DJ6:DJ69" si="30">VLOOKUP($C6,LOHMANN,5,FALSE)</f>
        <v>0.7</v>
      </c>
      <c r="DK6" s="165">
        <f>IFERROR((DG6*100)/$D$12,0)</f>
        <v>0</v>
      </c>
      <c r="DL6" s="158"/>
      <c r="DM6" s="16">
        <f t="shared" ref="DM6:DM69" si="31">VLOOKUP($C6,LOHMANN,6,FALSE)</f>
        <v>10</v>
      </c>
      <c r="DN6" s="441">
        <f t="shared" ref="DN6:DN69" si="32">IFERROR((DL6/DA6)*1000,0)</f>
        <v>0</v>
      </c>
      <c r="DO6" s="469">
        <f>DN6</f>
        <v>0</v>
      </c>
      <c r="DP6" s="45">
        <f t="shared" ref="DP6:DP69" si="33">VLOOKUP($C6,LOHMANN,2,FALSE)</f>
        <v>40</v>
      </c>
      <c r="DQ6" s="131"/>
      <c r="DR6" s="57">
        <f>DP6-DQ6</f>
        <v>40</v>
      </c>
      <c r="DS6" s="58">
        <f t="shared" ref="DS6:DS69" si="34">VLOOKUP(CY6,LOHMANN,3,FALSE)</f>
        <v>77</v>
      </c>
      <c r="DT6" s="131"/>
      <c r="DU6" s="57">
        <f>DS6-DT6</f>
        <v>77</v>
      </c>
    </row>
    <row r="7" spans="1:125" x14ac:dyDescent="0.25">
      <c r="B7" s="120">
        <f>B6+1</f>
        <v>9</v>
      </c>
      <c r="C7" s="570">
        <f>C6</f>
        <v>0</v>
      </c>
      <c r="D7" s="133"/>
      <c r="E7" s="445">
        <f>IFERROR(F6+D7,0)</f>
        <v>84365</v>
      </c>
      <c r="F7" s="49">
        <f>IFERROR(E7-J7,0)</f>
        <v>84344</v>
      </c>
      <c r="G7" s="134"/>
      <c r="H7" s="135">
        <v>21</v>
      </c>
      <c r="I7" s="135"/>
      <c r="J7" s="14">
        <f>SUM(G7:I7)</f>
        <v>21</v>
      </c>
      <c r="K7" s="14">
        <f t="shared" ref="K7:K70" si="35">K6+J7</f>
        <v>21</v>
      </c>
      <c r="L7" s="14">
        <f t="shared" si="1"/>
        <v>0.7</v>
      </c>
      <c r="M7" s="47">
        <f>IFERROR((J7*100)/E7,0)</f>
        <v>2.4891839032774254E-2</v>
      </c>
      <c r="N7" s="35">
        <f t="shared" ref="N7:N69" si="36">VLOOKUP($C7,LOHMANN,5,FALSE)</f>
        <v>0.7</v>
      </c>
      <c r="O7" s="159">
        <f t="shared" si="2"/>
        <v>1.187574576855868E-2</v>
      </c>
      <c r="P7" s="593">
        <v>180</v>
      </c>
      <c r="Q7" s="14">
        <f t="shared" si="3"/>
        <v>10</v>
      </c>
      <c r="R7" s="442">
        <f t="shared" si="4"/>
        <v>2.1335862028092221</v>
      </c>
      <c r="S7" s="470">
        <f t="shared" ref="S7:S70" si="37">S6+R7</f>
        <v>34.137379244947553</v>
      </c>
      <c r="T7" s="51">
        <f t="shared" si="5"/>
        <v>40</v>
      </c>
      <c r="U7" s="103">
        <f>U6</f>
        <v>33</v>
      </c>
      <c r="V7" s="59">
        <f t="shared" ref="V7:V70" si="38">T7-U7</f>
        <v>7</v>
      </c>
      <c r="W7" s="51">
        <f t="shared" si="6"/>
        <v>77</v>
      </c>
      <c r="X7" s="103">
        <f>X6</f>
        <v>84</v>
      </c>
      <c r="Y7" s="46">
        <f t="shared" ref="Y7:Y70" si="39">W7-X7</f>
        <v>-7</v>
      </c>
      <c r="Z7" s="487"/>
      <c r="AA7" s="120">
        <f>AA6+1</f>
        <v>9</v>
      </c>
      <c r="AB7" s="570">
        <f>AB6</f>
        <v>0</v>
      </c>
      <c r="AC7" s="133"/>
      <c r="AD7" s="445">
        <f t="shared" ref="AD7:AD18" si="40">IFERROR(AE6+AC7,0)</f>
        <v>0</v>
      </c>
      <c r="AE7" s="49">
        <f t="shared" si="7"/>
        <v>0</v>
      </c>
      <c r="AF7" s="134"/>
      <c r="AG7" s="135"/>
      <c r="AH7" s="135"/>
      <c r="AI7" s="14">
        <f>SUM(AF7:AH7)</f>
        <v>0</v>
      </c>
      <c r="AJ7" s="14">
        <f>AJ6+AI7</f>
        <v>0</v>
      </c>
      <c r="AK7" s="14">
        <f t="shared" si="8"/>
        <v>0.7</v>
      </c>
      <c r="AL7" s="47">
        <f>IFERROR((AI7*100)/AD7,0)</f>
        <v>0</v>
      </c>
      <c r="AM7" s="35">
        <f t="shared" si="9"/>
        <v>0.7</v>
      </c>
      <c r="AN7" s="159">
        <f t="shared" ref="AN7:AN47" si="41">IFERROR((AJ7*100)/$D$12,0)</f>
        <v>0</v>
      </c>
      <c r="AO7" s="593"/>
      <c r="AP7" s="14">
        <f t="shared" si="10"/>
        <v>10</v>
      </c>
      <c r="AQ7" s="442">
        <f t="shared" si="11"/>
        <v>0</v>
      </c>
      <c r="AR7" s="470">
        <f t="shared" ref="AR7:AR23" si="42">AR6+AQ7</f>
        <v>0</v>
      </c>
      <c r="AS7" s="51">
        <f t="shared" si="12"/>
        <v>40</v>
      </c>
      <c r="AT7" s="103">
        <f>AT6</f>
        <v>0</v>
      </c>
      <c r="AU7" s="59">
        <f t="shared" ref="AU7:AU8" si="43">AS7-AT7</f>
        <v>40</v>
      </c>
      <c r="AV7" s="51">
        <f t="shared" si="13"/>
        <v>77</v>
      </c>
      <c r="AW7" s="103">
        <f>AW6</f>
        <v>0</v>
      </c>
      <c r="AX7" s="46">
        <f t="shared" ref="AX7:AX9" si="44">AV7-AW7</f>
        <v>77</v>
      </c>
      <c r="AZ7" s="120">
        <f>AZ6+1</f>
        <v>9</v>
      </c>
      <c r="BA7" s="570">
        <f>BA6</f>
        <v>0</v>
      </c>
      <c r="BB7" s="133"/>
      <c r="BC7" s="445">
        <f t="shared" ref="BC7:BC18" si="45">IFERROR(BD6+BB7,0)</f>
        <v>0</v>
      </c>
      <c r="BD7" s="49">
        <f t="shared" si="14"/>
        <v>0</v>
      </c>
      <c r="BE7" s="134"/>
      <c r="BF7" s="135"/>
      <c r="BG7" s="135"/>
      <c r="BH7" s="14">
        <f>SUM(BE7:BG7)</f>
        <v>0</v>
      </c>
      <c r="BI7" s="14">
        <f t="shared" ref="BI7:BI20" si="46">BI6+BH7</f>
        <v>0</v>
      </c>
      <c r="BJ7" s="14">
        <f t="shared" si="15"/>
        <v>0.7</v>
      </c>
      <c r="BK7" s="47">
        <f>IFERROR((BH7*100)/BC7,0)</f>
        <v>0</v>
      </c>
      <c r="BL7" s="35">
        <f t="shared" si="16"/>
        <v>0.7</v>
      </c>
      <c r="BM7" s="159">
        <f>IFERROR((BI7*100)/$BB$14,0)</f>
        <v>0</v>
      </c>
      <c r="BN7" s="593"/>
      <c r="BO7" s="14">
        <f t="shared" si="17"/>
        <v>10</v>
      </c>
      <c r="BP7" s="442">
        <f t="shared" si="18"/>
        <v>0</v>
      </c>
      <c r="BQ7" s="470">
        <f t="shared" ref="BQ7:BQ23" si="47">BQ6+BP7</f>
        <v>0</v>
      </c>
      <c r="BR7" s="51">
        <f t="shared" si="19"/>
        <v>40</v>
      </c>
      <c r="BS7" s="103">
        <f>BS6</f>
        <v>33</v>
      </c>
      <c r="BT7" s="59">
        <f t="shared" ref="BT7:BT8" si="48">BR7-BS7</f>
        <v>7</v>
      </c>
      <c r="BU7" s="51">
        <f t="shared" si="20"/>
        <v>77</v>
      </c>
      <c r="BV7" s="103">
        <f>BV6</f>
        <v>84</v>
      </c>
      <c r="BW7" s="46">
        <f t="shared" ref="BW7:BW9" si="49">BU7-BV7</f>
        <v>-7</v>
      </c>
      <c r="BY7" s="120">
        <f>BY6+1</f>
        <v>9</v>
      </c>
      <c r="BZ7" s="570">
        <f>BZ6</f>
        <v>0</v>
      </c>
      <c r="CA7" s="133"/>
      <c r="CB7" s="445">
        <f t="shared" ref="CB7:CB18" si="50">IFERROR(CC6+CA7,0)</f>
        <v>0</v>
      </c>
      <c r="CC7" s="49">
        <f t="shared" si="21"/>
        <v>0</v>
      </c>
      <c r="CD7" s="134"/>
      <c r="CE7" s="135"/>
      <c r="CF7" s="135"/>
      <c r="CG7" s="14">
        <f>SUM(CD7:CF7)</f>
        <v>0</v>
      </c>
      <c r="CH7" s="14">
        <f t="shared" ref="CH7:CH20" si="51">CH6+CG7</f>
        <v>0</v>
      </c>
      <c r="CI7" s="14">
        <f t="shared" si="22"/>
        <v>0.7</v>
      </c>
      <c r="CJ7" s="47">
        <f>IFERROR((CG7*100)/CB7,0)</f>
        <v>0</v>
      </c>
      <c r="CK7" s="35">
        <f t="shared" si="23"/>
        <v>0.7</v>
      </c>
      <c r="CL7" s="159">
        <f t="shared" ref="CL7:CL47" si="52">IFERROR((CH7*100)/$D$12,0)</f>
        <v>0</v>
      </c>
      <c r="CM7" s="593"/>
      <c r="CN7" s="14">
        <f t="shared" si="24"/>
        <v>10</v>
      </c>
      <c r="CO7" s="442">
        <f t="shared" si="25"/>
        <v>0</v>
      </c>
      <c r="CP7" s="470">
        <f t="shared" ref="CP7:CP23" si="53">CP6+CO7</f>
        <v>0</v>
      </c>
      <c r="CQ7" s="51">
        <f t="shared" si="26"/>
        <v>40</v>
      </c>
      <c r="CR7" s="103">
        <f>CR6</f>
        <v>0</v>
      </c>
      <c r="CS7" s="59">
        <f t="shared" ref="CS7:CS8" si="54">CQ7-CR7</f>
        <v>40</v>
      </c>
      <c r="CT7" s="51">
        <f t="shared" si="27"/>
        <v>77</v>
      </c>
      <c r="CU7" s="103">
        <f>CU6</f>
        <v>0</v>
      </c>
      <c r="CV7" s="46">
        <f t="shared" ref="CV7:CV9" si="55">CT7-CU7</f>
        <v>77</v>
      </c>
      <c r="CX7" s="120">
        <f>CX6+1</f>
        <v>9</v>
      </c>
      <c r="CY7" s="570">
        <f>CY6</f>
        <v>0</v>
      </c>
      <c r="CZ7" s="133"/>
      <c r="DA7" s="445">
        <f t="shared" ref="DA7:DA18" si="56">IFERROR(DB6+CZ7,0)</f>
        <v>0</v>
      </c>
      <c r="DB7" s="49">
        <f t="shared" si="28"/>
        <v>0</v>
      </c>
      <c r="DC7" s="134"/>
      <c r="DD7" s="135"/>
      <c r="DE7" s="135"/>
      <c r="DF7" s="14">
        <f>SUM(DC7:DE7)</f>
        <v>0</v>
      </c>
      <c r="DG7" s="14">
        <f t="shared" ref="DG7:DG20" si="57">DG6+DF7</f>
        <v>0</v>
      </c>
      <c r="DH7" s="14">
        <f t="shared" si="29"/>
        <v>0.7</v>
      </c>
      <c r="DI7" s="47">
        <f>IFERROR((DF7*100)/DA7,0)</f>
        <v>0</v>
      </c>
      <c r="DJ7" s="35">
        <f t="shared" si="30"/>
        <v>0.7</v>
      </c>
      <c r="DK7" s="159">
        <f t="shared" ref="DK7:DK47" si="58">IFERROR((DG7*100)/$D$12,0)</f>
        <v>0</v>
      </c>
      <c r="DL7" s="593"/>
      <c r="DM7" s="14">
        <f t="shared" si="31"/>
        <v>10</v>
      </c>
      <c r="DN7" s="442">
        <f t="shared" si="32"/>
        <v>0</v>
      </c>
      <c r="DO7" s="470">
        <f t="shared" ref="DO7:DO23" si="59">DO6+DN7</f>
        <v>0</v>
      </c>
      <c r="DP7" s="51">
        <f t="shared" si="33"/>
        <v>40</v>
      </c>
      <c r="DQ7" s="103">
        <f>DQ6</f>
        <v>0</v>
      </c>
      <c r="DR7" s="59">
        <f t="shared" ref="DR7:DR8" si="60">DP7-DQ7</f>
        <v>40</v>
      </c>
      <c r="DS7" s="51">
        <f t="shared" si="34"/>
        <v>77</v>
      </c>
      <c r="DT7" s="103">
        <f>DT6</f>
        <v>0</v>
      </c>
      <c r="DU7" s="46">
        <f t="shared" ref="DU7:DU9" si="61">DS7-DT7</f>
        <v>77</v>
      </c>
    </row>
    <row r="8" spans="1:125" x14ac:dyDescent="0.25">
      <c r="A8" s="84"/>
      <c r="B8" s="120">
        <f t="shared" ref="B8:B12" si="62">B7+1</f>
        <v>10</v>
      </c>
      <c r="C8" s="570">
        <f t="shared" ref="C8:C12" si="63">C7</f>
        <v>0</v>
      </c>
      <c r="D8" s="341"/>
      <c r="E8" s="445">
        <f>IFERROR(F7+D8,0)</f>
        <v>84344</v>
      </c>
      <c r="F8" s="49">
        <f t="shared" si="0"/>
        <v>84292</v>
      </c>
      <c r="G8" s="134"/>
      <c r="H8" s="135">
        <v>52</v>
      </c>
      <c r="I8" s="135"/>
      <c r="J8" s="14">
        <f>SUM(G8:I8)</f>
        <v>52</v>
      </c>
      <c r="K8" s="14">
        <f t="shared" ref="K8:K15" si="64">K7+J8</f>
        <v>73</v>
      </c>
      <c r="L8" s="14">
        <f t="shared" si="1"/>
        <v>0.7</v>
      </c>
      <c r="M8" s="47">
        <f t="shared" ref="M8:M71" si="65">IFERROR((J8*100)/E8,0)</f>
        <v>6.1652281134401972E-2</v>
      </c>
      <c r="N8" s="35">
        <f t="shared" si="36"/>
        <v>0.7</v>
      </c>
      <c r="O8" s="155">
        <f t="shared" si="2"/>
        <v>4.128235433832303E-2</v>
      </c>
      <c r="P8" s="593">
        <v>4140</v>
      </c>
      <c r="Q8" s="14">
        <f t="shared" si="3"/>
        <v>10</v>
      </c>
      <c r="R8" s="442">
        <f t="shared" si="4"/>
        <v>49.08470074931234</v>
      </c>
      <c r="S8" s="470">
        <f t="shared" si="37"/>
        <v>83.2220799942599</v>
      </c>
      <c r="T8" s="51">
        <f t="shared" si="5"/>
        <v>40</v>
      </c>
      <c r="U8" s="103">
        <f>U7</f>
        <v>33</v>
      </c>
      <c r="V8" s="59">
        <f t="shared" si="38"/>
        <v>7</v>
      </c>
      <c r="W8" s="12">
        <f t="shared" si="6"/>
        <v>77</v>
      </c>
      <c r="X8" s="103">
        <f t="shared" ref="X8:X12" si="66">X7</f>
        <v>84</v>
      </c>
      <c r="Y8" s="46">
        <f t="shared" si="39"/>
        <v>-7</v>
      </c>
      <c r="Z8" s="487"/>
      <c r="AA8" s="120">
        <f t="shared" ref="AA8:AA12" si="67">AA7+1</f>
        <v>10</v>
      </c>
      <c r="AB8" s="570">
        <f t="shared" ref="AB8:AB12" si="68">AB7</f>
        <v>0</v>
      </c>
      <c r="AC8" s="341"/>
      <c r="AD8" s="445">
        <f t="shared" si="40"/>
        <v>0</v>
      </c>
      <c r="AE8" s="49">
        <f t="shared" si="7"/>
        <v>0</v>
      </c>
      <c r="AF8" s="134"/>
      <c r="AG8" s="135"/>
      <c r="AH8" s="135"/>
      <c r="AI8" s="14">
        <f>SUM(AF8:AH8)</f>
        <v>0</v>
      </c>
      <c r="AJ8" s="14">
        <f t="shared" ref="AJ8:AJ20" si="69">AJ7+AI8</f>
        <v>0</v>
      </c>
      <c r="AK8" s="14">
        <f t="shared" si="8"/>
        <v>0.7</v>
      </c>
      <c r="AL8" s="47">
        <f t="shared" ref="AL8" si="70">IFERROR((AI8*100)/AD8,0)</f>
        <v>0</v>
      </c>
      <c r="AM8" s="35">
        <f t="shared" si="9"/>
        <v>0.7</v>
      </c>
      <c r="AN8" s="155">
        <f t="shared" si="41"/>
        <v>0</v>
      </c>
      <c r="AO8" s="593"/>
      <c r="AP8" s="14">
        <f t="shared" si="10"/>
        <v>10</v>
      </c>
      <c r="AQ8" s="442">
        <f t="shared" si="11"/>
        <v>0</v>
      </c>
      <c r="AR8" s="470">
        <f t="shared" si="42"/>
        <v>0</v>
      </c>
      <c r="AS8" s="51">
        <f t="shared" si="12"/>
        <v>40</v>
      </c>
      <c r="AT8" s="103">
        <f>AT7</f>
        <v>0</v>
      </c>
      <c r="AU8" s="59">
        <f t="shared" si="43"/>
        <v>40</v>
      </c>
      <c r="AV8" s="12">
        <f t="shared" si="13"/>
        <v>77</v>
      </c>
      <c r="AW8" s="103">
        <f t="shared" ref="AW8:AW12" si="71">AW7</f>
        <v>0</v>
      </c>
      <c r="AX8" s="46">
        <f t="shared" si="44"/>
        <v>77</v>
      </c>
      <c r="AZ8" s="120">
        <f t="shared" ref="AZ8:AZ12" si="72">AZ7+1</f>
        <v>10</v>
      </c>
      <c r="BA8" s="570">
        <f t="shared" ref="BA8:BA12" si="73">BA7</f>
        <v>0</v>
      </c>
      <c r="BB8" s="341"/>
      <c r="BC8" s="445">
        <f t="shared" si="45"/>
        <v>0</v>
      </c>
      <c r="BD8" s="49">
        <f t="shared" si="14"/>
        <v>0</v>
      </c>
      <c r="BE8" s="134"/>
      <c r="BF8" s="135"/>
      <c r="BG8" s="135"/>
      <c r="BH8" s="14">
        <f>SUM(BE8:BG8)</f>
        <v>0</v>
      </c>
      <c r="BI8" s="14">
        <f t="shared" si="46"/>
        <v>0</v>
      </c>
      <c r="BJ8" s="14">
        <f t="shared" si="15"/>
        <v>0.7</v>
      </c>
      <c r="BK8" s="47">
        <f t="shared" ref="BK8" si="74">IFERROR((BH8*100)/BC8,0)</f>
        <v>0</v>
      </c>
      <c r="BL8" s="35">
        <f t="shared" si="16"/>
        <v>0.7</v>
      </c>
      <c r="BM8" s="159">
        <f>IFERROR((BI8*100)/$BB$14,0)</f>
        <v>0</v>
      </c>
      <c r="BN8" s="593"/>
      <c r="BO8" s="14">
        <f t="shared" si="17"/>
        <v>10</v>
      </c>
      <c r="BP8" s="442">
        <f t="shared" si="18"/>
        <v>0</v>
      </c>
      <c r="BQ8" s="470">
        <f t="shared" si="47"/>
        <v>0</v>
      </c>
      <c r="BR8" s="51">
        <f t="shared" si="19"/>
        <v>40</v>
      </c>
      <c r="BS8" s="103">
        <f>BS7</f>
        <v>33</v>
      </c>
      <c r="BT8" s="59">
        <f t="shared" si="48"/>
        <v>7</v>
      </c>
      <c r="BU8" s="12">
        <f t="shared" si="20"/>
        <v>77</v>
      </c>
      <c r="BV8" s="103">
        <f t="shared" ref="BV8:BV12" si="75">BV7</f>
        <v>84</v>
      </c>
      <c r="BW8" s="46">
        <f t="shared" si="49"/>
        <v>-7</v>
      </c>
      <c r="BY8" s="120">
        <f t="shared" ref="BY8:BY12" si="76">BY7+1</f>
        <v>10</v>
      </c>
      <c r="BZ8" s="570">
        <f t="shared" ref="BZ8:BZ12" si="77">BZ7</f>
        <v>0</v>
      </c>
      <c r="CA8" s="341"/>
      <c r="CB8" s="445">
        <f t="shared" si="50"/>
        <v>0</v>
      </c>
      <c r="CC8" s="49">
        <f t="shared" si="21"/>
        <v>0</v>
      </c>
      <c r="CD8" s="134"/>
      <c r="CE8" s="135"/>
      <c r="CF8" s="135"/>
      <c r="CG8" s="14">
        <f>SUM(CD8:CF8)</f>
        <v>0</v>
      </c>
      <c r="CH8" s="14">
        <f t="shared" si="51"/>
        <v>0</v>
      </c>
      <c r="CI8" s="14">
        <f t="shared" si="22"/>
        <v>0.7</v>
      </c>
      <c r="CJ8" s="47">
        <f t="shared" ref="CJ8" si="78">IFERROR((CG8*100)/CB8,0)</f>
        <v>0</v>
      </c>
      <c r="CK8" s="35">
        <f t="shared" si="23"/>
        <v>0.7</v>
      </c>
      <c r="CL8" s="155">
        <f t="shared" si="52"/>
        <v>0</v>
      </c>
      <c r="CM8" s="593"/>
      <c r="CN8" s="14">
        <f t="shared" si="24"/>
        <v>10</v>
      </c>
      <c r="CO8" s="442">
        <f t="shared" si="25"/>
        <v>0</v>
      </c>
      <c r="CP8" s="470">
        <f t="shared" si="53"/>
        <v>0</v>
      </c>
      <c r="CQ8" s="51">
        <f t="shared" si="26"/>
        <v>40</v>
      </c>
      <c r="CR8" s="103">
        <f>CR7</f>
        <v>0</v>
      </c>
      <c r="CS8" s="59">
        <f t="shared" si="54"/>
        <v>40</v>
      </c>
      <c r="CT8" s="12">
        <f t="shared" si="27"/>
        <v>77</v>
      </c>
      <c r="CU8" s="103">
        <f t="shared" ref="CU8:CU12" si="79">CU7</f>
        <v>0</v>
      </c>
      <c r="CV8" s="46">
        <f t="shared" si="55"/>
        <v>77</v>
      </c>
      <c r="CX8" s="120">
        <f t="shared" ref="CX8:CX12" si="80">CX7+1</f>
        <v>10</v>
      </c>
      <c r="CY8" s="570">
        <f t="shared" ref="CY8:CY12" si="81">CY7</f>
        <v>0</v>
      </c>
      <c r="CZ8" s="341"/>
      <c r="DA8" s="445">
        <f t="shared" si="56"/>
        <v>0</v>
      </c>
      <c r="DB8" s="49">
        <f t="shared" si="28"/>
        <v>0</v>
      </c>
      <c r="DC8" s="134"/>
      <c r="DD8" s="135"/>
      <c r="DE8" s="135"/>
      <c r="DF8" s="14">
        <f>SUM(DC8:DE8)</f>
        <v>0</v>
      </c>
      <c r="DG8" s="14">
        <f t="shared" si="57"/>
        <v>0</v>
      </c>
      <c r="DH8" s="14">
        <f t="shared" si="29"/>
        <v>0.7</v>
      </c>
      <c r="DI8" s="47">
        <f t="shared" ref="DI8" si="82">IFERROR((DF8*100)/DA8,0)</f>
        <v>0</v>
      </c>
      <c r="DJ8" s="35">
        <f t="shared" si="30"/>
        <v>0.7</v>
      </c>
      <c r="DK8" s="155">
        <f t="shared" si="58"/>
        <v>0</v>
      </c>
      <c r="DL8" s="593"/>
      <c r="DM8" s="14">
        <f t="shared" si="31"/>
        <v>10</v>
      </c>
      <c r="DN8" s="442">
        <f t="shared" si="32"/>
        <v>0</v>
      </c>
      <c r="DO8" s="470">
        <f t="shared" si="59"/>
        <v>0</v>
      </c>
      <c r="DP8" s="51">
        <f t="shared" si="33"/>
        <v>40</v>
      </c>
      <c r="DQ8" s="103">
        <f>DQ7</f>
        <v>0</v>
      </c>
      <c r="DR8" s="59">
        <f t="shared" si="60"/>
        <v>40</v>
      </c>
      <c r="DS8" s="12">
        <f t="shared" si="34"/>
        <v>77</v>
      </c>
      <c r="DT8" s="103">
        <f t="shared" ref="DT8:DT12" si="83">DT7</f>
        <v>0</v>
      </c>
      <c r="DU8" s="46">
        <f t="shared" si="61"/>
        <v>77</v>
      </c>
    </row>
    <row r="9" spans="1:125" x14ac:dyDescent="0.25">
      <c r="A9" s="499"/>
      <c r="B9" s="403">
        <f t="shared" si="62"/>
        <v>11</v>
      </c>
      <c r="C9" s="571">
        <f t="shared" si="63"/>
        <v>0</v>
      </c>
      <c r="D9" s="494"/>
      <c r="E9" s="445">
        <f>IFERROR(F8+D9,0)</f>
        <v>84292</v>
      </c>
      <c r="F9" s="49">
        <f>IFERROR(E9-J9,0)</f>
        <v>84101</v>
      </c>
      <c r="G9" s="134"/>
      <c r="H9" s="135">
        <v>191</v>
      </c>
      <c r="I9" s="135"/>
      <c r="J9" s="14">
        <f t="shared" ref="J9:J11" si="84">SUM(G9:I9)</f>
        <v>191</v>
      </c>
      <c r="K9" s="14">
        <f t="shared" si="64"/>
        <v>264</v>
      </c>
      <c r="L9" s="14">
        <f t="shared" si="1"/>
        <v>0.7</v>
      </c>
      <c r="M9" s="47">
        <f>IFERROR((J9*100)/E9,0)</f>
        <v>0.22659327101029753</v>
      </c>
      <c r="N9" s="35">
        <f t="shared" si="36"/>
        <v>0.7</v>
      </c>
      <c r="O9" s="159">
        <f t="shared" si="2"/>
        <v>0.14929508966188054</v>
      </c>
      <c r="P9" s="594">
        <v>360</v>
      </c>
      <c r="Q9" s="14">
        <f t="shared" si="3"/>
        <v>10</v>
      </c>
      <c r="R9" s="442">
        <f t="shared" si="4"/>
        <v>4.2708679352726238</v>
      </c>
      <c r="S9" s="470">
        <f>S8+R9</f>
        <v>87.492947929532519</v>
      </c>
      <c r="T9" s="51">
        <f t="shared" si="5"/>
        <v>40</v>
      </c>
      <c r="U9" s="103">
        <f t="shared" ref="U9:U12" si="85">U8</f>
        <v>33</v>
      </c>
      <c r="V9" s="59">
        <f>T9-U9</f>
        <v>7</v>
      </c>
      <c r="W9" s="50">
        <f t="shared" si="6"/>
        <v>77</v>
      </c>
      <c r="X9" s="103">
        <f t="shared" si="66"/>
        <v>84</v>
      </c>
      <c r="Y9" s="62">
        <f t="shared" si="39"/>
        <v>-7</v>
      </c>
      <c r="Z9" s="487"/>
      <c r="AA9" s="403">
        <f t="shared" si="67"/>
        <v>11</v>
      </c>
      <c r="AB9" s="571">
        <f t="shared" si="68"/>
        <v>0</v>
      </c>
      <c r="AC9" s="494"/>
      <c r="AD9" s="445">
        <f t="shared" si="40"/>
        <v>0</v>
      </c>
      <c r="AE9" s="49">
        <f t="shared" si="7"/>
        <v>0</v>
      </c>
      <c r="AF9" s="134"/>
      <c r="AG9" s="135"/>
      <c r="AH9" s="135"/>
      <c r="AI9" s="14">
        <f t="shared" ref="AI9:AI11" si="86">SUM(AF9:AH9)</f>
        <v>0</v>
      </c>
      <c r="AJ9" s="14">
        <f t="shared" si="69"/>
        <v>0</v>
      </c>
      <c r="AK9" s="14">
        <f t="shared" si="8"/>
        <v>0.7</v>
      </c>
      <c r="AL9" s="47">
        <f>IFERROR((AI9*100)/AD9,0)</f>
        <v>0</v>
      </c>
      <c r="AM9" s="35">
        <f t="shared" si="9"/>
        <v>0.7</v>
      </c>
      <c r="AN9" s="159">
        <f t="shared" si="41"/>
        <v>0</v>
      </c>
      <c r="AO9" s="594"/>
      <c r="AP9" s="14">
        <f t="shared" si="10"/>
        <v>10</v>
      </c>
      <c r="AQ9" s="442">
        <f t="shared" si="11"/>
        <v>0</v>
      </c>
      <c r="AR9" s="470">
        <f t="shared" si="42"/>
        <v>0</v>
      </c>
      <c r="AS9" s="51">
        <f t="shared" si="12"/>
        <v>40</v>
      </c>
      <c r="AT9" s="103">
        <f t="shared" ref="AT9:AT12" si="87">AT8</f>
        <v>0</v>
      </c>
      <c r="AU9" s="59">
        <f>AS9-AT9</f>
        <v>40</v>
      </c>
      <c r="AV9" s="50">
        <f t="shared" si="13"/>
        <v>77</v>
      </c>
      <c r="AW9" s="103">
        <f t="shared" si="71"/>
        <v>0</v>
      </c>
      <c r="AX9" s="62">
        <f t="shared" si="44"/>
        <v>77</v>
      </c>
      <c r="AZ9" s="403">
        <f t="shared" si="72"/>
        <v>11</v>
      </c>
      <c r="BA9" s="571">
        <f t="shared" si="73"/>
        <v>0</v>
      </c>
      <c r="BB9" s="494"/>
      <c r="BC9" s="445">
        <f t="shared" si="45"/>
        <v>0</v>
      </c>
      <c r="BD9" s="49">
        <f t="shared" si="14"/>
        <v>0</v>
      </c>
      <c r="BE9" s="134"/>
      <c r="BF9" s="135"/>
      <c r="BG9" s="135"/>
      <c r="BH9" s="14">
        <f t="shared" ref="BH9:BH11" si="88">SUM(BE9:BG9)</f>
        <v>0</v>
      </c>
      <c r="BI9" s="14">
        <f t="shared" si="46"/>
        <v>0</v>
      </c>
      <c r="BJ9" s="14">
        <f t="shared" si="15"/>
        <v>0.7</v>
      </c>
      <c r="BK9" s="47">
        <f>IFERROR((BH9*100)/BC9,0)</f>
        <v>0</v>
      </c>
      <c r="BL9" s="35">
        <f t="shared" si="16"/>
        <v>0.7</v>
      </c>
      <c r="BM9" s="159">
        <f t="shared" ref="BM9:BM72" si="89">IFERROR((BI9*100)/$BB$14,0)</f>
        <v>0</v>
      </c>
      <c r="BN9" s="594"/>
      <c r="BO9" s="14">
        <f t="shared" si="17"/>
        <v>10</v>
      </c>
      <c r="BP9" s="442">
        <f t="shared" si="18"/>
        <v>0</v>
      </c>
      <c r="BQ9" s="470">
        <f t="shared" si="47"/>
        <v>0</v>
      </c>
      <c r="BR9" s="51">
        <f t="shared" si="19"/>
        <v>40</v>
      </c>
      <c r="BS9" s="103">
        <f t="shared" ref="BS9:BS12" si="90">BS8</f>
        <v>33</v>
      </c>
      <c r="BT9" s="59">
        <f>BR9-BS9</f>
        <v>7</v>
      </c>
      <c r="BU9" s="50">
        <f t="shared" si="20"/>
        <v>77</v>
      </c>
      <c r="BV9" s="103">
        <f t="shared" si="75"/>
        <v>84</v>
      </c>
      <c r="BW9" s="62">
        <f t="shared" si="49"/>
        <v>-7</v>
      </c>
      <c r="BY9" s="403">
        <f t="shared" si="76"/>
        <v>11</v>
      </c>
      <c r="BZ9" s="571">
        <f t="shared" si="77"/>
        <v>0</v>
      </c>
      <c r="CA9" s="494"/>
      <c r="CB9" s="445">
        <f t="shared" si="50"/>
        <v>0</v>
      </c>
      <c r="CC9" s="49">
        <f t="shared" si="21"/>
        <v>0</v>
      </c>
      <c r="CD9" s="134"/>
      <c r="CE9" s="135"/>
      <c r="CF9" s="135"/>
      <c r="CG9" s="14">
        <f t="shared" ref="CG9:CG11" si="91">SUM(CD9:CF9)</f>
        <v>0</v>
      </c>
      <c r="CH9" s="14">
        <f t="shared" si="51"/>
        <v>0</v>
      </c>
      <c r="CI9" s="14">
        <f t="shared" si="22"/>
        <v>0.7</v>
      </c>
      <c r="CJ9" s="47">
        <f>IFERROR((CG9*100)/CB9,0)</f>
        <v>0</v>
      </c>
      <c r="CK9" s="35">
        <f t="shared" si="23"/>
        <v>0.7</v>
      </c>
      <c r="CL9" s="159">
        <f t="shared" si="52"/>
        <v>0</v>
      </c>
      <c r="CM9" s="594"/>
      <c r="CN9" s="14">
        <f t="shared" si="24"/>
        <v>10</v>
      </c>
      <c r="CO9" s="442">
        <f t="shared" si="25"/>
        <v>0</v>
      </c>
      <c r="CP9" s="470">
        <f t="shared" si="53"/>
        <v>0</v>
      </c>
      <c r="CQ9" s="51">
        <f t="shared" si="26"/>
        <v>40</v>
      </c>
      <c r="CR9" s="103">
        <f t="shared" ref="CR9:CR12" si="92">CR8</f>
        <v>0</v>
      </c>
      <c r="CS9" s="59">
        <f>CQ9-CR9</f>
        <v>40</v>
      </c>
      <c r="CT9" s="50">
        <f t="shared" si="27"/>
        <v>77</v>
      </c>
      <c r="CU9" s="103">
        <f t="shared" si="79"/>
        <v>0</v>
      </c>
      <c r="CV9" s="62">
        <f t="shared" si="55"/>
        <v>77</v>
      </c>
      <c r="CX9" s="403">
        <f t="shared" si="80"/>
        <v>11</v>
      </c>
      <c r="CY9" s="571">
        <f t="shared" si="81"/>
        <v>0</v>
      </c>
      <c r="CZ9" s="494"/>
      <c r="DA9" s="445">
        <f t="shared" si="56"/>
        <v>0</v>
      </c>
      <c r="DB9" s="49">
        <f t="shared" si="28"/>
        <v>0</v>
      </c>
      <c r="DC9" s="134"/>
      <c r="DD9" s="135"/>
      <c r="DE9" s="135"/>
      <c r="DF9" s="14">
        <f t="shared" ref="DF9:DF11" si="93">SUM(DC9:DE9)</f>
        <v>0</v>
      </c>
      <c r="DG9" s="14">
        <f t="shared" si="57"/>
        <v>0</v>
      </c>
      <c r="DH9" s="14">
        <f t="shared" si="29"/>
        <v>0.7</v>
      </c>
      <c r="DI9" s="47">
        <f>IFERROR((DF9*100)/DA9,0)</f>
        <v>0</v>
      </c>
      <c r="DJ9" s="35">
        <f t="shared" si="30"/>
        <v>0.7</v>
      </c>
      <c r="DK9" s="159">
        <f t="shared" si="58"/>
        <v>0</v>
      </c>
      <c r="DL9" s="594"/>
      <c r="DM9" s="14">
        <f t="shared" si="31"/>
        <v>10</v>
      </c>
      <c r="DN9" s="442">
        <f t="shared" si="32"/>
        <v>0</v>
      </c>
      <c r="DO9" s="470">
        <f t="shared" si="59"/>
        <v>0</v>
      </c>
      <c r="DP9" s="51">
        <f t="shared" si="33"/>
        <v>40</v>
      </c>
      <c r="DQ9" s="103">
        <f t="shared" ref="DQ9:DQ12" si="94">DQ8</f>
        <v>0</v>
      </c>
      <c r="DR9" s="59">
        <f>DP9-DQ9</f>
        <v>40</v>
      </c>
      <c r="DS9" s="50">
        <f t="shared" si="34"/>
        <v>77</v>
      </c>
      <c r="DT9" s="103">
        <f t="shared" si="83"/>
        <v>0</v>
      </c>
      <c r="DU9" s="62">
        <f t="shared" si="61"/>
        <v>77</v>
      </c>
    </row>
    <row r="10" spans="1:125" ht="18" x14ac:dyDescent="0.25">
      <c r="A10" s="465" t="s">
        <v>107</v>
      </c>
      <c r="B10" s="324">
        <f t="shared" si="62"/>
        <v>12</v>
      </c>
      <c r="C10" s="572">
        <f t="shared" si="63"/>
        <v>0</v>
      </c>
      <c r="D10" s="484">
        <v>92466</v>
      </c>
      <c r="E10" s="445">
        <f>IFERROR(F9+D10,0)</f>
        <v>176567</v>
      </c>
      <c r="F10" s="49">
        <f t="shared" si="0"/>
        <v>176259</v>
      </c>
      <c r="G10" s="134"/>
      <c r="H10" s="135">
        <v>308</v>
      </c>
      <c r="I10" s="135"/>
      <c r="J10" s="14">
        <f t="shared" si="84"/>
        <v>308</v>
      </c>
      <c r="K10" s="14">
        <f t="shared" si="64"/>
        <v>572</v>
      </c>
      <c r="L10" s="14">
        <f t="shared" si="1"/>
        <v>0.7</v>
      </c>
      <c r="M10" s="47">
        <f t="shared" si="65"/>
        <v>0.17443803202183875</v>
      </c>
      <c r="N10" s="35">
        <f t="shared" si="36"/>
        <v>0.7</v>
      </c>
      <c r="O10" s="155">
        <f t="shared" si="2"/>
        <v>0.32347269426740788</v>
      </c>
      <c r="P10" s="593">
        <v>180</v>
      </c>
      <c r="Q10" s="14">
        <f t="shared" si="3"/>
        <v>10</v>
      </c>
      <c r="R10" s="442">
        <f t="shared" si="4"/>
        <v>1.019443044283473</v>
      </c>
      <c r="S10" s="470">
        <f t="shared" si="37"/>
        <v>88.512390973815997</v>
      </c>
      <c r="T10" s="51">
        <f t="shared" si="5"/>
        <v>40</v>
      </c>
      <c r="U10" s="103">
        <f t="shared" si="85"/>
        <v>33</v>
      </c>
      <c r="V10" s="46">
        <f t="shared" si="38"/>
        <v>7</v>
      </c>
      <c r="W10" s="50">
        <f t="shared" si="6"/>
        <v>77</v>
      </c>
      <c r="X10" s="103">
        <f t="shared" si="66"/>
        <v>84</v>
      </c>
      <c r="Y10" s="46">
        <f>W10-X10</f>
        <v>-7</v>
      </c>
      <c r="Z10" s="788"/>
      <c r="AA10" s="403">
        <f t="shared" si="67"/>
        <v>12</v>
      </c>
      <c r="AB10" s="571">
        <f t="shared" si="68"/>
        <v>0</v>
      </c>
      <c r="AC10" s="496"/>
      <c r="AD10" s="445">
        <f t="shared" si="40"/>
        <v>0</v>
      </c>
      <c r="AE10" s="49">
        <f t="shared" si="7"/>
        <v>0</v>
      </c>
      <c r="AF10" s="134"/>
      <c r="AG10" s="135"/>
      <c r="AH10" s="135"/>
      <c r="AI10" s="14">
        <f t="shared" si="86"/>
        <v>0</v>
      </c>
      <c r="AJ10" s="14">
        <f t="shared" si="69"/>
        <v>0</v>
      </c>
      <c r="AK10" s="14">
        <f t="shared" si="8"/>
        <v>0.7</v>
      </c>
      <c r="AL10" s="47">
        <f t="shared" ref="AL10:AL11" si="95">IFERROR((AI10*100)/AD10,0)</f>
        <v>0</v>
      </c>
      <c r="AM10" s="35">
        <f t="shared" si="9"/>
        <v>0.7</v>
      </c>
      <c r="AN10" s="155">
        <f>IFERROR((AJ10*100)/$D$12,0)</f>
        <v>0</v>
      </c>
      <c r="AO10" s="595"/>
      <c r="AP10" s="14">
        <f t="shared" si="10"/>
        <v>10</v>
      </c>
      <c r="AQ10" s="442">
        <f t="shared" si="11"/>
        <v>0</v>
      </c>
      <c r="AR10" s="470">
        <f t="shared" si="42"/>
        <v>0</v>
      </c>
      <c r="AS10" s="51">
        <f t="shared" si="12"/>
        <v>40</v>
      </c>
      <c r="AT10" s="103">
        <f t="shared" si="87"/>
        <v>0</v>
      </c>
      <c r="AU10" s="46">
        <f t="shared" ref="AU10:AU15" si="96">AS10-AT10</f>
        <v>40</v>
      </c>
      <c r="AV10" s="50">
        <f t="shared" si="13"/>
        <v>77</v>
      </c>
      <c r="AW10" s="103">
        <f t="shared" si="71"/>
        <v>0</v>
      </c>
      <c r="AX10" s="46">
        <f>AV10-AW10</f>
        <v>77</v>
      </c>
      <c r="AY10" s="837" t="s">
        <v>107</v>
      </c>
      <c r="AZ10" s="324">
        <f t="shared" si="72"/>
        <v>12</v>
      </c>
      <c r="BA10" s="572">
        <f t="shared" si="73"/>
        <v>0</v>
      </c>
      <c r="BB10" s="842">
        <v>36036</v>
      </c>
      <c r="BC10" s="445">
        <f t="shared" si="45"/>
        <v>36036</v>
      </c>
      <c r="BD10" s="49">
        <f t="shared" si="14"/>
        <v>36036</v>
      </c>
      <c r="BE10" s="134"/>
      <c r="BF10" s="135">
        <v>0</v>
      </c>
      <c r="BG10" s="135"/>
      <c r="BH10" s="14">
        <f t="shared" si="88"/>
        <v>0</v>
      </c>
      <c r="BI10" s="14">
        <f t="shared" si="46"/>
        <v>0</v>
      </c>
      <c r="BJ10" s="14">
        <f t="shared" si="15"/>
        <v>0.7</v>
      </c>
      <c r="BK10" s="47">
        <f t="shared" ref="BK10:BK11" si="97">IFERROR((BH10*100)/BC10,0)</f>
        <v>0</v>
      </c>
      <c r="BL10" s="35">
        <f t="shared" si="16"/>
        <v>0.7</v>
      </c>
      <c r="BM10" s="159">
        <f t="shared" si="89"/>
        <v>0</v>
      </c>
      <c r="BN10" s="595"/>
      <c r="BO10" s="14">
        <f t="shared" si="17"/>
        <v>10</v>
      </c>
      <c r="BP10" s="442">
        <f t="shared" si="18"/>
        <v>0</v>
      </c>
      <c r="BQ10" s="470">
        <f t="shared" si="47"/>
        <v>0</v>
      </c>
      <c r="BR10" s="51">
        <f t="shared" si="19"/>
        <v>40</v>
      </c>
      <c r="BS10" s="103">
        <f t="shared" si="90"/>
        <v>33</v>
      </c>
      <c r="BT10" s="46">
        <f t="shared" ref="BT10:BT15" si="98">BR10-BS10</f>
        <v>7</v>
      </c>
      <c r="BU10" s="50">
        <f t="shared" si="20"/>
        <v>77</v>
      </c>
      <c r="BV10" s="103">
        <f t="shared" si="75"/>
        <v>84</v>
      </c>
      <c r="BW10" s="46">
        <f>BU10-BV10</f>
        <v>-7</v>
      </c>
      <c r="BY10" s="403">
        <f t="shared" si="76"/>
        <v>12</v>
      </c>
      <c r="BZ10" s="571">
        <f t="shared" si="77"/>
        <v>0</v>
      </c>
      <c r="CA10" s="496"/>
      <c r="CB10" s="445">
        <f t="shared" si="50"/>
        <v>0</v>
      </c>
      <c r="CC10" s="49">
        <f t="shared" si="21"/>
        <v>0</v>
      </c>
      <c r="CD10" s="134"/>
      <c r="CE10" s="135"/>
      <c r="CF10" s="135"/>
      <c r="CG10" s="14">
        <f t="shared" si="91"/>
        <v>0</v>
      </c>
      <c r="CH10" s="14">
        <f t="shared" si="51"/>
        <v>0</v>
      </c>
      <c r="CI10" s="14">
        <f t="shared" si="22"/>
        <v>0.7</v>
      </c>
      <c r="CJ10" s="47">
        <f t="shared" ref="CJ10:CJ11" si="99">IFERROR((CG10*100)/CB10,0)</f>
        <v>0</v>
      </c>
      <c r="CK10" s="35">
        <f t="shared" si="23"/>
        <v>0.7</v>
      </c>
      <c r="CL10" s="155">
        <f t="shared" si="52"/>
        <v>0</v>
      </c>
      <c r="CM10" s="595"/>
      <c r="CN10" s="14">
        <f t="shared" si="24"/>
        <v>10</v>
      </c>
      <c r="CO10" s="442">
        <f t="shared" si="25"/>
        <v>0</v>
      </c>
      <c r="CP10" s="470">
        <f t="shared" si="53"/>
        <v>0</v>
      </c>
      <c r="CQ10" s="51">
        <f t="shared" si="26"/>
        <v>40</v>
      </c>
      <c r="CR10" s="103">
        <f t="shared" si="92"/>
        <v>0</v>
      </c>
      <c r="CS10" s="46">
        <f t="shared" ref="CS10:CS15" si="100">CQ10-CR10</f>
        <v>40</v>
      </c>
      <c r="CT10" s="50">
        <f t="shared" si="27"/>
        <v>77</v>
      </c>
      <c r="CU10" s="103">
        <f t="shared" si="79"/>
        <v>0</v>
      </c>
      <c r="CV10" s="46">
        <f>CT10-CU10</f>
        <v>77</v>
      </c>
      <c r="CX10" s="403">
        <f t="shared" si="80"/>
        <v>12</v>
      </c>
      <c r="CY10" s="571">
        <f t="shared" si="81"/>
        <v>0</v>
      </c>
      <c r="CZ10" s="496"/>
      <c r="DA10" s="445">
        <f t="shared" si="56"/>
        <v>0</v>
      </c>
      <c r="DB10" s="49">
        <f t="shared" si="28"/>
        <v>0</v>
      </c>
      <c r="DC10" s="134"/>
      <c r="DD10" s="135"/>
      <c r="DE10" s="135"/>
      <c r="DF10" s="14">
        <f t="shared" si="93"/>
        <v>0</v>
      </c>
      <c r="DG10" s="14">
        <f t="shared" si="57"/>
        <v>0</v>
      </c>
      <c r="DH10" s="14">
        <f t="shared" si="29"/>
        <v>0.7</v>
      </c>
      <c r="DI10" s="47">
        <f t="shared" ref="DI10:DI11" si="101">IFERROR((DF10*100)/DA10,0)</f>
        <v>0</v>
      </c>
      <c r="DJ10" s="35">
        <f t="shared" si="30"/>
        <v>0.7</v>
      </c>
      <c r="DK10" s="155">
        <f t="shared" si="58"/>
        <v>0</v>
      </c>
      <c r="DL10" s="595"/>
      <c r="DM10" s="14">
        <f t="shared" si="31"/>
        <v>10</v>
      </c>
      <c r="DN10" s="442">
        <f t="shared" si="32"/>
        <v>0</v>
      </c>
      <c r="DO10" s="470">
        <f t="shared" si="59"/>
        <v>0</v>
      </c>
      <c r="DP10" s="51">
        <f t="shared" si="33"/>
        <v>40</v>
      </c>
      <c r="DQ10" s="103">
        <f t="shared" si="94"/>
        <v>0</v>
      </c>
      <c r="DR10" s="46">
        <f t="shared" ref="DR10:DR15" si="102">DP10-DQ10</f>
        <v>40</v>
      </c>
      <c r="DS10" s="50">
        <f t="shared" si="34"/>
        <v>77</v>
      </c>
      <c r="DT10" s="103">
        <f t="shared" si="83"/>
        <v>0</v>
      </c>
      <c r="DU10" s="46">
        <f>DS10-DT10</f>
        <v>77</v>
      </c>
    </row>
    <row r="11" spans="1:125" x14ac:dyDescent="0.25">
      <c r="B11" s="120">
        <f t="shared" si="62"/>
        <v>13</v>
      </c>
      <c r="C11" s="570">
        <f t="shared" si="63"/>
        <v>0</v>
      </c>
      <c r="D11" s="133"/>
      <c r="E11" s="445">
        <f t="shared" ref="E11:E70" si="103">IFERROR(F10+D11,0)</f>
        <v>176259</v>
      </c>
      <c r="F11" s="49">
        <f t="shared" si="0"/>
        <v>175635</v>
      </c>
      <c r="G11" s="134"/>
      <c r="H11" s="135">
        <v>624</v>
      </c>
      <c r="I11" s="135"/>
      <c r="J11" s="14">
        <f t="shared" si="84"/>
        <v>624</v>
      </c>
      <c r="K11" s="14">
        <f t="shared" si="64"/>
        <v>1196</v>
      </c>
      <c r="L11" s="14">
        <f t="shared" si="1"/>
        <v>0.7</v>
      </c>
      <c r="M11" s="47">
        <f t="shared" si="65"/>
        <v>0.35402447534593978</v>
      </c>
      <c r="N11" s="35">
        <f t="shared" si="36"/>
        <v>0.7</v>
      </c>
      <c r="O11" s="157">
        <f t="shared" si="2"/>
        <v>0.67635199710458005</v>
      </c>
      <c r="P11" s="593">
        <v>1440</v>
      </c>
      <c r="Q11" s="14">
        <f t="shared" si="3"/>
        <v>10</v>
      </c>
      <c r="R11" s="442">
        <f t="shared" si="4"/>
        <v>8.1697955849063035</v>
      </c>
      <c r="S11" s="470">
        <f t="shared" si="37"/>
        <v>96.682186558722293</v>
      </c>
      <c r="T11" s="51">
        <f t="shared" si="5"/>
        <v>40</v>
      </c>
      <c r="U11" s="103">
        <f t="shared" si="85"/>
        <v>33</v>
      </c>
      <c r="V11" s="62">
        <f t="shared" si="38"/>
        <v>7</v>
      </c>
      <c r="W11" s="50">
        <f t="shared" si="6"/>
        <v>77</v>
      </c>
      <c r="X11" s="103">
        <f t="shared" si="66"/>
        <v>84</v>
      </c>
      <c r="Y11" s="62">
        <f t="shared" si="39"/>
        <v>-7</v>
      </c>
      <c r="Z11" s="487"/>
      <c r="AA11" s="120">
        <f t="shared" si="67"/>
        <v>13</v>
      </c>
      <c r="AB11" s="570">
        <f t="shared" si="68"/>
        <v>0</v>
      </c>
      <c r="AC11" s="133"/>
      <c r="AD11" s="445">
        <f t="shared" si="40"/>
        <v>0</v>
      </c>
      <c r="AE11" s="49">
        <f t="shared" si="7"/>
        <v>0</v>
      </c>
      <c r="AF11" s="134"/>
      <c r="AG11" s="135"/>
      <c r="AH11" s="135"/>
      <c r="AI11" s="14">
        <f t="shared" si="86"/>
        <v>0</v>
      </c>
      <c r="AJ11" s="14">
        <f t="shared" si="69"/>
        <v>0</v>
      </c>
      <c r="AK11" s="14">
        <f t="shared" si="8"/>
        <v>0.7</v>
      </c>
      <c r="AL11" s="47">
        <f t="shared" si="95"/>
        <v>0</v>
      </c>
      <c r="AM11" s="35">
        <f t="shared" si="9"/>
        <v>0.7</v>
      </c>
      <c r="AN11" s="157">
        <f t="shared" si="41"/>
        <v>0</v>
      </c>
      <c r="AO11" s="593"/>
      <c r="AP11" s="14">
        <f t="shared" si="10"/>
        <v>10</v>
      </c>
      <c r="AQ11" s="442">
        <f t="shared" si="11"/>
        <v>0</v>
      </c>
      <c r="AR11" s="470">
        <f t="shared" si="42"/>
        <v>0</v>
      </c>
      <c r="AS11" s="51">
        <f t="shared" si="12"/>
        <v>40</v>
      </c>
      <c r="AT11" s="103">
        <f t="shared" si="87"/>
        <v>0</v>
      </c>
      <c r="AU11" s="62">
        <f t="shared" si="96"/>
        <v>40</v>
      </c>
      <c r="AV11" s="50">
        <f t="shared" si="13"/>
        <v>77</v>
      </c>
      <c r="AW11" s="103">
        <f t="shared" si="71"/>
        <v>0</v>
      </c>
      <c r="AX11" s="62">
        <f t="shared" ref="AX11:AX74" si="104">AV11-AW11</f>
        <v>77</v>
      </c>
      <c r="AY11" s="610"/>
      <c r="AZ11" s="324">
        <f t="shared" si="72"/>
        <v>13</v>
      </c>
      <c r="BA11" s="572">
        <f t="shared" si="73"/>
        <v>0</v>
      </c>
      <c r="BB11" s="484">
        <v>12423</v>
      </c>
      <c r="BC11" s="445">
        <f t="shared" si="45"/>
        <v>48459</v>
      </c>
      <c r="BD11" s="49">
        <f t="shared" si="14"/>
        <v>48427</v>
      </c>
      <c r="BE11" s="134"/>
      <c r="BF11" s="135">
        <v>32</v>
      </c>
      <c r="BG11" s="135"/>
      <c r="BH11" s="14">
        <f t="shared" si="88"/>
        <v>32</v>
      </c>
      <c r="BI11" s="14">
        <f t="shared" si="46"/>
        <v>32</v>
      </c>
      <c r="BJ11" s="14">
        <f t="shared" si="15"/>
        <v>0.7</v>
      </c>
      <c r="BK11" s="47">
        <f t="shared" si="97"/>
        <v>6.6035205018675575E-2</v>
      </c>
      <c r="BL11" s="35">
        <f t="shared" si="16"/>
        <v>0.7</v>
      </c>
      <c r="BM11" s="159">
        <f t="shared" si="89"/>
        <v>2.6651342144933331E-2</v>
      </c>
      <c r="BN11" s="593"/>
      <c r="BO11" s="14">
        <f t="shared" si="17"/>
        <v>10</v>
      </c>
      <c r="BP11" s="442">
        <f t="shared" si="18"/>
        <v>0</v>
      </c>
      <c r="BQ11" s="470">
        <f t="shared" si="47"/>
        <v>0</v>
      </c>
      <c r="BR11" s="51">
        <f t="shared" si="19"/>
        <v>40</v>
      </c>
      <c r="BS11" s="103">
        <f t="shared" si="90"/>
        <v>33</v>
      </c>
      <c r="BT11" s="62">
        <f t="shared" si="98"/>
        <v>7</v>
      </c>
      <c r="BU11" s="50">
        <f t="shared" si="20"/>
        <v>77</v>
      </c>
      <c r="BV11" s="103">
        <f t="shared" si="75"/>
        <v>84</v>
      </c>
      <c r="BW11" s="62">
        <f t="shared" ref="BW11:BW74" si="105">BU11-BV11</f>
        <v>-7</v>
      </c>
      <c r="BY11" s="120">
        <f t="shared" si="76"/>
        <v>13</v>
      </c>
      <c r="BZ11" s="570">
        <f t="shared" si="77"/>
        <v>0</v>
      </c>
      <c r="CA11" s="133"/>
      <c r="CB11" s="445">
        <f t="shared" si="50"/>
        <v>0</v>
      </c>
      <c r="CC11" s="49">
        <f t="shared" si="21"/>
        <v>0</v>
      </c>
      <c r="CD11" s="134"/>
      <c r="CE11" s="135"/>
      <c r="CF11" s="135"/>
      <c r="CG11" s="14">
        <f t="shared" si="91"/>
        <v>0</v>
      </c>
      <c r="CH11" s="14">
        <f t="shared" si="51"/>
        <v>0</v>
      </c>
      <c r="CI11" s="14">
        <f t="shared" si="22"/>
        <v>0.7</v>
      </c>
      <c r="CJ11" s="47">
        <f t="shared" si="99"/>
        <v>0</v>
      </c>
      <c r="CK11" s="35">
        <f t="shared" si="23"/>
        <v>0.7</v>
      </c>
      <c r="CL11" s="157">
        <f t="shared" si="52"/>
        <v>0</v>
      </c>
      <c r="CM11" s="593"/>
      <c r="CN11" s="14">
        <f t="shared" si="24"/>
        <v>10</v>
      </c>
      <c r="CO11" s="442">
        <f t="shared" si="25"/>
        <v>0</v>
      </c>
      <c r="CP11" s="470">
        <f t="shared" si="53"/>
        <v>0</v>
      </c>
      <c r="CQ11" s="51">
        <f t="shared" si="26"/>
        <v>40</v>
      </c>
      <c r="CR11" s="103">
        <f t="shared" si="92"/>
        <v>0</v>
      </c>
      <c r="CS11" s="62">
        <f t="shared" si="100"/>
        <v>40</v>
      </c>
      <c r="CT11" s="50">
        <f t="shared" si="27"/>
        <v>77</v>
      </c>
      <c r="CU11" s="103">
        <f t="shared" si="79"/>
        <v>0</v>
      </c>
      <c r="CV11" s="62">
        <f t="shared" ref="CV11:CV74" si="106">CT11-CU11</f>
        <v>77</v>
      </c>
      <c r="CX11" s="120">
        <f t="shared" si="80"/>
        <v>13</v>
      </c>
      <c r="CY11" s="570">
        <f t="shared" si="81"/>
        <v>0</v>
      </c>
      <c r="CZ11" s="133"/>
      <c r="DA11" s="445">
        <f t="shared" si="56"/>
        <v>0</v>
      </c>
      <c r="DB11" s="49">
        <f t="shared" si="28"/>
        <v>0</v>
      </c>
      <c r="DC11" s="134"/>
      <c r="DD11" s="135"/>
      <c r="DE11" s="135"/>
      <c r="DF11" s="14">
        <f t="shared" si="93"/>
        <v>0</v>
      </c>
      <c r="DG11" s="14">
        <f t="shared" si="57"/>
        <v>0</v>
      </c>
      <c r="DH11" s="14">
        <f t="shared" si="29"/>
        <v>0.7</v>
      </c>
      <c r="DI11" s="47">
        <f t="shared" si="101"/>
        <v>0</v>
      </c>
      <c r="DJ11" s="35">
        <f t="shared" si="30"/>
        <v>0.7</v>
      </c>
      <c r="DK11" s="157">
        <f t="shared" si="58"/>
        <v>0</v>
      </c>
      <c r="DL11" s="593"/>
      <c r="DM11" s="14">
        <f t="shared" si="31"/>
        <v>10</v>
      </c>
      <c r="DN11" s="442">
        <f t="shared" si="32"/>
        <v>0</v>
      </c>
      <c r="DO11" s="470">
        <f t="shared" si="59"/>
        <v>0</v>
      </c>
      <c r="DP11" s="51">
        <f t="shared" si="33"/>
        <v>40</v>
      </c>
      <c r="DQ11" s="103">
        <f t="shared" si="94"/>
        <v>0</v>
      </c>
      <c r="DR11" s="62">
        <f t="shared" si="102"/>
        <v>40</v>
      </c>
      <c r="DS11" s="50">
        <f t="shared" si="34"/>
        <v>77</v>
      </c>
      <c r="DT11" s="103">
        <f t="shared" si="83"/>
        <v>0</v>
      </c>
      <c r="DU11" s="62">
        <f t="shared" ref="DU11:DU74" si="107">DS11-DT11</f>
        <v>77</v>
      </c>
    </row>
    <row r="12" spans="1:125" ht="18.75" thickBot="1" x14ac:dyDescent="0.3">
      <c r="A12" s="802"/>
      <c r="B12" s="432">
        <f t="shared" si="62"/>
        <v>14</v>
      </c>
      <c r="C12" s="576">
        <f t="shared" si="63"/>
        <v>0</v>
      </c>
      <c r="D12" s="803">
        <f>D6+D10</f>
        <v>176831</v>
      </c>
      <c r="E12" s="804">
        <f>IFERROR(F11,0)</f>
        <v>175635</v>
      </c>
      <c r="F12" s="562">
        <f t="shared" si="0"/>
        <v>175152</v>
      </c>
      <c r="G12" s="421"/>
      <c r="H12" s="426">
        <v>483</v>
      </c>
      <c r="I12" s="426"/>
      <c r="J12" s="384">
        <f>SUM(G12:I12)</f>
        <v>483</v>
      </c>
      <c r="K12" s="384">
        <f t="shared" si="64"/>
        <v>1679</v>
      </c>
      <c r="L12" s="384">
        <f t="shared" si="1"/>
        <v>0.7</v>
      </c>
      <c r="M12" s="805">
        <f>IFERROR((J12*100)/E12,0)</f>
        <v>0.27500213510974464</v>
      </c>
      <c r="N12" s="420">
        <f t="shared" si="36"/>
        <v>0.7</v>
      </c>
      <c r="O12" s="435">
        <f>IFERROR((K12*100)/$D$12,0)</f>
        <v>0.94949414978142976</v>
      </c>
      <c r="P12" s="806">
        <v>360</v>
      </c>
      <c r="Q12" s="384">
        <f t="shared" si="3"/>
        <v>10</v>
      </c>
      <c r="R12" s="807">
        <f t="shared" si="4"/>
        <v>2.0497053548552397</v>
      </c>
      <c r="S12" s="473">
        <f t="shared" si="37"/>
        <v>98.731891913577527</v>
      </c>
      <c r="T12" s="382">
        <f t="shared" si="5"/>
        <v>40</v>
      </c>
      <c r="U12" s="591">
        <f t="shared" si="85"/>
        <v>33</v>
      </c>
      <c r="V12" s="381">
        <f t="shared" si="38"/>
        <v>7</v>
      </c>
      <c r="W12" s="382">
        <f t="shared" si="6"/>
        <v>77</v>
      </c>
      <c r="X12" s="591">
        <f t="shared" si="66"/>
        <v>84</v>
      </c>
      <c r="Y12" s="381">
        <f t="shared" si="39"/>
        <v>-7</v>
      </c>
      <c r="Z12" s="802"/>
      <c r="AA12" s="432">
        <f t="shared" si="67"/>
        <v>14</v>
      </c>
      <c r="AB12" s="576">
        <f t="shared" si="68"/>
        <v>0</v>
      </c>
      <c r="AC12" s="803"/>
      <c r="AD12" s="804">
        <f t="shared" si="40"/>
        <v>0</v>
      </c>
      <c r="AE12" s="562">
        <f t="shared" si="7"/>
        <v>0</v>
      </c>
      <c r="AF12" s="421"/>
      <c r="AG12" s="426"/>
      <c r="AH12" s="426"/>
      <c r="AI12" s="384">
        <f>SUM(AF12:AH12)</f>
        <v>0</v>
      </c>
      <c r="AJ12" s="384">
        <f t="shared" si="69"/>
        <v>0</v>
      </c>
      <c r="AK12" s="384">
        <f t="shared" si="8"/>
        <v>0.7</v>
      </c>
      <c r="AL12" s="805">
        <f>IFERROR((AI12*100)/AD12,0)</f>
        <v>0</v>
      </c>
      <c r="AM12" s="420">
        <f t="shared" si="9"/>
        <v>0.7</v>
      </c>
      <c r="AN12" s="435">
        <f t="shared" si="41"/>
        <v>0</v>
      </c>
      <c r="AO12" s="806"/>
      <c r="AP12" s="384">
        <f t="shared" si="10"/>
        <v>10</v>
      </c>
      <c r="AQ12" s="807">
        <f t="shared" si="11"/>
        <v>0</v>
      </c>
      <c r="AR12" s="473">
        <f t="shared" si="42"/>
        <v>0</v>
      </c>
      <c r="AS12" s="382">
        <f t="shared" si="12"/>
        <v>40</v>
      </c>
      <c r="AT12" s="591">
        <f t="shared" si="87"/>
        <v>0</v>
      </c>
      <c r="AU12" s="381">
        <f t="shared" si="96"/>
        <v>40</v>
      </c>
      <c r="AV12" s="382">
        <f t="shared" si="13"/>
        <v>77</v>
      </c>
      <c r="AW12" s="591">
        <f t="shared" si="71"/>
        <v>0</v>
      </c>
      <c r="AX12" s="381">
        <f t="shared" si="104"/>
        <v>77</v>
      </c>
      <c r="AY12" s="802"/>
      <c r="AZ12" s="432">
        <f t="shared" si="72"/>
        <v>14</v>
      </c>
      <c r="BA12" s="576">
        <f t="shared" si="73"/>
        <v>0</v>
      </c>
      <c r="BB12" s="803"/>
      <c r="BC12" s="804">
        <f t="shared" si="45"/>
        <v>48427</v>
      </c>
      <c r="BD12" s="562">
        <f t="shared" si="14"/>
        <v>48389</v>
      </c>
      <c r="BE12" s="421"/>
      <c r="BF12" s="426">
        <v>38</v>
      </c>
      <c r="BG12" s="426"/>
      <c r="BH12" s="384">
        <f>SUM(BE12:BG12)</f>
        <v>38</v>
      </c>
      <c r="BI12" s="384">
        <f t="shared" si="46"/>
        <v>70</v>
      </c>
      <c r="BJ12" s="384">
        <f t="shared" si="15"/>
        <v>0.7</v>
      </c>
      <c r="BK12" s="805">
        <f>IFERROR((BH12*100)/BC12,0)</f>
        <v>7.8468622875668526E-2</v>
      </c>
      <c r="BL12" s="420">
        <f t="shared" si="16"/>
        <v>0.7</v>
      </c>
      <c r="BM12" s="156">
        <f>IFERROR((BI12*100)/$BB$14,0)</f>
        <v>5.829981094204166E-2</v>
      </c>
      <c r="BN12" s="806"/>
      <c r="BO12" s="384">
        <f t="shared" si="17"/>
        <v>10</v>
      </c>
      <c r="BP12" s="807">
        <f t="shared" si="18"/>
        <v>0</v>
      </c>
      <c r="BQ12" s="473">
        <f t="shared" si="47"/>
        <v>0</v>
      </c>
      <c r="BR12" s="382">
        <f t="shared" si="19"/>
        <v>40</v>
      </c>
      <c r="BS12" s="591">
        <f t="shared" si="90"/>
        <v>33</v>
      </c>
      <c r="BT12" s="381">
        <f t="shared" si="98"/>
        <v>7</v>
      </c>
      <c r="BU12" s="382">
        <f t="shared" si="20"/>
        <v>77</v>
      </c>
      <c r="BV12" s="591">
        <f t="shared" si="75"/>
        <v>84</v>
      </c>
      <c r="BW12" s="381">
        <f t="shared" si="105"/>
        <v>-7</v>
      </c>
      <c r="BX12" s="802"/>
      <c r="BY12" s="432">
        <f t="shared" si="76"/>
        <v>14</v>
      </c>
      <c r="BZ12" s="576">
        <f t="shared" si="77"/>
        <v>0</v>
      </c>
      <c r="CA12" s="803"/>
      <c r="CB12" s="804">
        <f t="shared" si="50"/>
        <v>0</v>
      </c>
      <c r="CC12" s="562">
        <f t="shared" si="21"/>
        <v>0</v>
      </c>
      <c r="CD12" s="421"/>
      <c r="CE12" s="426"/>
      <c r="CF12" s="426"/>
      <c r="CG12" s="384">
        <f>SUM(CD12:CF12)</f>
        <v>0</v>
      </c>
      <c r="CH12" s="384">
        <f t="shared" si="51"/>
        <v>0</v>
      </c>
      <c r="CI12" s="384">
        <f t="shared" si="22"/>
        <v>0.7</v>
      </c>
      <c r="CJ12" s="805">
        <f>IFERROR((CG12*100)/CB12,0)</f>
        <v>0</v>
      </c>
      <c r="CK12" s="420">
        <f t="shared" si="23"/>
        <v>0.7</v>
      </c>
      <c r="CL12" s="435">
        <f t="shared" si="52"/>
        <v>0</v>
      </c>
      <c r="CM12" s="806"/>
      <c r="CN12" s="384">
        <f t="shared" si="24"/>
        <v>10</v>
      </c>
      <c r="CO12" s="807">
        <f t="shared" si="25"/>
        <v>0</v>
      </c>
      <c r="CP12" s="473">
        <f t="shared" si="53"/>
        <v>0</v>
      </c>
      <c r="CQ12" s="382">
        <f t="shared" si="26"/>
        <v>40</v>
      </c>
      <c r="CR12" s="591">
        <f t="shared" si="92"/>
        <v>0</v>
      </c>
      <c r="CS12" s="381">
        <f t="shared" si="100"/>
        <v>40</v>
      </c>
      <c r="CT12" s="382">
        <f t="shared" si="27"/>
        <v>77</v>
      </c>
      <c r="CU12" s="591">
        <f t="shared" si="79"/>
        <v>0</v>
      </c>
      <c r="CV12" s="381">
        <f t="shared" si="106"/>
        <v>77</v>
      </c>
      <c r="CW12" s="802"/>
      <c r="CX12" s="432">
        <f t="shared" si="80"/>
        <v>14</v>
      </c>
      <c r="CY12" s="576">
        <f t="shared" si="81"/>
        <v>0</v>
      </c>
      <c r="CZ12" s="803"/>
      <c r="DA12" s="804">
        <f t="shared" si="56"/>
        <v>0</v>
      </c>
      <c r="DB12" s="562">
        <f t="shared" si="28"/>
        <v>0</v>
      </c>
      <c r="DC12" s="421"/>
      <c r="DD12" s="426"/>
      <c r="DE12" s="426"/>
      <c r="DF12" s="384">
        <f>SUM(DC12:DE12)</f>
        <v>0</v>
      </c>
      <c r="DG12" s="384">
        <f t="shared" si="57"/>
        <v>0</v>
      </c>
      <c r="DH12" s="384">
        <f t="shared" si="29"/>
        <v>0.7</v>
      </c>
      <c r="DI12" s="805">
        <f>IFERROR((DF12*100)/DA12,0)</f>
        <v>0</v>
      </c>
      <c r="DJ12" s="420">
        <f t="shared" si="30"/>
        <v>0.7</v>
      </c>
      <c r="DK12" s="435">
        <f t="shared" si="58"/>
        <v>0</v>
      </c>
      <c r="DL12" s="806"/>
      <c r="DM12" s="384">
        <f t="shared" si="31"/>
        <v>10</v>
      </c>
      <c r="DN12" s="807">
        <f t="shared" si="32"/>
        <v>0</v>
      </c>
      <c r="DO12" s="473">
        <f t="shared" si="59"/>
        <v>0</v>
      </c>
      <c r="DP12" s="382">
        <f t="shared" si="33"/>
        <v>40</v>
      </c>
      <c r="DQ12" s="591">
        <f t="shared" si="94"/>
        <v>0</v>
      </c>
      <c r="DR12" s="381">
        <f t="shared" si="102"/>
        <v>40</v>
      </c>
      <c r="DS12" s="382">
        <f t="shared" si="34"/>
        <v>77</v>
      </c>
      <c r="DT12" s="591">
        <f t="shared" si="83"/>
        <v>0</v>
      </c>
      <c r="DU12" s="381">
        <f t="shared" si="107"/>
        <v>77</v>
      </c>
    </row>
    <row r="13" spans="1:125" x14ac:dyDescent="0.25">
      <c r="A13" s="412"/>
      <c r="B13" s="584">
        <v>15</v>
      </c>
      <c r="C13" s="585">
        <v>1</v>
      </c>
      <c r="D13" s="396"/>
      <c r="E13" s="400">
        <f t="shared" si="103"/>
        <v>175152</v>
      </c>
      <c r="F13" s="561">
        <f>IFERROR(E13-J13,0)</f>
        <v>174377</v>
      </c>
      <c r="G13" s="398"/>
      <c r="H13" s="399">
        <v>775</v>
      </c>
      <c r="I13" s="399"/>
      <c r="J13" s="379">
        <f t="shared" ref="J13:J76" si="108">SUM(G13:I13)</f>
        <v>775</v>
      </c>
      <c r="K13" s="379">
        <f t="shared" si="64"/>
        <v>2454</v>
      </c>
      <c r="L13" s="379">
        <f t="shared" si="1"/>
        <v>0.7</v>
      </c>
      <c r="M13" s="42">
        <f t="shared" si="65"/>
        <v>0.44247282360464052</v>
      </c>
      <c r="N13" s="590">
        <f t="shared" si="36"/>
        <v>0.7</v>
      </c>
      <c r="O13" s="165">
        <f t="shared" si="2"/>
        <v>1.3877657198115716</v>
      </c>
      <c r="P13" s="687">
        <v>1440</v>
      </c>
      <c r="Q13" s="379">
        <f t="shared" si="3"/>
        <v>10</v>
      </c>
      <c r="R13" s="441">
        <f t="shared" si="4"/>
        <v>8.2214305289120304</v>
      </c>
      <c r="S13" s="472">
        <f t="shared" si="37"/>
        <v>106.95332244248956</v>
      </c>
      <c r="T13" s="386">
        <f t="shared" si="5"/>
        <v>70</v>
      </c>
      <c r="U13" s="399">
        <v>70</v>
      </c>
      <c r="V13" s="402">
        <f t="shared" si="38"/>
        <v>0</v>
      </c>
      <c r="W13" s="414">
        <f t="shared" si="6"/>
        <v>77</v>
      </c>
      <c r="X13" s="399">
        <v>84</v>
      </c>
      <c r="Y13" s="402">
        <f t="shared" si="39"/>
        <v>-7</v>
      </c>
      <c r="Z13" s="487"/>
      <c r="AA13" s="584">
        <v>15</v>
      </c>
      <c r="AB13" s="585">
        <v>1</v>
      </c>
      <c r="AC13" s="396"/>
      <c r="AD13" s="400">
        <f t="shared" si="40"/>
        <v>0</v>
      </c>
      <c r="AE13" s="561">
        <f>IFERROR(AD13-AI13,0)</f>
        <v>0</v>
      </c>
      <c r="AF13" s="398"/>
      <c r="AG13" s="399"/>
      <c r="AH13" s="399"/>
      <c r="AI13" s="379">
        <f t="shared" ref="AI13:AI76" si="109">SUM(AF13:AH13)</f>
        <v>0</v>
      </c>
      <c r="AJ13" s="379">
        <f t="shared" si="69"/>
        <v>0</v>
      </c>
      <c r="AK13" s="379">
        <f t="shared" si="8"/>
        <v>0.7</v>
      </c>
      <c r="AL13" s="42">
        <f t="shared" ref="AL13:AL76" si="110">IFERROR((AI13*100)/AD13,0)</f>
        <v>0</v>
      </c>
      <c r="AM13" s="590">
        <f t="shared" si="9"/>
        <v>0.7</v>
      </c>
      <c r="AN13" s="165">
        <f t="shared" si="41"/>
        <v>0</v>
      </c>
      <c r="AO13" s="687"/>
      <c r="AP13" s="379">
        <f t="shared" si="10"/>
        <v>10</v>
      </c>
      <c r="AQ13" s="441">
        <f t="shared" si="11"/>
        <v>0</v>
      </c>
      <c r="AR13" s="472">
        <f t="shared" si="42"/>
        <v>0</v>
      </c>
      <c r="AS13" s="386">
        <f t="shared" si="12"/>
        <v>70</v>
      </c>
      <c r="AT13" s="399"/>
      <c r="AU13" s="402">
        <f t="shared" si="96"/>
        <v>70</v>
      </c>
      <c r="AV13" s="414">
        <f t="shared" si="13"/>
        <v>77</v>
      </c>
      <c r="AW13" s="399"/>
      <c r="AX13" s="402">
        <f t="shared" si="104"/>
        <v>77</v>
      </c>
      <c r="AY13" s="843"/>
      <c r="AZ13" s="844">
        <v>15</v>
      </c>
      <c r="BA13" s="845">
        <v>1</v>
      </c>
      <c r="BB13" s="486">
        <v>71610</v>
      </c>
      <c r="BC13" s="400">
        <f t="shared" si="45"/>
        <v>119999</v>
      </c>
      <c r="BD13" s="561">
        <f>IFERROR(BC13-BH13,0)</f>
        <v>119907</v>
      </c>
      <c r="BE13" s="398"/>
      <c r="BF13" s="399">
        <v>92</v>
      </c>
      <c r="BG13" s="399"/>
      <c r="BH13" s="379">
        <f t="shared" ref="BH13:BH76" si="111">SUM(BE13:BG13)</f>
        <v>92</v>
      </c>
      <c r="BI13" s="379">
        <f t="shared" si="46"/>
        <v>162</v>
      </c>
      <c r="BJ13" s="379">
        <f t="shared" si="15"/>
        <v>0.7</v>
      </c>
      <c r="BK13" s="42">
        <f t="shared" ref="BK13:BK76" si="112">IFERROR((BH13*100)/BC13,0)</f>
        <v>7.6667305560879667E-2</v>
      </c>
      <c r="BL13" s="590">
        <f t="shared" si="16"/>
        <v>0.7</v>
      </c>
      <c r="BM13" s="155">
        <f>IFERROR((BI13*100)/$BB$14,0)</f>
        <v>0.13492241960872497</v>
      </c>
      <c r="BN13" s="687"/>
      <c r="BO13" s="379">
        <f t="shared" si="17"/>
        <v>10</v>
      </c>
      <c r="BP13" s="441">
        <f t="shared" si="18"/>
        <v>0</v>
      </c>
      <c r="BQ13" s="472">
        <f t="shared" si="47"/>
        <v>0</v>
      </c>
      <c r="BR13" s="386">
        <f t="shared" si="19"/>
        <v>70</v>
      </c>
      <c r="BS13" s="399">
        <v>68</v>
      </c>
      <c r="BT13" s="402">
        <f t="shared" si="98"/>
        <v>2</v>
      </c>
      <c r="BU13" s="414">
        <f t="shared" si="20"/>
        <v>77</v>
      </c>
      <c r="BV13" s="399">
        <v>75</v>
      </c>
      <c r="BW13" s="402">
        <f t="shared" si="105"/>
        <v>2</v>
      </c>
      <c r="BX13" s="393"/>
      <c r="BY13" s="584">
        <v>15</v>
      </c>
      <c r="BZ13" s="585">
        <v>1</v>
      </c>
      <c r="CA13" s="396"/>
      <c r="CB13" s="400">
        <f t="shared" si="50"/>
        <v>0</v>
      </c>
      <c r="CC13" s="561">
        <f>IFERROR(CB13-CG13,0)</f>
        <v>0</v>
      </c>
      <c r="CD13" s="398"/>
      <c r="CE13" s="399"/>
      <c r="CF13" s="399"/>
      <c r="CG13" s="379">
        <f t="shared" ref="CG13:CG76" si="113">SUM(CD13:CF13)</f>
        <v>0</v>
      </c>
      <c r="CH13" s="379">
        <f t="shared" si="51"/>
        <v>0</v>
      </c>
      <c r="CI13" s="379">
        <f t="shared" si="22"/>
        <v>0.7</v>
      </c>
      <c r="CJ13" s="42">
        <f t="shared" ref="CJ13:CJ76" si="114">IFERROR((CG13*100)/CB13,0)</f>
        <v>0</v>
      </c>
      <c r="CK13" s="590">
        <f t="shared" si="23"/>
        <v>0.7</v>
      </c>
      <c r="CL13" s="165">
        <f t="shared" si="52"/>
        <v>0</v>
      </c>
      <c r="CM13" s="687"/>
      <c r="CN13" s="379">
        <f t="shared" si="24"/>
        <v>10</v>
      </c>
      <c r="CO13" s="441">
        <f t="shared" si="25"/>
        <v>0</v>
      </c>
      <c r="CP13" s="472">
        <f t="shared" si="53"/>
        <v>0</v>
      </c>
      <c r="CQ13" s="386">
        <f t="shared" si="26"/>
        <v>70</v>
      </c>
      <c r="CR13" s="399"/>
      <c r="CS13" s="402">
        <f t="shared" si="100"/>
        <v>70</v>
      </c>
      <c r="CT13" s="414">
        <f t="shared" si="27"/>
        <v>77</v>
      </c>
      <c r="CU13" s="399"/>
      <c r="CV13" s="402">
        <f t="shared" si="106"/>
        <v>77</v>
      </c>
      <c r="CW13" s="393"/>
      <c r="CX13" s="584">
        <v>15</v>
      </c>
      <c r="CY13" s="585">
        <v>1</v>
      </c>
      <c r="CZ13" s="396"/>
      <c r="DA13" s="400">
        <f t="shared" si="56"/>
        <v>0</v>
      </c>
      <c r="DB13" s="561">
        <f>IFERROR(DA13-DF13,0)</f>
        <v>0</v>
      </c>
      <c r="DC13" s="398"/>
      <c r="DD13" s="399"/>
      <c r="DE13" s="399"/>
      <c r="DF13" s="379">
        <f t="shared" ref="DF13:DF76" si="115">SUM(DC13:DE13)</f>
        <v>0</v>
      </c>
      <c r="DG13" s="379">
        <f t="shared" si="57"/>
        <v>0</v>
      </c>
      <c r="DH13" s="379">
        <f t="shared" si="29"/>
        <v>0.7</v>
      </c>
      <c r="DI13" s="42">
        <f t="shared" ref="DI13:DI76" si="116">IFERROR((DF13*100)/DA13,0)</f>
        <v>0</v>
      </c>
      <c r="DJ13" s="590">
        <f t="shared" si="30"/>
        <v>0.7</v>
      </c>
      <c r="DK13" s="165">
        <f t="shared" si="58"/>
        <v>0</v>
      </c>
      <c r="DL13" s="687"/>
      <c r="DM13" s="379">
        <f t="shared" si="31"/>
        <v>10</v>
      </c>
      <c r="DN13" s="441">
        <f t="shared" si="32"/>
        <v>0</v>
      </c>
      <c r="DO13" s="472">
        <f t="shared" si="59"/>
        <v>0</v>
      </c>
      <c r="DP13" s="386">
        <f t="shared" si="33"/>
        <v>70</v>
      </c>
      <c r="DQ13" s="399"/>
      <c r="DR13" s="402">
        <f t="shared" si="102"/>
        <v>70</v>
      </c>
      <c r="DS13" s="414">
        <f t="shared" si="34"/>
        <v>77</v>
      </c>
      <c r="DT13" s="399"/>
      <c r="DU13" s="402">
        <f t="shared" si="107"/>
        <v>77</v>
      </c>
    </row>
    <row r="14" spans="1:125" x14ac:dyDescent="0.25">
      <c r="B14" s="120">
        <f t="shared" ref="B14:B19" si="117">B13+1</f>
        <v>16</v>
      </c>
      <c r="C14" s="570">
        <f>C13</f>
        <v>1</v>
      </c>
      <c r="D14" s="133"/>
      <c r="E14" s="408">
        <f t="shared" si="103"/>
        <v>174377</v>
      </c>
      <c r="F14" s="562">
        <f>IFERROR(E14-J14,0)</f>
        <v>173978</v>
      </c>
      <c r="G14" s="134"/>
      <c r="H14" s="135">
        <v>399</v>
      </c>
      <c r="I14" s="135"/>
      <c r="J14" s="14">
        <f t="shared" si="108"/>
        <v>399</v>
      </c>
      <c r="K14" s="14">
        <f t="shared" si="64"/>
        <v>2853</v>
      </c>
      <c r="L14" s="14">
        <f t="shared" si="1"/>
        <v>0.7</v>
      </c>
      <c r="M14" s="47">
        <f t="shared" si="65"/>
        <v>0.22881457990445989</v>
      </c>
      <c r="N14" s="35">
        <f t="shared" si="36"/>
        <v>0.7</v>
      </c>
      <c r="O14" s="159">
        <f t="shared" si="2"/>
        <v>1.6134048894141864</v>
      </c>
      <c r="P14" s="142">
        <v>720</v>
      </c>
      <c r="Q14" s="14">
        <f t="shared" si="3"/>
        <v>10</v>
      </c>
      <c r="R14" s="442">
        <f t="shared" si="4"/>
        <v>4.1289849005316075</v>
      </c>
      <c r="S14" s="470">
        <f t="shared" si="37"/>
        <v>111.08230734302117</v>
      </c>
      <c r="T14" s="51">
        <f t="shared" si="5"/>
        <v>70</v>
      </c>
      <c r="U14" s="103">
        <f>U13</f>
        <v>70</v>
      </c>
      <c r="V14" s="71">
        <f t="shared" si="38"/>
        <v>0</v>
      </c>
      <c r="W14" s="50">
        <f t="shared" si="6"/>
        <v>77</v>
      </c>
      <c r="X14" s="103">
        <f>X13</f>
        <v>84</v>
      </c>
      <c r="Y14" s="71">
        <f t="shared" si="39"/>
        <v>-7</v>
      </c>
      <c r="Z14" s="487"/>
      <c r="AA14" s="120">
        <f t="shared" ref="AA14:AA19" si="118">AA13+1</f>
        <v>16</v>
      </c>
      <c r="AB14" s="570">
        <f>AB13</f>
        <v>1</v>
      </c>
      <c r="AC14" s="133"/>
      <c r="AD14" s="408">
        <f t="shared" si="40"/>
        <v>0</v>
      </c>
      <c r="AE14" s="562">
        <f>IFERROR(AD14-AI14,0)</f>
        <v>0</v>
      </c>
      <c r="AF14" s="134"/>
      <c r="AG14" s="135"/>
      <c r="AH14" s="135"/>
      <c r="AI14" s="14">
        <f t="shared" si="109"/>
        <v>0</v>
      </c>
      <c r="AJ14" s="14">
        <f t="shared" si="69"/>
        <v>0</v>
      </c>
      <c r="AK14" s="14">
        <f t="shared" si="8"/>
        <v>0.7</v>
      </c>
      <c r="AL14" s="47">
        <f t="shared" si="110"/>
        <v>0</v>
      </c>
      <c r="AM14" s="35">
        <f t="shared" si="9"/>
        <v>0.7</v>
      </c>
      <c r="AN14" s="159">
        <f>IFERROR((AJ14*100)/$D$12,0)</f>
        <v>0</v>
      </c>
      <c r="AO14" s="142"/>
      <c r="AP14" s="14">
        <f t="shared" si="10"/>
        <v>10</v>
      </c>
      <c r="AQ14" s="442">
        <f t="shared" si="11"/>
        <v>0</v>
      </c>
      <c r="AR14" s="470">
        <f t="shared" si="42"/>
        <v>0</v>
      </c>
      <c r="AS14" s="51">
        <f t="shared" si="12"/>
        <v>70</v>
      </c>
      <c r="AT14" s="103">
        <f>AT13</f>
        <v>0</v>
      </c>
      <c r="AU14" s="71">
        <f t="shared" si="96"/>
        <v>70</v>
      </c>
      <c r="AV14" s="50">
        <f t="shared" si="13"/>
        <v>77</v>
      </c>
      <c r="AW14" s="103">
        <f>AW13</f>
        <v>0</v>
      </c>
      <c r="AX14" s="71">
        <f t="shared" si="104"/>
        <v>77</v>
      </c>
      <c r="AZ14" s="120">
        <f t="shared" ref="AZ14:AZ19" si="119">AZ13+1</f>
        <v>16</v>
      </c>
      <c r="BA14" s="570">
        <f>BA13</f>
        <v>1</v>
      </c>
      <c r="BB14" s="133">
        <f>BB10+BB11+BB13</f>
        <v>120069</v>
      </c>
      <c r="BC14" s="408">
        <f>IFERROR(BD13,0)</f>
        <v>119907</v>
      </c>
      <c r="BD14" s="562">
        <f>IFERROR(BC14-BH14,0)</f>
        <v>119635</v>
      </c>
      <c r="BE14" s="134"/>
      <c r="BF14" s="135">
        <v>272</v>
      </c>
      <c r="BG14" s="135"/>
      <c r="BH14" s="14">
        <f t="shared" si="111"/>
        <v>272</v>
      </c>
      <c r="BI14" s="14">
        <f t="shared" si="46"/>
        <v>434</v>
      </c>
      <c r="BJ14" s="14">
        <f t="shared" si="15"/>
        <v>0.7</v>
      </c>
      <c r="BK14" s="47">
        <f t="shared" si="112"/>
        <v>0.22684246958059162</v>
      </c>
      <c r="BL14" s="35">
        <f t="shared" si="16"/>
        <v>0.7</v>
      </c>
      <c r="BM14" s="159">
        <f>IFERROR((BI14*100)/$BB$14,0)</f>
        <v>0.3614588278406583</v>
      </c>
      <c r="BN14" s="142">
        <v>1080</v>
      </c>
      <c r="BO14" s="14">
        <f t="shared" si="17"/>
        <v>10</v>
      </c>
      <c r="BP14" s="442">
        <f t="shared" si="18"/>
        <v>9.0069804098176078</v>
      </c>
      <c r="BQ14" s="470">
        <f t="shared" si="47"/>
        <v>9.0069804098176078</v>
      </c>
      <c r="BR14" s="51">
        <f t="shared" si="19"/>
        <v>70</v>
      </c>
      <c r="BS14" s="103">
        <f>BS13</f>
        <v>68</v>
      </c>
      <c r="BT14" s="71">
        <f t="shared" si="98"/>
        <v>2</v>
      </c>
      <c r="BU14" s="50">
        <f t="shared" si="20"/>
        <v>77</v>
      </c>
      <c r="BV14" s="103">
        <f>BV13</f>
        <v>75</v>
      </c>
      <c r="BW14" s="71">
        <f t="shared" si="105"/>
        <v>2</v>
      </c>
      <c r="BY14" s="120">
        <f t="shared" ref="BY14:BY19" si="120">BY13+1</f>
        <v>16</v>
      </c>
      <c r="BZ14" s="570">
        <f>BZ13</f>
        <v>1</v>
      </c>
      <c r="CA14" s="133"/>
      <c r="CB14" s="408">
        <f t="shared" si="50"/>
        <v>0</v>
      </c>
      <c r="CC14" s="562">
        <f>IFERROR(CB14-CG14,0)</f>
        <v>0</v>
      </c>
      <c r="CD14" s="134"/>
      <c r="CE14" s="135"/>
      <c r="CF14" s="135"/>
      <c r="CG14" s="14">
        <f t="shared" si="113"/>
        <v>0</v>
      </c>
      <c r="CH14" s="14">
        <f t="shared" si="51"/>
        <v>0</v>
      </c>
      <c r="CI14" s="14">
        <f t="shared" si="22"/>
        <v>0.7</v>
      </c>
      <c r="CJ14" s="47">
        <f t="shared" si="114"/>
        <v>0</v>
      </c>
      <c r="CK14" s="35">
        <f t="shared" si="23"/>
        <v>0.7</v>
      </c>
      <c r="CL14" s="159">
        <f t="shared" si="52"/>
        <v>0</v>
      </c>
      <c r="CM14" s="142"/>
      <c r="CN14" s="14">
        <f t="shared" si="24"/>
        <v>10</v>
      </c>
      <c r="CO14" s="442">
        <f t="shared" si="25"/>
        <v>0</v>
      </c>
      <c r="CP14" s="470">
        <f t="shared" si="53"/>
        <v>0</v>
      </c>
      <c r="CQ14" s="51">
        <f t="shared" si="26"/>
        <v>70</v>
      </c>
      <c r="CR14" s="103">
        <f>CR13</f>
        <v>0</v>
      </c>
      <c r="CS14" s="71">
        <f t="shared" si="100"/>
        <v>70</v>
      </c>
      <c r="CT14" s="50">
        <f t="shared" si="27"/>
        <v>77</v>
      </c>
      <c r="CU14" s="103">
        <f>CU13</f>
        <v>0</v>
      </c>
      <c r="CV14" s="71">
        <f t="shared" si="106"/>
        <v>77</v>
      </c>
      <c r="CX14" s="120">
        <f t="shared" ref="CX14:CX19" si="121">CX13+1</f>
        <v>16</v>
      </c>
      <c r="CY14" s="570">
        <f>CY13</f>
        <v>1</v>
      </c>
      <c r="CZ14" s="133"/>
      <c r="DA14" s="408">
        <f t="shared" si="56"/>
        <v>0</v>
      </c>
      <c r="DB14" s="562">
        <f>IFERROR(DA14-DF14,0)</f>
        <v>0</v>
      </c>
      <c r="DC14" s="134"/>
      <c r="DD14" s="135"/>
      <c r="DE14" s="135"/>
      <c r="DF14" s="14">
        <f t="shared" si="115"/>
        <v>0</v>
      </c>
      <c r="DG14" s="14">
        <f t="shared" si="57"/>
        <v>0</v>
      </c>
      <c r="DH14" s="14">
        <f t="shared" si="29"/>
        <v>0.7</v>
      </c>
      <c r="DI14" s="47">
        <f t="shared" si="116"/>
        <v>0</v>
      </c>
      <c r="DJ14" s="35">
        <f t="shared" si="30"/>
        <v>0.7</v>
      </c>
      <c r="DK14" s="159">
        <f t="shared" si="58"/>
        <v>0</v>
      </c>
      <c r="DL14" s="142"/>
      <c r="DM14" s="14">
        <f t="shared" si="31"/>
        <v>10</v>
      </c>
      <c r="DN14" s="442">
        <f t="shared" si="32"/>
        <v>0</v>
      </c>
      <c r="DO14" s="470">
        <f t="shared" si="59"/>
        <v>0</v>
      </c>
      <c r="DP14" s="51">
        <f t="shared" si="33"/>
        <v>70</v>
      </c>
      <c r="DQ14" s="103">
        <f>DQ13</f>
        <v>0</v>
      </c>
      <c r="DR14" s="71">
        <f t="shared" si="102"/>
        <v>70</v>
      </c>
      <c r="DS14" s="50">
        <f t="shared" si="34"/>
        <v>77</v>
      </c>
      <c r="DT14" s="103">
        <f>DT13</f>
        <v>0</v>
      </c>
      <c r="DU14" s="71">
        <f t="shared" si="107"/>
        <v>77</v>
      </c>
    </row>
    <row r="15" spans="1:125" x14ac:dyDescent="0.25">
      <c r="B15" s="120">
        <f t="shared" si="117"/>
        <v>17</v>
      </c>
      <c r="C15" s="570">
        <f t="shared" ref="C15:C19" si="122">C14</f>
        <v>1</v>
      </c>
      <c r="D15" s="133"/>
      <c r="E15" s="408">
        <f t="shared" si="103"/>
        <v>173978</v>
      </c>
      <c r="F15" s="562">
        <f t="shared" si="0"/>
        <v>173510</v>
      </c>
      <c r="G15" s="134"/>
      <c r="H15" s="135">
        <v>468</v>
      </c>
      <c r="I15" s="135"/>
      <c r="J15" s="14">
        <f t="shared" si="108"/>
        <v>468</v>
      </c>
      <c r="K15" s="14">
        <f t="shared" si="64"/>
        <v>3321</v>
      </c>
      <c r="L15" s="14">
        <f t="shared" si="1"/>
        <v>0.7</v>
      </c>
      <c r="M15" s="47">
        <f t="shared" si="65"/>
        <v>0.26899952867603949</v>
      </c>
      <c r="N15" s="35">
        <f t="shared" si="36"/>
        <v>0.7</v>
      </c>
      <c r="O15" s="159">
        <f t="shared" si="2"/>
        <v>1.8780643665420655</v>
      </c>
      <c r="P15" s="142">
        <v>2160</v>
      </c>
      <c r="Q15" s="14">
        <f t="shared" si="3"/>
        <v>10</v>
      </c>
      <c r="R15" s="442">
        <f t="shared" ref="R15:R69" si="123">IFERROR((P15/E15)*1000,0)</f>
        <v>12.415362861971055</v>
      </c>
      <c r="S15" s="470">
        <f t="shared" si="37"/>
        <v>123.49767020499223</v>
      </c>
      <c r="T15" s="51">
        <f t="shared" si="5"/>
        <v>70</v>
      </c>
      <c r="U15" s="103">
        <f t="shared" ref="U15:U19" si="124">U14</f>
        <v>70</v>
      </c>
      <c r="V15" s="46">
        <f t="shared" si="38"/>
        <v>0</v>
      </c>
      <c r="W15" s="50">
        <f t="shared" si="6"/>
        <v>77</v>
      </c>
      <c r="X15" s="103">
        <f t="shared" ref="X15:X19" si="125">X14</f>
        <v>84</v>
      </c>
      <c r="Y15" s="71">
        <f t="shared" si="39"/>
        <v>-7</v>
      </c>
      <c r="Z15" s="487"/>
      <c r="AA15" s="120">
        <f t="shared" si="118"/>
        <v>17</v>
      </c>
      <c r="AB15" s="570">
        <f t="shared" ref="AB15:AB19" si="126">AB14</f>
        <v>1</v>
      </c>
      <c r="AC15" s="133"/>
      <c r="AD15" s="408">
        <f t="shared" si="40"/>
        <v>0</v>
      </c>
      <c r="AE15" s="562">
        <f t="shared" ref="AE15:AE78" si="127">IFERROR(AD15-AI15,0)</f>
        <v>0</v>
      </c>
      <c r="AF15" s="134"/>
      <c r="AG15" s="135"/>
      <c r="AH15" s="135"/>
      <c r="AI15" s="14">
        <f t="shared" si="109"/>
        <v>0</v>
      </c>
      <c r="AJ15" s="14">
        <f t="shared" si="69"/>
        <v>0</v>
      </c>
      <c r="AK15" s="14">
        <f t="shared" si="8"/>
        <v>0.7</v>
      </c>
      <c r="AL15" s="47">
        <f t="shared" si="110"/>
        <v>0</v>
      </c>
      <c r="AM15" s="35">
        <f t="shared" si="9"/>
        <v>0.7</v>
      </c>
      <c r="AN15" s="159">
        <f>IFERROR((AJ15*100)/$D$12,0)</f>
        <v>0</v>
      </c>
      <c r="AO15" s="142"/>
      <c r="AP15" s="14">
        <f t="shared" si="10"/>
        <v>10</v>
      </c>
      <c r="AQ15" s="442">
        <f t="shared" si="11"/>
        <v>0</v>
      </c>
      <c r="AR15" s="470">
        <f t="shared" si="42"/>
        <v>0</v>
      </c>
      <c r="AS15" s="51">
        <f t="shared" si="12"/>
        <v>70</v>
      </c>
      <c r="AT15" s="103">
        <f t="shared" ref="AT15:AT19" si="128">AT14</f>
        <v>0</v>
      </c>
      <c r="AU15" s="46">
        <f t="shared" si="96"/>
        <v>70</v>
      </c>
      <c r="AV15" s="50">
        <f t="shared" si="13"/>
        <v>77</v>
      </c>
      <c r="AW15" s="103">
        <f t="shared" ref="AW15:AW19" si="129">AW14</f>
        <v>0</v>
      </c>
      <c r="AX15" s="71">
        <f t="shared" si="104"/>
        <v>77</v>
      </c>
      <c r="AZ15" s="120">
        <f t="shared" si="119"/>
        <v>17</v>
      </c>
      <c r="BA15" s="570">
        <f t="shared" ref="BA15:BA19" si="130">BA14</f>
        <v>1</v>
      </c>
      <c r="BB15" s="133"/>
      <c r="BC15" s="408">
        <f t="shared" si="45"/>
        <v>119635</v>
      </c>
      <c r="BD15" s="562">
        <f t="shared" ref="BD15:BD78" si="131">IFERROR(BC15-BH15,0)</f>
        <v>119371</v>
      </c>
      <c r="BE15" s="134"/>
      <c r="BF15" s="135">
        <v>264</v>
      </c>
      <c r="BG15" s="135"/>
      <c r="BH15" s="14">
        <f t="shared" si="111"/>
        <v>264</v>
      </c>
      <c r="BI15" s="14">
        <f t="shared" si="46"/>
        <v>698</v>
      </c>
      <c r="BJ15" s="14">
        <f t="shared" si="15"/>
        <v>0.7</v>
      </c>
      <c r="BK15" s="47">
        <f t="shared" si="112"/>
        <v>0.22067120825845279</v>
      </c>
      <c r="BL15" s="35">
        <f t="shared" si="16"/>
        <v>0.7</v>
      </c>
      <c r="BM15" s="159">
        <f>IFERROR((BI15*100)/$BB$14,0)</f>
        <v>0.58133240053635826</v>
      </c>
      <c r="BN15" s="142">
        <v>360</v>
      </c>
      <c r="BO15" s="14">
        <f t="shared" si="17"/>
        <v>10</v>
      </c>
      <c r="BP15" s="442">
        <f t="shared" si="18"/>
        <v>3.0091528398879928</v>
      </c>
      <c r="BQ15" s="470">
        <f t="shared" si="47"/>
        <v>12.0161332497056</v>
      </c>
      <c r="BR15" s="51">
        <f t="shared" si="19"/>
        <v>70</v>
      </c>
      <c r="BS15" s="103">
        <f t="shared" ref="BS15:BS19" si="132">BS14</f>
        <v>68</v>
      </c>
      <c r="BT15" s="46">
        <f t="shared" si="98"/>
        <v>2</v>
      </c>
      <c r="BU15" s="50">
        <f t="shared" si="20"/>
        <v>77</v>
      </c>
      <c r="BV15" s="103">
        <f t="shared" ref="BV15:BV19" si="133">BV14</f>
        <v>75</v>
      </c>
      <c r="BW15" s="71">
        <f t="shared" si="105"/>
        <v>2</v>
      </c>
      <c r="BY15" s="120">
        <f t="shared" si="120"/>
        <v>17</v>
      </c>
      <c r="BZ15" s="570">
        <f t="shared" ref="BZ15:BZ19" si="134">BZ14</f>
        <v>1</v>
      </c>
      <c r="CA15" s="133"/>
      <c r="CB15" s="408">
        <f t="shared" si="50"/>
        <v>0</v>
      </c>
      <c r="CC15" s="562">
        <f t="shared" ref="CC15:CC78" si="135">IFERROR(CB15-CG15,0)</f>
        <v>0</v>
      </c>
      <c r="CD15" s="134"/>
      <c r="CE15" s="135"/>
      <c r="CF15" s="135"/>
      <c r="CG15" s="14">
        <f t="shared" si="113"/>
        <v>0</v>
      </c>
      <c r="CH15" s="14">
        <f t="shared" si="51"/>
        <v>0</v>
      </c>
      <c r="CI15" s="14">
        <f t="shared" si="22"/>
        <v>0.7</v>
      </c>
      <c r="CJ15" s="47">
        <f t="shared" si="114"/>
        <v>0</v>
      </c>
      <c r="CK15" s="35">
        <f t="shared" si="23"/>
        <v>0.7</v>
      </c>
      <c r="CL15" s="159">
        <f t="shared" si="52"/>
        <v>0</v>
      </c>
      <c r="CM15" s="142"/>
      <c r="CN15" s="14">
        <f t="shared" si="24"/>
        <v>10</v>
      </c>
      <c r="CO15" s="442">
        <f t="shared" si="25"/>
        <v>0</v>
      </c>
      <c r="CP15" s="470">
        <f t="shared" si="53"/>
        <v>0</v>
      </c>
      <c r="CQ15" s="51">
        <f t="shared" si="26"/>
        <v>70</v>
      </c>
      <c r="CR15" s="103">
        <f t="shared" ref="CR15:CR19" si="136">CR14</f>
        <v>0</v>
      </c>
      <c r="CS15" s="46">
        <f t="shared" si="100"/>
        <v>70</v>
      </c>
      <c r="CT15" s="50">
        <f t="shared" si="27"/>
        <v>77</v>
      </c>
      <c r="CU15" s="103">
        <f t="shared" ref="CU15:CU19" si="137">CU14</f>
        <v>0</v>
      </c>
      <c r="CV15" s="71">
        <f t="shared" si="106"/>
        <v>77</v>
      </c>
      <c r="CX15" s="120">
        <f t="shared" si="121"/>
        <v>17</v>
      </c>
      <c r="CY15" s="570">
        <f t="shared" ref="CY15:CY19" si="138">CY14</f>
        <v>1</v>
      </c>
      <c r="CZ15" s="133"/>
      <c r="DA15" s="408">
        <f t="shared" si="56"/>
        <v>0</v>
      </c>
      <c r="DB15" s="562">
        <f t="shared" ref="DB15:DB78" si="139">IFERROR(DA15-DF15,0)</f>
        <v>0</v>
      </c>
      <c r="DC15" s="134"/>
      <c r="DD15" s="135"/>
      <c r="DE15" s="135"/>
      <c r="DF15" s="14">
        <f t="shared" si="115"/>
        <v>0</v>
      </c>
      <c r="DG15" s="14">
        <f t="shared" si="57"/>
        <v>0</v>
      </c>
      <c r="DH15" s="14">
        <f t="shared" si="29"/>
        <v>0.7</v>
      </c>
      <c r="DI15" s="47">
        <f t="shared" si="116"/>
        <v>0</v>
      </c>
      <c r="DJ15" s="35">
        <f t="shared" si="30"/>
        <v>0.7</v>
      </c>
      <c r="DK15" s="159">
        <f t="shared" si="58"/>
        <v>0</v>
      </c>
      <c r="DL15" s="142"/>
      <c r="DM15" s="14">
        <f t="shared" si="31"/>
        <v>10</v>
      </c>
      <c r="DN15" s="442">
        <f t="shared" si="32"/>
        <v>0</v>
      </c>
      <c r="DO15" s="470">
        <f t="shared" si="59"/>
        <v>0</v>
      </c>
      <c r="DP15" s="51">
        <f t="shared" si="33"/>
        <v>70</v>
      </c>
      <c r="DQ15" s="103">
        <f t="shared" ref="DQ15:DQ19" si="140">DQ14</f>
        <v>0</v>
      </c>
      <c r="DR15" s="46">
        <f t="shared" si="102"/>
        <v>70</v>
      </c>
      <c r="DS15" s="50">
        <f t="shared" si="34"/>
        <v>77</v>
      </c>
      <c r="DT15" s="103">
        <f t="shared" ref="DT15:DT19" si="141">DT14</f>
        <v>0</v>
      </c>
      <c r="DU15" s="71">
        <f t="shared" si="107"/>
        <v>77</v>
      </c>
    </row>
    <row r="16" spans="1:125" x14ac:dyDescent="0.25">
      <c r="B16" s="120">
        <f t="shared" si="117"/>
        <v>18</v>
      </c>
      <c r="C16" s="570">
        <f t="shared" si="122"/>
        <v>1</v>
      </c>
      <c r="D16" s="133"/>
      <c r="E16" s="408">
        <f t="shared" si="103"/>
        <v>173510</v>
      </c>
      <c r="F16" s="562">
        <f t="shared" si="0"/>
        <v>173142</v>
      </c>
      <c r="G16" s="134"/>
      <c r="H16" s="135">
        <v>368</v>
      </c>
      <c r="I16" s="135"/>
      <c r="J16" s="14">
        <f t="shared" si="108"/>
        <v>368</v>
      </c>
      <c r="K16" s="14">
        <f t="shared" si="35"/>
        <v>3689</v>
      </c>
      <c r="L16" s="14">
        <f t="shared" si="1"/>
        <v>0.7</v>
      </c>
      <c r="M16" s="47">
        <f t="shared" si="65"/>
        <v>0.21209152210247248</v>
      </c>
      <c r="N16" s="35">
        <f t="shared" si="36"/>
        <v>0.7</v>
      </c>
      <c r="O16" s="159">
        <f t="shared" si="2"/>
        <v>2.0861726733434747</v>
      </c>
      <c r="P16" s="142">
        <v>2700</v>
      </c>
      <c r="Q16" s="14">
        <f t="shared" si="3"/>
        <v>10</v>
      </c>
      <c r="R16" s="442">
        <f t="shared" si="123"/>
        <v>15.561062762953144</v>
      </c>
      <c r="S16" s="470">
        <f t="shared" si="37"/>
        <v>139.05873296794539</v>
      </c>
      <c r="T16" s="51">
        <f t="shared" si="5"/>
        <v>70</v>
      </c>
      <c r="U16" s="103">
        <f t="shared" si="124"/>
        <v>70</v>
      </c>
      <c r="V16" s="46">
        <f>T16-U16</f>
        <v>0</v>
      </c>
      <c r="W16" s="51">
        <f t="shared" si="6"/>
        <v>77</v>
      </c>
      <c r="X16" s="103">
        <f t="shared" si="125"/>
        <v>84</v>
      </c>
      <c r="Y16" s="71">
        <f t="shared" si="39"/>
        <v>-7</v>
      </c>
      <c r="Z16" s="487"/>
      <c r="AA16" s="120">
        <f t="shared" si="118"/>
        <v>18</v>
      </c>
      <c r="AB16" s="570">
        <f t="shared" si="126"/>
        <v>1</v>
      </c>
      <c r="AC16" s="133"/>
      <c r="AD16" s="408">
        <f t="shared" si="40"/>
        <v>0</v>
      </c>
      <c r="AE16" s="562">
        <f t="shared" si="127"/>
        <v>0</v>
      </c>
      <c r="AF16" s="134"/>
      <c r="AG16" s="135"/>
      <c r="AH16" s="135"/>
      <c r="AI16" s="14">
        <f t="shared" si="109"/>
        <v>0</v>
      </c>
      <c r="AJ16" s="14">
        <f t="shared" si="69"/>
        <v>0</v>
      </c>
      <c r="AK16" s="14">
        <f t="shared" si="8"/>
        <v>0.7</v>
      </c>
      <c r="AL16" s="47">
        <f t="shared" si="110"/>
        <v>0</v>
      </c>
      <c r="AM16" s="35">
        <f t="shared" si="9"/>
        <v>0.7</v>
      </c>
      <c r="AN16" s="159">
        <f t="shared" si="41"/>
        <v>0</v>
      </c>
      <c r="AO16" s="142"/>
      <c r="AP16" s="14">
        <f t="shared" si="10"/>
        <v>10</v>
      </c>
      <c r="AQ16" s="442">
        <f t="shared" si="11"/>
        <v>0</v>
      </c>
      <c r="AR16" s="470">
        <f t="shared" si="42"/>
        <v>0</v>
      </c>
      <c r="AS16" s="51">
        <f t="shared" si="12"/>
        <v>70</v>
      </c>
      <c r="AT16" s="103">
        <f t="shared" si="128"/>
        <v>0</v>
      </c>
      <c r="AU16" s="46">
        <f>AS16-AT16</f>
        <v>70</v>
      </c>
      <c r="AV16" s="51">
        <f t="shared" si="13"/>
        <v>77</v>
      </c>
      <c r="AW16" s="103">
        <f t="shared" si="129"/>
        <v>0</v>
      </c>
      <c r="AX16" s="71">
        <f t="shared" si="104"/>
        <v>77</v>
      </c>
      <c r="AZ16" s="120">
        <f t="shared" si="119"/>
        <v>18</v>
      </c>
      <c r="BA16" s="570">
        <f t="shared" si="130"/>
        <v>1</v>
      </c>
      <c r="BB16" s="133"/>
      <c r="BC16" s="408">
        <f t="shared" si="45"/>
        <v>119371</v>
      </c>
      <c r="BD16" s="562">
        <f t="shared" si="131"/>
        <v>119152</v>
      </c>
      <c r="BE16" s="134"/>
      <c r="BF16" s="135">
        <v>219</v>
      </c>
      <c r="BG16" s="135"/>
      <c r="BH16" s="14">
        <f t="shared" si="111"/>
        <v>219</v>
      </c>
      <c r="BI16" s="14">
        <f t="shared" si="46"/>
        <v>917</v>
      </c>
      <c r="BJ16" s="14">
        <f t="shared" si="15"/>
        <v>0.7</v>
      </c>
      <c r="BK16" s="47">
        <f t="shared" si="112"/>
        <v>0.18346164478809762</v>
      </c>
      <c r="BL16" s="35">
        <f t="shared" si="16"/>
        <v>0.7</v>
      </c>
      <c r="BM16" s="159">
        <f t="shared" si="89"/>
        <v>0.76372752334074578</v>
      </c>
      <c r="BN16" s="142">
        <v>2340</v>
      </c>
      <c r="BO16" s="14">
        <f t="shared" si="17"/>
        <v>10</v>
      </c>
      <c r="BP16" s="442">
        <f t="shared" si="18"/>
        <v>19.602751086947418</v>
      </c>
      <c r="BQ16" s="470">
        <f t="shared" si="47"/>
        <v>31.618884336653018</v>
      </c>
      <c r="BR16" s="51">
        <f t="shared" si="19"/>
        <v>70</v>
      </c>
      <c r="BS16" s="103">
        <f t="shared" si="132"/>
        <v>68</v>
      </c>
      <c r="BT16" s="46">
        <f>BR16-BS16</f>
        <v>2</v>
      </c>
      <c r="BU16" s="51">
        <f t="shared" si="20"/>
        <v>77</v>
      </c>
      <c r="BV16" s="103">
        <f t="shared" si="133"/>
        <v>75</v>
      </c>
      <c r="BW16" s="71">
        <f t="shared" si="105"/>
        <v>2</v>
      </c>
      <c r="BY16" s="120">
        <f t="shared" si="120"/>
        <v>18</v>
      </c>
      <c r="BZ16" s="570">
        <f t="shared" si="134"/>
        <v>1</v>
      </c>
      <c r="CA16" s="133"/>
      <c r="CB16" s="408">
        <f t="shared" si="50"/>
        <v>0</v>
      </c>
      <c r="CC16" s="562">
        <f t="shared" si="135"/>
        <v>0</v>
      </c>
      <c r="CD16" s="134"/>
      <c r="CE16" s="135"/>
      <c r="CF16" s="135"/>
      <c r="CG16" s="14">
        <f t="shared" si="113"/>
        <v>0</v>
      </c>
      <c r="CH16" s="14">
        <f t="shared" si="51"/>
        <v>0</v>
      </c>
      <c r="CI16" s="14">
        <f t="shared" si="22"/>
        <v>0.7</v>
      </c>
      <c r="CJ16" s="47">
        <f t="shared" si="114"/>
        <v>0</v>
      </c>
      <c r="CK16" s="35">
        <f t="shared" si="23"/>
        <v>0.7</v>
      </c>
      <c r="CL16" s="159">
        <f t="shared" si="52"/>
        <v>0</v>
      </c>
      <c r="CM16" s="142"/>
      <c r="CN16" s="14">
        <f t="shared" si="24"/>
        <v>10</v>
      </c>
      <c r="CO16" s="442">
        <f t="shared" si="25"/>
        <v>0</v>
      </c>
      <c r="CP16" s="470">
        <f t="shared" si="53"/>
        <v>0</v>
      </c>
      <c r="CQ16" s="51">
        <f t="shared" si="26"/>
        <v>70</v>
      </c>
      <c r="CR16" s="103">
        <f t="shared" si="136"/>
        <v>0</v>
      </c>
      <c r="CS16" s="46">
        <f>CQ16-CR16</f>
        <v>70</v>
      </c>
      <c r="CT16" s="51">
        <f t="shared" si="27"/>
        <v>77</v>
      </c>
      <c r="CU16" s="103">
        <f t="shared" si="137"/>
        <v>0</v>
      </c>
      <c r="CV16" s="71">
        <f t="shared" si="106"/>
        <v>77</v>
      </c>
      <c r="CX16" s="120">
        <f t="shared" si="121"/>
        <v>18</v>
      </c>
      <c r="CY16" s="570">
        <f t="shared" si="138"/>
        <v>1</v>
      </c>
      <c r="CZ16" s="133"/>
      <c r="DA16" s="408">
        <f t="shared" si="56"/>
        <v>0</v>
      </c>
      <c r="DB16" s="562">
        <f t="shared" si="139"/>
        <v>0</v>
      </c>
      <c r="DC16" s="134"/>
      <c r="DD16" s="135"/>
      <c r="DE16" s="135"/>
      <c r="DF16" s="14">
        <f t="shared" si="115"/>
        <v>0</v>
      </c>
      <c r="DG16" s="14">
        <f t="shared" si="57"/>
        <v>0</v>
      </c>
      <c r="DH16" s="14">
        <f t="shared" si="29"/>
        <v>0.7</v>
      </c>
      <c r="DI16" s="47">
        <f t="shared" si="116"/>
        <v>0</v>
      </c>
      <c r="DJ16" s="35">
        <f t="shared" si="30"/>
        <v>0.7</v>
      </c>
      <c r="DK16" s="159">
        <f t="shared" si="58"/>
        <v>0</v>
      </c>
      <c r="DL16" s="142"/>
      <c r="DM16" s="14">
        <f t="shared" si="31"/>
        <v>10</v>
      </c>
      <c r="DN16" s="442">
        <f t="shared" si="32"/>
        <v>0</v>
      </c>
      <c r="DO16" s="470">
        <f t="shared" si="59"/>
        <v>0</v>
      </c>
      <c r="DP16" s="51">
        <f t="shared" si="33"/>
        <v>70</v>
      </c>
      <c r="DQ16" s="103">
        <f t="shared" si="140"/>
        <v>0</v>
      </c>
      <c r="DR16" s="46">
        <f>DP16-DQ16</f>
        <v>70</v>
      </c>
      <c r="DS16" s="51">
        <f t="shared" si="34"/>
        <v>77</v>
      </c>
      <c r="DT16" s="103">
        <f t="shared" si="141"/>
        <v>0</v>
      </c>
      <c r="DU16" s="71">
        <f t="shared" si="107"/>
        <v>77</v>
      </c>
    </row>
    <row r="17" spans="1:125" x14ac:dyDescent="0.25">
      <c r="B17" s="120">
        <f t="shared" si="117"/>
        <v>19</v>
      </c>
      <c r="C17" s="570">
        <f t="shared" si="122"/>
        <v>1</v>
      </c>
      <c r="D17" s="133"/>
      <c r="E17" s="408">
        <f t="shared" si="103"/>
        <v>173142</v>
      </c>
      <c r="F17" s="562">
        <f t="shared" si="0"/>
        <v>173002</v>
      </c>
      <c r="G17" s="134"/>
      <c r="H17" s="135">
        <v>140</v>
      </c>
      <c r="I17" s="135"/>
      <c r="J17" s="14">
        <f t="shared" si="108"/>
        <v>140</v>
      </c>
      <c r="K17" s="14">
        <f t="shared" si="35"/>
        <v>3829</v>
      </c>
      <c r="L17" s="14">
        <f t="shared" si="1"/>
        <v>0.7</v>
      </c>
      <c r="M17" s="47">
        <f t="shared" si="65"/>
        <v>8.0858486098115995E-2</v>
      </c>
      <c r="N17" s="35">
        <f t="shared" si="36"/>
        <v>0.7</v>
      </c>
      <c r="O17" s="159">
        <f>IFERROR((K17*100)/$D$12,0)</f>
        <v>2.1653443118005327</v>
      </c>
      <c r="P17" s="142">
        <v>0</v>
      </c>
      <c r="Q17" s="14">
        <f t="shared" si="3"/>
        <v>10</v>
      </c>
      <c r="R17" s="442">
        <f t="shared" si="123"/>
        <v>0</v>
      </c>
      <c r="S17" s="470">
        <f t="shared" si="37"/>
        <v>139.05873296794539</v>
      </c>
      <c r="T17" s="51">
        <f t="shared" si="5"/>
        <v>70</v>
      </c>
      <c r="U17" s="103">
        <f t="shared" si="124"/>
        <v>70</v>
      </c>
      <c r="V17" s="62">
        <f>T17-U17</f>
        <v>0</v>
      </c>
      <c r="W17" s="51">
        <f t="shared" si="6"/>
        <v>77</v>
      </c>
      <c r="X17" s="103">
        <f t="shared" si="125"/>
        <v>84</v>
      </c>
      <c r="Y17" s="71">
        <f t="shared" si="39"/>
        <v>-7</v>
      </c>
      <c r="Z17" s="788"/>
      <c r="AA17" s="120">
        <f t="shared" si="118"/>
        <v>19</v>
      </c>
      <c r="AB17" s="570">
        <f t="shared" si="126"/>
        <v>1</v>
      </c>
      <c r="AC17" s="133"/>
      <c r="AD17" s="408">
        <f t="shared" si="40"/>
        <v>0</v>
      </c>
      <c r="AE17" s="562">
        <f t="shared" si="127"/>
        <v>0</v>
      </c>
      <c r="AF17" s="134"/>
      <c r="AG17" s="135"/>
      <c r="AH17" s="135"/>
      <c r="AI17" s="14">
        <f t="shared" si="109"/>
        <v>0</v>
      </c>
      <c r="AJ17" s="14">
        <f t="shared" si="69"/>
        <v>0</v>
      </c>
      <c r="AK17" s="14">
        <f t="shared" si="8"/>
        <v>0.7</v>
      </c>
      <c r="AL17" s="47">
        <f t="shared" si="110"/>
        <v>0</v>
      </c>
      <c r="AM17" s="35">
        <f t="shared" si="9"/>
        <v>0.7</v>
      </c>
      <c r="AN17" s="159">
        <f t="shared" si="41"/>
        <v>0</v>
      </c>
      <c r="AO17" s="142"/>
      <c r="AP17" s="14">
        <f t="shared" si="10"/>
        <v>10</v>
      </c>
      <c r="AQ17" s="442">
        <f t="shared" si="11"/>
        <v>0</v>
      </c>
      <c r="AR17" s="470">
        <f t="shared" si="42"/>
        <v>0</v>
      </c>
      <c r="AS17" s="51">
        <f t="shared" si="12"/>
        <v>70</v>
      </c>
      <c r="AT17" s="103">
        <f t="shared" si="128"/>
        <v>0</v>
      </c>
      <c r="AU17" s="62">
        <f>AS17-AT17</f>
        <v>70</v>
      </c>
      <c r="AV17" s="51">
        <f t="shared" si="13"/>
        <v>77</v>
      </c>
      <c r="AW17" s="103">
        <f t="shared" si="129"/>
        <v>0</v>
      </c>
      <c r="AX17" s="71">
        <f t="shared" si="104"/>
        <v>77</v>
      </c>
      <c r="AZ17" s="120">
        <f t="shared" si="119"/>
        <v>19</v>
      </c>
      <c r="BA17" s="570">
        <f t="shared" si="130"/>
        <v>1</v>
      </c>
      <c r="BB17" s="133"/>
      <c r="BC17" s="408">
        <f t="shared" si="45"/>
        <v>119152</v>
      </c>
      <c r="BD17" s="562">
        <f t="shared" si="131"/>
        <v>118684</v>
      </c>
      <c r="BE17" s="134"/>
      <c r="BF17" s="135">
        <v>468</v>
      </c>
      <c r="BG17" s="135"/>
      <c r="BH17" s="14">
        <f t="shared" si="111"/>
        <v>468</v>
      </c>
      <c r="BI17" s="14">
        <f t="shared" si="46"/>
        <v>1385</v>
      </c>
      <c r="BJ17" s="14">
        <f t="shared" si="15"/>
        <v>0.7</v>
      </c>
      <c r="BK17" s="47">
        <f t="shared" si="112"/>
        <v>0.3927756143413455</v>
      </c>
      <c r="BL17" s="35">
        <f t="shared" si="16"/>
        <v>0.7</v>
      </c>
      <c r="BM17" s="159">
        <f t="shared" si="89"/>
        <v>1.1535034022103956</v>
      </c>
      <c r="BN17" s="142">
        <v>1800</v>
      </c>
      <c r="BO17" s="14">
        <f t="shared" si="17"/>
        <v>10</v>
      </c>
      <c r="BP17" s="442">
        <f t="shared" si="18"/>
        <v>15.106754397744059</v>
      </c>
      <c r="BQ17" s="470">
        <f t="shared" si="47"/>
        <v>46.72563873439708</v>
      </c>
      <c r="BR17" s="51">
        <f t="shared" si="19"/>
        <v>70</v>
      </c>
      <c r="BS17" s="103">
        <f t="shared" si="132"/>
        <v>68</v>
      </c>
      <c r="BT17" s="62">
        <f>BR17-BS17</f>
        <v>2</v>
      </c>
      <c r="BU17" s="51">
        <f t="shared" si="20"/>
        <v>77</v>
      </c>
      <c r="BV17" s="103">
        <f t="shared" si="133"/>
        <v>75</v>
      </c>
      <c r="BW17" s="71">
        <f t="shared" si="105"/>
        <v>2</v>
      </c>
      <c r="BY17" s="120">
        <f t="shared" si="120"/>
        <v>19</v>
      </c>
      <c r="BZ17" s="570">
        <f t="shared" si="134"/>
        <v>1</v>
      </c>
      <c r="CA17" s="133"/>
      <c r="CB17" s="408">
        <f t="shared" si="50"/>
        <v>0</v>
      </c>
      <c r="CC17" s="562">
        <f t="shared" si="135"/>
        <v>0</v>
      </c>
      <c r="CD17" s="134"/>
      <c r="CE17" s="135"/>
      <c r="CF17" s="135"/>
      <c r="CG17" s="14">
        <f t="shared" si="113"/>
        <v>0</v>
      </c>
      <c r="CH17" s="14">
        <f t="shared" si="51"/>
        <v>0</v>
      </c>
      <c r="CI17" s="14">
        <f t="shared" si="22"/>
        <v>0.7</v>
      </c>
      <c r="CJ17" s="47">
        <f t="shared" si="114"/>
        <v>0</v>
      </c>
      <c r="CK17" s="35">
        <f t="shared" si="23"/>
        <v>0.7</v>
      </c>
      <c r="CL17" s="159">
        <f t="shared" si="52"/>
        <v>0</v>
      </c>
      <c r="CM17" s="142"/>
      <c r="CN17" s="14">
        <f t="shared" si="24"/>
        <v>10</v>
      </c>
      <c r="CO17" s="442">
        <f t="shared" si="25"/>
        <v>0</v>
      </c>
      <c r="CP17" s="470">
        <f t="shared" si="53"/>
        <v>0</v>
      </c>
      <c r="CQ17" s="51">
        <f t="shared" si="26"/>
        <v>70</v>
      </c>
      <c r="CR17" s="103">
        <f t="shared" si="136"/>
        <v>0</v>
      </c>
      <c r="CS17" s="62">
        <f>CQ17-CR17</f>
        <v>70</v>
      </c>
      <c r="CT17" s="51">
        <f t="shared" si="27"/>
        <v>77</v>
      </c>
      <c r="CU17" s="103">
        <f t="shared" si="137"/>
        <v>0</v>
      </c>
      <c r="CV17" s="71">
        <f t="shared" si="106"/>
        <v>77</v>
      </c>
      <c r="CX17" s="120">
        <f t="shared" si="121"/>
        <v>19</v>
      </c>
      <c r="CY17" s="570">
        <f t="shared" si="138"/>
        <v>1</v>
      </c>
      <c r="CZ17" s="133"/>
      <c r="DA17" s="408">
        <f t="shared" si="56"/>
        <v>0</v>
      </c>
      <c r="DB17" s="562">
        <f t="shared" si="139"/>
        <v>0</v>
      </c>
      <c r="DC17" s="134"/>
      <c r="DD17" s="135"/>
      <c r="DE17" s="135"/>
      <c r="DF17" s="14">
        <f t="shared" si="115"/>
        <v>0</v>
      </c>
      <c r="DG17" s="14">
        <f t="shared" si="57"/>
        <v>0</v>
      </c>
      <c r="DH17" s="14">
        <f t="shared" si="29"/>
        <v>0.7</v>
      </c>
      <c r="DI17" s="47">
        <f t="shared" si="116"/>
        <v>0</v>
      </c>
      <c r="DJ17" s="35">
        <f t="shared" si="30"/>
        <v>0.7</v>
      </c>
      <c r="DK17" s="159">
        <f t="shared" si="58"/>
        <v>0</v>
      </c>
      <c r="DL17" s="142"/>
      <c r="DM17" s="14">
        <f t="shared" si="31"/>
        <v>10</v>
      </c>
      <c r="DN17" s="442">
        <f t="shared" si="32"/>
        <v>0</v>
      </c>
      <c r="DO17" s="470">
        <f t="shared" si="59"/>
        <v>0</v>
      </c>
      <c r="DP17" s="51">
        <f t="shared" si="33"/>
        <v>70</v>
      </c>
      <c r="DQ17" s="103">
        <f t="shared" si="140"/>
        <v>0</v>
      </c>
      <c r="DR17" s="62">
        <f>DP17-DQ17</f>
        <v>70</v>
      </c>
      <c r="DS17" s="51">
        <f t="shared" si="34"/>
        <v>77</v>
      </c>
      <c r="DT17" s="103">
        <f t="shared" si="141"/>
        <v>0</v>
      </c>
      <c r="DU17" s="71">
        <f t="shared" si="107"/>
        <v>77</v>
      </c>
    </row>
    <row r="18" spans="1:125" x14ac:dyDescent="0.25">
      <c r="B18" s="120">
        <f t="shared" si="117"/>
        <v>20</v>
      </c>
      <c r="C18" s="570">
        <f t="shared" si="122"/>
        <v>1</v>
      </c>
      <c r="D18" s="133"/>
      <c r="E18" s="408">
        <f t="shared" si="103"/>
        <v>173002</v>
      </c>
      <c r="F18" s="562">
        <f t="shared" si="0"/>
        <v>172906</v>
      </c>
      <c r="G18" s="134"/>
      <c r="H18" s="135">
        <v>96</v>
      </c>
      <c r="I18" s="135"/>
      <c r="J18" s="14">
        <f t="shared" si="108"/>
        <v>96</v>
      </c>
      <c r="K18" s="14">
        <f t="shared" si="35"/>
        <v>3925</v>
      </c>
      <c r="L18" s="14">
        <f t="shared" si="1"/>
        <v>0.7</v>
      </c>
      <c r="M18" s="47">
        <f t="shared" si="65"/>
        <v>5.5490687968925215E-2</v>
      </c>
      <c r="N18" s="35">
        <f t="shared" si="36"/>
        <v>0.7</v>
      </c>
      <c r="O18" s="159">
        <f>IFERROR((K18*100)/$D$12,0)</f>
        <v>2.219633435313944</v>
      </c>
      <c r="P18" s="142">
        <v>5040</v>
      </c>
      <c r="Q18" s="14">
        <f t="shared" si="3"/>
        <v>10</v>
      </c>
      <c r="R18" s="442">
        <f t="shared" si="123"/>
        <v>29.132611183685739</v>
      </c>
      <c r="S18" s="470">
        <f t="shared" si="37"/>
        <v>168.19134415163114</v>
      </c>
      <c r="T18" s="51">
        <f t="shared" si="5"/>
        <v>70</v>
      </c>
      <c r="U18" s="103">
        <f t="shared" si="124"/>
        <v>70</v>
      </c>
      <c r="V18" s="46">
        <f>T18-U18</f>
        <v>0</v>
      </c>
      <c r="W18" s="12">
        <f t="shared" si="6"/>
        <v>77</v>
      </c>
      <c r="X18" s="103">
        <f t="shared" si="125"/>
        <v>84</v>
      </c>
      <c r="Y18" s="71">
        <f t="shared" si="39"/>
        <v>-7</v>
      </c>
      <c r="Z18" s="487"/>
      <c r="AA18" s="120">
        <f t="shared" si="118"/>
        <v>20</v>
      </c>
      <c r="AB18" s="570">
        <f t="shared" si="126"/>
        <v>1</v>
      </c>
      <c r="AC18" s="133"/>
      <c r="AD18" s="408">
        <f t="shared" si="40"/>
        <v>0</v>
      </c>
      <c r="AE18" s="562">
        <f t="shared" si="127"/>
        <v>0</v>
      </c>
      <c r="AF18" s="134"/>
      <c r="AG18" s="135"/>
      <c r="AH18" s="135"/>
      <c r="AI18" s="14">
        <f t="shared" si="109"/>
        <v>0</v>
      </c>
      <c r="AJ18" s="14">
        <f t="shared" si="69"/>
        <v>0</v>
      </c>
      <c r="AK18" s="14">
        <f t="shared" si="8"/>
        <v>0.7</v>
      </c>
      <c r="AL18" s="47">
        <f t="shared" si="110"/>
        <v>0</v>
      </c>
      <c r="AM18" s="35">
        <f t="shared" si="9"/>
        <v>0.7</v>
      </c>
      <c r="AN18" s="159">
        <f t="shared" si="41"/>
        <v>0</v>
      </c>
      <c r="AO18" s="142"/>
      <c r="AP18" s="14">
        <f t="shared" si="10"/>
        <v>10</v>
      </c>
      <c r="AQ18" s="442">
        <f t="shared" si="11"/>
        <v>0</v>
      </c>
      <c r="AR18" s="470">
        <f t="shared" si="42"/>
        <v>0</v>
      </c>
      <c r="AS18" s="51">
        <f t="shared" si="12"/>
        <v>70</v>
      </c>
      <c r="AT18" s="103">
        <f t="shared" si="128"/>
        <v>0</v>
      </c>
      <c r="AU18" s="46">
        <f>AS18-AT18</f>
        <v>70</v>
      </c>
      <c r="AV18" s="12">
        <f t="shared" si="13"/>
        <v>77</v>
      </c>
      <c r="AW18" s="103">
        <f t="shared" si="129"/>
        <v>0</v>
      </c>
      <c r="AX18" s="71">
        <f t="shared" si="104"/>
        <v>77</v>
      </c>
      <c r="AZ18" s="120">
        <f t="shared" si="119"/>
        <v>20</v>
      </c>
      <c r="BA18" s="570">
        <f t="shared" si="130"/>
        <v>1</v>
      </c>
      <c r="BB18" s="133"/>
      <c r="BC18" s="408">
        <f t="shared" si="45"/>
        <v>118684</v>
      </c>
      <c r="BD18" s="562">
        <f t="shared" si="131"/>
        <v>118101</v>
      </c>
      <c r="BE18" s="134"/>
      <c r="BF18" s="135">
        <v>583</v>
      </c>
      <c r="BG18" s="135"/>
      <c r="BH18" s="14">
        <f t="shared" si="111"/>
        <v>583</v>
      </c>
      <c r="BI18" s="14">
        <f t="shared" si="46"/>
        <v>1968</v>
      </c>
      <c r="BJ18" s="14">
        <f t="shared" si="15"/>
        <v>0.7</v>
      </c>
      <c r="BK18" s="47">
        <f t="shared" si="112"/>
        <v>0.491220383539483</v>
      </c>
      <c r="BL18" s="35">
        <f t="shared" si="16"/>
        <v>0.7</v>
      </c>
      <c r="BM18" s="155">
        <f t="shared" si="89"/>
        <v>1.6390575419133997</v>
      </c>
      <c r="BN18" s="142">
        <v>3060</v>
      </c>
      <c r="BO18" s="14">
        <f t="shared" si="17"/>
        <v>10</v>
      </c>
      <c r="BP18" s="442">
        <f t="shared" si="18"/>
        <v>25.782750834147819</v>
      </c>
      <c r="BQ18" s="470">
        <f t="shared" si="47"/>
        <v>72.508389568544899</v>
      </c>
      <c r="BR18" s="51">
        <f t="shared" si="19"/>
        <v>70</v>
      </c>
      <c r="BS18" s="103">
        <f t="shared" si="132"/>
        <v>68</v>
      </c>
      <c r="BT18" s="46">
        <f>BR18-BS18</f>
        <v>2</v>
      </c>
      <c r="BU18" s="12">
        <f t="shared" si="20"/>
        <v>77</v>
      </c>
      <c r="BV18" s="103">
        <f t="shared" si="133"/>
        <v>75</v>
      </c>
      <c r="BW18" s="71">
        <f t="shared" si="105"/>
        <v>2</v>
      </c>
      <c r="BY18" s="120">
        <f t="shared" si="120"/>
        <v>20</v>
      </c>
      <c r="BZ18" s="570">
        <f t="shared" si="134"/>
        <v>1</v>
      </c>
      <c r="CA18" s="133"/>
      <c r="CB18" s="408">
        <f t="shared" si="50"/>
        <v>0</v>
      </c>
      <c r="CC18" s="562">
        <f t="shared" si="135"/>
        <v>0</v>
      </c>
      <c r="CD18" s="134"/>
      <c r="CE18" s="135"/>
      <c r="CF18" s="135"/>
      <c r="CG18" s="14">
        <f t="shared" si="113"/>
        <v>0</v>
      </c>
      <c r="CH18" s="14">
        <f t="shared" si="51"/>
        <v>0</v>
      </c>
      <c r="CI18" s="14">
        <f t="shared" si="22"/>
        <v>0.7</v>
      </c>
      <c r="CJ18" s="47">
        <f t="shared" si="114"/>
        <v>0</v>
      </c>
      <c r="CK18" s="35">
        <f t="shared" si="23"/>
        <v>0.7</v>
      </c>
      <c r="CL18" s="159">
        <f t="shared" si="52"/>
        <v>0</v>
      </c>
      <c r="CM18" s="142"/>
      <c r="CN18" s="14">
        <f t="shared" si="24"/>
        <v>10</v>
      </c>
      <c r="CO18" s="442">
        <f t="shared" si="25"/>
        <v>0</v>
      </c>
      <c r="CP18" s="470">
        <f t="shared" si="53"/>
        <v>0</v>
      </c>
      <c r="CQ18" s="51">
        <f t="shared" si="26"/>
        <v>70</v>
      </c>
      <c r="CR18" s="103">
        <f t="shared" si="136"/>
        <v>0</v>
      </c>
      <c r="CS18" s="46">
        <f>CQ18-CR18</f>
        <v>70</v>
      </c>
      <c r="CT18" s="12">
        <f t="shared" si="27"/>
        <v>77</v>
      </c>
      <c r="CU18" s="103">
        <f t="shared" si="137"/>
        <v>0</v>
      </c>
      <c r="CV18" s="71">
        <f t="shared" si="106"/>
        <v>77</v>
      </c>
      <c r="CX18" s="120">
        <f t="shared" si="121"/>
        <v>20</v>
      </c>
      <c r="CY18" s="570">
        <f t="shared" si="138"/>
        <v>1</v>
      </c>
      <c r="CZ18" s="133"/>
      <c r="DA18" s="408">
        <f t="shared" si="56"/>
        <v>0</v>
      </c>
      <c r="DB18" s="562">
        <f t="shared" si="139"/>
        <v>0</v>
      </c>
      <c r="DC18" s="134"/>
      <c r="DD18" s="135"/>
      <c r="DE18" s="135"/>
      <c r="DF18" s="14">
        <f t="shared" si="115"/>
        <v>0</v>
      </c>
      <c r="DG18" s="14">
        <f t="shared" si="57"/>
        <v>0</v>
      </c>
      <c r="DH18" s="14">
        <f t="shared" si="29"/>
        <v>0.7</v>
      </c>
      <c r="DI18" s="47">
        <f t="shared" si="116"/>
        <v>0</v>
      </c>
      <c r="DJ18" s="35">
        <f t="shared" si="30"/>
        <v>0.7</v>
      </c>
      <c r="DK18" s="159">
        <f t="shared" si="58"/>
        <v>0</v>
      </c>
      <c r="DL18" s="142"/>
      <c r="DM18" s="14">
        <f t="shared" si="31"/>
        <v>10</v>
      </c>
      <c r="DN18" s="442">
        <f t="shared" si="32"/>
        <v>0</v>
      </c>
      <c r="DO18" s="470">
        <f t="shared" si="59"/>
        <v>0</v>
      </c>
      <c r="DP18" s="51">
        <f t="shared" si="33"/>
        <v>70</v>
      </c>
      <c r="DQ18" s="103">
        <f t="shared" si="140"/>
        <v>0</v>
      </c>
      <c r="DR18" s="46">
        <f>DP18-DQ18</f>
        <v>70</v>
      </c>
      <c r="DS18" s="12">
        <f t="shared" si="34"/>
        <v>77</v>
      </c>
      <c r="DT18" s="103">
        <f t="shared" si="141"/>
        <v>0</v>
      </c>
      <c r="DU18" s="71">
        <f t="shared" si="107"/>
        <v>77</v>
      </c>
    </row>
    <row r="19" spans="1:125" ht="17.25" thickBot="1" x14ac:dyDescent="0.3">
      <c r="B19" s="197">
        <f t="shared" si="117"/>
        <v>21</v>
      </c>
      <c r="C19" s="574">
        <f t="shared" si="122"/>
        <v>1</v>
      </c>
      <c r="D19" s="136"/>
      <c r="E19" s="436">
        <f>IFERROR(F18+D19,0)</f>
        <v>172906</v>
      </c>
      <c r="F19" s="562">
        <f t="shared" si="0"/>
        <v>172824</v>
      </c>
      <c r="G19" s="137"/>
      <c r="H19" s="138">
        <v>82</v>
      </c>
      <c r="I19" s="138"/>
      <c r="J19" s="32">
        <f t="shared" si="108"/>
        <v>82</v>
      </c>
      <c r="K19" s="32">
        <f t="shared" si="35"/>
        <v>4007</v>
      </c>
      <c r="L19" s="32">
        <f t="shared" si="1"/>
        <v>0.7</v>
      </c>
      <c r="M19" s="96">
        <f t="shared" si="65"/>
        <v>4.7424612217042784E-2</v>
      </c>
      <c r="N19" s="36">
        <f t="shared" si="36"/>
        <v>0.7</v>
      </c>
      <c r="O19" s="155">
        <f t="shared" si="2"/>
        <v>2.266005394981649</v>
      </c>
      <c r="P19" s="139">
        <v>0</v>
      </c>
      <c r="Q19" s="32">
        <f t="shared" si="3"/>
        <v>10</v>
      </c>
      <c r="R19" s="443">
        <f t="shared" si="123"/>
        <v>0</v>
      </c>
      <c r="S19" s="471">
        <f t="shared" si="37"/>
        <v>168.19134415163114</v>
      </c>
      <c r="T19" s="56">
        <f t="shared" si="5"/>
        <v>70</v>
      </c>
      <c r="U19" s="109">
        <f t="shared" si="124"/>
        <v>70</v>
      </c>
      <c r="V19" s="63">
        <f>T19-U19</f>
        <v>0</v>
      </c>
      <c r="W19" s="56">
        <f t="shared" si="6"/>
        <v>77</v>
      </c>
      <c r="X19" s="109">
        <f t="shared" si="125"/>
        <v>84</v>
      </c>
      <c r="Y19" s="63">
        <f t="shared" si="39"/>
        <v>-7</v>
      </c>
      <c r="Z19" s="487"/>
      <c r="AA19" s="197">
        <f t="shared" si="118"/>
        <v>21</v>
      </c>
      <c r="AB19" s="574">
        <f t="shared" si="126"/>
        <v>1</v>
      </c>
      <c r="AC19" s="136"/>
      <c r="AD19" s="436">
        <f>IFERROR(AE18+AC19,0)</f>
        <v>0</v>
      </c>
      <c r="AE19" s="562">
        <f t="shared" si="127"/>
        <v>0</v>
      </c>
      <c r="AF19" s="137"/>
      <c r="AG19" s="138"/>
      <c r="AH19" s="138"/>
      <c r="AI19" s="32">
        <f t="shared" si="109"/>
        <v>0</v>
      </c>
      <c r="AJ19" s="32">
        <f t="shared" si="69"/>
        <v>0</v>
      </c>
      <c r="AK19" s="32">
        <f t="shared" si="8"/>
        <v>0.7</v>
      </c>
      <c r="AL19" s="96">
        <f t="shared" si="110"/>
        <v>0</v>
      </c>
      <c r="AM19" s="36">
        <f t="shared" si="9"/>
        <v>0.7</v>
      </c>
      <c r="AN19" s="155">
        <f t="shared" si="41"/>
        <v>0</v>
      </c>
      <c r="AO19" s="139"/>
      <c r="AP19" s="32">
        <f t="shared" si="10"/>
        <v>10</v>
      </c>
      <c r="AQ19" s="443">
        <f t="shared" si="11"/>
        <v>0</v>
      </c>
      <c r="AR19" s="471">
        <f t="shared" si="42"/>
        <v>0</v>
      </c>
      <c r="AS19" s="56">
        <f t="shared" si="12"/>
        <v>70</v>
      </c>
      <c r="AT19" s="109">
        <f t="shared" si="128"/>
        <v>0</v>
      </c>
      <c r="AU19" s="63">
        <f>AS19-AT19</f>
        <v>70</v>
      </c>
      <c r="AV19" s="56">
        <f t="shared" si="13"/>
        <v>77</v>
      </c>
      <c r="AW19" s="109">
        <f t="shared" si="129"/>
        <v>0</v>
      </c>
      <c r="AX19" s="63">
        <f t="shared" si="104"/>
        <v>77</v>
      </c>
      <c r="AZ19" s="197">
        <f t="shared" si="119"/>
        <v>21</v>
      </c>
      <c r="BA19" s="574">
        <f t="shared" si="130"/>
        <v>1</v>
      </c>
      <c r="BB19" s="136"/>
      <c r="BC19" s="436">
        <f>IFERROR(BD18+BB19,0)</f>
        <v>118101</v>
      </c>
      <c r="BD19" s="562">
        <f t="shared" si="131"/>
        <v>117328</v>
      </c>
      <c r="BE19" s="137"/>
      <c r="BF19" s="138">
        <v>773</v>
      </c>
      <c r="BG19" s="138"/>
      <c r="BH19" s="32">
        <f t="shared" si="111"/>
        <v>773</v>
      </c>
      <c r="BI19" s="32">
        <f t="shared" si="46"/>
        <v>2741</v>
      </c>
      <c r="BJ19" s="32">
        <f t="shared" si="15"/>
        <v>0.7</v>
      </c>
      <c r="BK19" s="96">
        <f t="shared" si="112"/>
        <v>0.65452451715057447</v>
      </c>
      <c r="BL19" s="36">
        <f t="shared" si="16"/>
        <v>0.7</v>
      </c>
      <c r="BM19" s="156">
        <f t="shared" si="89"/>
        <v>2.2828540256019454</v>
      </c>
      <c r="BN19" s="139">
        <v>1800</v>
      </c>
      <c r="BO19" s="32">
        <f t="shared" si="17"/>
        <v>10</v>
      </c>
      <c r="BP19" s="443">
        <f t="shared" si="18"/>
        <v>15.241191861203545</v>
      </c>
      <c r="BQ19" s="471">
        <f t="shared" si="47"/>
        <v>87.749581429748446</v>
      </c>
      <c r="BR19" s="56">
        <f t="shared" si="19"/>
        <v>70</v>
      </c>
      <c r="BS19" s="109">
        <f t="shared" si="132"/>
        <v>68</v>
      </c>
      <c r="BT19" s="63">
        <f>BR19-BS19</f>
        <v>2</v>
      </c>
      <c r="BU19" s="56">
        <f t="shared" si="20"/>
        <v>77</v>
      </c>
      <c r="BV19" s="109">
        <f t="shared" si="133"/>
        <v>75</v>
      </c>
      <c r="BW19" s="63">
        <f t="shared" si="105"/>
        <v>2</v>
      </c>
      <c r="BY19" s="197">
        <f t="shared" si="120"/>
        <v>21</v>
      </c>
      <c r="BZ19" s="574">
        <f t="shared" si="134"/>
        <v>1</v>
      </c>
      <c r="CA19" s="136"/>
      <c r="CB19" s="436">
        <f>IFERROR(CC18+CA19,0)</f>
        <v>0</v>
      </c>
      <c r="CC19" s="562">
        <f t="shared" si="135"/>
        <v>0</v>
      </c>
      <c r="CD19" s="137"/>
      <c r="CE19" s="138"/>
      <c r="CF19" s="138"/>
      <c r="CG19" s="32">
        <f t="shared" si="113"/>
        <v>0</v>
      </c>
      <c r="CH19" s="32">
        <f t="shared" si="51"/>
        <v>0</v>
      </c>
      <c r="CI19" s="32">
        <f t="shared" si="22"/>
        <v>0.7</v>
      </c>
      <c r="CJ19" s="96">
        <f t="shared" si="114"/>
        <v>0</v>
      </c>
      <c r="CK19" s="36">
        <f t="shared" si="23"/>
        <v>0.7</v>
      </c>
      <c r="CL19" s="155">
        <f t="shared" si="52"/>
        <v>0</v>
      </c>
      <c r="CM19" s="139"/>
      <c r="CN19" s="32">
        <f t="shared" si="24"/>
        <v>10</v>
      </c>
      <c r="CO19" s="443">
        <f t="shared" si="25"/>
        <v>0</v>
      </c>
      <c r="CP19" s="471">
        <f t="shared" si="53"/>
        <v>0</v>
      </c>
      <c r="CQ19" s="56">
        <f t="shared" si="26"/>
        <v>70</v>
      </c>
      <c r="CR19" s="109">
        <f t="shared" si="136"/>
        <v>0</v>
      </c>
      <c r="CS19" s="63">
        <f>CQ19-CR19</f>
        <v>70</v>
      </c>
      <c r="CT19" s="56">
        <f t="shared" si="27"/>
        <v>77</v>
      </c>
      <c r="CU19" s="109">
        <f t="shared" si="137"/>
        <v>0</v>
      </c>
      <c r="CV19" s="63">
        <f t="shared" si="106"/>
        <v>77</v>
      </c>
      <c r="CX19" s="197">
        <f t="shared" si="121"/>
        <v>21</v>
      </c>
      <c r="CY19" s="574">
        <f t="shared" si="138"/>
        <v>1</v>
      </c>
      <c r="CZ19" s="136"/>
      <c r="DA19" s="436">
        <f>IFERROR(DB18+CZ19,0)</f>
        <v>0</v>
      </c>
      <c r="DB19" s="562">
        <f t="shared" si="139"/>
        <v>0</v>
      </c>
      <c r="DC19" s="137"/>
      <c r="DD19" s="138"/>
      <c r="DE19" s="138"/>
      <c r="DF19" s="32">
        <f t="shared" si="115"/>
        <v>0</v>
      </c>
      <c r="DG19" s="32">
        <f t="shared" si="57"/>
        <v>0</v>
      </c>
      <c r="DH19" s="32">
        <f t="shared" si="29"/>
        <v>0.7</v>
      </c>
      <c r="DI19" s="96">
        <f t="shared" si="116"/>
        <v>0</v>
      </c>
      <c r="DJ19" s="36">
        <f t="shared" si="30"/>
        <v>0.7</v>
      </c>
      <c r="DK19" s="155">
        <f t="shared" si="58"/>
        <v>0</v>
      </c>
      <c r="DL19" s="139"/>
      <c r="DM19" s="32">
        <f t="shared" si="31"/>
        <v>10</v>
      </c>
      <c r="DN19" s="443">
        <f t="shared" si="32"/>
        <v>0</v>
      </c>
      <c r="DO19" s="471">
        <f t="shared" si="59"/>
        <v>0</v>
      </c>
      <c r="DP19" s="56">
        <f t="shared" si="33"/>
        <v>70</v>
      </c>
      <c r="DQ19" s="109">
        <f t="shared" si="140"/>
        <v>0</v>
      </c>
      <c r="DR19" s="63">
        <f>DP19-DQ19</f>
        <v>70</v>
      </c>
      <c r="DS19" s="56">
        <f t="shared" si="34"/>
        <v>77</v>
      </c>
      <c r="DT19" s="109">
        <f t="shared" si="141"/>
        <v>0</v>
      </c>
      <c r="DU19" s="63">
        <f t="shared" si="107"/>
        <v>77</v>
      </c>
    </row>
    <row r="20" spans="1:125" x14ac:dyDescent="0.25">
      <c r="B20" s="118">
        <v>22</v>
      </c>
      <c r="C20" s="575">
        <v>2</v>
      </c>
      <c r="D20" s="129"/>
      <c r="E20" s="400">
        <f t="shared" si="103"/>
        <v>172824</v>
      </c>
      <c r="F20" s="561">
        <f t="shared" si="0"/>
        <v>172725</v>
      </c>
      <c r="G20" s="130"/>
      <c r="H20" s="131">
        <v>99</v>
      </c>
      <c r="I20" s="131"/>
      <c r="J20" s="11">
        <f t="shared" si="108"/>
        <v>99</v>
      </c>
      <c r="K20" s="11">
        <f t="shared" si="35"/>
        <v>4106</v>
      </c>
      <c r="L20" s="11">
        <f t="shared" si="1"/>
        <v>0.7</v>
      </c>
      <c r="M20" s="42">
        <f t="shared" si="65"/>
        <v>5.7283710595750589E-2</v>
      </c>
      <c r="N20" s="21">
        <f t="shared" si="36"/>
        <v>1.4</v>
      </c>
      <c r="O20" s="132">
        <f t="shared" ref="O20:O70" si="142">IFERROR((K20*100)/$D$12,0)</f>
        <v>2.3219910536048545</v>
      </c>
      <c r="P20" s="158">
        <v>2340</v>
      </c>
      <c r="Q20" s="11">
        <f t="shared" si="3"/>
        <v>17</v>
      </c>
      <c r="R20" s="441">
        <f t="shared" si="123"/>
        <v>13.539786140813776</v>
      </c>
      <c r="S20" s="469">
        <f t="shared" si="37"/>
        <v>181.73113029244493</v>
      </c>
      <c r="T20" s="58">
        <f t="shared" si="5"/>
        <v>120</v>
      </c>
      <c r="U20" s="131">
        <v>122</v>
      </c>
      <c r="V20" s="57">
        <f t="shared" si="38"/>
        <v>-2</v>
      </c>
      <c r="W20" s="58">
        <f t="shared" si="6"/>
        <v>77</v>
      </c>
      <c r="X20" s="131">
        <v>65</v>
      </c>
      <c r="Y20" s="41">
        <f t="shared" si="39"/>
        <v>12</v>
      </c>
      <c r="Z20" s="487"/>
      <c r="AA20" s="118">
        <v>22</v>
      </c>
      <c r="AB20" s="575">
        <v>2</v>
      </c>
      <c r="AC20" s="129"/>
      <c r="AD20" s="400">
        <f t="shared" ref="AD20:AD83" si="143">IFERROR(AE19+AC20,0)</f>
        <v>0</v>
      </c>
      <c r="AE20" s="561">
        <f t="shared" si="127"/>
        <v>0</v>
      </c>
      <c r="AF20" s="130"/>
      <c r="AG20" s="131"/>
      <c r="AH20" s="131"/>
      <c r="AI20" s="11">
        <f t="shared" si="109"/>
        <v>0</v>
      </c>
      <c r="AJ20" s="11">
        <f t="shared" si="69"/>
        <v>0</v>
      </c>
      <c r="AK20" s="11">
        <f t="shared" si="8"/>
        <v>0.7</v>
      </c>
      <c r="AL20" s="42">
        <f t="shared" si="110"/>
        <v>0</v>
      </c>
      <c r="AM20" s="21">
        <f t="shared" si="9"/>
        <v>1.4</v>
      </c>
      <c r="AN20" s="132">
        <f t="shared" si="41"/>
        <v>0</v>
      </c>
      <c r="AO20" s="158"/>
      <c r="AP20" s="11">
        <f t="shared" si="10"/>
        <v>17</v>
      </c>
      <c r="AQ20" s="441">
        <f t="shared" si="11"/>
        <v>0</v>
      </c>
      <c r="AR20" s="469">
        <f t="shared" si="42"/>
        <v>0</v>
      </c>
      <c r="AS20" s="58">
        <f t="shared" si="12"/>
        <v>120</v>
      </c>
      <c r="AT20" s="131"/>
      <c r="AU20" s="57">
        <f t="shared" ref="AU20:AU83" si="144">AS20-AT20</f>
        <v>120</v>
      </c>
      <c r="AV20" s="58">
        <f t="shared" si="13"/>
        <v>77</v>
      </c>
      <c r="AW20" s="131"/>
      <c r="AX20" s="41">
        <f t="shared" si="104"/>
        <v>77</v>
      </c>
      <c r="AZ20" s="118">
        <v>22</v>
      </c>
      <c r="BA20" s="575">
        <v>2</v>
      </c>
      <c r="BB20" s="129"/>
      <c r="BC20" s="400">
        <f t="shared" ref="BC20:BC83" si="145">IFERROR(BD19+BB20,0)</f>
        <v>117328</v>
      </c>
      <c r="BD20" s="561">
        <f t="shared" si="131"/>
        <v>116958</v>
      </c>
      <c r="BE20" s="130"/>
      <c r="BF20" s="131">
        <v>370</v>
      </c>
      <c r="BG20" s="131"/>
      <c r="BH20" s="11">
        <f t="shared" si="111"/>
        <v>370</v>
      </c>
      <c r="BI20" s="11">
        <f t="shared" si="46"/>
        <v>3111</v>
      </c>
      <c r="BJ20" s="11">
        <f t="shared" si="15"/>
        <v>0.7</v>
      </c>
      <c r="BK20" s="42">
        <f t="shared" si="112"/>
        <v>0.31535524342015547</v>
      </c>
      <c r="BL20" s="21">
        <f t="shared" si="16"/>
        <v>1.4</v>
      </c>
      <c r="BM20" s="155">
        <f t="shared" si="89"/>
        <v>2.591010169152737</v>
      </c>
      <c r="BN20" s="158">
        <v>2700</v>
      </c>
      <c r="BO20" s="11">
        <f t="shared" si="17"/>
        <v>17</v>
      </c>
      <c r="BP20" s="441">
        <f t="shared" si="18"/>
        <v>23.012409654984317</v>
      </c>
      <c r="BQ20" s="469">
        <f t="shared" si="47"/>
        <v>110.76199108473276</v>
      </c>
      <c r="BR20" s="58">
        <f t="shared" si="19"/>
        <v>120</v>
      </c>
      <c r="BS20" s="131">
        <v>120</v>
      </c>
      <c r="BT20" s="57">
        <f t="shared" ref="BT20:BT83" si="146">BR20-BS20</f>
        <v>0</v>
      </c>
      <c r="BU20" s="58">
        <f t="shared" si="20"/>
        <v>77</v>
      </c>
      <c r="BV20" s="131">
        <v>81</v>
      </c>
      <c r="BW20" s="41">
        <f t="shared" si="105"/>
        <v>-4</v>
      </c>
      <c r="BY20" s="118">
        <v>22</v>
      </c>
      <c r="BZ20" s="575">
        <v>2</v>
      </c>
      <c r="CA20" s="129"/>
      <c r="CB20" s="400">
        <f t="shared" ref="CB20:CB83" si="147">IFERROR(CC19+CA20,0)</f>
        <v>0</v>
      </c>
      <c r="CC20" s="561">
        <f t="shared" si="135"/>
        <v>0</v>
      </c>
      <c r="CD20" s="130"/>
      <c r="CE20" s="131"/>
      <c r="CF20" s="131"/>
      <c r="CG20" s="11">
        <f t="shared" si="113"/>
        <v>0</v>
      </c>
      <c r="CH20" s="11">
        <f t="shared" si="51"/>
        <v>0</v>
      </c>
      <c r="CI20" s="11">
        <f t="shared" si="22"/>
        <v>0.7</v>
      </c>
      <c r="CJ20" s="42">
        <f t="shared" si="114"/>
        <v>0</v>
      </c>
      <c r="CK20" s="21">
        <f t="shared" si="23"/>
        <v>1.4</v>
      </c>
      <c r="CL20" s="132">
        <f t="shared" si="52"/>
        <v>0</v>
      </c>
      <c r="CM20" s="158"/>
      <c r="CN20" s="11">
        <f t="shared" si="24"/>
        <v>17</v>
      </c>
      <c r="CO20" s="441">
        <f t="shared" si="25"/>
        <v>0</v>
      </c>
      <c r="CP20" s="469">
        <f t="shared" si="53"/>
        <v>0</v>
      </c>
      <c r="CQ20" s="58">
        <f t="shared" si="26"/>
        <v>120</v>
      </c>
      <c r="CR20" s="131"/>
      <c r="CS20" s="57">
        <f t="shared" ref="CS20:CS83" si="148">CQ20-CR20</f>
        <v>120</v>
      </c>
      <c r="CT20" s="58">
        <f t="shared" si="27"/>
        <v>77</v>
      </c>
      <c r="CU20" s="131"/>
      <c r="CV20" s="41">
        <f t="shared" si="106"/>
        <v>77</v>
      </c>
      <c r="CX20" s="118">
        <v>22</v>
      </c>
      <c r="CY20" s="575">
        <v>2</v>
      </c>
      <c r="CZ20" s="129"/>
      <c r="DA20" s="400">
        <f t="shared" ref="DA20:DA83" si="149">IFERROR(DB19+CZ20,0)</f>
        <v>0</v>
      </c>
      <c r="DB20" s="561">
        <f t="shared" si="139"/>
        <v>0</v>
      </c>
      <c r="DC20" s="130"/>
      <c r="DD20" s="131"/>
      <c r="DE20" s="131"/>
      <c r="DF20" s="11">
        <f t="shared" si="115"/>
        <v>0</v>
      </c>
      <c r="DG20" s="11">
        <f t="shared" si="57"/>
        <v>0</v>
      </c>
      <c r="DH20" s="11">
        <f t="shared" si="29"/>
        <v>0.7</v>
      </c>
      <c r="DI20" s="42">
        <f t="shared" si="116"/>
        <v>0</v>
      </c>
      <c r="DJ20" s="21">
        <f t="shared" si="30"/>
        <v>1.4</v>
      </c>
      <c r="DK20" s="132">
        <f t="shared" si="58"/>
        <v>0</v>
      </c>
      <c r="DL20" s="158"/>
      <c r="DM20" s="11">
        <f t="shared" si="31"/>
        <v>17</v>
      </c>
      <c r="DN20" s="441">
        <f t="shared" si="32"/>
        <v>0</v>
      </c>
      <c r="DO20" s="469">
        <f t="shared" si="59"/>
        <v>0</v>
      </c>
      <c r="DP20" s="58">
        <f t="shared" si="33"/>
        <v>120</v>
      </c>
      <c r="DQ20" s="131"/>
      <c r="DR20" s="57">
        <f t="shared" ref="DR20:DR83" si="150">DP20-DQ20</f>
        <v>120</v>
      </c>
      <c r="DS20" s="58">
        <f t="shared" si="34"/>
        <v>77</v>
      </c>
      <c r="DT20" s="131"/>
      <c r="DU20" s="41">
        <f t="shared" si="107"/>
        <v>77</v>
      </c>
    </row>
    <row r="21" spans="1:125" x14ac:dyDescent="0.25">
      <c r="B21" s="120">
        <f>B20+1</f>
        <v>23</v>
      </c>
      <c r="C21" s="570">
        <f>C20</f>
        <v>2</v>
      </c>
      <c r="D21" s="133"/>
      <c r="E21" s="408">
        <f t="shared" si="103"/>
        <v>172725</v>
      </c>
      <c r="F21" s="562">
        <f t="shared" si="0"/>
        <v>172619</v>
      </c>
      <c r="G21" s="134"/>
      <c r="H21" s="135">
        <v>106</v>
      </c>
      <c r="I21" s="135"/>
      <c r="J21" s="14">
        <f t="shared" si="108"/>
        <v>106</v>
      </c>
      <c r="K21" s="14">
        <f>K20+J21</f>
        <v>4212</v>
      </c>
      <c r="L21" s="14">
        <f t="shared" si="1"/>
        <v>0.7</v>
      </c>
      <c r="M21" s="47">
        <f t="shared" si="65"/>
        <v>6.1369228542480822E-2</v>
      </c>
      <c r="N21" s="35">
        <f t="shared" si="36"/>
        <v>1.4</v>
      </c>
      <c r="O21" s="159">
        <f t="shared" si="142"/>
        <v>2.3819352941509124</v>
      </c>
      <c r="P21" s="142">
        <v>2340</v>
      </c>
      <c r="Q21" s="14">
        <f t="shared" si="3"/>
        <v>17</v>
      </c>
      <c r="R21" s="442">
        <f t="shared" si="123"/>
        <v>13.547546678245766</v>
      </c>
      <c r="S21" s="470">
        <f t="shared" si="37"/>
        <v>195.2786769706907</v>
      </c>
      <c r="T21" s="51">
        <f t="shared" si="5"/>
        <v>120</v>
      </c>
      <c r="U21" s="103">
        <f>U20</f>
        <v>122</v>
      </c>
      <c r="V21" s="59">
        <f t="shared" si="38"/>
        <v>-2</v>
      </c>
      <c r="W21" s="12">
        <f t="shared" si="6"/>
        <v>77</v>
      </c>
      <c r="X21" s="103">
        <f>X20</f>
        <v>65</v>
      </c>
      <c r="Y21" s="71">
        <f t="shared" si="39"/>
        <v>12</v>
      </c>
      <c r="Z21" s="487"/>
      <c r="AA21" s="120">
        <f>AA20+1</f>
        <v>23</v>
      </c>
      <c r="AB21" s="570">
        <f>AB20</f>
        <v>2</v>
      </c>
      <c r="AC21" s="133"/>
      <c r="AD21" s="408">
        <f t="shared" si="143"/>
        <v>0</v>
      </c>
      <c r="AE21" s="562">
        <f t="shared" si="127"/>
        <v>0</v>
      </c>
      <c r="AF21" s="134"/>
      <c r="AG21" s="135"/>
      <c r="AH21" s="135"/>
      <c r="AI21" s="14">
        <f t="shared" si="109"/>
        <v>0</v>
      </c>
      <c r="AJ21" s="14">
        <f>AJ20+AI21</f>
        <v>0</v>
      </c>
      <c r="AK21" s="14">
        <f t="shared" si="8"/>
        <v>0.7</v>
      </c>
      <c r="AL21" s="47">
        <f t="shared" si="110"/>
        <v>0</v>
      </c>
      <c r="AM21" s="35">
        <f t="shared" si="9"/>
        <v>1.4</v>
      </c>
      <c r="AN21" s="159">
        <f t="shared" si="41"/>
        <v>0</v>
      </c>
      <c r="AO21" s="142"/>
      <c r="AP21" s="14">
        <f t="shared" si="10"/>
        <v>17</v>
      </c>
      <c r="AQ21" s="442">
        <f t="shared" si="11"/>
        <v>0</v>
      </c>
      <c r="AR21" s="470">
        <f t="shared" si="42"/>
        <v>0</v>
      </c>
      <c r="AS21" s="51">
        <f t="shared" si="12"/>
        <v>120</v>
      </c>
      <c r="AT21" s="103">
        <f>AT20</f>
        <v>0</v>
      </c>
      <c r="AU21" s="59">
        <f t="shared" si="144"/>
        <v>120</v>
      </c>
      <c r="AV21" s="12">
        <f t="shared" si="13"/>
        <v>77</v>
      </c>
      <c r="AW21" s="103">
        <f>AW20</f>
        <v>0</v>
      </c>
      <c r="AX21" s="71">
        <f t="shared" si="104"/>
        <v>77</v>
      </c>
      <c r="AZ21" s="120">
        <f>AZ20+1</f>
        <v>23</v>
      </c>
      <c r="BA21" s="570">
        <f>BA20</f>
        <v>2</v>
      </c>
      <c r="BB21" s="133"/>
      <c r="BC21" s="408">
        <f t="shared" si="145"/>
        <v>116958</v>
      </c>
      <c r="BD21" s="562">
        <f t="shared" si="131"/>
        <v>116833</v>
      </c>
      <c r="BE21" s="134"/>
      <c r="BF21" s="135">
        <v>125</v>
      </c>
      <c r="BG21" s="135"/>
      <c r="BH21" s="14">
        <f t="shared" si="111"/>
        <v>125</v>
      </c>
      <c r="BI21" s="14">
        <f>BI20+BH21</f>
        <v>3236</v>
      </c>
      <c r="BJ21" s="14">
        <f t="shared" si="15"/>
        <v>0.7</v>
      </c>
      <c r="BK21" s="47">
        <f t="shared" si="112"/>
        <v>0.1068759725713504</v>
      </c>
      <c r="BL21" s="35">
        <f t="shared" si="16"/>
        <v>1.4</v>
      </c>
      <c r="BM21" s="157">
        <f t="shared" si="89"/>
        <v>2.6951169744063832</v>
      </c>
      <c r="BN21" s="142">
        <v>1800</v>
      </c>
      <c r="BO21" s="14">
        <f t="shared" si="17"/>
        <v>17</v>
      </c>
      <c r="BP21" s="442">
        <f t="shared" si="18"/>
        <v>15.390140050274459</v>
      </c>
      <c r="BQ21" s="470">
        <f t="shared" si="47"/>
        <v>126.15213113500721</v>
      </c>
      <c r="BR21" s="51">
        <f t="shared" si="19"/>
        <v>120</v>
      </c>
      <c r="BS21" s="103">
        <f>BS20</f>
        <v>120</v>
      </c>
      <c r="BT21" s="59">
        <f t="shared" si="146"/>
        <v>0</v>
      </c>
      <c r="BU21" s="12">
        <f t="shared" si="20"/>
        <v>77</v>
      </c>
      <c r="BV21" s="103">
        <f>BV20</f>
        <v>81</v>
      </c>
      <c r="BW21" s="71">
        <f t="shared" si="105"/>
        <v>-4</v>
      </c>
      <c r="BY21" s="120">
        <f>BY20+1</f>
        <v>23</v>
      </c>
      <c r="BZ21" s="570">
        <f>BZ20</f>
        <v>2</v>
      </c>
      <c r="CA21" s="133"/>
      <c r="CB21" s="408">
        <f t="shared" si="147"/>
        <v>0</v>
      </c>
      <c r="CC21" s="562">
        <f t="shared" si="135"/>
        <v>0</v>
      </c>
      <c r="CD21" s="134"/>
      <c r="CE21" s="135"/>
      <c r="CF21" s="135"/>
      <c r="CG21" s="14">
        <f t="shared" si="113"/>
        <v>0</v>
      </c>
      <c r="CH21" s="14">
        <f>CH20+CG21</f>
        <v>0</v>
      </c>
      <c r="CI21" s="14">
        <f t="shared" si="22"/>
        <v>0.7</v>
      </c>
      <c r="CJ21" s="47">
        <f t="shared" si="114"/>
        <v>0</v>
      </c>
      <c r="CK21" s="35">
        <f t="shared" si="23"/>
        <v>1.4</v>
      </c>
      <c r="CL21" s="159">
        <f t="shared" si="52"/>
        <v>0</v>
      </c>
      <c r="CM21" s="142"/>
      <c r="CN21" s="14">
        <f t="shared" si="24"/>
        <v>17</v>
      </c>
      <c r="CO21" s="442">
        <f t="shared" si="25"/>
        <v>0</v>
      </c>
      <c r="CP21" s="470">
        <f t="shared" si="53"/>
        <v>0</v>
      </c>
      <c r="CQ21" s="51">
        <f t="shared" si="26"/>
        <v>120</v>
      </c>
      <c r="CR21" s="103">
        <f>CR20</f>
        <v>0</v>
      </c>
      <c r="CS21" s="59">
        <f t="shared" si="148"/>
        <v>120</v>
      </c>
      <c r="CT21" s="12">
        <f t="shared" si="27"/>
        <v>77</v>
      </c>
      <c r="CU21" s="103">
        <f>CU20</f>
        <v>0</v>
      </c>
      <c r="CV21" s="71">
        <f t="shared" si="106"/>
        <v>77</v>
      </c>
      <c r="CX21" s="120">
        <f>CX20+1</f>
        <v>23</v>
      </c>
      <c r="CY21" s="570">
        <f>CY20</f>
        <v>2</v>
      </c>
      <c r="CZ21" s="133"/>
      <c r="DA21" s="408">
        <f t="shared" si="149"/>
        <v>0</v>
      </c>
      <c r="DB21" s="562">
        <f t="shared" si="139"/>
        <v>0</v>
      </c>
      <c r="DC21" s="134"/>
      <c r="DD21" s="135"/>
      <c r="DE21" s="135"/>
      <c r="DF21" s="14">
        <f t="shared" si="115"/>
        <v>0</v>
      </c>
      <c r="DG21" s="14">
        <f>DG20+DF21</f>
        <v>0</v>
      </c>
      <c r="DH21" s="14">
        <f t="shared" si="29"/>
        <v>0.7</v>
      </c>
      <c r="DI21" s="47">
        <f t="shared" si="116"/>
        <v>0</v>
      </c>
      <c r="DJ21" s="35">
        <f t="shared" si="30"/>
        <v>1.4</v>
      </c>
      <c r="DK21" s="159">
        <f t="shared" si="58"/>
        <v>0</v>
      </c>
      <c r="DL21" s="142"/>
      <c r="DM21" s="14">
        <f t="shared" si="31"/>
        <v>17</v>
      </c>
      <c r="DN21" s="442">
        <f t="shared" si="32"/>
        <v>0</v>
      </c>
      <c r="DO21" s="470">
        <f t="shared" si="59"/>
        <v>0</v>
      </c>
      <c r="DP21" s="51">
        <f t="shared" si="33"/>
        <v>120</v>
      </c>
      <c r="DQ21" s="103">
        <f>DQ20</f>
        <v>0</v>
      </c>
      <c r="DR21" s="59">
        <f t="shared" si="150"/>
        <v>120</v>
      </c>
      <c r="DS21" s="12">
        <f t="shared" si="34"/>
        <v>77</v>
      </c>
      <c r="DT21" s="103">
        <f>DT20</f>
        <v>0</v>
      </c>
      <c r="DU21" s="71">
        <f t="shared" si="107"/>
        <v>77</v>
      </c>
    </row>
    <row r="22" spans="1:125" ht="20.25" x14ac:dyDescent="0.25">
      <c r="A22" s="833"/>
      <c r="B22" s="120">
        <f>B21+1</f>
        <v>24</v>
      </c>
      <c r="C22" s="571">
        <f t="shared" ref="C22:C26" si="151">C21</f>
        <v>2</v>
      </c>
      <c r="D22" s="229"/>
      <c r="E22" s="408">
        <f t="shared" si="103"/>
        <v>172619</v>
      </c>
      <c r="F22" s="562">
        <f t="shared" si="0"/>
        <v>172549</v>
      </c>
      <c r="G22" s="405"/>
      <c r="H22" s="406">
        <v>70</v>
      </c>
      <c r="I22" s="406"/>
      <c r="J22" s="380">
        <f t="shared" si="108"/>
        <v>70</v>
      </c>
      <c r="K22" s="380">
        <f>K21+J22</f>
        <v>4282</v>
      </c>
      <c r="L22" s="380">
        <f t="shared" si="1"/>
        <v>0.7</v>
      </c>
      <c r="M22" s="410">
        <f t="shared" si="65"/>
        <v>4.0551735324616645E-2</v>
      </c>
      <c r="N22" s="407">
        <f t="shared" si="36"/>
        <v>1.4</v>
      </c>
      <c r="O22" s="824">
        <f>IFERROR((K22*100)/$D$12,0)</f>
        <v>2.4215211133794412</v>
      </c>
      <c r="P22" s="411">
        <v>2880</v>
      </c>
      <c r="Q22" s="380">
        <f t="shared" si="3"/>
        <v>17</v>
      </c>
      <c r="R22" s="536">
        <f t="shared" si="123"/>
        <v>16.684142533556564</v>
      </c>
      <c r="S22" s="474">
        <f t="shared" si="37"/>
        <v>211.96281950424725</v>
      </c>
      <c r="T22" s="182">
        <f t="shared" si="5"/>
        <v>120</v>
      </c>
      <c r="U22" s="181">
        <f t="shared" ref="U22:U26" si="152">U21</f>
        <v>122</v>
      </c>
      <c r="V22" s="267">
        <f t="shared" si="38"/>
        <v>-2</v>
      </c>
      <c r="W22" s="385">
        <f t="shared" si="6"/>
        <v>77</v>
      </c>
      <c r="X22" s="181">
        <f t="shared" ref="X22:X26" si="153">X21</f>
        <v>65</v>
      </c>
      <c r="Y22" s="809">
        <f t="shared" si="39"/>
        <v>12</v>
      </c>
      <c r="Z22" s="833"/>
      <c r="AA22" s="403">
        <f>AA21+1</f>
        <v>24</v>
      </c>
      <c r="AB22" s="571">
        <f t="shared" ref="AB22:AB26" si="154">AB21</f>
        <v>2</v>
      </c>
      <c r="AC22" s="229"/>
      <c r="AD22" s="408">
        <f t="shared" si="143"/>
        <v>0</v>
      </c>
      <c r="AE22" s="562">
        <f t="shared" si="127"/>
        <v>0</v>
      </c>
      <c r="AF22" s="405"/>
      <c r="AG22" s="406"/>
      <c r="AH22" s="406"/>
      <c r="AI22" s="380">
        <f t="shared" si="109"/>
        <v>0</v>
      </c>
      <c r="AJ22" s="380">
        <f>AJ21+AI22</f>
        <v>0</v>
      </c>
      <c r="AK22" s="380">
        <f t="shared" si="8"/>
        <v>0.7</v>
      </c>
      <c r="AL22" s="410">
        <f t="shared" si="110"/>
        <v>0</v>
      </c>
      <c r="AM22" s="407">
        <f t="shared" si="9"/>
        <v>1.4</v>
      </c>
      <c r="AN22" s="824">
        <f t="shared" si="41"/>
        <v>0</v>
      </c>
      <c r="AO22" s="411"/>
      <c r="AP22" s="380">
        <f t="shared" si="10"/>
        <v>17</v>
      </c>
      <c r="AQ22" s="536">
        <f t="shared" si="11"/>
        <v>0</v>
      </c>
      <c r="AR22" s="474">
        <f t="shared" si="42"/>
        <v>0</v>
      </c>
      <c r="AS22" s="182">
        <f t="shared" si="12"/>
        <v>120</v>
      </c>
      <c r="AT22" s="181">
        <f t="shared" ref="AT22:AT26" si="155">AT21</f>
        <v>0</v>
      </c>
      <c r="AU22" s="267">
        <f t="shared" si="144"/>
        <v>120</v>
      </c>
      <c r="AV22" s="385">
        <f t="shared" si="13"/>
        <v>77</v>
      </c>
      <c r="AW22" s="181">
        <f t="shared" ref="AW22:AW26" si="156">AW21</f>
        <v>0</v>
      </c>
      <c r="AX22" s="809">
        <f t="shared" si="104"/>
        <v>77</v>
      </c>
      <c r="AY22" s="833"/>
      <c r="AZ22" s="403">
        <v>24</v>
      </c>
      <c r="BA22" s="571">
        <f t="shared" ref="BA22:BA26" si="157">BA21</f>
        <v>2</v>
      </c>
      <c r="BB22" s="229"/>
      <c r="BC22" s="408">
        <f t="shared" si="145"/>
        <v>116833</v>
      </c>
      <c r="BD22" s="562">
        <f t="shared" si="131"/>
        <v>116762</v>
      </c>
      <c r="BE22" s="405"/>
      <c r="BF22" s="406">
        <v>71</v>
      </c>
      <c r="BG22" s="406"/>
      <c r="BH22" s="380">
        <f t="shared" si="111"/>
        <v>71</v>
      </c>
      <c r="BI22" s="380">
        <f>BI21+BH22</f>
        <v>3307</v>
      </c>
      <c r="BJ22" s="380">
        <f t="shared" si="15"/>
        <v>0.7</v>
      </c>
      <c r="BK22" s="410">
        <f t="shared" si="112"/>
        <v>6.0770501485025635E-2</v>
      </c>
      <c r="BL22" s="407">
        <f t="shared" si="16"/>
        <v>1.4</v>
      </c>
      <c r="BM22" s="159">
        <f t="shared" si="89"/>
        <v>2.7542496397904537</v>
      </c>
      <c r="BN22" s="411">
        <v>3240</v>
      </c>
      <c r="BO22" s="380">
        <f t="shared" si="17"/>
        <v>17</v>
      </c>
      <c r="BP22" s="536">
        <f t="shared" si="18"/>
        <v>27.731890818518742</v>
      </c>
      <c r="BQ22" s="474">
        <f t="shared" si="47"/>
        <v>153.88402195352595</v>
      </c>
      <c r="BR22" s="182">
        <f t="shared" si="19"/>
        <v>120</v>
      </c>
      <c r="BS22" s="181">
        <f t="shared" ref="BS22:BS26" si="158">BS21</f>
        <v>120</v>
      </c>
      <c r="BT22" s="267">
        <f t="shared" si="146"/>
        <v>0</v>
      </c>
      <c r="BU22" s="385">
        <f t="shared" si="20"/>
        <v>77</v>
      </c>
      <c r="BV22" s="181">
        <f t="shared" ref="BV22:BV26" si="159">BV21</f>
        <v>81</v>
      </c>
      <c r="BW22" s="809">
        <f t="shared" si="105"/>
        <v>-4</v>
      </c>
      <c r="BX22" s="833"/>
      <c r="BY22" s="403">
        <f>BY21+1</f>
        <v>24</v>
      </c>
      <c r="BZ22" s="571">
        <f t="shared" ref="BZ22:BZ26" si="160">BZ21</f>
        <v>2</v>
      </c>
      <c r="CA22" s="229"/>
      <c r="CB22" s="408">
        <f t="shared" si="147"/>
        <v>0</v>
      </c>
      <c r="CC22" s="562">
        <f t="shared" si="135"/>
        <v>0</v>
      </c>
      <c r="CD22" s="405"/>
      <c r="CE22" s="406"/>
      <c r="CF22" s="406"/>
      <c r="CG22" s="380">
        <f t="shared" si="113"/>
        <v>0</v>
      </c>
      <c r="CH22" s="380">
        <f>CH21+CG22</f>
        <v>0</v>
      </c>
      <c r="CI22" s="380">
        <f t="shared" si="22"/>
        <v>0.7</v>
      </c>
      <c r="CJ22" s="410">
        <f t="shared" si="114"/>
        <v>0</v>
      </c>
      <c r="CK22" s="407">
        <f t="shared" si="23"/>
        <v>1.4</v>
      </c>
      <c r="CL22" s="824">
        <f t="shared" si="52"/>
        <v>0</v>
      </c>
      <c r="CM22" s="411"/>
      <c r="CN22" s="380">
        <f t="shared" si="24"/>
        <v>17</v>
      </c>
      <c r="CO22" s="536">
        <f t="shared" si="25"/>
        <v>0</v>
      </c>
      <c r="CP22" s="474">
        <f t="shared" si="53"/>
        <v>0</v>
      </c>
      <c r="CQ22" s="182">
        <f t="shared" si="26"/>
        <v>120</v>
      </c>
      <c r="CR22" s="181">
        <f t="shared" ref="CR22:CR26" si="161">CR21</f>
        <v>0</v>
      </c>
      <c r="CS22" s="267">
        <f t="shared" si="148"/>
        <v>120</v>
      </c>
      <c r="CT22" s="385">
        <f t="shared" si="27"/>
        <v>77</v>
      </c>
      <c r="CU22" s="181">
        <f t="shared" ref="CU22:CU26" si="162">CU21</f>
        <v>0</v>
      </c>
      <c r="CV22" s="809">
        <f t="shared" si="106"/>
        <v>77</v>
      </c>
      <c r="CW22" s="833"/>
      <c r="CX22" s="403">
        <f>CX21+1</f>
        <v>24</v>
      </c>
      <c r="CY22" s="571">
        <f t="shared" ref="CY22:CY26" si="163">CY21</f>
        <v>2</v>
      </c>
      <c r="CZ22" s="229"/>
      <c r="DA22" s="408">
        <f t="shared" si="149"/>
        <v>0</v>
      </c>
      <c r="DB22" s="562">
        <f t="shared" si="139"/>
        <v>0</v>
      </c>
      <c r="DC22" s="405"/>
      <c r="DD22" s="406"/>
      <c r="DE22" s="406"/>
      <c r="DF22" s="380">
        <f t="shared" si="115"/>
        <v>0</v>
      </c>
      <c r="DG22" s="380">
        <f>DG21+DF22</f>
        <v>0</v>
      </c>
      <c r="DH22" s="380">
        <f t="shared" si="29"/>
        <v>0.7</v>
      </c>
      <c r="DI22" s="410">
        <f t="shared" si="116"/>
        <v>0</v>
      </c>
      <c r="DJ22" s="407">
        <f t="shared" si="30"/>
        <v>1.4</v>
      </c>
      <c r="DK22" s="824">
        <f t="shared" si="58"/>
        <v>0</v>
      </c>
      <c r="DL22" s="411"/>
      <c r="DM22" s="380">
        <f t="shared" si="31"/>
        <v>17</v>
      </c>
      <c r="DN22" s="536">
        <f t="shared" si="32"/>
        <v>0</v>
      </c>
      <c r="DO22" s="474">
        <f t="shared" si="59"/>
        <v>0</v>
      </c>
      <c r="DP22" s="182">
        <f t="shared" si="33"/>
        <v>120</v>
      </c>
      <c r="DQ22" s="181">
        <f t="shared" ref="DQ22:DQ26" si="164">DQ21</f>
        <v>0</v>
      </c>
      <c r="DR22" s="267">
        <f t="shared" si="150"/>
        <v>120</v>
      </c>
      <c r="DS22" s="385">
        <f t="shared" si="34"/>
        <v>77</v>
      </c>
      <c r="DT22" s="181">
        <f t="shared" ref="DT22:DT26" si="165">DT21</f>
        <v>0</v>
      </c>
      <c r="DU22" s="809">
        <f t="shared" si="107"/>
        <v>77</v>
      </c>
    </row>
    <row r="23" spans="1:125" x14ac:dyDescent="0.25">
      <c r="B23" s="120">
        <f t="shared" ref="B23:B25" si="166">B22+1</f>
        <v>25</v>
      </c>
      <c r="C23" s="570">
        <f t="shared" si="151"/>
        <v>2</v>
      </c>
      <c r="D23" s="133"/>
      <c r="E23" s="408">
        <f t="shared" si="103"/>
        <v>172549</v>
      </c>
      <c r="F23" s="562">
        <f t="shared" si="0"/>
        <v>172452</v>
      </c>
      <c r="G23" s="134"/>
      <c r="H23" s="135">
        <v>97</v>
      </c>
      <c r="I23" s="135"/>
      <c r="J23" s="14">
        <f t="shared" si="108"/>
        <v>97</v>
      </c>
      <c r="K23" s="14">
        <f t="shared" si="35"/>
        <v>4379</v>
      </c>
      <c r="L23" s="14">
        <f t="shared" si="1"/>
        <v>0.7</v>
      </c>
      <c r="M23" s="47">
        <f t="shared" si="65"/>
        <v>5.6215915479081308E-2</v>
      </c>
      <c r="N23" s="35">
        <f t="shared" si="36"/>
        <v>1.4</v>
      </c>
      <c r="O23" s="155">
        <f t="shared" si="142"/>
        <v>2.4763757485961171</v>
      </c>
      <c r="P23" s="142">
        <v>3240</v>
      </c>
      <c r="Q23" s="14">
        <f t="shared" si="3"/>
        <v>17</v>
      </c>
      <c r="R23" s="442">
        <f t="shared" si="123"/>
        <v>18.777274861053961</v>
      </c>
      <c r="S23" s="470">
        <f t="shared" si="37"/>
        <v>230.74009436530122</v>
      </c>
      <c r="T23" s="51">
        <f t="shared" si="5"/>
        <v>120</v>
      </c>
      <c r="U23" s="103">
        <f t="shared" si="152"/>
        <v>122</v>
      </c>
      <c r="V23" s="59">
        <f t="shared" si="38"/>
        <v>-2</v>
      </c>
      <c r="W23" s="51">
        <f t="shared" si="6"/>
        <v>77</v>
      </c>
      <c r="X23" s="103">
        <f t="shared" si="153"/>
        <v>65</v>
      </c>
      <c r="Y23" s="71">
        <f t="shared" si="39"/>
        <v>12</v>
      </c>
      <c r="Z23" s="487"/>
      <c r="AA23" s="120">
        <f t="shared" ref="AA23:AA25" si="167">AA22+1</f>
        <v>25</v>
      </c>
      <c r="AB23" s="570">
        <f t="shared" si="154"/>
        <v>2</v>
      </c>
      <c r="AC23" s="133"/>
      <c r="AD23" s="408">
        <f t="shared" si="143"/>
        <v>0</v>
      </c>
      <c r="AE23" s="562">
        <f t="shared" si="127"/>
        <v>0</v>
      </c>
      <c r="AF23" s="134"/>
      <c r="AG23" s="135"/>
      <c r="AH23" s="135"/>
      <c r="AI23" s="14">
        <f t="shared" si="109"/>
        <v>0</v>
      </c>
      <c r="AJ23" s="14">
        <f t="shared" ref="AJ23:AJ45" si="168">AJ22+AI23</f>
        <v>0</v>
      </c>
      <c r="AK23" s="14">
        <f t="shared" si="8"/>
        <v>0.7</v>
      </c>
      <c r="AL23" s="47">
        <f t="shared" si="110"/>
        <v>0</v>
      </c>
      <c r="AM23" s="35">
        <f t="shared" si="9"/>
        <v>1.4</v>
      </c>
      <c r="AN23" s="155">
        <f t="shared" si="41"/>
        <v>0</v>
      </c>
      <c r="AO23" s="142"/>
      <c r="AP23" s="14">
        <f t="shared" si="10"/>
        <v>17</v>
      </c>
      <c r="AQ23" s="442">
        <f t="shared" si="11"/>
        <v>0</v>
      </c>
      <c r="AR23" s="470">
        <f t="shared" si="42"/>
        <v>0</v>
      </c>
      <c r="AS23" s="51">
        <f t="shared" si="12"/>
        <v>120</v>
      </c>
      <c r="AT23" s="103">
        <f t="shared" si="155"/>
        <v>0</v>
      </c>
      <c r="AU23" s="59">
        <f t="shared" si="144"/>
        <v>120</v>
      </c>
      <c r="AV23" s="51">
        <f t="shared" si="13"/>
        <v>77</v>
      </c>
      <c r="AW23" s="103">
        <f t="shared" si="156"/>
        <v>0</v>
      </c>
      <c r="AX23" s="71">
        <f t="shared" si="104"/>
        <v>77</v>
      </c>
      <c r="AZ23" s="120">
        <f t="shared" ref="AZ23:AZ25" si="169">AZ22+1</f>
        <v>25</v>
      </c>
      <c r="BA23" s="570">
        <f t="shared" si="157"/>
        <v>2</v>
      </c>
      <c r="BB23" s="133"/>
      <c r="BC23" s="408">
        <f t="shared" si="145"/>
        <v>116762</v>
      </c>
      <c r="BD23" s="562">
        <f t="shared" si="131"/>
        <v>116623</v>
      </c>
      <c r="BE23" s="134"/>
      <c r="BF23" s="135">
        <v>139</v>
      </c>
      <c r="BG23" s="135"/>
      <c r="BH23" s="14">
        <f t="shared" si="111"/>
        <v>139</v>
      </c>
      <c r="BI23" s="14">
        <f t="shared" ref="BI23:BI45" si="170">BI22+BH23</f>
        <v>3446</v>
      </c>
      <c r="BJ23" s="14">
        <f t="shared" si="15"/>
        <v>0.7</v>
      </c>
      <c r="BK23" s="47">
        <f t="shared" si="112"/>
        <v>0.11904557989756942</v>
      </c>
      <c r="BL23" s="35">
        <f t="shared" si="16"/>
        <v>1.4</v>
      </c>
      <c r="BM23" s="155">
        <f t="shared" si="89"/>
        <v>2.8700164072325078</v>
      </c>
      <c r="BN23" s="142">
        <v>3240</v>
      </c>
      <c r="BO23" s="14">
        <f t="shared" si="17"/>
        <v>17</v>
      </c>
      <c r="BP23" s="442">
        <f t="shared" si="18"/>
        <v>27.74875387540467</v>
      </c>
      <c r="BQ23" s="470">
        <f t="shared" si="47"/>
        <v>181.63277582893062</v>
      </c>
      <c r="BR23" s="51">
        <f t="shared" si="19"/>
        <v>120</v>
      </c>
      <c r="BS23" s="103">
        <f t="shared" si="158"/>
        <v>120</v>
      </c>
      <c r="BT23" s="59">
        <f t="shared" si="146"/>
        <v>0</v>
      </c>
      <c r="BU23" s="51">
        <f t="shared" si="20"/>
        <v>77</v>
      </c>
      <c r="BV23" s="103">
        <f t="shared" si="159"/>
        <v>81</v>
      </c>
      <c r="BW23" s="71">
        <f t="shared" si="105"/>
        <v>-4</v>
      </c>
      <c r="BY23" s="120">
        <f t="shared" ref="BY23:BY25" si="171">BY22+1</f>
        <v>25</v>
      </c>
      <c r="BZ23" s="570">
        <f t="shared" si="160"/>
        <v>2</v>
      </c>
      <c r="CA23" s="133"/>
      <c r="CB23" s="408">
        <f t="shared" si="147"/>
        <v>0</v>
      </c>
      <c r="CC23" s="562">
        <f t="shared" si="135"/>
        <v>0</v>
      </c>
      <c r="CD23" s="134"/>
      <c r="CE23" s="135"/>
      <c r="CF23" s="135"/>
      <c r="CG23" s="14">
        <f t="shared" si="113"/>
        <v>0</v>
      </c>
      <c r="CH23" s="14">
        <f t="shared" ref="CH23:CH45" si="172">CH22+CG23</f>
        <v>0</v>
      </c>
      <c r="CI23" s="14">
        <f t="shared" si="22"/>
        <v>0.7</v>
      </c>
      <c r="CJ23" s="47">
        <f t="shared" si="114"/>
        <v>0</v>
      </c>
      <c r="CK23" s="35">
        <f t="shared" si="23"/>
        <v>1.4</v>
      </c>
      <c r="CL23" s="155">
        <f t="shared" si="52"/>
        <v>0</v>
      </c>
      <c r="CM23" s="142"/>
      <c r="CN23" s="14">
        <f t="shared" si="24"/>
        <v>17</v>
      </c>
      <c r="CO23" s="442">
        <f t="shared" si="25"/>
        <v>0</v>
      </c>
      <c r="CP23" s="470">
        <f t="shared" si="53"/>
        <v>0</v>
      </c>
      <c r="CQ23" s="51">
        <f t="shared" si="26"/>
        <v>120</v>
      </c>
      <c r="CR23" s="103">
        <f t="shared" si="161"/>
        <v>0</v>
      </c>
      <c r="CS23" s="59">
        <f t="shared" si="148"/>
        <v>120</v>
      </c>
      <c r="CT23" s="51">
        <f t="shared" si="27"/>
        <v>77</v>
      </c>
      <c r="CU23" s="103">
        <f t="shared" si="162"/>
        <v>0</v>
      </c>
      <c r="CV23" s="71">
        <f t="shared" si="106"/>
        <v>77</v>
      </c>
      <c r="CX23" s="120">
        <f t="shared" ref="CX23:CX25" si="173">CX22+1</f>
        <v>25</v>
      </c>
      <c r="CY23" s="570">
        <f t="shared" si="163"/>
        <v>2</v>
      </c>
      <c r="CZ23" s="133"/>
      <c r="DA23" s="408">
        <f t="shared" si="149"/>
        <v>0</v>
      </c>
      <c r="DB23" s="562">
        <f t="shared" si="139"/>
        <v>0</v>
      </c>
      <c r="DC23" s="134"/>
      <c r="DD23" s="135"/>
      <c r="DE23" s="135"/>
      <c r="DF23" s="14">
        <f t="shared" si="115"/>
        <v>0</v>
      </c>
      <c r="DG23" s="14">
        <f t="shared" ref="DG23:DG45" si="174">DG22+DF23</f>
        <v>0</v>
      </c>
      <c r="DH23" s="14">
        <f t="shared" si="29"/>
        <v>0.7</v>
      </c>
      <c r="DI23" s="47">
        <f t="shared" si="116"/>
        <v>0</v>
      </c>
      <c r="DJ23" s="35">
        <f t="shared" si="30"/>
        <v>1.4</v>
      </c>
      <c r="DK23" s="155">
        <f t="shared" si="58"/>
        <v>0</v>
      </c>
      <c r="DL23" s="142"/>
      <c r="DM23" s="14">
        <f t="shared" si="31"/>
        <v>17</v>
      </c>
      <c r="DN23" s="442">
        <f t="shared" si="32"/>
        <v>0</v>
      </c>
      <c r="DO23" s="470">
        <f t="shared" si="59"/>
        <v>0</v>
      </c>
      <c r="DP23" s="51">
        <f t="shared" si="33"/>
        <v>120</v>
      </c>
      <c r="DQ23" s="103">
        <f t="shared" si="164"/>
        <v>0</v>
      </c>
      <c r="DR23" s="59">
        <f t="shared" si="150"/>
        <v>120</v>
      </c>
      <c r="DS23" s="51">
        <f t="shared" si="34"/>
        <v>77</v>
      </c>
      <c r="DT23" s="103">
        <f t="shared" si="165"/>
        <v>0</v>
      </c>
      <c r="DU23" s="71">
        <f t="shared" si="107"/>
        <v>77</v>
      </c>
    </row>
    <row r="24" spans="1:125" x14ac:dyDescent="0.25">
      <c r="B24" s="120">
        <f t="shared" si="166"/>
        <v>26</v>
      </c>
      <c r="C24" s="570">
        <f t="shared" si="151"/>
        <v>2</v>
      </c>
      <c r="D24" s="133"/>
      <c r="E24" s="408">
        <f t="shared" si="103"/>
        <v>172452</v>
      </c>
      <c r="F24" s="562">
        <f t="shared" si="0"/>
        <v>172341</v>
      </c>
      <c r="G24" s="134"/>
      <c r="H24" s="135">
        <v>111</v>
      </c>
      <c r="I24" s="135"/>
      <c r="J24" s="14">
        <f t="shared" si="108"/>
        <v>111</v>
      </c>
      <c r="K24" s="14">
        <f t="shared" si="35"/>
        <v>4490</v>
      </c>
      <c r="L24" s="14">
        <f t="shared" si="1"/>
        <v>0.7</v>
      </c>
      <c r="M24" s="47">
        <f t="shared" si="65"/>
        <v>6.4365736552779898E-2</v>
      </c>
      <c r="N24" s="35">
        <f t="shared" si="36"/>
        <v>1.4</v>
      </c>
      <c r="O24" s="157">
        <f t="shared" si="142"/>
        <v>2.5391475476584988</v>
      </c>
      <c r="P24" s="142">
        <v>3663</v>
      </c>
      <c r="Q24" s="14">
        <f t="shared" si="3"/>
        <v>17</v>
      </c>
      <c r="R24" s="442">
        <f t="shared" si="123"/>
        <v>21.240693062417368</v>
      </c>
      <c r="S24" s="470">
        <f>S23+R24</f>
        <v>251.98078742771858</v>
      </c>
      <c r="T24" s="51">
        <f t="shared" si="5"/>
        <v>120</v>
      </c>
      <c r="U24" s="103">
        <f t="shared" si="152"/>
        <v>122</v>
      </c>
      <c r="V24" s="59">
        <f t="shared" si="38"/>
        <v>-2</v>
      </c>
      <c r="W24" s="12">
        <f t="shared" si="6"/>
        <v>77</v>
      </c>
      <c r="X24" s="103">
        <f t="shared" si="153"/>
        <v>65</v>
      </c>
      <c r="Y24" s="71">
        <f t="shared" si="39"/>
        <v>12</v>
      </c>
      <c r="Z24" s="487"/>
      <c r="AA24" s="120">
        <f t="shared" si="167"/>
        <v>26</v>
      </c>
      <c r="AB24" s="570">
        <f t="shared" si="154"/>
        <v>2</v>
      </c>
      <c r="AC24" s="133"/>
      <c r="AD24" s="408">
        <f t="shared" si="143"/>
        <v>0</v>
      </c>
      <c r="AE24" s="562">
        <f t="shared" si="127"/>
        <v>0</v>
      </c>
      <c r="AF24" s="134"/>
      <c r="AG24" s="135"/>
      <c r="AH24" s="135"/>
      <c r="AI24" s="14">
        <f t="shared" si="109"/>
        <v>0</v>
      </c>
      <c r="AJ24" s="14">
        <f t="shared" si="168"/>
        <v>0</v>
      </c>
      <c r="AK24" s="14">
        <f t="shared" si="8"/>
        <v>0.7</v>
      </c>
      <c r="AL24" s="47">
        <f t="shared" si="110"/>
        <v>0</v>
      </c>
      <c r="AM24" s="35">
        <f t="shared" si="9"/>
        <v>1.4</v>
      </c>
      <c r="AN24" s="157">
        <f t="shared" si="41"/>
        <v>0</v>
      </c>
      <c r="AO24" s="142"/>
      <c r="AP24" s="14">
        <f t="shared" si="10"/>
        <v>17</v>
      </c>
      <c r="AQ24" s="442">
        <f t="shared" si="11"/>
        <v>0</v>
      </c>
      <c r="AR24" s="470">
        <f>AR23+AQ24</f>
        <v>0</v>
      </c>
      <c r="AS24" s="51">
        <f t="shared" si="12"/>
        <v>120</v>
      </c>
      <c r="AT24" s="103">
        <f t="shared" si="155"/>
        <v>0</v>
      </c>
      <c r="AU24" s="59">
        <f t="shared" si="144"/>
        <v>120</v>
      </c>
      <c r="AV24" s="12">
        <f t="shared" si="13"/>
        <v>77</v>
      </c>
      <c r="AW24" s="103">
        <f t="shared" si="156"/>
        <v>0</v>
      </c>
      <c r="AX24" s="71">
        <f t="shared" si="104"/>
        <v>77</v>
      </c>
      <c r="AZ24" s="120">
        <f t="shared" si="169"/>
        <v>26</v>
      </c>
      <c r="BA24" s="570">
        <f t="shared" si="157"/>
        <v>2</v>
      </c>
      <c r="BB24" s="133"/>
      <c r="BC24" s="408">
        <f t="shared" si="145"/>
        <v>116623</v>
      </c>
      <c r="BD24" s="562">
        <f t="shared" si="131"/>
        <v>116531</v>
      </c>
      <c r="BE24" s="134"/>
      <c r="BF24" s="135">
        <v>92</v>
      </c>
      <c r="BG24" s="135"/>
      <c r="BH24" s="14">
        <f t="shared" si="111"/>
        <v>92</v>
      </c>
      <c r="BI24" s="14">
        <f t="shared" si="170"/>
        <v>3538</v>
      </c>
      <c r="BJ24" s="14">
        <f t="shared" si="15"/>
        <v>0.7</v>
      </c>
      <c r="BK24" s="47">
        <f t="shared" si="112"/>
        <v>7.8886669010401034E-2</v>
      </c>
      <c r="BL24" s="35">
        <f t="shared" si="16"/>
        <v>1.4</v>
      </c>
      <c r="BM24" s="159">
        <f t="shared" si="89"/>
        <v>2.9466390158991911</v>
      </c>
      <c r="BN24" s="142">
        <v>3240</v>
      </c>
      <c r="BO24" s="14">
        <f t="shared" si="17"/>
        <v>17</v>
      </c>
      <c r="BP24" s="442">
        <f t="shared" si="18"/>
        <v>27.781826912358625</v>
      </c>
      <c r="BQ24" s="470">
        <f>BQ23+BP24</f>
        <v>209.41460274128923</v>
      </c>
      <c r="BR24" s="51">
        <f t="shared" si="19"/>
        <v>120</v>
      </c>
      <c r="BS24" s="103">
        <f t="shared" si="158"/>
        <v>120</v>
      </c>
      <c r="BT24" s="59">
        <f t="shared" si="146"/>
        <v>0</v>
      </c>
      <c r="BU24" s="12">
        <f t="shared" si="20"/>
        <v>77</v>
      </c>
      <c r="BV24" s="103">
        <f t="shared" si="159"/>
        <v>81</v>
      </c>
      <c r="BW24" s="71">
        <f t="shared" si="105"/>
        <v>-4</v>
      </c>
      <c r="BY24" s="120">
        <f t="shared" si="171"/>
        <v>26</v>
      </c>
      <c r="BZ24" s="570">
        <f t="shared" si="160"/>
        <v>2</v>
      </c>
      <c r="CA24" s="133"/>
      <c r="CB24" s="408">
        <f t="shared" si="147"/>
        <v>0</v>
      </c>
      <c r="CC24" s="562">
        <f t="shared" si="135"/>
        <v>0</v>
      </c>
      <c r="CD24" s="134"/>
      <c r="CE24" s="135"/>
      <c r="CF24" s="135"/>
      <c r="CG24" s="14">
        <f t="shared" si="113"/>
        <v>0</v>
      </c>
      <c r="CH24" s="14">
        <f t="shared" si="172"/>
        <v>0</v>
      </c>
      <c r="CI24" s="14">
        <f t="shared" si="22"/>
        <v>0.7</v>
      </c>
      <c r="CJ24" s="47">
        <f t="shared" si="114"/>
        <v>0</v>
      </c>
      <c r="CK24" s="35">
        <f t="shared" si="23"/>
        <v>1.4</v>
      </c>
      <c r="CL24" s="157">
        <f t="shared" si="52"/>
        <v>0</v>
      </c>
      <c r="CM24" s="142"/>
      <c r="CN24" s="14">
        <f t="shared" si="24"/>
        <v>17</v>
      </c>
      <c r="CO24" s="442">
        <f t="shared" si="25"/>
        <v>0</v>
      </c>
      <c r="CP24" s="470">
        <f>CP23+CO24</f>
        <v>0</v>
      </c>
      <c r="CQ24" s="51">
        <f t="shared" si="26"/>
        <v>120</v>
      </c>
      <c r="CR24" s="103">
        <f t="shared" si="161"/>
        <v>0</v>
      </c>
      <c r="CS24" s="59">
        <f t="shared" si="148"/>
        <v>120</v>
      </c>
      <c r="CT24" s="12">
        <f t="shared" si="27"/>
        <v>77</v>
      </c>
      <c r="CU24" s="103">
        <f t="shared" si="162"/>
        <v>0</v>
      </c>
      <c r="CV24" s="71">
        <f t="shared" si="106"/>
        <v>77</v>
      </c>
      <c r="CX24" s="120">
        <f t="shared" si="173"/>
        <v>26</v>
      </c>
      <c r="CY24" s="570">
        <f t="shared" si="163"/>
        <v>2</v>
      </c>
      <c r="CZ24" s="133"/>
      <c r="DA24" s="408">
        <f t="shared" si="149"/>
        <v>0</v>
      </c>
      <c r="DB24" s="562">
        <f t="shared" si="139"/>
        <v>0</v>
      </c>
      <c r="DC24" s="134"/>
      <c r="DD24" s="135"/>
      <c r="DE24" s="135"/>
      <c r="DF24" s="14">
        <f t="shared" si="115"/>
        <v>0</v>
      </c>
      <c r="DG24" s="14">
        <f t="shared" si="174"/>
        <v>0</v>
      </c>
      <c r="DH24" s="14">
        <f t="shared" si="29"/>
        <v>0.7</v>
      </c>
      <c r="DI24" s="47">
        <f t="shared" si="116"/>
        <v>0</v>
      </c>
      <c r="DJ24" s="35">
        <f t="shared" si="30"/>
        <v>1.4</v>
      </c>
      <c r="DK24" s="157">
        <f t="shared" si="58"/>
        <v>0</v>
      </c>
      <c r="DL24" s="142"/>
      <c r="DM24" s="14">
        <f t="shared" si="31"/>
        <v>17</v>
      </c>
      <c r="DN24" s="442">
        <f t="shared" si="32"/>
        <v>0</v>
      </c>
      <c r="DO24" s="470">
        <f>DO23+DN24</f>
        <v>0</v>
      </c>
      <c r="DP24" s="51">
        <f t="shared" si="33"/>
        <v>120</v>
      </c>
      <c r="DQ24" s="103">
        <f t="shared" si="164"/>
        <v>0</v>
      </c>
      <c r="DR24" s="59">
        <f t="shared" si="150"/>
        <v>120</v>
      </c>
      <c r="DS24" s="12">
        <f t="shared" si="34"/>
        <v>77</v>
      </c>
      <c r="DT24" s="103">
        <f t="shared" si="165"/>
        <v>0</v>
      </c>
      <c r="DU24" s="71">
        <f t="shared" si="107"/>
        <v>77</v>
      </c>
    </row>
    <row r="25" spans="1:125" x14ac:dyDescent="0.25">
      <c r="B25" s="120">
        <f t="shared" si="166"/>
        <v>27</v>
      </c>
      <c r="C25" s="570">
        <f t="shared" si="151"/>
        <v>2</v>
      </c>
      <c r="D25" s="133"/>
      <c r="E25" s="408">
        <f t="shared" si="103"/>
        <v>172341</v>
      </c>
      <c r="F25" s="562">
        <f t="shared" si="0"/>
        <v>172291</v>
      </c>
      <c r="G25" s="134"/>
      <c r="H25" s="135">
        <v>50</v>
      </c>
      <c r="I25" s="135"/>
      <c r="J25" s="14">
        <f t="shared" si="108"/>
        <v>50</v>
      </c>
      <c r="K25" s="14">
        <f t="shared" si="35"/>
        <v>4540</v>
      </c>
      <c r="L25" s="14">
        <f t="shared" si="1"/>
        <v>0.7</v>
      </c>
      <c r="M25" s="47">
        <f t="shared" si="65"/>
        <v>2.9012248971515775E-2</v>
      </c>
      <c r="N25" s="35">
        <f t="shared" si="36"/>
        <v>1.4</v>
      </c>
      <c r="O25" s="159">
        <f t="shared" si="142"/>
        <v>2.5674231328217338</v>
      </c>
      <c r="P25" s="142">
        <v>3816</v>
      </c>
      <c r="Q25" s="14">
        <f t="shared" si="3"/>
        <v>17</v>
      </c>
      <c r="R25" s="442">
        <f t="shared" si="123"/>
        <v>22.142148415060841</v>
      </c>
      <c r="S25" s="470">
        <f>S24+R25</f>
        <v>274.12293584277944</v>
      </c>
      <c r="T25" s="51">
        <f t="shared" si="5"/>
        <v>120</v>
      </c>
      <c r="U25" s="103">
        <f t="shared" si="152"/>
        <v>122</v>
      </c>
      <c r="V25" s="59">
        <f t="shared" si="38"/>
        <v>-2</v>
      </c>
      <c r="W25" s="50">
        <f t="shared" si="6"/>
        <v>77</v>
      </c>
      <c r="X25" s="103">
        <f t="shared" si="153"/>
        <v>65</v>
      </c>
      <c r="Y25" s="71">
        <f t="shared" si="39"/>
        <v>12</v>
      </c>
      <c r="Z25" s="487"/>
      <c r="AA25" s="120">
        <f t="shared" si="167"/>
        <v>27</v>
      </c>
      <c r="AB25" s="570">
        <f t="shared" si="154"/>
        <v>2</v>
      </c>
      <c r="AC25" s="133"/>
      <c r="AD25" s="408">
        <f t="shared" si="143"/>
        <v>0</v>
      </c>
      <c r="AE25" s="562">
        <f t="shared" si="127"/>
        <v>0</v>
      </c>
      <c r="AF25" s="134"/>
      <c r="AG25" s="135"/>
      <c r="AH25" s="135"/>
      <c r="AI25" s="14">
        <f t="shared" si="109"/>
        <v>0</v>
      </c>
      <c r="AJ25" s="14">
        <f t="shared" si="168"/>
        <v>0</v>
      </c>
      <c r="AK25" s="14">
        <f t="shared" si="8"/>
        <v>0.7</v>
      </c>
      <c r="AL25" s="47">
        <f t="shared" si="110"/>
        <v>0</v>
      </c>
      <c r="AM25" s="35">
        <f t="shared" si="9"/>
        <v>1.4</v>
      </c>
      <c r="AN25" s="159">
        <f t="shared" si="41"/>
        <v>0</v>
      </c>
      <c r="AO25" s="142"/>
      <c r="AP25" s="14">
        <f t="shared" si="10"/>
        <v>17</v>
      </c>
      <c r="AQ25" s="442">
        <f t="shared" si="11"/>
        <v>0</v>
      </c>
      <c r="AR25" s="470">
        <f>AR24+AQ25</f>
        <v>0</v>
      </c>
      <c r="AS25" s="51">
        <f t="shared" si="12"/>
        <v>120</v>
      </c>
      <c r="AT25" s="103">
        <f t="shared" si="155"/>
        <v>0</v>
      </c>
      <c r="AU25" s="59">
        <f t="shared" si="144"/>
        <v>120</v>
      </c>
      <c r="AV25" s="50">
        <f t="shared" si="13"/>
        <v>77</v>
      </c>
      <c r="AW25" s="103">
        <f t="shared" si="156"/>
        <v>0</v>
      </c>
      <c r="AX25" s="71">
        <f t="shared" si="104"/>
        <v>77</v>
      </c>
      <c r="AZ25" s="120">
        <f t="shared" si="169"/>
        <v>27</v>
      </c>
      <c r="BA25" s="570">
        <f t="shared" si="157"/>
        <v>2</v>
      </c>
      <c r="BB25" s="133"/>
      <c r="BC25" s="408">
        <f t="shared" si="145"/>
        <v>116531</v>
      </c>
      <c r="BD25" s="562">
        <f t="shared" si="131"/>
        <v>116421</v>
      </c>
      <c r="BE25" s="134"/>
      <c r="BF25" s="135">
        <v>110</v>
      </c>
      <c r="BG25" s="135"/>
      <c r="BH25" s="14">
        <f t="shared" si="111"/>
        <v>110</v>
      </c>
      <c r="BI25" s="14">
        <f t="shared" si="170"/>
        <v>3648</v>
      </c>
      <c r="BJ25" s="14">
        <f t="shared" si="15"/>
        <v>0.7</v>
      </c>
      <c r="BK25" s="47">
        <f t="shared" si="112"/>
        <v>9.4395482747080178E-2</v>
      </c>
      <c r="BL25" s="35">
        <f t="shared" si="16"/>
        <v>1.4</v>
      </c>
      <c r="BM25" s="159">
        <f t="shared" si="89"/>
        <v>3.0382530045223994</v>
      </c>
      <c r="BN25" s="142">
        <v>3240</v>
      </c>
      <c r="BO25" s="14">
        <f t="shared" si="17"/>
        <v>17</v>
      </c>
      <c r="BP25" s="442">
        <f t="shared" si="18"/>
        <v>27.803760372776342</v>
      </c>
      <c r="BQ25" s="470">
        <f>BQ24+BP25</f>
        <v>237.21836311406557</v>
      </c>
      <c r="BR25" s="51">
        <f t="shared" si="19"/>
        <v>120</v>
      </c>
      <c r="BS25" s="103">
        <f t="shared" si="158"/>
        <v>120</v>
      </c>
      <c r="BT25" s="59">
        <f t="shared" si="146"/>
        <v>0</v>
      </c>
      <c r="BU25" s="50">
        <f t="shared" si="20"/>
        <v>77</v>
      </c>
      <c r="BV25" s="103">
        <f t="shared" si="159"/>
        <v>81</v>
      </c>
      <c r="BW25" s="71">
        <f t="shared" si="105"/>
        <v>-4</v>
      </c>
      <c r="BY25" s="120">
        <f t="shared" si="171"/>
        <v>27</v>
      </c>
      <c r="BZ25" s="570">
        <f t="shared" si="160"/>
        <v>2</v>
      </c>
      <c r="CA25" s="133"/>
      <c r="CB25" s="408">
        <f t="shared" si="147"/>
        <v>0</v>
      </c>
      <c r="CC25" s="562">
        <f t="shared" si="135"/>
        <v>0</v>
      </c>
      <c r="CD25" s="134"/>
      <c r="CE25" s="135"/>
      <c r="CF25" s="135"/>
      <c r="CG25" s="14">
        <f t="shared" si="113"/>
        <v>0</v>
      </c>
      <c r="CH25" s="14">
        <f t="shared" si="172"/>
        <v>0</v>
      </c>
      <c r="CI25" s="14">
        <f t="shared" si="22"/>
        <v>0.7</v>
      </c>
      <c r="CJ25" s="47">
        <f t="shared" si="114"/>
        <v>0</v>
      </c>
      <c r="CK25" s="35">
        <f t="shared" si="23"/>
        <v>1.4</v>
      </c>
      <c r="CL25" s="159">
        <f t="shared" si="52"/>
        <v>0</v>
      </c>
      <c r="CM25" s="142"/>
      <c r="CN25" s="14">
        <f t="shared" si="24"/>
        <v>17</v>
      </c>
      <c r="CO25" s="442">
        <f t="shared" si="25"/>
        <v>0</v>
      </c>
      <c r="CP25" s="470">
        <f>CP24+CO25</f>
        <v>0</v>
      </c>
      <c r="CQ25" s="51">
        <f t="shared" si="26"/>
        <v>120</v>
      </c>
      <c r="CR25" s="103">
        <f t="shared" si="161"/>
        <v>0</v>
      </c>
      <c r="CS25" s="59">
        <f t="shared" si="148"/>
        <v>120</v>
      </c>
      <c r="CT25" s="50">
        <f t="shared" si="27"/>
        <v>77</v>
      </c>
      <c r="CU25" s="103">
        <f t="shared" si="162"/>
        <v>0</v>
      </c>
      <c r="CV25" s="71">
        <f t="shared" si="106"/>
        <v>77</v>
      </c>
      <c r="CX25" s="120">
        <f t="shared" si="173"/>
        <v>27</v>
      </c>
      <c r="CY25" s="570">
        <f t="shared" si="163"/>
        <v>2</v>
      </c>
      <c r="CZ25" s="133"/>
      <c r="DA25" s="408">
        <f t="shared" si="149"/>
        <v>0</v>
      </c>
      <c r="DB25" s="562">
        <f t="shared" si="139"/>
        <v>0</v>
      </c>
      <c r="DC25" s="134"/>
      <c r="DD25" s="135"/>
      <c r="DE25" s="135"/>
      <c r="DF25" s="14">
        <f t="shared" si="115"/>
        <v>0</v>
      </c>
      <c r="DG25" s="14">
        <f t="shared" si="174"/>
        <v>0</v>
      </c>
      <c r="DH25" s="14">
        <f t="shared" si="29"/>
        <v>0.7</v>
      </c>
      <c r="DI25" s="47">
        <f t="shared" si="116"/>
        <v>0</v>
      </c>
      <c r="DJ25" s="35">
        <f t="shared" si="30"/>
        <v>1.4</v>
      </c>
      <c r="DK25" s="159">
        <f t="shared" si="58"/>
        <v>0</v>
      </c>
      <c r="DL25" s="142"/>
      <c r="DM25" s="14">
        <f t="shared" si="31"/>
        <v>17</v>
      </c>
      <c r="DN25" s="442">
        <f t="shared" si="32"/>
        <v>0</v>
      </c>
      <c r="DO25" s="470">
        <f>DO24+DN25</f>
        <v>0</v>
      </c>
      <c r="DP25" s="51">
        <f t="shared" si="33"/>
        <v>120</v>
      </c>
      <c r="DQ25" s="103">
        <f t="shared" si="164"/>
        <v>0</v>
      </c>
      <c r="DR25" s="59">
        <f t="shared" si="150"/>
        <v>120</v>
      </c>
      <c r="DS25" s="50">
        <f t="shared" si="34"/>
        <v>77</v>
      </c>
      <c r="DT25" s="103">
        <f t="shared" si="165"/>
        <v>0</v>
      </c>
      <c r="DU25" s="71">
        <f t="shared" si="107"/>
        <v>77</v>
      </c>
    </row>
    <row r="26" spans="1:125" ht="17.25" thickBot="1" x14ac:dyDescent="0.3">
      <c r="B26" s="197">
        <f>B25+1</f>
        <v>28</v>
      </c>
      <c r="C26" s="574">
        <f t="shared" si="151"/>
        <v>2</v>
      </c>
      <c r="D26" s="136"/>
      <c r="E26" s="436">
        <f t="shared" si="103"/>
        <v>172291</v>
      </c>
      <c r="F26" s="451">
        <f t="shared" si="0"/>
        <v>172237</v>
      </c>
      <c r="G26" s="137"/>
      <c r="H26" s="138">
        <v>54</v>
      </c>
      <c r="I26" s="138"/>
      <c r="J26" s="32">
        <f t="shared" si="108"/>
        <v>54</v>
      </c>
      <c r="K26" s="32">
        <f t="shared" si="35"/>
        <v>4594</v>
      </c>
      <c r="L26" s="32">
        <f t="shared" si="1"/>
        <v>0.7</v>
      </c>
      <c r="M26" s="96">
        <f t="shared" si="65"/>
        <v>3.1342322001729629E-2</v>
      </c>
      <c r="N26" s="36">
        <f t="shared" si="36"/>
        <v>1.4</v>
      </c>
      <c r="O26" s="155">
        <f t="shared" si="142"/>
        <v>2.5979607647980276</v>
      </c>
      <c r="P26" s="139">
        <v>3663</v>
      </c>
      <c r="Q26" s="32">
        <f t="shared" si="3"/>
        <v>17</v>
      </c>
      <c r="R26" s="443">
        <f t="shared" si="123"/>
        <v>21.260541757839935</v>
      </c>
      <c r="S26" s="471">
        <f>S25+R26</f>
        <v>295.38347760061936</v>
      </c>
      <c r="T26" s="56">
        <f t="shared" si="5"/>
        <v>120</v>
      </c>
      <c r="U26" s="109">
        <f t="shared" si="152"/>
        <v>122</v>
      </c>
      <c r="V26" s="53">
        <f t="shared" si="38"/>
        <v>-2</v>
      </c>
      <c r="W26" s="56">
        <f t="shared" si="6"/>
        <v>77</v>
      </c>
      <c r="X26" s="109">
        <f t="shared" si="153"/>
        <v>65</v>
      </c>
      <c r="Y26" s="63">
        <f t="shared" si="39"/>
        <v>12</v>
      </c>
      <c r="Z26" s="487"/>
      <c r="AA26" s="197">
        <f>AA25+1</f>
        <v>28</v>
      </c>
      <c r="AB26" s="574">
        <f t="shared" si="154"/>
        <v>2</v>
      </c>
      <c r="AC26" s="136"/>
      <c r="AD26" s="436">
        <f t="shared" si="143"/>
        <v>0</v>
      </c>
      <c r="AE26" s="451">
        <f t="shared" si="127"/>
        <v>0</v>
      </c>
      <c r="AF26" s="137"/>
      <c r="AG26" s="138"/>
      <c r="AH26" s="138"/>
      <c r="AI26" s="32">
        <f t="shared" si="109"/>
        <v>0</v>
      </c>
      <c r="AJ26" s="32">
        <f t="shared" si="168"/>
        <v>0</v>
      </c>
      <c r="AK26" s="32">
        <f t="shared" si="8"/>
        <v>0.7</v>
      </c>
      <c r="AL26" s="96">
        <f t="shared" si="110"/>
        <v>0</v>
      </c>
      <c r="AM26" s="36">
        <f t="shared" si="9"/>
        <v>1.4</v>
      </c>
      <c r="AN26" s="155">
        <f t="shared" si="41"/>
        <v>0</v>
      </c>
      <c r="AO26" s="139"/>
      <c r="AP26" s="32">
        <f t="shared" si="10"/>
        <v>17</v>
      </c>
      <c r="AQ26" s="443">
        <f t="shared" si="11"/>
        <v>0</v>
      </c>
      <c r="AR26" s="471">
        <f>AR25+AQ26</f>
        <v>0</v>
      </c>
      <c r="AS26" s="56">
        <f t="shared" si="12"/>
        <v>120</v>
      </c>
      <c r="AT26" s="109">
        <f t="shared" si="155"/>
        <v>0</v>
      </c>
      <c r="AU26" s="53">
        <f t="shared" si="144"/>
        <v>120</v>
      </c>
      <c r="AV26" s="56">
        <f t="shared" si="13"/>
        <v>77</v>
      </c>
      <c r="AW26" s="109">
        <f t="shared" si="156"/>
        <v>0</v>
      </c>
      <c r="AX26" s="63">
        <f t="shared" si="104"/>
        <v>77</v>
      </c>
      <c r="AZ26" s="197">
        <f>AZ25+1</f>
        <v>28</v>
      </c>
      <c r="BA26" s="574">
        <f t="shared" si="157"/>
        <v>2</v>
      </c>
      <c r="BB26" s="136"/>
      <c r="BC26" s="436">
        <f t="shared" si="145"/>
        <v>116421</v>
      </c>
      <c r="BD26" s="451">
        <f t="shared" si="131"/>
        <v>116336</v>
      </c>
      <c r="BE26" s="137"/>
      <c r="BF26" s="138">
        <v>85</v>
      </c>
      <c r="BG26" s="138"/>
      <c r="BH26" s="32">
        <f t="shared" si="111"/>
        <v>85</v>
      </c>
      <c r="BI26" s="32">
        <f t="shared" si="170"/>
        <v>3733</v>
      </c>
      <c r="BJ26" s="32">
        <f t="shared" si="15"/>
        <v>0.7</v>
      </c>
      <c r="BK26" s="96">
        <f t="shared" si="112"/>
        <v>7.3010882916312345E-2</v>
      </c>
      <c r="BL26" s="36">
        <f t="shared" si="16"/>
        <v>1.4</v>
      </c>
      <c r="BM26" s="156">
        <f t="shared" si="89"/>
        <v>3.1090456320948787</v>
      </c>
      <c r="BN26" s="139">
        <v>3060</v>
      </c>
      <c r="BO26" s="32">
        <f t="shared" si="17"/>
        <v>17</v>
      </c>
      <c r="BP26" s="443">
        <f t="shared" si="18"/>
        <v>26.283917849872449</v>
      </c>
      <c r="BQ26" s="471">
        <f>BQ25+BP26</f>
        <v>263.50228096393801</v>
      </c>
      <c r="BR26" s="56">
        <f t="shared" si="19"/>
        <v>120</v>
      </c>
      <c r="BS26" s="109">
        <f t="shared" si="158"/>
        <v>120</v>
      </c>
      <c r="BT26" s="53">
        <f t="shared" si="146"/>
        <v>0</v>
      </c>
      <c r="BU26" s="56">
        <f t="shared" si="20"/>
        <v>77</v>
      </c>
      <c r="BV26" s="109">
        <f t="shared" si="159"/>
        <v>81</v>
      </c>
      <c r="BW26" s="63">
        <f t="shared" si="105"/>
        <v>-4</v>
      </c>
      <c r="BY26" s="197">
        <f>BY25+1</f>
        <v>28</v>
      </c>
      <c r="BZ26" s="574">
        <f t="shared" si="160"/>
        <v>2</v>
      </c>
      <c r="CA26" s="136"/>
      <c r="CB26" s="436">
        <f t="shared" si="147"/>
        <v>0</v>
      </c>
      <c r="CC26" s="451">
        <f t="shared" si="135"/>
        <v>0</v>
      </c>
      <c r="CD26" s="137"/>
      <c r="CE26" s="138"/>
      <c r="CF26" s="138"/>
      <c r="CG26" s="32">
        <f t="shared" si="113"/>
        <v>0</v>
      </c>
      <c r="CH26" s="32">
        <f t="shared" si="172"/>
        <v>0</v>
      </c>
      <c r="CI26" s="32">
        <f t="shared" si="22"/>
        <v>0.7</v>
      </c>
      <c r="CJ26" s="96">
        <f t="shared" si="114"/>
        <v>0</v>
      </c>
      <c r="CK26" s="36">
        <f t="shared" si="23"/>
        <v>1.4</v>
      </c>
      <c r="CL26" s="155">
        <f t="shared" si="52"/>
        <v>0</v>
      </c>
      <c r="CM26" s="139"/>
      <c r="CN26" s="32">
        <f t="shared" si="24"/>
        <v>17</v>
      </c>
      <c r="CO26" s="443">
        <f t="shared" si="25"/>
        <v>0</v>
      </c>
      <c r="CP26" s="471">
        <f>CP25+CO26</f>
        <v>0</v>
      </c>
      <c r="CQ26" s="56">
        <f t="shared" si="26"/>
        <v>120</v>
      </c>
      <c r="CR26" s="109">
        <f t="shared" si="161"/>
        <v>0</v>
      </c>
      <c r="CS26" s="53">
        <f t="shared" si="148"/>
        <v>120</v>
      </c>
      <c r="CT26" s="56">
        <f t="shared" si="27"/>
        <v>77</v>
      </c>
      <c r="CU26" s="109">
        <f t="shared" si="162"/>
        <v>0</v>
      </c>
      <c r="CV26" s="63">
        <f t="shared" si="106"/>
        <v>77</v>
      </c>
      <c r="CX26" s="197">
        <f>CX25+1</f>
        <v>28</v>
      </c>
      <c r="CY26" s="574">
        <f t="shared" si="163"/>
        <v>2</v>
      </c>
      <c r="CZ26" s="136"/>
      <c r="DA26" s="436">
        <f t="shared" si="149"/>
        <v>0</v>
      </c>
      <c r="DB26" s="451">
        <f t="shared" si="139"/>
        <v>0</v>
      </c>
      <c r="DC26" s="137"/>
      <c r="DD26" s="138"/>
      <c r="DE26" s="138"/>
      <c r="DF26" s="32">
        <f t="shared" si="115"/>
        <v>0</v>
      </c>
      <c r="DG26" s="32">
        <f t="shared" si="174"/>
        <v>0</v>
      </c>
      <c r="DH26" s="32">
        <f t="shared" si="29"/>
        <v>0.7</v>
      </c>
      <c r="DI26" s="96">
        <f t="shared" si="116"/>
        <v>0</v>
      </c>
      <c r="DJ26" s="36">
        <f t="shared" si="30"/>
        <v>1.4</v>
      </c>
      <c r="DK26" s="155">
        <f t="shared" si="58"/>
        <v>0</v>
      </c>
      <c r="DL26" s="139"/>
      <c r="DM26" s="32">
        <f t="shared" si="31"/>
        <v>17</v>
      </c>
      <c r="DN26" s="443">
        <f t="shared" si="32"/>
        <v>0</v>
      </c>
      <c r="DO26" s="471">
        <f>DO25+DN26</f>
        <v>0</v>
      </c>
      <c r="DP26" s="56">
        <f t="shared" si="33"/>
        <v>120</v>
      </c>
      <c r="DQ26" s="109">
        <f t="shared" si="164"/>
        <v>0</v>
      </c>
      <c r="DR26" s="53">
        <f t="shared" si="150"/>
        <v>120</v>
      </c>
      <c r="DS26" s="56">
        <f t="shared" si="34"/>
        <v>77</v>
      </c>
      <c r="DT26" s="109">
        <f t="shared" si="165"/>
        <v>0</v>
      </c>
      <c r="DU26" s="63">
        <f t="shared" si="107"/>
        <v>77</v>
      </c>
    </row>
    <row r="27" spans="1:125" ht="20.25" x14ac:dyDescent="0.25">
      <c r="A27" s="787"/>
      <c r="B27" s="394">
        <f>B26+1</f>
        <v>29</v>
      </c>
      <c r="C27" s="785">
        <v>3</v>
      </c>
      <c r="D27" s="498"/>
      <c r="E27" s="823">
        <f t="shared" si="103"/>
        <v>172237</v>
      </c>
      <c r="F27" s="446">
        <f t="shared" si="0"/>
        <v>172018</v>
      </c>
      <c r="G27" s="819"/>
      <c r="H27" s="820">
        <v>219</v>
      </c>
      <c r="I27" s="820"/>
      <c r="J27" s="16">
        <f t="shared" si="108"/>
        <v>219</v>
      </c>
      <c r="K27" s="16">
        <f t="shared" si="35"/>
        <v>4813</v>
      </c>
      <c r="L27" s="16">
        <f t="shared" si="1"/>
        <v>0.5</v>
      </c>
      <c r="M27" s="153">
        <f t="shared" si="65"/>
        <v>0.12715037999965165</v>
      </c>
      <c r="N27" s="154">
        <f t="shared" si="36"/>
        <v>1.9</v>
      </c>
      <c r="O27" s="132">
        <f t="shared" si="142"/>
        <v>2.7218078278129965</v>
      </c>
      <c r="P27" s="158">
        <v>2889</v>
      </c>
      <c r="Q27" s="11">
        <f t="shared" si="3"/>
        <v>23</v>
      </c>
      <c r="R27" s="441">
        <f t="shared" si="123"/>
        <v>16.773399443789664</v>
      </c>
      <c r="S27" s="469">
        <f t="shared" si="37"/>
        <v>312.15687704440904</v>
      </c>
      <c r="T27" s="58">
        <f t="shared" si="5"/>
        <v>185</v>
      </c>
      <c r="U27" s="131">
        <v>178</v>
      </c>
      <c r="V27" s="41">
        <f t="shared" si="38"/>
        <v>7</v>
      </c>
      <c r="W27" s="18">
        <f t="shared" si="6"/>
        <v>77</v>
      </c>
      <c r="X27" s="131">
        <v>67</v>
      </c>
      <c r="Y27" s="41">
        <f t="shared" si="39"/>
        <v>10</v>
      </c>
      <c r="Z27" s="487"/>
      <c r="AA27" s="394">
        <f>AA26+1</f>
        <v>29</v>
      </c>
      <c r="AB27" s="785">
        <v>3</v>
      </c>
      <c r="AC27" s="498"/>
      <c r="AD27" s="823">
        <f t="shared" si="143"/>
        <v>0</v>
      </c>
      <c r="AE27" s="446">
        <f t="shared" si="127"/>
        <v>0</v>
      </c>
      <c r="AF27" s="819"/>
      <c r="AG27" s="820"/>
      <c r="AH27" s="820"/>
      <c r="AI27" s="16">
        <f t="shared" si="109"/>
        <v>0</v>
      </c>
      <c r="AJ27" s="16">
        <f t="shared" si="168"/>
        <v>0</v>
      </c>
      <c r="AK27" s="16">
        <f t="shared" si="8"/>
        <v>0.5</v>
      </c>
      <c r="AL27" s="153">
        <f t="shared" si="110"/>
        <v>0</v>
      </c>
      <c r="AM27" s="154">
        <f t="shared" si="9"/>
        <v>1.9</v>
      </c>
      <c r="AN27" s="132">
        <f t="shared" si="41"/>
        <v>0</v>
      </c>
      <c r="AO27" s="158"/>
      <c r="AP27" s="11">
        <f t="shared" si="10"/>
        <v>23</v>
      </c>
      <c r="AQ27" s="441">
        <f t="shared" si="11"/>
        <v>0</v>
      </c>
      <c r="AR27" s="469">
        <f t="shared" ref="AR27:AR90" si="175">AR26+AQ27</f>
        <v>0</v>
      </c>
      <c r="AS27" s="58">
        <f t="shared" si="12"/>
        <v>185</v>
      </c>
      <c r="AT27" s="131"/>
      <c r="AU27" s="41">
        <f t="shared" si="144"/>
        <v>185</v>
      </c>
      <c r="AV27" s="18">
        <f t="shared" si="13"/>
        <v>77</v>
      </c>
      <c r="AW27" s="131"/>
      <c r="AX27" s="41">
        <f t="shared" si="104"/>
        <v>77</v>
      </c>
      <c r="AY27" s="787"/>
      <c r="AZ27" s="394">
        <f>AZ26+1</f>
        <v>29</v>
      </c>
      <c r="BA27" s="785">
        <v>3</v>
      </c>
      <c r="BB27" s="498"/>
      <c r="BC27" s="823">
        <f t="shared" si="145"/>
        <v>116336</v>
      </c>
      <c r="BD27" s="446">
        <f t="shared" si="131"/>
        <v>116240</v>
      </c>
      <c r="BE27" s="819"/>
      <c r="BF27" s="820">
        <v>96</v>
      </c>
      <c r="BG27" s="820"/>
      <c r="BH27" s="16">
        <f t="shared" si="111"/>
        <v>96</v>
      </c>
      <c r="BI27" s="16">
        <f t="shared" si="170"/>
        <v>3829</v>
      </c>
      <c r="BJ27" s="16">
        <f t="shared" si="15"/>
        <v>0.5</v>
      </c>
      <c r="BK27" s="153">
        <f t="shared" si="112"/>
        <v>8.25195984046211E-2</v>
      </c>
      <c r="BL27" s="154">
        <f t="shared" si="16"/>
        <v>1.9</v>
      </c>
      <c r="BM27" s="155">
        <f t="shared" si="89"/>
        <v>3.1889996585296787</v>
      </c>
      <c r="BN27" s="158">
        <v>2700</v>
      </c>
      <c r="BO27" s="11">
        <f t="shared" si="17"/>
        <v>23</v>
      </c>
      <c r="BP27" s="441">
        <f t="shared" si="18"/>
        <v>23.208637051299682</v>
      </c>
      <c r="BQ27" s="469">
        <f t="shared" ref="BQ27:BQ90" si="176">BQ26+BP27</f>
        <v>286.71091801523767</v>
      </c>
      <c r="BR27" s="58">
        <f t="shared" si="19"/>
        <v>185</v>
      </c>
      <c r="BS27" s="131"/>
      <c r="BT27" s="41">
        <f t="shared" si="146"/>
        <v>185</v>
      </c>
      <c r="BU27" s="18">
        <f t="shared" si="20"/>
        <v>77</v>
      </c>
      <c r="BV27" s="131"/>
      <c r="BW27" s="41">
        <f t="shared" si="105"/>
        <v>77</v>
      </c>
      <c r="BX27" s="787"/>
      <c r="BY27" s="394">
        <f>BY26+1</f>
        <v>29</v>
      </c>
      <c r="BZ27" s="785">
        <v>3</v>
      </c>
      <c r="CA27" s="498"/>
      <c r="CB27" s="823">
        <f t="shared" si="147"/>
        <v>0</v>
      </c>
      <c r="CC27" s="446">
        <f t="shared" si="135"/>
        <v>0</v>
      </c>
      <c r="CD27" s="819"/>
      <c r="CE27" s="820"/>
      <c r="CF27" s="820"/>
      <c r="CG27" s="16">
        <f t="shared" si="113"/>
        <v>0</v>
      </c>
      <c r="CH27" s="16">
        <f t="shared" si="172"/>
        <v>0</v>
      </c>
      <c r="CI27" s="16">
        <f t="shared" si="22"/>
        <v>0.5</v>
      </c>
      <c r="CJ27" s="153">
        <f t="shared" si="114"/>
        <v>0</v>
      </c>
      <c r="CK27" s="154">
        <f t="shared" si="23"/>
        <v>1.9</v>
      </c>
      <c r="CL27" s="132">
        <f t="shared" si="52"/>
        <v>0</v>
      </c>
      <c r="CM27" s="158"/>
      <c r="CN27" s="11">
        <f t="shared" si="24"/>
        <v>23</v>
      </c>
      <c r="CO27" s="441">
        <f t="shared" si="25"/>
        <v>0</v>
      </c>
      <c r="CP27" s="469">
        <f t="shared" ref="CP27:CP90" si="177">CP26+CO27</f>
        <v>0</v>
      </c>
      <c r="CQ27" s="58">
        <f t="shared" si="26"/>
        <v>185</v>
      </c>
      <c r="CR27" s="131"/>
      <c r="CS27" s="41">
        <f t="shared" si="148"/>
        <v>185</v>
      </c>
      <c r="CT27" s="18">
        <f t="shared" si="27"/>
        <v>77</v>
      </c>
      <c r="CU27" s="131"/>
      <c r="CV27" s="41">
        <f t="shared" si="106"/>
        <v>77</v>
      </c>
      <c r="CW27" s="833"/>
      <c r="CX27" s="394">
        <f>CX26+1</f>
        <v>29</v>
      </c>
      <c r="CY27" s="785">
        <v>3</v>
      </c>
      <c r="CZ27" s="498"/>
      <c r="DA27" s="823">
        <f t="shared" si="149"/>
        <v>0</v>
      </c>
      <c r="DB27" s="446">
        <f t="shared" si="139"/>
        <v>0</v>
      </c>
      <c r="DC27" s="838"/>
      <c r="DD27" s="839"/>
      <c r="DE27" s="839"/>
      <c r="DF27" s="413">
        <f t="shared" si="115"/>
        <v>0</v>
      </c>
      <c r="DG27" s="413">
        <f t="shared" si="174"/>
        <v>0</v>
      </c>
      <c r="DH27" s="413">
        <f t="shared" si="29"/>
        <v>0.5</v>
      </c>
      <c r="DI27" s="840">
        <f t="shared" si="116"/>
        <v>0</v>
      </c>
      <c r="DJ27" s="418">
        <f t="shared" si="30"/>
        <v>1.9</v>
      </c>
      <c r="DK27" s="602">
        <f t="shared" si="58"/>
        <v>0</v>
      </c>
      <c r="DL27" s="640"/>
      <c r="DM27" s="379">
        <f t="shared" si="31"/>
        <v>23</v>
      </c>
      <c r="DN27" s="841">
        <f t="shared" si="32"/>
        <v>0</v>
      </c>
      <c r="DO27" s="472">
        <f t="shared" ref="DO27:DO90" si="178">DO26+DN27</f>
        <v>0</v>
      </c>
      <c r="DP27" s="386">
        <f t="shared" si="33"/>
        <v>185</v>
      </c>
      <c r="DQ27" s="399"/>
      <c r="DR27" s="402">
        <f t="shared" si="150"/>
        <v>185</v>
      </c>
      <c r="DS27" s="414">
        <f t="shared" si="34"/>
        <v>77</v>
      </c>
      <c r="DT27" s="399"/>
      <c r="DU27" s="402">
        <f t="shared" si="107"/>
        <v>77</v>
      </c>
    </row>
    <row r="28" spans="1:125" x14ac:dyDescent="0.25">
      <c r="A28" s="787"/>
      <c r="B28" s="403">
        <f>B27+1</f>
        <v>30</v>
      </c>
      <c r="C28" s="571">
        <f>C27</f>
        <v>3</v>
      </c>
      <c r="D28" s="496"/>
      <c r="E28" s="408">
        <f t="shared" si="103"/>
        <v>172018</v>
      </c>
      <c r="F28" s="562">
        <f t="shared" si="0"/>
        <v>171956</v>
      </c>
      <c r="G28" s="134"/>
      <c r="H28" s="135">
        <v>62</v>
      </c>
      <c r="I28" s="135"/>
      <c r="J28" s="14">
        <f t="shared" si="108"/>
        <v>62</v>
      </c>
      <c r="K28" s="14">
        <f t="shared" si="35"/>
        <v>4875</v>
      </c>
      <c r="L28" s="14">
        <f t="shared" si="1"/>
        <v>0.5</v>
      </c>
      <c r="M28" s="47">
        <f t="shared" si="65"/>
        <v>3.6042739713285817E-2</v>
      </c>
      <c r="N28" s="35">
        <f t="shared" si="36"/>
        <v>1.9</v>
      </c>
      <c r="O28" s="159">
        <f t="shared" si="142"/>
        <v>2.7568695534154077</v>
      </c>
      <c r="P28" s="142">
        <v>2862</v>
      </c>
      <c r="Q28" s="14">
        <f t="shared" si="3"/>
        <v>23</v>
      </c>
      <c r="R28" s="442">
        <f t="shared" si="123"/>
        <v>16.637793719261936</v>
      </c>
      <c r="S28" s="470">
        <f t="shared" si="37"/>
        <v>328.79467076367098</v>
      </c>
      <c r="T28" s="51">
        <f t="shared" si="5"/>
        <v>185</v>
      </c>
      <c r="U28" s="112">
        <f>U27</f>
        <v>178</v>
      </c>
      <c r="V28" s="71">
        <f t="shared" si="38"/>
        <v>7</v>
      </c>
      <c r="W28" s="50">
        <f t="shared" si="6"/>
        <v>77</v>
      </c>
      <c r="X28" s="112">
        <f>X27</f>
        <v>67</v>
      </c>
      <c r="Y28" s="71">
        <f t="shared" si="39"/>
        <v>10</v>
      </c>
      <c r="Z28" s="487"/>
      <c r="AA28" s="403">
        <f>AA27+1</f>
        <v>30</v>
      </c>
      <c r="AB28" s="571">
        <f>AB27</f>
        <v>3</v>
      </c>
      <c r="AC28" s="496"/>
      <c r="AD28" s="408">
        <f t="shared" si="143"/>
        <v>0</v>
      </c>
      <c r="AE28" s="562">
        <f t="shared" si="127"/>
        <v>0</v>
      </c>
      <c r="AF28" s="134"/>
      <c r="AG28" s="135"/>
      <c r="AH28" s="135"/>
      <c r="AI28" s="14">
        <f t="shared" si="109"/>
        <v>0</v>
      </c>
      <c r="AJ28" s="14">
        <f t="shared" si="168"/>
        <v>0</v>
      </c>
      <c r="AK28" s="14">
        <f t="shared" si="8"/>
        <v>0.5</v>
      </c>
      <c r="AL28" s="47">
        <f t="shared" si="110"/>
        <v>0</v>
      </c>
      <c r="AM28" s="35">
        <f t="shared" si="9"/>
        <v>1.9</v>
      </c>
      <c r="AN28" s="159">
        <f t="shared" si="41"/>
        <v>0</v>
      </c>
      <c r="AO28" s="142"/>
      <c r="AP28" s="14">
        <f t="shared" si="10"/>
        <v>23</v>
      </c>
      <c r="AQ28" s="442">
        <f t="shared" si="11"/>
        <v>0</v>
      </c>
      <c r="AR28" s="470">
        <f t="shared" si="175"/>
        <v>0</v>
      </c>
      <c r="AS28" s="51">
        <f t="shared" si="12"/>
        <v>185</v>
      </c>
      <c r="AT28" s="112">
        <f>AT27</f>
        <v>0</v>
      </c>
      <c r="AU28" s="71">
        <f t="shared" si="144"/>
        <v>185</v>
      </c>
      <c r="AV28" s="50">
        <f t="shared" si="13"/>
        <v>77</v>
      </c>
      <c r="AW28" s="112">
        <f>AW27</f>
        <v>0</v>
      </c>
      <c r="AX28" s="71">
        <f t="shared" si="104"/>
        <v>77</v>
      </c>
      <c r="AY28" s="787"/>
      <c r="AZ28" s="403">
        <f>AZ27+1</f>
        <v>30</v>
      </c>
      <c r="BA28" s="571">
        <f>BA27</f>
        <v>3</v>
      </c>
      <c r="BB28" s="496"/>
      <c r="BC28" s="408">
        <f t="shared" si="145"/>
        <v>116240</v>
      </c>
      <c r="BD28" s="562">
        <f t="shared" si="131"/>
        <v>116143</v>
      </c>
      <c r="BE28" s="134"/>
      <c r="BF28" s="135">
        <v>97</v>
      </c>
      <c r="BG28" s="135"/>
      <c r="BH28" s="14">
        <f t="shared" si="111"/>
        <v>97</v>
      </c>
      <c r="BI28" s="14">
        <f t="shared" si="170"/>
        <v>3926</v>
      </c>
      <c r="BJ28" s="14">
        <f t="shared" si="15"/>
        <v>0.5</v>
      </c>
      <c r="BK28" s="47">
        <f t="shared" si="112"/>
        <v>8.3448038540949759E-2</v>
      </c>
      <c r="BL28" s="35">
        <f t="shared" si="16"/>
        <v>1.9</v>
      </c>
      <c r="BM28" s="157">
        <f t="shared" si="89"/>
        <v>3.2697865394065078</v>
      </c>
      <c r="BN28" s="142">
        <v>3240</v>
      </c>
      <c r="BO28" s="14">
        <f t="shared" si="17"/>
        <v>23</v>
      </c>
      <c r="BP28" s="442">
        <f t="shared" si="18"/>
        <v>27.873365450791468</v>
      </c>
      <c r="BQ28" s="470">
        <f t="shared" si="176"/>
        <v>314.58428346602915</v>
      </c>
      <c r="BR28" s="51">
        <f t="shared" si="19"/>
        <v>185</v>
      </c>
      <c r="BS28" s="112">
        <f>BS27</f>
        <v>0</v>
      </c>
      <c r="BT28" s="71">
        <f t="shared" si="146"/>
        <v>185</v>
      </c>
      <c r="BU28" s="50">
        <f t="shared" si="20"/>
        <v>77</v>
      </c>
      <c r="BV28" s="112">
        <f>BV27</f>
        <v>0</v>
      </c>
      <c r="BW28" s="71">
        <f t="shared" si="105"/>
        <v>77</v>
      </c>
      <c r="BX28" s="787"/>
      <c r="BY28" s="403">
        <f>BY27+1</f>
        <v>30</v>
      </c>
      <c r="BZ28" s="571">
        <f>BZ27</f>
        <v>3</v>
      </c>
      <c r="CA28" s="496"/>
      <c r="CB28" s="408">
        <f t="shared" si="147"/>
        <v>0</v>
      </c>
      <c r="CC28" s="562">
        <f t="shared" si="135"/>
        <v>0</v>
      </c>
      <c r="CD28" s="134"/>
      <c r="CE28" s="135"/>
      <c r="CF28" s="135"/>
      <c r="CG28" s="14">
        <f t="shared" si="113"/>
        <v>0</v>
      </c>
      <c r="CH28" s="14">
        <f t="shared" si="172"/>
        <v>0</v>
      </c>
      <c r="CI28" s="14">
        <f t="shared" si="22"/>
        <v>0.5</v>
      </c>
      <c r="CJ28" s="47">
        <f t="shared" si="114"/>
        <v>0</v>
      </c>
      <c r="CK28" s="35">
        <f t="shared" si="23"/>
        <v>1.9</v>
      </c>
      <c r="CL28" s="159">
        <f t="shared" si="52"/>
        <v>0</v>
      </c>
      <c r="CM28" s="142"/>
      <c r="CN28" s="14">
        <f t="shared" si="24"/>
        <v>23</v>
      </c>
      <c r="CO28" s="442">
        <f t="shared" si="25"/>
        <v>0</v>
      </c>
      <c r="CP28" s="470">
        <f t="shared" si="177"/>
        <v>0</v>
      </c>
      <c r="CQ28" s="51">
        <f t="shared" si="26"/>
        <v>185</v>
      </c>
      <c r="CR28" s="112">
        <f>CR27</f>
        <v>0</v>
      </c>
      <c r="CS28" s="71">
        <f t="shared" si="148"/>
        <v>185</v>
      </c>
      <c r="CT28" s="50">
        <f t="shared" si="27"/>
        <v>77</v>
      </c>
      <c r="CU28" s="112">
        <f>CU27</f>
        <v>0</v>
      </c>
      <c r="CV28" s="71">
        <f t="shared" si="106"/>
        <v>77</v>
      </c>
      <c r="CW28" s="787"/>
      <c r="CX28" s="403">
        <f>CX27+1</f>
        <v>30</v>
      </c>
      <c r="CY28" s="571">
        <f>CY27</f>
        <v>3</v>
      </c>
      <c r="CZ28" s="496"/>
      <c r="DA28" s="408">
        <f t="shared" si="149"/>
        <v>0</v>
      </c>
      <c r="DB28" s="562">
        <f t="shared" si="139"/>
        <v>0</v>
      </c>
      <c r="DC28" s="134"/>
      <c r="DD28" s="135"/>
      <c r="DE28" s="135"/>
      <c r="DF28" s="14">
        <f t="shared" si="115"/>
        <v>0</v>
      </c>
      <c r="DG28" s="14">
        <f t="shared" si="174"/>
        <v>0</v>
      </c>
      <c r="DH28" s="14">
        <f t="shared" si="29"/>
        <v>0.5</v>
      </c>
      <c r="DI28" s="47">
        <f t="shared" si="116"/>
        <v>0</v>
      </c>
      <c r="DJ28" s="35">
        <f t="shared" si="30"/>
        <v>1.9</v>
      </c>
      <c r="DK28" s="159">
        <f t="shared" si="58"/>
        <v>0</v>
      </c>
      <c r="DL28" s="142"/>
      <c r="DM28" s="14">
        <f t="shared" si="31"/>
        <v>23</v>
      </c>
      <c r="DN28" s="442">
        <f t="shared" si="32"/>
        <v>0</v>
      </c>
      <c r="DO28" s="470">
        <f t="shared" si="178"/>
        <v>0</v>
      </c>
      <c r="DP28" s="51">
        <f t="shared" si="33"/>
        <v>185</v>
      </c>
      <c r="DQ28" s="112">
        <f>DQ27</f>
        <v>0</v>
      </c>
      <c r="DR28" s="71">
        <f t="shared" si="150"/>
        <v>185</v>
      </c>
      <c r="DS28" s="50">
        <f t="shared" si="34"/>
        <v>77</v>
      </c>
      <c r="DT28" s="112">
        <f>DT27</f>
        <v>0</v>
      </c>
      <c r="DU28" s="71">
        <f t="shared" si="107"/>
        <v>77</v>
      </c>
    </row>
    <row r="29" spans="1:125" ht="20.25" x14ac:dyDescent="0.25">
      <c r="A29" s="816" t="s">
        <v>83</v>
      </c>
      <c r="B29" s="502">
        <v>1</v>
      </c>
      <c r="C29" s="577">
        <f t="shared" ref="C29:C33" si="179">C28</f>
        <v>3</v>
      </c>
      <c r="D29" s="528"/>
      <c r="E29" s="564">
        <f t="shared" si="103"/>
        <v>171956</v>
      </c>
      <c r="F29" s="582">
        <f t="shared" si="0"/>
        <v>171956</v>
      </c>
      <c r="G29" s="519"/>
      <c r="H29" s="520"/>
      <c r="I29" s="520"/>
      <c r="J29" s="521">
        <f t="shared" si="108"/>
        <v>0</v>
      </c>
      <c r="K29" s="521">
        <f t="shared" si="35"/>
        <v>4875</v>
      </c>
      <c r="L29" s="521">
        <f t="shared" si="1"/>
        <v>0.5</v>
      </c>
      <c r="M29" s="529">
        <f t="shared" si="65"/>
        <v>0</v>
      </c>
      <c r="N29" s="522">
        <f t="shared" si="36"/>
        <v>1.9</v>
      </c>
      <c r="O29" s="817">
        <f t="shared" si="142"/>
        <v>2.7568695534154077</v>
      </c>
      <c r="P29" s="578"/>
      <c r="Q29" s="521">
        <f t="shared" si="3"/>
        <v>23</v>
      </c>
      <c r="R29" s="537">
        <f t="shared" si="123"/>
        <v>0</v>
      </c>
      <c r="S29" s="524">
        <f t="shared" si="37"/>
        <v>328.79467076367098</v>
      </c>
      <c r="T29" s="525">
        <f t="shared" si="5"/>
        <v>185</v>
      </c>
      <c r="U29" s="834">
        <f t="shared" ref="U29:U33" si="180">U28</f>
        <v>178</v>
      </c>
      <c r="V29" s="526">
        <f t="shared" si="38"/>
        <v>7</v>
      </c>
      <c r="W29" s="513">
        <f t="shared" si="6"/>
        <v>77</v>
      </c>
      <c r="X29" s="834">
        <f t="shared" ref="X29:X33" si="181">X28</f>
        <v>67</v>
      </c>
      <c r="Y29" s="526">
        <f t="shared" si="39"/>
        <v>10</v>
      </c>
      <c r="Z29" s="816" t="s">
        <v>83</v>
      </c>
      <c r="AA29" s="502">
        <v>1</v>
      </c>
      <c r="AB29" s="577">
        <f t="shared" ref="AB29:AB33" si="182">AB28</f>
        <v>3</v>
      </c>
      <c r="AC29" s="528"/>
      <c r="AD29" s="564">
        <f t="shared" si="143"/>
        <v>0</v>
      </c>
      <c r="AE29" s="582">
        <f t="shared" si="127"/>
        <v>0</v>
      </c>
      <c r="AF29" s="519"/>
      <c r="AG29" s="520"/>
      <c r="AH29" s="520"/>
      <c r="AI29" s="521">
        <f t="shared" si="109"/>
        <v>0</v>
      </c>
      <c r="AJ29" s="521">
        <f t="shared" si="168"/>
        <v>0</v>
      </c>
      <c r="AK29" s="521">
        <f t="shared" si="8"/>
        <v>0.5</v>
      </c>
      <c r="AL29" s="529">
        <f t="shared" si="110"/>
        <v>0</v>
      </c>
      <c r="AM29" s="522">
        <f t="shared" si="9"/>
        <v>1.9</v>
      </c>
      <c r="AN29" s="817">
        <f t="shared" si="41"/>
        <v>0</v>
      </c>
      <c r="AO29" s="578"/>
      <c r="AP29" s="521">
        <f t="shared" si="10"/>
        <v>23</v>
      </c>
      <c r="AQ29" s="537">
        <f t="shared" si="11"/>
        <v>0</v>
      </c>
      <c r="AR29" s="524">
        <f t="shared" si="175"/>
        <v>0</v>
      </c>
      <c r="AS29" s="525">
        <f t="shared" si="12"/>
        <v>185</v>
      </c>
      <c r="AT29" s="834">
        <f t="shared" ref="AT29:AT33" si="183">AT28</f>
        <v>0</v>
      </c>
      <c r="AU29" s="526">
        <f t="shared" si="144"/>
        <v>185</v>
      </c>
      <c r="AV29" s="513">
        <f t="shared" si="13"/>
        <v>77</v>
      </c>
      <c r="AW29" s="834">
        <f t="shared" ref="AW29:AW33" si="184">AW28</f>
        <v>0</v>
      </c>
      <c r="AX29" s="526">
        <f t="shared" si="104"/>
        <v>77</v>
      </c>
      <c r="AY29" s="816" t="s">
        <v>83</v>
      </c>
      <c r="AZ29" s="502">
        <v>1</v>
      </c>
      <c r="BA29" s="577">
        <f t="shared" ref="BA29:BA33" si="185">BA28</f>
        <v>3</v>
      </c>
      <c r="BB29" s="528"/>
      <c r="BC29" s="564">
        <f t="shared" si="145"/>
        <v>116143</v>
      </c>
      <c r="BD29" s="582">
        <f t="shared" si="131"/>
        <v>116143</v>
      </c>
      <c r="BE29" s="519"/>
      <c r="BF29" s="520"/>
      <c r="BG29" s="520"/>
      <c r="BH29" s="521">
        <f t="shared" si="111"/>
        <v>0</v>
      </c>
      <c r="BI29" s="521">
        <f t="shared" si="170"/>
        <v>3926</v>
      </c>
      <c r="BJ29" s="521">
        <f t="shared" si="15"/>
        <v>0.5</v>
      </c>
      <c r="BK29" s="529">
        <f t="shared" si="112"/>
        <v>0</v>
      </c>
      <c r="BL29" s="522">
        <f t="shared" si="16"/>
        <v>1.9</v>
      </c>
      <c r="BM29" s="817">
        <f t="shared" si="89"/>
        <v>3.2697865394065078</v>
      </c>
      <c r="BN29" s="578"/>
      <c r="BO29" s="521">
        <f t="shared" si="17"/>
        <v>23</v>
      </c>
      <c r="BP29" s="537">
        <f t="shared" si="18"/>
        <v>0</v>
      </c>
      <c r="BQ29" s="524">
        <f t="shared" si="176"/>
        <v>314.58428346602915</v>
      </c>
      <c r="BR29" s="525">
        <f t="shared" si="19"/>
        <v>185</v>
      </c>
      <c r="BS29" s="834">
        <f t="shared" ref="BS29:BS33" si="186">BS28</f>
        <v>0</v>
      </c>
      <c r="BT29" s="526">
        <f t="shared" si="146"/>
        <v>185</v>
      </c>
      <c r="BU29" s="513">
        <f t="shared" si="20"/>
        <v>77</v>
      </c>
      <c r="BV29" s="834">
        <f t="shared" ref="BV29:BV33" si="187">BV28</f>
        <v>0</v>
      </c>
      <c r="BW29" s="526">
        <f t="shared" si="105"/>
        <v>77</v>
      </c>
      <c r="BX29" s="816" t="s">
        <v>83</v>
      </c>
      <c r="BY29" s="502">
        <v>1</v>
      </c>
      <c r="BZ29" s="577">
        <f t="shared" ref="BZ29:BZ33" si="188">BZ28</f>
        <v>3</v>
      </c>
      <c r="CA29" s="528"/>
      <c r="CB29" s="564">
        <f t="shared" si="147"/>
        <v>0</v>
      </c>
      <c r="CC29" s="582">
        <f t="shared" si="135"/>
        <v>0</v>
      </c>
      <c r="CD29" s="519"/>
      <c r="CE29" s="520"/>
      <c r="CF29" s="520"/>
      <c r="CG29" s="521">
        <f t="shared" si="113"/>
        <v>0</v>
      </c>
      <c r="CH29" s="521">
        <f t="shared" si="172"/>
        <v>0</v>
      </c>
      <c r="CI29" s="521">
        <f t="shared" si="22"/>
        <v>0.5</v>
      </c>
      <c r="CJ29" s="529">
        <f t="shared" si="114"/>
        <v>0</v>
      </c>
      <c r="CK29" s="522">
        <f t="shared" si="23"/>
        <v>1.9</v>
      </c>
      <c r="CL29" s="817">
        <f t="shared" si="52"/>
        <v>0</v>
      </c>
      <c r="CM29" s="578"/>
      <c r="CN29" s="521">
        <f t="shared" si="24"/>
        <v>23</v>
      </c>
      <c r="CO29" s="537">
        <f t="shared" si="25"/>
        <v>0</v>
      </c>
      <c r="CP29" s="524">
        <f t="shared" si="177"/>
        <v>0</v>
      </c>
      <c r="CQ29" s="525">
        <f t="shared" si="26"/>
        <v>185</v>
      </c>
      <c r="CR29" s="834">
        <f t="shared" ref="CR29:CR33" si="189">CR28</f>
        <v>0</v>
      </c>
      <c r="CS29" s="526">
        <f t="shared" si="148"/>
        <v>185</v>
      </c>
      <c r="CT29" s="513">
        <f t="shared" si="27"/>
        <v>77</v>
      </c>
      <c r="CU29" s="834">
        <f t="shared" ref="CU29:CU33" si="190">CU28</f>
        <v>0</v>
      </c>
      <c r="CV29" s="526">
        <f t="shared" si="106"/>
        <v>77</v>
      </c>
      <c r="CW29" s="816" t="s">
        <v>83</v>
      </c>
      <c r="CX29" s="502">
        <v>1</v>
      </c>
      <c r="CY29" s="577">
        <f t="shared" ref="CY29:CY33" si="191">CY28</f>
        <v>3</v>
      </c>
      <c r="CZ29" s="528"/>
      <c r="DA29" s="564">
        <f t="shared" si="149"/>
        <v>0</v>
      </c>
      <c r="DB29" s="582">
        <f t="shared" si="139"/>
        <v>0</v>
      </c>
      <c r="DC29" s="519"/>
      <c r="DD29" s="520"/>
      <c r="DE29" s="520"/>
      <c r="DF29" s="521">
        <f t="shared" si="115"/>
        <v>0</v>
      </c>
      <c r="DG29" s="521">
        <f t="shared" si="174"/>
        <v>0</v>
      </c>
      <c r="DH29" s="521">
        <f t="shared" si="29"/>
        <v>0.5</v>
      </c>
      <c r="DI29" s="529">
        <f t="shared" si="116"/>
        <v>0</v>
      </c>
      <c r="DJ29" s="522">
        <f t="shared" si="30"/>
        <v>1.9</v>
      </c>
      <c r="DK29" s="817">
        <f t="shared" si="58"/>
        <v>0</v>
      </c>
      <c r="DL29" s="578"/>
      <c r="DM29" s="521">
        <f t="shared" si="31"/>
        <v>23</v>
      </c>
      <c r="DN29" s="537">
        <f t="shared" si="32"/>
        <v>0</v>
      </c>
      <c r="DO29" s="524">
        <f t="shared" si="178"/>
        <v>0</v>
      </c>
      <c r="DP29" s="525">
        <f t="shared" si="33"/>
        <v>185</v>
      </c>
      <c r="DQ29" s="834">
        <f t="shared" ref="DQ29:DQ33" si="192">DQ28</f>
        <v>0</v>
      </c>
      <c r="DR29" s="526">
        <f t="shared" si="150"/>
        <v>185</v>
      </c>
      <c r="DS29" s="513">
        <f t="shared" si="34"/>
        <v>77</v>
      </c>
      <c r="DT29" s="834">
        <f t="shared" ref="DT29:DT33" si="193">DT28</f>
        <v>0</v>
      </c>
      <c r="DU29" s="526">
        <f t="shared" si="107"/>
        <v>77</v>
      </c>
    </row>
    <row r="30" spans="1:125" x14ac:dyDescent="0.25">
      <c r="A30" s="362"/>
      <c r="B30" s="403">
        <f t="shared" ref="B30:B33" si="194">B29+1</f>
        <v>2</v>
      </c>
      <c r="C30" s="571">
        <f t="shared" si="179"/>
        <v>3</v>
      </c>
      <c r="D30" s="496"/>
      <c r="E30" s="408">
        <f t="shared" si="103"/>
        <v>171956</v>
      </c>
      <c r="F30" s="562">
        <f t="shared" si="0"/>
        <v>171956</v>
      </c>
      <c r="G30" s="134"/>
      <c r="H30" s="135"/>
      <c r="I30" s="135"/>
      <c r="J30" s="14">
        <f t="shared" si="108"/>
        <v>0</v>
      </c>
      <c r="K30" s="14">
        <f t="shared" si="35"/>
        <v>4875</v>
      </c>
      <c r="L30" s="14">
        <f t="shared" si="1"/>
        <v>0.5</v>
      </c>
      <c r="M30" s="47">
        <f t="shared" si="65"/>
        <v>0</v>
      </c>
      <c r="N30" s="35">
        <f t="shared" si="36"/>
        <v>1.9</v>
      </c>
      <c r="O30" s="159">
        <f t="shared" si="142"/>
        <v>2.7568695534154077</v>
      </c>
      <c r="P30" s="142"/>
      <c r="Q30" s="14">
        <f t="shared" si="3"/>
        <v>23</v>
      </c>
      <c r="R30" s="442">
        <f t="shared" si="123"/>
        <v>0</v>
      </c>
      <c r="S30" s="470">
        <f t="shared" si="37"/>
        <v>328.79467076367098</v>
      </c>
      <c r="T30" s="51">
        <f t="shared" si="5"/>
        <v>185</v>
      </c>
      <c r="U30" s="112">
        <f t="shared" si="180"/>
        <v>178</v>
      </c>
      <c r="V30" s="46">
        <f t="shared" si="38"/>
        <v>7</v>
      </c>
      <c r="W30" s="50">
        <f t="shared" si="6"/>
        <v>77</v>
      </c>
      <c r="X30" s="112">
        <f t="shared" si="181"/>
        <v>67</v>
      </c>
      <c r="Y30" s="46">
        <f t="shared" si="39"/>
        <v>10</v>
      </c>
      <c r="Z30" s="487"/>
      <c r="AA30" s="403">
        <f t="shared" ref="AA30:AA33" si="195">AA29+1</f>
        <v>2</v>
      </c>
      <c r="AB30" s="571">
        <f t="shared" si="182"/>
        <v>3</v>
      </c>
      <c r="AC30" s="496"/>
      <c r="AD30" s="408">
        <f t="shared" si="143"/>
        <v>0</v>
      </c>
      <c r="AE30" s="562">
        <f t="shared" si="127"/>
        <v>0</v>
      </c>
      <c r="AF30" s="134"/>
      <c r="AG30" s="135"/>
      <c r="AH30" s="135"/>
      <c r="AI30" s="14">
        <f t="shared" si="109"/>
        <v>0</v>
      </c>
      <c r="AJ30" s="14">
        <f t="shared" si="168"/>
        <v>0</v>
      </c>
      <c r="AK30" s="14">
        <f t="shared" si="8"/>
        <v>0.5</v>
      </c>
      <c r="AL30" s="47">
        <f t="shared" si="110"/>
        <v>0</v>
      </c>
      <c r="AM30" s="35">
        <f t="shared" si="9"/>
        <v>1.9</v>
      </c>
      <c r="AN30" s="159">
        <f t="shared" si="41"/>
        <v>0</v>
      </c>
      <c r="AO30" s="142"/>
      <c r="AP30" s="14">
        <f t="shared" si="10"/>
        <v>23</v>
      </c>
      <c r="AQ30" s="442">
        <f t="shared" si="11"/>
        <v>0</v>
      </c>
      <c r="AR30" s="470">
        <f t="shared" si="175"/>
        <v>0</v>
      </c>
      <c r="AS30" s="51">
        <f t="shared" si="12"/>
        <v>185</v>
      </c>
      <c r="AT30" s="112">
        <f t="shared" si="183"/>
        <v>0</v>
      </c>
      <c r="AU30" s="46">
        <f t="shared" si="144"/>
        <v>185</v>
      </c>
      <c r="AV30" s="50">
        <f t="shared" si="13"/>
        <v>77</v>
      </c>
      <c r="AW30" s="112">
        <f t="shared" si="184"/>
        <v>0</v>
      </c>
      <c r="AX30" s="46">
        <f t="shared" si="104"/>
        <v>77</v>
      </c>
      <c r="AY30" s="362"/>
      <c r="AZ30" s="403">
        <f t="shared" ref="AZ30:AZ33" si="196">AZ29+1</f>
        <v>2</v>
      </c>
      <c r="BA30" s="571">
        <f t="shared" si="185"/>
        <v>3</v>
      </c>
      <c r="BB30" s="496"/>
      <c r="BC30" s="408">
        <f t="shared" si="145"/>
        <v>116143</v>
      </c>
      <c r="BD30" s="562">
        <f t="shared" si="131"/>
        <v>116143</v>
      </c>
      <c r="BE30" s="134"/>
      <c r="BF30" s="135"/>
      <c r="BG30" s="135"/>
      <c r="BH30" s="14">
        <f t="shared" si="111"/>
        <v>0</v>
      </c>
      <c r="BI30" s="14">
        <f t="shared" si="170"/>
        <v>3926</v>
      </c>
      <c r="BJ30" s="14">
        <f t="shared" si="15"/>
        <v>0.5</v>
      </c>
      <c r="BK30" s="47">
        <f t="shared" si="112"/>
        <v>0</v>
      </c>
      <c r="BL30" s="35">
        <f t="shared" si="16"/>
        <v>1.9</v>
      </c>
      <c r="BM30" s="159">
        <f t="shared" si="89"/>
        <v>3.2697865394065078</v>
      </c>
      <c r="BN30" s="142"/>
      <c r="BO30" s="14">
        <f t="shared" si="17"/>
        <v>23</v>
      </c>
      <c r="BP30" s="442">
        <f t="shared" si="18"/>
        <v>0</v>
      </c>
      <c r="BQ30" s="470">
        <f t="shared" si="176"/>
        <v>314.58428346602915</v>
      </c>
      <c r="BR30" s="51">
        <f t="shared" si="19"/>
        <v>185</v>
      </c>
      <c r="BS30" s="112">
        <f t="shared" si="186"/>
        <v>0</v>
      </c>
      <c r="BT30" s="46">
        <f t="shared" si="146"/>
        <v>185</v>
      </c>
      <c r="BU30" s="50">
        <f t="shared" si="20"/>
        <v>77</v>
      </c>
      <c r="BV30" s="112">
        <f t="shared" si="187"/>
        <v>0</v>
      </c>
      <c r="BW30" s="46">
        <f t="shared" si="105"/>
        <v>77</v>
      </c>
      <c r="BX30" s="362"/>
      <c r="BY30" s="403">
        <f t="shared" ref="BY30:BY33" si="197">BY29+1</f>
        <v>2</v>
      </c>
      <c r="BZ30" s="571">
        <f t="shared" si="188"/>
        <v>3</v>
      </c>
      <c r="CA30" s="496"/>
      <c r="CB30" s="408">
        <f t="shared" si="147"/>
        <v>0</v>
      </c>
      <c r="CC30" s="562">
        <f t="shared" si="135"/>
        <v>0</v>
      </c>
      <c r="CD30" s="134"/>
      <c r="CE30" s="135"/>
      <c r="CF30" s="135"/>
      <c r="CG30" s="14">
        <f t="shared" si="113"/>
        <v>0</v>
      </c>
      <c r="CH30" s="14">
        <f t="shared" si="172"/>
        <v>0</v>
      </c>
      <c r="CI30" s="14">
        <f t="shared" si="22"/>
        <v>0.5</v>
      </c>
      <c r="CJ30" s="47">
        <f t="shared" si="114"/>
        <v>0</v>
      </c>
      <c r="CK30" s="35">
        <f t="shared" si="23"/>
        <v>1.9</v>
      </c>
      <c r="CL30" s="159">
        <f t="shared" si="52"/>
        <v>0</v>
      </c>
      <c r="CM30" s="142"/>
      <c r="CN30" s="14">
        <f t="shared" si="24"/>
        <v>23</v>
      </c>
      <c r="CO30" s="442">
        <f t="shared" si="25"/>
        <v>0</v>
      </c>
      <c r="CP30" s="470">
        <f t="shared" si="177"/>
        <v>0</v>
      </c>
      <c r="CQ30" s="51">
        <f t="shared" si="26"/>
        <v>185</v>
      </c>
      <c r="CR30" s="112">
        <f t="shared" si="189"/>
        <v>0</v>
      </c>
      <c r="CS30" s="46">
        <f t="shared" si="148"/>
        <v>185</v>
      </c>
      <c r="CT30" s="50">
        <f t="shared" si="27"/>
        <v>77</v>
      </c>
      <c r="CU30" s="112">
        <f t="shared" si="190"/>
        <v>0</v>
      </c>
      <c r="CV30" s="46">
        <f t="shared" si="106"/>
        <v>77</v>
      </c>
      <c r="CW30" s="362"/>
      <c r="CX30" s="403">
        <f t="shared" ref="CX30:CX33" si="198">CX29+1</f>
        <v>2</v>
      </c>
      <c r="CY30" s="571">
        <f t="shared" si="191"/>
        <v>3</v>
      </c>
      <c r="CZ30" s="496"/>
      <c r="DA30" s="408">
        <f t="shared" si="149"/>
        <v>0</v>
      </c>
      <c r="DB30" s="562">
        <f t="shared" si="139"/>
        <v>0</v>
      </c>
      <c r="DC30" s="134"/>
      <c r="DD30" s="135"/>
      <c r="DE30" s="135"/>
      <c r="DF30" s="14">
        <f t="shared" si="115"/>
        <v>0</v>
      </c>
      <c r="DG30" s="14">
        <f t="shared" si="174"/>
        <v>0</v>
      </c>
      <c r="DH30" s="14">
        <f t="shared" si="29"/>
        <v>0.5</v>
      </c>
      <c r="DI30" s="47">
        <f t="shared" si="116"/>
        <v>0</v>
      </c>
      <c r="DJ30" s="35">
        <f t="shared" si="30"/>
        <v>1.9</v>
      </c>
      <c r="DK30" s="159">
        <f t="shared" si="58"/>
        <v>0</v>
      </c>
      <c r="DL30" s="142"/>
      <c r="DM30" s="14">
        <f t="shared" si="31"/>
        <v>23</v>
      </c>
      <c r="DN30" s="442">
        <f t="shared" si="32"/>
        <v>0</v>
      </c>
      <c r="DO30" s="470">
        <f t="shared" si="178"/>
        <v>0</v>
      </c>
      <c r="DP30" s="51">
        <f t="shared" si="33"/>
        <v>185</v>
      </c>
      <c r="DQ30" s="112">
        <f t="shared" si="192"/>
        <v>0</v>
      </c>
      <c r="DR30" s="46">
        <f t="shared" si="150"/>
        <v>185</v>
      </c>
      <c r="DS30" s="50">
        <f t="shared" si="34"/>
        <v>77</v>
      </c>
      <c r="DT30" s="112">
        <f t="shared" si="193"/>
        <v>0</v>
      </c>
      <c r="DU30" s="46">
        <f t="shared" si="107"/>
        <v>77</v>
      </c>
    </row>
    <row r="31" spans="1:125" x14ac:dyDescent="0.25">
      <c r="B31" s="120">
        <f t="shared" si="194"/>
        <v>3</v>
      </c>
      <c r="C31" s="570">
        <f t="shared" si="179"/>
        <v>3</v>
      </c>
      <c r="D31" s="496"/>
      <c r="E31" s="408">
        <f t="shared" si="103"/>
        <v>171956</v>
      </c>
      <c r="F31" s="562">
        <f t="shared" si="0"/>
        <v>171956</v>
      </c>
      <c r="G31" s="134"/>
      <c r="H31" s="135"/>
      <c r="I31" s="135"/>
      <c r="J31" s="14">
        <f t="shared" si="108"/>
        <v>0</v>
      </c>
      <c r="K31" s="14">
        <f t="shared" si="35"/>
        <v>4875</v>
      </c>
      <c r="L31" s="14">
        <f t="shared" si="1"/>
        <v>0.5</v>
      </c>
      <c r="M31" s="47">
        <f t="shared" si="65"/>
        <v>0</v>
      </c>
      <c r="N31" s="35">
        <f t="shared" si="36"/>
        <v>1.9</v>
      </c>
      <c r="O31" s="159">
        <f t="shared" si="142"/>
        <v>2.7568695534154077</v>
      </c>
      <c r="P31" s="142"/>
      <c r="Q31" s="14">
        <f t="shared" si="3"/>
        <v>23</v>
      </c>
      <c r="R31" s="442">
        <f t="shared" si="123"/>
        <v>0</v>
      </c>
      <c r="S31" s="470">
        <f t="shared" si="37"/>
        <v>328.79467076367098</v>
      </c>
      <c r="T31" s="51">
        <f t="shared" si="5"/>
        <v>185</v>
      </c>
      <c r="U31" s="112">
        <f t="shared" si="180"/>
        <v>178</v>
      </c>
      <c r="V31" s="46">
        <f t="shared" si="38"/>
        <v>7</v>
      </c>
      <c r="W31" s="50">
        <f t="shared" si="6"/>
        <v>77</v>
      </c>
      <c r="X31" s="112">
        <f t="shared" si="181"/>
        <v>67</v>
      </c>
      <c r="Y31" s="46">
        <f t="shared" si="39"/>
        <v>10</v>
      </c>
      <c r="Z31" s="487"/>
      <c r="AA31" s="120">
        <f t="shared" si="195"/>
        <v>3</v>
      </c>
      <c r="AB31" s="570">
        <f t="shared" si="182"/>
        <v>3</v>
      </c>
      <c r="AC31" s="496"/>
      <c r="AD31" s="408">
        <f t="shared" si="143"/>
        <v>0</v>
      </c>
      <c r="AE31" s="562">
        <f t="shared" si="127"/>
        <v>0</v>
      </c>
      <c r="AF31" s="134"/>
      <c r="AG31" s="135"/>
      <c r="AH31" s="135"/>
      <c r="AI31" s="14">
        <f t="shared" si="109"/>
        <v>0</v>
      </c>
      <c r="AJ31" s="14">
        <f t="shared" si="168"/>
        <v>0</v>
      </c>
      <c r="AK31" s="14">
        <f t="shared" si="8"/>
        <v>0.5</v>
      </c>
      <c r="AL31" s="47">
        <f t="shared" si="110"/>
        <v>0</v>
      </c>
      <c r="AM31" s="35">
        <f t="shared" si="9"/>
        <v>1.9</v>
      </c>
      <c r="AN31" s="159">
        <f t="shared" si="41"/>
        <v>0</v>
      </c>
      <c r="AO31" s="142"/>
      <c r="AP31" s="14">
        <f t="shared" si="10"/>
        <v>23</v>
      </c>
      <c r="AQ31" s="442">
        <f t="shared" si="11"/>
        <v>0</v>
      </c>
      <c r="AR31" s="470">
        <f t="shared" si="175"/>
        <v>0</v>
      </c>
      <c r="AS31" s="51">
        <f t="shared" si="12"/>
        <v>185</v>
      </c>
      <c r="AT31" s="112">
        <f t="shared" si="183"/>
        <v>0</v>
      </c>
      <c r="AU31" s="46">
        <f t="shared" si="144"/>
        <v>185</v>
      </c>
      <c r="AV31" s="50">
        <f t="shared" si="13"/>
        <v>77</v>
      </c>
      <c r="AW31" s="112">
        <f t="shared" si="184"/>
        <v>0</v>
      </c>
      <c r="AX31" s="46">
        <f t="shared" si="104"/>
        <v>77</v>
      </c>
      <c r="AY31" s="362"/>
      <c r="AZ31" s="120">
        <f t="shared" si="196"/>
        <v>3</v>
      </c>
      <c r="BA31" s="570">
        <f t="shared" si="185"/>
        <v>3</v>
      </c>
      <c r="BB31" s="496"/>
      <c r="BC31" s="408">
        <f t="shared" si="145"/>
        <v>116143</v>
      </c>
      <c r="BD31" s="562">
        <f t="shared" si="131"/>
        <v>116143</v>
      </c>
      <c r="BE31" s="134"/>
      <c r="BF31" s="135"/>
      <c r="BG31" s="135"/>
      <c r="BH31" s="14">
        <f t="shared" si="111"/>
        <v>0</v>
      </c>
      <c r="BI31" s="14">
        <f t="shared" si="170"/>
        <v>3926</v>
      </c>
      <c r="BJ31" s="14">
        <f t="shared" si="15"/>
        <v>0.5</v>
      </c>
      <c r="BK31" s="47">
        <f t="shared" si="112"/>
        <v>0</v>
      </c>
      <c r="BL31" s="35">
        <f t="shared" si="16"/>
        <v>1.9</v>
      </c>
      <c r="BM31" s="159">
        <f t="shared" si="89"/>
        <v>3.2697865394065078</v>
      </c>
      <c r="BN31" s="142"/>
      <c r="BO31" s="14">
        <f t="shared" si="17"/>
        <v>23</v>
      </c>
      <c r="BP31" s="442">
        <f t="shared" si="18"/>
        <v>0</v>
      </c>
      <c r="BQ31" s="470">
        <f t="shared" si="176"/>
        <v>314.58428346602915</v>
      </c>
      <c r="BR31" s="51">
        <f t="shared" si="19"/>
        <v>185</v>
      </c>
      <c r="BS31" s="112">
        <f t="shared" si="186"/>
        <v>0</v>
      </c>
      <c r="BT31" s="46">
        <f t="shared" si="146"/>
        <v>185</v>
      </c>
      <c r="BU31" s="50">
        <f t="shared" si="20"/>
        <v>77</v>
      </c>
      <c r="BV31" s="112">
        <f t="shared" si="187"/>
        <v>0</v>
      </c>
      <c r="BW31" s="46">
        <f t="shared" si="105"/>
        <v>77</v>
      </c>
      <c r="BX31" s="362"/>
      <c r="BY31" s="120">
        <f t="shared" si="197"/>
        <v>3</v>
      </c>
      <c r="BZ31" s="570">
        <f t="shared" si="188"/>
        <v>3</v>
      </c>
      <c r="CA31" s="496"/>
      <c r="CB31" s="408">
        <f t="shared" si="147"/>
        <v>0</v>
      </c>
      <c r="CC31" s="562">
        <f t="shared" si="135"/>
        <v>0</v>
      </c>
      <c r="CD31" s="134"/>
      <c r="CE31" s="135"/>
      <c r="CF31" s="135"/>
      <c r="CG31" s="14">
        <f t="shared" si="113"/>
        <v>0</v>
      </c>
      <c r="CH31" s="14">
        <f t="shared" si="172"/>
        <v>0</v>
      </c>
      <c r="CI31" s="14">
        <f t="shared" si="22"/>
        <v>0.5</v>
      </c>
      <c r="CJ31" s="47">
        <f t="shared" si="114"/>
        <v>0</v>
      </c>
      <c r="CK31" s="35">
        <f t="shared" si="23"/>
        <v>1.9</v>
      </c>
      <c r="CL31" s="159">
        <f t="shared" si="52"/>
        <v>0</v>
      </c>
      <c r="CM31" s="142"/>
      <c r="CN31" s="14">
        <f t="shared" si="24"/>
        <v>23</v>
      </c>
      <c r="CO31" s="442">
        <f t="shared" si="25"/>
        <v>0</v>
      </c>
      <c r="CP31" s="470">
        <f t="shared" si="177"/>
        <v>0</v>
      </c>
      <c r="CQ31" s="51">
        <f t="shared" si="26"/>
        <v>185</v>
      </c>
      <c r="CR31" s="112">
        <f t="shared" si="189"/>
        <v>0</v>
      </c>
      <c r="CS31" s="46">
        <f t="shared" si="148"/>
        <v>185</v>
      </c>
      <c r="CT31" s="50">
        <f t="shared" si="27"/>
        <v>77</v>
      </c>
      <c r="CU31" s="112">
        <f t="shared" si="190"/>
        <v>0</v>
      </c>
      <c r="CV31" s="46">
        <f t="shared" si="106"/>
        <v>77</v>
      </c>
      <c r="CW31" s="362"/>
      <c r="CX31" s="120">
        <f t="shared" si="198"/>
        <v>3</v>
      </c>
      <c r="CY31" s="570">
        <f t="shared" si="191"/>
        <v>3</v>
      </c>
      <c r="CZ31" s="496"/>
      <c r="DA31" s="408">
        <f t="shared" si="149"/>
        <v>0</v>
      </c>
      <c r="DB31" s="562">
        <f t="shared" si="139"/>
        <v>0</v>
      </c>
      <c r="DC31" s="134"/>
      <c r="DD31" s="135"/>
      <c r="DE31" s="135"/>
      <c r="DF31" s="14">
        <f t="shared" si="115"/>
        <v>0</v>
      </c>
      <c r="DG31" s="14">
        <f t="shared" si="174"/>
        <v>0</v>
      </c>
      <c r="DH31" s="14">
        <f t="shared" si="29"/>
        <v>0.5</v>
      </c>
      <c r="DI31" s="47">
        <f t="shared" si="116"/>
        <v>0</v>
      </c>
      <c r="DJ31" s="35">
        <f t="shared" si="30"/>
        <v>1.9</v>
      </c>
      <c r="DK31" s="159">
        <f t="shared" si="58"/>
        <v>0</v>
      </c>
      <c r="DL31" s="142"/>
      <c r="DM31" s="14">
        <f t="shared" si="31"/>
        <v>23</v>
      </c>
      <c r="DN31" s="442">
        <f t="shared" si="32"/>
        <v>0</v>
      </c>
      <c r="DO31" s="470">
        <f t="shared" si="178"/>
        <v>0</v>
      </c>
      <c r="DP31" s="51">
        <f t="shared" si="33"/>
        <v>185</v>
      </c>
      <c r="DQ31" s="112">
        <f t="shared" si="192"/>
        <v>0</v>
      </c>
      <c r="DR31" s="46">
        <f t="shared" si="150"/>
        <v>185</v>
      </c>
      <c r="DS31" s="50">
        <f t="shared" si="34"/>
        <v>77</v>
      </c>
      <c r="DT31" s="112">
        <f t="shared" si="193"/>
        <v>0</v>
      </c>
      <c r="DU31" s="46">
        <f t="shared" si="107"/>
        <v>77</v>
      </c>
    </row>
    <row r="32" spans="1:125" x14ac:dyDescent="0.25">
      <c r="A32" s="517"/>
      <c r="B32" s="403">
        <f t="shared" si="194"/>
        <v>4</v>
      </c>
      <c r="C32" s="571">
        <f t="shared" si="179"/>
        <v>3</v>
      </c>
      <c r="D32" s="496"/>
      <c r="E32" s="408">
        <f t="shared" si="103"/>
        <v>171956</v>
      </c>
      <c r="F32" s="562">
        <f t="shared" si="0"/>
        <v>171956</v>
      </c>
      <c r="G32" s="405"/>
      <c r="H32" s="406"/>
      <c r="I32" s="406"/>
      <c r="J32" s="380">
        <f t="shared" si="108"/>
        <v>0</v>
      </c>
      <c r="K32" s="380">
        <f t="shared" si="35"/>
        <v>4875</v>
      </c>
      <c r="L32" s="380">
        <f t="shared" si="1"/>
        <v>0.5</v>
      </c>
      <c r="M32" s="410">
        <f t="shared" si="65"/>
        <v>0</v>
      </c>
      <c r="N32" s="407">
        <f t="shared" si="36"/>
        <v>1.9</v>
      </c>
      <c r="O32" s="159">
        <f t="shared" si="142"/>
        <v>2.7568695534154077</v>
      </c>
      <c r="P32" s="411"/>
      <c r="Q32" s="380">
        <f t="shared" si="3"/>
        <v>23</v>
      </c>
      <c r="R32" s="536">
        <f t="shared" si="123"/>
        <v>0</v>
      </c>
      <c r="S32" s="474">
        <f t="shared" si="37"/>
        <v>328.79467076367098</v>
      </c>
      <c r="T32" s="182">
        <f t="shared" si="5"/>
        <v>185</v>
      </c>
      <c r="U32" s="431">
        <f t="shared" si="180"/>
        <v>178</v>
      </c>
      <c r="V32" s="206">
        <f t="shared" si="38"/>
        <v>7</v>
      </c>
      <c r="W32" s="385">
        <f t="shared" si="6"/>
        <v>77</v>
      </c>
      <c r="X32" s="431">
        <f t="shared" si="181"/>
        <v>67</v>
      </c>
      <c r="Y32" s="206">
        <f t="shared" si="39"/>
        <v>10</v>
      </c>
      <c r="Z32" s="789"/>
      <c r="AA32" s="403">
        <f t="shared" si="195"/>
        <v>4</v>
      </c>
      <c r="AB32" s="571">
        <f t="shared" si="182"/>
        <v>3</v>
      </c>
      <c r="AC32" s="496"/>
      <c r="AD32" s="408">
        <f t="shared" si="143"/>
        <v>0</v>
      </c>
      <c r="AE32" s="562">
        <f t="shared" si="127"/>
        <v>0</v>
      </c>
      <c r="AF32" s="405"/>
      <c r="AG32" s="406"/>
      <c r="AH32" s="406"/>
      <c r="AI32" s="380">
        <f t="shared" si="109"/>
        <v>0</v>
      </c>
      <c r="AJ32" s="380">
        <f t="shared" si="168"/>
        <v>0</v>
      </c>
      <c r="AK32" s="380">
        <f t="shared" si="8"/>
        <v>0.5</v>
      </c>
      <c r="AL32" s="410">
        <f t="shared" si="110"/>
        <v>0</v>
      </c>
      <c r="AM32" s="407">
        <f t="shared" si="9"/>
        <v>1.9</v>
      </c>
      <c r="AN32" s="159">
        <f t="shared" si="41"/>
        <v>0</v>
      </c>
      <c r="AO32" s="411"/>
      <c r="AP32" s="380">
        <f t="shared" si="10"/>
        <v>23</v>
      </c>
      <c r="AQ32" s="536">
        <f t="shared" si="11"/>
        <v>0</v>
      </c>
      <c r="AR32" s="474">
        <f t="shared" si="175"/>
        <v>0</v>
      </c>
      <c r="AS32" s="182">
        <f t="shared" si="12"/>
        <v>185</v>
      </c>
      <c r="AT32" s="431">
        <f t="shared" si="183"/>
        <v>0</v>
      </c>
      <c r="AU32" s="206">
        <f t="shared" si="144"/>
        <v>185</v>
      </c>
      <c r="AV32" s="385">
        <f t="shared" si="13"/>
        <v>77</v>
      </c>
      <c r="AW32" s="431">
        <f t="shared" si="184"/>
        <v>0</v>
      </c>
      <c r="AX32" s="206">
        <f t="shared" si="104"/>
        <v>77</v>
      </c>
      <c r="AZ32" s="403">
        <f t="shared" si="196"/>
        <v>4</v>
      </c>
      <c r="BA32" s="571">
        <f t="shared" si="185"/>
        <v>3</v>
      </c>
      <c r="BB32" s="496"/>
      <c r="BC32" s="408">
        <f t="shared" si="145"/>
        <v>116143</v>
      </c>
      <c r="BD32" s="562">
        <f t="shared" si="131"/>
        <v>116143</v>
      </c>
      <c r="BE32" s="405"/>
      <c r="BF32" s="406"/>
      <c r="BG32" s="406"/>
      <c r="BH32" s="380">
        <f t="shared" si="111"/>
        <v>0</v>
      </c>
      <c r="BI32" s="380">
        <f t="shared" si="170"/>
        <v>3926</v>
      </c>
      <c r="BJ32" s="380">
        <f t="shared" si="15"/>
        <v>0.5</v>
      </c>
      <c r="BK32" s="410">
        <f t="shared" si="112"/>
        <v>0</v>
      </c>
      <c r="BL32" s="407">
        <f t="shared" si="16"/>
        <v>1.9</v>
      </c>
      <c r="BM32" s="159">
        <f t="shared" si="89"/>
        <v>3.2697865394065078</v>
      </c>
      <c r="BN32" s="411"/>
      <c r="BO32" s="380">
        <f t="shared" si="17"/>
        <v>23</v>
      </c>
      <c r="BP32" s="536">
        <f t="shared" si="18"/>
        <v>0</v>
      </c>
      <c r="BQ32" s="474">
        <f t="shared" si="176"/>
        <v>314.58428346602915</v>
      </c>
      <c r="BR32" s="182">
        <f t="shared" si="19"/>
        <v>185</v>
      </c>
      <c r="BS32" s="431">
        <f t="shared" si="186"/>
        <v>0</v>
      </c>
      <c r="BT32" s="206">
        <f t="shared" si="146"/>
        <v>185</v>
      </c>
      <c r="BU32" s="385">
        <f t="shared" si="20"/>
        <v>77</v>
      </c>
      <c r="BV32" s="431">
        <f t="shared" si="187"/>
        <v>0</v>
      </c>
      <c r="BW32" s="206">
        <f t="shared" si="105"/>
        <v>77</v>
      </c>
      <c r="BY32" s="403">
        <f t="shared" si="197"/>
        <v>4</v>
      </c>
      <c r="BZ32" s="571">
        <f t="shared" si="188"/>
        <v>3</v>
      </c>
      <c r="CA32" s="496"/>
      <c r="CB32" s="408">
        <f t="shared" si="147"/>
        <v>0</v>
      </c>
      <c r="CC32" s="562">
        <f t="shared" si="135"/>
        <v>0</v>
      </c>
      <c r="CD32" s="405"/>
      <c r="CE32" s="406"/>
      <c r="CF32" s="406"/>
      <c r="CG32" s="380">
        <f t="shared" si="113"/>
        <v>0</v>
      </c>
      <c r="CH32" s="380">
        <f t="shared" si="172"/>
        <v>0</v>
      </c>
      <c r="CI32" s="380">
        <f t="shared" si="22"/>
        <v>0.5</v>
      </c>
      <c r="CJ32" s="410">
        <f t="shared" si="114"/>
        <v>0</v>
      </c>
      <c r="CK32" s="407">
        <f t="shared" si="23"/>
        <v>1.9</v>
      </c>
      <c r="CL32" s="159">
        <f t="shared" si="52"/>
        <v>0</v>
      </c>
      <c r="CM32" s="411"/>
      <c r="CN32" s="380">
        <f t="shared" si="24"/>
        <v>23</v>
      </c>
      <c r="CO32" s="536">
        <f t="shared" si="25"/>
        <v>0</v>
      </c>
      <c r="CP32" s="474">
        <f t="shared" si="177"/>
        <v>0</v>
      </c>
      <c r="CQ32" s="182">
        <f t="shared" si="26"/>
        <v>185</v>
      </c>
      <c r="CR32" s="431">
        <f t="shared" si="189"/>
        <v>0</v>
      </c>
      <c r="CS32" s="206">
        <f t="shared" si="148"/>
        <v>185</v>
      </c>
      <c r="CT32" s="385">
        <f t="shared" si="27"/>
        <v>77</v>
      </c>
      <c r="CU32" s="431">
        <f t="shared" si="190"/>
        <v>0</v>
      </c>
      <c r="CV32" s="206">
        <f t="shared" si="106"/>
        <v>77</v>
      </c>
      <c r="CX32" s="403">
        <f t="shared" si="198"/>
        <v>4</v>
      </c>
      <c r="CY32" s="571">
        <f t="shared" si="191"/>
        <v>3</v>
      </c>
      <c r="CZ32" s="496"/>
      <c r="DA32" s="408">
        <f t="shared" si="149"/>
        <v>0</v>
      </c>
      <c r="DB32" s="562">
        <f t="shared" si="139"/>
        <v>0</v>
      </c>
      <c r="DC32" s="405"/>
      <c r="DD32" s="406"/>
      <c r="DE32" s="406"/>
      <c r="DF32" s="380">
        <f t="shared" si="115"/>
        <v>0</v>
      </c>
      <c r="DG32" s="380">
        <f t="shared" si="174"/>
        <v>0</v>
      </c>
      <c r="DH32" s="380">
        <f t="shared" si="29"/>
        <v>0.5</v>
      </c>
      <c r="DI32" s="410">
        <f t="shared" si="116"/>
        <v>0</v>
      </c>
      <c r="DJ32" s="407">
        <f t="shared" si="30"/>
        <v>1.9</v>
      </c>
      <c r="DK32" s="159">
        <f t="shared" si="58"/>
        <v>0</v>
      </c>
      <c r="DL32" s="411"/>
      <c r="DM32" s="380">
        <f t="shared" si="31"/>
        <v>23</v>
      </c>
      <c r="DN32" s="536">
        <f t="shared" si="32"/>
        <v>0</v>
      </c>
      <c r="DO32" s="474">
        <f t="shared" si="178"/>
        <v>0</v>
      </c>
      <c r="DP32" s="182">
        <f t="shared" si="33"/>
        <v>185</v>
      </c>
      <c r="DQ32" s="431">
        <f t="shared" si="192"/>
        <v>0</v>
      </c>
      <c r="DR32" s="206">
        <f t="shared" si="150"/>
        <v>185</v>
      </c>
      <c r="DS32" s="385">
        <f t="shared" si="34"/>
        <v>77</v>
      </c>
      <c r="DT32" s="431">
        <f t="shared" si="193"/>
        <v>0</v>
      </c>
      <c r="DU32" s="206">
        <f t="shared" si="107"/>
        <v>77</v>
      </c>
    </row>
    <row r="33" spans="1:125" ht="17.25" thickBot="1" x14ac:dyDescent="0.3">
      <c r="A33" s="362"/>
      <c r="B33" s="403">
        <f t="shared" si="194"/>
        <v>5</v>
      </c>
      <c r="C33" s="576">
        <f t="shared" si="179"/>
        <v>3</v>
      </c>
      <c r="D33" s="497"/>
      <c r="E33" s="436">
        <f t="shared" si="103"/>
        <v>171956</v>
      </c>
      <c r="F33" s="451">
        <f t="shared" si="0"/>
        <v>171956</v>
      </c>
      <c r="G33" s="421"/>
      <c r="H33" s="426"/>
      <c r="I33" s="426"/>
      <c r="J33" s="384">
        <f t="shared" si="108"/>
        <v>0</v>
      </c>
      <c r="K33" s="384">
        <f t="shared" si="35"/>
        <v>4875</v>
      </c>
      <c r="L33" s="384">
        <f t="shared" si="1"/>
        <v>0.5</v>
      </c>
      <c r="M33" s="96">
        <f t="shared" si="65"/>
        <v>0</v>
      </c>
      <c r="N33" s="420">
        <f t="shared" si="36"/>
        <v>1.9</v>
      </c>
      <c r="O33" s="156">
        <f t="shared" si="142"/>
        <v>2.7568695534154077</v>
      </c>
      <c r="P33" s="567"/>
      <c r="Q33" s="384">
        <f t="shared" si="3"/>
        <v>23</v>
      </c>
      <c r="R33" s="443">
        <f t="shared" si="123"/>
        <v>0</v>
      </c>
      <c r="S33" s="473">
        <f t="shared" si="37"/>
        <v>328.79467076367098</v>
      </c>
      <c r="T33" s="382">
        <f t="shared" si="5"/>
        <v>185</v>
      </c>
      <c r="U33" s="183">
        <f t="shared" si="180"/>
        <v>178</v>
      </c>
      <c r="V33" s="453">
        <f t="shared" si="38"/>
        <v>7</v>
      </c>
      <c r="W33" s="382">
        <f t="shared" si="6"/>
        <v>77</v>
      </c>
      <c r="X33" s="183">
        <f t="shared" si="181"/>
        <v>67</v>
      </c>
      <c r="Y33" s="453">
        <f t="shared" si="39"/>
        <v>10</v>
      </c>
      <c r="Z33" s="487"/>
      <c r="AA33" s="403">
        <f t="shared" si="195"/>
        <v>5</v>
      </c>
      <c r="AB33" s="576">
        <f t="shared" si="182"/>
        <v>3</v>
      </c>
      <c r="AC33" s="497"/>
      <c r="AD33" s="436">
        <f t="shared" si="143"/>
        <v>0</v>
      </c>
      <c r="AE33" s="451">
        <f t="shared" si="127"/>
        <v>0</v>
      </c>
      <c r="AF33" s="421"/>
      <c r="AG33" s="426"/>
      <c r="AH33" s="426"/>
      <c r="AI33" s="384">
        <f t="shared" si="109"/>
        <v>0</v>
      </c>
      <c r="AJ33" s="384">
        <f t="shared" si="168"/>
        <v>0</v>
      </c>
      <c r="AK33" s="384">
        <f t="shared" si="8"/>
        <v>0.5</v>
      </c>
      <c r="AL33" s="96">
        <f t="shared" si="110"/>
        <v>0</v>
      </c>
      <c r="AM33" s="420">
        <f t="shared" si="9"/>
        <v>1.9</v>
      </c>
      <c r="AN33" s="156">
        <f t="shared" si="41"/>
        <v>0</v>
      </c>
      <c r="AO33" s="567"/>
      <c r="AP33" s="384">
        <f t="shared" si="10"/>
        <v>23</v>
      </c>
      <c r="AQ33" s="443">
        <f t="shared" si="11"/>
        <v>0</v>
      </c>
      <c r="AR33" s="473">
        <f t="shared" si="175"/>
        <v>0</v>
      </c>
      <c r="AS33" s="382">
        <f t="shared" si="12"/>
        <v>185</v>
      </c>
      <c r="AT33" s="183">
        <f t="shared" si="183"/>
        <v>0</v>
      </c>
      <c r="AU33" s="453">
        <f t="shared" si="144"/>
        <v>185</v>
      </c>
      <c r="AV33" s="382">
        <f t="shared" si="13"/>
        <v>77</v>
      </c>
      <c r="AW33" s="183">
        <f t="shared" si="184"/>
        <v>0</v>
      </c>
      <c r="AX33" s="453">
        <f t="shared" si="104"/>
        <v>77</v>
      </c>
      <c r="AZ33" s="403">
        <f t="shared" si="196"/>
        <v>5</v>
      </c>
      <c r="BA33" s="576">
        <f t="shared" si="185"/>
        <v>3</v>
      </c>
      <c r="BB33" s="497"/>
      <c r="BC33" s="436">
        <f t="shared" si="145"/>
        <v>116143</v>
      </c>
      <c r="BD33" s="451">
        <f t="shared" si="131"/>
        <v>116143</v>
      </c>
      <c r="BE33" s="421"/>
      <c r="BF33" s="426"/>
      <c r="BG33" s="426"/>
      <c r="BH33" s="384">
        <f t="shared" si="111"/>
        <v>0</v>
      </c>
      <c r="BI33" s="384">
        <f t="shared" si="170"/>
        <v>3926</v>
      </c>
      <c r="BJ33" s="384">
        <f t="shared" si="15"/>
        <v>0.5</v>
      </c>
      <c r="BK33" s="96">
        <f t="shared" si="112"/>
        <v>0</v>
      </c>
      <c r="BL33" s="420">
        <f t="shared" si="16"/>
        <v>1.9</v>
      </c>
      <c r="BM33" s="156">
        <f t="shared" si="89"/>
        <v>3.2697865394065078</v>
      </c>
      <c r="BN33" s="567"/>
      <c r="BO33" s="384">
        <f t="shared" si="17"/>
        <v>23</v>
      </c>
      <c r="BP33" s="443">
        <f t="shared" si="18"/>
        <v>0</v>
      </c>
      <c r="BQ33" s="473">
        <f t="shared" si="176"/>
        <v>314.58428346602915</v>
      </c>
      <c r="BR33" s="382">
        <f t="shared" si="19"/>
        <v>185</v>
      </c>
      <c r="BS33" s="183">
        <f t="shared" si="186"/>
        <v>0</v>
      </c>
      <c r="BT33" s="453">
        <f t="shared" si="146"/>
        <v>185</v>
      </c>
      <c r="BU33" s="382">
        <f t="shared" si="20"/>
        <v>77</v>
      </c>
      <c r="BV33" s="183">
        <f t="shared" si="187"/>
        <v>0</v>
      </c>
      <c r="BW33" s="453">
        <f t="shared" si="105"/>
        <v>77</v>
      </c>
      <c r="BY33" s="403">
        <f t="shared" si="197"/>
        <v>5</v>
      </c>
      <c r="BZ33" s="576">
        <f t="shared" si="188"/>
        <v>3</v>
      </c>
      <c r="CA33" s="497"/>
      <c r="CB33" s="436">
        <f t="shared" si="147"/>
        <v>0</v>
      </c>
      <c r="CC33" s="451">
        <f t="shared" si="135"/>
        <v>0</v>
      </c>
      <c r="CD33" s="421"/>
      <c r="CE33" s="426"/>
      <c r="CF33" s="426"/>
      <c r="CG33" s="384">
        <f t="shared" si="113"/>
        <v>0</v>
      </c>
      <c r="CH33" s="384">
        <f t="shared" si="172"/>
        <v>0</v>
      </c>
      <c r="CI33" s="384">
        <f t="shared" si="22"/>
        <v>0.5</v>
      </c>
      <c r="CJ33" s="96">
        <f t="shared" si="114"/>
        <v>0</v>
      </c>
      <c r="CK33" s="420">
        <f t="shared" si="23"/>
        <v>1.9</v>
      </c>
      <c r="CL33" s="156">
        <f t="shared" si="52"/>
        <v>0</v>
      </c>
      <c r="CM33" s="567"/>
      <c r="CN33" s="384">
        <f t="shared" si="24"/>
        <v>23</v>
      </c>
      <c r="CO33" s="443">
        <f t="shared" si="25"/>
        <v>0</v>
      </c>
      <c r="CP33" s="473">
        <f t="shared" si="177"/>
        <v>0</v>
      </c>
      <c r="CQ33" s="382">
        <f t="shared" si="26"/>
        <v>185</v>
      </c>
      <c r="CR33" s="183">
        <f t="shared" si="189"/>
        <v>0</v>
      </c>
      <c r="CS33" s="453">
        <f t="shared" si="148"/>
        <v>185</v>
      </c>
      <c r="CT33" s="382">
        <f t="shared" si="27"/>
        <v>77</v>
      </c>
      <c r="CU33" s="183">
        <f t="shared" si="190"/>
        <v>0</v>
      </c>
      <c r="CV33" s="453">
        <f t="shared" si="106"/>
        <v>77</v>
      </c>
      <c r="CX33" s="403">
        <f t="shared" si="198"/>
        <v>5</v>
      </c>
      <c r="CY33" s="576">
        <f t="shared" si="191"/>
        <v>3</v>
      </c>
      <c r="CZ33" s="497"/>
      <c r="DA33" s="436">
        <f t="shared" si="149"/>
        <v>0</v>
      </c>
      <c r="DB33" s="451">
        <f t="shared" si="139"/>
        <v>0</v>
      </c>
      <c r="DC33" s="421"/>
      <c r="DD33" s="426"/>
      <c r="DE33" s="426"/>
      <c r="DF33" s="384">
        <f t="shared" si="115"/>
        <v>0</v>
      </c>
      <c r="DG33" s="384">
        <f t="shared" si="174"/>
        <v>0</v>
      </c>
      <c r="DH33" s="384">
        <f t="shared" si="29"/>
        <v>0.5</v>
      </c>
      <c r="DI33" s="96">
        <f t="shared" si="116"/>
        <v>0</v>
      </c>
      <c r="DJ33" s="420">
        <f t="shared" si="30"/>
        <v>1.9</v>
      </c>
      <c r="DK33" s="156">
        <f t="shared" si="58"/>
        <v>0</v>
      </c>
      <c r="DL33" s="567"/>
      <c r="DM33" s="384">
        <f t="shared" si="31"/>
        <v>23</v>
      </c>
      <c r="DN33" s="443">
        <f t="shared" si="32"/>
        <v>0</v>
      </c>
      <c r="DO33" s="473">
        <f t="shared" si="178"/>
        <v>0</v>
      </c>
      <c r="DP33" s="382">
        <f t="shared" si="33"/>
        <v>185</v>
      </c>
      <c r="DQ33" s="183">
        <f t="shared" si="192"/>
        <v>0</v>
      </c>
      <c r="DR33" s="453">
        <f t="shared" si="150"/>
        <v>185</v>
      </c>
      <c r="DS33" s="382">
        <f t="shared" si="34"/>
        <v>77</v>
      </c>
      <c r="DT33" s="183">
        <f t="shared" si="193"/>
        <v>0</v>
      </c>
      <c r="DU33" s="453">
        <f t="shared" si="107"/>
        <v>77</v>
      </c>
    </row>
    <row r="34" spans="1:125" x14ac:dyDescent="0.25">
      <c r="B34" s="118">
        <v>6</v>
      </c>
      <c r="C34" s="575">
        <v>4</v>
      </c>
      <c r="D34" s="760"/>
      <c r="E34" s="400">
        <f t="shared" si="103"/>
        <v>171956</v>
      </c>
      <c r="F34" s="561">
        <f t="shared" si="0"/>
        <v>171956</v>
      </c>
      <c r="G34" s="144"/>
      <c r="H34" s="141"/>
      <c r="I34" s="141"/>
      <c r="J34" s="17">
        <f t="shared" si="108"/>
        <v>0</v>
      </c>
      <c r="K34" s="17">
        <f t="shared" si="35"/>
        <v>4875</v>
      </c>
      <c r="L34" s="17">
        <f t="shared" si="1"/>
        <v>0.3</v>
      </c>
      <c r="M34" s="235">
        <f t="shared" si="65"/>
        <v>0</v>
      </c>
      <c r="N34" s="33">
        <f t="shared" si="36"/>
        <v>2.1999999999999997</v>
      </c>
      <c r="O34" s="210">
        <f t="shared" si="142"/>
        <v>2.7568695534154077</v>
      </c>
      <c r="P34" s="158"/>
      <c r="Q34" s="11">
        <f t="shared" si="3"/>
        <v>29</v>
      </c>
      <c r="R34" s="441">
        <f t="shared" si="123"/>
        <v>0</v>
      </c>
      <c r="S34" s="469">
        <f t="shared" si="37"/>
        <v>328.79467076367098</v>
      </c>
      <c r="T34" s="58">
        <f t="shared" si="5"/>
        <v>255</v>
      </c>
      <c r="U34" s="131"/>
      <c r="V34" s="41">
        <f t="shared" si="38"/>
        <v>255</v>
      </c>
      <c r="W34" s="18">
        <f t="shared" si="6"/>
        <v>79</v>
      </c>
      <c r="X34" s="131"/>
      <c r="Y34" s="41">
        <f t="shared" si="39"/>
        <v>79</v>
      </c>
      <c r="Z34" s="487"/>
      <c r="AA34" s="118">
        <v>6</v>
      </c>
      <c r="AB34" s="575">
        <v>4</v>
      </c>
      <c r="AC34" s="760"/>
      <c r="AD34" s="400">
        <f t="shared" si="143"/>
        <v>0</v>
      </c>
      <c r="AE34" s="561">
        <f t="shared" si="127"/>
        <v>0</v>
      </c>
      <c r="AF34" s="144"/>
      <c r="AG34" s="141"/>
      <c r="AH34" s="141"/>
      <c r="AI34" s="17">
        <f t="shared" si="109"/>
        <v>0</v>
      </c>
      <c r="AJ34" s="17">
        <f t="shared" si="168"/>
        <v>0</v>
      </c>
      <c r="AK34" s="17">
        <f t="shared" si="8"/>
        <v>0.3</v>
      </c>
      <c r="AL34" s="235">
        <f t="shared" si="110"/>
        <v>0</v>
      </c>
      <c r="AM34" s="33">
        <f t="shared" si="9"/>
        <v>2.1999999999999997</v>
      </c>
      <c r="AN34" s="210">
        <f t="shared" si="41"/>
        <v>0</v>
      </c>
      <c r="AO34" s="158"/>
      <c r="AP34" s="11">
        <f t="shared" si="10"/>
        <v>29</v>
      </c>
      <c r="AQ34" s="441">
        <f t="shared" si="11"/>
        <v>0</v>
      </c>
      <c r="AR34" s="469">
        <f t="shared" si="175"/>
        <v>0</v>
      </c>
      <c r="AS34" s="58">
        <f t="shared" si="12"/>
        <v>255</v>
      </c>
      <c r="AT34" s="131"/>
      <c r="AU34" s="41">
        <f t="shared" si="144"/>
        <v>255</v>
      </c>
      <c r="AV34" s="18">
        <f t="shared" si="13"/>
        <v>79</v>
      </c>
      <c r="AW34" s="131"/>
      <c r="AX34" s="41">
        <f t="shared" si="104"/>
        <v>79</v>
      </c>
      <c r="AZ34" s="118">
        <v>6</v>
      </c>
      <c r="BA34" s="575">
        <v>4</v>
      </c>
      <c r="BB34" s="760"/>
      <c r="BC34" s="400">
        <f t="shared" si="145"/>
        <v>116143</v>
      </c>
      <c r="BD34" s="561">
        <f t="shared" si="131"/>
        <v>116143</v>
      </c>
      <c r="BE34" s="144"/>
      <c r="BF34" s="141"/>
      <c r="BG34" s="141"/>
      <c r="BH34" s="17">
        <f t="shared" si="111"/>
        <v>0</v>
      </c>
      <c r="BI34" s="17">
        <f t="shared" si="170"/>
        <v>3926</v>
      </c>
      <c r="BJ34" s="17">
        <f t="shared" si="15"/>
        <v>0.3</v>
      </c>
      <c r="BK34" s="235">
        <f t="shared" si="112"/>
        <v>0</v>
      </c>
      <c r="BL34" s="33">
        <f t="shared" si="16"/>
        <v>2.1999999999999997</v>
      </c>
      <c r="BM34" s="155">
        <f t="shared" si="89"/>
        <v>3.2697865394065078</v>
      </c>
      <c r="BN34" s="158"/>
      <c r="BO34" s="11">
        <f t="shared" si="17"/>
        <v>29</v>
      </c>
      <c r="BP34" s="441">
        <f t="shared" si="18"/>
        <v>0</v>
      </c>
      <c r="BQ34" s="469">
        <f t="shared" si="176"/>
        <v>314.58428346602915</v>
      </c>
      <c r="BR34" s="58">
        <f t="shared" si="19"/>
        <v>255</v>
      </c>
      <c r="BS34" s="131"/>
      <c r="BT34" s="41">
        <f t="shared" si="146"/>
        <v>255</v>
      </c>
      <c r="BU34" s="18">
        <f t="shared" si="20"/>
        <v>79</v>
      </c>
      <c r="BV34" s="131"/>
      <c r="BW34" s="41">
        <f t="shared" si="105"/>
        <v>79</v>
      </c>
      <c r="BY34" s="118">
        <v>6</v>
      </c>
      <c r="BZ34" s="575">
        <v>4</v>
      </c>
      <c r="CA34" s="760"/>
      <c r="CB34" s="400">
        <f t="shared" si="147"/>
        <v>0</v>
      </c>
      <c r="CC34" s="561">
        <f t="shared" si="135"/>
        <v>0</v>
      </c>
      <c r="CD34" s="144"/>
      <c r="CE34" s="141"/>
      <c r="CF34" s="141"/>
      <c r="CG34" s="17">
        <f t="shared" si="113"/>
        <v>0</v>
      </c>
      <c r="CH34" s="17">
        <f t="shared" si="172"/>
        <v>0</v>
      </c>
      <c r="CI34" s="17">
        <f t="shared" si="22"/>
        <v>0.3</v>
      </c>
      <c r="CJ34" s="235">
        <f t="shared" si="114"/>
        <v>0</v>
      </c>
      <c r="CK34" s="33">
        <f t="shared" si="23"/>
        <v>2.1999999999999997</v>
      </c>
      <c r="CL34" s="210">
        <f t="shared" si="52"/>
        <v>0</v>
      </c>
      <c r="CM34" s="158"/>
      <c r="CN34" s="11">
        <f t="shared" si="24"/>
        <v>29</v>
      </c>
      <c r="CO34" s="441">
        <f t="shared" si="25"/>
        <v>0</v>
      </c>
      <c r="CP34" s="469">
        <f t="shared" si="177"/>
        <v>0</v>
      </c>
      <c r="CQ34" s="58">
        <f t="shared" si="26"/>
        <v>255</v>
      </c>
      <c r="CR34" s="131"/>
      <c r="CS34" s="41">
        <f t="shared" si="148"/>
        <v>255</v>
      </c>
      <c r="CT34" s="18">
        <f t="shared" si="27"/>
        <v>79</v>
      </c>
      <c r="CU34" s="131"/>
      <c r="CV34" s="41">
        <f t="shared" si="106"/>
        <v>79</v>
      </c>
      <c r="CX34" s="118">
        <v>6</v>
      </c>
      <c r="CY34" s="575">
        <v>4</v>
      </c>
      <c r="CZ34" s="760"/>
      <c r="DA34" s="400">
        <f t="shared" si="149"/>
        <v>0</v>
      </c>
      <c r="DB34" s="561">
        <f t="shared" si="139"/>
        <v>0</v>
      </c>
      <c r="DC34" s="144"/>
      <c r="DD34" s="141"/>
      <c r="DE34" s="141"/>
      <c r="DF34" s="17">
        <f t="shared" si="115"/>
        <v>0</v>
      </c>
      <c r="DG34" s="17">
        <f t="shared" si="174"/>
        <v>0</v>
      </c>
      <c r="DH34" s="17">
        <f t="shared" si="29"/>
        <v>0.3</v>
      </c>
      <c r="DI34" s="235">
        <f t="shared" si="116"/>
        <v>0</v>
      </c>
      <c r="DJ34" s="33">
        <f t="shared" si="30"/>
        <v>2.1999999999999997</v>
      </c>
      <c r="DK34" s="210">
        <f t="shared" si="58"/>
        <v>0</v>
      </c>
      <c r="DL34" s="158"/>
      <c r="DM34" s="11">
        <f t="shared" si="31"/>
        <v>29</v>
      </c>
      <c r="DN34" s="441">
        <f t="shared" si="32"/>
        <v>0</v>
      </c>
      <c r="DO34" s="469">
        <f t="shared" si="178"/>
        <v>0</v>
      </c>
      <c r="DP34" s="58">
        <f t="shared" si="33"/>
        <v>255</v>
      </c>
      <c r="DQ34" s="131"/>
      <c r="DR34" s="41">
        <f t="shared" si="150"/>
        <v>255</v>
      </c>
      <c r="DS34" s="18">
        <f t="shared" si="34"/>
        <v>79</v>
      </c>
      <c r="DT34" s="131"/>
      <c r="DU34" s="41">
        <f t="shared" si="107"/>
        <v>79</v>
      </c>
    </row>
    <row r="35" spans="1:125" x14ac:dyDescent="0.25">
      <c r="B35" s="120">
        <f>B34+1</f>
        <v>7</v>
      </c>
      <c r="C35" s="570">
        <f>C34</f>
        <v>4</v>
      </c>
      <c r="D35" s="203"/>
      <c r="E35" s="563">
        <f t="shared" si="103"/>
        <v>171956</v>
      </c>
      <c r="F35" s="450">
        <f t="shared" si="0"/>
        <v>171956</v>
      </c>
      <c r="G35" s="204"/>
      <c r="H35" s="205"/>
      <c r="I35" s="205"/>
      <c r="J35" s="13">
        <f t="shared" si="108"/>
        <v>0</v>
      </c>
      <c r="K35" s="13">
        <f t="shared" si="35"/>
        <v>4875</v>
      </c>
      <c r="L35" s="13">
        <f t="shared" si="1"/>
        <v>0.3</v>
      </c>
      <c r="M35" s="230">
        <f t="shared" si="65"/>
        <v>0</v>
      </c>
      <c r="N35" s="161">
        <f t="shared" si="36"/>
        <v>2.1999999999999997</v>
      </c>
      <c r="O35" s="157">
        <f t="shared" si="142"/>
        <v>2.7568695534154077</v>
      </c>
      <c r="P35" s="142"/>
      <c r="Q35" s="14">
        <f t="shared" si="3"/>
        <v>29</v>
      </c>
      <c r="R35" s="442">
        <f t="shared" si="123"/>
        <v>0</v>
      </c>
      <c r="S35" s="470">
        <f t="shared" si="37"/>
        <v>328.79467076367098</v>
      </c>
      <c r="T35" s="51">
        <f t="shared" si="5"/>
        <v>255</v>
      </c>
      <c r="U35" s="103">
        <f>U34</f>
        <v>0</v>
      </c>
      <c r="V35" s="46">
        <f t="shared" si="38"/>
        <v>255</v>
      </c>
      <c r="W35" s="50">
        <f t="shared" si="6"/>
        <v>79</v>
      </c>
      <c r="X35" s="103">
        <f>X34</f>
        <v>0</v>
      </c>
      <c r="Y35" s="46">
        <f t="shared" si="39"/>
        <v>79</v>
      </c>
      <c r="Z35" s="487"/>
      <c r="AA35" s="120">
        <f>AA34+1</f>
        <v>7</v>
      </c>
      <c r="AB35" s="570">
        <f>AB34</f>
        <v>4</v>
      </c>
      <c r="AC35" s="203"/>
      <c r="AD35" s="563">
        <f t="shared" si="143"/>
        <v>0</v>
      </c>
      <c r="AE35" s="450">
        <f t="shared" si="127"/>
        <v>0</v>
      </c>
      <c r="AF35" s="204"/>
      <c r="AG35" s="205"/>
      <c r="AH35" s="205"/>
      <c r="AI35" s="13">
        <f t="shared" si="109"/>
        <v>0</v>
      </c>
      <c r="AJ35" s="13">
        <f t="shared" si="168"/>
        <v>0</v>
      </c>
      <c r="AK35" s="13">
        <f t="shared" si="8"/>
        <v>0.3</v>
      </c>
      <c r="AL35" s="230">
        <f t="shared" si="110"/>
        <v>0</v>
      </c>
      <c r="AM35" s="161">
        <f t="shared" si="9"/>
        <v>2.1999999999999997</v>
      </c>
      <c r="AN35" s="157">
        <f t="shared" si="41"/>
        <v>0</v>
      </c>
      <c r="AO35" s="142"/>
      <c r="AP35" s="14">
        <f t="shared" si="10"/>
        <v>29</v>
      </c>
      <c r="AQ35" s="442">
        <f t="shared" si="11"/>
        <v>0</v>
      </c>
      <c r="AR35" s="470">
        <f t="shared" si="175"/>
        <v>0</v>
      </c>
      <c r="AS35" s="51">
        <f t="shared" si="12"/>
        <v>255</v>
      </c>
      <c r="AT35" s="103">
        <f>AT34</f>
        <v>0</v>
      </c>
      <c r="AU35" s="46">
        <f t="shared" si="144"/>
        <v>255</v>
      </c>
      <c r="AV35" s="50">
        <f t="shared" si="13"/>
        <v>79</v>
      </c>
      <c r="AW35" s="103">
        <f>AW34</f>
        <v>0</v>
      </c>
      <c r="AX35" s="46">
        <f t="shared" si="104"/>
        <v>79</v>
      </c>
      <c r="AZ35" s="120">
        <f>AZ34+1</f>
        <v>7</v>
      </c>
      <c r="BA35" s="570">
        <f>BA34</f>
        <v>4</v>
      </c>
      <c r="BB35" s="203"/>
      <c r="BC35" s="563">
        <f t="shared" si="145"/>
        <v>116143</v>
      </c>
      <c r="BD35" s="450">
        <f t="shared" si="131"/>
        <v>116143</v>
      </c>
      <c r="BE35" s="204"/>
      <c r="BF35" s="205"/>
      <c r="BG35" s="205"/>
      <c r="BH35" s="13">
        <f t="shared" si="111"/>
        <v>0</v>
      </c>
      <c r="BI35" s="13">
        <f t="shared" si="170"/>
        <v>3926</v>
      </c>
      <c r="BJ35" s="13">
        <f t="shared" si="15"/>
        <v>0.3</v>
      </c>
      <c r="BK35" s="230">
        <f t="shared" si="112"/>
        <v>0</v>
      </c>
      <c r="BL35" s="161">
        <f t="shared" si="16"/>
        <v>2.1999999999999997</v>
      </c>
      <c r="BM35" s="157">
        <f t="shared" si="89"/>
        <v>3.2697865394065078</v>
      </c>
      <c r="BN35" s="142"/>
      <c r="BO35" s="14">
        <f t="shared" si="17"/>
        <v>29</v>
      </c>
      <c r="BP35" s="442">
        <f t="shared" si="18"/>
        <v>0</v>
      </c>
      <c r="BQ35" s="470">
        <f t="shared" si="176"/>
        <v>314.58428346602915</v>
      </c>
      <c r="BR35" s="51">
        <f t="shared" si="19"/>
        <v>255</v>
      </c>
      <c r="BS35" s="103">
        <f>BS34</f>
        <v>0</v>
      </c>
      <c r="BT35" s="46">
        <f t="shared" si="146"/>
        <v>255</v>
      </c>
      <c r="BU35" s="50">
        <f t="shared" si="20"/>
        <v>79</v>
      </c>
      <c r="BV35" s="103">
        <f>BV34</f>
        <v>0</v>
      </c>
      <c r="BW35" s="46">
        <f t="shared" si="105"/>
        <v>79</v>
      </c>
      <c r="BY35" s="120">
        <f>BY34+1</f>
        <v>7</v>
      </c>
      <c r="BZ35" s="570">
        <f>BZ34</f>
        <v>4</v>
      </c>
      <c r="CA35" s="203"/>
      <c r="CB35" s="563">
        <f t="shared" si="147"/>
        <v>0</v>
      </c>
      <c r="CC35" s="450">
        <f t="shared" si="135"/>
        <v>0</v>
      </c>
      <c r="CD35" s="204"/>
      <c r="CE35" s="205"/>
      <c r="CF35" s="205"/>
      <c r="CG35" s="13">
        <f t="shared" si="113"/>
        <v>0</v>
      </c>
      <c r="CH35" s="13">
        <f t="shared" si="172"/>
        <v>0</v>
      </c>
      <c r="CI35" s="13">
        <f t="shared" si="22"/>
        <v>0.3</v>
      </c>
      <c r="CJ35" s="230">
        <f t="shared" si="114"/>
        <v>0</v>
      </c>
      <c r="CK35" s="161">
        <f t="shared" si="23"/>
        <v>2.1999999999999997</v>
      </c>
      <c r="CL35" s="157">
        <f t="shared" si="52"/>
        <v>0</v>
      </c>
      <c r="CM35" s="142"/>
      <c r="CN35" s="14">
        <f t="shared" si="24"/>
        <v>29</v>
      </c>
      <c r="CO35" s="442">
        <f t="shared" si="25"/>
        <v>0</v>
      </c>
      <c r="CP35" s="470">
        <f t="shared" si="177"/>
        <v>0</v>
      </c>
      <c r="CQ35" s="51">
        <f t="shared" si="26"/>
        <v>255</v>
      </c>
      <c r="CR35" s="103">
        <f>CR34</f>
        <v>0</v>
      </c>
      <c r="CS35" s="46">
        <f t="shared" si="148"/>
        <v>255</v>
      </c>
      <c r="CT35" s="50">
        <f t="shared" si="27"/>
        <v>79</v>
      </c>
      <c r="CU35" s="103">
        <f>CU34</f>
        <v>0</v>
      </c>
      <c r="CV35" s="46">
        <f t="shared" si="106"/>
        <v>79</v>
      </c>
      <c r="CX35" s="120">
        <f>CX34+1</f>
        <v>7</v>
      </c>
      <c r="CY35" s="570">
        <f>CY34</f>
        <v>4</v>
      </c>
      <c r="CZ35" s="203"/>
      <c r="DA35" s="563">
        <f t="shared" si="149"/>
        <v>0</v>
      </c>
      <c r="DB35" s="450">
        <f t="shared" si="139"/>
        <v>0</v>
      </c>
      <c r="DC35" s="204"/>
      <c r="DD35" s="205"/>
      <c r="DE35" s="205"/>
      <c r="DF35" s="13">
        <f t="shared" si="115"/>
        <v>0</v>
      </c>
      <c r="DG35" s="13">
        <f t="shared" si="174"/>
        <v>0</v>
      </c>
      <c r="DH35" s="13">
        <f t="shared" si="29"/>
        <v>0.3</v>
      </c>
      <c r="DI35" s="230">
        <f t="shared" si="116"/>
        <v>0</v>
      </c>
      <c r="DJ35" s="161">
        <f t="shared" si="30"/>
        <v>2.1999999999999997</v>
      </c>
      <c r="DK35" s="157">
        <f t="shared" si="58"/>
        <v>0</v>
      </c>
      <c r="DL35" s="142"/>
      <c r="DM35" s="14">
        <f t="shared" si="31"/>
        <v>29</v>
      </c>
      <c r="DN35" s="442">
        <f t="shared" si="32"/>
        <v>0</v>
      </c>
      <c r="DO35" s="470">
        <f t="shared" si="178"/>
        <v>0</v>
      </c>
      <c r="DP35" s="51">
        <f t="shared" si="33"/>
        <v>255</v>
      </c>
      <c r="DQ35" s="103">
        <f>DQ34</f>
        <v>0</v>
      </c>
      <c r="DR35" s="46">
        <f t="shared" si="150"/>
        <v>255</v>
      </c>
      <c r="DS35" s="50">
        <f t="shared" si="34"/>
        <v>79</v>
      </c>
      <c r="DT35" s="103">
        <f>DT34</f>
        <v>0</v>
      </c>
      <c r="DU35" s="46">
        <f t="shared" si="107"/>
        <v>79</v>
      </c>
    </row>
    <row r="36" spans="1:125" x14ac:dyDescent="0.25">
      <c r="B36" s="120">
        <f t="shared" ref="B36:B39" si="199">B35+1</f>
        <v>8</v>
      </c>
      <c r="C36" s="570">
        <f t="shared" ref="C36:C40" si="200">C35</f>
        <v>4</v>
      </c>
      <c r="D36" s="133"/>
      <c r="E36" s="408">
        <f t="shared" si="103"/>
        <v>171956</v>
      </c>
      <c r="F36" s="562">
        <f t="shared" si="0"/>
        <v>171956</v>
      </c>
      <c r="G36" s="134"/>
      <c r="H36" s="135"/>
      <c r="I36" s="135"/>
      <c r="J36" s="14">
        <f t="shared" si="108"/>
        <v>0</v>
      </c>
      <c r="K36" s="14">
        <f t="shared" si="35"/>
        <v>4875</v>
      </c>
      <c r="L36" s="14">
        <f t="shared" si="1"/>
        <v>0.3</v>
      </c>
      <c r="M36" s="47">
        <f t="shared" si="65"/>
        <v>0</v>
      </c>
      <c r="N36" s="35">
        <f t="shared" si="36"/>
        <v>2.1999999999999997</v>
      </c>
      <c r="O36" s="159">
        <f t="shared" si="142"/>
        <v>2.7568695534154077</v>
      </c>
      <c r="P36" s="142"/>
      <c r="Q36" s="14">
        <f t="shared" si="3"/>
        <v>29</v>
      </c>
      <c r="R36" s="442">
        <f t="shared" si="123"/>
        <v>0</v>
      </c>
      <c r="S36" s="470">
        <f t="shared" si="37"/>
        <v>328.79467076367098</v>
      </c>
      <c r="T36" s="51">
        <f t="shared" si="5"/>
        <v>255</v>
      </c>
      <c r="U36" s="103">
        <f t="shared" ref="U36:U40" si="201">U35</f>
        <v>0</v>
      </c>
      <c r="V36" s="46">
        <f t="shared" si="38"/>
        <v>255</v>
      </c>
      <c r="W36" s="50">
        <f t="shared" si="6"/>
        <v>79</v>
      </c>
      <c r="X36" s="103">
        <f t="shared" ref="X36:X40" si="202">X35</f>
        <v>0</v>
      </c>
      <c r="Y36" s="46">
        <f t="shared" si="39"/>
        <v>79</v>
      </c>
      <c r="Z36" s="487"/>
      <c r="AA36" s="120">
        <f t="shared" ref="AA36:AA39" si="203">AA35+1</f>
        <v>8</v>
      </c>
      <c r="AB36" s="570">
        <f t="shared" ref="AB36:AB40" si="204">AB35</f>
        <v>4</v>
      </c>
      <c r="AC36" s="133"/>
      <c r="AD36" s="408">
        <f t="shared" si="143"/>
        <v>0</v>
      </c>
      <c r="AE36" s="562">
        <f t="shared" si="127"/>
        <v>0</v>
      </c>
      <c r="AF36" s="134"/>
      <c r="AG36" s="135"/>
      <c r="AH36" s="135"/>
      <c r="AI36" s="14">
        <f t="shared" si="109"/>
        <v>0</v>
      </c>
      <c r="AJ36" s="14">
        <f t="shared" si="168"/>
        <v>0</v>
      </c>
      <c r="AK36" s="14">
        <f t="shared" si="8"/>
        <v>0.3</v>
      </c>
      <c r="AL36" s="47">
        <f t="shared" si="110"/>
        <v>0</v>
      </c>
      <c r="AM36" s="35">
        <f t="shared" si="9"/>
        <v>2.1999999999999997</v>
      </c>
      <c r="AN36" s="159">
        <f t="shared" si="41"/>
        <v>0</v>
      </c>
      <c r="AO36" s="142"/>
      <c r="AP36" s="14">
        <f t="shared" si="10"/>
        <v>29</v>
      </c>
      <c r="AQ36" s="442">
        <f t="shared" si="11"/>
        <v>0</v>
      </c>
      <c r="AR36" s="470">
        <f t="shared" si="175"/>
        <v>0</v>
      </c>
      <c r="AS36" s="51">
        <f t="shared" si="12"/>
        <v>255</v>
      </c>
      <c r="AT36" s="103">
        <f t="shared" ref="AT36:AT40" si="205">AT35</f>
        <v>0</v>
      </c>
      <c r="AU36" s="46">
        <f t="shared" si="144"/>
        <v>255</v>
      </c>
      <c r="AV36" s="50">
        <f t="shared" si="13"/>
        <v>79</v>
      </c>
      <c r="AW36" s="103">
        <f t="shared" ref="AW36:AW40" si="206">AW35</f>
        <v>0</v>
      </c>
      <c r="AX36" s="46">
        <f t="shared" si="104"/>
        <v>79</v>
      </c>
      <c r="AZ36" s="120">
        <f t="shared" ref="AZ36:AZ39" si="207">AZ35+1</f>
        <v>8</v>
      </c>
      <c r="BA36" s="570">
        <f t="shared" ref="BA36:BA40" si="208">BA35</f>
        <v>4</v>
      </c>
      <c r="BB36" s="133"/>
      <c r="BC36" s="408">
        <f t="shared" si="145"/>
        <v>116143</v>
      </c>
      <c r="BD36" s="562">
        <f t="shared" si="131"/>
        <v>116143</v>
      </c>
      <c r="BE36" s="134"/>
      <c r="BF36" s="135"/>
      <c r="BG36" s="135"/>
      <c r="BH36" s="14">
        <f t="shared" si="111"/>
        <v>0</v>
      </c>
      <c r="BI36" s="14">
        <f t="shared" si="170"/>
        <v>3926</v>
      </c>
      <c r="BJ36" s="14">
        <f t="shared" si="15"/>
        <v>0.3</v>
      </c>
      <c r="BK36" s="47">
        <f t="shared" si="112"/>
        <v>0</v>
      </c>
      <c r="BL36" s="35">
        <f t="shared" si="16"/>
        <v>2.1999999999999997</v>
      </c>
      <c r="BM36" s="159">
        <f t="shared" si="89"/>
        <v>3.2697865394065078</v>
      </c>
      <c r="BN36" s="142"/>
      <c r="BO36" s="14">
        <f t="shared" si="17"/>
        <v>29</v>
      </c>
      <c r="BP36" s="442">
        <f t="shared" si="18"/>
        <v>0</v>
      </c>
      <c r="BQ36" s="470">
        <f t="shared" si="176"/>
        <v>314.58428346602915</v>
      </c>
      <c r="BR36" s="51">
        <f t="shared" si="19"/>
        <v>255</v>
      </c>
      <c r="BS36" s="103">
        <f t="shared" ref="BS36:BS40" si="209">BS35</f>
        <v>0</v>
      </c>
      <c r="BT36" s="46">
        <f t="shared" si="146"/>
        <v>255</v>
      </c>
      <c r="BU36" s="50">
        <f t="shared" si="20"/>
        <v>79</v>
      </c>
      <c r="BV36" s="103">
        <f t="shared" ref="BV36:BV40" si="210">BV35</f>
        <v>0</v>
      </c>
      <c r="BW36" s="46">
        <f t="shared" si="105"/>
        <v>79</v>
      </c>
      <c r="BY36" s="120">
        <f t="shared" ref="BY36:BY39" si="211">BY35+1</f>
        <v>8</v>
      </c>
      <c r="BZ36" s="570">
        <f t="shared" ref="BZ36:BZ40" si="212">BZ35</f>
        <v>4</v>
      </c>
      <c r="CA36" s="133"/>
      <c r="CB36" s="408">
        <f t="shared" si="147"/>
        <v>0</v>
      </c>
      <c r="CC36" s="562">
        <f t="shared" si="135"/>
        <v>0</v>
      </c>
      <c r="CD36" s="134"/>
      <c r="CE36" s="135"/>
      <c r="CF36" s="135"/>
      <c r="CG36" s="14">
        <f t="shared" si="113"/>
        <v>0</v>
      </c>
      <c r="CH36" s="14">
        <f t="shared" si="172"/>
        <v>0</v>
      </c>
      <c r="CI36" s="14">
        <f t="shared" si="22"/>
        <v>0.3</v>
      </c>
      <c r="CJ36" s="47">
        <f t="shared" si="114"/>
        <v>0</v>
      </c>
      <c r="CK36" s="35">
        <f t="shared" si="23"/>
        <v>2.1999999999999997</v>
      </c>
      <c r="CL36" s="159">
        <f t="shared" si="52"/>
        <v>0</v>
      </c>
      <c r="CM36" s="142"/>
      <c r="CN36" s="14">
        <f t="shared" si="24"/>
        <v>29</v>
      </c>
      <c r="CO36" s="442">
        <f t="shared" si="25"/>
        <v>0</v>
      </c>
      <c r="CP36" s="470">
        <f t="shared" si="177"/>
        <v>0</v>
      </c>
      <c r="CQ36" s="51">
        <f t="shared" si="26"/>
        <v>255</v>
      </c>
      <c r="CR36" s="103">
        <f t="shared" ref="CR36:CR40" si="213">CR35</f>
        <v>0</v>
      </c>
      <c r="CS36" s="46">
        <f t="shared" si="148"/>
        <v>255</v>
      </c>
      <c r="CT36" s="50">
        <f t="shared" si="27"/>
        <v>79</v>
      </c>
      <c r="CU36" s="103">
        <f t="shared" ref="CU36:CU40" si="214">CU35</f>
        <v>0</v>
      </c>
      <c r="CV36" s="46">
        <f t="shared" si="106"/>
        <v>79</v>
      </c>
      <c r="CX36" s="120">
        <f t="shared" ref="CX36:CX39" si="215">CX35+1</f>
        <v>8</v>
      </c>
      <c r="CY36" s="570">
        <f t="shared" ref="CY36:CY40" si="216">CY35</f>
        <v>4</v>
      </c>
      <c r="CZ36" s="133"/>
      <c r="DA36" s="408">
        <f t="shared" si="149"/>
        <v>0</v>
      </c>
      <c r="DB36" s="562">
        <f t="shared" si="139"/>
        <v>0</v>
      </c>
      <c r="DC36" s="134"/>
      <c r="DD36" s="135"/>
      <c r="DE36" s="135"/>
      <c r="DF36" s="14">
        <f t="shared" si="115"/>
        <v>0</v>
      </c>
      <c r="DG36" s="14">
        <f t="shared" si="174"/>
        <v>0</v>
      </c>
      <c r="DH36" s="14">
        <f t="shared" si="29"/>
        <v>0.3</v>
      </c>
      <c r="DI36" s="47">
        <f t="shared" si="116"/>
        <v>0</v>
      </c>
      <c r="DJ36" s="35">
        <f t="shared" si="30"/>
        <v>2.1999999999999997</v>
      </c>
      <c r="DK36" s="159">
        <f t="shared" si="58"/>
        <v>0</v>
      </c>
      <c r="DL36" s="142"/>
      <c r="DM36" s="14">
        <f t="shared" si="31"/>
        <v>29</v>
      </c>
      <c r="DN36" s="442">
        <f t="shared" si="32"/>
        <v>0</v>
      </c>
      <c r="DO36" s="470">
        <f t="shared" si="178"/>
        <v>0</v>
      </c>
      <c r="DP36" s="51">
        <f t="shared" si="33"/>
        <v>255</v>
      </c>
      <c r="DQ36" s="103">
        <f t="shared" ref="DQ36:DQ40" si="217">DQ35</f>
        <v>0</v>
      </c>
      <c r="DR36" s="46">
        <f t="shared" si="150"/>
        <v>255</v>
      </c>
      <c r="DS36" s="50">
        <f t="shared" si="34"/>
        <v>79</v>
      </c>
      <c r="DT36" s="103">
        <f t="shared" ref="DT36:DT40" si="218">DT35</f>
        <v>0</v>
      </c>
      <c r="DU36" s="46">
        <f t="shared" si="107"/>
        <v>79</v>
      </c>
    </row>
    <row r="37" spans="1:125" x14ac:dyDescent="0.25">
      <c r="B37" s="120">
        <f t="shared" si="199"/>
        <v>9</v>
      </c>
      <c r="C37" s="570">
        <f t="shared" si="200"/>
        <v>4</v>
      </c>
      <c r="D37" s="496"/>
      <c r="E37" s="408">
        <f t="shared" si="103"/>
        <v>171956</v>
      </c>
      <c r="F37" s="562">
        <f t="shared" si="0"/>
        <v>171956</v>
      </c>
      <c r="G37" s="134"/>
      <c r="H37" s="135"/>
      <c r="I37" s="135"/>
      <c r="J37" s="14">
        <f t="shared" si="108"/>
        <v>0</v>
      </c>
      <c r="K37" s="14">
        <f t="shared" si="35"/>
        <v>4875</v>
      </c>
      <c r="L37" s="14">
        <f t="shared" si="1"/>
        <v>0.3</v>
      </c>
      <c r="M37" s="47">
        <f t="shared" si="65"/>
        <v>0</v>
      </c>
      <c r="N37" s="35">
        <f t="shared" si="36"/>
        <v>2.1999999999999997</v>
      </c>
      <c r="O37" s="159">
        <f t="shared" si="142"/>
        <v>2.7568695534154077</v>
      </c>
      <c r="P37" s="142"/>
      <c r="Q37" s="14">
        <f t="shared" si="3"/>
        <v>29</v>
      </c>
      <c r="R37" s="442">
        <f t="shared" si="123"/>
        <v>0</v>
      </c>
      <c r="S37" s="470">
        <f t="shared" si="37"/>
        <v>328.79467076367098</v>
      </c>
      <c r="T37" s="51">
        <f t="shared" si="5"/>
        <v>255</v>
      </c>
      <c r="U37" s="103">
        <f t="shared" si="201"/>
        <v>0</v>
      </c>
      <c r="V37" s="46">
        <f t="shared" si="38"/>
        <v>255</v>
      </c>
      <c r="W37" s="51">
        <f t="shared" si="6"/>
        <v>79</v>
      </c>
      <c r="X37" s="103">
        <f t="shared" si="202"/>
        <v>0</v>
      </c>
      <c r="Y37" s="46">
        <f t="shared" si="39"/>
        <v>79</v>
      </c>
      <c r="Z37" s="788"/>
      <c r="AA37" s="120">
        <f t="shared" si="203"/>
        <v>9</v>
      </c>
      <c r="AB37" s="570">
        <f t="shared" si="204"/>
        <v>4</v>
      </c>
      <c r="AC37" s="496"/>
      <c r="AD37" s="408">
        <f t="shared" si="143"/>
        <v>0</v>
      </c>
      <c r="AE37" s="562">
        <f t="shared" si="127"/>
        <v>0</v>
      </c>
      <c r="AF37" s="134"/>
      <c r="AG37" s="135"/>
      <c r="AH37" s="135"/>
      <c r="AI37" s="14">
        <f t="shared" si="109"/>
        <v>0</v>
      </c>
      <c r="AJ37" s="14">
        <f t="shared" si="168"/>
        <v>0</v>
      </c>
      <c r="AK37" s="14">
        <f t="shared" si="8"/>
        <v>0.3</v>
      </c>
      <c r="AL37" s="47">
        <f t="shared" si="110"/>
        <v>0</v>
      </c>
      <c r="AM37" s="35">
        <f t="shared" si="9"/>
        <v>2.1999999999999997</v>
      </c>
      <c r="AN37" s="159">
        <f t="shared" si="41"/>
        <v>0</v>
      </c>
      <c r="AO37" s="142"/>
      <c r="AP37" s="14">
        <f t="shared" si="10"/>
        <v>29</v>
      </c>
      <c r="AQ37" s="442">
        <f t="shared" si="11"/>
        <v>0</v>
      </c>
      <c r="AR37" s="470">
        <f t="shared" si="175"/>
        <v>0</v>
      </c>
      <c r="AS37" s="51">
        <f t="shared" si="12"/>
        <v>255</v>
      </c>
      <c r="AT37" s="103">
        <f t="shared" si="205"/>
        <v>0</v>
      </c>
      <c r="AU37" s="46">
        <f t="shared" si="144"/>
        <v>255</v>
      </c>
      <c r="AV37" s="51">
        <f t="shared" si="13"/>
        <v>79</v>
      </c>
      <c r="AW37" s="103">
        <f t="shared" si="206"/>
        <v>0</v>
      </c>
      <c r="AX37" s="46">
        <f t="shared" si="104"/>
        <v>79</v>
      </c>
      <c r="AZ37" s="120">
        <f t="shared" si="207"/>
        <v>9</v>
      </c>
      <c r="BA37" s="570">
        <f t="shared" si="208"/>
        <v>4</v>
      </c>
      <c r="BB37" s="496"/>
      <c r="BC37" s="408">
        <f t="shared" si="145"/>
        <v>116143</v>
      </c>
      <c r="BD37" s="562">
        <f t="shared" si="131"/>
        <v>116143</v>
      </c>
      <c r="BE37" s="134"/>
      <c r="BF37" s="135"/>
      <c r="BG37" s="135"/>
      <c r="BH37" s="14">
        <f t="shared" si="111"/>
        <v>0</v>
      </c>
      <c r="BI37" s="14">
        <f t="shared" si="170"/>
        <v>3926</v>
      </c>
      <c r="BJ37" s="14">
        <f t="shared" si="15"/>
        <v>0.3</v>
      </c>
      <c r="BK37" s="47">
        <f t="shared" si="112"/>
        <v>0</v>
      </c>
      <c r="BL37" s="35">
        <f t="shared" si="16"/>
        <v>2.1999999999999997</v>
      </c>
      <c r="BM37" s="155">
        <f t="shared" si="89"/>
        <v>3.2697865394065078</v>
      </c>
      <c r="BN37" s="142"/>
      <c r="BO37" s="14">
        <f t="shared" si="17"/>
        <v>29</v>
      </c>
      <c r="BP37" s="442">
        <f t="shared" si="18"/>
        <v>0</v>
      </c>
      <c r="BQ37" s="470">
        <f t="shared" si="176"/>
        <v>314.58428346602915</v>
      </c>
      <c r="BR37" s="51">
        <f t="shared" si="19"/>
        <v>255</v>
      </c>
      <c r="BS37" s="103">
        <f t="shared" si="209"/>
        <v>0</v>
      </c>
      <c r="BT37" s="46">
        <f t="shared" si="146"/>
        <v>255</v>
      </c>
      <c r="BU37" s="51">
        <f t="shared" si="20"/>
        <v>79</v>
      </c>
      <c r="BV37" s="103">
        <f t="shared" si="210"/>
        <v>0</v>
      </c>
      <c r="BW37" s="46">
        <f t="shared" si="105"/>
        <v>79</v>
      </c>
      <c r="BY37" s="120">
        <f t="shared" si="211"/>
        <v>9</v>
      </c>
      <c r="BZ37" s="570">
        <f t="shared" si="212"/>
        <v>4</v>
      </c>
      <c r="CA37" s="496"/>
      <c r="CB37" s="408">
        <f t="shared" si="147"/>
        <v>0</v>
      </c>
      <c r="CC37" s="562">
        <f t="shared" si="135"/>
        <v>0</v>
      </c>
      <c r="CD37" s="134"/>
      <c r="CE37" s="135"/>
      <c r="CF37" s="135"/>
      <c r="CG37" s="14">
        <f t="shared" si="113"/>
        <v>0</v>
      </c>
      <c r="CH37" s="14">
        <f t="shared" si="172"/>
        <v>0</v>
      </c>
      <c r="CI37" s="14">
        <f t="shared" si="22"/>
        <v>0.3</v>
      </c>
      <c r="CJ37" s="47">
        <f t="shared" si="114"/>
        <v>0</v>
      </c>
      <c r="CK37" s="35">
        <f t="shared" si="23"/>
        <v>2.1999999999999997</v>
      </c>
      <c r="CL37" s="159">
        <f t="shared" si="52"/>
        <v>0</v>
      </c>
      <c r="CM37" s="142"/>
      <c r="CN37" s="14">
        <f t="shared" si="24"/>
        <v>29</v>
      </c>
      <c r="CO37" s="442">
        <f t="shared" si="25"/>
        <v>0</v>
      </c>
      <c r="CP37" s="470">
        <f t="shared" si="177"/>
        <v>0</v>
      </c>
      <c r="CQ37" s="51">
        <f t="shared" si="26"/>
        <v>255</v>
      </c>
      <c r="CR37" s="103">
        <f t="shared" si="213"/>
        <v>0</v>
      </c>
      <c r="CS37" s="46">
        <f t="shared" si="148"/>
        <v>255</v>
      </c>
      <c r="CT37" s="51">
        <f t="shared" si="27"/>
        <v>79</v>
      </c>
      <c r="CU37" s="103">
        <f t="shared" si="214"/>
        <v>0</v>
      </c>
      <c r="CV37" s="46">
        <f t="shared" si="106"/>
        <v>79</v>
      </c>
      <c r="CX37" s="120">
        <f t="shared" si="215"/>
        <v>9</v>
      </c>
      <c r="CY37" s="570">
        <f t="shared" si="216"/>
        <v>4</v>
      </c>
      <c r="CZ37" s="496"/>
      <c r="DA37" s="408">
        <f t="shared" si="149"/>
        <v>0</v>
      </c>
      <c r="DB37" s="562">
        <f t="shared" si="139"/>
        <v>0</v>
      </c>
      <c r="DC37" s="134"/>
      <c r="DD37" s="135"/>
      <c r="DE37" s="135"/>
      <c r="DF37" s="14">
        <f t="shared" si="115"/>
        <v>0</v>
      </c>
      <c r="DG37" s="14">
        <f t="shared" si="174"/>
        <v>0</v>
      </c>
      <c r="DH37" s="14">
        <f t="shared" si="29"/>
        <v>0.3</v>
      </c>
      <c r="DI37" s="47">
        <f t="shared" si="116"/>
        <v>0</v>
      </c>
      <c r="DJ37" s="35">
        <f t="shared" si="30"/>
        <v>2.1999999999999997</v>
      </c>
      <c r="DK37" s="159">
        <f t="shared" si="58"/>
        <v>0</v>
      </c>
      <c r="DL37" s="142"/>
      <c r="DM37" s="14">
        <f t="shared" si="31"/>
        <v>29</v>
      </c>
      <c r="DN37" s="442">
        <f t="shared" si="32"/>
        <v>0</v>
      </c>
      <c r="DO37" s="470">
        <f t="shared" si="178"/>
        <v>0</v>
      </c>
      <c r="DP37" s="51">
        <f t="shared" si="33"/>
        <v>255</v>
      </c>
      <c r="DQ37" s="103">
        <f t="shared" si="217"/>
        <v>0</v>
      </c>
      <c r="DR37" s="46">
        <f t="shared" si="150"/>
        <v>255</v>
      </c>
      <c r="DS37" s="51">
        <f t="shared" si="34"/>
        <v>79</v>
      </c>
      <c r="DT37" s="103">
        <f t="shared" si="218"/>
        <v>0</v>
      </c>
      <c r="DU37" s="46">
        <f t="shared" si="107"/>
        <v>79</v>
      </c>
    </row>
    <row r="38" spans="1:125" x14ac:dyDescent="0.25">
      <c r="A38" s="362"/>
      <c r="B38" s="403">
        <f t="shared" si="199"/>
        <v>10</v>
      </c>
      <c r="C38" s="571">
        <f t="shared" si="200"/>
        <v>4</v>
      </c>
      <c r="D38" s="496"/>
      <c r="E38" s="408">
        <f t="shared" si="103"/>
        <v>171956</v>
      </c>
      <c r="F38" s="562">
        <f t="shared" si="0"/>
        <v>171956</v>
      </c>
      <c r="G38" s="134"/>
      <c r="H38" s="135"/>
      <c r="I38" s="135"/>
      <c r="J38" s="14">
        <f t="shared" si="108"/>
        <v>0</v>
      </c>
      <c r="K38" s="14">
        <f t="shared" si="35"/>
        <v>4875</v>
      </c>
      <c r="L38" s="14">
        <f t="shared" si="1"/>
        <v>0.3</v>
      </c>
      <c r="M38" s="47">
        <f t="shared" si="65"/>
        <v>0</v>
      </c>
      <c r="N38" s="35">
        <f t="shared" si="36"/>
        <v>2.1999999999999997</v>
      </c>
      <c r="O38" s="159">
        <f t="shared" si="142"/>
        <v>2.7568695534154077</v>
      </c>
      <c r="P38" s="142"/>
      <c r="Q38" s="14">
        <f t="shared" si="3"/>
        <v>29</v>
      </c>
      <c r="R38" s="442">
        <f t="shared" si="123"/>
        <v>0</v>
      </c>
      <c r="S38" s="470">
        <f t="shared" si="37"/>
        <v>328.79467076367098</v>
      </c>
      <c r="T38" s="51">
        <f t="shared" si="5"/>
        <v>255</v>
      </c>
      <c r="U38" s="103">
        <f t="shared" si="201"/>
        <v>0</v>
      </c>
      <c r="V38" s="46">
        <f t="shared" si="38"/>
        <v>255</v>
      </c>
      <c r="W38" s="12">
        <f t="shared" si="6"/>
        <v>79</v>
      </c>
      <c r="X38" s="103">
        <f t="shared" si="202"/>
        <v>0</v>
      </c>
      <c r="Y38" s="46">
        <f t="shared" si="39"/>
        <v>79</v>
      </c>
      <c r="Z38" s="487"/>
      <c r="AA38" s="403">
        <f t="shared" si="203"/>
        <v>10</v>
      </c>
      <c r="AB38" s="571">
        <f t="shared" si="204"/>
        <v>4</v>
      </c>
      <c r="AC38" s="496"/>
      <c r="AD38" s="408">
        <f t="shared" si="143"/>
        <v>0</v>
      </c>
      <c r="AE38" s="562">
        <f t="shared" si="127"/>
        <v>0</v>
      </c>
      <c r="AF38" s="134"/>
      <c r="AG38" s="135"/>
      <c r="AH38" s="135"/>
      <c r="AI38" s="14">
        <f t="shared" si="109"/>
        <v>0</v>
      </c>
      <c r="AJ38" s="14">
        <f t="shared" si="168"/>
        <v>0</v>
      </c>
      <c r="AK38" s="14">
        <f t="shared" si="8"/>
        <v>0.3</v>
      </c>
      <c r="AL38" s="47">
        <f t="shared" si="110"/>
        <v>0</v>
      </c>
      <c r="AM38" s="35">
        <f t="shared" si="9"/>
        <v>2.1999999999999997</v>
      </c>
      <c r="AN38" s="159">
        <f t="shared" si="41"/>
        <v>0</v>
      </c>
      <c r="AO38" s="142"/>
      <c r="AP38" s="14">
        <f t="shared" si="10"/>
        <v>29</v>
      </c>
      <c r="AQ38" s="442">
        <f t="shared" si="11"/>
        <v>0</v>
      </c>
      <c r="AR38" s="470">
        <f t="shared" si="175"/>
        <v>0</v>
      </c>
      <c r="AS38" s="51">
        <f t="shared" si="12"/>
        <v>255</v>
      </c>
      <c r="AT38" s="103">
        <f t="shared" si="205"/>
        <v>0</v>
      </c>
      <c r="AU38" s="46">
        <f t="shared" si="144"/>
        <v>255</v>
      </c>
      <c r="AV38" s="12">
        <f t="shared" si="13"/>
        <v>79</v>
      </c>
      <c r="AW38" s="103">
        <f t="shared" si="206"/>
        <v>0</v>
      </c>
      <c r="AX38" s="46">
        <f t="shared" si="104"/>
        <v>79</v>
      </c>
      <c r="AY38" s="362"/>
      <c r="AZ38" s="403">
        <f t="shared" si="207"/>
        <v>10</v>
      </c>
      <c r="BA38" s="571">
        <f t="shared" si="208"/>
        <v>4</v>
      </c>
      <c r="BB38" s="496"/>
      <c r="BC38" s="408">
        <f t="shared" si="145"/>
        <v>116143</v>
      </c>
      <c r="BD38" s="562">
        <f t="shared" si="131"/>
        <v>116143</v>
      </c>
      <c r="BE38" s="134"/>
      <c r="BF38" s="135"/>
      <c r="BG38" s="135"/>
      <c r="BH38" s="14">
        <f t="shared" si="111"/>
        <v>0</v>
      </c>
      <c r="BI38" s="14">
        <f t="shared" si="170"/>
        <v>3926</v>
      </c>
      <c r="BJ38" s="14">
        <f t="shared" si="15"/>
        <v>0.3</v>
      </c>
      <c r="BK38" s="47">
        <f t="shared" si="112"/>
        <v>0</v>
      </c>
      <c r="BL38" s="35">
        <f t="shared" si="16"/>
        <v>2.1999999999999997</v>
      </c>
      <c r="BM38" s="157">
        <f t="shared" si="89"/>
        <v>3.2697865394065078</v>
      </c>
      <c r="BN38" s="142"/>
      <c r="BO38" s="14">
        <f t="shared" si="17"/>
        <v>29</v>
      </c>
      <c r="BP38" s="442">
        <f t="shared" si="18"/>
        <v>0</v>
      </c>
      <c r="BQ38" s="470">
        <f t="shared" si="176"/>
        <v>314.58428346602915</v>
      </c>
      <c r="BR38" s="51">
        <f t="shared" si="19"/>
        <v>255</v>
      </c>
      <c r="BS38" s="103">
        <f t="shared" si="209"/>
        <v>0</v>
      </c>
      <c r="BT38" s="46">
        <f t="shared" si="146"/>
        <v>255</v>
      </c>
      <c r="BU38" s="12">
        <f t="shared" si="20"/>
        <v>79</v>
      </c>
      <c r="BV38" s="103">
        <f t="shared" si="210"/>
        <v>0</v>
      </c>
      <c r="BW38" s="46">
        <f t="shared" si="105"/>
        <v>79</v>
      </c>
      <c r="BX38" s="362"/>
      <c r="BY38" s="403">
        <f t="shared" si="211"/>
        <v>10</v>
      </c>
      <c r="BZ38" s="571">
        <f t="shared" si="212"/>
        <v>4</v>
      </c>
      <c r="CA38" s="496"/>
      <c r="CB38" s="408">
        <f t="shared" si="147"/>
        <v>0</v>
      </c>
      <c r="CC38" s="562">
        <f t="shared" si="135"/>
        <v>0</v>
      </c>
      <c r="CD38" s="134"/>
      <c r="CE38" s="135"/>
      <c r="CF38" s="135"/>
      <c r="CG38" s="14">
        <f t="shared" si="113"/>
        <v>0</v>
      </c>
      <c r="CH38" s="14">
        <f t="shared" si="172"/>
        <v>0</v>
      </c>
      <c r="CI38" s="14">
        <f t="shared" si="22"/>
        <v>0.3</v>
      </c>
      <c r="CJ38" s="47">
        <f t="shared" si="114"/>
        <v>0</v>
      </c>
      <c r="CK38" s="35">
        <f t="shared" si="23"/>
        <v>2.1999999999999997</v>
      </c>
      <c r="CL38" s="159">
        <f t="shared" si="52"/>
        <v>0</v>
      </c>
      <c r="CM38" s="142"/>
      <c r="CN38" s="14">
        <f t="shared" si="24"/>
        <v>29</v>
      </c>
      <c r="CO38" s="442">
        <f t="shared" si="25"/>
        <v>0</v>
      </c>
      <c r="CP38" s="470">
        <f t="shared" si="177"/>
        <v>0</v>
      </c>
      <c r="CQ38" s="51">
        <f t="shared" si="26"/>
        <v>255</v>
      </c>
      <c r="CR38" s="103">
        <f t="shared" si="213"/>
        <v>0</v>
      </c>
      <c r="CS38" s="46">
        <f t="shared" si="148"/>
        <v>255</v>
      </c>
      <c r="CT38" s="12">
        <f t="shared" si="27"/>
        <v>79</v>
      </c>
      <c r="CU38" s="103">
        <f t="shared" si="214"/>
        <v>0</v>
      </c>
      <c r="CV38" s="46">
        <f t="shared" si="106"/>
        <v>79</v>
      </c>
      <c r="CW38" s="362"/>
      <c r="CX38" s="403">
        <f t="shared" si="215"/>
        <v>10</v>
      </c>
      <c r="CY38" s="571">
        <f t="shared" si="216"/>
        <v>4</v>
      </c>
      <c r="CZ38" s="496"/>
      <c r="DA38" s="408">
        <f t="shared" si="149"/>
        <v>0</v>
      </c>
      <c r="DB38" s="562">
        <f t="shared" si="139"/>
        <v>0</v>
      </c>
      <c r="DC38" s="134"/>
      <c r="DD38" s="135"/>
      <c r="DE38" s="135"/>
      <c r="DF38" s="14">
        <f t="shared" si="115"/>
        <v>0</v>
      </c>
      <c r="DG38" s="14">
        <f t="shared" si="174"/>
        <v>0</v>
      </c>
      <c r="DH38" s="14">
        <f t="shared" si="29"/>
        <v>0.3</v>
      </c>
      <c r="DI38" s="47">
        <f t="shared" si="116"/>
        <v>0</v>
      </c>
      <c r="DJ38" s="35">
        <f t="shared" si="30"/>
        <v>2.1999999999999997</v>
      </c>
      <c r="DK38" s="159">
        <f t="shared" si="58"/>
        <v>0</v>
      </c>
      <c r="DL38" s="142"/>
      <c r="DM38" s="14">
        <f t="shared" si="31"/>
        <v>29</v>
      </c>
      <c r="DN38" s="442">
        <f t="shared" si="32"/>
        <v>0</v>
      </c>
      <c r="DO38" s="470">
        <f t="shared" si="178"/>
        <v>0</v>
      </c>
      <c r="DP38" s="51">
        <f t="shared" si="33"/>
        <v>255</v>
      </c>
      <c r="DQ38" s="103">
        <f t="shared" si="217"/>
        <v>0</v>
      </c>
      <c r="DR38" s="46">
        <f t="shared" si="150"/>
        <v>255</v>
      </c>
      <c r="DS38" s="12">
        <f t="shared" si="34"/>
        <v>79</v>
      </c>
      <c r="DT38" s="103">
        <f t="shared" si="218"/>
        <v>0</v>
      </c>
      <c r="DU38" s="46">
        <f t="shared" si="107"/>
        <v>79</v>
      </c>
    </row>
    <row r="39" spans="1:125" x14ac:dyDescent="0.25">
      <c r="A39" s="787"/>
      <c r="B39" s="403">
        <f t="shared" si="199"/>
        <v>11</v>
      </c>
      <c r="C39" s="571">
        <f t="shared" si="200"/>
        <v>4</v>
      </c>
      <c r="D39" s="496"/>
      <c r="E39" s="408">
        <f t="shared" si="103"/>
        <v>171956</v>
      </c>
      <c r="F39" s="562">
        <f t="shared" si="0"/>
        <v>171956</v>
      </c>
      <c r="G39" s="134"/>
      <c r="H39" s="135"/>
      <c r="I39" s="135"/>
      <c r="J39" s="14">
        <f t="shared" si="108"/>
        <v>0</v>
      </c>
      <c r="K39" s="14">
        <f t="shared" si="35"/>
        <v>4875</v>
      </c>
      <c r="L39" s="14">
        <f t="shared" si="1"/>
        <v>0.3</v>
      </c>
      <c r="M39" s="47">
        <f t="shared" si="65"/>
        <v>0</v>
      </c>
      <c r="N39" s="35">
        <f t="shared" si="36"/>
        <v>2.1999999999999997</v>
      </c>
      <c r="O39" s="159">
        <f t="shared" si="142"/>
        <v>2.7568695534154077</v>
      </c>
      <c r="P39" s="142"/>
      <c r="Q39" s="14">
        <f t="shared" si="3"/>
        <v>29</v>
      </c>
      <c r="R39" s="442">
        <f t="shared" si="123"/>
        <v>0</v>
      </c>
      <c r="S39" s="470">
        <f t="shared" si="37"/>
        <v>328.79467076367098</v>
      </c>
      <c r="T39" s="51">
        <f t="shared" si="5"/>
        <v>255</v>
      </c>
      <c r="U39" s="103">
        <f t="shared" si="201"/>
        <v>0</v>
      </c>
      <c r="V39" s="46">
        <f t="shared" si="38"/>
        <v>255</v>
      </c>
      <c r="W39" s="50">
        <f t="shared" si="6"/>
        <v>79</v>
      </c>
      <c r="X39" s="103">
        <f t="shared" si="202"/>
        <v>0</v>
      </c>
      <c r="Y39" s="46">
        <f t="shared" si="39"/>
        <v>79</v>
      </c>
      <c r="Z39" s="487"/>
      <c r="AA39" s="403">
        <f t="shared" si="203"/>
        <v>11</v>
      </c>
      <c r="AB39" s="571">
        <f t="shared" si="204"/>
        <v>4</v>
      </c>
      <c r="AC39" s="496"/>
      <c r="AD39" s="408">
        <f t="shared" si="143"/>
        <v>0</v>
      </c>
      <c r="AE39" s="562">
        <f t="shared" si="127"/>
        <v>0</v>
      </c>
      <c r="AF39" s="134"/>
      <c r="AG39" s="135"/>
      <c r="AH39" s="135"/>
      <c r="AI39" s="14">
        <f t="shared" si="109"/>
        <v>0</v>
      </c>
      <c r="AJ39" s="14">
        <f t="shared" si="168"/>
        <v>0</v>
      </c>
      <c r="AK39" s="14">
        <f t="shared" si="8"/>
        <v>0.3</v>
      </c>
      <c r="AL39" s="47">
        <f t="shared" si="110"/>
        <v>0</v>
      </c>
      <c r="AM39" s="35">
        <f t="shared" si="9"/>
        <v>2.1999999999999997</v>
      </c>
      <c r="AN39" s="159">
        <f t="shared" si="41"/>
        <v>0</v>
      </c>
      <c r="AO39" s="142"/>
      <c r="AP39" s="14">
        <f t="shared" si="10"/>
        <v>29</v>
      </c>
      <c r="AQ39" s="442">
        <f t="shared" si="11"/>
        <v>0</v>
      </c>
      <c r="AR39" s="470">
        <f t="shared" si="175"/>
        <v>0</v>
      </c>
      <c r="AS39" s="51">
        <f t="shared" si="12"/>
        <v>255</v>
      </c>
      <c r="AT39" s="103">
        <f t="shared" si="205"/>
        <v>0</v>
      </c>
      <c r="AU39" s="46">
        <f t="shared" si="144"/>
        <v>255</v>
      </c>
      <c r="AV39" s="50">
        <f t="shared" si="13"/>
        <v>79</v>
      </c>
      <c r="AW39" s="103">
        <f t="shared" si="206"/>
        <v>0</v>
      </c>
      <c r="AX39" s="46">
        <f t="shared" si="104"/>
        <v>79</v>
      </c>
      <c r="AY39" s="362"/>
      <c r="AZ39" s="403">
        <f t="shared" si="207"/>
        <v>11</v>
      </c>
      <c r="BA39" s="571">
        <f t="shared" si="208"/>
        <v>4</v>
      </c>
      <c r="BB39" s="496"/>
      <c r="BC39" s="408">
        <f t="shared" si="145"/>
        <v>116143</v>
      </c>
      <c r="BD39" s="562">
        <f t="shared" si="131"/>
        <v>116143</v>
      </c>
      <c r="BE39" s="134"/>
      <c r="BF39" s="135"/>
      <c r="BG39" s="135"/>
      <c r="BH39" s="14">
        <f t="shared" si="111"/>
        <v>0</v>
      </c>
      <c r="BI39" s="14">
        <f t="shared" si="170"/>
        <v>3926</v>
      </c>
      <c r="BJ39" s="14">
        <f t="shared" si="15"/>
        <v>0.3</v>
      </c>
      <c r="BK39" s="47">
        <f t="shared" si="112"/>
        <v>0</v>
      </c>
      <c r="BL39" s="35">
        <f t="shared" si="16"/>
        <v>2.1999999999999997</v>
      </c>
      <c r="BM39" s="157">
        <f t="shared" si="89"/>
        <v>3.2697865394065078</v>
      </c>
      <c r="BN39" s="142"/>
      <c r="BO39" s="14">
        <f t="shared" si="17"/>
        <v>29</v>
      </c>
      <c r="BP39" s="442">
        <f t="shared" si="18"/>
        <v>0</v>
      </c>
      <c r="BQ39" s="470">
        <f t="shared" si="176"/>
        <v>314.58428346602915</v>
      </c>
      <c r="BR39" s="51">
        <f t="shared" si="19"/>
        <v>255</v>
      </c>
      <c r="BS39" s="103">
        <f t="shared" si="209"/>
        <v>0</v>
      </c>
      <c r="BT39" s="46">
        <f t="shared" si="146"/>
        <v>255</v>
      </c>
      <c r="BU39" s="50">
        <f t="shared" si="20"/>
        <v>79</v>
      </c>
      <c r="BV39" s="103">
        <f t="shared" si="210"/>
        <v>0</v>
      </c>
      <c r="BW39" s="46">
        <f t="shared" si="105"/>
        <v>79</v>
      </c>
      <c r="BX39" s="362"/>
      <c r="BY39" s="403">
        <f t="shared" si="211"/>
        <v>11</v>
      </c>
      <c r="BZ39" s="571">
        <f t="shared" si="212"/>
        <v>4</v>
      </c>
      <c r="CA39" s="496"/>
      <c r="CB39" s="408">
        <f t="shared" si="147"/>
        <v>0</v>
      </c>
      <c r="CC39" s="562">
        <f t="shared" si="135"/>
        <v>0</v>
      </c>
      <c r="CD39" s="134"/>
      <c r="CE39" s="135"/>
      <c r="CF39" s="135"/>
      <c r="CG39" s="14">
        <f t="shared" si="113"/>
        <v>0</v>
      </c>
      <c r="CH39" s="14">
        <f t="shared" si="172"/>
        <v>0</v>
      </c>
      <c r="CI39" s="14">
        <f t="shared" si="22"/>
        <v>0.3</v>
      </c>
      <c r="CJ39" s="47">
        <f t="shared" si="114"/>
        <v>0</v>
      </c>
      <c r="CK39" s="35">
        <f t="shared" si="23"/>
        <v>2.1999999999999997</v>
      </c>
      <c r="CL39" s="159">
        <f t="shared" si="52"/>
        <v>0</v>
      </c>
      <c r="CM39" s="142"/>
      <c r="CN39" s="14">
        <f t="shared" si="24"/>
        <v>29</v>
      </c>
      <c r="CO39" s="442">
        <f t="shared" si="25"/>
        <v>0</v>
      </c>
      <c r="CP39" s="470">
        <f t="shared" si="177"/>
        <v>0</v>
      </c>
      <c r="CQ39" s="51">
        <f t="shared" si="26"/>
        <v>255</v>
      </c>
      <c r="CR39" s="103">
        <f t="shared" si="213"/>
        <v>0</v>
      </c>
      <c r="CS39" s="46">
        <f t="shared" si="148"/>
        <v>255</v>
      </c>
      <c r="CT39" s="50">
        <f t="shared" si="27"/>
        <v>79</v>
      </c>
      <c r="CU39" s="103">
        <f t="shared" si="214"/>
        <v>0</v>
      </c>
      <c r="CV39" s="46">
        <f t="shared" si="106"/>
        <v>79</v>
      </c>
      <c r="CW39" s="362"/>
      <c r="CX39" s="403">
        <f t="shared" si="215"/>
        <v>11</v>
      </c>
      <c r="CY39" s="571">
        <f t="shared" si="216"/>
        <v>4</v>
      </c>
      <c r="CZ39" s="496"/>
      <c r="DA39" s="408">
        <f t="shared" si="149"/>
        <v>0</v>
      </c>
      <c r="DB39" s="562">
        <f t="shared" si="139"/>
        <v>0</v>
      </c>
      <c r="DC39" s="134"/>
      <c r="DD39" s="135"/>
      <c r="DE39" s="135"/>
      <c r="DF39" s="14">
        <f t="shared" si="115"/>
        <v>0</v>
      </c>
      <c r="DG39" s="14">
        <f t="shared" si="174"/>
        <v>0</v>
      </c>
      <c r="DH39" s="14">
        <f t="shared" si="29"/>
        <v>0.3</v>
      </c>
      <c r="DI39" s="47">
        <f t="shared" si="116"/>
        <v>0</v>
      </c>
      <c r="DJ39" s="35">
        <f t="shared" si="30"/>
        <v>2.1999999999999997</v>
      </c>
      <c r="DK39" s="159">
        <f t="shared" si="58"/>
        <v>0</v>
      </c>
      <c r="DL39" s="142"/>
      <c r="DM39" s="14">
        <f t="shared" si="31"/>
        <v>29</v>
      </c>
      <c r="DN39" s="442">
        <f t="shared" si="32"/>
        <v>0</v>
      </c>
      <c r="DO39" s="470">
        <f t="shared" si="178"/>
        <v>0</v>
      </c>
      <c r="DP39" s="51">
        <f t="shared" si="33"/>
        <v>255</v>
      </c>
      <c r="DQ39" s="103">
        <f t="shared" si="217"/>
        <v>0</v>
      </c>
      <c r="DR39" s="46">
        <f t="shared" si="150"/>
        <v>255</v>
      </c>
      <c r="DS39" s="50">
        <f t="shared" si="34"/>
        <v>79</v>
      </c>
      <c r="DT39" s="103">
        <f t="shared" si="218"/>
        <v>0</v>
      </c>
      <c r="DU39" s="46">
        <f t="shared" si="107"/>
        <v>79</v>
      </c>
    </row>
    <row r="40" spans="1:125" ht="17.25" thickBot="1" x14ac:dyDescent="0.3">
      <c r="A40" s="787"/>
      <c r="B40" s="828">
        <f>B39+1</f>
        <v>12</v>
      </c>
      <c r="C40" s="829">
        <f t="shared" si="200"/>
        <v>4</v>
      </c>
      <c r="D40" s="830"/>
      <c r="E40" s="818">
        <f t="shared" si="103"/>
        <v>171956</v>
      </c>
      <c r="F40" s="450">
        <f t="shared" si="0"/>
        <v>171956</v>
      </c>
      <c r="G40" s="204"/>
      <c r="H40" s="205"/>
      <c r="I40" s="205"/>
      <c r="J40" s="13">
        <f t="shared" si="108"/>
        <v>0</v>
      </c>
      <c r="K40" s="13">
        <f t="shared" si="35"/>
        <v>4875</v>
      </c>
      <c r="L40" s="13">
        <f t="shared" si="1"/>
        <v>0.3</v>
      </c>
      <c r="M40" s="230">
        <f t="shared" si="65"/>
        <v>0</v>
      </c>
      <c r="N40" s="161">
        <f t="shared" si="36"/>
        <v>2.1999999999999997</v>
      </c>
      <c r="O40" s="157">
        <f t="shared" si="142"/>
        <v>2.7568695534154077</v>
      </c>
      <c r="P40" s="237"/>
      <c r="Q40" s="13">
        <f t="shared" si="3"/>
        <v>29</v>
      </c>
      <c r="R40" s="482">
        <f t="shared" si="123"/>
        <v>0</v>
      </c>
      <c r="S40" s="641">
        <f t="shared" si="37"/>
        <v>328.79467076367098</v>
      </c>
      <c r="T40" s="50">
        <f t="shared" si="5"/>
        <v>255</v>
      </c>
      <c r="U40" s="202">
        <f t="shared" si="201"/>
        <v>0</v>
      </c>
      <c r="V40" s="62">
        <f t="shared" si="38"/>
        <v>255</v>
      </c>
      <c r="W40" s="50">
        <f t="shared" si="6"/>
        <v>79</v>
      </c>
      <c r="X40" s="202">
        <f t="shared" si="202"/>
        <v>0</v>
      </c>
      <c r="Y40" s="62">
        <f t="shared" si="39"/>
        <v>79</v>
      </c>
      <c r="Z40" s="788"/>
      <c r="AA40" s="828">
        <f>AA39+1</f>
        <v>12</v>
      </c>
      <c r="AB40" s="829">
        <f t="shared" si="204"/>
        <v>4</v>
      </c>
      <c r="AC40" s="830"/>
      <c r="AD40" s="818">
        <f t="shared" si="143"/>
        <v>0</v>
      </c>
      <c r="AE40" s="450">
        <f t="shared" si="127"/>
        <v>0</v>
      </c>
      <c r="AF40" s="204"/>
      <c r="AG40" s="205"/>
      <c r="AH40" s="205"/>
      <c r="AI40" s="13">
        <f t="shared" si="109"/>
        <v>0</v>
      </c>
      <c r="AJ40" s="13">
        <f t="shared" si="168"/>
        <v>0</v>
      </c>
      <c r="AK40" s="13">
        <f t="shared" si="8"/>
        <v>0.3</v>
      </c>
      <c r="AL40" s="230">
        <f t="shared" si="110"/>
        <v>0</v>
      </c>
      <c r="AM40" s="161">
        <f t="shared" si="9"/>
        <v>2.1999999999999997</v>
      </c>
      <c r="AN40" s="157">
        <f t="shared" si="41"/>
        <v>0</v>
      </c>
      <c r="AO40" s="237"/>
      <c r="AP40" s="13">
        <f t="shared" si="10"/>
        <v>29</v>
      </c>
      <c r="AQ40" s="482">
        <f t="shared" si="11"/>
        <v>0</v>
      </c>
      <c r="AR40" s="641">
        <f t="shared" si="175"/>
        <v>0</v>
      </c>
      <c r="AS40" s="50">
        <f t="shared" si="12"/>
        <v>255</v>
      </c>
      <c r="AT40" s="202">
        <f t="shared" si="205"/>
        <v>0</v>
      </c>
      <c r="AU40" s="62">
        <f t="shared" si="144"/>
        <v>255</v>
      </c>
      <c r="AV40" s="50">
        <f t="shared" si="13"/>
        <v>79</v>
      </c>
      <c r="AW40" s="202">
        <f t="shared" si="206"/>
        <v>0</v>
      </c>
      <c r="AX40" s="62">
        <f t="shared" si="104"/>
        <v>79</v>
      </c>
      <c r="AZ40" s="828">
        <f>AZ39+1</f>
        <v>12</v>
      </c>
      <c r="BA40" s="829">
        <f t="shared" si="208"/>
        <v>4</v>
      </c>
      <c r="BB40" s="830"/>
      <c r="BC40" s="818">
        <f t="shared" si="145"/>
        <v>116143</v>
      </c>
      <c r="BD40" s="450">
        <f t="shared" si="131"/>
        <v>116143</v>
      </c>
      <c r="BE40" s="204"/>
      <c r="BF40" s="205"/>
      <c r="BG40" s="205"/>
      <c r="BH40" s="13">
        <f t="shared" si="111"/>
        <v>0</v>
      </c>
      <c r="BI40" s="13">
        <f t="shared" si="170"/>
        <v>3926</v>
      </c>
      <c r="BJ40" s="13">
        <f t="shared" si="15"/>
        <v>0.3</v>
      </c>
      <c r="BK40" s="230">
        <f t="shared" si="112"/>
        <v>0</v>
      </c>
      <c r="BL40" s="161">
        <f t="shared" si="16"/>
        <v>2.1999999999999997</v>
      </c>
      <c r="BM40" s="156">
        <f t="shared" si="89"/>
        <v>3.2697865394065078</v>
      </c>
      <c r="BN40" s="237"/>
      <c r="BO40" s="13">
        <f t="shared" si="17"/>
        <v>29</v>
      </c>
      <c r="BP40" s="482">
        <f t="shared" si="18"/>
        <v>0</v>
      </c>
      <c r="BQ40" s="641">
        <f t="shared" si="176"/>
        <v>314.58428346602915</v>
      </c>
      <c r="BR40" s="50">
        <f t="shared" si="19"/>
        <v>255</v>
      </c>
      <c r="BS40" s="202">
        <f t="shared" si="209"/>
        <v>0</v>
      </c>
      <c r="BT40" s="62">
        <f t="shared" si="146"/>
        <v>255</v>
      </c>
      <c r="BU40" s="50">
        <f t="shared" si="20"/>
        <v>79</v>
      </c>
      <c r="BV40" s="202">
        <f t="shared" si="210"/>
        <v>0</v>
      </c>
      <c r="BW40" s="62">
        <f t="shared" si="105"/>
        <v>79</v>
      </c>
      <c r="BY40" s="828">
        <f>BY39+1</f>
        <v>12</v>
      </c>
      <c r="BZ40" s="829">
        <f t="shared" si="212"/>
        <v>4</v>
      </c>
      <c r="CA40" s="830"/>
      <c r="CB40" s="818">
        <f t="shared" si="147"/>
        <v>0</v>
      </c>
      <c r="CC40" s="450">
        <f t="shared" si="135"/>
        <v>0</v>
      </c>
      <c r="CD40" s="204"/>
      <c r="CE40" s="205"/>
      <c r="CF40" s="205"/>
      <c r="CG40" s="13">
        <f t="shared" si="113"/>
        <v>0</v>
      </c>
      <c r="CH40" s="13">
        <f t="shared" si="172"/>
        <v>0</v>
      </c>
      <c r="CI40" s="13">
        <f t="shared" si="22"/>
        <v>0.3</v>
      </c>
      <c r="CJ40" s="230">
        <f t="shared" si="114"/>
        <v>0</v>
      </c>
      <c r="CK40" s="161">
        <f t="shared" si="23"/>
        <v>2.1999999999999997</v>
      </c>
      <c r="CL40" s="157">
        <f t="shared" si="52"/>
        <v>0</v>
      </c>
      <c r="CM40" s="237"/>
      <c r="CN40" s="13">
        <f t="shared" si="24"/>
        <v>29</v>
      </c>
      <c r="CO40" s="482">
        <f t="shared" si="25"/>
        <v>0</v>
      </c>
      <c r="CP40" s="641">
        <f t="shared" si="177"/>
        <v>0</v>
      </c>
      <c r="CQ40" s="50">
        <f t="shared" si="26"/>
        <v>255</v>
      </c>
      <c r="CR40" s="202">
        <f t="shared" si="213"/>
        <v>0</v>
      </c>
      <c r="CS40" s="62">
        <f t="shared" si="148"/>
        <v>255</v>
      </c>
      <c r="CT40" s="50">
        <f t="shared" si="27"/>
        <v>79</v>
      </c>
      <c r="CU40" s="202">
        <f t="shared" si="214"/>
        <v>0</v>
      </c>
      <c r="CV40" s="62">
        <f t="shared" si="106"/>
        <v>79</v>
      </c>
      <c r="CX40" s="828">
        <f>CX39+1</f>
        <v>12</v>
      </c>
      <c r="CY40" s="829">
        <f t="shared" si="216"/>
        <v>4</v>
      </c>
      <c r="CZ40" s="830"/>
      <c r="DA40" s="818">
        <f t="shared" si="149"/>
        <v>0</v>
      </c>
      <c r="DB40" s="450">
        <f t="shared" si="139"/>
        <v>0</v>
      </c>
      <c r="DC40" s="204"/>
      <c r="DD40" s="205"/>
      <c r="DE40" s="205"/>
      <c r="DF40" s="13">
        <f t="shared" si="115"/>
        <v>0</v>
      </c>
      <c r="DG40" s="13">
        <f t="shared" si="174"/>
        <v>0</v>
      </c>
      <c r="DH40" s="13">
        <f t="shared" si="29"/>
        <v>0.3</v>
      </c>
      <c r="DI40" s="230">
        <f t="shared" si="116"/>
        <v>0</v>
      </c>
      <c r="DJ40" s="161">
        <f t="shared" si="30"/>
        <v>2.1999999999999997</v>
      </c>
      <c r="DK40" s="157">
        <f t="shared" si="58"/>
        <v>0</v>
      </c>
      <c r="DL40" s="237"/>
      <c r="DM40" s="13">
        <f t="shared" si="31"/>
        <v>29</v>
      </c>
      <c r="DN40" s="482">
        <f t="shared" si="32"/>
        <v>0</v>
      </c>
      <c r="DO40" s="641">
        <f t="shared" si="178"/>
        <v>0</v>
      </c>
      <c r="DP40" s="50">
        <f t="shared" si="33"/>
        <v>255</v>
      </c>
      <c r="DQ40" s="202">
        <f t="shared" si="217"/>
        <v>0</v>
      </c>
      <c r="DR40" s="62">
        <f t="shared" si="150"/>
        <v>255</v>
      </c>
      <c r="DS40" s="50">
        <f t="shared" si="34"/>
        <v>79</v>
      </c>
      <c r="DT40" s="202">
        <f t="shared" si="218"/>
        <v>0</v>
      </c>
      <c r="DU40" s="62">
        <f t="shared" si="107"/>
        <v>79</v>
      </c>
    </row>
    <row r="41" spans="1:125" x14ac:dyDescent="0.25">
      <c r="B41" s="118">
        <v>13</v>
      </c>
      <c r="C41" s="575">
        <v>5</v>
      </c>
      <c r="D41" s="498"/>
      <c r="E41" s="400">
        <f t="shared" si="103"/>
        <v>171956</v>
      </c>
      <c r="F41" s="561">
        <f t="shared" si="0"/>
        <v>171956</v>
      </c>
      <c r="G41" s="130"/>
      <c r="H41" s="131"/>
      <c r="I41" s="131"/>
      <c r="J41" s="11">
        <f t="shared" si="108"/>
        <v>0</v>
      </c>
      <c r="K41" s="11">
        <f t="shared" si="35"/>
        <v>4875</v>
      </c>
      <c r="L41" s="11">
        <f t="shared" si="1"/>
        <v>0.18</v>
      </c>
      <c r="M41" s="42">
        <f t="shared" si="65"/>
        <v>0</v>
      </c>
      <c r="N41" s="21">
        <f t="shared" si="36"/>
        <v>2.38</v>
      </c>
      <c r="O41" s="165">
        <f t="shared" si="142"/>
        <v>2.7568695534154077</v>
      </c>
      <c r="P41" s="158"/>
      <c r="Q41" s="11">
        <f t="shared" si="3"/>
        <v>34</v>
      </c>
      <c r="R41" s="441">
        <f t="shared" si="123"/>
        <v>0</v>
      </c>
      <c r="S41" s="469">
        <f t="shared" si="37"/>
        <v>328.79467076367098</v>
      </c>
      <c r="T41" s="58">
        <f t="shared" si="5"/>
        <v>334</v>
      </c>
      <c r="U41" s="131"/>
      <c r="V41" s="41">
        <f t="shared" si="38"/>
        <v>334</v>
      </c>
      <c r="W41" s="18">
        <f t="shared" si="6"/>
        <v>79</v>
      </c>
      <c r="X41" s="131"/>
      <c r="Y41" s="41">
        <f t="shared" si="39"/>
        <v>79</v>
      </c>
      <c r="Z41" s="487"/>
      <c r="AA41" s="118">
        <v>13</v>
      </c>
      <c r="AB41" s="575">
        <v>5</v>
      </c>
      <c r="AC41" s="498"/>
      <c r="AD41" s="400">
        <f t="shared" si="143"/>
        <v>0</v>
      </c>
      <c r="AE41" s="561">
        <f t="shared" si="127"/>
        <v>0</v>
      </c>
      <c r="AF41" s="130"/>
      <c r="AG41" s="131"/>
      <c r="AH41" s="131"/>
      <c r="AI41" s="11">
        <f t="shared" si="109"/>
        <v>0</v>
      </c>
      <c r="AJ41" s="11">
        <f t="shared" si="168"/>
        <v>0</v>
      </c>
      <c r="AK41" s="11">
        <f t="shared" si="8"/>
        <v>0.18</v>
      </c>
      <c r="AL41" s="42">
        <f t="shared" si="110"/>
        <v>0</v>
      </c>
      <c r="AM41" s="21">
        <f t="shared" si="9"/>
        <v>2.38</v>
      </c>
      <c r="AN41" s="165">
        <f t="shared" si="41"/>
        <v>0</v>
      </c>
      <c r="AO41" s="158"/>
      <c r="AP41" s="11">
        <f t="shared" si="10"/>
        <v>34</v>
      </c>
      <c r="AQ41" s="441">
        <f t="shared" si="11"/>
        <v>0</v>
      </c>
      <c r="AR41" s="469">
        <f t="shared" si="175"/>
        <v>0</v>
      </c>
      <c r="AS41" s="58">
        <f t="shared" si="12"/>
        <v>334</v>
      </c>
      <c r="AT41" s="131"/>
      <c r="AU41" s="41">
        <f t="shared" si="144"/>
        <v>334</v>
      </c>
      <c r="AV41" s="18">
        <f t="shared" si="13"/>
        <v>79</v>
      </c>
      <c r="AW41" s="131"/>
      <c r="AX41" s="41">
        <f t="shared" si="104"/>
        <v>79</v>
      </c>
      <c r="AZ41" s="118">
        <v>13</v>
      </c>
      <c r="BA41" s="575">
        <v>5</v>
      </c>
      <c r="BB41" s="498"/>
      <c r="BC41" s="400">
        <f t="shared" si="145"/>
        <v>116143</v>
      </c>
      <c r="BD41" s="561">
        <f t="shared" si="131"/>
        <v>116143</v>
      </c>
      <c r="BE41" s="130"/>
      <c r="BF41" s="131"/>
      <c r="BG41" s="131"/>
      <c r="BH41" s="11">
        <f t="shared" si="111"/>
        <v>0</v>
      </c>
      <c r="BI41" s="11">
        <f t="shared" si="170"/>
        <v>3926</v>
      </c>
      <c r="BJ41" s="11">
        <f t="shared" si="15"/>
        <v>0.18</v>
      </c>
      <c r="BK41" s="42">
        <f t="shared" si="112"/>
        <v>0</v>
      </c>
      <c r="BL41" s="21">
        <f t="shared" si="16"/>
        <v>2.38</v>
      </c>
      <c r="BM41" s="155">
        <f t="shared" si="89"/>
        <v>3.2697865394065078</v>
      </c>
      <c r="BN41" s="158"/>
      <c r="BO41" s="11">
        <f t="shared" si="17"/>
        <v>34</v>
      </c>
      <c r="BP41" s="441">
        <f t="shared" si="18"/>
        <v>0</v>
      </c>
      <c r="BQ41" s="469">
        <f t="shared" si="176"/>
        <v>314.58428346602915</v>
      </c>
      <c r="BR41" s="58">
        <f t="shared" si="19"/>
        <v>334</v>
      </c>
      <c r="BS41" s="131"/>
      <c r="BT41" s="41">
        <f t="shared" si="146"/>
        <v>334</v>
      </c>
      <c r="BU41" s="18">
        <f t="shared" si="20"/>
        <v>79</v>
      </c>
      <c r="BV41" s="131"/>
      <c r="BW41" s="41">
        <f t="shared" si="105"/>
        <v>79</v>
      </c>
      <c r="BY41" s="118">
        <v>13</v>
      </c>
      <c r="BZ41" s="575">
        <v>5</v>
      </c>
      <c r="CA41" s="498"/>
      <c r="CB41" s="400">
        <f t="shared" si="147"/>
        <v>0</v>
      </c>
      <c r="CC41" s="561">
        <f t="shared" si="135"/>
        <v>0</v>
      </c>
      <c r="CD41" s="130"/>
      <c r="CE41" s="131"/>
      <c r="CF41" s="131"/>
      <c r="CG41" s="11">
        <f t="shared" si="113"/>
        <v>0</v>
      </c>
      <c r="CH41" s="11">
        <f t="shared" si="172"/>
        <v>0</v>
      </c>
      <c r="CI41" s="11">
        <f t="shared" si="22"/>
        <v>0.18</v>
      </c>
      <c r="CJ41" s="42">
        <f t="shared" si="114"/>
        <v>0</v>
      </c>
      <c r="CK41" s="21">
        <f t="shared" si="23"/>
        <v>2.38</v>
      </c>
      <c r="CL41" s="165">
        <f t="shared" si="52"/>
        <v>0</v>
      </c>
      <c r="CM41" s="158"/>
      <c r="CN41" s="11">
        <f t="shared" si="24"/>
        <v>34</v>
      </c>
      <c r="CO41" s="441">
        <f t="shared" si="25"/>
        <v>0</v>
      </c>
      <c r="CP41" s="469">
        <f t="shared" si="177"/>
        <v>0</v>
      </c>
      <c r="CQ41" s="58">
        <f t="shared" si="26"/>
        <v>334</v>
      </c>
      <c r="CR41" s="131"/>
      <c r="CS41" s="41">
        <f t="shared" si="148"/>
        <v>334</v>
      </c>
      <c r="CT41" s="18">
        <f t="shared" si="27"/>
        <v>79</v>
      </c>
      <c r="CU41" s="131"/>
      <c r="CV41" s="41">
        <f t="shared" si="106"/>
        <v>79</v>
      </c>
      <c r="CX41" s="118">
        <v>13</v>
      </c>
      <c r="CY41" s="575">
        <v>5</v>
      </c>
      <c r="CZ41" s="498"/>
      <c r="DA41" s="400">
        <f t="shared" si="149"/>
        <v>0</v>
      </c>
      <c r="DB41" s="561">
        <f t="shared" si="139"/>
        <v>0</v>
      </c>
      <c r="DC41" s="130"/>
      <c r="DD41" s="131"/>
      <c r="DE41" s="131"/>
      <c r="DF41" s="11">
        <f t="shared" si="115"/>
        <v>0</v>
      </c>
      <c r="DG41" s="11">
        <f t="shared" si="174"/>
        <v>0</v>
      </c>
      <c r="DH41" s="11">
        <f t="shared" si="29"/>
        <v>0.18</v>
      </c>
      <c r="DI41" s="42">
        <f t="shared" si="116"/>
        <v>0</v>
      </c>
      <c r="DJ41" s="21">
        <f t="shared" si="30"/>
        <v>2.38</v>
      </c>
      <c r="DK41" s="165">
        <f t="shared" si="58"/>
        <v>0</v>
      </c>
      <c r="DL41" s="158"/>
      <c r="DM41" s="11">
        <f t="shared" si="31"/>
        <v>34</v>
      </c>
      <c r="DN41" s="441">
        <f t="shared" si="32"/>
        <v>0</v>
      </c>
      <c r="DO41" s="469">
        <f t="shared" si="178"/>
        <v>0</v>
      </c>
      <c r="DP41" s="58">
        <f t="shared" si="33"/>
        <v>334</v>
      </c>
      <c r="DQ41" s="131"/>
      <c r="DR41" s="41">
        <f t="shared" si="150"/>
        <v>334</v>
      </c>
      <c r="DS41" s="18">
        <f t="shared" si="34"/>
        <v>79</v>
      </c>
      <c r="DT41" s="131"/>
      <c r="DU41" s="41">
        <f t="shared" si="107"/>
        <v>79</v>
      </c>
    </row>
    <row r="42" spans="1:125" x14ac:dyDescent="0.25">
      <c r="B42" s="120">
        <f>B41+1</f>
        <v>14</v>
      </c>
      <c r="C42" s="570">
        <f>C41</f>
        <v>5</v>
      </c>
      <c r="D42" s="229"/>
      <c r="E42" s="408">
        <f t="shared" si="103"/>
        <v>171956</v>
      </c>
      <c r="F42" s="562">
        <f t="shared" si="0"/>
        <v>171956</v>
      </c>
      <c r="G42" s="134"/>
      <c r="H42" s="135"/>
      <c r="I42" s="135"/>
      <c r="J42" s="14">
        <f t="shared" si="108"/>
        <v>0</v>
      </c>
      <c r="K42" s="14">
        <f t="shared" si="35"/>
        <v>4875</v>
      </c>
      <c r="L42" s="14">
        <f t="shared" si="1"/>
        <v>0.18</v>
      </c>
      <c r="M42" s="47">
        <f t="shared" si="65"/>
        <v>0</v>
      </c>
      <c r="N42" s="35">
        <f t="shared" si="36"/>
        <v>2.38</v>
      </c>
      <c r="O42" s="159">
        <f t="shared" si="142"/>
        <v>2.7568695534154077</v>
      </c>
      <c r="P42" s="142"/>
      <c r="Q42" s="14">
        <f t="shared" si="3"/>
        <v>34</v>
      </c>
      <c r="R42" s="442">
        <f t="shared" si="123"/>
        <v>0</v>
      </c>
      <c r="S42" s="470">
        <f t="shared" si="37"/>
        <v>328.79467076367098</v>
      </c>
      <c r="T42" s="51">
        <f t="shared" si="5"/>
        <v>334</v>
      </c>
      <c r="U42" s="103">
        <f>U41</f>
        <v>0</v>
      </c>
      <c r="V42" s="46">
        <f t="shared" si="38"/>
        <v>334</v>
      </c>
      <c r="W42" s="50">
        <f t="shared" si="6"/>
        <v>79</v>
      </c>
      <c r="X42" s="103">
        <f>X41</f>
        <v>0</v>
      </c>
      <c r="Y42" s="46">
        <f t="shared" si="39"/>
        <v>79</v>
      </c>
      <c r="Z42" s="487"/>
      <c r="AA42" s="120">
        <f>AA41+1</f>
        <v>14</v>
      </c>
      <c r="AB42" s="570">
        <f>AB41</f>
        <v>5</v>
      </c>
      <c r="AC42" s="229"/>
      <c r="AD42" s="408">
        <f t="shared" si="143"/>
        <v>0</v>
      </c>
      <c r="AE42" s="562">
        <f t="shared" si="127"/>
        <v>0</v>
      </c>
      <c r="AF42" s="134"/>
      <c r="AG42" s="135"/>
      <c r="AH42" s="135"/>
      <c r="AI42" s="14">
        <f t="shared" si="109"/>
        <v>0</v>
      </c>
      <c r="AJ42" s="14">
        <f t="shared" si="168"/>
        <v>0</v>
      </c>
      <c r="AK42" s="14">
        <f t="shared" si="8"/>
        <v>0.18</v>
      </c>
      <c r="AL42" s="47">
        <f t="shared" si="110"/>
        <v>0</v>
      </c>
      <c r="AM42" s="35">
        <f t="shared" si="9"/>
        <v>2.38</v>
      </c>
      <c r="AN42" s="159">
        <f t="shared" si="41"/>
        <v>0</v>
      </c>
      <c r="AO42" s="142"/>
      <c r="AP42" s="14">
        <f t="shared" si="10"/>
        <v>34</v>
      </c>
      <c r="AQ42" s="442">
        <f t="shared" si="11"/>
        <v>0</v>
      </c>
      <c r="AR42" s="470">
        <f t="shared" si="175"/>
        <v>0</v>
      </c>
      <c r="AS42" s="51">
        <f t="shared" si="12"/>
        <v>334</v>
      </c>
      <c r="AT42" s="103">
        <f>AT41</f>
        <v>0</v>
      </c>
      <c r="AU42" s="46">
        <f t="shared" si="144"/>
        <v>334</v>
      </c>
      <c r="AV42" s="50">
        <f t="shared" si="13"/>
        <v>79</v>
      </c>
      <c r="AW42" s="103">
        <f>AW41</f>
        <v>0</v>
      </c>
      <c r="AX42" s="46">
        <f t="shared" si="104"/>
        <v>79</v>
      </c>
      <c r="AZ42" s="120">
        <f>AZ41+1</f>
        <v>14</v>
      </c>
      <c r="BA42" s="570">
        <f>BA41</f>
        <v>5</v>
      </c>
      <c r="BB42" s="229"/>
      <c r="BC42" s="408">
        <f t="shared" si="145"/>
        <v>116143</v>
      </c>
      <c r="BD42" s="562">
        <f t="shared" si="131"/>
        <v>116143</v>
      </c>
      <c r="BE42" s="134"/>
      <c r="BF42" s="135"/>
      <c r="BG42" s="135"/>
      <c r="BH42" s="14">
        <f t="shared" si="111"/>
        <v>0</v>
      </c>
      <c r="BI42" s="14">
        <f t="shared" si="170"/>
        <v>3926</v>
      </c>
      <c r="BJ42" s="14">
        <f t="shared" si="15"/>
        <v>0.18</v>
      </c>
      <c r="BK42" s="47">
        <f t="shared" si="112"/>
        <v>0</v>
      </c>
      <c r="BL42" s="35">
        <f t="shared" si="16"/>
        <v>2.38</v>
      </c>
      <c r="BM42" s="159">
        <f t="shared" si="89"/>
        <v>3.2697865394065078</v>
      </c>
      <c r="BN42" s="142"/>
      <c r="BO42" s="14">
        <f t="shared" si="17"/>
        <v>34</v>
      </c>
      <c r="BP42" s="442">
        <f t="shared" si="18"/>
        <v>0</v>
      </c>
      <c r="BQ42" s="470">
        <f t="shared" si="176"/>
        <v>314.58428346602915</v>
      </c>
      <c r="BR42" s="51">
        <f t="shared" si="19"/>
        <v>334</v>
      </c>
      <c r="BS42" s="103">
        <f>BS41</f>
        <v>0</v>
      </c>
      <c r="BT42" s="46">
        <f t="shared" si="146"/>
        <v>334</v>
      </c>
      <c r="BU42" s="50">
        <f t="shared" si="20"/>
        <v>79</v>
      </c>
      <c r="BV42" s="103">
        <f>BV41</f>
        <v>0</v>
      </c>
      <c r="BW42" s="46">
        <f t="shared" si="105"/>
        <v>79</v>
      </c>
      <c r="BY42" s="120">
        <f>BY41+1</f>
        <v>14</v>
      </c>
      <c r="BZ42" s="570">
        <f>BZ41</f>
        <v>5</v>
      </c>
      <c r="CA42" s="229"/>
      <c r="CB42" s="408">
        <f t="shared" si="147"/>
        <v>0</v>
      </c>
      <c r="CC42" s="562">
        <f t="shared" si="135"/>
        <v>0</v>
      </c>
      <c r="CD42" s="134"/>
      <c r="CE42" s="135"/>
      <c r="CF42" s="135"/>
      <c r="CG42" s="14">
        <f t="shared" si="113"/>
        <v>0</v>
      </c>
      <c r="CH42" s="14">
        <f t="shared" si="172"/>
        <v>0</v>
      </c>
      <c r="CI42" s="14">
        <f t="shared" si="22"/>
        <v>0.18</v>
      </c>
      <c r="CJ42" s="47">
        <f t="shared" si="114"/>
        <v>0</v>
      </c>
      <c r="CK42" s="35">
        <f t="shared" si="23"/>
        <v>2.38</v>
      </c>
      <c r="CL42" s="159">
        <f t="shared" si="52"/>
        <v>0</v>
      </c>
      <c r="CM42" s="142"/>
      <c r="CN42" s="14">
        <f t="shared" si="24"/>
        <v>34</v>
      </c>
      <c r="CO42" s="442">
        <f t="shared" si="25"/>
        <v>0</v>
      </c>
      <c r="CP42" s="470">
        <f t="shared" si="177"/>
        <v>0</v>
      </c>
      <c r="CQ42" s="51">
        <f t="shared" si="26"/>
        <v>334</v>
      </c>
      <c r="CR42" s="103">
        <f>CR41</f>
        <v>0</v>
      </c>
      <c r="CS42" s="46">
        <f t="shared" si="148"/>
        <v>334</v>
      </c>
      <c r="CT42" s="50">
        <f t="shared" si="27"/>
        <v>79</v>
      </c>
      <c r="CU42" s="103">
        <f>CU41</f>
        <v>0</v>
      </c>
      <c r="CV42" s="46">
        <f t="shared" si="106"/>
        <v>79</v>
      </c>
      <c r="CX42" s="120">
        <f>CX41+1</f>
        <v>14</v>
      </c>
      <c r="CY42" s="570">
        <f>CY41</f>
        <v>5</v>
      </c>
      <c r="CZ42" s="229"/>
      <c r="DA42" s="408">
        <f t="shared" si="149"/>
        <v>0</v>
      </c>
      <c r="DB42" s="562">
        <f t="shared" si="139"/>
        <v>0</v>
      </c>
      <c r="DC42" s="134"/>
      <c r="DD42" s="135"/>
      <c r="DE42" s="135"/>
      <c r="DF42" s="14">
        <f t="shared" si="115"/>
        <v>0</v>
      </c>
      <c r="DG42" s="14">
        <f t="shared" si="174"/>
        <v>0</v>
      </c>
      <c r="DH42" s="14">
        <f t="shared" si="29"/>
        <v>0.18</v>
      </c>
      <c r="DI42" s="47">
        <f t="shared" si="116"/>
        <v>0</v>
      </c>
      <c r="DJ42" s="35">
        <f t="shared" si="30"/>
        <v>2.38</v>
      </c>
      <c r="DK42" s="159">
        <f t="shared" si="58"/>
        <v>0</v>
      </c>
      <c r="DL42" s="142"/>
      <c r="DM42" s="14">
        <f t="shared" si="31"/>
        <v>34</v>
      </c>
      <c r="DN42" s="442">
        <f t="shared" si="32"/>
        <v>0</v>
      </c>
      <c r="DO42" s="470">
        <f t="shared" si="178"/>
        <v>0</v>
      </c>
      <c r="DP42" s="51">
        <f t="shared" si="33"/>
        <v>334</v>
      </c>
      <c r="DQ42" s="103">
        <f>DQ41</f>
        <v>0</v>
      </c>
      <c r="DR42" s="46">
        <f t="shared" si="150"/>
        <v>334</v>
      </c>
      <c r="DS42" s="50">
        <f t="shared" si="34"/>
        <v>79</v>
      </c>
      <c r="DT42" s="103">
        <f>DT41</f>
        <v>0</v>
      </c>
      <c r="DU42" s="46">
        <f t="shared" si="107"/>
        <v>79</v>
      </c>
    </row>
    <row r="43" spans="1:125" x14ac:dyDescent="0.25">
      <c r="A43" s="814"/>
      <c r="B43" s="120">
        <f>B42+1</f>
        <v>15</v>
      </c>
      <c r="C43" s="571">
        <f t="shared" ref="C43:C47" si="219">C42</f>
        <v>5</v>
      </c>
      <c r="D43" s="496"/>
      <c r="E43" s="408">
        <f t="shared" si="103"/>
        <v>171956</v>
      </c>
      <c r="F43" s="562">
        <f t="shared" si="0"/>
        <v>171956</v>
      </c>
      <c r="G43" s="405"/>
      <c r="H43" s="406"/>
      <c r="I43" s="406"/>
      <c r="J43" s="380">
        <f t="shared" si="108"/>
        <v>0</v>
      </c>
      <c r="K43" s="380">
        <f t="shared" si="35"/>
        <v>4875</v>
      </c>
      <c r="L43" s="380">
        <f t="shared" si="1"/>
        <v>0.18</v>
      </c>
      <c r="M43" s="410">
        <f t="shared" si="65"/>
        <v>0</v>
      </c>
      <c r="N43" s="407">
        <f t="shared" si="36"/>
        <v>2.38</v>
      </c>
      <c r="O43" s="824">
        <f t="shared" si="142"/>
        <v>2.7568695534154077</v>
      </c>
      <c r="P43" s="411"/>
      <c r="Q43" s="380">
        <f t="shared" si="3"/>
        <v>34</v>
      </c>
      <c r="R43" s="536">
        <f t="shared" si="123"/>
        <v>0</v>
      </c>
      <c r="S43" s="474">
        <f t="shared" si="37"/>
        <v>328.79467076367098</v>
      </c>
      <c r="T43" s="182">
        <f t="shared" si="5"/>
        <v>334</v>
      </c>
      <c r="U43" s="181">
        <f t="shared" ref="U43:U47" si="220">U42</f>
        <v>0</v>
      </c>
      <c r="V43" s="206">
        <f t="shared" si="38"/>
        <v>334</v>
      </c>
      <c r="W43" s="385">
        <f t="shared" si="6"/>
        <v>79</v>
      </c>
      <c r="X43" s="181">
        <f t="shared" ref="X43:X47" si="221">X42</f>
        <v>0</v>
      </c>
      <c r="Y43" s="206">
        <f t="shared" si="39"/>
        <v>79</v>
      </c>
      <c r="Z43" s="814"/>
      <c r="AA43" s="120">
        <f>AA42+1</f>
        <v>15</v>
      </c>
      <c r="AB43" s="571">
        <f t="shared" ref="AB43:AB47" si="222">AB42</f>
        <v>5</v>
      </c>
      <c r="AC43" s="496"/>
      <c r="AD43" s="408">
        <f t="shared" si="143"/>
        <v>0</v>
      </c>
      <c r="AE43" s="562">
        <f t="shared" si="127"/>
        <v>0</v>
      </c>
      <c r="AF43" s="405"/>
      <c r="AG43" s="406"/>
      <c r="AH43" s="406"/>
      <c r="AI43" s="380">
        <f t="shared" si="109"/>
        <v>0</v>
      </c>
      <c r="AJ43" s="380">
        <f t="shared" si="168"/>
        <v>0</v>
      </c>
      <c r="AK43" s="380">
        <f t="shared" si="8"/>
        <v>0.18</v>
      </c>
      <c r="AL43" s="410">
        <f t="shared" si="110"/>
        <v>0</v>
      </c>
      <c r="AM43" s="407">
        <f t="shared" si="9"/>
        <v>2.38</v>
      </c>
      <c r="AN43" s="824">
        <f t="shared" si="41"/>
        <v>0</v>
      </c>
      <c r="AO43" s="411"/>
      <c r="AP43" s="380">
        <f t="shared" si="10"/>
        <v>34</v>
      </c>
      <c r="AQ43" s="536">
        <f t="shared" si="11"/>
        <v>0</v>
      </c>
      <c r="AR43" s="474">
        <f t="shared" si="175"/>
        <v>0</v>
      </c>
      <c r="AS43" s="182">
        <f t="shared" si="12"/>
        <v>334</v>
      </c>
      <c r="AT43" s="181">
        <f t="shared" ref="AT43:AT47" si="223">AT42</f>
        <v>0</v>
      </c>
      <c r="AU43" s="206">
        <f t="shared" si="144"/>
        <v>334</v>
      </c>
      <c r="AV43" s="385">
        <f t="shared" si="13"/>
        <v>79</v>
      </c>
      <c r="AW43" s="181">
        <f t="shared" ref="AW43:AW47" si="224">AW42</f>
        <v>0</v>
      </c>
      <c r="AX43" s="206">
        <f t="shared" si="104"/>
        <v>79</v>
      </c>
      <c r="AY43" s="814"/>
      <c r="AZ43" s="403">
        <f>AZ42+1</f>
        <v>15</v>
      </c>
      <c r="BA43" s="571">
        <f t="shared" ref="BA43:BA47" si="225">BA42</f>
        <v>5</v>
      </c>
      <c r="BB43" s="496"/>
      <c r="BC43" s="408">
        <f t="shared" si="145"/>
        <v>116143</v>
      </c>
      <c r="BD43" s="562">
        <f t="shared" si="131"/>
        <v>116143</v>
      </c>
      <c r="BE43" s="405"/>
      <c r="BF43" s="406"/>
      <c r="BG43" s="406"/>
      <c r="BH43" s="380">
        <f t="shared" si="111"/>
        <v>0</v>
      </c>
      <c r="BI43" s="380">
        <f t="shared" si="170"/>
        <v>3926</v>
      </c>
      <c r="BJ43" s="380">
        <f t="shared" si="15"/>
        <v>0.18</v>
      </c>
      <c r="BK43" s="410">
        <f t="shared" si="112"/>
        <v>0</v>
      </c>
      <c r="BL43" s="407">
        <f t="shared" si="16"/>
        <v>2.38</v>
      </c>
      <c r="BM43" s="155">
        <f t="shared" si="89"/>
        <v>3.2697865394065078</v>
      </c>
      <c r="BN43" s="411"/>
      <c r="BO43" s="380">
        <f t="shared" si="17"/>
        <v>34</v>
      </c>
      <c r="BP43" s="536">
        <f t="shared" si="18"/>
        <v>0</v>
      </c>
      <c r="BQ43" s="474">
        <f t="shared" si="176"/>
        <v>314.58428346602915</v>
      </c>
      <c r="BR43" s="182">
        <f t="shared" si="19"/>
        <v>334</v>
      </c>
      <c r="BS43" s="181">
        <f t="shared" ref="BS43:BS47" si="226">BS42</f>
        <v>0</v>
      </c>
      <c r="BT43" s="206">
        <f t="shared" si="146"/>
        <v>334</v>
      </c>
      <c r="BU43" s="385">
        <f t="shared" si="20"/>
        <v>79</v>
      </c>
      <c r="BV43" s="181">
        <f t="shared" ref="BV43:BV47" si="227">BV42</f>
        <v>0</v>
      </c>
      <c r="BW43" s="206">
        <f t="shared" si="105"/>
        <v>79</v>
      </c>
      <c r="BX43" s="814"/>
      <c r="BY43" s="120">
        <f>BY42+1</f>
        <v>15</v>
      </c>
      <c r="BZ43" s="571">
        <f t="shared" ref="BZ43:BZ47" si="228">BZ42</f>
        <v>5</v>
      </c>
      <c r="CA43" s="496"/>
      <c r="CB43" s="408">
        <f t="shared" si="147"/>
        <v>0</v>
      </c>
      <c r="CC43" s="562">
        <f t="shared" si="135"/>
        <v>0</v>
      </c>
      <c r="CD43" s="405"/>
      <c r="CE43" s="406"/>
      <c r="CF43" s="406"/>
      <c r="CG43" s="380">
        <f t="shared" si="113"/>
        <v>0</v>
      </c>
      <c r="CH43" s="380">
        <f t="shared" si="172"/>
        <v>0</v>
      </c>
      <c r="CI43" s="380">
        <f t="shared" si="22"/>
        <v>0.18</v>
      </c>
      <c r="CJ43" s="410">
        <f t="shared" si="114"/>
        <v>0</v>
      </c>
      <c r="CK43" s="407">
        <f t="shared" si="23"/>
        <v>2.38</v>
      </c>
      <c r="CL43" s="824">
        <f t="shared" si="52"/>
        <v>0</v>
      </c>
      <c r="CM43" s="411"/>
      <c r="CN43" s="380">
        <f t="shared" si="24"/>
        <v>34</v>
      </c>
      <c r="CO43" s="536">
        <f t="shared" si="25"/>
        <v>0</v>
      </c>
      <c r="CP43" s="474">
        <f t="shared" si="177"/>
        <v>0</v>
      </c>
      <c r="CQ43" s="182">
        <f t="shared" si="26"/>
        <v>334</v>
      </c>
      <c r="CR43" s="181">
        <f t="shared" ref="CR43:CR47" si="229">CR42</f>
        <v>0</v>
      </c>
      <c r="CS43" s="206">
        <f t="shared" si="148"/>
        <v>334</v>
      </c>
      <c r="CT43" s="385">
        <f t="shared" si="27"/>
        <v>79</v>
      </c>
      <c r="CU43" s="181">
        <f t="shared" ref="CU43:CU47" si="230">CU42</f>
        <v>0</v>
      </c>
      <c r="CV43" s="206">
        <f t="shared" si="106"/>
        <v>79</v>
      </c>
      <c r="CW43" s="814"/>
      <c r="CX43" s="403">
        <f>CX42+1</f>
        <v>15</v>
      </c>
      <c r="CY43" s="571">
        <f t="shared" ref="CY43:CY47" si="231">CY42</f>
        <v>5</v>
      </c>
      <c r="CZ43" s="496"/>
      <c r="DA43" s="408">
        <f t="shared" si="149"/>
        <v>0</v>
      </c>
      <c r="DB43" s="562">
        <f t="shared" si="139"/>
        <v>0</v>
      </c>
      <c r="DC43" s="405"/>
      <c r="DD43" s="406"/>
      <c r="DE43" s="406"/>
      <c r="DF43" s="380">
        <f t="shared" si="115"/>
        <v>0</v>
      </c>
      <c r="DG43" s="380">
        <f t="shared" si="174"/>
        <v>0</v>
      </c>
      <c r="DH43" s="380">
        <f t="shared" si="29"/>
        <v>0.18</v>
      </c>
      <c r="DI43" s="410">
        <f t="shared" si="116"/>
        <v>0</v>
      </c>
      <c r="DJ43" s="407">
        <f t="shared" si="30"/>
        <v>2.38</v>
      </c>
      <c r="DK43" s="824">
        <f t="shared" si="58"/>
        <v>0</v>
      </c>
      <c r="DL43" s="411"/>
      <c r="DM43" s="380">
        <f t="shared" si="31"/>
        <v>34</v>
      </c>
      <c r="DN43" s="536">
        <f t="shared" si="32"/>
        <v>0</v>
      </c>
      <c r="DO43" s="474">
        <f t="shared" si="178"/>
        <v>0</v>
      </c>
      <c r="DP43" s="182">
        <f t="shared" si="33"/>
        <v>334</v>
      </c>
      <c r="DQ43" s="181">
        <f t="shared" ref="DQ43:DQ47" si="232">DQ42</f>
        <v>0</v>
      </c>
      <c r="DR43" s="206">
        <f t="shared" si="150"/>
        <v>334</v>
      </c>
      <c r="DS43" s="385">
        <f t="shared" si="34"/>
        <v>79</v>
      </c>
      <c r="DT43" s="181">
        <f t="shared" ref="DT43:DT47" si="233">DT42</f>
        <v>0</v>
      </c>
      <c r="DU43" s="206">
        <f t="shared" si="107"/>
        <v>79</v>
      </c>
    </row>
    <row r="44" spans="1:125" x14ac:dyDescent="0.25">
      <c r="A44" s="423"/>
      <c r="B44" s="120">
        <f t="shared" ref="B44:B47" si="234">B43+1</f>
        <v>16</v>
      </c>
      <c r="C44" s="571">
        <f t="shared" si="219"/>
        <v>5</v>
      </c>
      <c r="D44" s="496"/>
      <c r="E44" s="408">
        <f t="shared" si="103"/>
        <v>171956</v>
      </c>
      <c r="F44" s="562">
        <f t="shared" si="0"/>
        <v>171956</v>
      </c>
      <c r="G44" s="405"/>
      <c r="H44" s="406"/>
      <c r="I44" s="406"/>
      <c r="J44" s="380">
        <f t="shared" si="108"/>
        <v>0</v>
      </c>
      <c r="K44" s="380">
        <f t="shared" si="35"/>
        <v>4875</v>
      </c>
      <c r="L44" s="380">
        <f t="shared" si="1"/>
        <v>0.18</v>
      </c>
      <c r="M44" s="47">
        <f t="shared" si="65"/>
        <v>0</v>
      </c>
      <c r="N44" s="407">
        <f t="shared" si="36"/>
        <v>2.38</v>
      </c>
      <c r="O44" s="159">
        <f t="shared" si="142"/>
        <v>2.7568695534154077</v>
      </c>
      <c r="P44" s="411"/>
      <c r="Q44" s="380">
        <f t="shared" si="3"/>
        <v>34</v>
      </c>
      <c r="R44" s="442">
        <f t="shared" si="123"/>
        <v>0</v>
      </c>
      <c r="S44" s="474">
        <f t="shared" si="37"/>
        <v>328.79467076367098</v>
      </c>
      <c r="T44" s="182">
        <f t="shared" si="5"/>
        <v>334</v>
      </c>
      <c r="U44" s="181">
        <f t="shared" si="220"/>
        <v>0</v>
      </c>
      <c r="V44" s="206">
        <f t="shared" si="38"/>
        <v>334</v>
      </c>
      <c r="W44" s="182">
        <f t="shared" si="6"/>
        <v>79</v>
      </c>
      <c r="X44" s="181">
        <f t="shared" si="221"/>
        <v>0</v>
      </c>
      <c r="Y44" s="206">
        <f t="shared" si="39"/>
        <v>79</v>
      </c>
      <c r="Z44" s="487"/>
      <c r="AA44" s="120">
        <f t="shared" ref="AA44:AA47" si="235">AA43+1</f>
        <v>16</v>
      </c>
      <c r="AB44" s="571">
        <f t="shared" si="222"/>
        <v>5</v>
      </c>
      <c r="AC44" s="496"/>
      <c r="AD44" s="408">
        <f t="shared" si="143"/>
        <v>0</v>
      </c>
      <c r="AE44" s="562">
        <f t="shared" si="127"/>
        <v>0</v>
      </c>
      <c r="AF44" s="405"/>
      <c r="AG44" s="406"/>
      <c r="AH44" s="406"/>
      <c r="AI44" s="380">
        <f t="shared" si="109"/>
        <v>0</v>
      </c>
      <c r="AJ44" s="380">
        <f t="shared" si="168"/>
        <v>0</v>
      </c>
      <c r="AK44" s="380">
        <f t="shared" si="8"/>
        <v>0.18</v>
      </c>
      <c r="AL44" s="47">
        <f t="shared" si="110"/>
        <v>0</v>
      </c>
      <c r="AM44" s="407">
        <f t="shared" si="9"/>
        <v>2.38</v>
      </c>
      <c r="AN44" s="159">
        <f t="shared" si="41"/>
        <v>0</v>
      </c>
      <c r="AO44" s="411"/>
      <c r="AP44" s="380">
        <f t="shared" si="10"/>
        <v>34</v>
      </c>
      <c r="AQ44" s="442">
        <f t="shared" si="11"/>
        <v>0</v>
      </c>
      <c r="AR44" s="474">
        <f t="shared" si="175"/>
        <v>0</v>
      </c>
      <c r="AS44" s="182">
        <f t="shared" si="12"/>
        <v>334</v>
      </c>
      <c r="AT44" s="181">
        <f t="shared" si="223"/>
        <v>0</v>
      </c>
      <c r="AU44" s="206">
        <f t="shared" si="144"/>
        <v>334</v>
      </c>
      <c r="AV44" s="182">
        <f t="shared" si="13"/>
        <v>79</v>
      </c>
      <c r="AW44" s="181">
        <f t="shared" si="224"/>
        <v>0</v>
      </c>
      <c r="AX44" s="206">
        <f t="shared" si="104"/>
        <v>79</v>
      </c>
      <c r="AY44" s="412"/>
      <c r="AZ44" s="120">
        <f t="shared" ref="AZ44:AZ47" si="236">AZ43+1</f>
        <v>16</v>
      </c>
      <c r="BA44" s="571">
        <f t="shared" si="225"/>
        <v>5</v>
      </c>
      <c r="BB44" s="496"/>
      <c r="BC44" s="408">
        <f t="shared" si="145"/>
        <v>116143</v>
      </c>
      <c r="BD44" s="562">
        <f t="shared" si="131"/>
        <v>116143</v>
      </c>
      <c r="BE44" s="405"/>
      <c r="BF44" s="406"/>
      <c r="BG44" s="406"/>
      <c r="BH44" s="380">
        <f t="shared" si="111"/>
        <v>0</v>
      </c>
      <c r="BI44" s="380">
        <f t="shared" si="170"/>
        <v>3926</v>
      </c>
      <c r="BJ44" s="380">
        <f t="shared" si="15"/>
        <v>0.18</v>
      </c>
      <c r="BK44" s="47">
        <f t="shared" si="112"/>
        <v>0</v>
      </c>
      <c r="BL44" s="407">
        <f t="shared" si="16"/>
        <v>2.38</v>
      </c>
      <c r="BM44" s="157">
        <f t="shared" si="89"/>
        <v>3.2697865394065078</v>
      </c>
      <c r="BN44" s="411"/>
      <c r="BO44" s="380">
        <f t="shared" si="17"/>
        <v>34</v>
      </c>
      <c r="BP44" s="442">
        <f t="shared" si="18"/>
        <v>0</v>
      </c>
      <c r="BQ44" s="474">
        <f t="shared" si="176"/>
        <v>314.58428346602915</v>
      </c>
      <c r="BR44" s="182">
        <f t="shared" si="19"/>
        <v>334</v>
      </c>
      <c r="BS44" s="181">
        <f t="shared" si="226"/>
        <v>0</v>
      </c>
      <c r="BT44" s="206">
        <f t="shared" si="146"/>
        <v>334</v>
      </c>
      <c r="BU44" s="182">
        <f t="shared" si="20"/>
        <v>79</v>
      </c>
      <c r="BV44" s="181">
        <f t="shared" si="227"/>
        <v>0</v>
      </c>
      <c r="BW44" s="206">
        <f t="shared" si="105"/>
        <v>79</v>
      </c>
      <c r="BX44" s="412"/>
      <c r="BY44" s="120">
        <f t="shared" ref="BY44:BY47" si="237">BY43+1</f>
        <v>16</v>
      </c>
      <c r="BZ44" s="571">
        <f t="shared" si="228"/>
        <v>5</v>
      </c>
      <c r="CA44" s="496"/>
      <c r="CB44" s="408">
        <f t="shared" si="147"/>
        <v>0</v>
      </c>
      <c r="CC44" s="562">
        <f t="shared" si="135"/>
        <v>0</v>
      </c>
      <c r="CD44" s="405"/>
      <c r="CE44" s="406"/>
      <c r="CF44" s="406"/>
      <c r="CG44" s="380">
        <f t="shared" si="113"/>
        <v>0</v>
      </c>
      <c r="CH44" s="380">
        <f t="shared" si="172"/>
        <v>0</v>
      </c>
      <c r="CI44" s="380">
        <f t="shared" si="22"/>
        <v>0.18</v>
      </c>
      <c r="CJ44" s="47">
        <f t="shared" si="114"/>
        <v>0</v>
      </c>
      <c r="CK44" s="407">
        <f t="shared" si="23"/>
        <v>2.38</v>
      </c>
      <c r="CL44" s="159">
        <f t="shared" si="52"/>
        <v>0</v>
      </c>
      <c r="CM44" s="411"/>
      <c r="CN44" s="380">
        <f t="shared" si="24"/>
        <v>34</v>
      </c>
      <c r="CO44" s="442">
        <f t="shared" si="25"/>
        <v>0</v>
      </c>
      <c r="CP44" s="474">
        <f t="shared" si="177"/>
        <v>0</v>
      </c>
      <c r="CQ44" s="182">
        <f t="shared" si="26"/>
        <v>334</v>
      </c>
      <c r="CR44" s="181">
        <f t="shared" si="229"/>
        <v>0</v>
      </c>
      <c r="CS44" s="206">
        <f t="shared" si="148"/>
        <v>334</v>
      </c>
      <c r="CT44" s="182">
        <f t="shared" si="27"/>
        <v>79</v>
      </c>
      <c r="CU44" s="181">
        <f t="shared" si="230"/>
        <v>0</v>
      </c>
      <c r="CV44" s="206">
        <f t="shared" si="106"/>
        <v>79</v>
      </c>
      <c r="CW44" s="412"/>
      <c r="CX44" s="120">
        <f t="shared" ref="CX44:CX47" si="238">CX43+1</f>
        <v>16</v>
      </c>
      <c r="CY44" s="571">
        <f t="shared" si="231"/>
        <v>5</v>
      </c>
      <c r="CZ44" s="496"/>
      <c r="DA44" s="408">
        <f t="shared" si="149"/>
        <v>0</v>
      </c>
      <c r="DB44" s="562">
        <f t="shared" si="139"/>
        <v>0</v>
      </c>
      <c r="DC44" s="405"/>
      <c r="DD44" s="406"/>
      <c r="DE44" s="406"/>
      <c r="DF44" s="380">
        <f t="shared" si="115"/>
        <v>0</v>
      </c>
      <c r="DG44" s="380">
        <f t="shared" si="174"/>
        <v>0</v>
      </c>
      <c r="DH44" s="380">
        <f t="shared" si="29"/>
        <v>0.18</v>
      </c>
      <c r="DI44" s="47">
        <f t="shared" si="116"/>
        <v>0</v>
      </c>
      <c r="DJ44" s="407">
        <f t="shared" si="30"/>
        <v>2.38</v>
      </c>
      <c r="DK44" s="159">
        <f t="shared" si="58"/>
        <v>0</v>
      </c>
      <c r="DL44" s="411"/>
      <c r="DM44" s="380">
        <f t="shared" si="31"/>
        <v>34</v>
      </c>
      <c r="DN44" s="442">
        <f t="shared" si="32"/>
        <v>0</v>
      </c>
      <c r="DO44" s="474">
        <f t="shared" si="178"/>
        <v>0</v>
      </c>
      <c r="DP44" s="182">
        <f t="shared" si="33"/>
        <v>334</v>
      </c>
      <c r="DQ44" s="181">
        <f t="shared" si="232"/>
        <v>0</v>
      </c>
      <c r="DR44" s="206">
        <f t="shared" si="150"/>
        <v>334</v>
      </c>
      <c r="DS44" s="182">
        <f t="shared" si="34"/>
        <v>79</v>
      </c>
      <c r="DT44" s="181">
        <f t="shared" si="233"/>
        <v>0</v>
      </c>
      <c r="DU44" s="206">
        <f t="shared" si="107"/>
        <v>79</v>
      </c>
    </row>
    <row r="45" spans="1:125" x14ac:dyDescent="0.25">
      <c r="B45" s="120">
        <f t="shared" si="234"/>
        <v>17</v>
      </c>
      <c r="C45" s="570">
        <f t="shared" si="219"/>
        <v>5</v>
      </c>
      <c r="D45" s="496"/>
      <c r="E45" s="408">
        <f t="shared" si="103"/>
        <v>171956</v>
      </c>
      <c r="F45" s="562">
        <f t="shared" si="0"/>
        <v>171956</v>
      </c>
      <c r="G45" s="134"/>
      <c r="H45" s="135"/>
      <c r="I45" s="135"/>
      <c r="J45" s="14">
        <f t="shared" si="108"/>
        <v>0</v>
      </c>
      <c r="K45" s="14">
        <f t="shared" si="35"/>
        <v>4875</v>
      </c>
      <c r="L45" s="14">
        <f t="shared" si="1"/>
        <v>0.18</v>
      </c>
      <c r="M45" s="47">
        <f t="shared" si="65"/>
        <v>0</v>
      </c>
      <c r="N45" s="35">
        <f t="shared" si="36"/>
        <v>2.38</v>
      </c>
      <c r="O45" s="159">
        <f t="shared" si="142"/>
        <v>2.7568695534154077</v>
      </c>
      <c r="P45" s="142"/>
      <c r="Q45" s="14">
        <f t="shared" si="3"/>
        <v>34</v>
      </c>
      <c r="R45" s="442">
        <f t="shared" si="123"/>
        <v>0</v>
      </c>
      <c r="S45" s="470">
        <f t="shared" si="37"/>
        <v>328.79467076367098</v>
      </c>
      <c r="T45" s="51">
        <f t="shared" si="5"/>
        <v>334</v>
      </c>
      <c r="U45" s="103">
        <f t="shared" si="220"/>
        <v>0</v>
      </c>
      <c r="V45" s="46">
        <f t="shared" si="38"/>
        <v>334</v>
      </c>
      <c r="W45" s="51">
        <f t="shared" si="6"/>
        <v>79</v>
      </c>
      <c r="X45" s="103">
        <f t="shared" si="221"/>
        <v>0</v>
      </c>
      <c r="Y45" s="46">
        <f t="shared" si="39"/>
        <v>79</v>
      </c>
      <c r="Z45" s="487"/>
      <c r="AA45" s="120">
        <f t="shared" si="235"/>
        <v>17</v>
      </c>
      <c r="AB45" s="570">
        <f t="shared" si="222"/>
        <v>5</v>
      </c>
      <c r="AC45" s="496"/>
      <c r="AD45" s="408">
        <f t="shared" si="143"/>
        <v>0</v>
      </c>
      <c r="AE45" s="562">
        <f t="shared" si="127"/>
        <v>0</v>
      </c>
      <c r="AF45" s="134"/>
      <c r="AG45" s="135"/>
      <c r="AH45" s="135"/>
      <c r="AI45" s="14">
        <f t="shared" si="109"/>
        <v>0</v>
      </c>
      <c r="AJ45" s="14">
        <f t="shared" si="168"/>
        <v>0</v>
      </c>
      <c r="AK45" s="14">
        <f t="shared" si="8"/>
        <v>0.18</v>
      </c>
      <c r="AL45" s="47">
        <f t="shared" si="110"/>
        <v>0</v>
      </c>
      <c r="AM45" s="35">
        <f t="shared" si="9"/>
        <v>2.38</v>
      </c>
      <c r="AN45" s="159">
        <f t="shared" si="41"/>
        <v>0</v>
      </c>
      <c r="AO45" s="142"/>
      <c r="AP45" s="14">
        <f t="shared" si="10"/>
        <v>34</v>
      </c>
      <c r="AQ45" s="442">
        <f t="shared" si="11"/>
        <v>0</v>
      </c>
      <c r="AR45" s="470">
        <f t="shared" si="175"/>
        <v>0</v>
      </c>
      <c r="AS45" s="51">
        <f t="shared" si="12"/>
        <v>334</v>
      </c>
      <c r="AT45" s="103">
        <f t="shared" si="223"/>
        <v>0</v>
      </c>
      <c r="AU45" s="46">
        <f t="shared" si="144"/>
        <v>334</v>
      </c>
      <c r="AV45" s="51">
        <f t="shared" si="13"/>
        <v>79</v>
      </c>
      <c r="AW45" s="103">
        <f t="shared" si="224"/>
        <v>0</v>
      </c>
      <c r="AX45" s="46">
        <f t="shared" si="104"/>
        <v>79</v>
      </c>
      <c r="AZ45" s="120">
        <f t="shared" si="236"/>
        <v>17</v>
      </c>
      <c r="BA45" s="570">
        <f t="shared" si="225"/>
        <v>5</v>
      </c>
      <c r="BB45" s="496"/>
      <c r="BC45" s="408">
        <f t="shared" si="145"/>
        <v>116143</v>
      </c>
      <c r="BD45" s="562">
        <f t="shared" si="131"/>
        <v>116143</v>
      </c>
      <c r="BE45" s="134"/>
      <c r="BF45" s="135"/>
      <c r="BG45" s="135"/>
      <c r="BH45" s="14">
        <f t="shared" si="111"/>
        <v>0</v>
      </c>
      <c r="BI45" s="14">
        <f t="shared" si="170"/>
        <v>3926</v>
      </c>
      <c r="BJ45" s="14">
        <f t="shared" si="15"/>
        <v>0.18</v>
      </c>
      <c r="BK45" s="47">
        <f t="shared" si="112"/>
        <v>0</v>
      </c>
      <c r="BL45" s="35">
        <f t="shared" si="16"/>
        <v>2.38</v>
      </c>
      <c r="BM45" s="157">
        <f t="shared" si="89"/>
        <v>3.2697865394065078</v>
      </c>
      <c r="BN45" s="142"/>
      <c r="BO45" s="14">
        <f t="shared" si="17"/>
        <v>34</v>
      </c>
      <c r="BP45" s="442">
        <f t="shared" si="18"/>
        <v>0</v>
      </c>
      <c r="BQ45" s="470">
        <f t="shared" si="176"/>
        <v>314.58428346602915</v>
      </c>
      <c r="BR45" s="51">
        <f t="shared" si="19"/>
        <v>334</v>
      </c>
      <c r="BS45" s="103">
        <f t="shared" si="226"/>
        <v>0</v>
      </c>
      <c r="BT45" s="46">
        <f t="shared" si="146"/>
        <v>334</v>
      </c>
      <c r="BU45" s="51">
        <f t="shared" si="20"/>
        <v>79</v>
      </c>
      <c r="BV45" s="103">
        <f t="shared" si="227"/>
        <v>0</v>
      </c>
      <c r="BW45" s="46">
        <f t="shared" si="105"/>
        <v>79</v>
      </c>
      <c r="BY45" s="120">
        <f t="shared" si="237"/>
        <v>17</v>
      </c>
      <c r="BZ45" s="570">
        <f t="shared" si="228"/>
        <v>5</v>
      </c>
      <c r="CA45" s="496"/>
      <c r="CB45" s="408">
        <f t="shared" si="147"/>
        <v>0</v>
      </c>
      <c r="CC45" s="562">
        <f t="shared" si="135"/>
        <v>0</v>
      </c>
      <c r="CD45" s="134"/>
      <c r="CE45" s="135"/>
      <c r="CF45" s="135"/>
      <c r="CG45" s="14">
        <f t="shared" si="113"/>
        <v>0</v>
      </c>
      <c r="CH45" s="14">
        <f t="shared" si="172"/>
        <v>0</v>
      </c>
      <c r="CI45" s="14">
        <f t="shared" si="22"/>
        <v>0.18</v>
      </c>
      <c r="CJ45" s="47">
        <f t="shared" si="114"/>
        <v>0</v>
      </c>
      <c r="CK45" s="35">
        <f t="shared" si="23"/>
        <v>2.38</v>
      </c>
      <c r="CL45" s="159">
        <f t="shared" si="52"/>
        <v>0</v>
      </c>
      <c r="CM45" s="142"/>
      <c r="CN45" s="14">
        <f t="shared" si="24"/>
        <v>34</v>
      </c>
      <c r="CO45" s="442">
        <f t="shared" si="25"/>
        <v>0</v>
      </c>
      <c r="CP45" s="470">
        <f t="shared" si="177"/>
        <v>0</v>
      </c>
      <c r="CQ45" s="51">
        <f t="shared" si="26"/>
        <v>334</v>
      </c>
      <c r="CR45" s="103">
        <f t="shared" si="229"/>
        <v>0</v>
      </c>
      <c r="CS45" s="46">
        <f t="shared" si="148"/>
        <v>334</v>
      </c>
      <c r="CT45" s="51">
        <f t="shared" si="27"/>
        <v>79</v>
      </c>
      <c r="CU45" s="103">
        <f t="shared" si="230"/>
        <v>0</v>
      </c>
      <c r="CV45" s="46">
        <f t="shared" si="106"/>
        <v>79</v>
      </c>
      <c r="CX45" s="120">
        <f t="shared" si="238"/>
        <v>17</v>
      </c>
      <c r="CY45" s="570">
        <f t="shared" si="231"/>
        <v>5</v>
      </c>
      <c r="CZ45" s="496"/>
      <c r="DA45" s="408">
        <f t="shared" si="149"/>
        <v>0</v>
      </c>
      <c r="DB45" s="562">
        <f t="shared" si="139"/>
        <v>0</v>
      </c>
      <c r="DC45" s="134"/>
      <c r="DD45" s="135"/>
      <c r="DE45" s="135"/>
      <c r="DF45" s="14">
        <f t="shared" si="115"/>
        <v>0</v>
      </c>
      <c r="DG45" s="14">
        <f t="shared" si="174"/>
        <v>0</v>
      </c>
      <c r="DH45" s="14">
        <f t="shared" si="29"/>
        <v>0.18</v>
      </c>
      <c r="DI45" s="47">
        <f t="shared" si="116"/>
        <v>0</v>
      </c>
      <c r="DJ45" s="35">
        <f t="shared" si="30"/>
        <v>2.38</v>
      </c>
      <c r="DK45" s="159">
        <f t="shared" si="58"/>
        <v>0</v>
      </c>
      <c r="DL45" s="142"/>
      <c r="DM45" s="14">
        <f t="shared" si="31"/>
        <v>34</v>
      </c>
      <c r="DN45" s="442">
        <f t="shared" si="32"/>
        <v>0</v>
      </c>
      <c r="DO45" s="470">
        <f t="shared" si="178"/>
        <v>0</v>
      </c>
      <c r="DP45" s="51">
        <f t="shared" si="33"/>
        <v>334</v>
      </c>
      <c r="DQ45" s="103">
        <f t="shared" si="232"/>
        <v>0</v>
      </c>
      <c r="DR45" s="46">
        <f t="shared" si="150"/>
        <v>334</v>
      </c>
      <c r="DS45" s="51">
        <f t="shared" si="34"/>
        <v>79</v>
      </c>
      <c r="DT45" s="103">
        <f t="shared" si="233"/>
        <v>0</v>
      </c>
      <c r="DU45" s="46">
        <f t="shared" si="107"/>
        <v>79</v>
      </c>
    </row>
    <row r="46" spans="1:125" ht="18" customHeight="1" x14ac:dyDescent="0.25">
      <c r="B46" s="120">
        <f t="shared" si="234"/>
        <v>18</v>
      </c>
      <c r="C46" s="570">
        <f t="shared" si="219"/>
        <v>5</v>
      </c>
      <c r="D46" s="496"/>
      <c r="E46" s="408">
        <f t="shared" si="103"/>
        <v>171956</v>
      </c>
      <c r="F46" s="562">
        <f t="shared" si="0"/>
        <v>171956</v>
      </c>
      <c r="G46" s="134"/>
      <c r="H46" s="135"/>
      <c r="I46" s="135"/>
      <c r="J46" s="14">
        <f t="shared" si="108"/>
        <v>0</v>
      </c>
      <c r="K46" s="14">
        <f>K45+J46</f>
        <v>4875</v>
      </c>
      <c r="L46" s="14">
        <f t="shared" si="1"/>
        <v>0.18</v>
      </c>
      <c r="M46" s="47">
        <f t="shared" si="65"/>
        <v>0</v>
      </c>
      <c r="N46" s="35">
        <f t="shared" si="36"/>
        <v>2.38</v>
      </c>
      <c r="O46" s="159">
        <f t="shared" si="142"/>
        <v>2.7568695534154077</v>
      </c>
      <c r="P46" s="142"/>
      <c r="Q46" s="14">
        <f t="shared" si="3"/>
        <v>34</v>
      </c>
      <c r="R46" s="442">
        <f t="shared" si="123"/>
        <v>0</v>
      </c>
      <c r="S46" s="470">
        <f t="shared" si="37"/>
        <v>328.79467076367098</v>
      </c>
      <c r="T46" s="51">
        <f t="shared" si="5"/>
        <v>334</v>
      </c>
      <c r="U46" s="103">
        <f t="shared" si="220"/>
        <v>0</v>
      </c>
      <c r="V46" s="46">
        <f t="shared" si="38"/>
        <v>334</v>
      </c>
      <c r="W46" s="12">
        <f t="shared" si="6"/>
        <v>79</v>
      </c>
      <c r="X46" s="103">
        <f t="shared" si="221"/>
        <v>0</v>
      </c>
      <c r="Y46" s="46">
        <f t="shared" si="39"/>
        <v>79</v>
      </c>
      <c r="Z46" s="487"/>
      <c r="AA46" s="120">
        <f t="shared" si="235"/>
        <v>18</v>
      </c>
      <c r="AB46" s="570">
        <f t="shared" si="222"/>
        <v>5</v>
      </c>
      <c r="AC46" s="496"/>
      <c r="AD46" s="408">
        <f t="shared" si="143"/>
        <v>0</v>
      </c>
      <c r="AE46" s="562">
        <f t="shared" si="127"/>
        <v>0</v>
      </c>
      <c r="AF46" s="134"/>
      <c r="AG46" s="135"/>
      <c r="AH46" s="135"/>
      <c r="AI46" s="14">
        <f t="shared" si="109"/>
        <v>0</v>
      </c>
      <c r="AJ46" s="14">
        <f>AJ45+AI46</f>
        <v>0</v>
      </c>
      <c r="AK46" s="14">
        <f t="shared" si="8"/>
        <v>0.18</v>
      </c>
      <c r="AL46" s="47">
        <f t="shared" si="110"/>
        <v>0</v>
      </c>
      <c r="AM46" s="35">
        <f t="shared" si="9"/>
        <v>2.38</v>
      </c>
      <c r="AN46" s="159">
        <f t="shared" si="41"/>
        <v>0</v>
      </c>
      <c r="AO46" s="142"/>
      <c r="AP46" s="14">
        <f t="shared" si="10"/>
        <v>34</v>
      </c>
      <c r="AQ46" s="442">
        <f t="shared" si="11"/>
        <v>0</v>
      </c>
      <c r="AR46" s="470">
        <f t="shared" si="175"/>
        <v>0</v>
      </c>
      <c r="AS46" s="51">
        <f t="shared" si="12"/>
        <v>334</v>
      </c>
      <c r="AT46" s="103">
        <f t="shared" si="223"/>
        <v>0</v>
      </c>
      <c r="AU46" s="46">
        <f t="shared" si="144"/>
        <v>334</v>
      </c>
      <c r="AV46" s="12">
        <f t="shared" si="13"/>
        <v>79</v>
      </c>
      <c r="AW46" s="103">
        <f t="shared" si="224"/>
        <v>0</v>
      </c>
      <c r="AX46" s="46">
        <f t="shared" si="104"/>
        <v>79</v>
      </c>
      <c r="AZ46" s="120">
        <f t="shared" si="236"/>
        <v>18</v>
      </c>
      <c r="BA46" s="570">
        <f t="shared" si="225"/>
        <v>5</v>
      </c>
      <c r="BB46" s="496"/>
      <c r="BC46" s="408">
        <f t="shared" si="145"/>
        <v>116143</v>
      </c>
      <c r="BD46" s="562">
        <f t="shared" si="131"/>
        <v>116143</v>
      </c>
      <c r="BE46" s="134"/>
      <c r="BF46" s="135"/>
      <c r="BG46" s="135"/>
      <c r="BH46" s="14">
        <f t="shared" si="111"/>
        <v>0</v>
      </c>
      <c r="BI46" s="14">
        <f>BI45+BH46</f>
        <v>3926</v>
      </c>
      <c r="BJ46" s="14">
        <f t="shared" si="15"/>
        <v>0.18</v>
      </c>
      <c r="BK46" s="47">
        <f t="shared" si="112"/>
        <v>0</v>
      </c>
      <c r="BL46" s="35">
        <f t="shared" si="16"/>
        <v>2.38</v>
      </c>
      <c r="BM46" s="159">
        <f t="shared" si="89"/>
        <v>3.2697865394065078</v>
      </c>
      <c r="BN46" s="142"/>
      <c r="BO46" s="14">
        <f t="shared" si="17"/>
        <v>34</v>
      </c>
      <c r="BP46" s="442">
        <f t="shared" si="18"/>
        <v>0</v>
      </c>
      <c r="BQ46" s="470">
        <f t="shared" si="176"/>
        <v>314.58428346602915</v>
      </c>
      <c r="BR46" s="51">
        <f t="shared" si="19"/>
        <v>334</v>
      </c>
      <c r="BS46" s="103">
        <f t="shared" si="226"/>
        <v>0</v>
      </c>
      <c r="BT46" s="46">
        <f t="shared" si="146"/>
        <v>334</v>
      </c>
      <c r="BU46" s="12">
        <f t="shared" si="20"/>
        <v>79</v>
      </c>
      <c r="BV46" s="103">
        <f t="shared" si="227"/>
        <v>0</v>
      </c>
      <c r="BW46" s="46">
        <f t="shared" si="105"/>
        <v>79</v>
      </c>
      <c r="BY46" s="120">
        <f t="shared" si="237"/>
        <v>18</v>
      </c>
      <c r="BZ46" s="570">
        <f t="shared" si="228"/>
        <v>5</v>
      </c>
      <c r="CA46" s="496"/>
      <c r="CB46" s="408">
        <f t="shared" si="147"/>
        <v>0</v>
      </c>
      <c r="CC46" s="562">
        <f t="shared" si="135"/>
        <v>0</v>
      </c>
      <c r="CD46" s="134"/>
      <c r="CE46" s="135"/>
      <c r="CF46" s="135"/>
      <c r="CG46" s="14">
        <f t="shared" si="113"/>
        <v>0</v>
      </c>
      <c r="CH46" s="14">
        <f>CH45+CG46</f>
        <v>0</v>
      </c>
      <c r="CI46" s="14">
        <f t="shared" si="22"/>
        <v>0.18</v>
      </c>
      <c r="CJ46" s="47">
        <f t="shared" si="114"/>
        <v>0</v>
      </c>
      <c r="CK46" s="35">
        <f t="shared" si="23"/>
        <v>2.38</v>
      </c>
      <c r="CL46" s="159">
        <f t="shared" si="52"/>
        <v>0</v>
      </c>
      <c r="CM46" s="142"/>
      <c r="CN46" s="14">
        <f t="shared" si="24"/>
        <v>34</v>
      </c>
      <c r="CO46" s="442">
        <f t="shared" si="25"/>
        <v>0</v>
      </c>
      <c r="CP46" s="470">
        <f t="shared" si="177"/>
        <v>0</v>
      </c>
      <c r="CQ46" s="51">
        <f t="shared" si="26"/>
        <v>334</v>
      </c>
      <c r="CR46" s="103">
        <f t="shared" si="229"/>
        <v>0</v>
      </c>
      <c r="CS46" s="46">
        <f t="shared" si="148"/>
        <v>334</v>
      </c>
      <c r="CT46" s="12">
        <f t="shared" si="27"/>
        <v>79</v>
      </c>
      <c r="CU46" s="103">
        <f t="shared" si="230"/>
        <v>0</v>
      </c>
      <c r="CV46" s="46">
        <f t="shared" si="106"/>
        <v>79</v>
      </c>
      <c r="CX46" s="120">
        <f t="shared" si="238"/>
        <v>18</v>
      </c>
      <c r="CY46" s="570">
        <f t="shared" si="231"/>
        <v>5</v>
      </c>
      <c r="CZ46" s="496"/>
      <c r="DA46" s="408">
        <f t="shared" si="149"/>
        <v>0</v>
      </c>
      <c r="DB46" s="562">
        <f t="shared" si="139"/>
        <v>0</v>
      </c>
      <c r="DC46" s="134"/>
      <c r="DD46" s="135"/>
      <c r="DE46" s="135"/>
      <c r="DF46" s="14">
        <f t="shared" si="115"/>
        <v>0</v>
      </c>
      <c r="DG46" s="14">
        <f>DG45+DF46</f>
        <v>0</v>
      </c>
      <c r="DH46" s="14">
        <f t="shared" si="29"/>
        <v>0.18</v>
      </c>
      <c r="DI46" s="47">
        <f t="shared" si="116"/>
        <v>0</v>
      </c>
      <c r="DJ46" s="35">
        <f t="shared" si="30"/>
        <v>2.38</v>
      </c>
      <c r="DK46" s="159">
        <f t="shared" si="58"/>
        <v>0</v>
      </c>
      <c r="DL46" s="142"/>
      <c r="DM46" s="14">
        <f t="shared" si="31"/>
        <v>34</v>
      </c>
      <c r="DN46" s="442">
        <f t="shared" si="32"/>
        <v>0</v>
      </c>
      <c r="DO46" s="470">
        <f t="shared" si="178"/>
        <v>0</v>
      </c>
      <c r="DP46" s="51">
        <f t="shared" si="33"/>
        <v>334</v>
      </c>
      <c r="DQ46" s="103">
        <f t="shared" si="232"/>
        <v>0</v>
      </c>
      <c r="DR46" s="46">
        <f t="shared" si="150"/>
        <v>334</v>
      </c>
      <c r="DS46" s="12">
        <f t="shared" si="34"/>
        <v>79</v>
      </c>
      <c r="DT46" s="103">
        <f t="shared" si="233"/>
        <v>0</v>
      </c>
      <c r="DU46" s="46">
        <f t="shared" si="107"/>
        <v>79</v>
      </c>
    </row>
    <row r="47" spans="1:125" ht="17.25" thickBot="1" x14ac:dyDescent="0.3">
      <c r="B47" s="197">
        <f t="shared" si="234"/>
        <v>19</v>
      </c>
      <c r="C47" s="574">
        <f t="shared" si="219"/>
        <v>5</v>
      </c>
      <c r="D47" s="136"/>
      <c r="E47" s="436">
        <f t="shared" si="103"/>
        <v>171956</v>
      </c>
      <c r="F47" s="451">
        <f t="shared" si="0"/>
        <v>171956</v>
      </c>
      <c r="G47" s="137"/>
      <c r="H47" s="138"/>
      <c r="I47" s="138"/>
      <c r="J47" s="32">
        <f t="shared" si="108"/>
        <v>0</v>
      </c>
      <c r="K47" s="32">
        <f>K46+J47</f>
        <v>4875</v>
      </c>
      <c r="L47" s="32">
        <f t="shared" si="1"/>
        <v>0.18</v>
      </c>
      <c r="M47" s="96">
        <f t="shared" si="65"/>
        <v>0</v>
      </c>
      <c r="N47" s="36">
        <f t="shared" si="36"/>
        <v>2.38</v>
      </c>
      <c r="O47" s="156">
        <f t="shared" si="142"/>
        <v>2.7568695534154077</v>
      </c>
      <c r="P47" s="139"/>
      <c r="Q47" s="32">
        <f t="shared" si="3"/>
        <v>34</v>
      </c>
      <c r="R47" s="443">
        <f t="shared" si="123"/>
        <v>0</v>
      </c>
      <c r="S47" s="471">
        <f t="shared" si="37"/>
        <v>328.79467076367098</v>
      </c>
      <c r="T47" s="56">
        <f t="shared" si="5"/>
        <v>334</v>
      </c>
      <c r="U47" s="109">
        <f t="shared" si="220"/>
        <v>0</v>
      </c>
      <c r="V47" s="63">
        <f t="shared" si="38"/>
        <v>334</v>
      </c>
      <c r="W47" s="56">
        <f t="shared" si="6"/>
        <v>79</v>
      </c>
      <c r="X47" s="109">
        <f t="shared" si="221"/>
        <v>0</v>
      </c>
      <c r="Y47" s="63">
        <f t="shared" si="39"/>
        <v>79</v>
      </c>
      <c r="Z47" s="487"/>
      <c r="AA47" s="197">
        <f t="shared" si="235"/>
        <v>19</v>
      </c>
      <c r="AB47" s="574">
        <f t="shared" si="222"/>
        <v>5</v>
      </c>
      <c r="AC47" s="136"/>
      <c r="AD47" s="436">
        <f t="shared" si="143"/>
        <v>0</v>
      </c>
      <c r="AE47" s="451">
        <f t="shared" si="127"/>
        <v>0</v>
      </c>
      <c r="AF47" s="137"/>
      <c r="AG47" s="138"/>
      <c r="AH47" s="138"/>
      <c r="AI47" s="32">
        <f t="shared" si="109"/>
        <v>0</v>
      </c>
      <c r="AJ47" s="32">
        <f>AJ46+AI47</f>
        <v>0</v>
      </c>
      <c r="AK47" s="32">
        <f t="shared" si="8"/>
        <v>0.18</v>
      </c>
      <c r="AL47" s="96">
        <f t="shared" si="110"/>
        <v>0</v>
      </c>
      <c r="AM47" s="36">
        <f t="shared" si="9"/>
        <v>2.38</v>
      </c>
      <c r="AN47" s="156">
        <f t="shared" si="41"/>
        <v>0</v>
      </c>
      <c r="AO47" s="139"/>
      <c r="AP47" s="32">
        <f t="shared" si="10"/>
        <v>34</v>
      </c>
      <c r="AQ47" s="443">
        <f t="shared" si="11"/>
        <v>0</v>
      </c>
      <c r="AR47" s="471">
        <f t="shared" si="175"/>
        <v>0</v>
      </c>
      <c r="AS47" s="56">
        <f t="shared" si="12"/>
        <v>334</v>
      </c>
      <c r="AT47" s="109">
        <f t="shared" si="223"/>
        <v>0</v>
      </c>
      <c r="AU47" s="63">
        <f t="shared" si="144"/>
        <v>334</v>
      </c>
      <c r="AV47" s="56">
        <f t="shared" si="13"/>
        <v>79</v>
      </c>
      <c r="AW47" s="109">
        <f t="shared" si="224"/>
        <v>0</v>
      </c>
      <c r="AX47" s="63">
        <f t="shared" si="104"/>
        <v>79</v>
      </c>
      <c r="AZ47" s="197">
        <f t="shared" si="236"/>
        <v>19</v>
      </c>
      <c r="BA47" s="574">
        <f t="shared" si="225"/>
        <v>5</v>
      </c>
      <c r="BB47" s="136"/>
      <c r="BC47" s="436">
        <f t="shared" si="145"/>
        <v>116143</v>
      </c>
      <c r="BD47" s="451">
        <f t="shared" si="131"/>
        <v>116143</v>
      </c>
      <c r="BE47" s="137"/>
      <c r="BF47" s="138"/>
      <c r="BG47" s="138"/>
      <c r="BH47" s="32">
        <f t="shared" si="111"/>
        <v>0</v>
      </c>
      <c r="BI47" s="32">
        <f>BI46+BH47</f>
        <v>3926</v>
      </c>
      <c r="BJ47" s="32">
        <f t="shared" si="15"/>
        <v>0.18</v>
      </c>
      <c r="BK47" s="96">
        <f t="shared" si="112"/>
        <v>0</v>
      </c>
      <c r="BL47" s="36">
        <f t="shared" si="16"/>
        <v>2.38</v>
      </c>
      <c r="BM47" s="156">
        <f t="shared" si="89"/>
        <v>3.2697865394065078</v>
      </c>
      <c r="BN47" s="139"/>
      <c r="BO47" s="32">
        <f t="shared" si="17"/>
        <v>34</v>
      </c>
      <c r="BP47" s="443">
        <f t="shared" si="18"/>
        <v>0</v>
      </c>
      <c r="BQ47" s="471">
        <f t="shared" si="176"/>
        <v>314.58428346602915</v>
      </c>
      <c r="BR47" s="56">
        <f t="shared" si="19"/>
        <v>334</v>
      </c>
      <c r="BS47" s="109">
        <f t="shared" si="226"/>
        <v>0</v>
      </c>
      <c r="BT47" s="63">
        <f t="shared" si="146"/>
        <v>334</v>
      </c>
      <c r="BU47" s="56">
        <f t="shared" si="20"/>
        <v>79</v>
      </c>
      <c r="BV47" s="109">
        <f t="shared" si="227"/>
        <v>0</v>
      </c>
      <c r="BW47" s="63">
        <f t="shared" si="105"/>
        <v>79</v>
      </c>
      <c r="BY47" s="197">
        <f t="shared" si="237"/>
        <v>19</v>
      </c>
      <c r="BZ47" s="574">
        <f t="shared" si="228"/>
        <v>5</v>
      </c>
      <c r="CA47" s="136"/>
      <c r="CB47" s="436">
        <f t="shared" si="147"/>
        <v>0</v>
      </c>
      <c r="CC47" s="451">
        <f t="shared" si="135"/>
        <v>0</v>
      </c>
      <c r="CD47" s="137"/>
      <c r="CE47" s="138"/>
      <c r="CF47" s="138"/>
      <c r="CG47" s="32">
        <f t="shared" si="113"/>
        <v>0</v>
      </c>
      <c r="CH47" s="32">
        <f>CH46+CG47</f>
        <v>0</v>
      </c>
      <c r="CI47" s="32">
        <f t="shared" si="22"/>
        <v>0.18</v>
      </c>
      <c r="CJ47" s="96">
        <f t="shared" si="114"/>
        <v>0</v>
      </c>
      <c r="CK47" s="36">
        <f t="shared" si="23"/>
        <v>2.38</v>
      </c>
      <c r="CL47" s="156">
        <f t="shared" si="52"/>
        <v>0</v>
      </c>
      <c r="CM47" s="139"/>
      <c r="CN47" s="32">
        <f t="shared" si="24"/>
        <v>34</v>
      </c>
      <c r="CO47" s="443">
        <f t="shared" si="25"/>
        <v>0</v>
      </c>
      <c r="CP47" s="471">
        <f t="shared" si="177"/>
        <v>0</v>
      </c>
      <c r="CQ47" s="56">
        <f t="shared" si="26"/>
        <v>334</v>
      </c>
      <c r="CR47" s="109">
        <f t="shared" si="229"/>
        <v>0</v>
      </c>
      <c r="CS47" s="63">
        <f t="shared" si="148"/>
        <v>334</v>
      </c>
      <c r="CT47" s="56">
        <f t="shared" si="27"/>
        <v>79</v>
      </c>
      <c r="CU47" s="109">
        <f t="shared" si="230"/>
        <v>0</v>
      </c>
      <c r="CV47" s="63">
        <f t="shared" si="106"/>
        <v>79</v>
      </c>
      <c r="CX47" s="197">
        <f t="shared" si="238"/>
        <v>19</v>
      </c>
      <c r="CY47" s="574">
        <f t="shared" si="231"/>
        <v>5</v>
      </c>
      <c r="CZ47" s="136"/>
      <c r="DA47" s="436">
        <f t="shared" si="149"/>
        <v>0</v>
      </c>
      <c r="DB47" s="451">
        <f t="shared" si="139"/>
        <v>0</v>
      </c>
      <c r="DC47" s="137"/>
      <c r="DD47" s="138"/>
      <c r="DE47" s="138"/>
      <c r="DF47" s="32">
        <f t="shared" si="115"/>
        <v>0</v>
      </c>
      <c r="DG47" s="32">
        <f>DG46+DF47</f>
        <v>0</v>
      </c>
      <c r="DH47" s="32">
        <f t="shared" si="29"/>
        <v>0.18</v>
      </c>
      <c r="DI47" s="96">
        <f t="shared" si="116"/>
        <v>0</v>
      </c>
      <c r="DJ47" s="36">
        <f t="shared" si="30"/>
        <v>2.38</v>
      </c>
      <c r="DK47" s="156">
        <f t="shared" si="58"/>
        <v>0</v>
      </c>
      <c r="DL47" s="139"/>
      <c r="DM47" s="32">
        <f t="shared" si="31"/>
        <v>34</v>
      </c>
      <c r="DN47" s="443">
        <f t="shared" si="32"/>
        <v>0</v>
      </c>
      <c r="DO47" s="471">
        <f t="shared" si="178"/>
        <v>0</v>
      </c>
      <c r="DP47" s="56">
        <f t="shared" si="33"/>
        <v>334</v>
      </c>
      <c r="DQ47" s="109">
        <f t="shared" si="232"/>
        <v>0</v>
      </c>
      <c r="DR47" s="63">
        <f t="shared" si="150"/>
        <v>334</v>
      </c>
      <c r="DS47" s="56">
        <f t="shared" si="34"/>
        <v>79</v>
      </c>
      <c r="DT47" s="109">
        <f t="shared" si="233"/>
        <v>0</v>
      </c>
      <c r="DU47" s="63">
        <f t="shared" si="107"/>
        <v>79</v>
      </c>
    </row>
    <row r="48" spans="1:125" x14ac:dyDescent="0.25">
      <c r="B48" s="198">
        <v>20</v>
      </c>
      <c r="C48" s="826">
        <v>6</v>
      </c>
      <c r="D48" s="143"/>
      <c r="E48" s="430">
        <f t="shared" si="103"/>
        <v>171956</v>
      </c>
      <c r="F48" s="583">
        <f t="shared" si="0"/>
        <v>171956</v>
      </c>
      <c r="G48" s="144"/>
      <c r="H48" s="141"/>
      <c r="I48" s="141"/>
      <c r="J48" s="17">
        <f t="shared" si="108"/>
        <v>0</v>
      </c>
      <c r="K48" s="17">
        <f>K47+J48</f>
        <v>4875</v>
      </c>
      <c r="L48" s="17">
        <f t="shared" si="1"/>
        <v>0.18</v>
      </c>
      <c r="M48" s="235">
        <f t="shared" si="65"/>
        <v>0</v>
      </c>
      <c r="N48" s="33">
        <f t="shared" si="36"/>
        <v>2.56</v>
      </c>
      <c r="O48" s="210">
        <f>IFERROR((K48*100)/$D$12,0)</f>
        <v>2.7568695534154077</v>
      </c>
      <c r="P48" s="145"/>
      <c r="Q48" s="17">
        <f t="shared" si="3"/>
        <v>38</v>
      </c>
      <c r="R48" s="479">
        <f t="shared" si="123"/>
        <v>0</v>
      </c>
      <c r="S48" s="475">
        <f t="shared" si="37"/>
        <v>328.79467076367098</v>
      </c>
      <c r="T48" s="61">
        <f t="shared" si="5"/>
        <v>425</v>
      </c>
      <c r="U48" s="141"/>
      <c r="V48" s="71">
        <f t="shared" si="38"/>
        <v>425</v>
      </c>
      <c r="W48" s="12">
        <f t="shared" si="6"/>
        <v>79</v>
      </c>
      <c r="X48" s="141"/>
      <c r="Y48" s="71">
        <f t="shared" si="39"/>
        <v>79</v>
      </c>
      <c r="Z48" s="487"/>
      <c r="AA48" s="198">
        <v>20</v>
      </c>
      <c r="AB48" s="826">
        <v>6</v>
      </c>
      <c r="AC48" s="143"/>
      <c r="AD48" s="430">
        <f t="shared" si="143"/>
        <v>0</v>
      </c>
      <c r="AE48" s="583">
        <f t="shared" si="127"/>
        <v>0</v>
      </c>
      <c r="AF48" s="144"/>
      <c r="AG48" s="141"/>
      <c r="AH48" s="141"/>
      <c r="AI48" s="17">
        <f t="shared" si="109"/>
        <v>0</v>
      </c>
      <c r="AJ48" s="17">
        <f>AJ47+AI48</f>
        <v>0</v>
      </c>
      <c r="AK48" s="17">
        <f t="shared" si="8"/>
        <v>0.18</v>
      </c>
      <c r="AL48" s="235">
        <f t="shared" si="110"/>
        <v>0</v>
      </c>
      <c r="AM48" s="33">
        <f t="shared" si="9"/>
        <v>2.56</v>
      </c>
      <c r="AN48" s="210">
        <f>IFERROR((AJ48*100)/$D$12,0)</f>
        <v>0</v>
      </c>
      <c r="AO48" s="145"/>
      <c r="AP48" s="17">
        <f t="shared" si="10"/>
        <v>38</v>
      </c>
      <c r="AQ48" s="479">
        <f t="shared" si="11"/>
        <v>0</v>
      </c>
      <c r="AR48" s="475">
        <f t="shared" si="175"/>
        <v>0</v>
      </c>
      <c r="AS48" s="61">
        <f t="shared" si="12"/>
        <v>425</v>
      </c>
      <c r="AT48" s="141"/>
      <c r="AU48" s="71">
        <f t="shared" si="144"/>
        <v>425</v>
      </c>
      <c r="AV48" s="12">
        <f t="shared" si="13"/>
        <v>79</v>
      </c>
      <c r="AW48" s="141"/>
      <c r="AX48" s="71">
        <f t="shared" si="104"/>
        <v>79</v>
      </c>
      <c r="AZ48" s="198">
        <v>20</v>
      </c>
      <c r="BA48" s="826">
        <v>6</v>
      </c>
      <c r="BB48" s="143"/>
      <c r="BC48" s="430">
        <f t="shared" si="145"/>
        <v>116143</v>
      </c>
      <c r="BD48" s="583">
        <f t="shared" si="131"/>
        <v>116143</v>
      </c>
      <c r="BE48" s="144"/>
      <c r="BF48" s="141"/>
      <c r="BG48" s="141"/>
      <c r="BH48" s="17">
        <f t="shared" si="111"/>
        <v>0</v>
      </c>
      <c r="BI48" s="17">
        <f>BI47+BH48</f>
        <v>3926</v>
      </c>
      <c r="BJ48" s="17">
        <f t="shared" si="15"/>
        <v>0.18</v>
      </c>
      <c r="BK48" s="235">
        <f t="shared" si="112"/>
        <v>0</v>
      </c>
      <c r="BL48" s="33">
        <f t="shared" si="16"/>
        <v>2.56</v>
      </c>
      <c r="BM48" s="210">
        <f t="shared" si="89"/>
        <v>3.2697865394065078</v>
      </c>
      <c r="BN48" s="145"/>
      <c r="BO48" s="17">
        <f t="shared" si="17"/>
        <v>38</v>
      </c>
      <c r="BP48" s="479">
        <f t="shared" si="18"/>
        <v>0</v>
      </c>
      <c r="BQ48" s="475">
        <f t="shared" si="176"/>
        <v>314.58428346602915</v>
      </c>
      <c r="BR48" s="61">
        <f t="shared" si="19"/>
        <v>425</v>
      </c>
      <c r="BS48" s="141"/>
      <c r="BT48" s="71">
        <f t="shared" si="146"/>
        <v>425</v>
      </c>
      <c r="BU48" s="12">
        <f t="shared" si="20"/>
        <v>79</v>
      </c>
      <c r="BV48" s="141"/>
      <c r="BW48" s="71">
        <f t="shared" si="105"/>
        <v>79</v>
      </c>
      <c r="BY48" s="198">
        <v>20</v>
      </c>
      <c r="BZ48" s="826">
        <v>6</v>
      </c>
      <c r="CA48" s="143"/>
      <c r="CB48" s="430">
        <f t="shared" si="147"/>
        <v>0</v>
      </c>
      <c r="CC48" s="583">
        <f t="shared" si="135"/>
        <v>0</v>
      </c>
      <c r="CD48" s="144"/>
      <c r="CE48" s="141"/>
      <c r="CF48" s="141"/>
      <c r="CG48" s="17">
        <f t="shared" si="113"/>
        <v>0</v>
      </c>
      <c r="CH48" s="17">
        <f>CH47+CG48</f>
        <v>0</v>
      </c>
      <c r="CI48" s="17">
        <f t="shared" si="22"/>
        <v>0.18</v>
      </c>
      <c r="CJ48" s="235">
        <f t="shared" si="114"/>
        <v>0</v>
      </c>
      <c r="CK48" s="33">
        <f t="shared" si="23"/>
        <v>2.56</v>
      </c>
      <c r="CL48" s="210">
        <f>IFERROR((CH48*100)/$D$12,0)</f>
        <v>0</v>
      </c>
      <c r="CM48" s="145"/>
      <c r="CN48" s="17">
        <f t="shared" si="24"/>
        <v>38</v>
      </c>
      <c r="CO48" s="479">
        <f t="shared" si="25"/>
        <v>0</v>
      </c>
      <c r="CP48" s="475">
        <f t="shared" si="177"/>
        <v>0</v>
      </c>
      <c r="CQ48" s="61">
        <f t="shared" si="26"/>
        <v>425</v>
      </c>
      <c r="CR48" s="141"/>
      <c r="CS48" s="71">
        <f t="shared" si="148"/>
        <v>425</v>
      </c>
      <c r="CT48" s="12">
        <f t="shared" si="27"/>
        <v>79</v>
      </c>
      <c r="CU48" s="141"/>
      <c r="CV48" s="71">
        <f t="shared" si="106"/>
        <v>79</v>
      </c>
      <c r="CX48" s="198">
        <v>20</v>
      </c>
      <c r="CY48" s="826">
        <v>6</v>
      </c>
      <c r="CZ48" s="143"/>
      <c r="DA48" s="430">
        <f t="shared" si="149"/>
        <v>0</v>
      </c>
      <c r="DB48" s="583">
        <f t="shared" si="139"/>
        <v>0</v>
      </c>
      <c r="DC48" s="144"/>
      <c r="DD48" s="141"/>
      <c r="DE48" s="141"/>
      <c r="DF48" s="17">
        <f t="shared" si="115"/>
        <v>0</v>
      </c>
      <c r="DG48" s="17">
        <f>DG47+DF48</f>
        <v>0</v>
      </c>
      <c r="DH48" s="17">
        <f t="shared" si="29"/>
        <v>0.18</v>
      </c>
      <c r="DI48" s="235">
        <f t="shared" si="116"/>
        <v>0</v>
      </c>
      <c r="DJ48" s="33">
        <f t="shared" si="30"/>
        <v>2.56</v>
      </c>
      <c r="DK48" s="210">
        <f>IFERROR((DG48*100)/$D$12,0)</f>
        <v>0</v>
      </c>
      <c r="DL48" s="145"/>
      <c r="DM48" s="17">
        <f t="shared" si="31"/>
        <v>38</v>
      </c>
      <c r="DN48" s="479">
        <f t="shared" si="32"/>
        <v>0</v>
      </c>
      <c r="DO48" s="475">
        <f t="shared" si="178"/>
        <v>0</v>
      </c>
      <c r="DP48" s="61">
        <f t="shared" si="33"/>
        <v>425</v>
      </c>
      <c r="DQ48" s="141"/>
      <c r="DR48" s="71">
        <f t="shared" si="150"/>
        <v>425</v>
      </c>
      <c r="DS48" s="12">
        <f t="shared" si="34"/>
        <v>79</v>
      </c>
      <c r="DT48" s="141"/>
      <c r="DU48" s="71">
        <f t="shared" si="107"/>
        <v>79</v>
      </c>
    </row>
    <row r="49" spans="1:125" x14ac:dyDescent="0.25">
      <c r="B49" s="120">
        <f>B48+1</f>
        <v>21</v>
      </c>
      <c r="C49" s="570">
        <f>C48</f>
        <v>6</v>
      </c>
      <c r="D49" s="133"/>
      <c r="E49" s="408">
        <f t="shared" si="103"/>
        <v>171956</v>
      </c>
      <c r="F49" s="562">
        <f t="shared" si="0"/>
        <v>171956</v>
      </c>
      <c r="G49" s="134"/>
      <c r="H49" s="135"/>
      <c r="I49" s="135"/>
      <c r="J49" s="14">
        <f t="shared" si="108"/>
        <v>0</v>
      </c>
      <c r="K49" s="14">
        <f t="shared" si="35"/>
        <v>4875</v>
      </c>
      <c r="L49" s="14">
        <f t="shared" si="1"/>
        <v>0.18</v>
      </c>
      <c r="M49" s="47">
        <f t="shared" si="65"/>
        <v>0</v>
      </c>
      <c r="N49" s="35">
        <f t="shared" si="36"/>
        <v>2.56</v>
      </c>
      <c r="O49" s="159">
        <f t="shared" si="142"/>
        <v>2.7568695534154077</v>
      </c>
      <c r="P49" s="142"/>
      <c r="Q49" s="14">
        <f t="shared" si="3"/>
        <v>38</v>
      </c>
      <c r="R49" s="442">
        <f t="shared" si="123"/>
        <v>0</v>
      </c>
      <c r="S49" s="470">
        <f t="shared" si="37"/>
        <v>328.79467076367098</v>
      </c>
      <c r="T49" s="51">
        <f t="shared" si="5"/>
        <v>425</v>
      </c>
      <c r="U49" s="103">
        <f>U48</f>
        <v>0</v>
      </c>
      <c r="V49" s="46">
        <f t="shared" si="38"/>
        <v>425</v>
      </c>
      <c r="W49" s="50">
        <f t="shared" si="6"/>
        <v>79</v>
      </c>
      <c r="X49" s="103">
        <f>X48</f>
        <v>0</v>
      </c>
      <c r="Y49" s="46">
        <f t="shared" si="39"/>
        <v>79</v>
      </c>
      <c r="Z49" s="487"/>
      <c r="AA49" s="120">
        <f>AA48+1</f>
        <v>21</v>
      </c>
      <c r="AB49" s="570">
        <f>AB48</f>
        <v>6</v>
      </c>
      <c r="AC49" s="133"/>
      <c r="AD49" s="408">
        <f t="shared" si="143"/>
        <v>0</v>
      </c>
      <c r="AE49" s="562">
        <f t="shared" si="127"/>
        <v>0</v>
      </c>
      <c r="AF49" s="134"/>
      <c r="AG49" s="135"/>
      <c r="AH49" s="135"/>
      <c r="AI49" s="14">
        <f t="shared" si="109"/>
        <v>0</v>
      </c>
      <c r="AJ49" s="14">
        <f t="shared" ref="AJ49:AJ104" si="239">AJ48+AI49</f>
        <v>0</v>
      </c>
      <c r="AK49" s="14">
        <f t="shared" si="8"/>
        <v>0.18</v>
      </c>
      <c r="AL49" s="47">
        <f t="shared" si="110"/>
        <v>0</v>
      </c>
      <c r="AM49" s="35">
        <f t="shared" si="9"/>
        <v>2.56</v>
      </c>
      <c r="AN49" s="159">
        <f t="shared" ref="AN49:AN112" si="240">IFERROR((AJ49*100)/$D$12,0)</f>
        <v>0</v>
      </c>
      <c r="AO49" s="142"/>
      <c r="AP49" s="14">
        <f t="shared" si="10"/>
        <v>38</v>
      </c>
      <c r="AQ49" s="442">
        <f t="shared" si="11"/>
        <v>0</v>
      </c>
      <c r="AR49" s="470">
        <f t="shared" si="175"/>
        <v>0</v>
      </c>
      <c r="AS49" s="51">
        <f t="shared" si="12"/>
        <v>425</v>
      </c>
      <c r="AT49" s="103">
        <f>AT48</f>
        <v>0</v>
      </c>
      <c r="AU49" s="46">
        <f t="shared" si="144"/>
        <v>425</v>
      </c>
      <c r="AV49" s="50">
        <f t="shared" si="13"/>
        <v>79</v>
      </c>
      <c r="AW49" s="103">
        <f>AW48</f>
        <v>0</v>
      </c>
      <c r="AX49" s="46">
        <f t="shared" si="104"/>
        <v>79</v>
      </c>
      <c r="AZ49" s="120">
        <f>AZ48+1</f>
        <v>21</v>
      </c>
      <c r="BA49" s="570">
        <f>BA48</f>
        <v>6</v>
      </c>
      <c r="BB49" s="133"/>
      <c r="BC49" s="408">
        <f t="shared" si="145"/>
        <v>116143</v>
      </c>
      <c r="BD49" s="562">
        <f t="shared" si="131"/>
        <v>116143</v>
      </c>
      <c r="BE49" s="134"/>
      <c r="BF49" s="135"/>
      <c r="BG49" s="135"/>
      <c r="BH49" s="14">
        <f t="shared" si="111"/>
        <v>0</v>
      </c>
      <c r="BI49" s="14">
        <f t="shared" ref="BI49:BI104" si="241">BI48+BH49</f>
        <v>3926</v>
      </c>
      <c r="BJ49" s="14">
        <f t="shared" si="15"/>
        <v>0.18</v>
      </c>
      <c r="BK49" s="47">
        <f t="shared" si="112"/>
        <v>0</v>
      </c>
      <c r="BL49" s="35">
        <f t="shared" si="16"/>
        <v>2.56</v>
      </c>
      <c r="BM49" s="155">
        <f t="shared" si="89"/>
        <v>3.2697865394065078</v>
      </c>
      <c r="BN49" s="142"/>
      <c r="BO49" s="14">
        <f t="shared" si="17"/>
        <v>38</v>
      </c>
      <c r="BP49" s="442">
        <f t="shared" si="18"/>
        <v>0</v>
      </c>
      <c r="BQ49" s="470">
        <f t="shared" si="176"/>
        <v>314.58428346602915</v>
      </c>
      <c r="BR49" s="51">
        <f t="shared" si="19"/>
        <v>425</v>
      </c>
      <c r="BS49" s="103">
        <f>BS48</f>
        <v>0</v>
      </c>
      <c r="BT49" s="46">
        <f t="shared" si="146"/>
        <v>425</v>
      </c>
      <c r="BU49" s="50">
        <f t="shared" si="20"/>
        <v>79</v>
      </c>
      <c r="BV49" s="103">
        <f>BV48</f>
        <v>0</v>
      </c>
      <c r="BW49" s="46">
        <f t="shared" si="105"/>
        <v>79</v>
      </c>
      <c r="BY49" s="120">
        <f>BY48+1</f>
        <v>21</v>
      </c>
      <c r="BZ49" s="570">
        <f>BZ48</f>
        <v>6</v>
      </c>
      <c r="CA49" s="133"/>
      <c r="CB49" s="408">
        <f t="shared" si="147"/>
        <v>0</v>
      </c>
      <c r="CC49" s="562">
        <f t="shared" si="135"/>
        <v>0</v>
      </c>
      <c r="CD49" s="134"/>
      <c r="CE49" s="135"/>
      <c r="CF49" s="135"/>
      <c r="CG49" s="14">
        <f t="shared" si="113"/>
        <v>0</v>
      </c>
      <c r="CH49" s="14">
        <f t="shared" ref="CH49:CH104" si="242">CH48+CG49</f>
        <v>0</v>
      </c>
      <c r="CI49" s="14">
        <f t="shared" si="22"/>
        <v>0.18</v>
      </c>
      <c r="CJ49" s="47">
        <f t="shared" si="114"/>
        <v>0</v>
      </c>
      <c r="CK49" s="35">
        <f t="shared" si="23"/>
        <v>2.56</v>
      </c>
      <c r="CL49" s="159">
        <f t="shared" ref="CL49:CL112" si="243">IFERROR((CH49*100)/$D$12,0)</f>
        <v>0</v>
      </c>
      <c r="CM49" s="142"/>
      <c r="CN49" s="14">
        <f t="shared" si="24"/>
        <v>38</v>
      </c>
      <c r="CO49" s="442">
        <f t="shared" si="25"/>
        <v>0</v>
      </c>
      <c r="CP49" s="470">
        <f t="shared" si="177"/>
        <v>0</v>
      </c>
      <c r="CQ49" s="51">
        <f t="shared" si="26"/>
        <v>425</v>
      </c>
      <c r="CR49" s="103">
        <f>CR48</f>
        <v>0</v>
      </c>
      <c r="CS49" s="46">
        <f t="shared" si="148"/>
        <v>425</v>
      </c>
      <c r="CT49" s="50">
        <f t="shared" si="27"/>
        <v>79</v>
      </c>
      <c r="CU49" s="103">
        <f>CU48</f>
        <v>0</v>
      </c>
      <c r="CV49" s="46">
        <f t="shared" si="106"/>
        <v>79</v>
      </c>
      <c r="CX49" s="120">
        <f>CX48+1</f>
        <v>21</v>
      </c>
      <c r="CY49" s="570">
        <f>CY48</f>
        <v>6</v>
      </c>
      <c r="CZ49" s="133"/>
      <c r="DA49" s="408">
        <f t="shared" si="149"/>
        <v>0</v>
      </c>
      <c r="DB49" s="562">
        <f t="shared" si="139"/>
        <v>0</v>
      </c>
      <c r="DC49" s="134"/>
      <c r="DD49" s="135"/>
      <c r="DE49" s="135"/>
      <c r="DF49" s="14">
        <f t="shared" si="115"/>
        <v>0</v>
      </c>
      <c r="DG49" s="14">
        <f t="shared" ref="DG49:DG104" si="244">DG48+DF49</f>
        <v>0</v>
      </c>
      <c r="DH49" s="14">
        <f t="shared" si="29"/>
        <v>0.18</v>
      </c>
      <c r="DI49" s="47">
        <f t="shared" si="116"/>
        <v>0</v>
      </c>
      <c r="DJ49" s="35">
        <f t="shared" si="30"/>
        <v>2.56</v>
      </c>
      <c r="DK49" s="159">
        <f t="shared" ref="DK49:DK112" si="245">IFERROR((DG49*100)/$D$12,0)</f>
        <v>0</v>
      </c>
      <c r="DL49" s="142"/>
      <c r="DM49" s="14">
        <f t="shared" si="31"/>
        <v>38</v>
      </c>
      <c r="DN49" s="442">
        <f t="shared" si="32"/>
        <v>0</v>
      </c>
      <c r="DO49" s="470">
        <f t="shared" si="178"/>
        <v>0</v>
      </c>
      <c r="DP49" s="51">
        <f t="shared" si="33"/>
        <v>425</v>
      </c>
      <c r="DQ49" s="103">
        <f>DQ48</f>
        <v>0</v>
      </c>
      <c r="DR49" s="46">
        <f t="shared" si="150"/>
        <v>425</v>
      </c>
      <c r="DS49" s="50">
        <f t="shared" si="34"/>
        <v>79</v>
      </c>
      <c r="DT49" s="103">
        <f>DT48</f>
        <v>0</v>
      </c>
      <c r="DU49" s="46">
        <f t="shared" si="107"/>
        <v>79</v>
      </c>
    </row>
    <row r="50" spans="1:125" x14ac:dyDescent="0.25">
      <c r="B50" s="120">
        <f t="shared" ref="B50:B54" si="246">B49+1</f>
        <v>22</v>
      </c>
      <c r="C50" s="570">
        <f t="shared" ref="C50:C61" si="247">C49</f>
        <v>6</v>
      </c>
      <c r="D50" s="133"/>
      <c r="E50" s="408">
        <f t="shared" si="103"/>
        <v>171956</v>
      </c>
      <c r="F50" s="562">
        <f t="shared" si="0"/>
        <v>171956</v>
      </c>
      <c r="G50" s="134"/>
      <c r="H50" s="135"/>
      <c r="I50" s="135"/>
      <c r="J50" s="14">
        <f t="shared" si="108"/>
        <v>0</v>
      </c>
      <c r="K50" s="14">
        <f t="shared" si="35"/>
        <v>4875</v>
      </c>
      <c r="L50" s="14">
        <f t="shared" si="1"/>
        <v>0.18</v>
      </c>
      <c r="M50" s="47">
        <f t="shared" si="65"/>
        <v>0</v>
      </c>
      <c r="N50" s="35">
        <f t="shared" si="36"/>
        <v>2.56</v>
      </c>
      <c r="O50" s="159">
        <f t="shared" si="142"/>
        <v>2.7568695534154077</v>
      </c>
      <c r="P50" s="142"/>
      <c r="Q50" s="14">
        <f t="shared" si="3"/>
        <v>38</v>
      </c>
      <c r="R50" s="442">
        <f t="shared" si="123"/>
        <v>0</v>
      </c>
      <c r="S50" s="470">
        <f t="shared" si="37"/>
        <v>328.79467076367098</v>
      </c>
      <c r="T50" s="51">
        <f t="shared" si="5"/>
        <v>425</v>
      </c>
      <c r="U50" s="103">
        <f t="shared" ref="U50:U54" si="248">U49</f>
        <v>0</v>
      </c>
      <c r="V50" s="46">
        <f t="shared" si="38"/>
        <v>425</v>
      </c>
      <c r="W50" s="50">
        <f t="shared" si="6"/>
        <v>79</v>
      </c>
      <c r="X50" s="103">
        <f t="shared" ref="X50:X54" si="249">X49</f>
        <v>0</v>
      </c>
      <c r="Y50" s="46">
        <f t="shared" si="39"/>
        <v>79</v>
      </c>
      <c r="Z50" s="487"/>
      <c r="AA50" s="120">
        <f t="shared" ref="AA50:AA54" si="250">AA49+1</f>
        <v>22</v>
      </c>
      <c r="AB50" s="570">
        <f t="shared" ref="AB50:AB61" si="251">AB49</f>
        <v>6</v>
      </c>
      <c r="AC50" s="133"/>
      <c r="AD50" s="408">
        <f t="shared" si="143"/>
        <v>0</v>
      </c>
      <c r="AE50" s="562">
        <f t="shared" si="127"/>
        <v>0</v>
      </c>
      <c r="AF50" s="134"/>
      <c r="AG50" s="135"/>
      <c r="AH50" s="135"/>
      <c r="AI50" s="14">
        <f t="shared" si="109"/>
        <v>0</v>
      </c>
      <c r="AJ50" s="14">
        <f t="shared" si="239"/>
        <v>0</v>
      </c>
      <c r="AK50" s="14">
        <f t="shared" si="8"/>
        <v>0.18</v>
      </c>
      <c r="AL50" s="47">
        <f t="shared" si="110"/>
        <v>0</v>
      </c>
      <c r="AM50" s="35">
        <f t="shared" si="9"/>
        <v>2.56</v>
      </c>
      <c r="AN50" s="159">
        <f t="shared" si="240"/>
        <v>0</v>
      </c>
      <c r="AO50" s="142"/>
      <c r="AP50" s="14">
        <f t="shared" si="10"/>
        <v>38</v>
      </c>
      <c r="AQ50" s="442">
        <f t="shared" si="11"/>
        <v>0</v>
      </c>
      <c r="AR50" s="470">
        <f t="shared" si="175"/>
        <v>0</v>
      </c>
      <c r="AS50" s="51">
        <f t="shared" si="12"/>
        <v>425</v>
      </c>
      <c r="AT50" s="103">
        <f t="shared" ref="AT50:AT54" si="252">AT49</f>
        <v>0</v>
      </c>
      <c r="AU50" s="46">
        <f t="shared" si="144"/>
        <v>425</v>
      </c>
      <c r="AV50" s="50">
        <f t="shared" si="13"/>
        <v>79</v>
      </c>
      <c r="AW50" s="103">
        <f t="shared" ref="AW50:AW54" si="253">AW49</f>
        <v>0</v>
      </c>
      <c r="AX50" s="46">
        <f t="shared" si="104"/>
        <v>79</v>
      </c>
      <c r="AZ50" s="120">
        <f t="shared" ref="AZ50:AZ54" si="254">AZ49+1</f>
        <v>22</v>
      </c>
      <c r="BA50" s="570">
        <f t="shared" ref="BA50:BA61" si="255">BA49</f>
        <v>6</v>
      </c>
      <c r="BB50" s="133"/>
      <c r="BC50" s="408">
        <f t="shared" si="145"/>
        <v>116143</v>
      </c>
      <c r="BD50" s="562">
        <f t="shared" si="131"/>
        <v>116143</v>
      </c>
      <c r="BE50" s="134"/>
      <c r="BF50" s="135"/>
      <c r="BG50" s="135"/>
      <c r="BH50" s="14">
        <f t="shared" si="111"/>
        <v>0</v>
      </c>
      <c r="BI50" s="14">
        <f t="shared" si="241"/>
        <v>3926</v>
      </c>
      <c r="BJ50" s="14">
        <f t="shared" si="15"/>
        <v>0.18</v>
      </c>
      <c r="BK50" s="47">
        <f t="shared" si="112"/>
        <v>0</v>
      </c>
      <c r="BL50" s="35">
        <f t="shared" si="16"/>
        <v>2.56</v>
      </c>
      <c r="BM50" s="157">
        <f t="shared" si="89"/>
        <v>3.2697865394065078</v>
      </c>
      <c r="BN50" s="142"/>
      <c r="BO50" s="14">
        <f t="shared" si="17"/>
        <v>38</v>
      </c>
      <c r="BP50" s="442">
        <f t="shared" si="18"/>
        <v>0</v>
      </c>
      <c r="BQ50" s="470">
        <f t="shared" si="176"/>
        <v>314.58428346602915</v>
      </c>
      <c r="BR50" s="51">
        <f t="shared" si="19"/>
        <v>425</v>
      </c>
      <c r="BS50" s="103">
        <f t="shared" ref="BS50:BS54" si="256">BS49</f>
        <v>0</v>
      </c>
      <c r="BT50" s="46">
        <f t="shared" si="146"/>
        <v>425</v>
      </c>
      <c r="BU50" s="50">
        <f t="shared" si="20"/>
        <v>79</v>
      </c>
      <c r="BV50" s="103">
        <f t="shared" ref="BV50:BV54" si="257">BV49</f>
        <v>0</v>
      </c>
      <c r="BW50" s="46">
        <f t="shared" si="105"/>
        <v>79</v>
      </c>
      <c r="BY50" s="120">
        <f t="shared" ref="BY50:BY54" si="258">BY49+1</f>
        <v>22</v>
      </c>
      <c r="BZ50" s="570">
        <f t="shared" ref="BZ50:BZ61" si="259">BZ49</f>
        <v>6</v>
      </c>
      <c r="CA50" s="133"/>
      <c r="CB50" s="408">
        <f t="shared" si="147"/>
        <v>0</v>
      </c>
      <c r="CC50" s="562">
        <f t="shared" si="135"/>
        <v>0</v>
      </c>
      <c r="CD50" s="134"/>
      <c r="CE50" s="135"/>
      <c r="CF50" s="135"/>
      <c r="CG50" s="14">
        <f t="shared" si="113"/>
        <v>0</v>
      </c>
      <c r="CH50" s="14">
        <f t="shared" si="242"/>
        <v>0</v>
      </c>
      <c r="CI50" s="14">
        <f t="shared" si="22"/>
        <v>0.18</v>
      </c>
      <c r="CJ50" s="47">
        <f t="shared" si="114"/>
        <v>0</v>
      </c>
      <c r="CK50" s="35">
        <f t="shared" si="23"/>
        <v>2.56</v>
      </c>
      <c r="CL50" s="159">
        <f t="shared" si="243"/>
        <v>0</v>
      </c>
      <c r="CM50" s="142"/>
      <c r="CN50" s="14">
        <f t="shared" si="24"/>
        <v>38</v>
      </c>
      <c r="CO50" s="442">
        <f t="shared" si="25"/>
        <v>0</v>
      </c>
      <c r="CP50" s="470">
        <f t="shared" si="177"/>
        <v>0</v>
      </c>
      <c r="CQ50" s="51">
        <f t="shared" si="26"/>
        <v>425</v>
      </c>
      <c r="CR50" s="103">
        <f t="shared" ref="CR50:CR54" si="260">CR49</f>
        <v>0</v>
      </c>
      <c r="CS50" s="46">
        <f t="shared" si="148"/>
        <v>425</v>
      </c>
      <c r="CT50" s="50">
        <f t="shared" si="27"/>
        <v>79</v>
      </c>
      <c r="CU50" s="103">
        <f t="shared" ref="CU50:CU54" si="261">CU49</f>
        <v>0</v>
      </c>
      <c r="CV50" s="46">
        <f t="shared" si="106"/>
        <v>79</v>
      </c>
      <c r="CX50" s="120">
        <f t="shared" ref="CX50:CX54" si="262">CX49+1</f>
        <v>22</v>
      </c>
      <c r="CY50" s="570">
        <f t="shared" ref="CY50:CY61" si="263">CY49</f>
        <v>6</v>
      </c>
      <c r="CZ50" s="133"/>
      <c r="DA50" s="408">
        <f t="shared" si="149"/>
        <v>0</v>
      </c>
      <c r="DB50" s="562">
        <f t="shared" si="139"/>
        <v>0</v>
      </c>
      <c r="DC50" s="134"/>
      <c r="DD50" s="135"/>
      <c r="DE50" s="135"/>
      <c r="DF50" s="14">
        <f t="shared" si="115"/>
        <v>0</v>
      </c>
      <c r="DG50" s="14">
        <f t="shared" si="244"/>
        <v>0</v>
      </c>
      <c r="DH50" s="14">
        <f t="shared" si="29"/>
        <v>0.18</v>
      </c>
      <c r="DI50" s="47">
        <f t="shared" si="116"/>
        <v>0</v>
      </c>
      <c r="DJ50" s="35">
        <f t="shared" si="30"/>
        <v>2.56</v>
      </c>
      <c r="DK50" s="159">
        <f t="shared" si="245"/>
        <v>0</v>
      </c>
      <c r="DL50" s="142"/>
      <c r="DM50" s="14">
        <f t="shared" si="31"/>
        <v>38</v>
      </c>
      <c r="DN50" s="442">
        <f t="shared" si="32"/>
        <v>0</v>
      </c>
      <c r="DO50" s="470">
        <f t="shared" si="178"/>
        <v>0</v>
      </c>
      <c r="DP50" s="51">
        <f t="shared" si="33"/>
        <v>425</v>
      </c>
      <c r="DQ50" s="103">
        <f t="shared" ref="DQ50:DQ54" si="264">DQ49</f>
        <v>0</v>
      </c>
      <c r="DR50" s="46">
        <f t="shared" si="150"/>
        <v>425</v>
      </c>
      <c r="DS50" s="50">
        <f t="shared" si="34"/>
        <v>79</v>
      </c>
      <c r="DT50" s="103">
        <f t="shared" ref="DT50:DT54" si="265">DT49</f>
        <v>0</v>
      </c>
      <c r="DU50" s="46">
        <f t="shared" si="107"/>
        <v>79</v>
      </c>
    </row>
    <row r="51" spans="1:125" x14ac:dyDescent="0.25">
      <c r="B51" s="120">
        <f t="shared" si="246"/>
        <v>23</v>
      </c>
      <c r="C51" s="570">
        <f t="shared" si="247"/>
        <v>6</v>
      </c>
      <c r="D51" s="133"/>
      <c r="E51" s="408">
        <f t="shared" si="103"/>
        <v>171956</v>
      </c>
      <c r="F51" s="562">
        <f t="shared" si="0"/>
        <v>171956</v>
      </c>
      <c r="G51" s="134"/>
      <c r="H51" s="135"/>
      <c r="I51" s="135"/>
      <c r="J51" s="14">
        <f t="shared" si="108"/>
        <v>0</v>
      </c>
      <c r="K51" s="14">
        <f t="shared" si="35"/>
        <v>4875</v>
      </c>
      <c r="L51" s="14">
        <f t="shared" si="1"/>
        <v>0.18</v>
      </c>
      <c r="M51" s="47">
        <f t="shared" si="65"/>
        <v>0</v>
      </c>
      <c r="N51" s="35">
        <f t="shared" si="36"/>
        <v>2.56</v>
      </c>
      <c r="O51" s="159">
        <f t="shared" si="142"/>
        <v>2.7568695534154077</v>
      </c>
      <c r="P51" s="142"/>
      <c r="Q51" s="14">
        <f t="shared" si="3"/>
        <v>38</v>
      </c>
      <c r="R51" s="442">
        <f t="shared" si="123"/>
        <v>0</v>
      </c>
      <c r="S51" s="470">
        <f t="shared" si="37"/>
        <v>328.79467076367098</v>
      </c>
      <c r="T51" s="51">
        <f t="shared" si="5"/>
        <v>425</v>
      </c>
      <c r="U51" s="103">
        <f t="shared" si="248"/>
        <v>0</v>
      </c>
      <c r="V51" s="46">
        <f t="shared" si="38"/>
        <v>425</v>
      </c>
      <c r="W51" s="50">
        <f t="shared" si="6"/>
        <v>79</v>
      </c>
      <c r="X51" s="103">
        <f t="shared" si="249"/>
        <v>0</v>
      </c>
      <c r="Y51" s="46">
        <f t="shared" si="39"/>
        <v>79</v>
      </c>
      <c r="Z51" s="487"/>
      <c r="AA51" s="120">
        <f t="shared" si="250"/>
        <v>23</v>
      </c>
      <c r="AB51" s="570">
        <f t="shared" si="251"/>
        <v>6</v>
      </c>
      <c r="AC51" s="133"/>
      <c r="AD51" s="408">
        <f t="shared" si="143"/>
        <v>0</v>
      </c>
      <c r="AE51" s="562">
        <f t="shared" si="127"/>
        <v>0</v>
      </c>
      <c r="AF51" s="134"/>
      <c r="AG51" s="135"/>
      <c r="AH51" s="135"/>
      <c r="AI51" s="14">
        <f t="shared" si="109"/>
        <v>0</v>
      </c>
      <c r="AJ51" s="14">
        <f t="shared" si="239"/>
        <v>0</v>
      </c>
      <c r="AK51" s="14">
        <f t="shared" si="8"/>
        <v>0.18</v>
      </c>
      <c r="AL51" s="47">
        <f t="shared" si="110"/>
        <v>0</v>
      </c>
      <c r="AM51" s="35">
        <f t="shared" si="9"/>
        <v>2.56</v>
      </c>
      <c r="AN51" s="159">
        <f t="shared" si="240"/>
        <v>0</v>
      </c>
      <c r="AO51" s="142"/>
      <c r="AP51" s="14">
        <f t="shared" si="10"/>
        <v>38</v>
      </c>
      <c r="AQ51" s="442">
        <f t="shared" si="11"/>
        <v>0</v>
      </c>
      <c r="AR51" s="470">
        <f t="shared" si="175"/>
        <v>0</v>
      </c>
      <c r="AS51" s="51">
        <f t="shared" si="12"/>
        <v>425</v>
      </c>
      <c r="AT51" s="103">
        <f t="shared" si="252"/>
        <v>0</v>
      </c>
      <c r="AU51" s="46">
        <f t="shared" si="144"/>
        <v>425</v>
      </c>
      <c r="AV51" s="50">
        <f t="shared" si="13"/>
        <v>79</v>
      </c>
      <c r="AW51" s="103">
        <f t="shared" si="253"/>
        <v>0</v>
      </c>
      <c r="AX51" s="46">
        <f t="shared" si="104"/>
        <v>79</v>
      </c>
      <c r="AZ51" s="120">
        <f t="shared" si="254"/>
        <v>23</v>
      </c>
      <c r="BA51" s="570">
        <f t="shared" si="255"/>
        <v>6</v>
      </c>
      <c r="BB51" s="133"/>
      <c r="BC51" s="408">
        <f t="shared" si="145"/>
        <v>116143</v>
      </c>
      <c r="BD51" s="562">
        <f t="shared" si="131"/>
        <v>116143</v>
      </c>
      <c r="BE51" s="134"/>
      <c r="BF51" s="135"/>
      <c r="BG51" s="135"/>
      <c r="BH51" s="14">
        <f t="shared" si="111"/>
        <v>0</v>
      </c>
      <c r="BI51" s="14">
        <f t="shared" si="241"/>
        <v>3926</v>
      </c>
      <c r="BJ51" s="14">
        <f t="shared" si="15"/>
        <v>0.18</v>
      </c>
      <c r="BK51" s="47">
        <f t="shared" si="112"/>
        <v>0</v>
      </c>
      <c r="BL51" s="35">
        <f t="shared" si="16"/>
        <v>2.56</v>
      </c>
      <c r="BM51" s="157">
        <f t="shared" si="89"/>
        <v>3.2697865394065078</v>
      </c>
      <c r="BN51" s="142"/>
      <c r="BO51" s="14">
        <f t="shared" si="17"/>
        <v>38</v>
      </c>
      <c r="BP51" s="442">
        <f t="shared" si="18"/>
        <v>0</v>
      </c>
      <c r="BQ51" s="470">
        <f t="shared" si="176"/>
        <v>314.58428346602915</v>
      </c>
      <c r="BR51" s="51">
        <f t="shared" si="19"/>
        <v>425</v>
      </c>
      <c r="BS51" s="103">
        <f t="shared" si="256"/>
        <v>0</v>
      </c>
      <c r="BT51" s="46">
        <f t="shared" si="146"/>
        <v>425</v>
      </c>
      <c r="BU51" s="50">
        <f t="shared" si="20"/>
        <v>79</v>
      </c>
      <c r="BV51" s="103">
        <f t="shared" si="257"/>
        <v>0</v>
      </c>
      <c r="BW51" s="46">
        <f t="shared" si="105"/>
        <v>79</v>
      </c>
      <c r="BY51" s="120">
        <f t="shared" si="258"/>
        <v>23</v>
      </c>
      <c r="BZ51" s="570">
        <f t="shared" si="259"/>
        <v>6</v>
      </c>
      <c r="CA51" s="133"/>
      <c r="CB51" s="408">
        <f t="shared" si="147"/>
        <v>0</v>
      </c>
      <c r="CC51" s="562">
        <f t="shared" si="135"/>
        <v>0</v>
      </c>
      <c r="CD51" s="134"/>
      <c r="CE51" s="135"/>
      <c r="CF51" s="135"/>
      <c r="CG51" s="14">
        <f t="shared" si="113"/>
        <v>0</v>
      </c>
      <c r="CH51" s="14">
        <f t="shared" si="242"/>
        <v>0</v>
      </c>
      <c r="CI51" s="14">
        <f t="shared" si="22"/>
        <v>0.18</v>
      </c>
      <c r="CJ51" s="47">
        <f t="shared" si="114"/>
        <v>0</v>
      </c>
      <c r="CK51" s="35">
        <f t="shared" si="23"/>
        <v>2.56</v>
      </c>
      <c r="CL51" s="159">
        <f t="shared" si="243"/>
        <v>0</v>
      </c>
      <c r="CM51" s="142"/>
      <c r="CN51" s="14">
        <f t="shared" si="24"/>
        <v>38</v>
      </c>
      <c r="CO51" s="442">
        <f t="shared" si="25"/>
        <v>0</v>
      </c>
      <c r="CP51" s="470">
        <f t="shared" si="177"/>
        <v>0</v>
      </c>
      <c r="CQ51" s="51">
        <f t="shared" si="26"/>
        <v>425</v>
      </c>
      <c r="CR51" s="103">
        <f t="shared" si="260"/>
        <v>0</v>
      </c>
      <c r="CS51" s="46">
        <f t="shared" si="148"/>
        <v>425</v>
      </c>
      <c r="CT51" s="50">
        <f t="shared" si="27"/>
        <v>79</v>
      </c>
      <c r="CU51" s="103">
        <f t="shared" si="261"/>
        <v>0</v>
      </c>
      <c r="CV51" s="46">
        <f t="shared" si="106"/>
        <v>79</v>
      </c>
      <c r="CX51" s="120">
        <f t="shared" si="262"/>
        <v>23</v>
      </c>
      <c r="CY51" s="570">
        <f t="shared" si="263"/>
        <v>6</v>
      </c>
      <c r="CZ51" s="133"/>
      <c r="DA51" s="408">
        <f t="shared" si="149"/>
        <v>0</v>
      </c>
      <c r="DB51" s="562">
        <f t="shared" si="139"/>
        <v>0</v>
      </c>
      <c r="DC51" s="134"/>
      <c r="DD51" s="135"/>
      <c r="DE51" s="135"/>
      <c r="DF51" s="14">
        <f t="shared" si="115"/>
        <v>0</v>
      </c>
      <c r="DG51" s="14">
        <f t="shared" si="244"/>
        <v>0</v>
      </c>
      <c r="DH51" s="14">
        <f t="shared" si="29"/>
        <v>0.18</v>
      </c>
      <c r="DI51" s="47">
        <f t="shared" si="116"/>
        <v>0</v>
      </c>
      <c r="DJ51" s="35">
        <f t="shared" si="30"/>
        <v>2.56</v>
      </c>
      <c r="DK51" s="159">
        <f t="shared" si="245"/>
        <v>0</v>
      </c>
      <c r="DL51" s="142"/>
      <c r="DM51" s="14">
        <f t="shared" si="31"/>
        <v>38</v>
      </c>
      <c r="DN51" s="442">
        <f t="shared" si="32"/>
        <v>0</v>
      </c>
      <c r="DO51" s="470">
        <f t="shared" si="178"/>
        <v>0</v>
      </c>
      <c r="DP51" s="51">
        <f t="shared" si="33"/>
        <v>425</v>
      </c>
      <c r="DQ51" s="103">
        <f t="shared" si="264"/>
        <v>0</v>
      </c>
      <c r="DR51" s="46">
        <f t="shared" si="150"/>
        <v>425</v>
      </c>
      <c r="DS51" s="50">
        <f t="shared" si="34"/>
        <v>79</v>
      </c>
      <c r="DT51" s="103">
        <f t="shared" si="265"/>
        <v>0</v>
      </c>
      <c r="DU51" s="46">
        <f t="shared" si="107"/>
        <v>79</v>
      </c>
    </row>
    <row r="52" spans="1:125" x14ac:dyDescent="0.25">
      <c r="B52" s="120">
        <f t="shared" si="246"/>
        <v>24</v>
      </c>
      <c r="C52" s="570">
        <f t="shared" si="247"/>
        <v>6</v>
      </c>
      <c r="D52" s="133"/>
      <c r="E52" s="408">
        <f t="shared" si="103"/>
        <v>171956</v>
      </c>
      <c r="F52" s="562">
        <f t="shared" si="0"/>
        <v>171956</v>
      </c>
      <c r="G52" s="134"/>
      <c r="H52" s="135"/>
      <c r="I52" s="135"/>
      <c r="J52" s="14">
        <f t="shared" si="108"/>
        <v>0</v>
      </c>
      <c r="K52" s="14">
        <f t="shared" si="35"/>
        <v>4875</v>
      </c>
      <c r="L52" s="14">
        <f t="shared" si="1"/>
        <v>0.18</v>
      </c>
      <c r="M52" s="47">
        <f t="shared" si="65"/>
        <v>0</v>
      </c>
      <c r="N52" s="35">
        <f t="shared" si="36"/>
        <v>2.56</v>
      </c>
      <c r="O52" s="159">
        <f t="shared" si="142"/>
        <v>2.7568695534154077</v>
      </c>
      <c r="P52" s="142"/>
      <c r="Q52" s="14">
        <f t="shared" si="3"/>
        <v>38</v>
      </c>
      <c r="R52" s="442">
        <f t="shared" si="123"/>
        <v>0</v>
      </c>
      <c r="S52" s="470">
        <f t="shared" si="37"/>
        <v>328.79467076367098</v>
      </c>
      <c r="T52" s="51">
        <f t="shared" si="5"/>
        <v>425</v>
      </c>
      <c r="U52" s="103">
        <f t="shared" si="248"/>
        <v>0</v>
      </c>
      <c r="V52" s="46">
        <f t="shared" si="38"/>
        <v>425</v>
      </c>
      <c r="W52" s="51">
        <f t="shared" si="6"/>
        <v>79</v>
      </c>
      <c r="X52" s="103">
        <f t="shared" si="249"/>
        <v>0</v>
      </c>
      <c r="Y52" s="46">
        <f t="shared" si="39"/>
        <v>79</v>
      </c>
      <c r="Z52" s="487"/>
      <c r="AA52" s="403">
        <f t="shared" si="250"/>
        <v>24</v>
      </c>
      <c r="AB52" s="571">
        <f t="shared" si="251"/>
        <v>6</v>
      </c>
      <c r="AC52" s="229"/>
      <c r="AD52" s="408">
        <f t="shared" si="143"/>
        <v>0</v>
      </c>
      <c r="AE52" s="562">
        <f t="shared" si="127"/>
        <v>0</v>
      </c>
      <c r="AF52" s="405"/>
      <c r="AG52" s="406"/>
      <c r="AH52" s="406"/>
      <c r="AI52" s="380">
        <f t="shared" si="109"/>
        <v>0</v>
      </c>
      <c r="AJ52" s="380">
        <f t="shared" si="239"/>
        <v>0</v>
      </c>
      <c r="AK52" s="380">
        <f t="shared" si="8"/>
        <v>0.18</v>
      </c>
      <c r="AL52" s="410">
        <f t="shared" si="110"/>
        <v>0</v>
      </c>
      <c r="AM52" s="407">
        <f t="shared" si="9"/>
        <v>2.56</v>
      </c>
      <c r="AN52" s="824">
        <f t="shared" si="240"/>
        <v>0</v>
      </c>
      <c r="AO52" s="411"/>
      <c r="AP52" s="380">
        <f t="shared" si="10"/>
        <v>38</v>
      </c>
      <c r="AQ52" s="536">
        <f t="shared" si="11"/>
        <v>0</v>
      </c>
      <c r="AR52" s="474">
        <f t="shared" si="175"/>
        <v>0</v>
      </c>
      <c r="AS52" s="182">
        <f t="shared" si="12"/>
        <v>425</v>
      </c>
      <c r="AT52" s="181">
        <f t="shared" si="252"/>
        <v>0</v>
      </c>
      <c r="AU52" s="206">
        <f t="shared" si="144"/>
        <v>425</v>
      </c>
      <c r="AV52" s="182">
        <f t="shared" si="13"/>
        <v>79</v>
      </c>
      <c r="AW52" s="181">
        <f t="shared" si="253"/>
        <v>0</v>
      </c>
      <c r="AX52" s="206">
        <f t="shared" si="104"/>
        <v>79</v>
      </c>
      <c r="AZ52" s="120">
        <f t="shared" si="254"/>
        <v>24</v>
      </c>
      <c r="BA52" s="570">
        <f t="shared" si="255"/>
        <v>6</v>
      </c>
      <c r="BB52" s="133"/>
      <c r="BC52" s="408">
        <f t="shared" si="145"/>
        <v>116143</v>
      </c>
      <c r="BD52" s="562">
        <f t="shared" si="131"/>
        <v>116143</v>
      </c>
      <c r="BE52" s="134"/>
      <c r="BF52" s="135"/>
      <c r="BG52" s="135"/>
      <c r="BH52" s="14">
        <f t="shared" si="111"/>
        <v>0</v>
      </c>
      <c r="BI52" s="14">
        <f t="shared" si="241"/>
        <v>3926</v>
      </c>
      <c r="BJ52" s="14">
        <f t="shared" si="15"/>
        <v>0.18</v>
      </c>
      <c r="BK52" s="47">
        <f t="shared" si="112"/>
        <v>0</v>
      </c>
      <c r="BL52" s="35">
        <f t="shared" si="16"/>
        <v>2.56</v>
      </c>
      <c r="BM52" s="159">
        <f t="shared" si="89"/>
        <v>3.2697865394065078</v>
      </c>
      <c r="BN52" s="142"/>
      <c r="BO52" s="14">
        <f t="shared" si="17"/>
        <v>38</v>
      </c>
      <c r="BP52" s="442">
        <f t="shared" si="18"/>
        <v>0</v>
      </c>
      <c r="BQ52" s="470">
        <f t="shared" si="176"/>
        <v>314.58428346602915</v>
      </c>
      <c r="BR52" s="51">
        <f t="shared" si="19"/>
        <v>425</v>
      </c>
      <c r="BS52" s="103">
        <f t="shared" si="256"/>
        <v>0</v>
      </c>
      <c r="BT52" s="46">
        <f t="shared" si="146"/>
        <v>425</v>
      </c>
      <c r="BU52" s="51">
        <f t="shared" si="20"/>
        <v>79</v>
      </c>
      <c r="BV52" s="103">
        <f t="shared" si="257"/>
        <v>0</v>
      </c>
      <c r="BW52" s="46">
        <f t="shared" si="105"/>
        <v>79</v>
      </c>
      <c r="BY52" s="120">
        <f t="shared" si="258"/>
        <v>24</v>
      </c>
      <c r="BZ52" s="570">
        <f t="shared" si="259"/>
        <v>6</v>
      </c>
      <c r="CA52" s="133"/>
      <c r="CB52" s="408">
        <f t="shared" si="147"/>
        <v>0</v>
      </c>
      <c r="CC52" s="562">
        <f t="shared" si="135"/>
        <v>0</v>
      </c>
      <c r="CD52" s="134"/>
      <c r="CE52" s="135"/>
      <c r="CF52" s="135"/>
      <c r="CG52" s="14">
        <f t="shared" si="113"/>
        <v>0</v>
      </c>
      <c r="CH52" s="14">
        <f t="shared" si="242"/>
        <v>0</v>
      </c>
      <c r="CI52" s="14">
        <f t="shared" si="22"/>
        <v>0.18</v>
      </c>
      <c r="CJ52" s="47">
        <f t="shared" si="114"/>
        <v>0</v>
      </c>
      <c r="CK52" s="35">
        <f t="shared" si="23"/>
        <v>2.56</v>
      </c>
      <c r="CL52" s="159">
        <f t="shared" si="243"/>
        <v>0</v>
      </c>
      <c r="CM52" s="142"/>
      <c r="CN52" s="14">
        <f t="shared" si="24"/>
        <v>38</v>
      </c>
      <c r="CO52" s="442">
        <f t="shared" si="25"/>
        <v>0</v>
      </c>
      <c r="CP52" s="470">
        <f t="shared" si="177"/>
        <v>0</v>
      </c>
      <c r="CQ52" s="51">
        <f t="shared" si="26"/>
        <v>425</v>
      </c>
      <c r="CR52" s="103">
        <f t="shared" si="260"/>
        <v>0</v>
      </c>
      <c r="CS52" s="46">
        <f t="shared" si="148"/>
        <v>425</v>
      </c>
      <c r="CT52" s="51">
        <f t="shared" si="27"/>
        <v>79</v>
      </c>
      <c r="CU52" s="103">
        <f t="shared" si="261"/>
        <v>0</v>
      </c>
      <c r="CV52" s="46">
        <f t="shared" si="106"/>
        <v>79</v>
      </c>
      <c r="CX52" s="120">
        <f t="shared" si="262"/>
        <v>24</v>
      </c>
      <c r="CY52" s="570">
        <f t="shared" si="263"/>
        <v>6</v>
      </c>
      <c r="CZ52" s="133"/>
      <c r="DA52" s="408">
        <f t="shared" si="149"/>
        <v>0</v>
      </c>
      <c r="DB52" s="562">
        <f t="shared" si="139"/>
        <v>0</v>
      </c>
      <c r="DC52" s="134"/>
      <c r="DD52" s="135"/>
      <c r="DE52" s="135"/>
      <c r="DF52" s="14">
        <f t="shared" si="115"/>
        <v>0</v>
      </c>
      <c r="DG52" s="14">
        <f t="shared" si="244"/>
        <v>0</v>
      </c>
      <c r="DH52" s="14">
        <f t="shared" si="29"/>
        <v>0.18</v>
      </c>
      <c r="DI52" s="47">
        <f t="shared" si="116"/>
        <v>0</v>
      </c>
      <c r="DJ52" s="35">
        <f t="shared" si="30"/>
        <v>2.56</v>
      </c>
      <c r="DK52" s="159">
        <f t="shared" si="245"/>
        <v>0</v>
      </c>
      <c r="DL52" s="142"/>
      <c r="DM52" s="14">
        <f t="shared" si="31"/>
        <v>38</v>
      </c>
      <c r="DN52" s="442">
        <f t="shared" si="32"/>
        <v>0</v>
      </c>
      <c r="DO52" s="470">
        <f t="shared" si="178"/>
        <v>0</v>
      </c>
      <c r="DP52" s="51">
        <f t="shared" si="33"/>
        <v>425</v>
      </c>
      <c r="DQ52" s="103">
        <f t="shared" si="264"/>
        <v>0</v>
      </c>
      <c r="DR52" s="46">
        <f t="shared" si="150"/>
        <v>425</v>
      </c>
      <c r="DS52" s="51">
        <f t="shared" si="34"/>
        <v>79</v>
      </c>
      <c r="DT52" s="103">
        <f t="shared" si="265"/>
        <v>0</v>
      </c>
      <c r="DU52" s="46">
        <f t="shared" si="107"/>
        <v>79</v>
      </c>
    </row>
    <row r="53" spans="1:125" ht="18" x14ac:dyDescent="0.25">
      <c r="A53" s="836"/>
      <c r="B53" s="120">
        <f t="shared" si="246"/>
        <v>25</v>
      </c>
      <c r="C53" s="571">
        <f t="shared" si="247"/>
        <v>6</v>
      </c>
      <c r="D53" s="229"/>
      <c r="E53" s="408">
        <f t="shared" si="103"/>
        <v>171956</v>
      </c>
      <c r="F53" s="562">
        <f t="shared" si="0"/>
        <v>171956</v>
      </c>
      <c r="G53" s="405"/>
      <c r="H53" s="406"/>
      <c r="I53" s="406"/>
      <c r="J53" s="380">
        <f t="shared" si="108"/>
        <v>0</v>
      </c>
      <c r="K53" s="380">
        <f t="shared" si="35"/>
        <v>4875</v>
      </c>
      <c r="L53" s="380">
        <f t="shared" si="1"/>
        <v>0.18</v>
      </c>
      <c r="M53" s="410">
        <f t="shared" si="65"/>
        <v>0</v>
      </c>
      <c r="N53" s="407">
        <f t="shared" si="36"/>
        <v>2.56</v>
      </c>
      <c r="O53" s="824">
        <f t="shared" si="142"/>
        <v>2.7568695534154077</v>
      </c>
      <c r="P53" s="411"/>
      <c r="Q53" s="380">
        <f t="shared" si="3"/>
        <v>38</v>
      </c>
      <c r="R53" s="536">
        <f t="shared" si="123"/>
        <v>0</v>
      </c>
      <c r="S53" s="474">
        <f t="shared" si="37"/>
        <v>328.79467076367098</v>
      </c>
      <c r="T53" s="182">
        <f t="shared" si="5"/>
        <v>425</v>
      </c>
      <c r="U53" s="181">
        <f t="shared" si="248"/>
        <v>0</v>
      </c>
      <c r="V53" s="206">
        <f t="shared" si="38"/>
        <v>425</v>
      </c>
      <c r="W53" s="810">
        <f t="shared" si="6"/>
        <v>79</v>
      </c>
      <c r="X53" s="181">
        <f t="shared" si="249"/>
        <v>0</v>
      </c>
      <c r="Y53" s="206">
        <f t="shared" si="39"/>
        <v>79</v>
      </c>
      <c r="Z53" s="836"/>
      <c r="AA53" s="403">
        <f t="shared" si="250"/>
        <v>25</v>
      </c>
      <c r="AB53" s="571">
        <f t="shared" si="251"/>
        <v>6</v>
      </c>
      <c r="AC53" s="229"/>
      <c r="AD53" s="408">
        <f t="shared" si="143"/>
        <v>0</v>
      </c>
      <c r="AE53" s="562">
        <f t="shared" si="127"/>
        <v>0</v>
      </c>
      <c r="AF53" s="405"/>
      <c r="AG53" s="406"/>
      <c r="AH53" s="406"/>
      <c r="AI53" s="380">
        <f t="shared" si="109"/>
        <v>0</v>
      </c>
      <c r="AJ53" s="380">
        <f t="shared" si="239"/>
        <v>0</v>
      </c>
      <c r="AK53" s="380">
        <f t="shared" si="8"/>
        <v>0.18</v>
      </c>
      <c r="AL53" s="410">
        <f t="shared" si="110"/>
        <v>0</v>
      </c>
      <c r="AM53" s="407">
        <f t="shared" si="9"/>
        <v>2.56</v>
      </c>
      <c r="AN53" s="824">
        <f t="shared" si="240"/>
        <v>0</v>
      </c>
      <c r="AO53" s="411"/>
      <c r="AP53" s="380">
        <f t="shared" si="10"/>
        <v>38</v>
      </c>
      <c r="AQ53" s="536">
        <f t="shared" si="11"/>
        <v>0</v>
      </c>
      <c r="AR53" s="474">
        <f t="shared" si="175"/>
        <v>0</v>
      </c>
      <c r="AS53" s="182">
        <f t="shared" si="12"/>
        <v>425</v>
      </c>
      <c r="AT53" s="181">
        <f t="shared" si="252"/>
        <v>0</v>
      </c>
      <c r="AU53" s="206">
        <f t="shared" si="144"/>
        <v>425</v>
      </c>
      <c r="AV53" s="810">
        <f t="shared" si="13"/>
        <v>79</v>
      </c>
      <c r="AW53" s="181">
        <f t="shared" si="253"/>
        <v>0</v>
      </c>
      <c r="AX53" s="206">
        <f t="shared" si="104"/>
        <v>79</v>
      </c>
      <c r="AY53" s="836"/>
      <c r="AZ53" s="403">
        <f>AZ52+1</f>
        <v>25</v>
      </c>
      <c r="BA53" s="571">
        <f t="shared" si="255"/>
        <v>6</v>
      </c>
      <c r="BB53" s="229"/>
      <c r="BC53" s="408">
        <f t="shared" si="145"/>
        <v>116143</v>
      </c>
      <c r="BD53" s="562">
        <f t="shared" si="131"/>
        <v>116143</v>
      </c>
      <c r="BE53" s="405"/>
      <c r="BF53" s="406"/>
      <c r="BG53" s="406"/>
      <c r="BH53" s="380">
        <f t="shared" si="111"/>
        <v>0</v>
      </c>
      <c r="BI53" s="380">
        <f t="shared" si="241"/>
        <v>3926</v>
      </c>
      <c r="BJ53" s="380">
        <f t="shared" si="15"/>
        <v>0.18</v>
      </c>
      <c r="BK53" s="410">
        <f t="shared" si="112"/>
        <v>0</v>
      </c>
      <c r="BL53" s="407">
        <f t="shared" si="16"/>
        <v>2.56</v>
      </c>
      <c r="BM53" s="159">
        <f t="shared" si="89"/>
        <v>3.2697865394065078</v>
      </c>
      <c r="BN53" s="411"/>
      <c r="BO53" s="380">
        <f t="shared" si="17"/>
        <v>38</v>
      </c>
      <c r="BP53" s="536">
        <f t="shared" si="18"/>
        <v>0</v>
      </c>
      <c r="BQ53" s="474">
        <f t="shared" si="176"/>
        <v>314.58428346602915</v>
      </c>
      <c r="BR53" s="182">
        <f t="shared" si="19"/>
        <v>425</v>
      </c>
      <c r="BS53" s="181">
        <f t="shared" si="256"/>
        <v>0</v>
      </c>
      <c r="BT53" s="206">
        <f t="shared" si="146"/>
        <v>425</v>
      </c>
      <c r="BU53" s="810">
        <f t="shared" si="20"/>
        <v>79</v>
      </c>
      <c r="BV53" s="181">
        <f t="shared" si="257"/>
        <v>0</v>
      </c>
      <c r="BW53" s="206">
        <f t="shared" si="105"/>
        <v>79</v>
      </c>
      <c r="BX53" s="836"/>
      <c r="BY53" s="403">
        <f t="shared" si="258"/>
        <v>25</v>
      </c>
      <c r="BZ53" s="571">
        <f t="shared" si="259"/>
        <v>6</v>
      </c>
      <c r="CA53" s="229"/>
      <c r="CB53" s="408">
        <f t="shared" si="147"/>
        <v>0</v>
      </c>
      <c r="CC53" s="562">
        <f t="shared" si="135"/>
        <v>0</v>
      </c>
      <c r="CD53" s="405"/>
      <c r="CE53" s="406"/>
      <c r="CF53" s="406"/>
      <c r="CG53" s="380">
        <f t="shared" si="113"/>
        <v>0</v>
      </c>
      <c r="CH53" s="380">
        <f t="shared" si="242"/>
        <v>0</v>
      </c>
      <c r="CI53" s="380">
        <f t="shared" si="22"/>
        <v>0.18</v>
      </c>
      <c r="CJ53" s="410">
        <f t="shared" si="114"/>
        <v>0</v>
      </c>
      <c r="CK53" s="407">
        <f t="shared" si="23"/>
        <v>2.56</v>
      </c>
      <c r="CL53" s="824">
        <f t="shared" si="243"/>
        <v>0</v>
      </c>
      <c r="CM53" s="411"/>
      <c r="CN53" s="380">
        <f t="shared" si="24"/>
        <v>38</v>
      </c>
      <c r="CO53" s="536">
        <f t="shared" si="25"/>
        <v>0</v>
      </c>
      <c r="CP53" s="474">
        <f t="shared" si="177"/>
        <v>0</v>
      </c>
      <c r="CQ53" s="182">
        <f t="shared" si="26"/>
        <v>425</v>
      </c>
      <c r="CR53" s="181">
        <f t="shared" si="260"/>
        <v>0</v>
      </c>
      <c r="CS53" s="206">
        <f t="shared" si="148"/>
        <v>425</v>
      </c>
      <c r="CT53" s="810">
        <f t="shared" si="27"/>
        <v>79</v>
      </c>
      <c r="CU53" s="181">
        <f t="shared" si="261"/>
        <v>0</v>
      </c>
      <c r="CV53" s="206">
        <f t="shared" si="106"/>
        <v>79</v>
      </c>
      <c r="CW53" s="836"/>
      <c r="CX53" s="403">
        <f>CX52+1</f>
        <v>25</v>
      </c>
      <c r="CY53" s="571">
        <f t="shared" si="263"/>
        <v>6</v>
      </c>
      <c r="CZ53" s="229"/>
      <c r="DA53" s="408">
        <f t="shared" si="149"/>
        <v>0</v>
      </c>
      <c r="DB53" s="562">
        <f t="shared" si="139"/>
        <v>0</v>
      </c>
      <c r="DC53" s="405"/>
      <c r="DD53" s="406"/>
      <c r="DE53" s="406"/>
      <c r="DF53" s="380">
        <f t="shared" si="115"/>
        <v>0</v>
      </c>
      <c r="DG53" s="380">
        <f t="shared" si="244"/>
        <v>0</v>
      </c>
      <c r="DH53" s="380">
        <f t="shared" si="29"/>
        <v>0.18</v>
      </c>
      <c r="DI53" s="410">
        <f t="shared" si="116"/>
        <v>0</v>
      </c>
      <c r="DJ53" s="407">
        <f t="shared" si="30"/>
        <v>2.56</v>
      </c>
      <c r="DK53" s="824">
        <f t="shared" si="245"/>
        <v>0</v>
      </c>
      <c r="DL53" s="411"/>
      <c r="DM53" s="380">
        <f t="shared" si="31"/>
        <v>38</v>
      </c>
      <c r="DN53" s="536">
        <f t="shared" si="32"/>
        <v>0</v>
      </c>
      <c r="DO53" s="474">
        <f t="shared" si="178"/>
        <v>0</v>
      </c>
      <c r="DP53" s="182">
        <f t="shared" si="33"/>
        <v>425</v>
      </c>
      <c r="DQ53" s="181">
        <f t="shared" si="264"/>
        <v>0</v>
      </c>
      <c r="DR53" s="206">
        <f t="shared" si="150"/>
        <v>425</v>
      </c>
      <c r="DS53" s="810">
        <f t="shared" si="34"/>
        <v>79</v>
      </c>
      <c r="DT53" s="181">
        <f t="shared" si="265"/>
        <v>0</v>
      </c>
      <c r="DU53" s="206">
        <f t="shared" si="107"/>
        <v>79</v>
      </c>
    </row>
    <row r="54" spans="1:125" ht="17.25" thickBot="1" x14ac:dyDescent="0.3">
      <c r="B54" s="119">
        <f t="shared" si="246"/>
        <v>26</v>
      </c>
      <c r="C54" s="825">
        <f t="shared" si="247"/>
        <v>6</v>
      </c>
      <c r="D54" s="203"/>
      <c r="E54" s="818">
        <f t="shared" si="103"/>
        <v>171956</v>
      </c>
      <c r="F54" s="450">
        <f t="shared" si="0"/>
        <v>171956</v>
      </c>
      <c r="G54" s="204"/>
      <c r="H54" s="205"/>
      <c r="I54" s="205"/>
      <c r="J54" s="13">
        <f t="shared" si="108"/>
        <v>0</v>
      </c>
      <c r="K54" s="13">
        <f t="shared" si="35"/>
        <v>4875</v>
      </c>
      <c r="L54" s="13">
        <f t="shared" si="1"/>
        <v>0.18</v>
      </c>
      <c r="M54" s="230">
        <f t="shared" si="65"/>
        <v>0</v>
      </c>
      <c r="N54" s="161">
        <f t="shared" si="36"/>
        <v>2.56</v>
      </c>
      <c r="O54" s="157">
        <f t="shared" si="142"/>
        <v>2.7568695534154077</v>
      </c>
      <c r="P54" s="237"/>
      <c r="Q54" s="13">
        <f t="shared" si="3"/>
        <v>38</v>
      </c>
      <c r="R54" s="482">
        <f t="shared" si="123"/>
        <v>0</v>
      </c>
      <c r="S54" s="641">
        <f t="shared" si="37"/>
        <v>328.79467076367098</v>
      </c>
      <c r="T54" s="50">
        <f t="shared" si="5"/>
        <v>425</v>
      </c>
      <c r="U54" s="202">
        <f t="shared" si="248"/>
        <v>0</v>
      </c>
      <c r="V54" s="62">
        <f t="shared" si="38"/>
        <v>425</v>
      </c>
      <c r="W54" s="50">
        <f t="shared" si="6"/>
        <v>79</v>
      </c>
      <c r="X54" s="202">
        <f t="shared" si="249"/>
        <v>0</v>
      </c>
      <c r="Y54" s="62">
        <f t="shared" si="39"/>
        <v>79</v>
      </c>
      <c r="Z54" s="487"/>
      <c r="AA54" s="119">
        <f t="shared" si="250"/>
        <v>26</v>
      </c>
      <c r="AB54" s="825">
        <f t="shared" si="251"/>
        <v>6</v>
      </c>
      <c r="AC54" s="203"/>
      <c r="AD54" s="818">
        <f t="shared" si="143"/>
        <v>0</v>
      </c>
      <c r="AE54" s="450">
        <f t="shared" si="127"/>
        <v>0</v>
      </c>
      <c r="AF54" s="204"/>
      <c r="AG54" s="205"/>
      <c r="AH54" s="205"/>
      <c r="AI54" s="13">
        <f t="shared" si="109"/>
        <v>0</v>
      </c>
      <c r="AJ54" s="13">
        <f t="shared" si="239"/>
        <v>0</v>
      </c>
      <c r="AK54" s="13">
        <f t="shared" si="8"/>
        <v>0.18</v>
      </c>
      <c r="AL54" s="230">
        <f t="shared" si="110"/>
        <v>0</v>
      </c>
      <c r="AM54" s="161">
        <f t="shared" si="9"/>
        <v>2.56</v>
      </c>
      <c r="AN54" s="157">
        <f t="shared" si="240"/>
        <v>0</v>
      </c>
      <c r="AO54" s="237"/>
      <c r="AP54" s="13">
        <f t="shared" si="10"/>
        <v>38</v>
      </c>
      <c r="AQ54" s="482">
        <f t="shared" si="11"/>
        <v>0</v>
      </c>
      <c r="AR54" s="641">
        <f t="shared" si="175"/>
        <v>0</v>
      </c>
      <c r="AS54" s="50">
        <f t="shared" si="12"/>
        <v>425</v>
      </c>
      <c r="AT54" s="202">
        <f t="shared" si="252"/>
        <v>0</v>
      </c>
      <c r="AU54" s="62">
        <f t="shared" si="144"/>
        <v>425</v>
      </c>
      <c r="AV54" s="50">
        <f t="shared" si="13"/>
        <v>79</v>
      </c>
      <c r="AW54" s="202">
        <f t="shared" si="253"/>
        <v>0</v>
      </c>
      <c r="AX54" s="62">
        <f t="shared" si="104"/>
        <v>79</v>
      </c>
      <c r="AZ54" s="119">
        <f t="shared" si="254"/>
        <v>26</v>
      </c>
      <c r="BA54" s="825">
        <f t="shared" si="255"/>
        <v>6</v>
      </c>
      <c r="BB54" s="203"/>
      <c r="BC54" s="818">
        <f t="shared" si="145"/>
        <v>116143</v>
      </c>
      <c r="BD54" s="450">
        <f t="shared" si="131"/>
        <v>116143</v>
      </c>
      <c r="BE54" s="204"/>
      <c r="BF54" s="205"/>
      <c r="BG54" s="205"/>
      <c r="BH54" s="13">
        <f t="shared" si="111"/>
        <v>0</v>
      </c>
      <c r="BI54" s="13">
        <f t="shared" si="241"/>
        <v>3926</v>
      </c>
      <c r="BJ54" s="13">
        <f t="shared" si="15"/>
        <v>0.18</v>
      </c>
      <c r="BK54" s="230">
        <f t="shared" si="112"/>
        <v>0</v>
      </c>
      <c r="BL54" s="161">
        <f t="shared" si="16"/>
        <v>2.56</v>
      </c>
      <c r="BM54" s="156">
        <f t="shared" si="89"/>
        <v>3.2697865394065078</v>
      </c>
      <c r="BN54" s="237"/>
      <c r="BO54" s="13">
        <f t="shared" si="17"/>
        <v>38</v>
      </c>
      <c r="BP54" s="482">
        <f t="shared" si="18"/>
        <v>0</v>
      </c>
      <c r="BQ54" s="641">
        <f t="shared" si="176"/>
        <v>314.58428346602915</v>
      </c>
      <c r="BR54" s="50">
        <f t="shared" si="19"/>
        <v>425</v>
      </c>
      <c r="BS54" s="202">
        <f t="shared" si="256"/>
        <v>0</v>
      </c>
      <c r="BT54" s="62">
        <f t="shared" si="146"/>
        <v>425</v>
      </c>
      <c r="BU54" s="50">
        <f t="shared" si="20"/>
        <v>79</v>
      </c>
      <c r="BV54" s="202">
        <f t="shared" si="257"/>
        <v>0</v>
      </c>
      <c r="BW54" s="62">
        <f t="shared" si="105"/>
        <v>79</v>
      </c>
      <c r="BY54" s="119">
        <f t="shared" si="258"/>
        <v>26</v>
      </c>
      <c r="BZ54" s="825">
        <f t="shared" si="259"/>
        <v>6</v>
      </c>
      <c r="CA54" s="203"/>
      <c r="CB54" s="818">
        <f t="shared" si="147"/>
        <v>0</v>
      </c>
      <c r="CC54" s="450">
        <f t="shared" si="135"/>
        <v>0</v>
      </c>
      <c r="CD54" s="204"/>
      <c r="CE54" s="205"/>
      <c r="CF54" s="205"/>
      <c r="CG54" s="13">
        <f t="shared" si="113"/>
        <v>0</v>
      </c>
      <c r="CH54" s="13">
        <f t="shared" si="242"/>
        <v>0</v>
      </c>
      <c r="CI54" s="13">
        <f t="shared" si="22"/>
        <v>0.18</v>
      </c>
      <c r="CJ54" s="230">
        <f t="shared" si="114"/>
        <v>0</v>
      </c>
      <c r="CK54" s="161">
        <f t="shared" si="23"/>
        <v>2.56</v>
      </c>
      <c r="CL54" s="157">
        <f t="shared" si="243"/>
        <v>0</v>
      </c>
      <c r="CM54" s="237"/>
      <c r="CN54" s="13">
        <f t="shared" si="24"/>
        <v>38</v>
      </c>
      <c r="CO54" s="482">
        <f t="shared" si="25"/>
        <v>0</v>
      </c>
      <c r="CP54" s="641">
        <f t="shared" si="177"/>
        <v>0</v>
      </c>
      <c r="CQ54" s="50">
        <f t="shared" si="26"/>
        <v>425</v>
      </c>
      <c r="CR54" s="202">
        <f t="shared" si="260"/>
        <v>0</v>
      </c>
      <c r="CS54" s="62">
        <f t="shared" si="148"/>
        <v>425</v>
      </c>
      <c r="CT54" s="50">
        <f t="shared" si="27"/>
        <v>79</v>
      </c>
      <c r="CU54" s="202">
        <f t="shared" si="261"/>
        <v>0</v>
      </c>
      <c r="CV54" s="62">
        <f t="shared" si="106"/>
        <v>79</v>
      </c>
      <c r="CX54" s="119">
        <f t="shared" si="262"/>
        <v>26</v>
      </c>
      <c r="CY54" s="825">
        <f t="shared" si="263"/>
        <v>6</v>
      </c>
      <c r="CZ54" s="203"/>
      <c r="DA54" s="818">
        <f t="shared" si="149"/>
        <v>0</v>
      </c>
      <c r="DB54" s="450">
        <f t="shared" si="139"/>
        <v>0</v>
      </c>
      <c r="DC54" s="204"/>
      <c r="DD54" s="205"/>
      <c r="DE54" s="205"/>
      <c r="DF54" s="13">
        <f t="shared" si="115"/>
        <v>0</v>
      </c>
      <c r="DG54" s="13">
        <f t="shared" si="244"/>
        <v>0</v>
      </c>
      <c r="DH54" s="13">
        <f t="shared" si="29"/>
        <v>0.18</v>
      </c>
      <c r="DI54" s="230">
        <f t="shared" si="116"/>
        <v>0</v>
      </c>
      <c r="DJ54" s="161">
        <f t="shared" si="30"/>
        <v>2.56</v>
      </c>
      <c r="DK54" s="157">
        <f t="shared" si="245"/>
        <v>0</v>
      </c>
      <c r="DL54" s="237"/>
      <c r="DM54" s="13">
        <f t="shared" si="31"/>
        <v>38</v>
      </c>
      <c r="DN54" s="482">
        <f t="shared" si="32"/>
        <v>0</v>
      </c>
      <c r="DO54" s="641">
        <f t="shared" si="178"/>
        <v>0</v>
      </c>
      <c r="DP54" s="50">
        <f t="shared" si="33"/>
        <v>425</v>
      </c>
      <c r="DQ54" s="202">
        <f t="shared" si="264"/>
        <v>0</v>
      </c>
      <c r="DR54" s="62">
        <f t="shared" si="150"/>
        <v>425</v>
      </c>
      <c r="DS54" s="50">
        <f t="shared" si="34"/>
        <v>79</v>
      </c>
      <c r="DT54" s="202">
        <f t="shared" si="265"/>
        <v>0</v>
      </c>
      <c r="DU54" s="62">
        <f t="shared" si="107"/>
        <v>79</v>
      </c>
    </row>
    <row r="55" spans="1:125" x14ac:dyDescent="0.25">
      <c r="B55" s="118">
        <v>27</v>
      </c>
      <c r="C55" s="575">
        <v>7</v>
      </c>
      <c r="D55" s="129"/>
      <c r="E55" s="400">
        <f t="shared" si="103"/>
        <v>171956</v>
      </c>
      <c r="F55" s="561">
        <f t="shared" si="0"/>
        <v>171956</v>
      </c>
      <c r="G55" s="130"/>
      <c r="H55" s="131"/>
      <c r="I55" s="131"/>
      <c r="J55" s="11">
        <f t="shared" si="108"/>
        <v>0</v>
      </c>
      <c r="K55" s="11">
        <f t="shared" si="35"/>
        <v>4875</v>
      </c>
      <c r="L55" s="11">
        <f t="shared" si="1"/>
        <v>0.16</v>
      </c>
      <c r="M55" s="42">
        <f t="shared" si="65"/>
        <v>0</v>
      </c>
      <c r="N55" s="21">
        <f t="shared" si="36"/>
        <v>2.72</v>
      </c>
      <c r="O55" s="165">
        <f t="shared" si="142"/>
        <v>2.7568695534154077</v>
      </c>
      <c r="P55" s="158"/>
      <c r="Q55" s="11">
        <f t="shared" si="3"/>
        <v>42</v>
      </c>
      <c r="R55" s="481">
        <f t="shared" si="123"/>
        <v>0</v>
      </c>
      <c r="S55" s="469">
        <f t="shared" si="37"/>
        <v>328.79467076367098</v>
      </c>
      <c r="T55" s="58">
        <f t="shared" si="5"/>
        <v>524</v>
      </c>
      <c r="U55" s="131"/>
      <c r="V55" s="41">
        <f t="shared" si="38"/>
        <v>524</v>
      </c>
      <c r="W55" s="18">
        <f t="shared" si="6"/>
        <v>79</v>
      </c>
      <c r="X55" s="131"/>
      <c r="Y55" s="41">
        <f t="shared" si="39"/>
        <v>79</v>
      </c>
      <c r="Z55" s="487"/>
      <c r="AA55" s="118">
        <v>27</v>
      </c>
      <c r="AB55" s="575">
        <v>7</v>
      </c>
      <c r="AC55" s="129"/>
      <c r="AD55" s="400">
        <f t="shared" si="143"/>
        <v>0</v>
      </c>
      <c r="AE55" s="561">
        <f t="shared" si="127"/>
        <v>0</v>
      </c>
      <c r="AF55" s="130"/>
      <c r="AG55" s="131"/>
      <c r="AH55" s="131"/>
      <c r="AI55" s="11">
        <f t="shared" si="109"/>
        <v>0</v>
      </c>
      <c r="AJ55" s="11">
        <f t="shared" si="239"/>
        <v>0</v>
      </c>
      <c r="AK55" s="11">
        <f t="shared" si="8"/>
        <v>0.16</v>
      </c>
      <c r="AL55" s="42">
        <f t="shared" si="110"/>
        <v>0</v>
      </c>
      <c r="AM55" s="21">
        <f t="shared" si="9"/>
        <v>2.72</v>
      </c>
      <c r="AN55" s="165">
        <f t="shared" si="240"/>
        <v>0</v>
      </c>
      <c r="AO55" s="158"/>
      <c r="AP55" s="11">
        <f t="shared" si="10"/>
        <v>42</v>
      </c>
      <c r="AQ55" s="481">
        <f t="shared" si="11"/>
        <v>0</v>
      </c>
      <c r="AR55" s="469">
        <f t="shared" si="175"/>
        <v>0</v>
      </c>
      <c r="AS55" s="58">
        <f t="shared" si="12"/>
        <v>524</v>
      </c>
      <c r="AT55" s="131"/>
      <c r="AU55" s="41">
        <f t="shared" si="144"/>
        <v>524</v>
      </c>
      <c r="AV55" s="18">
        <f t="shared" si="13"/>
        <v>79</v>
      </c>
      <c r="AW55" s="131"/>
      <c r="AX55" s="41">
        <f t="shared" si="104"/>
        <v>79</v>
      </c>
      <c r="AZ55" s="118">
        <v>27</v>
      </c>
      <c r="BA55" s="575">
        <v>7</v>
      </c>
      <c r="BB55" s="129"/>
      <c r="BC55" s="400">
        <f t="shared" si="145"/>
        <v>116143</v>
      </c>
      <c r="BD55" s="561">
        <f t="shared" si="131"/>
        <v>116143</v>
      </c>
      <c r="BE55" s="130"/>
      <c r="BF55" s="131"/>
      <c r="BG55" s="131"/>
      <c r="BH55" s="11">
        <f t="shared" si="111"/>
        <v>0</v>
      </c>
      <c r="BI55" s="11">
        <f t="shared" si="241"/>
        <v>3926</v>
      </c>
      <c r="BJ55" s="11">
        <f t="shared" si="15"/>
        <v>0.16</v>
      </c>
      <c r="BK55" s="42">
        <f t="shared" si="112"/>
        <v>0</v>
      </c>
      <c r="BL55" s="21">
        <f t="shared" si="16"/>
        <v>2.72</v>
      </c>
      <c r="BM55" s="155">
        <f t="shared" si="89"/>
        <v>3.2697865394065078</v>
      </c>
      <c r="BN55" s="158"/>
      <c r="BO55" s="11">
        <f t="shared" si="17"/>
        <v>42</v>
      </c>
      <c r="BP55" s="481">
        <f t="shared" si="18"/>
        <v>0</v>
      </c>
      <c r="BQ55" s="469">
        <f t="shared" si="176"/>
        <v>314.58428346602915</v>
      </c>
      <c r="BR55" s="58">
        <f t="shared" si="19"/>
        <v>524</v>
      </c>
      <c r="BS55" s="131"/>
      <c r="BT55" s="41">
        <f t="shared" si="146"/>
        <v>524</v>
      </c>
      <c r="BU55" s="18">
        <f t="shared" si="20"/>
        <v>79</v>
      </c>
      <c r="BV55" s="131"/>
      <c r="BW55" s="41">
        <f t="shared" si="105"/>
        <v>79</v>
      </c>
      <c r="BY55" s="118">
        <v>27</v>
      </c>
      <c r="BZ55" s="575">
        <v>7</v>
      </c>
      <c r="CA55" s="129"/>
      <c r="CB55" s="400">
        <f t="shared" si="147"/>
        <v>0</v>
      </c>
      <c r="CC55" s="561">
        <f t="shared" si="135"/>
        <v>0</v>
      </c>
      <c r="CD55" s="130"/>
      <c r="CE55" s="131"/>
      <c r="CF55" s="131"/>
      <c r="CG55" s="11">
        <f t="shared" si="113"/>
        <v>0</v>
      </c>
      <c r="CH55" s="11">
        <f t="shared" si="242"/>
        <v>0</v>
      </c>
      <c r="CI55" s="11">
        <f t="shared" si="22"/>
        <v>0.16</v>
      </c>
      <c r="CJ55" s="42">
        <f t="shared" si="114"/>
        <v>0</v>
      </c>
      <c r="CK55" s="21">
        <f t="shared" si="23"/>
        <v>2.72</v>
      </c>
      <c r="CL55" s="165">
        <f t="shared" si="243"/>
        <v>0</v>
      </c>
      <c r="CM55" s="158"/>
      <c r="CN55" s="11">
        <f t="shared" si="24"/>
        <v>42</v>
      </c>
      <c r="CO55" s="481">
        <f t="shared" si="25"/>
        <v>0</v>
      </c>
      <c r="CP55" s="469">
        <f t="shared" si="177"/>
        <v>0</v>
      </c>
      <c r="CQ55" s="58">
        <f t="shared" si="26"/>
        <v>524</v>
      </c>
      <c r="CR55" s="131"/>
      <c r="CS55" s="41">
        <f t="shared" si="148"/>
        <v>524</v>
      </c>
      <c r="CT55" s="18">
        <f t="shared" si="27"/>
        <v>79</v>
      </c>
      <c r="CU55" s="131"/>
      <c r="CV55" s="41">
        <f t="shared" si="106"/>
        <v>79</v>
      </c>
      <c r="CX55" s="118">
        <v>27</v>
      </c>
      <c r="CY55" s="575">
        <v>7</v>
      </c>
      <c r="CZ55" s="129"/>
      <c r="DA55" s="400">
        <f t="shared" si="149"/>
        <v>0</v>
      </c>
      <c r="DB55" s="561">
        <f t="shared" si="139"/>
        <v>0</v>
      </c>
      <c r="DC55" s="130"/>
      <c r="DD55" s="131"/>
      <c r="DE55" s="131"/>
      <c r="DF55" s="11">
        <f t="shared" si="115"/>
        <v>0</v>
      </c>
      <c r="DG55" s="11">
        <f t="shared" si="244"/>
        <v>0</v>
      </c>
      <c r="DH55" s="11">
        <f t="shared" si="29"/>
        <v>0.16</v>
      </c>
      <c r="DI55" s="42">
        <f t="shared" si="116"/>
        <v>0</v>
      </c>
      <c r="DJ55" s="21">
        <f t="shared" si="30"/>
        <v>2.72</v>
      </c>
      <c r="DK55" s="165">
        <f t="shared" si="245"/>
        <v>0</v>
      </c>
      <c r="DL55" s="158"/>
      <c r="DM55" s="11">
        <f t="shared" si="31"/>
        <v>42</v>
      </c>
      <c r="DN55" s="481">
        <f t="shared" si="32"/>
        <v>0</v>
      </c>
      <c r="DO55" s="469">
        <f t="shared" si="178"/>
        <v>0</v>
      </c>
      <c r="DP55" s="58">
        <f t="shared" si="33"/>
        <v>524</v>
      </c>
      <c r="DQ55" s="131"/>
      <c r="DR55" s="41">
        <f t="shared" si="150"/>
        <v>524</v>
      </c>
      <c r="DS55" s="18">
        <f t="shared" si="34"/>
        <v>79</v>
      </c>
      <c r="DT55" s="131"/>
      <c r="DU55" s="41">
        <f t="shared" si="107"/>
        <v>79</v>
      </c>
    </row>
    <row r="56" spans="1:125" x14ac:dyDescent="0.25">
      <c r="B56" s="120">
        <f>B55+1</f>
        <v>28</v>
      </c>
      <c r="C56" s="570">
        <f t="shared" si="247"/>
        <v>7</v>
      </c>
      <c r="D56" s="133"/>
      <c r="E56" s="408">
        <f t="shared" si="103"/>
        <v>171956</v>
      </c>
      <c r="F56" s="562">
        <f t="shared" si="0"/>
        <v>171956</v>
      </c>
      <c r="G56" s="134"/>
      <c r="H56" s="135"/>
      <c r="I56" s="135"/>
      <c r="J56" s="14">
        <f t="shared" si="108"/>
        <v>0</v>
      </c>
      <c r="K56" s="14">
        <f t="shared" si="35"/>
        <v>4875</v>
      </c>
      <c r="L56" s="14">
        <f t="shared" si="1"/>
        <v>0.16</v>
      </c>
      <c r="M56" s="47">
        <f t="shared" si="65"/>
        <v>0</v>
      </c>
      <c r="N56" s="35">
        <f t="shared" si="36"/>
        <v>2.72</v>
      </c>
      <c r="O56" s="159">
        <f t="shared" si="142"/>
        <v>2.7568695534154077</v>
      </c>
      <c r="P56" s="142"/>
      <c r="Q56" s="14">
        <f t="shared" si="3"/>
        <v>42</v>
      </c>
      <c r="R56" s="442">
        <f t="shared" si="123"/>
        <v>0</v>
      </c>
      <c r="S56" s="470">
        <f t="shared" si="37"/>
        <v>328.79467076367098</v>
      </c>
      <c r="T56" s="51">
        <f t="shared" si="5"/>
        <v>524</v>
      </c>
      <c r="U56" s="103">
        <f>U55</f>
        <v>0</v>
      </c>
      <c r="V56" s="46">
        <f t="shared" si="38"/>
        <v>524</v>
      </c>
      <c r="W56" s="51">
        <f t="shared" si="6"/>
        <v>79</v>
      </c>
      <c r="X56" s="103">
        <f>X55</f>
        <v>0</v>
      </c>
      <c r="Y56" s="46">
        <f t="shared" si="39"/>
        <v>79</v>
      </c>
      <c r="Z56" s="487"/>
      <c r="AA56" s="120">
        <f>AA55+1</f>
        <v>28</v>
      </c>
      <c r="AB56" s="570">
        <f t="shared" si="251"/>
        <v>7</v>
      </c>
      <c r="AC56" s="133"/>
      <c r="AD56" s="408">
        <f t="shared" si="143"/>
        <v>0</v>
      </c>
      <c r="AE56" s="562">
        <f t="shared" si="127"/>
        <v>0</v>
      </c>
      <c r="AF56" s="134"/>
      <c r="AG56" s="135"/>
      <c r="AH56" s="135"/>
      <c r="AI56" s="14">
        <f t="shared" si="109"/>
        <v>0</v>
      </c>
      <c r="AJ56" s="14">
        <f t="shared" si="239"/>
        <v>0</v>
      </c>
      <c r="AK56" s="14">
        <f t="shared" si="8"/>
        <v>0.16</v>
      </c>
      <c r="AL56" s="47">
        <f t="shared" si="110"/>
        <v>0</v>
      </c>
      <c r="AM56" s="35">
        <f t="shared" si="9"/>
        <v>2.72</v>
      </c>
      <c r="AN56" s="159">
        <f t="shared" si="240"/>
        <v>0</v>
      </c>
      <c r="AO56" s="142"/>
      <c r="AP56" s="14">
        <f t="shared" si="10"/>
        <v>42</v>
      </c>
      <c r="AQ56" s="442">
        <f t="shared" si="11"/>
        <v>0</v>
      </c>
      <c r="AR56" s="470">
        <f t="shared" si="175"/>
        <v>0</v>
      </c>
      <c r="AS56" s="51">
        <f t="shared" si="12"/>
        <v>524</v>
      </c>
      <c r="AT56" s="103">
        <f>AT55</f>
        <v>0</v>
      </c>
      <c r="AU56" s="46">
        <f t="shared" si="144"/>
        <v>524</v>
      </c>
      <c r="AV56" s="51">
        <f t="shared" si="13"/>
        <v>79</v>
      </c>
      <c r="AW56" s="103">
        <f>AW55</f>
        <v>0</v>
      </c>
      <c r="AX56" s="46">
        <f t="shared" si="104"/>
        <v>79</v>
      </c>
      <c r="AZ56" s="120">
        <f>AZ55+1</f>
        <v>28</v>
      </c>
      <c r="BA56" s="570">
        <f t="shared" si="255"/>
        <v>7</v>
      </c>
      <c r="BB56" s="133"/>
      <c r="BC56" s="408">
        <f t="shared" si="145"/>
        <v>116143</v>
      </c>
      <c r="BD56" s="562">
        <f t="shared" si="131"/>
        <v>116143</v>
      </c>
      <c r="BE56" s="134"/>
      <c r="BF56" s="135"/>
      <c r="BG56" s="135"/>
      <c r="BH56" s="14">
        <f t="shared" si="111"/>
        <v>0</v>
      </c>
      <c r="BI56" s="14">
        <f t="shared" si="241"/>
        <v>3926</v>
      </c>
      <c r="BJ56" s="14">
        <f t="shared" si="15"/>
        <v>0.16</v>
      </c>
      <c r="BK56" s="47">
        <f t="shared" si="112"/>
        <v>0</v>
      </c>
      <c r="BL56" s="35">
        <f t="shared" si="16"/>
        <v>2.72</v>
      </c>
      <c r="BM56" s="159">
        <f t="shared" si="89"/>
        <v>3.2697865394065078</v>
      </c>
      <c r="BN56" s="142"/>
      <c r="BO56" s="14">
        <f t="shared" si="17"/>
        <v>42</v>
      </c>
      <c r="BP56" s="442">
        <f t="shared" si="18"/>
        <v>0</v>
      </c>
      <c r="BQ56" s="470">
        <f t="shared" si="176"/>
        <v>314.58428346602915</v>
      </c>
      <c r="BR56" s="51">
        <f t="shared" si="19"/>
        <v>524</v>
      </c>
      <c r="BS56" s="103">
        <f>BS55</f>
        <v>0</v>
      </c>
      <c r="BT56" s="46">
        <f t="shared" si="146"/>
        <v>524</v>
      </c>
      <c r="BU56" s="51">
        <f t="shared" si="20"/>
        <v>79</v>
      </c>
      <c r="BV56" s="103">
        <f>BV55</f>
        <v>0</v>
      </c>
      <c r="BW56" s="46">
        <f t="shared" si="105"/>
        <v>79</v>
      </c>
      <c r="BY56" s="120">
        <f>BY55+1</f>
        <v>28</v>
      </c>
      <c r="BZ56" s="570">
        <f t="shared" si="259"/>
        <v>7</v>
      </c>
      <c r="CA56" s="133"/>
      <c r="CB56" s="408">
        <f t="shared" si="147"/>
        <v>0</v>
      </c>
      <c r="CC56" s="562">
        <f t="shared" si="135"/>
        <v>0</v>
      </c>
      <c r="CD56" s="134"/>
      <c r="CE56" s="135"/>
      <c r="CF56" s="135"/>
      <c r="CG56" s="14">
        <f t="shared" si="113"/>
        <v>0</v>
      </c>
      <c r="CH56" s="14">
        <f t="shared" si="242"/>
        <v>0</v>
      </c>
      <c r="CI56" s="14">
        <f t="shared" si="22"/>
        <v>0.16</v>
      </c>
      <c r="CJ56" s="47">
        <f t="shared" si="114"/>
        <v>0</v>
      </c>
      <c r="CK56" s="35">
        <f t="shared" si="23"/>
        <v>2.72</v>
      </c>
      <c r="CL56" s="159">
        <f t="shared" si="243"/>
        <v>0</v>
      </c>
      <c r="CM56" s="142"/>
      <c r="CN56" s="14">
        <f t="shared" si="24"/>
        <v>42</v>
      </c>
      <c r="CO56" s="442">
        <f t="shared" si="25"/>
        <v>0</v>
      </c>
      <c r="CP56" s="470">
        <f t="shared" si="177"/>
        <v>0</v>
      </c>
      <c r="CQ56" s="51">
        <f t="shared" si="26"/>
        <v>524</v>
      </c>
      <c r="CR56" s="103">
        <f>CR55</f>
        <v>0</v>
      </c>
      <c r="CS56" s="46">
        <f t="shared" si="148"/>
        <v>524</v>
      </c>
      <c r="CT56" s="51">
        <f t="shared" si="27"/>
        <v>79</v>
      </c>
      <c r="CU56" s="103">
        <f>CU55</f>
        <v>0</v>
      </c>
      <c r="CV56" s="46">
        <f t="shared" si="106"/>
        <v>79</v>
      </c>
      <c r="CX56" s="120">
        <f>CX55+1</f>
        <v>28</v>
      </c>
      <c r="CY56" s="570">
        <f t="shared" si="263"/>
        <v>7</v>
      </c>
      <c r="CZ56" s="133"/>
      <c r="DA56" s="408">
        <f t="shared" si="149"/>
        <v>0</v>
      </c>
      <c r="DB56" s="562">
        <f t="shared" si="139"/>
        <v>0</v>
      </c>
      <c r="DC56" s="134"/>
      <c r="DD56" s="135"/>
      <c r="DE56" s="135"/>
      <c r="DF56" s="14">
        <f t="shared" si="115"/>
        <v>0</v>
      </c>
      <c r="DG56" s="14">
        <f t="shared" si="244"/>
        <v>0</v>
      </c>
      <c r="DH56" s="14">
        <f t="shared" si="29"/>
        <v>0.16</v>
      </c>
      <c r="DI56" s="47">
        <f t="shared" si="116"/>
        <v>0</v>
      </c>
      <c r="DJ56" s="35">
        <f t="shared" si="30"/>
        <v>2.72</v>
      </c>
      <c r="DK56" s="159">
        <f t="shared" si="245"/>
        <v>0</v>
      </c>
      <c r="DL56" s="142"/>
      <c r="DM56" s="14">
        <f t="shared" si="31"/>
        <v>42</v>
      </c>
      <c r="DN56" s="442">
        <f t="shared" si="32"/>
        <v>0</v>
      </c>
      <c r="DO56" s="470">
        <f t="shared" si="178"/>
        <v>0</v>
      </c>
      <c r="DP56" s="51">
        <f t="shared" si="33"/>
        <v>524</v>
      </c>
      <c r="DQ56" s="103">
        <f>DQ55</f>
        <v>0</v>
      </c>
      <c r="DR56" s="46">
        <f t="shared" si="150"/>
        <v>524</v>
      </c>
      <c r="DS56" s="51">
        <f t="shared" si="34"/>
        <v>79</v>
      </c>
      <c r="DT56" s="103">
        <f>DT55</f>
        <v>0</v>
      </c>
      <c r="DU56" s="46">
        <f t="shared" si="107"/>
        <v>79</v>
      </c>
    </row>
    <row r="57" spans="1:125" x14ac:dyDescent="0.25">
      <c r="B57" s="120">
        <f t="shared" ref="B57:B59" si="266">B56+1</f>
        <v>29</v>
      </c>
      <c r="C57" s="570">
        <f t="shared" si="247"/>
        <v>7</v>
      </c>
      <c r="D57" s="133"/>
      <c r="E57" s="408">
        <f t="shared" si="103"/>
        <v>171956</v>
      </c>
      <c r="F57" s="562">
        <f t="shared" si="0"/>
        <v>171956</v>
      </c>
      <c r="G57" s="134"/>
      <c r="H57" s="135"/>
      <c r="I57" s="135"/>
      <c r="J57" s="14">
        <f t="shared" si="108"/>
        <v>0</v>
      </c>
      <c r="K57" s="14">
        <f t="shared" si="35"/>
        <v>4875</v>
      </c>
      <c r="L57" s="14">
        <f t="shared" si="1"/>
        <v>0.16</v>
      </c>
      <c r="M57" s="47">
        <f t="shared" si="65"/>
        <v>0</v>
      </c>
      <c r="N57" s="35">
        <f t="shared" si="36"/>
        <v>2.72</v>
      </c>
      <c r="O57" s="159">
        <f t="shared" si="142"/>
        <v>2.7568695534154077</v>
      </c>
      <c r="P57" s="142"/>
      <c r="Q57" s="14">
        <f t="shared" si="3"/>
        <v>42</v>
      </c>
      <c r="R57" s="480">
        <f t="shared" si="123"/>
        <v>0</v>
      </c>
      <c r="S57" s="470">
        <f t="shared" si="37"/>
        <v>328.79467076367098</v>
      </c>
      <c r="T57" s="51">
        <f t="shared" si="5"/>
        <v>524</v>
      </c>
      <c r="U57" s="103">
        <f t="shared" ref="U57:U61" si="267">U56</f>
        <v>0</v>
      </c>
      <c r="V57" s="46">
        <f t="shared" si="38"/>
        <v>524</v>
      </c>
      <c r="W57" s="50">
        <f t="shared" si="6"/>
        <v>79</v>
      </c>
      <c r="X57" s="103">
        <f t="shared" ref="X57:X61" si="268">X56</f>
        <v>0</v>
      </c>
      <c r="Y57" s="46">
        <f t="shared" si="39"/>
        <v>79</v>
      </c>
      <c r="Z57" s="487"/>
      <c r="AA57" s="120">
        <f t="shared" ref="AA57:AA59" si="269">AA56+1</f>
        <v>29</v>
      </c>
      <c r="AB57" s="570">
        <f t="shared" si="251"/>
        <v>7</v>
      </c>
      <c r="AC57" s="133"/>
      <c r="AD57" s="408">
        <f t="shared" si="143"/>
        <v>0</v>
      </c>
      <c r="AE57" s="562">
        <f t="shared" si="127"/>
        <v>0</v>
      </c>
      <c r="AF57" s="134"/>
      <c r="AG57" s="135"/>
      <c r="AH57" s="135"/>
      <c r="AI57" s="14">
        <f t="shared" si="109"/>
        <v>0</v>
      </c>
      <c r="AJ57" s="14">
        <f t="shared" si="239"/>
        <v>0</v>
      </c>
      <c r="AK57" s="14">
        <f t="shared" si="8"/>
        <v>0.16</v>
      </c>
      <c r="AL57" s="47">
        <f t="shared" si="110"/>
        <v>0</v>
      </c>
      <c r="AM57" s="35">
        <f t="shared" si="9"/>
        <v>2.72</v>
      </c>
      <c r="AN57" s="159">
        <f t="shared" si="240"/>
        <v>0</v>
      </c>
      <c r="AO57" s="142"/>
      <c r="AP57" s="14">
        <f t="shared" si="10"/>
        <v>42</v>
      </c>
      <c r="AQ57" s="480">
        <f t="shared" si="11"/>
        <v>0</v>
      </c>
      <c r="AR57" s="470">
        <f t="shared" si="175"/>
        <v>0</v>
      </c>
      <c r="AS57" s="51">
        <f t="shared" si="12"/>
        <v>524</v>
      </c>
      <c r="AT57" s="103">
        <f t="shared" ref="AT57:AT61" si="270">AT56</f>
        <v>0</v>
      </c>
      <c r="AU57" s="46">
        <f t="shared" si="144"/>
        <v>524</v>
      </c>
      <c r="AV57" s="50">
        <f t="shared" si="13"/>
        <v>79</v>
      </c>
      <c r="AW57" s="103">
        <f t="shared" ref="AW57:AW61" si="271">AW56</f>
        <v>0</v>
      </c>
      <c r="AX57" s="46">
        <f t="shared" si="104"/>
        <v>79</v>
      </c>
      <c r="AZ57" s="120">
        <f t="shared" ref="AZ57:AZ59" si="272">AZ56+1</f>
        <v>29</v>
      </c>
      <c r="BA57" s="570">
        <f t="shared" si="255"/>
        <v>7</v>
      </c>
      <c r="BB57" s="133"/>
      <c r="BC57" s="408">
        <f t="shared" si="145"/>
        <v>116143</v>
      </c>
      <c r="BD57" s="562">
        <f t="shared" si="131"/>
        <v>116143</v>
      </c>
      <c r="BE57" s="134"/>
      <c r="BF57" s="135"/>
      <c r="BG57" s="135"/>
      <c r="BH57" s="14">
        <f t="shared" si="111"/>
        <v>0</v>
      </c>
      <c r="BI57" s="14">
        <f t="shared" si="241"/>
        <v>3926</v>
      </c>
      <c r="BJ57" s="14">
        <f t="shared" si="15"/>
        <v>0.16</v>
      </c>
      <c r="BK57" s="47">
        <f t="shared" si="112"/>
        <v>0</v>
      </c>
      <c r="BL57" s="35">
        <f t="shared" si="16"/>
        <v>2.72</v>
      </c>
      <c r="BM57" s="155">
        <f t="shared" si="89"/>
        <v>3.2697865394065078</v>
      </c>
      <c r="BN57" s="142"/>
      <c r="BO57" s="14">
        <f t="shared" si="17"/>
        <v>42</v>
      </c>
      <c r="BP57" s="480">
        <f t="shared" si="18"/>
        <v>0</v>
      </c>
      <c r="BQ57" s="470">
        <f t="shared" si="176"/>
        <v>314.58428346602915</v>
      </c>
      <c r="BR57" s="51">
        <f t="shared" si="19"/>
        <v>524</v>
      </c>
      <c r="BS57" s="103">
        <f t="shared" ref="BS57:BS61" si="273">BS56</f>
        <v>0</v>
      </c>
      <c r="BT57" s="46">
        <f t="shared" si="146"/>
        <v>524</v>
      </c>
      <c r="BU57" s="50">
        <f t="shared" si="20"/>
        <v>79</v>
      </c>
      <c r="BV57" s="103">
        <f t="shared" ref="BV57:BV61" si="274">BV56</f>
        <v>0</v>
      </c>
      <c r="BW57" s="46">
        <f t="shared" si="105"/>
        <v>79</v>
      </c>
      <c r="BY57" s="120">
        <f t="shared" ref="BY57:BY59" si="275">BY56+1</f>
        <v>29</v>
      </c>
      <c r="BZ57" s="570">
        <f t="shared" si="259"/>
        <v>7</v>
      </c>
      <c r="CA57" s="133"/>
      <c r="CB57" s="408">
        <f t="shared" si="147"/>
        <v>0</v>
      </c>
      <c r="CC57" s="562">
        <f t="shared" si="135"/>
        <v>0</v>
      </c>
      <c r="CD57" s="134"/>
      <c r="CE57" s="135"/>
      <c r="CF57" s="135"/>
      <c r="CG57" s="14">
        <f t="shared" si="113"/>
        <v>0</v>
      </c>
      <c r="CH57" s="14">
        <f t="shared" si="242"/>
        <v>0</v>
      </c>
      <c r="CI57" s="14">
        <f t="shared" si="22"/>
        <v>0.16</v>
      </c>
      <c r="CJ57" s="47">
        <f t="shared" si="114"/>
        <v>0</v>
      </c>
      <c r="CK57" s="35">
        <f t="shared" si="23"/>
        <v>2.72</v>
      </c>
      <c r="CL57" s="159">
        <f t="shared" si="243"/>
        <v>0</v>
      </c>
      <c r="CM57" s="142"/>
      <c r="CN57" s="14">
        <f t="shared" si="24"/>
        <v>42</v>
      </c>
      <c r="CO57" s="480">
        <f t="shared" si="25"/>
        <v>0</v>
      </c>
      <c r="CP57" s="470">
        <f t="shared" si="177"/>
        <v>0</v>
      </c>
      <c r="CQ57" s="51">
        <f t="shared" si="26"/>
        <v>524</v>
      </c>
      <c r="CR57" s="103">
        <f t="shared" ref="CR57:CR61" si="276">CR56</f>
        <v>0</v>
      </c>
      <c r="CS57" s="46">
        <f t="shared" si="148"/>
        <v>524</v>
      </c>
      <c r="CT57" s="50">
        <f t="shared" si="27"/>
        <v>79</v>
      </c>
      <c r="CU57" s="103">
        <f t="shared" ref="CU57:CU61" si="277">CU56</f>
        <v>0</v>
      </c>
      <c r="CV57" s="46">
        <f t="shared" si="106"/>
        <v>79</v>
      </c>
      <c r="CX57" s="120">
        <f t="shared" ref="CX57:CX59" si="278">CX56+1</f>
        <v>29</v>
      </c>
      <c r="CY57" s="570">
        <f t="shared" si="263"/>
        <v>7</v>
      </c>
      <c r="CZ57" s="133"/>
      <c r="DA57" s="408">
        <f t="shared" si="149"/>
        <v>0</v>
      </c>
      <c r="DB57" s="562">
        <f t="shared" si="139"/>
        <v>0</v>
      </c>
      <c r="DC57" s="134"/>
      <c r="DD57" s="135"/>
      <c r="DE57" s="135"/>
      <c r="DF57" s="14">
        <f t="shared" si="115"/>
        <v>0</v>
      </c>
      <c r="DG57" s="14">
        <f t="shared" si="244"/>
        <v>0</v>
      </c>
      <c r="DH57" s="14">
        <f t="shared" si="29"/>
        <v>0.16</v>
      </c>
      <c r="DI57" s="47">
        <f t="shared" si="116"/>
        <v>0</v>
      </c>
      <c r="DJ57" s="35">
        <f t="shared" si="30"/>
        <v>2.72</v>
      </c>
      <c r="DK57" s="159">
        <f t="shared" si="245"/>
        <v>0</v>
      </c>
      <c r="DL57" s="142"/>
      <c r="DM57" s="14">
        <f t="shared" si="31"/>
        <v>42</v>
      </c>
      <c r="DN57" s="480">
        <f t="shared" si="32"/>
        <v>0</v>
      </c>
      <c r="DO57" s="470">
        <f t="shared" si="178"/>
        <v>0</v>
      </c>
      <c r="DP57" s="51">
        <f t="shared" si="33"/>
        <v>524</v>
      </c>
      <c r="DQ57" s="103">
        <f t="shared" ref="DQ57:DQ61" si="279">DQ56</f>
        <v>0</v>
      </c>
      <c r="DR57" s="46">
        <f t="shared" si="150"/>
        <v>524</v>
      </c>
      <c r="DS57" s="50">
        <f t="shared" si="34"/>
        <v>79</v>
      </c>
      <c r="DT57" s="103">
        <f t="shared" ref="DT57:DT61" si="280">DT56</f>
        <v>0</v>
      </c>
      <c r="DU57" s="46">
        <f t="shared" si="107"/>
        <v>79</v>
      </c>
    </row>
    <row r="58" spans="1:125" x14ac:dyDescent="0.25">
      <c r="B58" s="120">
        <f t="shared" si="266"/>
        <v>30</v>
      </c>
      <c r="C58" s="570">
        <f t="shared" si="247"/>
        <v>7</v>
      </c>
      <c r="D58" s="133"/>
      <c r="E58" s="408">
        <f t="shared" si="103"/>
        <v>171956</v>
      </c>
      <c r="F58" s="562">
        <f t="shared" si="0"/>
        <v>171956</v>
      </c>
      <c r="G58" s="134"/>
      <c r="H58" s="135"/>
      <c r="I58" s="135"/>
      <c r="J58" s="14">
        <f t="shared" si="108"/>
        <v>0</v>
      </c>
      <c r="K58" s="14">
        <f t="shared" si="35"/>
        <v>4875</v>
      </c>
      <c r="L58" s="14">
        <f t="shared" si="1"/>
        <v>0.16</v>
      </c>
      <c r="M58" s="47">
        <f t="shared" si="65"/>
        <v>0</v>
      </c>
      <c r="N58" s="35">
        <f t="shared" si="36"/>
        <v>2.72</v>
      </c>
      <c r="O58" s="159">
        <f t="shared" si="142"/>
        <v>2.7568695534154077</v>
      </c>
      <c r="P58" s="142"/>
      <c r="Q58" s="14">
        <f t="shared" si="3"/>
        <v>42</v>
      </c>
      <c r="R58" s="442">
        <f t="shared" si="123"/>
        <v>0</v>
      </c>
      <c r="S58" s="470">
        <f t="shared" si="37"/>
        <v>328.79467076367098</v>
      </c>
      <c r="T58" s="51">
        <f t="shared" si="5"/>
        <v>524</v>
      </c>
      <c r="U58" s="103">
        <f t="shared" si="267"/>
        <v>0</v>
      </c>
      <c r="V58" s="46">
        <f t="shared" si="38"/>
        <v>524</v>
      </c>
      <c r="W58" s="51">
        <f t="shared" si="6"/>
        <v>79</v>
      </c>
      <c r="X58" s="103">
        <f t="shared" si="268"/>
        <v>0</v>
      </c>
      <c r="Y58" s="46">
        <f t="shared" si="39"/>
        <v>79</v>
      </c>
      <c r="Z58" s="487"/>
      <c r="AA58" s="120">
        <f t="shared" si="269"/>
        <v>30</v>
      </c>
      <c r="AB58" s="570">
        <f t="shared" si="251"/>
        <v>7</v>
      </c>
      <c r="AC58" s="133"/>
      <c r="AD58" s="408">
        <f t="shared" si="143"/>
        <v>0</v>
      </c>
      <c r="AE58" s="562">
        <f t="shared" si="127"/>
        <v>0</v>
      </c>
      <c r="AF58" s="134"/>
      <c r="AG58" s="135"/>
      <c r="AH58" s="135"/>
      <c r="AI58" s="14">
        <f t="shared" si="109"/>
        <v>0</v>
      </c>
      <c r="AJ58" s="14">
        <f t="shared" si="239"/>
        <v>0</v>
      </c>
      <c r="AK58" s="14">
        <f t="shared" si="8"/>
        <v>0.16</v>
      </c>
      <c r="AL58" s="47">
        <f t="shared" si="110"/>
        <v>0</v>
      </c>
      <c r="AM58" s="35">
        <f t="shared" si="9"/>
        <v>2.72</v>
      </c>
      <c r="AN58" s="159">
        <f t="shared" si="240"/>
        <v>0</v>
      </c>
      <c r="AO58" s="142"/>
      <c r="AP58" s="14">
        <f t="shared" si="10"/>
        <v>42</v>
      </c>
      <c r="AQ58" s="442">
        <f t="shared" si="11"/>
        <v>0</v>
      </c>
      <c r="AR58" s="470">
        <f t="shared" si="175"/>
        <v>0</v>
      </c>
      <c r="AS58" s="51">
        <f t="shared" si="12"/>
        <v>524</v>
      </c>
      <c r="AT58" s="103">
        <f t="shared" si="270"/>
        <v>0</v>
      </c>
      <c r="AU58" s="46">
        <f t="shared" si="144"/>
        <v>524</v>
      </c>
      <c r="AV58" s="51">
        <f t="shared" si="13"/>
        <v>79</v>
      </c>
      <c r="AW58" s="103">
        <f t="shared" si="271"/>
        <v>0</v>
      </c>
      <c r="AX58" s="46">
        <f t="shared" si="104"/>
        <v>79</v>
      </c>
      <c r="AZ58" s="120">
        <f t="shared" si="272"/>
        <v>30</v>
      </c>
      <c r="BA58" s="570">
        <f t="shared" si="255"/>
        <v>7</v>
      </c>
      <c r="BB58" s="133"/>
      <c r="BC58" s="408">
        <f t="shared" si="145"/>
        <v>116143</v>
      </c>
      <c r="BD58" s="562">
        <f t="shared" si="131"/>
        <v>116143</v>
      </c>
      <c r="BE58" s="134"/>
      <c r="BF58" s="135"/>
      <c r="BG58" s="135"/>
      <c r="BH58" s="14">
        <f t="shared" si="111"/>
        <v>0</v>
      </c>
      <c r="BI58" s="14">
        <f t="shared" si="241"/>
        <v>3926</v>
      </c>
      <c r="BJ58" s="14">
        <f t="shared" si="15"/>
        <v>0.16</v>
      </c>
      <c r="BK58" s="47">
        <f t="shared" si="112"/>
        <v>0</v>
      </c>
      <c r="BL58" s="35">
        <f t="shared" si="16"/>
        <v>2.72</v>
      </c>
      <c r="BM58" s="157">
        <f t="shared" si="89"/>
        <v>3.2697865394065078</v>
      </c>
      <c r="BN58" s="142"/>
      <c r="BO58" s="14">
        <f t="shared" si="17"/>
        <v>42</v>
      </c>
      <c r="BP58" s="442">
        <f t="shared" si="18"/>
        <v>0</v>
      </c>
      <c r="BQ58" s="470">
        <f t="shared" si="176"/>
        <v>314.58428346602915</v>
      </c>
      <c r="BR58" s="51">
        <f t="shared" si="19"/>
        <v>524</v>
      </c>
      <c r="BS58" s="103">
        <f t="shared" si="273"/>
        <v>0</v>
      </c>
      <c r="BT58" s="46">
        <f t="shared" si="146"/>
        <v>524</v>
      </c>
      <c r="BU58" s="51">
        <f t="shared" si="20"/>
        <v>79</v>
      </c>
      <c r="BV58" s="103">
        <f t="shared" si="274"/>
        <v>0</v>
      </c>
      <c r="BW58" s="46">
        <f t="shared" si="105"/>
        <v>79</v>
      </c>
      <c r="BY58" s="120">
        <f t="shared" si="275"/>
        <v>30</v>
      </c>
      <c r="BZ58" s="570">
        <f t="shared" si="259"/>
        <v>7</v>
      </c>
      <c r="CA58" s="133"/>
      <c r="CB58" s="408">
        <f t="shared" si="147"/>
        <v>0</v>
      </c>
      <c r="CC58" s="562">
        <f t="shared" si="135"/>
        <v>0</v>
      </c>
      <c r="CD58" s="134"/>
      <c r="CE58" s="135"/>
      <c r="CF58" s="135"/>
      <c r="CG58" s="14">
        <f t="shared" si="113"/>
        <v>0</v>
      </c>
      <c r="CH58" s="14">
        <f t="shared" si="242"/>
        <v>0</v>
      </c>
      <c r="CI58" s="14">
        <f t="shared" si="22"/>
        <v>0.16</v>
      </c>
      <c r="CJ58" s="47">
        <f t="shared" si="114"/>
        <v>0</v>
      </c>
      <c r="CK58" s="35">
        <f t="shared" si="23"/>
        <v>2.72</v>
      </c>
      <c r="CL58" s="159">
        <f t="shared" si="243"/>
        <v>0</v>
      </c>
      <c r="CM58" s="142"/>
      <c r="CN58" s="14">
        <f t="shared" si="24"/>
        <v>42</v>
      </c>
      <c r="CO58" s="442">
        <f t="shared" si="25"/>
        <v>0</v>
      </c>
      <c r="CP58" s="470">
        <f t="shared" si="177"/>
        <v>0</v>
      </c>
      <c r="CQ58" s="51">
        <f t="shared" si="26"/>
        <v>524</v>
      </c>
      <c r="CR58" s="103">
        <f t="shared" si="276"/>
        <v>0</v>
      </c>
      <c r="CS58" s="46">
        <f t="shared" si="148"/>
        <v>524</v>
      </c>
      <c r="CT58" s="51">
        <f t="shared" si="27"/>
        <v>79</v>
      </c>
      <c r="CU58" s="103">
        <f t="shared" si="277"/>
        <v>0</v>
      </c>
      <c r="CV58" s="46">
        <f t="shared" si="106"/>
        <v>79</v>
      </c>
      <c r="CX58" s="120">
        <f t="shared" si="278"/>
        <v>30</v>
      </c>
      <c r="CY58" s="570">
        <f t="shared" si="263"/>
        <v>7</v>
      </c>
      <c r="CZ58" s="133"/>
      <c r="DA58" s="408">
        <f t="shared" si="149"/>
        <v>0</v>
      </c>
      <c r="DB58" s="562">
        <f t="shared" si="139"/>
        <v>0</v>
      </c>
      <c r="DC58" s="134"/>
      <c r="DD58" s="135"/>
      <c r="DE58" s="135"/>
      <c r="DF58" s="14">
        <f t="shared" si="115"/>
        <v>0</v>
      </c>
      <c r="DG58" s="14">
        <f t="shared" si="244"/>
        <v>0</v>
      </c>
      <c r="DH58" s="14">
        <f t="shared" si="29"/>
        <v>0.16</v>
      </c>
      <c r="DI58" s="47">
        <f t="shared" si="116"/>
        <v>0</v>
      </c>
      <c r="DJ58" s="35">
        <f t="shared" si="30"/>
        <v>2.72</v>
      </c>
      <c r="DK58" s="159">
        <f t="shared" si="245"/>
        <v>0</v>
      </c>
      <c r="DL58" s="142"/>
      <c r="DM58" s="14">
        <f t="shared" si="31"/>
        <v>42</v>
      </c>
      <c r="DN58" s="442">
        <f t="shared" si="32"/>
        <v>0</v>
      </c>
      <c r="DO58" s="470">
        <f t="shared" si="178"/>
        <v>0</v>
      </c>
      <c r="DP58" s="51">
        <f t="shared" si="33"/>
        <v>524</v>
      </c>
      <c r="DQ58" s="103">
        <f t="shared" si="279"/>
        <v>0</v>
      </c>
      <c r="DR58" s="46">
        <f t="shared" si="150"/>
        <v>524</v>
      </c>
      <c r="DS58" s="51">
        <f t="shared" si="34"/>
        <v>79</v>
      </c>
      <c r="DT58" s="103">
        <f t="shared" si="280"/>
        <v>0</v>
      </c>
      <c r="DU58" s="46">
        <f t="shared" si="107"/>
        <v>79</v>
      </c>
    </row>
    <row r="59" spans="1:125" x14ac:dyDescent="0.25">
      <c r="B59" s="120">
        <f t="shared" si="266"/>
        <v>31</v>
      </c>
      <c r="C59" s="570">
        <f t="shared" si="247"/>
        <v>7</v>
      </c>
      <c r="D59" s="133"/>
      <c r="E59" s="408">
        <f t="shared" si="103"/>
        <v>171956</v>
      </c>
      <c r="F59" s="562">
        <f t="shared" si="0"/>
        <v>171956</v>
      </c>
      <c r="G59" s="134"/>
      <c r="H59" s="135"/>
      <c r="I59" s="135"/>
      <c r="J59" s="14">
        <f t="shared" si="108"/>
        <v>0</v>
      </c>
      <c r="K59" s="14">
        <f t="shared" si="35"/>
        <v>4875</v>
      </c>
      <c r="L59" s="14">
        <f t="shared" si="1"/>
        <v>0.16</v>
      </c>
      <c r="M59" s="47">
        <f t="shared" si="65"/>
        <v>0</v>
      </c>
      <c r="N59" s="35">
        <f t="shared" si="36"/>
        <v>2.72</v>
      </c>
      <c r="O59" s="159">
        <f t="shared" si="142"/>
        <v>2.7568695534154077</v>
      </c>
      <c r="P59" s="142"/>
      <c r="Q59" s="14">
        <f t="shared" si="3"/>
        <v>42</v>
      </c>
      <c r="R59" s="442">
        <f t="shared" si="123"/>
        <v>0</v>
      </c>
      <c r="S59" s="470">
        <f t="shared" si="37"/>
        <v>328.79467076367098</v>
      </c>
      <c r="T59" s="51">
        <f t="shared" si="5"/>
        <v>524</v>
      </c>
      <c r="U59" s="103">
        <f t="shared" si="267"/>
        <v>0</v>
      </c>
      <c r="V59" s="71">
        <f t="shared" si="38"/>
        <v>524</v>
      </c>
      <c r="W59" s="12">
        <f t="shared" si="6"/>
        <v>79</v>
      </c>
      <c r="X59" s="103">
        <f t="shared" si="268"/>
        <v>0</v>
      </c>
      <c r="Y59" s="71">
        <f t="shared" si="39"/>
        <v>79</v>
      </c>
      <c r="Z59" s="487"/>
      <c r="AA59" s="120">
        <f t="shared" si="269"/>
        <v>31</v>
      </c>
      <c r="AB59" s="570">
        <f t="shared" si="251"/>
        <v>7</v>
      </c>
      <c r="AC59" s="133"/>
      <c r="AD59" s="408">
        <f t="shared" si="143"/>
        <v>0</v>
      </c>
      <c r="AE59" s="562">
        <f t="shared" si="127"/>
        <v>0</v>
      </c>
      <c r="AF59" s="134"/>
      <c r="AG59" s="135"/>
      <c r="AH59" s="135"/>
      <c r="AI59" s="14">
        <f t="shared" si="109"/>
        <v>0</v>
      </c>
      <c r="AJ59" s="14">
        <f t="shared" si="239"/>
        <v>0</v>
      </c>
      <c r="AK59" s="14">
        <f t="shared" si="8"/>
        <v>0.16</v>
      </c>
      <c r="AL59" s="47">
        <f t="shared" si="110"/>
        <v>0</v>
      </c>
      <c r="AM59" s="35">
        <f t="shared" si="9"/>
        <v>2.72</v>
      </c>
      <c r="AN59" s="159">
        <f t="shared" si="240"/>
        <v>0</v>
      </c>
      <c r="AO59" s="142"/>
      <c r="AP59" s="14">
        <f t="shared" si="10"/>
        <v>42</v>
      </c>
      <c r="AQ59" s="442">
        <f t="shared" si="11"/>
        <v>0</v>
      </c>
      <c r="AR59" s="470">
        <f t="shared" si="175"/>
        <v>0</v>
      </c>
      <c r="AS59" s="51">
        <f t="shared" si="12"/>
        <v>524</v>
      </c>
      <c r="AT59" s="103">
        <f t="shared" si="270"/>
        <v>0</v>
      </c>
      <c r="AU59" s="71">
        <f t="shared" si="144"/>
        <v>524</v>
      </c>
      <c r="AV59" s="12">
        <f t="shared" si="13"/>
        <v>79</v>
      </c>
      <c r="AW59" s="103">
        <f t="shared" si="271"/>
        <v>0</v>
      </c>
      <c r="AX59" s="71">
        <f t="shared" si="104"/>
        <v>79</v>
      </c>
      <c r="AZ59" s="120">
        <f t="shared" si="272"/>
        <v>31</v>
      </c>
      <c r="BA59" s="570">
        <f t="shared" si="255"/>
        <v>7</v>
      </c>
      <c r="BB59" s="133"/>
      <c r="BC59" s="408">
        <f t="shared" si="145"/>
        <v>116143</v>
      </c>
      <c r="BD59" s="562">
        <f t="shared" si="131"/>
        <v>116143</v>
      </c>
      <c r="BE59" s="134"/>
      <c r="BF59" s="135"/>
      <c r="BG59" s="135"/>
      <c r="BH59" s="14">
        <f t="shared" si="111"/>
        <v>0</v>
      </c>
      <c r="BI59" s="14">
        <f t="shared" si="241"/>
        <v>3926</v>
      </c>
      <c r="BJ59" s="14">
        <f t="shared" si="15"/>
        <v>0.16</v>
      </c>
      <c r="BK59" s="47">
        <f t="shared" si="112"/>
        <v>0</v>
      </c>
      <c r="BL59" s="35">
        <f t="shared" si="16"/>
        <v>2.72</v>
      </c>
      <c r="BM59" s="159">
        <f t="shared" si="89"/>
        <v>3.2697865394065078</v>
      </c>
      <c r="BN59" s="142"/>
      <c r="BO59" s="14">
        <f t="shared" si="17"/>
        <v>42</v>
      </c>
      <c r="BP59" s="442">
        <f t="shared" si="18"/>
        <v>0</v>
      </c>
      <c r="BQ59" s="470">
        <f t="shared" si="176"/>
        <v>314.58428346602915</v>
      </c>
      <c r="BR59" s="51">
        <f t="shared" si="19"/>
        <v>524</v>
      </c>
      <c r="BS59" s="103">
        <f t="shared" si="273"/>
        <v>0</v>
      </c>
      <c r="BT59" s="71">
        <f t="shared" si="146"/>
        <v>524</v>
      </c>
      <c r="BU59" s="12">
        <f t="shared" si="20"/>
        <v>79</v>
      </c>
      <c r="BV59" s="103">
        <f t="shared" si="274"/>
        <v>0</v>
      </c>
      <c r="BW59" s="71">
        <f t="shared" si="105"/>
        <v>79</v>
      </c>
      <c r="BY59" s="120">
        <f t="shared" si="275"/>
        <v>31</v>
      </c>
      <c r="BZ59" s="570">
        <f t="shared" si="259"/>
        <v>7</v>
      </c>
      <c r="CA59" s="133"/>
      <c r="CB59" s="408">
        <f t="shared" si="147"/>
        <v>0</v>
      </c>
      <c r="CC59" s="562">
        <f t="shared" si="135"/>
        <v>0</v>
      </c>
      <c r="CD59" s="134"/>
      <c r="CE59" s="135"/>
      <c r="CF59" s="135"/>
      <c r="CG59" s="14">
        <f t="shared" si="113"/>
        <v>0</v>
      </c>
      <c r="CH59" s="14">
        <f t="shared" si="242"/>
        <v>0</v>
      </c>
      <c r="CI59" s="14">
        <f t="shared" si="22"/>
        <v>0.16</v>
      </c>
      <c r="CJ59" s="47">
        <f t="shared" si="114"/>
        <v>0</v>
      </c>
      <c r="CK59" s="35">
        <f t="shared" si="23"/>
        <v>2.72</v>
      </c>
      <c r="CL59" s="159">
        <f t="shared" si="243"/>
        <v>0</v>
      </c>
      <c r="CM59" s="142"/>
      <c r="CN59" s="14">
        <f t="shared" si="24"/>
        <v>42</v>
      </c>
      <c r="CO59" s="442">
        <f t="shared" si="25"/>
        <v>0</v>
      </c>
      <c r="CP59" s="470">
        <f t="shared" si="177"/>
        <v>0</v>
      </c>
      <c r="CQ59" s="51">
        <f t="shared" si="26"/>
        <v>524</v>
      </c>
      <c r="CR59" s="103">
        <f t="shared" si="276"/>
        <v>0</v>
      </c>
      <c r="CS59" s="71">
        <f t="shared" si="148"/>
        <v>524</v>
      </c>
      <c r="CT59" s="12">
        <f t="shared" si="27"/>
        <v>79</v>
      </c>
      <c r="CU59" s="103">
        <f t="shared" si="277"/>
        <v>0</v>
      </c>
      <c r="CV59" s="71">
        <f t="shared" si="106"/>
        <v>79</v>
      </c>
      <c r="CX59" s="120">
        <f t="shared" si="278"/>
        <v>31</v>
      </c>
      <c r="CY59" s="570">
        <f t="shared" si="263"/>
        <v>7</v>
      </c>
      <c r="CZ59" s="133"/>
      <c r="DA59" s="408">
        <f t="shared" si="149"/>
        <v>0</v>
      </c>
      <c r="DB59" s="562">
        <f t="shared" si="139"/>
        <v>0</v>
      </c>
      <c r="DC59" s="134"/>
      <c r="DD59" s="135"/>
      <c r="DE59" s="135"/>
      <c r="DF59" s="14">
        <f t="shared" si="115"/>
        <v>0</v>
      </c>
      <c r="DG59" s="14">
        <f t="shared" si="244"/>
        <v>0</v>
      </c>
      <c r="DH59" s="14">
        <f t="shared" si="29"/>
        <v>0.16</v>
      </c>
      <c r="DI59" s="47">
        <f t="shared" si="116"/>
        <v>0</v>
      </c>
      <c r="DJ59" s="35">
        <f t="shared" si="30"/>
        <v>2.72</v>
      </c>
      <c r="DK59" s="159">
        <f t="shared" si="245"/>
        <v>0</v>
      </c>
      <c r="DL59" s="142"/>
      <c r="DM59" s="14">
        <f t="shared" si="31"/>
        <v>42</v>
      </c>
      <c r="DN59" s="442">
        <f t="shared" si="32"/>
        <v>0</v>
      </c>
      <c r="DO59" s="470">
        <f t="shared" si="178"/>
        <v>0</v>
      </c>
      <c r="DP59" s="51">
        <f t="shared" si="33"/>
        <v>524</v>
      </c>
      <c r="DQ59" s="103">
        <f t="shared" si="279"/>
        <v>0</v>
      </c>
      <c r="DR59" s="71">
        <f t="shared" si="150"/>
        <v>524</v>
      </c>
      <c r="DS59" s="12">
        <f t="shared" si="34"/>
        <v>79</v>
      </c>
      <c r="DT59" s="103">
        <f t="shared" si="280"/>
        <v>0</v>
      </c>
      <c r="DU59" s="71">
        <f t="shared" si="107"/>
        <v>79</v>
      </c>
    </row>
    <row r="60" spans="1:125" ht="18" x14ac:dyDescent="0.25">
      <c r="A60" s="815" t="s">
        <v>84</v>
      </c>
      <c r="B60" s="502">
        <v>1</v>
      </c>
      <c r="C60" s="577">
        <f t="shared" si="247"/>
        <v>7</v>
      </c>
      <c r="D60" s="528"/>
      <c r="E60" s="564">
        <f t="shared" si="103"/>
        <v>171956</v>
      </c>
      <c r="F60" s="582">
        <f t="shared" si="0"/>
        <v>171956</v>
      </c>
      <c r="G60" s="519"/>
      <c r="H60" s="520"/>
      <c r="I60" s="520"/>
      <c r="J60" s="521">
        <f t="shared" si="108"/>
        <v>0</v>
      </c>
      <c r="K60" s="521">
        <f t="shared" si="35"/>
        <v>4875</v>
      </c>
      <c r="L60" s="521">
        <f t="shared" si="1"/>
        <v>0.16</v>
      </c>
      <c r="M60" s="529">
        <f t="shared" si="65"/>
        <v>0</v>
      </c>
      <c r="N60" s="522">
        <f t="shared" si="36"/>
        <v>2.72</v>
      </c>
      <c r="O60" s="817">
        <f t="shared" si="142"/>
        <v>2.7568695534154077</v>
      </c>
      <c r="P60" s="578"/>
      <c r="Q60" s="521">
        <f t="shared" si="3"/>
        <v>42</v>
      </c>
      <c r="R60" s="530">
        <f t="shared" si="123"/>
        <v>0</v>
      </c>
      <c r="S60" s="524">
        <f t="shared" si="37"/>
        <v>328.79467076367098</v>
      </c>
      <c r="T60" s="525">
        <f t="shared" si="5"/>
        <v>524</v>
      </c>
      <c r="U60" s="514">
        <f t="shared" si="267"/>
        <v>0</v>
      </c>
      <c r="V60" s="835">
        <f t="shared" si="38"/>
        <v>524</v>
      </c>
      <c r="W60" s="513">
        <f t="shared" si="6"/>
        <v>79</v>
      </c>
      <c r="X60" s="514">
        <f t="shared" si="268"/>
        <v>0</v>
      </c>
      <c r="Y60" s="835">
        <f t="shared" si="39"/>
        <v>79</v>
      </c>
      <c r="Z60" s="815" t="s">
        <v>84</v>
      </c>
      <c r="AA60" s="502">
        <v>1</v>
      </c>
      <c r="AB60" s="577">
        <f t="shared" si="251"/>
        <v>7</v>
      </c>
      <c r="AC60" s="528"/>
      <c r="AD60" s="564">
        <f t="shared" si="143"/>
        <v>0</v>
      </c>
      <c r="AE60" s="582">
        <f t="shared" si="127"/>
        <v>0</v>
      </c>
      <c r="AF60" s="519"/>
      <c r="AG60" s="520"/>
      <c r="AH60" s="520"/>
      <c r="AI60" s="521">
        <f t="shared" si="109"/>
        <v>0</v>
      </c>
      <c r="AJ60" s="521">
        <f t="shared" si="239"/>
        <v>0</v>
      </c>
      <c r="AK60" s="521">
        <f t="shared" si="8"/>
        <v>0.16</v>
      </c>
      <c r="AL60" s="529">
        <f t="shared" si="110"/>
        <v>0</v>
      </c>
      <c r="AM60" s="522">
        <f t="shared" si="9"/>
        <v>2.72</v>
      </c>
      <c r="AN60" s="817">
        <f t="shared" si="240"/>
        <v>0</v>
      </c>
      <c r="AO60" s="578"/>
      <c r="AP60" s="521">
        <f t="shared" si="10"/>
        <v>42</v>
      </c>
      <c r="AQ60" s="530">
        <f t="shared" si="11"/>
        <v>0</v>
      </c>
      <c r="AR60" s="524">
        <f t="shared" si="175"/>
        <v>0</v>
      </c>
      <c r="AS60" s="525">
        <f t="shared" si="12"/>
        <v>524</v>
      </c>
      <c r="AT60" s="514">
        <f t="shared" si="270"/>
        <v>0</v>
      </c>
      <c r="AU60" s="835">
        <f t="shared" si="144"/>
        <v>524</v>
      </c>
      <c r="AV60" s="513">
        <f t="shared" si="13"/>
        <v>79</v>
      </c>
      <c r="AW60" s="514">
        <f t="shared" si="271"/>
        <v>0</v>
      </c>
      <c r="AX60" s="835">
        <f t="shared" si="104"/>
        <v>79</v>
      </c>
      <c r="AY60" s="815" t="s">
        <v>84</v>
      </c>
      <c r="AZ60" s="502">
        <v>1</v>
      </c>
      <c r="BA60" s="577">
        <f t="shared" si="255"/>
        <v>7</v>
      </c>
      <c r="BB60" s="528"/>
      <c r="BC60" s="564">
        <f t="shared" si="145"/>
        <v>116143</v>
      </c>
      <c r="BD60" s="582">
        <f t="shared" si="131"/>
        <v>116143</v>
      </c>
      <c r="BE60" s="519"/>
      <c r="BF60" s="520"/>
      <c r="BG60" s="520"/>
      <c r="BH60" s="521">
        <f t="shared" si="111"/>
        <v>0</v>
      </c>
      <c r="BI60" s="521">
        <f t="shared" si="241"/>
        <v>3926</v>
      </c>
      <c r="BJ60" s="521">
        <f t="shared" si="15"/>
        <v>0.16</v>
      </c>
      <c r="BK60" s="529">
        <f t="shared" si="112"/>
        <v>0</v>
      </c>
      <c r="BL60" s="522">
        <f t="shared" si="16"/>
        <v>2.72</v>
      </c>
      <c r="BM60" s="817">
        <f t="shared" si="89"/>
        <v>3.2697865394065078</v>
      </c>
      <c r="BN60" s="578"/>
      <c r="BO60" s="521">
        <f t="shared" si="17"/>
        <v>42</v>
      </c>
      <c r="BP60" s="530">
        <f t="shared" si="18"/>
        <v>0</v>
      </c>
      <c r="BQ60" s="524">
        <f t="shared" si="176"/>
        <v>314.58428346602915</v>
      </c>
      <c r="BR60" s="525">
        <f t="shared" si="19"/>
        <v>524</v>
      </c>
      <c r="BS60" s="514">
        <f t="shared" si="273"/>
        <v>0</v>
      </c>
      <c r="BT60" s="835">
        <f t="shared" si="146"/>
        <v>524</v>
      </c>
      <c r="BU60" s="513">
        <f t="shared" si="20"/>
        <v>79</v>
      </c>
      <c r="BV60" s="514">
        <f t="shared" si="274"/>
        <v>0</v>
      </c>
      <c r="BW60" s="835">
        <f t="shared" si="105"/>
        <v>79</v>
      </c>
      <c r="BX60" s="815" t="s">
        <v>84</v>
      </c>
      <c r="BY60" s="502">
        <v>1</v>
      </c>
      <c r="BZ60" s="577">
        <f t="shared" si="259"/>
        <v>7</v>
      </c>
      <c r="CA60" s="528"/>
      <c r="CB60" s="564">
        <f t="shared" si="147"/>
        <v>0</v>
      </c>
      <c r="CC60" s="582">
        <f t="shared" si="135"/>
        <v>0</v>
      </c>
      <c r="CD60" s="519"/>
      <c r="CE60" s="520"/>
      <c r="CF60" s="520"/>
      <c r="CG60" s="521">
        <f t="shared" si="113"/>
        <v>0</v>
      </c>
      <c r="CH60" s="521">
        <f t="shared" si="242"/>
        <v>0</v>
      </c>
      <c r="CI60" s="521">
        <f t="shared" si="22"/>
        <v>0.16</v>
      </c>
      <c r="CJ60" s="529">
        <f t="shared" si="114"/>
        <v>0</v>
      </c>
      <c r="CK60" s="522">
        <f t="shared" si="23"/>
        <v>2.72</v>
      </c>
      <c r="CL60" s="817">
        <f t="shared" si="243"/>
        <v>0</v>
      </c>
      <c r="CM60" s="578"/>
      <c r="CN60" s="521">
        <f t="shared" si="24"/>
        <v>42</v>
      </c>
      <c r="CO60" s="530">
        <f t="shared" si="25"/>
        <v>0</v>
      </c>
      <c r="CP60" s="524">
        <f t="shared" si="177"/>
        <v>0</v>
      </c>
      <c r="CQ60" s="525">
        <f t="shared" si="26"/>
        <v>524</v>
      </c>
      <c r="CR60" s="514">
        <f t="shared" si="276"/>
        <v>0</v>
      </c>
      <c r="CS60" s="835">
        <f t="shared" si="148"/>
        <v>524</v>
      </c>
      <c r="CT60" s="513">
        <f t="shared" si="27"/>
        <v>79</v>
      </c>
      <c r="CU60" s="514">
        <f t="shared" si="277"/>
        <v>0</v>
      </c>
      <c r="CV60" s="835">
        <f t="shared" si="106"/>
        <v>79</v>
      </c>
      <c r="CW60" s="815" t="s">
        <v>84</v>
      </c>
      <c r="CX60" s="502">
        <v>1</v>
      </c>
      <c r="CY60" s="577">
        <f t="shared" si="263"/>
        <v>7</v>
      </c>
      <c r="CZ60" s="528"/>
      <c r="DA60" s="564">
        <f t="shared" si="149"/>
        <v>0</v>
      </c>
      <c r="DB60" s="582">
        <f t="shared" si="139"/>
        <v>0</v>
      </c>
      <c r="DC60" s="519"/>
      <c r="DD60" s="520"/>
      <c r="DE60" s="520"/>
      <c r="DF60" s="521">
        <f t="shared" si="115"/>
        <v>0</v>
      </c>
      <c r="DG60" s="521">
        <f t="shared" si="244"/>
        <v>0</v>
      </c>
      <c r="DH60" s="521">
        <f t="shared" si="29"/>
        <v>0.16</v>
      </c>
      <c r="DI60" s="529">
        <f t="shared" si="116"/>
        <v>0</v>
      </c>
      <c r="DJ60" s="522">
        <f t="shared" si="30"/>
        <v>2.72</v>
      </c>
      <c r="DK60" s="817">
        <f t="shared" si="245"/>
        <v>0</v>
      </c>
      <c r="DL60" s="578"/>
      <c r="DM60" s="521">
        <f t="shared" si="31"/>
        <v>42</v>
      </c>
      <c r="DN60" s="530">
        <f t="shared" si="32"/>
        <v>0</v>
      </c>
      <c r="DO60" s="524">
        <f t="shared" si="178"/>
        <v>0</v>
      </c>
      <c r="DP60" s="525">
        <f t="shared" si="33"/>
        <v>524</v>
      </c>
      <c r="DQ60" s="514">
        <f t="shared" si="279"/>
        <v>0</v>
      </c>
      <c r="DR60" s="835">
        <f t="shared" si="150"/>
        <v>524</v>
      </c>
      <c r="DS60" s="513">
        <f t="shared" si="34"/>
        <v>79</v>
      </c>
      <c r="DT60" s="514">
        <f t="shared" si="280"/>
        <v>0</v>
      </c>
      <c r="DU60" s="835">
        <f t="shared" si="107"/>
        <v>79</v>
      </c>
    </row>
    <row r="61" spans="1:125" ht="17.25" thickBot="1" x14ac:dyDescent="0.3">
      <c r="A61" s="454"/>
      <c r="B61" s="432">
        <f>B60+1</f>
        <v>2</v>
      </c>
      <c r="C61" s="576">
        <f t="shared" si="247"/>
        <v>7</v>
      </c>
      <c r="D61" s="434"/>
      <c r="E61" s="436">
        <f t="shared" si="103"/>
        <v>171956</v>
      </c>
      <c r="F61" s="451">
        <f t="shared" si="0"/>
        <v>171956</v>
      </c>
      <c r="G61" s="421"/>
      <c r="H61" s="426"/>
      <c r="I61" s="426"/>
      <c r="J61" s="384">
        <f t="shared" si="108"/>
        <v>0</v>
      </c>
      <c r="K61" s="384">
        <f t="shared" si="35"/>
        <v>4875</v>
      </c>
      <c r="L61" s="384">
        <f t="shared" si="1"/>
        <v>0.16</v>
      </c>
      <c r="M61" s="96">
        <f t="shared" si="65"/>
        <v>0</v>
      </c>
      <c r="N61" s="420">
        <f t="shared" si="36"/>
        <v>2.72</v>
      </c>
      <c r="O61" s="156">
        <f t="shared" si="142"/>
        <v>2.7568695534154077</v>
      </c>
      <c r="P61" s="567"/>
      <c r="Q61" s="384">
        <f t="shared" si="3"/>
        <v>42</v>
      </c>
      <c r="R61" s="443">
        <f t="shared" si="123"/>
        <v>0</v>
      </c>
      <c r="S61" s="473">
        <f t="shared" si="37"/>
        <v>328.79467076367098</v>
      </c>
      <c r="T61" s="382">
        <f t="shared" si="5"/>
        <v>524</v>
      </c>
      <c r="U61" s="591">
        <f t="shared" si="267"/>
        <v>0</v>
      </c>
      <c r="V61" s="381">
        <f t="shared" si="38"/>
        <v>524</v>
      </c>
      <c r="W61" s="382">
        <f t="shared" si="6"/>
        <v>79</v>
      </c>
      <c r="X61" s="591">
        <f t="shared" si="268"/>
        <v>0</v>
      </c>
      <c r="Y61" s="381">
        <f t="shared" si="39"/>
        <v>79</v>
      </c>
      <c r="Z61" s="487"/>
      <c r="AA61" s="432">
        <f>AA60+1</f>
        <v>2</v>
      </c>
      <c r="AB61" s="576">
        <f t="shared" si="251"/>
        <v>7</v>
      </c>
      <c r="AC61" s="434"/>
      <c r="AD61" s="436">
        <f t="shared" si="143"/>
        <v>0</v>
      </c>
      <c r="AE61" s="451">
        <f t="shared" si="127"/>
        <v>0</v>
      </c>
      <c r="AF61" s="421"/>
      <c r="AG61" s="426"/>
      <c r="AH61" s="426"/>
      <c r="AI61" s="384">
        <f t="shared" si="109"/>
        <v>0</v>
      </c>
      <c r="AJ61" s="384">
        <f t="shared" si="239"/>
        <v>0</v>
      </c>
      <c r="AK61" s="384">
        <f t="shared" si="8"/>
        <v>0.16</v>
      </c>
      <c r="AL61" s="96">
        <f t="shared" si="110"/>
        <v>0</v>
      </c>
      <c r="AM61" s="420">
        <f t="shared" si="9"/>
        <v>2.72</v>
      </c>
      <c r="AN61" s="156">
        <f t="shared" si="240"/>
        <v>0</v>
      </c>
      <c r="AO61" s="567"/>
      <c r="AP61" s="384">
        <f t="shared" si="10"/>
        <v>42</v>
      </c>
      <c r="AQ61" s="443">
        <f t="shared" si="11"/>
        <v>0</v>
      </c>
      <c r="AR61" s="473">
        <f t="shared" si="175"/>
        <v>0</v>
      </c>
      <c r="AS61" s="382">
        <f t="shared" si="12"/>
        <v>524</v>
      </c>
      <c r="AT61" s="591">
        <f t="shared" si="270"/>
        <v>0</v>
      </c>
      <c r="AU61" s="381">
        <f t="shared" si="144"/>
        <v>524</v>
      </c>
      <c r="AV61" s="382">
        <f t="shared" si="13"/>
        <v>79</v>
      </c>
      <c r="AW61" s="591">
        <f t="shared" si="271"/>
        <v>0</v>
      </c>
      <c r="AX61" s="381">
        <f t="shared" si="104"/>
        <v>79</v>
      </c>
      <c r="AZ61" s="432">
        <f>AZ60+1</f>
        <v>2</v>
      </c>
      <c r="BA61" s="576">
        <f t="shared" si="255"/>
        <v>7</v>
      </c>
      <c r="BB61" s="434"/>
      <c r="BC61" s="436">
        <f t="shared" si="145"/>
        <v>116143</v>
      </c>
      <c r="BD61" s="451">
        <f t="shared" si="131"/>
        <v>116143</v>
      </c>
      <c r="BE61" s="421"/>
      <c r="BF61" s="426"/>
      <c r="BG61" s="426"/>
      <c r="BH61" s="384">
        <f t="shared" si="111"/>
        <v>0</v>
      </c>
      <c r="BI61" s="384">
        <f t="shared" si="241"/>
        <v>3926</v>
      </c>
      <c r="BJ61" s="384">
        <f t="shared" si="15"/>
        <v>0.16</v>
      </c>
      <c r="BK61" s="96">
        <f t="shared" si="112"/>
        <v>0</v>
      </c>
      <c r="BL61" s="420">
        <f t="shared" si="16"/>
        <v>2.72</v>
      </c>
      <c r="BM61" s="156">
        <f t="shared" si="89"/>
        <v>3.2697865394065078</v>
      </c>
      <c r="BN61" s="567"/>
      <c r="BO61" s="384">
        <f t="shared" si="17"/>
        <v>42</v>
      </c>
      <c r="BP61" s="443">
        <f t="shared" si="18"/>
        <v>0</v>
      </c>
      <c r="BQ61" s="473">
        <f t="shared" si="176"/>
        <v>314.58428346602915</v>
      </c>
      <c r="BR61" s="382">
        <f t="shared" si="19"/>
        <v>524</v>
      </c>
      <c r="BS61" s="591">
        <f t="shared" si="273"/>
        <v>0</v>
      </c>
      <c r="BT61" s="381">
        <f t="shared" si="146"/>
        <v>524</v>
      </c>
      <c r="BU61" s="382">
        <f t="shared" si="20"/>
        <v>79</v>
      </c>
      <c r="BV61" s="591">
        <f t="shared" si="274"/>
        <v>0</v>
      </c>
      <c r="BW61" s="381">
        <f t="shared" si="105"/>
        <v>79</v>
      </c>
      <c r="BY61" s="432">
        <f>BY60+1</f>
        <v>2</v>
      </c>
      <c r="BZ61" s="576">
        <f t="shared" si="259"/>
        <v>7</v>
      </c>
      <c r="CA61" s="434"/>
      <c r="CB61" s="436">
        <f t="shared" si="147"/>
        <v>0</v>
      </c>
      <c r="CC61" s="451">
        <f t="shared" si="135"/>
        <v>0</v>
      </c>
      <c r="CD61" s="421"/>
      <c r="CE61" s="426"/>
      <c r="CF61" s="426"/>
      <c r="CG61" s="384">
        <f t="shared" si="113"/>
        <v>0</v>
      </c>
      <c r="CH61" s="384">
        <f t="shared" si="242"/>
        <v>0</v>
      </c>
      <c r="CI61" s="384">
        <f t="shared" si="22"/>
        <v>0.16</v>
      </c>
      <c r="CJ61" s="96">
        <f t="shared" si="114"/>
        <v>0</v>
      </c>
      <c r="CK61" s="420">
        <f t="shared" si="23"/>
        <v>2.72</v>
      </c>
      <c r="CL61" s="156">
        <f t="shared" si="243"/>
        <v>0</v>
      </c>
      <c r="CM61" s="567"/>
      <c r="CN61" s="384">
        <f t="shared" si="24"/>
        <v>42</v>
      </c>
      <c r="CO61" s="443">
        <f t="shared" si="25"/>
        <v>0</v>
      </c>
      <c r="CP61" s="473">
        <f t="shared" si="177"/>
        <v>0</v>
      </c>
      <c r="CQ61" s="382">
        <f t="shared" si="26"/>
        <v>524</v>
      </c>
      <c r="CR61" s="591">
        <f t="shared" si="276"/>
        <v>0</v>
      </c>
      <c r="CS61" s="381">
        <f t="shared" si="148"/>
        <v>524</v>
      </c>
      <c r="CT61" s="382">
        <f t="shared" si="27"/>
        <v>79</v>
      </c>
      <c r="CU61" s="591">
        <f t="shared" si="277"/>
        <v>0</v>
      </c>
      <c r="CV61" s="381">
        <f t="shared" si="106"/>
        <v>79</v>
      </c>
      <c r="CX61" s="432">
        <f>CX60+1</f>
        <v>2</v>
      </c>
      <c r="CY61" s="576">
        <f t="shared" si="263"/>
        <v>7</v>
      </c>
      <c r="CZ61" s="434"/>
      <c r="DA61" s="436">
        <f t="shared" si="149"/>
        <v>0</v>
      </c>
      <c r="DB61" s="451">
        <f t="shared" si="139"/>
        <v>0</v>
      </c>
      <c r="DC61" s="421"/>
      <c r="DD61" s="426"/>
      <c r="DE61" s="426"/>
      <c r="DF61" s="384">
        <f t="shared" si="115"/>
        <v>0</v>
      </c>
      <c r="DG61" s="384">
        <f t="shared" si="244"/>
        <v>0</v>
      </c>
      <c r="DH61" s="384">
        <f t="shared" si="29"/>
        <v>0.16</v>
      </c>
      <c r="DI61" s="96">
        <f t="shared" si="116"/>
        <v>0</v>
      </c>
      <c r="DJ61" s="420">
        <f t="shared" si="30"/>
        <v>2.72</v>
      </c>
      <c r="DK61" s="156">
        <f t="shared" si="245"/>
        <v>0</v>
      </c>
      <c r="DL61" s="567"/>
      <c r="DM61" s="384">
        <f t="shared" si="31"/>
        <v>42</v>
      </c>
      <c r="DN61" s="443">
        <f t="shared" si="32"/>
        <v>0</v>
      </c>
      <c r="DO61" s="473">
        <f t="shared" si="178"/>
        <v>0</v>
      </c>
      <c r="DP61" s="382">
        <f t="shared" si="33"/>
        <v>524</v>
      </c>
      <c r="DQ61" s="591">
        <f t="shared" si="279"/>
        <v>0</v>
      </c>
      <c r="DR61" s="381">
        <f t="shared" si="150"/>
        <v>524</v>
      </c>
      <c r="DS61" s="382">
        <f t="shared" si="34"/>
        <v>79</v>
      </c>
      <c r="DT61" s="591">
        <f t="shared" si="280"/>
        <v>0</v>
      </c>
      <c r="DU61" s="381">
        <f t="shared" si="107"/>
        <v>79</v>
      </c>
    </row>
    <row r="62" spans="1:125" x14ac:dyDescent="0.25">
      <c r="B62" s="198">
        <v>3</v>
      </c>
      <c r="C62" s="826">
        <v>8</v>
      </c>
      <c r="D62" s="143"/>
      <c r="E62" s="430">
        <f t="shared" si="103"/>
        <v>171956</v>
      </c>
      <c r="F62" s="583">
        <f t="shared" si="0"/>
        <v>171956</v>
      </c>
      <c r="G62" s="144"/>
      <c r="H62" s="141"/>
      <c r="I62" s="141"/>
      <c r="J62" s="17">
        <f t="shared" si="108"/>
        <v>0</v>
      </c>
      <c r="K62" s="17">
        <f t="shared" si="35"/>
        <v>4875</v>
      </c>
      <c r="L62" s="17">
        <f t="shared" si="1"/>
        <v>0.16</v>
      </c>
      <c r="M62" s="235">
        <f t="shared" si="65"/>
        <v>0</v>
      </c>
      <c r="N62" s="33">
        <f t="shared" si="36"/>
        <v>2.8800000000000003</v>
      </c>
      <c r="O62" s="210">
        <f t="shared" si="142"/>
        <v>2.7568695534154077</v>
      </c>
      <c r="P62" s="145"/>
      <c r="Q62" s="17">
        <f t="shared" si="3"/>
        <v>46</v>
      </c>
      <c r="R62" s="479">
        <f t="shared" si="123"/>
        <v>0</v>
      </c>
      <c r="S62" s="475">
        <f t="shared" si="37"/>
        <v>328.79467076367098</v>
      </c>
      <c r="T62" s="61">
        <f t="shared" si="5"/>
        <v>618</v>
      </c>
      <c r="U62" s="141"/>
      <c r="V62" s="71">
        <f t="shared" si="38"/>
        <v>618</v>
      </c>
      <c r="W62" s="12">
        <f t="shared" si="6"/>
        <v>79</v>
      </c>
      <c r="X62" s="141"/>
      <c r="Y62" s="71">
        <f t="shared" si="39"/>
        <v>79</v>
      </c>
      <c r="Z62" s="487"/>
      <c r="AA62" s="198">
        <v>3</v>
      </c>
      <c r="AB62" s="826">
        <v>8</v>
      </c>
      <c r="AC62" s="143"/>
      <c r="AD62" s="430">
        <f t="shared" si="143"/>
        <v>0</v>
      </c>
      <c r="AE62" s="583">
        <f t="shared" si="127"/>
        <v>0</v>
      </c>
      <c r="AF62" s="144"/>
      <c r="AG62" s="141"/>
      <c r="AH62" s="141"/>
      <c r="AI62" s="17">
        <f t="shared" si="109"/>
        <v>0</v>
      </c>
      <c r="AJ62" s="17">
        <f t="shared" si="239"/>
        <v>0</v>
      </c>
      <c r="AK62" s="17">
        <f t="shared" si="8"/>
        <v>0.16</v>
      </c>
      <c r="AL62" s="235">
        <f t="shared" si="110"/>
        <v>0</v>
      </c>
      <c r="AM62" s="33">
        <f t="shared" si="9"/>
        <v>2.8800000000000003</v>
      </c>
      <c r="AN62" s="210">
        <f t="shared" si="240"/>
        <v>0</v>
      </c>
      <c r="AO62" s="145"/>
      <c r="AP62" s="17">
        <f t="shared" si="10"/>
        <v>46</v>
      </c>
      <c r="AQ62" s="479">
        <f t="shared" si="11"/>
        <v>0</v>
      </c>
      <c r="AR62" s="475">
        <f t="shared" si="175"/>
        <v>0</v>
      </c>
      <c r="AS62" s="61">
        <f t="shared" si="12"/>
        <v>618</v>
      </c>
      <c r="AT62" s="141"/>
      <c r="AU62" s="71">
        <f t="shared" si="144"/>
        <v>618</v>
      </c>
      <c r="AV62" s="12">
        <f t="shared" si="13"/>
        <v>79</v>
      </c>
      <c r="AW62" s="141"/>
      <c r="AX62" s="71">
        <f t="shared" si="104"/>
        <v>79</v>
      </c>
      <c r="AZ62" s="198">
        <v>3</v>
      </c>
      <c r="BA62" s="826">
        <v>8</v>
      </c>
      <c r="BB62" s="143"/>
      <c r="BC62" s="430">
        <f t="shared" si="145"/>
        <v>116143</v>
      </c>
      <c r="BD62" s="583">
        <f t="shared" si="131"/>
        <v>116143</v>
      </c>
      <c r="BE62" s="130"/>
      <c r="BF62" s="131"/>
      <c r="BG62" s="131"/>
      <c r="BH62" s="11">
        <f t="shared" si="111"/>
        <v>0</v>
      </c>
      <c r="BI62" s="11">
        <f t="shared" si="241"/>
        <v>3926</v>
      </c>
      <c r="BJ62" s="11">
        <f t="shared" si="15"/>
        <v>0.16</v>
      </c>
      <c r="BK62" s="42">
        <f t="shared" si="112"/>
        <v>0</v>
      </c>
      <c r="BL62" s="21">
        <f t="shared" si="16"/>
        <v>2.8800000000000003</v>
      </c>
      <c r="BM62" s="165">
        <f t="shared" si="89"/>
        <v>3.2697865394065078</v>
      </c>
      <c r="BN62" s="145"/>
      <c r="BO62" s="17">
        <f t="shared" si="17"/>
        <v>46</v>
      </c>
      <c r="BP62" s="479">
        <f t="shared" si="18"/>
        <v>0</v>
      </c>
      <c r="BQ62" s="475">
        <f t="shared" si="176"/>
        <v>314.58428346602915</v>
      </c>
      <c r="BR62" s="61">
        <f t="shared" si="19"/>
        <v>618</v>
      </c>
      <c r="BS62" s="141"/>
      <c r="BT62" s="71">
        <f t="shared" si="146"/>
        <v>618</v>
      </c>
      <c r="BU62" s="12">
        <f t="shared" si="20"/>
        <v>79</v>
      </c>
      <c r="BV62" s="141"/>
      <c r="BW62" s="71">
        <f t="shared" si="105"/>
        <v>79</v>
      </c>
      <c r="BY62" s="198">
        <v>3</v>
      </c>
      <c r="BZ62" s="826">
        <v>8</v>
      </c>
      <c r="CA62" s="143"/>
      <c r="CB62" s="430">
        <f t="shared" si="147"/>
        <v>0</v>
      </c>
      <c r="CC62" s="583">
        <f t="shared" si="135"/>
        <v>0</v>
      </c>
      <c r="CD62" s="144"/>
      <c r="CE62" s="141"/>
      <c r="CF62" s="141"/>
      <c r="CG62" s="17">
        <f t="shared" si="113"/>
        <v>0</v>
      </c>
      <c r="CH62" s="17">
        <f t="shared" si="242"/>
        <v>0</v>
      </c>
      <c r="CI62" s="17">
        <f t="shared" si="22"/>
        <v>0.16</v>
      </c>
      <c r="CJ62" s="235">
        <f t="shared" si="114"/>
        <v>0</v>
      </c>
      <c r="CK62" s="33">
        <f t="shared" si="23"/>
        <v>2.8800000000000003</v>
      </c>
      <c r="CL62" s="210">
        <f t="shared" si="243"/>
        <v>0</v>
      </c>
      <c r="CM62" s="145"/>
      <c r="CN62" s="17">
        <f t="shared" si="24"/>
        <v>46</v>
      </c>
      <c r="CO62" s="479">
        <f t="shared" si="25"/>
        <v>0</v>
      </c>
      <c r="CP62" s="475">
        <f t="shared" si="177"/>
        <v>0</v>
      </c>
      <c r="CQ62" s="61">
        <f t="shared" si="26"/>
        <v>618</v>
      </c>
      <c r="CR62" s="141"/>
      <c r="CS62" s="71">
        <f t="shared" si="148"/>
        <v>618</v>
      </c>
      <c r="CT62" s="12">
        <f t="shared" si="27"/>
        <v>79</v>
      </c>
      <c r="CU62" s="141"/>
      <c r="CV62" s="71">
        <f t="shared" si="106"/>
        <v>79</v>
      </c>
      <c r="CX62" s="198">
        <v>3</v>
      </c>
      <c r="CY62" s="826">
        <v>8</v>
      </c>
      <c r="CZ62" s="143"/>
      <c r="DA62" s="430">
        <f t="shared" si="149"/>
        <v>0</v>
      </c>
      <c r="DB62" s="583">
        <f t="shared" si="139"/>
        <v>0</v>
      </c>
      <c r="DC62" s="144"/>
      <c r="DD62" s="141"/>
      <c r="DE62" s="141"/>
      <c r="DF62" s="17">
        <f t="shared" si="115"/>
        <v>0</v>
      </c>
      <c r="DG62" s="17">
        <f t="shared" si="244"/>
        <v>0</v>
      </c>
      <c r="DH62" s="17">
        <f t="shared" si="29"/>
        <v>0.16</v>
      </c>
      <c r="DI62" s="235">
        <f t="shared" si="116"/>
        <v>0</v>
      </c>
      <c r="DJ62" s="33">
        <f t="shared" si="30"/>
        <v>2.8800000000000003</v>
      </c>
      <c r="DK62" s="210">
        <f t="shared" si="245"/>
        <v>0</v>
      </c>
      <c r="DL62" s="145"/>
      <c r="DM62" s="17">
        <f t="shared" si="31"/>
        <v>46</v>
      </c>
      <c r="DN62" s="479">
        <f t="shared" si="32"/>
        <v>0</v>
      </c>
      <c r="DO62" s="475">
        <f t="shared" si="178"/>
        <v>0</v>
      </c>
      <c r="DP62" s="61">
        <f t="shared" si="33"/>
        <v>618</v>
      </c>
      <c r="DQ62" s="141"/>
      <c r="DR62" s="71">
        <f t="shared" si="150"/>
        <v>618</v>
      </c>
      <c r="DS62" s="12">
        <f t="shared" si="34"/>
        <v>79</v>
      </c>
      <c r="DT62" s="141"/>
      <c r="DU62" s="71">
        <f t="shared" si="107"/>
        <v>79</v>
      </c>
    </row>
    <row r="63" spans="1:125" x14ac:dyDescent="0.25">
      <c r="B63" s="120">
        <f>B62+1</f>
        <v>4</v>
      </c>
      <c r="C63" s="570">
        <f>C62</f>
        <v>8</v>
      </c>
      <c r="D63" s="133"/>
      <c r="E63" s="408">
        <f t="shared" si="103"/>
        <v>171956</v>
      </c>
      <c r="F63" s="562">
        <f t="shared" si="0"/>
        <v>171956</v>
      </c>
      <c r="G63" s="134"/>
      <c r="H63" s="135"/>
      <c r="I63" s="135"/>
      <c r="J63" s="14">
        <f t="shared" si="108"/>
        <v>0</v>
      </c>
      <c r="K63" s="14">
        <f t="shared" si="35"/>
        <v>4875</v>
      </c>
      <c r="L63" s="14">
        <f t="shared" si="1"/>
        <v>0.16</v>
      </c>
      <c r="M63" s="47">
        <f t="shared" si="65"/>
        <v>0</v>
      </c>
      <c r="N63" s="35">
        <f t="shared" si="36"/>
        <v>2.8800000000000003</v>
      </c>
      <c r="O63" s="159">
        <f t="shared" si="142"/>
        <v>2.7568695534154077</v>
      </c>
      <c r="P63" s="142"/>
      <c r="Q63" s="14">
        <f t="shared" si="3"/>
        <v>46</v>
      </c>
      <c r="R63" s="442">
        <f t="shared" si="123"/>
        <v>0</v>
      </c>
      <c r="S63" s="470">
        <f t="shared" si="37"/>
        <v>328.79467076367098</v>
      </c>
      <c r="T63" s="51">
        <f t="shared" si="5"/>
        <v>618</v>
      </c>
      <c r="U63" s="103">
        <f>U62</f>
        <v>0</v>
      </c>
      <c r="V63" s="46">
        <f t="shared" si="38"/>
        <v>618</v>
      </c>
      <c r="W63" s="51">
        <f t="shared" si="6"/>
        <v>79</v>
      </c>
      <c r="X63" s="103">
        <f>X62</f>
        <v>0</v>
      </c>
      <c r="Y63" s="46">
        <f t="shared" si="39"/>
        <v>79</v>
      </c>
      <c r="Z63" s="487"/>
      <c r="AA63" s="120">
        <f>AA62+1</f>
        <v>4</v>
      </c>
      <c r="AB63" s="570">
        <f>AB62</f>
        <v>8</v>
      </c>
      <c r="AC63" s="133"/>
      <c r="AD63" s="408">
        <f t="shared" si="143"/>
        <v>0</v>
      </c>
      <c r="AE63" s="562">
        <f t="shared" si="127"/>
        <v>0</v>
      </c>
      <c r="AF63" s="134"/>
      <c r="AG63" s="135"/>
      <c r="AH63" s="135"/>
      <c r="AI63" s="14">
        <f t="shared" si="109"/>
        <v>0</v>
      </c>
      <c r="AJ63" s="14">
        <f t="shared" si="239"/>
        <v>0</v>
      </c>
      <c r="AK63" s="14">
        <f t="shared" si="8"/>
        <v>0.16</v>
      </c>
      <c r="AL63" s="47">
        <f t="shared" si="110"/>
        <v>0</v>
      </c>
      <c r="AM63" s="35">
        <f t="shared" si="9"/>
        <v>2.8800000000000003</v>
      </c>
      <c r="AN63" s="159">
        <f t="shared" si="240"/>
        <v>0</v>
      </c>
      <c r="AO63" s="142"/>
      <c r="AP63" s="14">
        <f t="shared" si="10"/>
        <v>46</v>
      </c>
      <c r="AQ63" s="442">
        <f t="shared" si="11"/>
        <v>0</v>
      </c>
      <c r="AR63" s="470">
        <f t="shared" si="175"/>
        <v>0</v>
      </c>
      <c r="AS63" s="51">
        <f t="shared" si="12"/>
        <v>618</v>
      </c>
      <c r="AT63" s="103">
        <f>AT62</f>
        <v>0</v>
      </c>
      <c r="AU63" s="46">
        <f t="shared" si="144"/>
        <v>618</v>
      </c>
      <c r="AV63" s="51">
        <f t="shared" si="13"/>
        <v>79</v>
      </c>
      <c r="AW63" s="103">
        <f>AW62</f>
        <v>0</v>
      </c>
      <c r="AX63" s="46">
        <f t="shared" si="104"/>
        <v>79</v>
      </c>
      <c r="AZ63" s="120">
        <f>AZ62+1</f>
        <v>4</v>
      </c>
      <c r="BA63" s="570">
        <f>BA62</f>
        <v>8</v>
      </c>
      <c r="BB63" s="133"/>
      <c r="BC63" s="408">
        <f t="shared" si="145"/>
        <v>116143</v>
      </c>
      <c r="BD63" s="562">
        <f t="shared" si="131"/>
        <v>116143</v>
      </c>
      <c r="BE63" s="134"/>
      <c r="BF63" s="135"/>
      <c r="BG63" s="135"/>
      <c r="BH63" s="14">
        <f t="shared" si="111"/>
        <v>0</v>
      </c>
      <c r="BI63" s="14">
        <f t="shared" si="241"/>
        <v>3926</v>
      </c>
      <c r="BJ63" s="14">
        <f t="shared" si="15"/>
        <v>0.16</v>
      </c>
      <c r="BK63" s="47">
        <f t="shared" si="112"/>
        <v>0</v>
      </c>
      <c r="BL63" s="35">
        <f t="shared" si="16"/>
        <v>2.8800000000000003</v>
      </c>
      <c r="BM63" s="159">
        <f t="shared" si="89"/>
        <v>3.2697865394065078</v>
      </c>
      <c r="BN63" s="142"/>
      <c r="BO63" s="14">
        <f t="shared" si="17"/>
        <v>46</v>
      </c>
      <c r="BP63" s="442">
        <f t="shared" si="18"/>
        <v>0</v>
      </c>
      <c r="BQ63" s="470">
        <f t="shared" si="176"/>
        <v>314.58428346602915</v>
      </c>
      <c r="BR63" s="51">
        <f t="shared" si="19"/>
        <v>618</v>
      </c>
      <c r="BS63" s="103">
        <f>BS62</f>
        <v>0</v>
      </c>
      <c r="BT63" s="46">
        <f t="shared" si="146"/>
        <v>618</v>
      </c>
      <c r="BU63" s="51">
        <f t="shared" si="20"/>
        <v>79</v>
      </c>
      <c r="BV63" s="103">
        <f>BV62</f>
        <v>0</v>
      </c>
      <c r="BW63" s="46">
        <f t="shared" si="105"/>
        <v>79</v>
      </c>
      <c r="BY63" s="120">
        <f>BY62+1</f>
        <v>4</v>
      </c>
      <c r="BZ63" s="570">
        <f>BZ62</f>
        <v>8</v>
      </c>
      <c r="CA63" s="133"/>
      <c r="CB63" s="408">
        <f t="shared" si="147"/>
        <v>0</v>
      </c>
      <c r="CC63" s="562">
        <f t="shared" si="135"/>
        <v>0</v>
      </c>
      <c r="CD63" s="134"/>
      <c r="CE63" s="135"/>
      <c r="CF63" s="135"/>
      <c r="CG63" s="14">
        <f t="shared" si="113"/>
        <v>0</v>
      </c>
      <c r="CH63" s="14">
        <f t="shared" si="242"/>
        <v>0</v>
      </c>
      <c r="CI63" s="14">
        <f t="shared" si="22"/>
        <v>0.16</v>
      </c>
      <c r="CJ63" s="47">
        <f t="shared" si="114"/>
        <v>0</v>
      </c>
      <c r="CK63" s="35">
        <f t="shared" si="23"/>
        <v>2.8800000000000003</v>
      </c>
      <c r="CL63" s="159">
        <f t="shared" si="243"/>
        <v>0</v>
      </c>
      <c r="CM63" s="142"/>
      <c r="CN63" s="14">
        <f t="shared" si="24"/>
        <v>46</v>
      </c>
      <c r="CO63" s="442">
        <f t="shared" si="25"/>
        <v>0</v>
      </c>
      <c r="CP63" s="470">
        <f t="shared" si="177"/>
        <v>0</v>
      </c>
      <c r="CQ63" s="51">
        <f t="shared" si="26"/>
        <v>618</v>
      </c>
      <c r="CR63" s="103">
        <f>CR62</f>
        <v>0</v>
      </c>
      <c r="CS63" s="46">
        <f t="shared" si="148"/>
        <v>618</v>
      </c>
      <c r="CT63" s="51">
        <f t="shared" si="27"/>
        <v>79</v>
      </c>
      <c r="CU63" s="103">
        <f>CU62</f>
        <v>0</v>
      </c>
      <c r="CV63" s="46">
        <f t="shared" si="106"/>
        <v>79</v>
      </c>
      <c r="CX63" s="120">
        <f>CX62+1</f>
        <v>4</v>
      </c>
      <c r="CY63" s="570">
        <f>CY62</f>
        <v>8</v>
      </c>
      <c r="CZ63" s="133"/>
      <c r="DA63" s="408">
        <f t="shared" si="149"/>
        <v>0</v>
      </c>
      <c r="DB63" s="562">
        <f t="shared" si="139"/>
        <v>0</v>
      </c>
      <c r="DC63" s="134"/>
      <c r="DD63" s="135"/>
      <c r="DE63" s="135"/>
      <c r="DF63" s="14">
        <f t="shared" si="115"/>
        <v>0</v>
      </c>
      <c r="DG63" s="14">
        <f t="shared" si="244"/>
        <v>0</v>
      </c>
      <c r="DH63" s="14">
        <f t="shared" si="29"/>
        <v>0.16</v>
      </c>
      <c r="DI63" s="47">
        <f t="shared" si="116"/>
        <v>0</v>
      </c>
      <c r="DJ63" s="35">
        <f t="shared" si="30"/>
        <v>2.8800000000000003</v>
      </c>
      <c r="DK63" s="159">
        <f t="shared" si="245"/>
        <v>0</v>
      </c>
      <c r="DL63" s="142"/>
      <c r="DM63" s="14">
        <f t="shared" si="31"/>
        <v>46</v>
      </c>
      <c r="DN63" s="442">
        <f t="shared" si="32"/>
        <v>0</v>
      </c>
      <c r="DO63" s="470">
        <f t="shared" si="178"/>
        <v>0</v>
      </c>
      <c r="DP63" s="51">
        <f t="shared" si="33"/>
        <v>618</v>
      </c>
      <c r="DQ63" s="103">
        <f>DQ62</f>
        <v>0</v>
      </c>
      <c r="DR63" s="46">
        <f t="shared" si="150"/>
        <v>618</v>
      </c>
      <c r="DS63" s="51">
        <f t="shared" si="34"/>
        <v>79</v>
      </c>
      <c r="DT63" s="103">
        <f>DT62</f>
        <v>0</v>
      </c>
      <c r="DU63" s="46">
        <f t="shared" si="107"/>
        <v>79</v>
      </c>
    </row>
    <row r="64" spans="1:125" x14ac:dyDescent="0.25">
      <c r="B64" s="120">
        <f t="shared" ref="B64:B68" si="281">B63+1</f>
        <v>5</v>
      </c>
      <c r="C64" s="570">
        <f t="shared" ref="C64:C68" si="282">C63</f>
        <v>8</v>
      </c>
      <c r="D64" s="133"/>
      <c r="E64" s="408">
        <f t="shared" si="103"/>
        <v>171956</v>
      </c>
      <c r="F64" s="562">
        <f t="shared" si="0"/>
        <v>171956</v>
      </c>
      <c r="G64" s="134"/>
      <c r="H64" s="135"/>
      <c r="I64" s="135"/>
      <c r="J64" s="14">
        <f t="shared" si="108"/>
        <v>0</v>
      </c>
      <c r="K64" s="14">
        <f t="shared" si="35"/>
        <v>4875</v>
      </c>
      <c r="L64" s="14">
        <f t="shared" si="1"/>
        <v>0.16</v>
      </c>
      <c r="M64" s="47">
        <f t="shared" si="65"/>
        <v>0</v>
      </c>
      <c r="N64" s="35">
        <f t="shared" si="36"/>
        <v>2.8800000000000003</v>
      </c>
      <c r="O64" s="159">
        <f t="shared" si="142"/>
        <v>2.7568695534154077</v>
      </c>
      <c r="P64" s="142"/>
      <c r="Q64" s="14">
        <f t="shared" si="3"/>
        <v>46</v>
      </c>
      <c r="R64" s="480">
        <f t="shared" si="123"/>
        <v>0</v>
      </c>
      <c r="S64" s="470">
        <f t="shared" si="37"/>
        <v>328.79467076367098</v>
      </c>
      <c r="T64" s="51">
        <f t="shared" si="5"/>
        <v>618</v>
      </c>
      <c r="U64" s="103">
        <f t="shared" ref="U64:U68" si="283">U63</f>
        <v>0</v>
      </c>
      <c r="V64" s="46">
        <f t="shared" si="38"/>
        <v>618</v>
      </c>
      <c r="W64" s="51">
        <f t="shared" si="6"/>
        <v>79</v>
      </c>
      <c r="X64" s="103">
        <f t="shared" ref="X64:X68" si="284">X63</f>
        <v>0</v>
      </c>
      <c r="Y64" s="46">
        <f t="shared" si="39"/>
        <v>79</v>
      </c>
      <c r="Z64" s="487"/>
      <c r="AA64" s="120">
        <f t="shared" ref="AA64:AA68" si="285">AA63+1</f>
        <v>5</v>
      </c>
      <c r="AB64" s="570">
        <f t="shared" ref="AB64:AB68" si="286">AB63</f>
        <v>8</v>
      </c>
      <c r="AC64" s="133"/>
      <c r="AD64" s="408">
        <f t="shared" si="143"/>
        <v>0</v>
      </c>
      <c r="AE64" s="562">
        <f t="shared" si="127"/>
        <v>0</v>
      </c>
      <c r="AF64" s="134"/>
      <c r="AG64" s="135"/>
      <c r="AH64" s="135"/>
      <c r="AI64" s="14">
        <f t="shared" si="109"/>
        <v>0</v>
      </c>
      <c r="AJ64" s="14">
        <f t="shared" si="239"/>
        <v>0</v>
      </c>
      <c r="AK64" s="14">
        <f t="shared" si="8"/>
        <v>0.16</v>
      </c>
      <c r="AL64" s="47">
        <f t="shared" si="110"/>
        <v>0</v>
      </c>
      <c r="AM64" s="35">
        <f t="shared" si="9"/>
        <v>2.8800000000000003</v>
      </c>
      <c r="AN64" s="159">
        <f t="shared" si="240"/>
        <v>0</v>
      </c>
      <c r="AO64" s="142"/>
      <c r="AP64" s="14">
        <f t="shared" si="10"/>
        <v>46</v>
      </c>
      <c r="AQ64" s="480">
        <f t="shared" si="11"/>
        <v>0</v>
      </c>
      <c r="AR64" s="470">
        <f t="shared" si="175"/>
        <v>0</v>
      </c>
      <c r="AS64" s="51">
        <f t="shared" si="12"/>
        <v>618</v>
      </c>
      <c r="AT64" s="103">
        <f t="shared" ref="AT64:AT68" si="287">AT63</f>
        <v>0</v>
      </c>
      <c r="AU64" s="46">
        <f t="shared" si="144"/>
        <v>618</v>
      </c>
      <c r="AV64" s="51">
        <f t="shared" si="13"/>
        <v>79</v>
      </c>
      <c r="AW64" s="103">
        <f t="shared" ref="AW64:AW68" si="288">AW63</f>
        <v>0</v>
      </c>
      <c r="AX64" s="46">
        <f t="shared" si="104"/>
        <v>79</v>
      </c>
      <c r="AZ64" s="120">
        <f t="shared" ref="AZ64:AZ68" si="289">AZ63+1</f>
        <v>5</v>
      </c>
      <c r="BA64" s="570">
        <f t="shared" ref="BA64:BA68" si="290">BA63</f>
        <v>8</v>
      </c>
      <c r="BB64" s="133"/>
      <c r="BC64" s="408">
        <f t="shared" si="145"/>
        <v>116143</v>
      </c>
      <c r="BD64" s="562">
        <f t="shared" si="131"/>
        <v>116143</v>
      </c>
      <c r="BE64" s="134"/>
      <c r="BF64" s="135"/>
      <c r="BG64" s="135"/>
      <c r="BH64" s="14">
        <f t="shared" si="111"/>
        <v>0</v>
      </c>
      <c r="BI64" s="14">
        <f t="shared" si="241"/>
        <v>3926</v>
      </c>
      <c r="BJ64" s="14">
        <f t="shared" si="15"/>
        <v>0.16</v>
      </c>
      <c r="BK64" s="47">
        <f t="shared" si="112"/>
        <v>0</v>
      </c>
      <c r="BL64" s="35">
        <f t="shared" si="16"/>
        <v>2.8800000000000003</v>
      </c>
      <c r="BM64" s="159">
        <f t="shared" si="89"/>
        <v>3.2697865394065078</v>
      </c>
      <c r="BN64" s="142"/>
      <c r="BO64" s="14">
        <f t="shared" si="17"/>
        <v>46</v>
      </c>
      <c r="BP64" s="480">
        <f t="shared" si="18"/>
        <v>0</v>
      </c>
      <c r="BQ64" s="470">
        <f t="shared" si="176"/>
        <v>314.58428346602915</v>
      </c>
      <c r="BR64" s="51">
        <f t="shared" si="19"/>
        <v>618</v>
      </c>
      <c r="BS64" s="103">
        <f t="shared" ref="BS64:BS68" si="291">BS63</f>
        <v>0</v>
      </c>
      <c r="BT64" s="46">
        <f t="shared" si="146"/>
        <v>618</v>
      </c>
      <c r="BU64" s="51">
        <f t="shared" si="20"/>
        <v>79</v>
      </c>
      <c r="BV64" s="103">
        <f t="shared" ref="BV64:BV68" si="292">BV63</f>
        <v>0</v>
      </c>
      <c r="BW64" s="46">
        <f t="shared" si="105"/>
        <v>79</v>
      </c>
      <c r="BY64" s="120">
        <f t="shared" ref="BY64:BY68" si="293">BY63+1</f>
        <v>5</v>
      </c>
      <c r="BZ64" s="570">
        <f t="shared" ref="BZ64:BZ68" si="294">BZ63</f>
        <v>8</v>
      </c>
      <c r="CA64" s="133"/>
      <c r="CB64" s="408">
        <f t="shared" si="147"/>
        <v>0</v>
      </c>
      <c r="CC64" s="562">
        <f t="shared" si="135"/>
        <v>0</v>
      </c>
      <c r="CD64" s="134"/>
      <c r="CE64" s="135"/>
      <c r="CF64" s="135"/>
      <c r="CG64" s="14">
        <f t="shared" si="113"/>
        <v>0</v>
      </c>
      <c r="CH64" s="14">
        <f t="shared" si="242"/>
        <v>0</v>
      </c>
      <c r="CI64" s="14">
        <f t="shared" si="22"/>
        <v>0.16</v>
      </c>
      <c r="CJ64" s="47">
        <f t="shared" si="114"/>
        <v>0</v>
      </c>
      <c r="CK64" s="35">
        <f t="shared" si="23"/>
        <v>2.8800000000000003</v>
      </c>
      <c r="CL64" s="159">
        <f t="shared" si="243"/>
        <v>0</v>
      </c>
      <c r="CM64" s="142"/>
      <c r="CN64" s="14">
        <f t="shared" si="24"/>
        <v>46</v>
      </c>
      <c r="CO64" s="480">
        <f t="shared" si="25"/>
        <v>0</v>
      </c>
      <c r="CP64" s="470">
        <f t="shared" si="177"/>
        <v>0</v>
      </c>
      <c r="CQ64" s="51">
        <f t="shared" si="26"/>
        <v>618</v>
      </c>
      <c r="CR64" s="103">
        <f t="shared" ref="CR64:CR68" si="295">CR63</f>
        <v>0</v>
      </c>
      <c r="CS64" s="46">
        <f t="shared" si="148"/>
        <v>618</v>
      </c>
      <c r="CT64" s="51">
        <f t="shared" si="27"/>
        <v>79</v>
      </c>
      <c r="CU64" s="103">
        <f t="shared" ref="CU64:CU68" si="296">CU63</f>
        <v>0</v>
      </c>
      <c r="CV64" s="46">
        <f t="shared" si="106"/>
        <v>79</v>
      </c>
      <c r="CX64" s="120">
        <f t="shared" ref="CX64:CX68" si="297">CX63+1</f>
        <v>5</v>
      </c>
      <c r="CY64" s="570">
        <f t="shared" ref="CY64:CY68" si="298">CY63</f>
        <v>8</v>
      </c>
      <c r="CZ64" s="133"/>
      <c r="DA64" s="408">
        <f t="shared" si="149"/>
        <v>0</v>
      </c>
      <c r="DB64" s="562">
        <f t="shared" si="139"/>
        <v>0</v>
      </c>
      <c r="DC64" s="134"/>
      <c r="DD64" s="135"/>
      <c r="DE64" s="135"/>
      <c r="DF64" s="14">
        <f t="shared" si="115"/>
        <v>0</v>
      </c>
      <c r="DG64" s="14">
        <f t="shared" si="244"/>
        <v>0</v>
      </c>
      <c r="DH64" s="14">
        <f t="shared" si="29"/>
        <v>0.16</v>
      </c>
      <c r="DI64" s="47">
        <f t="shared" si="116"/>
        <v>0</v>
      </c>
      <c r="DJ64" s="35">
        <f t="shared" si="30"/>
        <v>2.8800000000000003</v>
      </c>
      <c r="DK64" s="159">
        <f t="shared" si="245"/>
        <v>0</v>
      </c>
      <c r="DL64" s="142"/>
      <c r="DM64" s="14">
        <f t="shared" si="31"/>
        <v>46</v>
      </c>
      <c r="DN64" s="480">
        <f t="shared" si="32"/>
        <v>0</v>
      </c>
      <c r="DO64" s="470">
        <f t="shared" si="178"/>
        <v>0</v>
      </c>
      <c r="DP64" s="51">
        <f t="shared" si="33"/>
        <v>618</v>
      </c>
      <c r="DQ64" s="103">
        <f t="shared" ref="DQ64:DQ68" si="299">DQ63</f>
        <v>0</v>
      </c>
      <c r="DR64" s="46">
        <f t="shared" si="150"/>
        <v>618</v>
      </c>
      <c r="DS64" s="51">
        <f t="shared" si="34"/>
        <v>79</v>
      </c>
      <c r="DT64" s="103">
        <f t="shared" ref="DT64:DT68" si="300">DT63</f>
        <v>0</v>
      </c>
      <c r="DU64" s="46">
        <f t="shared" si="107"/>
        <v>79</v>
      </c>
    </row>
    <row r="65" spans="1:126" x14ac:dyDescent="0.25">
      <c r="B65" s="120">
        <f t="shared" si="281"/>
        <v>6</v>
      </c>
      <c r="C65" s="570">
        <f t="shared" si="282"/>
        <v>8</v>
      </c>
      <c r="D65" s="133"/>
      <c r="E65" s="408">
        <f t="shared" si="103"/>
        <v>171956</v>
      </c>
      <c r="F65" s="562">
        <f t="shared" si="0"/>
        <v>171956</v>
      </c>
      <c r="G65" s="134"/>
      <c r="H65" s="135"/>
      <c r="I65" s="135"/>
      <c r="J65" s="14">
        <f t="shared" si="108"/>
        <v>0</v>
      </c>
      <c r="K65" s="14">
        <f t="shared" si="35"/>
        <v>4875</v>
      </c>
      <c r="L65" s="14">
        <f t="shared" si="1"/>
        <v>0.16</v>
      </c>
      <c r="M65" s="47">
        <f t="shared" si="65"/>
        <v>0</v>
      </c>
      <c r="N65" s="35">
        <f t="shared" si="36"/>
        <v>2.8800000000000003</v>
      </c>
      <c r="O65" s="159">
        <f t="shared" si="142"/>
        <v>2.7568695534154077</v>
      </c>
      <c r="P65" s="142"/>
      <c r="Q65" s="14">
        <f t="shared" si="3"/>
        <v>46</v>
      </c>
      <c r="R65" s="442">
        <f t="shared" si="123"/>
        <v>0</v>
      </c>
      <c r="S65" s="470">
        <f t="shared" si="37"/>
        <v>328.79467076367098</v>
      </c>
      <c r="T65" s="51">
        <f t="shared" si="5"/>
        <v>618</v>
      </c>
      <c r="U65" s="103">
        <f t="shared" si="283"/>
        <v>0</v>
      </c>
      <c r="V65" s="46">
        <f t="shared" si="38"/>
        <v>618</v>
      </c>
      <c r="W65" s="12">
        <f t="shared" si="6"/>
        <v>79</v>
      </c>
      <c r="X65" s="103">
        <f t="shared" si="284"/>
        <v>0</v>
      </c>
      <c r="Y65" s="46">
        <f t="shared" si="39"/>
        <v>79</v>
      </c>
      <c r="Z65" s="487"/>
      <c r="AA65" s="120">
        <f t="shared" si="285"/>
        <v>6</v>
      </c>
      <c r="AB65" s="570">
        <f t="shared" si="286"/>
        <v>8</v>
      </c>
      <c r="AC65" s="133"/>
      <c r="AD65" s="408">
        <f t="shared" si="143"/>
        <v>0</v>
      </c>
      <c r="AE65" s="562">
        <f t="shared" si="127"/>
        <v>0</v>
      </c>
      <c r="AF65" s="134"/>
      <c r="AG65" s="135"/>
      <c r="AH65" s="135"/>
      <c r="AI65" s="14">
        <f t="shared" si="109"/>
        <v>0</v>
      </c>
      <c r="AJ65" s="14">
        <f t="shared" si="239"/>
        <v>0</v>
      </c>
      <c r="AK65" s="14">
        <f t="shared" si="8"/>
        <v>0.16</v>
      </c>
      <c r="AL65" s="47">
        <f t="shared" si="110"/>
        <v>0</v>
      </c>
      <c r="AM65" s="35">
        <f t="shared" si="9"/>
        <v>2.8800000000000003</v>
      </c>
      <c r="AN65" s="159">
        <f t="shared" si="240"/>
        <v>0</v>
      </c>
      <c r="AO65" s="142"/>
      <c r="AP65" s="14">
        <f t="shared" si="10"/>
        <v>46</v>
      </c>
      <c r="AQ65" s="442">
        <f t="shared" si="11"/>
        <v>0</v>
      </c>
      <c r="AR65" s="470">
        <f t="shared" si="175"/>
        <v>0</v>
      </c>
      <c r="AS65" s="51">
        <f t="shared" si="12"/>
        <v>618</v>
      </c>
      <c r="AT65" s="103">
        <f t="shared" si="287"/>
        <v>0</v>
      </c>
      <c r="AU65" s="46">
        <f t="shared" si="144"/>
        <v>618</v>
      </c>
      <c r="AV65" s="12">
        <f t="shared" si="13"/>
        <v>79</v>
      </c>
      <c r="AW65" s="103">
        <f t="shared" si="288"/>
        <v>0</v>
      </c>
      <c r="AX65" s="46">
        <f t="shared" si="104"/>
        <v>79</v>
      </c>
      <c r="AZ65" s="120">
        <f t="shared" si="289"/>
        <v>6</v>
      </c>
      <c r="BA65" s="570">
        <f t="shared" si="290"/>
        <v>8</v>
      </c>
      <c r="BB65" s="133"/>
      <c r="BC65" s="408">
        <f t="shared" si="145"/>
        <v>116143</v>
      </c>
      <c r="BD65" s="562">
        <f t="shared" si="131"/>
        <v>116143</v>
      </c>
      <c r="BE65" s="134"/>
      <c r="BF65" s="135"/>
      <c r="BG65" s="135"/>
      <c r="BH65" s="14">
        <f t="shared" si="111"/>
        <v>0</v>
      </c>
      <c r="BI65" s="14">
        <f t="shared" si="241"/>
        <v>3926</v>
      </c>
      <c r="BJ65" s="14">
        <f t="shared" si="15"/>
        <v>0.16</v>
      </c>
      <c r="BK65" s="47">
        <f t="shared" si="112"/>
        <v>0</v>
      </c>
      <c r="BL65" s="35">
        <f t="shared" si="16"/>
        <v>2.8800000000000003</v>
      </c>
      <c r="BM65" s="159">
        <f t="shared" si="89"/>
        <v>3.2697865394065078</v>
      </c>
      <c r="BN65" s="142"/>
      <c r="BO65" s="14">
        <f t="shared" si="17"/>
        <v>46</v>
      </c>
      <c r="BP65" s="442">
        <f t="shared" si="18"/>
        <v>0</v>
      </c>
      <c r="BQ65" s="470">
        <f t="shared" si="176"/>
        <v>314.58428346602915</v>
      </c>
      <c r="BR65" s="51">
        <f t="shared" si="19"/>
        <v>618</v>
      </c>
      <c r="BS65" s="103">
        <f t="shared" si="291"/>
        <v>0</v>
      </c>
      <c r="BT65" s="46">
        <f t="shared" si="146"/>
        <v>618</v>
      </c>
      <c r="BU65" s="12">
        <f t="shared" si="20"/>
        <v>79</v>
      </c>
      <c r="BV65" s="103">
        <f t="shared" si="292"/>
        <v>0</v>
      </c>
      <c r="BW65" s="46">
        <f t="shared" si="105"/>
        <v>79</v>
      </c>
      <c r="BY65" s="120">
        <f t="shared" si="293"/>
        <v>6</v>
      </c>
      <c r="BZ65" s="570">
        <f t="shared" si="294"/>
        <v>8</v>
      </c>
      <c r="CA65" s="133"/>
      <c r="CB65" s="408">
        <f t="shared" si="147"/>
        <v>0</v>
      </c>
      <c r="CC65" s="562">
        <f t="shared" si="135"/>
        <v>0</v>
      </c>
      <c r="CD65" s="134"/>
      <c r="CE65" s="135"/>
      <c r="CF65" s="135"/>
      <c r="CG65" s="14">
        <f t="shared" si="113"/>
        <v>0</v>
      </c>
      <c r="CH65" s="14">
        <f t="shared" si="242"/>
        <v>0</v>
      </c>
      <c r="CI65" s="14">
        <f t="shared" si="22"/>
        <v>0.16</v>
      </c>
      <c r="CJ65" s="47">
        <f t="shared" si="114"/>
        <v>0</v>
      </c>
      <c r="CK65" s="35">
        <f t="shared" si="23"/>
        <v>2.8800000000000003</v>
      </c>
      <c r="CL65" s="159">
        <f t="shared" si="243"/>
        <v>0</v>
      </c>
      <c r="CM65" s="142"/>
      <c r="CN65" s="14">
        <f t="shared" si="24"/>
        <v>46</v>
      </c>
      <c r="CO65" s="442">
        <f t="shared" si="25"/>
        <v>0</v>
      </c>
      <c r="CP65" s="470">
        <f t="shared" si="177"/>
        <v>0</v>
      </c>
      <c r="CQ65" s="51">
        <f t="shared" si="26"/>
        <v>618</v>
      </c>
      <c r="CR65" s="103">
        <f t="shared" si="295"/>
        <v>0</v>
      </c>
      <c r="CS65" s="46">
        <f t="shared" si="148"/>
        <v>618</v>
      </c>
      <c r="CT65" s="12">
        <f t="shared" si="27"/>
        <v>79</v>
      </c>
      <c r="CU65" s="103">
        <f t="shared" si="296"/>
        <v>0</v>
      </c>
      <c r="CV65" s="46">
        <f t="shared" si="106"/>
        <v>79</v>
      </c>
      <c r="CX65" s="120">
        <f t="shared" si="297"/>
        <v>6</v>
      </c>
      <c r="CY65" s="570">
        <f t="shared" si="298"/>
        <v>8</v>
      </c>
      <c r="CZ65" s="133"/>
      <c r="DA65" s="408">
        <f t="shared" si="149"/>
        <v>0</v>
      </c>
      <c r="DB65" s="562">
        <f t="shared" si="139"/>
        <v>0</v>
      </c>
      <c r="DC65" s="134"/>
      <c r="DD65" s="135"/>
      <c r="DE65" s="135"/>
      <c r="DF65" s="14">
        <f t="shared" si="115"/>
        <v>0</v>
      </c>
      <c r="DG65" s="14">
        <f t="shared" si="244"/>
        <v>0</v>
      </c>
      <c r="DH65" s="14">
        <f t="shared" si="29"/>
        <v>0.16</v>
      </c>
      <c r="DI65" s="47">
        <f t="shared" si="116"/>
        <v>0</v>
      </c>
      <c r="DJ65" s="35">
        <f t="shared" si="30"/>
        <v>2.8800000000000003</v>
      </c>
      <c r="DK65" s="159">
        <f t="shared" si="245"/>
        <v>0</v>
      </c>
      <c r="DL65" s="142"/>
      <c r="DM65" s="14">
        <f t="shared" si="31"/>
        <v>46</v>
      </c>
      <c r="DN65" s="442">
        <f t="shared" si="32"/>
        <v>0</v>
      </c>
      <c r="DO65" s="470">
        <f t="shared" si="178"/>
        <v>0</v>
      </c>
      <c r="DP65" s="51">
        <f t="shared" si="33"/>
        <v>618</v>
      </c>
      <c r="DQ65" s="103">
        <f t="shared" si="299"/>
        <v>0</v>
      </c>
      <c r="DR65" s="46">
        <f t="shared" si="150"/>
        <v>618</v>
      </c>
      <c r="DS65" s="12">
        <f t="shared" si="34"/>
        <v>79</v>
      </c>
      <c r="DT65" s="103">
        <f t="shared" si="300"/>
        <v>0</v>
      </c>
      <c r="DU65" s="46">
        <f t="shared" si="107"/>
        <v>79</v>
      </c>
    </row>
    <row r="66" spans="1:126" x14ac:dyDescent="0.25">
      <c r="B66" s="120">
        <f t="shared" si="281"/>
        <v>7</v>
      </c>
      <c r="C66" s="570">
        <f t="shared" si="282"/>
        <v>8</v>
      </c>
      <c r="D66" s="133"/>
      <c r="E66" s="408">
        <f t="shared" si="103"/>
        <v>171956</v>
      </c>
      <c r="F66" s="562">
        <f t="shared" si="0"/>
        <v>171956</v>
      </c>
      <c r="G66" s="134"/>
      <c r="H66" s="135"/>
      <c r="I66" s="135"/>
      <c r="J66" s="14">
        <f t="shared" si="108"/>
        <v>0</v>
      </c>
      <c r="K66" s="14">
        <f t="shared" si="35"/>
        <v>4875</v>
      </c>
      <c r="L66" s="14">
        <f t="shared" si="1"/>
        <v>0.16</v>
      </c>
      <c r="M66" s="47">
        <f t="shared" si="65"/>
        <v>0</v>
      </c>
      <c r="N66" s="35">
        <f t="shared" si="36"/>
        <v>2.8800000000000003</v>
      </c>
      <c r="O66" s="159">
        <f t="shared" si="142"/>
        <v>2.7568695534154077</v>
      </c>
      <c r="P66" s="142"/>
      <c r="Q66" s="14">
        <f t="shared" si="3"/>
        <v>46</v>
      </c>
      <c r="R66" s="480">
        <f t="shared" si="123"/>
        <v>0</v>
      </c>
      <c r="S66" s="470">
        <f t="shared" si="37"/>
        <v>328.79467076367098</v>
      </c>
      <c r="T66" s="51">
        <f t="shared" si="5"/>
        <v>618</v>
      </c>
      <c r="U66" s="103">
        <f t="shared" si="283"/>
        <v>0</v>
      </c>
      <c r="V66" s="46">
        <f t="shared" si="38"/>
        <v>618</v>
      </c>
      <c r="W66" s="50">
        <f t="shared" si="6"/>
        <v>79</v>
      </c>
      <c r="X66" s="103">
        <f t="shared" si="284"/>
        <v>0</v>
      </c>
      <c r="Y66" s="46">
        <f t="shared" si="39"/>
        <v>79</v>
      </c>
      <c r="Z66" s="487"/>
      <c r="AA66" s="120">
        <f t="shared" si="285"/>
        <v>7</v>
      </c>
      <c r="AB66" s="570">
        <f t="shared" si="286"/>
        <v>8</v>
      </c>
      <c r="AC66" s="133"/>
      <c r="AD66" s="408">
        <f t="shared" si="143"/>
        <v>0</v>
      </c>
      <c r="AE66" s="562">
        <f t="shared" si="127"/>
        <v>0</v>
      </c>
      <c r="AF66" s="134"/>
      <c r="AG66" s="135"/>
      <c r="AH66" s="135"/>
      <c r="AI66" s="14">
        <f t="shared" si="109"/>
        <v>0</v>
      </c>
      <c r="AJ66" s="14">
        <f t="shared" si="239"/>
        <v>0</v>
      </c>
      <c r="AK66" s="14">
        <f t="shared" si="8"/>
        <v>0.16</v>
      </c>
      <c r="AL66" s="47">
        <f t="shared" si="110"/>
        <v>0</v>
      </c>
      <c r="AM66" s="35">
        <f t="shared" si="9"/>
        <v>2.8800000000000003</v>
      </c>
      <c r="AN66" s="159">
        <f t="shared" si="240"/>
        <v>0</v>
      </c>
      <c r="AO66" s="142"/>
      <c r="AP66" s="14">
        <f t="shared" si="10"/>
        <v>46</v>
      </c>
      <c r="AQ66" s="480">
        <f t="shared" si="11"/>
        <v>0</v>
      </c>
      <c r="AR66" s="470">
        <f t="shared" si="175"/>
        <v>0</v>
      </c>
      <c r="AS66" s="51">
        <f t="shared" si="12"/>
        <v>618</v>
      </c>
      <c r="AT66" s="103">
        <f t="shared" si="287"/>
        <v>0</v>
      </c>
      <c r="AU66" s="46">
        <f t="shared" si="144"/>
        <v>618</v>
      </c>
      <c r="AV66" s="50">
        <f t="shared" si="13"/>
        <v>79</v>
      </c>
      <c r="AW66" s="103">
        <f t="shared" si="288"/>
        <v>0</v>
      </c>
      <c r="AX66" s="46">
        <f t="shared" si="104"/>
        <v>79</v>
      </c>
      <c r="AZ66" s="120">
        <f t="shared" si="289"/>
        <v>7</v>
      </c>
      <c r="BA66" s="570">
        <f t="shared" si="290"/>
        <v>8</v>
      </c>
      <c r="BB66" s="133"/>
      <c r="BC66" s="408">
        <f t="shared" si="145"/>
        <v>116143</v>
      </c>
      <c r="BD66" s="562">
        <f t="shared" si="131"/>
        <v>116143</v>
      </c>
      <c r="BE66" s="134"/>
      <c r="BF66" s="135"/>
      <c r="BG66" s="135"/>
      <c r="BH66" s="14">
        <f t="shared" si="111"/>
        <v>0</v>
      </c>
      <c r="BI66" s="14">
        <f t="shared" si="241"/>
        <v>3926</v>
      </c>
      <c r="BJ66" s="14">
        <f t="shared" si="15"/>
        <v>0.16</v>
      </c>
      <c r="BK66" s="47">
        <f t="shared" si="112"/>
        <v>0</v>
      </c>
      <c r="BL66" s="35">
        <f t="shared" si="16"/>
        <v>2.8800000000000003</v>
      </c>
      <c r="BM66" s="155">
        <f t="shared" si="89"/>
        <v>3.2697865394065078</v>
      </c>
      <c r="BN66" s="142"/>
      <c r="BO66" s="14">
        <f t="shared" si="17"/>
        <v>46</v>
      </c>
      <c r="BP66" s="480">
        <f t="shared" si="18"/>
        <v>0</v>
      </c>
      <c r="BQ66" s="470">
        <f t="shared" si="176"/>
        <v>314.58428346602915</v>
      </c>
      <c r="BR66" s="51">
        <f t="shared" si="19"/>
        <v>618</v>
      </c>
      <c r="BS66" s="103">
        <f t="shared" si="291"/>
        <v>0</v>
      </c>
      <c r="BT66" s="46">
        <f t="shared" si="146"/>
        <v>618</v>
      </c>
      <c r="BU66" s="50">
        <f t="shared" si="20"/>
        <v>79</v>
      </c>
      <c r="BV66" s="103">
        <f t="shared" si="292"/>
        <v>0</v>
      </c>
      <c r="BW66" s="46">
        <f t="shared" si="105"/>
        <v>79</v>
      </c>
      <c r="BY66" s="120">
        <f t="shared" si="293"/>
        <v>7</v>
      </c>
      <c r="BZ66" s="570">
        <f t="shared" si="294"/>
        <v>8</v>
      </c>
      <c r="CA66" s="133"/>
      <c r="CB66" s="408">
        <f t="shared" si="147"/>
        <v>0</v>
      </c>
      <c r="CC66" s="562">
        <f t="shared" si="135"/>
        <v>0</v>
      </c>
      <c r="CD66" s="134"/>
      <c r="CE66" s="135"/>
      <c r="CF66" s="135"/>
      <c r="CG66" s="14">
        <f t="shared" si="113"/>
        <v>0</v>
      </c>
      <c r="CH66" s="14">
        <f t="shared" si="242"/>
        <v>0</v>
      </c>
      <c r="CI66" s="14">
        <f t="shared" si="22"/>
        <v>0.16</v>
      </c>
      <c r="CJ66" s="47">
        <f t="shared" si="114"/>
        <v>0</v>
      </c>
      <c r="CK66" s="35">
        <f t="shared" si="23"/>
        <v>2.8800000000000003</v>
      </c>
      <c r="CL66" s="159">
        <f t="shared" si="243"/>
        <v>0</v>
      </c>
      <c r="CM66" s="142"/>
      <c r="CN66" s="14">
        <f t="shared" si="24"/>
        <v>46</v>
      </c>
      <c r="CO66" s="480">
        <f t="shared" si="25"/>
        <v>0</v>
      </c>
      <c r="CP66" s="470">
        <f t="shared" si="177"/>
        <v>0</v>
      </c>
      <c r="CQ66" s="51">
        <f t="shared" si="26"/>
        <v>618</v>
      </c>
      <c r="CR66" s="103">
        <f t="shared" si="295"/>
        <v>0</v>
      </c>
      <c r="CS66" s="46">
        <f t="shared" si="148"/>
        <v>618</v>
      </c>
      <c r="CT66" s="50">
        <f t="shared" si="27"/>
        <v>79</v>
      </c>
      <c r="CU66" s="103">
        <f t="shared" si="296"/>
        <v>0</v>
      </c>
      <c r="CV66" s="46">
        <f t="shared" si="106"/>
        <v>79</v>
      </c>
      <c r="CX66" s="120">
        <f t="shared" si="297"/>
        <v>7</v>
      </c>
      <c r="CY66" s="570">
        <f t="shared" si="298"/>
        <v>8</v>
      </c>
      <c r="CZ66" s="133"/>
      <c r="DA66" s="408">
        <f t="shared" si="149"/>
        <v>0</v>
      </c>
      <c r="DB66" s="562">
        <f t="shared" si="139"/>
        <v>0</v>
      </c>
      <c r="DC66" s="134"/>
      <c r="DD66" s="135"/>
      <c r="DE66" s="135"/>
      <c r="DF66" s="14">
        <f t="shared" si="115"/>
        <v>0</v>
      </c>
      <c r="DG66" s="14">
        <f t="shared" si="244"/>
        <v>0</v>
      </c>
      <c r="DH66" s="14">
        <f t="shared" si="29"/>
        <v>0.16</v>
      </c>
      <c r="DI66" s="47">
        <f t="shared" si="116"/>
        <v>0</v>
      </c>
      <c r="DJ66" s="35">
        <f t="shared" si="30"/>
        <v>2.8800000000000003</v>
      </c>
      <c r="DK66" s="159">
        <f t="shared" si="245"/>
        <v>0</v>
      </c>
      <c r="DL66" s="142"/>
      <c r="DM66" s="14">
        <f t="shared" si="31"/>
        <v>46</v>
      </c>
      <c r="DN66" s="480">
        <f t="shared" si="32"/>
        <v>0</v>
      </c>
      <c r="DO66" s="470">
        <f t="shared" si="178"/>
        <v>0</v>
      </c>
      <c r="DP66" s="51">
        <f t="shared" si="33"/>
        <v>618</v>
      </c>
      <c r="DQ66" s="103">
        <f t="shared" si="299"/>
        <v>0</v>
      </c>
      <c r="DR66" s="46">
        <f t="shared" si="150"/>
        <v>618</v>
      </c>
      <c r="DS66" s="50">
        <f t="shared" si="34"/>
        <v>79</v>
      </c>
      <c r="DT66" s="103">
        <f t="shared" si="300"/>
        <v>0</v>
      </c>
      <c r="DU66" s="46">
        <f t="shared" si="107"/>
        <v>79</v>
      </c>
    </row>
    <row r="67" spans="1:126" x14ac:dyDescent="0.25">
      <c r="B67" s="120">
        <f t="shared" si="281"/>
        <v>8</v>
      </c>
      <c r="C67" s="570">
        <f t="shared" si="282"/>
        <v>8</v>
      </c>
      <c r="D67" s="133"/>
      <c r="E67" s="408">
        <f t="shared" si="103"/>
        <v>171956</v>
      </c>
      <c r="F67" s="562">
        <f t="shared" si="0"/>
        <v>171956</v>
      </c>
      <c r="G67" s="134"/>
      <c r="H67" s="135"/>
      <c r="I67" s="135"/>
      <c r="J67" s="14">
        <f t="shared" si="108"/>
        <v>0</v>
      </c>
      <c r="K67" s="14">
        <f t="shared" si="35"/>
        <v>4875</v>
      </c>
      <c r="L67" s="14">
        <f t="shared" si="1"/>
        <v>0.16</v>
      </c>
      <c r="M67" s="47">
        <f t="shared" si="65"/>
        <v>0</v>
      </c>
      <c r="N67" s="35">
        <f t="shared" si="36"/>
        <v>2.8800000000000003</v>
      </c>
      <c r="O67" s="159">
        <f t="shared" si="142"/>
        <v>2.7568695534154077</v>
      </c>
      <c r="P67" s="142"/>
      <c r="Q67" s="14">
        <f t="shared" si="3"/>
        <v>46</v>
      </c>
      <c r="R67" s="482">
        <f t="shared" si="123"/>
        <v>0</v>
      </c>
      <c r="S67" s="470">
        <f t="shared" si="37"/>
        <v>328.79467076367098</v>
      </c>
      <c r="T67" s="51">
        <f t="shared" si="5"/>
        <v>618</v>
      </c>
      <c r="U67" s="103">
        <f t="shared" si="283"/>
        <v>0</v>
      </c>
      <c r="V67" s="46">
        <f t="shared" si="38"/>
        <v>618</v>
      </c>
      <c r="W67" s="50">
        <f t="shared" si="6"/>
        <v>79</v>
      </c>
      <c r="X67" s="103">
        <f t="shared" si="284"/>
        <v>0</v>
      </c>
      <c r="Y67" s="46">
        <f t="shared" si="39"/>
        <v>79</v>
      </c>
      <c r="Z67" s="487"/>
      <c r="AA67" s="120">
        <f t="shared" si="285"/>
        <v>8</v>
      </c>
      <c r="AB67" s="570">
        <f t="shared" si="286"/>
        <v>8</v>
      </c>
      <c r="AC67" s="133"/>
      <c r="AD67" s="408">
        <f t="shared" si="143"/>
        <v>0</v>
      </c>
      <c r="AE67" s="562">
        <f t="shared" si="127"/>
        <v>0</v>
      </c>
      <c r="AF67" s="134"/>
      <c r="AG67" s="135"/>
      <c r="AH67" s="135"/>
      <c r="AI67" s="14">
        <f t="shared" si="109"/>
        <v>0</v>
      </c>
      <c r="AJ67" s="14">
        <f t="shared" si="239"/>
        <v>0</v>
      </c>
      <c r="AK67" s="14">
        <f t="shared" si="8"/>
        <v>0.16</v>
      </c>
      <c r="AL67" s="47">
        <f t="shared" si="110"/>
        <v>0</v>
      </c>
      <c r="AM67" s="35">
        <f t="shared" si="9"/>
        <v>2.8800000000000003</v>
      </c>
      <c r="AN67" s="159">
        <f t="shared" si="240"/>
        <v>0</v>
      </c>
      <c r="AO67" s="142"/>
      <c r="AP67" s="14">
        <f t="shared" si="10"/>
        <v>46</v>
      </c>
      <c r="AQ67" s="482">
        <f t="shared" si="11"/>
        <v>0</v>
      </c>
      <c r="AR67" s="470">
        <f t="shared" si="175"/>
        <v>0</v>
      </c>
      <c r="AS67" s="51">
        <f t="shared" si="12"/>
        <v>618</v>
      </c>
      <c r="AT67" s="103">
        <f t="shared" si="287"/>
        <v>0</v>
      </c>
      <c r="AU67" s="46">
        <f t="shared" si="144"/>
        <v>618</v>
      </c>
      <c r="AV67" s="50">
        <f t="shared" si="13"/>
        <v>79</v>
      </c>
      <c r="AW67" s="103">
        <f t="shared" si="288"/>
        <v>0</v>
      </c>
      <c r="AX67" s="46">
        <f t="shared" si="104"/>
        <v>79</v>
      </c>
      <c r="AZ67" s="120">
        <f t="shared" si="289"/>
        <v>8</v>
      </c>
      <c r="BA67" s="570">
        <f t="shared" si="290"/>
        <v>8</v>
      </c>
      <c r="BB67" s="133"/>
      <c r="BC67" s="408">
        <f t="shared" si="145"/>
        <v>116143</v>
      </c>
      <c r="BD67" s="562">
        <f t="shared" si="131"/>
        <v>116143</v>
      </c>
      <c r="BE67" s="134"/>
      <c r="BF67" s="135"/>
      <c r="BG67" s="135"/>
      <c r="BH67" s="14">
        <f t="shared" si="111"/>
        <v>0</v>
      </c>
      <c r="BI67" s="14">
        <f t="shared" si="241"/>
        <v>3926</v>
      </c>
      <c r="BJ67" s="14">
        <f t="shared" si="15"/>
        <v>0.16</v>
      </c>
      <c r="BK67" s="47">
        <f t="shared" si="112"/>
        <v>0</v>
      </c>
      <c r="BL67" s="35">
        <f t="shared" si="16"/>
        <v>2.8800000000000003</v>
      </c>
      <c r="BM67" s="159">
        <f t="shared" si="89"/>
        <v>3.2697865394065078</v>
      </c>
      <c r="BN67" s="142"/>
      <c r="BO67" s="14">
        <f t="shared" si="17"/>
        <v>46</v>
      </c>
      <c r="BP67" s="482">
        <f t="shared" si="18"/>
        <v>0</v>
      </c>
      <c r="BQ67" s="470">
        <f t="shared" si="176"/>
        <v>314.58428346602915</v>
      </c>
      <c r="BR67" s="51">
        <f t="shared" si="19"/>
        <v>618</v>
      </c>
      <c r="BS67" s="103">
        <f t="shared" si="291"/>
        <v>0</v>
      </c>
      <c r="BT67" s="46">
        <f t="shared" si="146"/>
        <v>618</v>
      </c>
      <c r="BU67" s="50">
        <f t="shared" si="20"/>
        <v>79</v>
      </c>
      <c r="BV67" s="103">
        <f t="shared" si="292"/>
        <v>0</v>
      </c>
      <c r="BW67" s="46">
        <f t="shared" si="105"/>
        <v>79</v>
      </c>
      <c r="BY67" s="120">
        <f t="shared" si="293"/>
        <v>8</v>
      </c>
      <c r="BZ67" s="570">
        <f t="shared" si="294"/>
        <v>8</v>
      </c>
      <c r="CA67" s="133"/>
      <c r="CB67" s="408">
        <f t="shared" si="147"/>
        <v>0</v>
      </c>
      <c r="CC67" s="562">
        <f t="shared" si="135"/>
        <v>0</v>
      </c>
      <c r="CD67" s="134"/>
      <c r="CE67" s="135"/>
      <c r="CF67" s="135"/>
      <c r="CG67" s="14">
        <f t="shared" si="113"/>
        <v>0</v>
      </c>
      <c r="CH67" s="14">
        <f t="shared" si="242"/>
        <v>0</v>
      </c>
      <c r="CI67" s="14">
        <f t="shared" si="22"/>
        <v>0.16</v>
      </c>
      <c r="CJ67" s="47">
        <f t="shared" si="114"/>
        <v>0</v>
      </c>
      <c r="CK67" s="35">
        <f t="shared" si="23"/>
        <v>2.8800000000000003</v>
      </c>
      <c r="CL67" s="159">
        <f t="shared" si="243"/>
        <v>0</v>
      </c>
      <c r="CM67" s="142"/>
      <c r="CN67" s="14">
        <f t="shared" si="24"/>
        <v>46</v>
      </c>
      <c r="CO67" s="482">
        <f t="shared" si="25"/>
        <v>0</v>
      </c>
      <c r="CP67" s="470">
        <f t="shared" si="177"/>
        <v>0</v>
      </c>
      <c r="CQ67" s="51">
        <f t="shared" si="26"/>
        <v>618</v>
      </c>
      <c r="CR67" s="103">
        <f t="shared" si="295"/>
        <v>0</v>
      </c>
      <c r="CS67" s="46">
        <f t="shared" si="148"/>
        <v>618</v>
      </c>
      <c r="CT67" s="50">
        <f t="shared" si="27"/>
        <v>79</v>
      </c>
      <c r="CU67" s="103">
        <f t="shared" si="296"/>
        <v>0</v>
      </c>
      <c r="CV67" s="46">
        <f t="shared" si="106"/>
        <v>79</v>
      </c>
      <c r="CX67" s="120">
        <f t="shared" si="297"/>
        <v>8</v>
      </c>
      <c r="CY67" s="570">
        <f t="shared" si="298"/>
        <v>8</v>
      </c>
      <c r="CZ67" s="133"/>
      <c r="DA67" s="408">
        <f t="shared" si="149"/>
        <v>0</v>
      </c>
      <c r="DB67" s="562">
        <f t="shared" si="139"/>
        <v>0</v>
      </c>
      <c r="DC67" s="134"/>
      <c r="DD67" s="135"/>
      <c r="DE67" s="135"/>
      <c r="DF67" s="14">
        <f t="shared" si="115"/>
        <v>0</v>
      </c>
      <c r="DG67" s="14">
        <f t="shared" si="244"/>
        <v>0</v>
      </c>
      <c r="DH67" s="14">
        <f t="shared" si="29"/>
        <v>0.16</v>
      </c>
      <c r="DI67" s="47">
        <f t="shared" si="116"/>
        <v>0</v>
      </c>
      <c r="DJ67" s="35">
        <f t="shared" si="30"/>
        <v>2.8800000000000003</v>
      </c>
      <c r="DK67" s="159">
        <f t="shared" si="245"/>
        <v>0</v>
      </c>
      <c r="DL67" s="142"/>
      <c r="DM67" s="14">
        <f t="shared" si="31"/>
        <v>46</v>
      </c>
      <c r="DN67" s="482">
        <f t="shared" si="32"/>
        <v>0</v>
      </c>
      <c r="DO67" s="470">
        <f t="shared" si="178"/>
        <v>0</v>
      </c>
      <c r="DP67" s="51">
        <f t="shared" si="33"/>
        <v>618</v>
      </c>
      <c r="DQ67" s="103">
        <f t="shared" si="299"/>
        <v>0</v>
      </c>
      <c r="DR67" s="46">
        <f t="shared" si="150"/>
        <v>618</v>
      </c>
      <c r="DS67" s="50">
        <f t="shared" si="34"/>
        <v>79</v>
      </c>
      <c r="DT67" s="103">
        <f t="shared" si="300"/>
        <v>0</v>
      </c>
      <c r="DU67" s="46">
        <f t="shared" si="107"/>
        <v>79</v>
      </c>
    </row>
    <row r="68" spans="1:126" ht="17.25" thickBot="1" x14ac:dyDescent="0.3">
      <c r="B68" s="119">
        <f t="shared" si="281"/>
        <v>9</v>
      </c>
      <c r="C68" s="825">
        <f t="shared" si="282"/>
        <v>8</v>
      </c>
      <c r="D68" s="203"/>
      <c r="E68" s="818">
        <f t="shared" si="103"/>
        <v>171956</v>
      </c>
      <c r="F68" s="450">
        <f t="shared" si="0"/>
        <v>171956</v>
      </c>
      <c r="G68" s="204"/>
      <c r="H68" s="205"/>
      <c r="I68" s="205"/>
      <c r="J68" s="13">
        <f t="shared" si="108"/>
        <v>0</v>
      </c>
      <c r="K68" s="13">
        <f t="shared" si="35"/>
        <v>4875</v>
      </c>
      <c r="L68" s="13">
        <f t="shared" si="1"/>
        <v>0.16</v>
      </c>
      <c r="M68" s="230">
        <f t="shared" si="65"/>
        <v>0</v>
      </c>
      <c r="N68" s="161">
        <f t="shared" si="36"/>
        <v>2.8800000000000003</v>
      </c>
      <c r="O68" s="157">
        <f t="shared" si="142"/>
        <v>2.7568695534154077</v>
      </c>
      <c r="P68" s="237"/>
      <c r="Q68" s="13">
        <f t="shared" si="3"/>
        <v>46</v>
      </c>
      <c r="R68" s="482">
        <f t="shared" si="123"/>
        <v>0</v>
      </c>
      <c r="S68" s="641">
        <f t="shared" si="37"/>
        <v>328.79467076367098</v>
      </c>
      <c r="T68" s="50">
        <f t="shared" si="5"/>
        <v>618</v>
      </c>
      <c r="U68" s="202">
        <f t="shared" si="283"/>
        <v>0</v>
      </c>
      <c r="V68" s="62">
        <f t="shared" si="38"/>
        <v>618</v>
      </c>
      <c r="W68" s="50">
        <f t="shared" si="6"/>
        <v>79</v>
      </c>
      <c r="X68" s="202">
        <f t="shared" si="284"/>
        <v>0</v>
      </c>
      <c r="Y68" s="62">
        <f t="shared" si="39"/>
        <v>79</v>
      </c>
      <c r="Z68" s="487"/>
      <c r="AA68" s="119">
        <f t="shared" si="285"/>
        <v>9</v>
      </c>
      <c r="AB68" s="825">
        <f t="shared" si="286"/>
        <v>8</v>
      </c>
      <c r="AC68" s="203"/>
      <c r="AD68" s="818">
        <f t="shared" si="143"/>
        <v>0</v>
      </c>
      <c r="AE68" s="450">
        <f t="shared" si="127"/>
        <v>0</v>
      </c>
      <c r="AF68" s="204"/>
      <c r="AG68" s="205"/>
      <c r="AH68" s="205"/>
      <c r="AI68" s="13">
        <f t="shared" si="109"/>
        <v>0</v>
      </c>
      <c r="AJ68" s="13">
        <f t="shared" si="239"/>
        <v>0</v>
      </c>
      <c r="AK68" s="13">
        <f t="shared" si="8"/>
        <v>0.16</v>
      </c>
      <c r="AL68" s="230">
        <f t="shared" si="110"/>
        <v>0</v>
      </c>
      <c r="AM68" s="161">
        <f t="shared" si="9"/>
        <v>2.8800000000000003</v>
      </c>
      <c r="AN68" s="157">
        <f t="shared" si="240"/>
        <v>0</v>
      </c>
      <c r="AO68" s="237"/>
      <c r="AP68" s="13">
        <f t="shared" si="10"/>
        <v>46</v>
      </c>
      <c r="AQ68" s="482">
        <f t="shared" si="11"/>
        <v>0</v>
      </c>
      <c r="AR68" s="641">
        <f t="shared" si="175"/>
        <v>0</v>
      </c>
      <c r="AS68" s="50">
        <f t="shared" si="12"/>
        <v>618</v>
      </c>
      <c r="AT68" s="202">
        <f t="shared" si="287"/>
        <v>0</v>
      </c>
      <c r="AU68" s="62">
        <f t="shared" si="144"/>
        <v>618</v>
      </c>
      <c r="AV68" s="50">
        <f t="shared" si="13"/>
        <v>79</v>
      </c>
      <c r="AW68" s="202">
        <f t="shared" si="288"/>
        <v>0</v>
      </c>
      <c r="AX68" s="62">
        <f t="shared" si="104"/>
        <v>79</v>
      </c>
      <c r="AZ68" s="119">
        <f t="shared" si="289"/>
        <v>9</v>
      </c>
      <c r="BA68" s="825">
        <f t="shared" si="290"/>
        <v>8</v>
      </c>
      <c r="BB68" s="203"/>
      <c r="BC68" s="818">
        <f t="shared" si="145"/>
        <v>116143</v>
      </c>
      <c r="BD68" s="450">
        <f t="shared" si="131"/>
        <v>116143</v>
      </c>
      <c r="BE68" s="204"/>
      <c r="BF68" s="205"/>
      <c r="BG68" s="205"/>
      <c r="BH68" s="13">
        <f t="shared" si="111"/>
        <v>0</v>
      </c>
      <c r="BI68" s="13">
        <f t="shared" si="241"/>
        <v>3926</v>
      </c>
      <c r="BJ68" s="13">
        <f t="shared" si="15"/>
        <v>0.16</v>
      </c>
      <c r="BK68" s="230">
        <f t="shared" si="112"/>
        <v>0</v>
      </c>
      <c r="BL68" s="161">
        <f t="shared" si="16"/>
        <v>2.8800000000000003</v>
      </c>
      <c r="BM68" s="156">
        <f t="shared" si="89"/>
        <v>3.2697865394065078</v>
      </c>
      <c r="BN68" s="237"/>
      <c r="BO68" s="13">
        <f t="shared" si="17"/>
        <v>46</v>
      </c>
      <c r="BP68" s="482">
        <f t="shared" si="18"/>
        <v>0</v>
      </c>
      <c r="BQ68" s="641">
        <f t="shared" si="176"/>
        <v>314.58428346602915</v>
      </c>
      <c r="BR68" s="50">
        <f t="shared" si="19"/>
        <v>618</v>
      </c>
      <c r="BS68" s="202">
        <f t="shared" si="291"/>
        <v>0</v>
      </c>
      <c r="BT68" s="62">
        <f t="shared" si="146"/>
        <v>618</v>
      </c>
      <c r="BU68" s="50">
        <f t="shared" si="20"/>
        <v>79</v>
      </c>
      <c r="BV68" s="202">
        <f t="shared" si="292"/>
        <v>0</v>
      </c>
      <c r="BW68" s="62">
        <f t="shared" si="105"/>
        <v>79</v>
      </c>
      <c r="BY68" s="119">
        <f t="shared" si="293"/>
        <v>9</v>
      </c>
      <c r="BZ68" s="825">
        <f t="shared" si="294"/>
        <v>8</v>
      </c>
      <c r="CA68" s="203"/>
      <c r="CB68" s="818">
        <f t="shared" si="147"/>
        <v>0</v>
      </c>
      <c r="CC68" s="450">
        <f t="shared" si="135"/>
        <v>0</v>
      </c>
      <c r="CD68" s="204"/>
      <c r="CE68" s="205"/>
      <c r="CF68" s="205"/>
      <c r="CG68" s="13">
        <f t="shared" si="113"/>
        <v>0</v>
      </c>
      <c r="CH68" s="13">
        <f t="shared" si="242"/>
        <v>0</v>
      </c>
      <c r="CI68" s="13">
        <f t="shared" si="22"/>
        <v>0.16</v>
      </c>
      <c r="CJ68" s="230">
        <f t="shared" si="114"/>
        <v>0</v>
      </c>
      <c r="CK68" s="161">
        <f t="shared" si="23"/>
        <v>2.8800000000000003</v>
      </c>
      <c r="CL68" s="157">
        <f t="shared" si="243"/>
        <v>0</v>
      </c>
      <c r="CM68" s="237"/>
      <c r="CN68" s="13">
        <f t="shared" si="24"/>
        <v>46</v>
      </c>
      <c r="CO68" s="482">
        <f t="shared" si="25"/>
        <v>0</v>
      </c>
      <c r="CP68" s="641">
        <f t="shared" si="177"/>
        <v>0</v>
      </c>
      <c r="CQ68" s="50">
        <f t="shared" si="26"/>
        <v>618</v>
      </c>
      <c r="CR68" s="202">
        <f t="shared" si="295"/>
        <v>0</v>
      </c>
      <c r="CS68" s="62">
        <f t="shared" si="148"/>
        <v>618</v>
      </c>
      <c r="CT68" s="50">
        <f t="shared" si="27"/>
        <v>79</v>
      </c>
      <c r="CU68" s="202">
        <f t="shared" si="296"/>
        <v>0</v>
      </c>
      <c r="CV68" s="62">
        <f t="shared" si="106"/>
        <v>79</v>
      </c>
      <c r="CX68" s="119">
        <f t="shared" si="297"/>
        <v>9</v>
      </c>
      <c r="CY68" s="825">
        <f t="shared" si="298"/>
        <v>8</v>
      </c>
      <c r="CZ68" s="203"/>
      <c r="DA68" s="818">
        <f t="shared" si="149"/>
        <v>0</v>
      </c>
      <c r="DB68" s="450">
        <f t="shared" si="139"/>
        <v>0</v>
      </c>
      <c r="DC68" s="204"/>
      <c r="DD68" s="205"/>
      <c r="DE68" s="205"/>
      <c r="DF68" s="13">
        <f t="shared" si="115"/>
        <v>0</v>
      </c>
      <c r="DG68" s="13">
        <f t="shared" si="244"/>
        <v>0</v>
      </c>
      <c r="DH68" s="13">
        <f t="shared" si="29"/>
        <v>0.16</v>
      </c>
      <c r="DI68" s="230">
        <f t="shared" si="116"/>
        <v>0</v>
      </c>
      <c r="DJ68" s="161">
        <f t="shared" si="30"/>
        <v>2.8800000000000003</v>
      </c>
      <c r="DK68" s="157">
        <f t="shared" si="245"/>
        <v>0</v>
      </c>
      <c r="DL68" s="237"/>
      <c r="DM68" s="13">
        <f t="shared" si="31"/>
        <v>46</v>
      </c>
      <c r="DN68" s="482">
        <f t="shared" si="32"/>
        <v>0</v>
      </c>
      <c r="DO68" s="641">
        <f t="shared" si="178"/>
        <v>0</v>
      </c>
      <c r="DP68" s="50">
        <f t="shared" si="33"/>
        <v>618</v>
      </c>
      <c r="DQ68" s="202">
        <f t="shared" si="299"/>
        <v>0</v>
      </c>
      <c r="DR68" s="62">
        <f t="shared" si="150"/>
        <v>618</v>
      </c>
      <c r="DS68" s="50">
        <f t="shared" si="34"/>
        <v>79</v>
      </c>
      <c r="DT68" s="202">
        <f t="shared" si="300"/>
        <v>0</v>
      </c>
      <c r="DU68" s="62">
        <f t="shared" si="107"/>
        <v>79</v>
      </c>
    </row>
    <row r="69" spans="1:126" x14ac:dyDescent="0.25">
      <c r="B69" s="118">
        <v>10</v>
      </c>
      <c r="C69" s="575">
        <v>9</v>
      </c>
      <c r="D69" s="129"/>
      <c r="E69" s="400">
        <f t="shared" si="103"/>
        <v>171956</v>
      </c>
      <c r="F69" s="561">
        <f t="shared" si="0"/>
        <v>171956</v>
      </c>
      <c r="G69" s="130"/>
      <c r="H69" s="131"/>
      <c r="I69" s="131"/>
      <c r="J69" s="11">
        <f t="shared" si="108"/>
        <v>0</v>
      </c>
      <c r="K69" s="11">
        <f t="shared" si="35"/>
        <v>4875</v>
      </c>
      <c r="L69" s="11">
        <f t="shared" si="1"/>
        <v>0.16</v>
      </c>
      <c r="M69" s="42">
        <f t="shared" si="65"/>
        <v>0</v>
      </c>
      <c r="N69" s="21">
        <f t="shared" si="36"/>
        <v>3.0400000000000005</v>
      </c>
      <c r="O69" s="165">
        <f t="shared" si="142"/>
        <v>2.7568695534154077</v>
      </c>
      <c r="P69" s="158"/>
      <c r="Q69" s="11">
        <f t="shared" si="3"/>
        <v>49</v>
      </c>
      <c r="R69" s="441">
        <f t="shared" si="123"/>
        <v>0</v>
      </c>
      <c r="S69" s="469">
        <f t="shared" si="37"/>
        <v>328.79467076367098</v>
      </c>
      <c r="T69" s="58">
        <f t="shared" si="5"/>
        <v>712</v>
      </c>
      <c r="U69" s="131"/>
      <c r="V69" s="41">
        <f t="shared" si="38"/>
        <v>712</v>
      </c>
      <c r="W69" s="18">
        <f t="shared" si="6"/>
        <v>79</v>
      </c>
      <c r="X69" s="131"/>
      <c r="Y69" s="41">
        <f t="shared" si="39"/>
        <v>79</v>
      </c>
      <c r="Z69" s="487"/>
      <c r="AA69" s="118">
        <v>10</v>
      </c>
      <c r="AB69" s="575">
        <v>9</v>
      </c>
      <c r="AC69" s="129"/>
      <c r="AD69" s="400">
        <f t="shared" si="143"/>
        <v>0</v>
      </c>
      <c r="AE69" s="561">
        <f t="shared" si="127"/>
        <v>0</v>
      </c>
      <c r="AF69" s="130"/>
      <c r="AG69" s="131"/>
      <c r="AH69" s="131"/>
      <c r="AI69" s="11">
        <f t="shared" si="109"/>
        <v>0</v>
      </c>
      <c r="AJ69" s="11">
        <f t="shared" si="239"/>
        <v>0</v>
      </c>
      <c r="AK69" s="11">
        <f t="shared" si="8"/>
        <v>0.16</v>
      </c>
      <c r="AL69" s="42">
        <f t="shared" si="110"/>
        <v>0</v>
      </c>
      <c r="AM69" s="21">
        <f t="shared" si="9"/>
        <v>3.0400000000000005</v>
      </c>
      <c r="AN69" s="165">
        <f t="shared" si="240"/>
        <v>0</v>
      </c>
      <c r="AO69" s="158"/>
      <c r="AP69" s="11">
        <f t="shared" si="10"/>
        <v>49</v>
      </c>
      <c r="AQ69" s="441">
        <f t="shared" si="11"/>
        <v>0</v>
      </c>
      <c r="AR69" s="469">
        <f t="shared" si="175"/>
        <v>0</v>
      </c>
      <c r="AS69" s="58">
        <f t="shared" si="12"/>
        <v>712</v>
      </c>
      <c r="AT69" s="131"/>
      <c r="AU69" s="41">
        <f t="shared" si="144"/>
        <v>712</v>
      </c>
      <c r="AV69" s="18">
        <f t="shared" si="13"/>
        <v>79</v>
      </c>
      <c r="AW69" s="131"/>
      <c r="AX69" s="41">
        <f t="shared" si="104"/>
        <v>79</v>
      </c>
      <c r="AZ69" s="118">
        <v>10</v>
      </c>
      <c r="BA69" s="575">
        <v>9</v>
      </c>
      <c r="BB69" s="129"/>
      <c r="BC69" s="400">
        <f t="shared" si="145"/>
        <v>116143</v>
      </c>
      <c r="BD69" s="561">
        <f t="shared" si="131"/>
        <v>116143</v>
      </c>
      <c r="BE69" s="130"/>
      <c r="BF69" s="131"/>
      <c r="BG69" s="131"/>
      <c r="BH69" s="11">
        <f t="shared" si="111"/>
        <v>0</v>
      </c>
      <c r="BI69" s="11">
        <f t="shared" si="241"/>
        <v>3926</v>
      </c>
      <c r="BJ69" s="11">
        <f t="shared" si="15"/>
        <v>0.16</v>
      </c>
      <c r="BK69" s="42">
        <f t="shared" si="112"/>
        <v>0</v>
      </c>
      <c r="BL69" s="21">
        <f t="shared" si="16"/>
        <v>3.0400000000000005</v>
      </c>
      <c r="BM69" s="210">
        <f t="shared" si="89"/>
        <v>3.2697865394065078</v>
      </c>
      <c r="BN69" s="158"/>
      <c r="BO69" s="11">
        <f t="shared" si="17"/>
        <v>49</v>
      </c>
      <c r="BP69" s="441">
        <f t="shared" si="18"/>
        <v>0</v>
      </c>
      <c r="BQ69" s="469">
        <f t="shared" si="176"/>
        <v>314.58428346602915</v>
      </c>
      <c r="BR69" s="58">
        <f t="shared" si="19"/>
        <v>712</v>
      </c>
      <c r="BS69" s="131"/>
      <c r="BT69" s="41">
        <f t="shared" si="146"/>
        <v>712</v>
      </c>
      <c r="BU69" s="18">
        <f t="shared" si="20"/>
        <v>79</v>
      </c>
      <c r="BV69" s="131"/>
      <c r="BW69" s="41">
        <f t="shared" si="105"/>
        <v>79</v>
      </c>
      <c r="BY69" s="118">
        <v>10</v>
      </c>
      <c r="BZ69" s="575">
        <v>9</v>
      </c>
      <c r="CA69" s="129"/>
      <c r="CB69" s="400">
        <f t="shared" si="147"/>
        <v>0</v>
      </c>
      <c r="CC69" s="561">
        <f t="shared" si="135"/>
        <v>0</v>
      </c>
      <c r="CD69" s="130"/>
      <c r="CE69" s="131"/>
      <c r="CF69" s="131"/>
      <c r="CG69" s="11">
        <f t="shared" si="113"/>
        <v>0</v>
      </c>
      <c r="CH69" s="11">
        <f t="shared" si="242"/>
        <v>0</v>
      </c>
      <c r="CI69" s="11">
        <f t="shared" si="22"/>
        <v>0.16</v>
      </c>
      <c r="CJ69" s="42">
        <f t="shared" si="114"/>
        <v>0</v>
      </c>
      <c r="CK69" s="21">
        <f t="shared" si="23"/>
        <v>3.0400000000000005</v>
      </c>
      <c r="CL69" s="165">
        <f t="shared" si="243"/>
        <v>0</v>
      </c>
      <c r="CM69" s="158"/>
      <c r="CN69" s="11">
        <f t="shared" si="24"/>
        <v>49</v>
      </c>
      <c r="CO69" s="441">
        <f t="shared" si="25"/>
        <v>0</v>
      </c>
      <c r="CP69" s="469">
        <f t="shared" si="177"/>
        <v>0</v>
      </c>
      <c r="CQ69" s="58">
        <f t="shared" si="26"/>
        <v>712</v>
      </c>
      <c r="CR69" s="131"/>
      <c r="CS69" s="41">
        <f t="shared" si="148"/>
        <v>712</v>
      </c>
      <c r="CT69" s="18">
        <f t="shared" si="27"/>
        <v>79</v>
      </c>
      <c r="CU69" s="131"/>
      <c r="CV69" s="41">
        <f t="shared" si="106"/>
        <v>79</v>
      </c>
      <c r="CX69" s="118">
        <v>10</v>
      </c>
      <c r="CY69" s="575">
        <v>9</v>
      </c>
      <c r="CZ69" s="129"/>
      <c r="DA69" s="400">
        <f t="shared" si="149"/>
        <v>0</v>
      </c>
      <c r="DB69" s="561">
        <f t="shared" si="139"/>
        <v>0</v>
      </c>
      <c r="DC69" s="130"/>
      <c r="DD69" s="131"/>
      <c r="DE69" s="131"/>
      <c r="DF69" s="11">
        <f t="shared" si="115"/>
        <v>0</v>
      </c>
      <c r="DG69" s="11">
        <f t="shared" si="244"/>
        <v>0</v>
      </c>
      <c r="DH69" s="11">
        <f t="shared" si="29"/>
        <v>0.16</v>
      </c>
      <c r="DI69" s="42">
        <f t="shared" si="116"/>
        <v>0</v>
      </c>
      <c r="DJ69" s="21">
        <f t="shared" si="30"/>
        <v>3.0400000000000005</v>
      </c>
      <c r="DK69" s="165">
        <f t="shared" si="245"/>
        <v>0</v>
      </c>
      <c r="DL69" s="158"/>
      <c r="DM69" s="11">
        <f t="shared" si="31"/>
        <v>49</v>
      </c>
      <c r="DN69" s="441">
        <f t="shared" si="32"/>
        <v>0</v>
      </c>
      <c r="DO69" s="469">
        <f t="shared" si="178"/>
        <v>0</v>
      </c>
      <c r="DP69" s="58">
        <f t="shared" si="33"/>
        <v>712</v>
      </c>
      <c r="DQ69" s="131"/>
      <c r="DR69" s="41">
        <f t="shared" si="150"/>
        <v>712</v>
      </c>
      <c r="DS69" s="18">
        <f t="shared" si="34"/>
        <v>79</v>
      </c>
      <c r="DT69" s="131"/>
      <c r="DU69" s="41">
        <f t="shared" si="107"/>
        <v>79</v>
      </c>
    </row>
    <row r="70" spans="1:126" x14ac:dyDescent="0.25">
      <c r="B70" s="120">
        <f>B69+1</f>
        <v>11</v>
      </c>
      <c r="C70" s="570">
        <f>C69</f>
        <v>9</v>
      </c>
      <c r="D70" s="133"/>
      <c r="E70" s="408">
        <f t="shared" si="103"/>
        <v>171956</v>
      </c>
      <c r="F70" s="562">
        <f t="shared" ref="F70:F133" si="301">IFERROR(E70-J70,0)</f>
        <v>171956</v>
      </c>
      <c r="G70" s="134"/>
      <c r="H70" s="135"/>
      <c r="I70" s="135"/>
      <c r="J70" s="14">
        <f t="shared" si="108"/>
        <v>0</v>
      </c>
      <c r="K70" s="14">
        <f t="shared" si="35"/>
        <v>4875</v>
      </c>
      <c r="L70" s="14">
        <f t="shared" ref="L70:L133" si="302">VLOOKUP($C70,LOHMANN,4,FALSE)</f>
        <v>0.16</v>
      </c>
      <c r="M70" s="47">
        <f t="shared" si="65"/>
        <v>0</v>
      </c>
      <c r="N70" s="35">
        <f t="shared" ref="N70:N133" si="303">VLOOKUP($C70,LOHMANN,5,FALSE)</f>
        <v>3.0400000000000005</v>
      </c>
      <c r="O70" s="159">
        <f t="shared" si="142"/>
        <v>2.7568695534154077</v>
      </c>
      <c r="P70" s="145"/>
      <c r="Q70" s="14">
        <f t="shared" ref="Q70:Q133" si="304">VLOOKUP($C70,LOHMANN,6,FALSE)</f>
        <v>49</v>
      </c>
      <c r="R70" s="480">
        <f t="shared" ref="R70:R133" si="305">IFERROR((P70/E70)*1000,0)</f>
        <v>0</v>
      </c>
      <c r="S70" s="475">
        <f t="shared" si="37"/>
        <v>328.79467076367098</v>
      </c>
      <c r="T70" s="51">
        <f t="shared" ref="T70:T133" si="306">VLOOKUP($C70,LOHMANN,2,FALSE)</f>
        <v>712</v>
      </c>
      <c r="U70" s="103">
        <f>U69</f>
        <v>0</v>
      </c>
      <c r="V70" s="46">
        <f t="shared" si="38"/>
        <v>712</v>
      </c>
      <c r="W70" s="50">
        <f t="shared" ref="W70:W133" si="307">VLOOKUP(C70,LOHMANN,3,FALSE)</f>
        <v>79</v>
      </c>
      <c r="X70" s="103">
        <f>X69</f>
        <v>0</v>
      </c>
      <c r="Y70" s="46">
        <f t="shared" si="39"/>
        <v>79</v>
      </c>
      <c r="Z70" s="487"/>
      <c r="AA70" s="120">
        <f>AA69+1</f>
        <v>11</v>
      </c>
      <c r="AB70" s="570">
        <f>AB69</f>
        <v>9</v>
      </c>
      <c r="AC70" s="133"/>
      <c r="AD70" s="408">
        <f t="shared" si="143"/>
        <v>0</v>
      </c>
      <c r="AE70" s="562">
        <f t="shared" si="127"/>
        <v>0</v>
      </c>
      <c r="AF70" s="134"/>
      <c r="AG70" s="135"/>
      <c r="AH70" s="135"/>
      <c r="AI70" s="14">
        <f t="shared" si="109"/>
        <v>0</v>
      </c>
      <c r="AJ70" s="14">
        <f t="shared" si="239"/>
        <v>0</v>
      </c>
      <c r="AK70" s="14">
        <f t="shared" ref="AK70:AK133" si="308">VLOOKUP($C70,LOHMANN,4,FALSE)</f>
        <v>0.16</v>
      </c>
      <c r="AL70" s="47">
        <f t="shared" si="110"/>
        <v>0</v>
      </c>
      <c r="AM70" s="35">
        <f t="shared" ref="AM70:AM133" si="309">VLOOKUP($C70,LOHMANN,5,FALSE)</f>
        <v>3.0400000000000005</v>
      </c>
      <c r="AN70" s="159">
        <f t="shared" si="240"/>
        <v>0</v>
      </c>
      <c r="AO70" s="145"/>
      <c r="AP70" s="14">
        <f t="shared" ref="AP70:AP133" si="310">VLOOKUP($C70,LOHMANN,6,FALSE)</f>
        <v>49</v>
      </c>
      <c r="AQ70" s="480">
        <f t="shared" ref="AQ70:AQ133" si="311">IFERROR((AO70/AD70)*1000,0)</f>
        <v>0</v>
      </c>
      <c r="AR70" s="475">
        <f t="shared" si="175"/>
        <v>0</v>
      </c>
      <c r="AS70" s="51">
        <f t="shared" ref="AS70:AS133" si="312">VLOOKUP($C70,LOHMANN,2,FALSE)</f>
        <v>712</v>
      </c>
      <c r="AT70" s="103">
        <f>AT69</f>
        <v>0</v>
      </c>
      <c r="AU70" s="46">
        <f t="shared" si="144"/>
        <v>712</v>
      </c>
      <c r="AV70" s="50">
        <f t="shared" ref="AV70:AV133" si="313">VLOOKUP(AB70,LOHMANN,3,FALSE)</f>
        <v>79</v>
      </c>
      <c r="AW70" s="103">
        <f>AW69</f>
        <v>0</v>
      </c>
      <c r="AX70" s="46">
        <f t="shared" si="104"/>
        <v>79</v>
      </c>
      <c r="AZ70" s="120">
        <f>AZ69+1</f>
        <v>11</v>
      </c>
      <c r="BA70" s="570">
        <f>BA69</f>
        <v>9</v>
      </c>
      <c r="BB70" s="133"/>
      <c r="BC70" s="408">
        <f t="shared" si="145"/>
        <v>116143</v>
      </c>
      <c r="BD70" s="562">
        <f t="shared" si="131"/>
        <v>116143</v>
      </c>
      <c r="BE70" s="134"/>
      <c r="BF70" s="135"/>
      <c r="BG70" s="135"/>
      <c r="BH70" s="14">
        <f t="shared" si="111"/>
        <v>0</v>
      </c>
      <c r="BI70" s="14">
        <f t="shared" si="241"/>
        <v>3926</v>
      </c>
      <c r="BJ70" s="14">
        <f t="shared" ref="BJ70:BJ133" si="314">VLOOKUP($C70,LOHMANN,4,FALSE)</f>
        <v>0.16</v>
      </c>
      <c r="BK70" s="47">
        <f t="shared" si="112"/>
        <v>0</v>
      </c>
      <c r="BL70" s="35">
        <f t="shared" ref="BL70:BL133" si="315">VLOOKUP($C70,LOHMANN,5,FALSE)</f>
        <v>3.0400000000000005</v>
      </c>
      <c r="BM70" s="159">
        <f t="shared" si="89"/>
        <v>3.2697865394065078</v>
      </c>
      <c r="BN70" s="145"/>
      <c r="BO70" s="14">
        <f t="shared" ref="BO70:BO133" si="316">VLOOKUP($C70,LOHMANN,6,FALSE)</f>
        <v>49</v>
      </c>
      <c r="BP70" s="480">
        <f t="shared" ref="BP70:BP133" si="317">IFERROR((BN70/BC70)*1000,0)</f>
        <v>0</v>
      </c>
      <c r="BQ70" s="475">
        <f t="shared" si="176"/>
        <v>314.58428346602915</v>
      </c>
      <c r="BR70" s="51">
        <f t="shared" ref="BR70:BR133" si="318">VLOOKUP($C70,LOHMANN,2,FALSE)</f>
        <v>712</v>
      </c>
      <c r="BS70" s="103">
        <f>BS69</f>
        <v>0</v>
      </c>
      <c r="BT70" s="46">
        <f t="shared" si="146"/>
        <v>712</v>
      </c>
      <c r="BU70" s="50">
        <f t="shared" ref="BU70:BU133" si="319">VLOOKUP(BA70,LOHMANN,3,FALSE)</f>
        <v>79</v>
      </c>
      <c r="BV70" s="103">
        <f>BV69</f>
        <v>0</v>
      </c>
      <c r="BW70" s="46">
        <f t="shared" si="105"/>
        <v>79</v>
      </c>
      <c r="BY70" s="120">
        <f>BY69+1</f>
        <v>11</v>
      </c>
      <c r="BZ70" s="570">
        <f>BZ69</f>
        <v>9</v>
      </c>
      <c r="CA70" s="133"/>
      <c r="CB70" s="408">
        <f t="shared" si="147"/>
        <v>0</v>
      </c>
      <c r="CC70" s="562">
        <f t="shared" si="135"/>
        <v>0</v>
      </c>
      <c r="CD70" s="134"/>
      <c r="CE70" s="135"/>
      <c r="CF70" s="135"/>
      <c r="CG70" s="14">
        <f t="shared" si="113"/>
        <v>0</v>
      </c>
      <c r="CH70" s="14">
        <f t="shared" si="242"/>
        <v>0</v>
      </c>
      <c r="CI70" s="14">
        <f t="shared" ref="CI70:CI133" si="320">VLOOKUP($C70,LOHMANN,4,FALSE)</f>
        <v>0.16</v>
      </c>
      <c r="CJ70" s="47">
        <f t="shared" si="114"/>
        <v>0</v>
      </c>
      <c r="CK70" s="35">
        <f t="shared" ref="CK70:CK133" si="321">VLOOKUP($C70,LOHMANN,5,FALSE)</f>
        <v>3.0400000000000005</v>
      </c>
      <c r="CL70" s="159">
        <f t="shared" si="243"/>
        <v>0</v>
      </c>
      <c r="CM70" s="145"/>
      <c r="CN70" s="14">
        <f t="shared" ref="CN70:CN133" si="322">VLOOKUP($C70,LOHMANN,6,FALSE)</f>
        <v>49</v>
      </c>
      <c r="CO70" s="480">
        <f t="shared" ref="CO70:CO133" si="323">IFERROR((CM70/CB70)*1000,0)</f>
        <v>0</v>
      </c>
      <c r="CP70" s="475">
        <f t="shared" si="177"/>
        <v>0</v>
      </c>
      <c r="CQ70" s="51">
        <f t="shared" ref="CQ70:CQ133" si="324">VLOOKUP($C70,LOHMANN,2,FALSE)</f>
        <v>712</v>
      </c>
      <c r="CR70" s="103">
        <f>CR69</f>
        <v>0</v>
      </c>
      <c r="CS70" s="46">
        <f t="shared" si="148"/>
        <v>712</v>
      </c>
      <c r="CT70" s="50">
        <f t="shared" ref="CT70:CT133" si="325">VLOOKUP(BZ70,LOHMANN,3,FALSE)</f>
        <v>79</v>
      </c>
      <c r="CU70" s="103">
        <f>CU69</f>
        <v>0</v>
      </c>
      <c r="CV70" s="46">
        <f t="shared" si="106"/>
        <v>79</v>
      </c>
      <c r="CX70" s="120">
        <f>CX69+1</f>
        <v>11</v>
      </c>
      <c r="CY70" s="570">
        <f>CY69</f>
        <v>9</v>
      </c>
      <c r="CZ70" s="133"/>
      <c r="DA70" s="408">
        <f t="shared" si="149"/>
        <v>0</v>
      </c>
      <c r="DB70" s="562">
        <f t="shared" si="139"/>
        <v>0</v>
      </c>
      <c r="DC70" s="134"/>
      <c r="DD70" s="135"/>
      <c r="DE70" s="135"/>
      <c r="DF70" s="14">
        <f t="shared" si="115"/>
        <v>0</v>
      </c>
      <c r="DG70" s="14">
        <f t="shared" si="244"/>
        <v>0</v>
      </c>
      <c r="DH70" s="14">
        <f t="shared" ref="DH70:DH133" si="326">VLOOKUP($C70,LOHMANN,4,FALSE)</f>
        <v>0.16</v>
      </c>
      <c r="DI70" s="47">
        <f t="shared" si="116"/>
        <v>0</v>
      </c>
      <c r="DJ70" s="35">
        <f t="shared" ref="DJ70:DJ133" si="327">VLOOKUP($C70,LOHMANN,5,FALSE)</f>
        <v>3.0400000000000005</v>
      </c>
      <c r="DK70" s="159">
        <f t="shared" si="245"/>
        <v>0</v>
      </c>
      <c r="DL70" s="145"/>
      <c r="DM70" s="14">
        <f t="shared" ref="DM70:DM133" si="328">VLOOKUP($C70,LOHMANN,6,FALSE)</f>
        <v>49</v>
      </c>
      <c r="DN70" s="480">
        <f t="shared" ref="DN70:DN133" si="329">IFERROR((DL70/DA70)*1000,0)</f>
        <v>0</v>
      </c>
      <c r="DO70" s="475">
        <f t="shared" si="178"/>
        <v>0</v>
      </c>
      <c r="DP70" s="51">
        <f t="shared" ref="DP70:DP133" si="330">VLOOKUP($C70,LOHMANN,2,FALSE)</f>
        <v>712</v>
      </c>
      <c r="DQ70" s="103">
        <f>DQ69</f>
        <v>0</v>
      </c>
      <c r="DR70" s="46">
        <f t="shared" si="150"/>
        <v>712</v>
      </c>
      <c r="DS70" s="50">
        <f t="shared" ref="DS70:DS133" si="331">VLOOKUP(CY70,LOHMANN,3,FALSE)</f>
        <v>79</v>
      </c>
      <c r="DT70" s="103">
        <f>DT69</f>
        <v>0</v>
      </c>
      <c r="DU70" s="46">
        <f t="shared" si="107"/>
        <v>79</v>
      </c>
    </row>
    <row r="71" spans="1:126" x14ac:dyDescent="0.25">
      <c r="B71" s="120">
        <f t="shared" ref="B71:B75" si="332">B70+1</f>
        <v>12</v>
      </c>
      <c r="C71" s="570">
        <f t="shared" ref="C71:C75" si="333">C70</f>
        <v>9</v>
      </c>
      <c r="D71" s="133"/>
      <c r="E71" s="408">
        <f t="shared" ref="E71:E134" si="334">IFERROR(F70+D71,0)</f>
        <v>171956</v>
      </c>
      <c r="F71" s="562">
        <f t="shared" si="301"/>
        <v>171956</v>
      </c>
      <c r="G71" s="134"/>
      <c r="H71" s="135"/>
      <c r="I71" s="135"/>
      <c r="J71" s="14">
        <f t="shared" si="108"/>
        <v>0</v>
      </c>
      <c r="K71" s="14">
        <f t="shared" ref="K71:K134" si="335">K70+J71</f>
        <v>4875</v>
      </c>
      <c r="L71" s="14">
        <f t="shared" si="302"/>
        <v>0.16</v>
      </c>
      <c r="M71" s="47">
        <f t="shared" si="65"/>
        <v>0</v>
      </c>
      <c r="N71" s="35">
        <f t="shared" si="303"/>
        <v>3.0400000000000005</v>
      </c>
      <c r="O71" s="159">
        <f t="shared" ref="O71:O134" si="336">IFERROR((K71*100)/$D$12,0)</f>
        <v>2.7568695534154077</v>
      </c>
      <c r="P71" s="142"/>
      <c r="Q71" s="14">
        <f t="shared" si="304"/>
        <v>49</v>
      </c>
      <c r="R71" s="482">
        <f t="shared" si="305"/>
        <v>0</v>
      </c>
      <c r="S71" s="470">
        <f t="shared" ref="S71:S134" si="337">S70+R71</f>
        <v>328.79467076367098</v>
      </c>
      <c r="T71" s="51">
        <f t="shared" si="306"/>
        <v>712</v>
      </c>
      <c r="U71" s="103">
        <f t="shared" ref="U71:U75" si="338">U70</f>
        <v>0</v>
      </c>
      <c r="V71" s="46">
        <f t="shared" ref="V71:V134" si="339">T71-U71</f>
        <v>712</v>
      </c>
      <c r="W71" s="51">
        <f t="shared" si="307"/>
        <v>79</v>
      </c>
      <c r="X71" s="103">
        <f t="shared" ref="X71:X75" si="340">X70</f>
        <v>0</v>
      </c>
      <c r="Y71" s="46">
        <f t="shared" ref="Y71:Y134" si="341">W71-X71</f>
        <v>79</v>
      </c>
      <c r="Z71" s="487"/>
      <c r="AA71" s="120">
        <f t="shared" ref="AA71:AA75" si="342">AA70+1</f>
        <v>12</v>
      </c>
      <c r="AB71" s="570">
        <f t="shared" ref="AB71:AB75" si="343">AB70</f>
        <v>9</v>
      </c>
      <c r="AC71" s="133"/>
      <c r="AD71" s="408">
        <f t="shared" si="143"/>
        <v>0</v>
      </c>
      <c r="AE71" s="562">
        <f t="shared" si="127"/>
        <v>0</v>
      </c>
      <c r="AF71" s="134"/>
      <c r="AG71" s="135"/>
      <c r="AH71" s="135"/>
      <c r="AI71" s="14">
        <f t="shared" si="109"/>
        <v>0</v>
      </c>
      <c r="AJ71" s="14">
        <f t="shared" si="239"/>
        <v>0</v>
      </c>
      <c r="AK71" s="14">
        <f t="shared" si="308"/>
        <v>0.16</v>
      </c>
      <c r="AL71" s="47">
        <f t="shared" si="110"/>
        <v>0</v>
      </c>
      <c r="AM71" s="35">
        <f t="shared" si="309"/>
        <v>3.0400000000000005</v>
      </c>
      <c r="AN71" s="159">
        <f t="shared" si="240"/>
        <v>0</v>
      </c>
      <c r="AO71" s="142"/>
      <c r="AP71" s="14">
        <f t="shared" si="310"/>
        <v>49</v>
      </c>
      <c r="AQ71" s="482">
        <f t="shared" si="311"/>
        <v>0</v>
      </c>
      <c r="AR71" s="470">
        <f t="shared" si="175"/>
        <v>0</v>
      </c>
      <c r="AS71" s="51">
        <f t="shared" si="312"/>
        <v>712</v>
      </c>
      <c r="AT71" s="103">
        <f t="shared" ref="AT71:AT75" si="344">AT70</f>
        <v>0</v>
      </c>
      <c r="AU71" s="46">
        <f t="shared" si="144"/>
        <v>712</v>
      </c>
      <c r="AV71" s="51">
        <f t="shared" si="313"/>
        <v>79</v>
      </c>
      <c r="AW71" s="103">
        <f t="shared" ref="AW71:AW75" si="345">AW70</f>
        <v>0</v>
      </c>
      <c r="AX71" s="46">
        <f t="shared" si="104"/>
        <v>79</v>
      </c>
      <c r="AZ71" s="120">
        <f t="shared" ref="AZ71:AZ75" si="346">AZ70+1</f>
        <v>12</v>
      </c>
      <c r="BA71" s="570">
        <f t="shared" ref="BA71:BA75" si="347">BA70</f>
        <v>9</v>
      </c>
      <c r="BB71" s="133"/>
      <c r="BC71" s="408">
        <f t="shared" si="145"/>
        <v>116143</v>
      </c>
      <c r="BD71" s="562">
        <f t="shared" si="131"/>
        <v>116143</v>
      </c>
      <c r="BE71" s="134"/>
      <c r="BF71" s="135"/>
      <c r="BG71" s="135"/>
      <c r="BH71" s="14">
        <f t="shared" si="111"/>
        <v>0</v>
      </c>
      <c r="BI71" s="14">
        <f t="shared" si="241"/>
        <v>3926</v>
      </c>
      <c r="BJ71" s="14">
        <f t="shared" si="314"/>
        <v>0.16</v>
      </c>
      <c r="BK71" s="47">
        <f t="shared" si="112"/>
        <v>0</v>
      </c>
      <c r="BL71" s="35">
        <f t="shared" si="315"/>
        <v>3.0400000000000005</v>
      </c>
      <c r="BM71" s="159">
        <f t="shared" si="89"/>
        <v>3.2697865394065078</v>
      </c>
      <c r="BN71" s="142"/>
      <c r="BO71" s="14">
        <f t="shared" si="316"/>
        <v>49</v>
      </c>
      <c r="BP71" s="482">
        <f t="shared" si="317"/>
        <v>0</v>
      </c>
      <c r="BQ71" s="470">
        <f t="shared" si="176"/>
        <v>314.58428346602915</v>
      </c>
      <c r="BR71" s="51">
        <f t="shared" si="318"/>
        <v>712</v>
      </c>
      <c r="BS71" s="103">
        <f t="shared" ref="BS71:BS75" si="348">BS70</f>
        <v>0</v>
      </c>
      <c r="BT71" s="46">
        <f t="shared" si="146"/>
        <v>712</v>
      </c>
      <c r="BU71" s="51">
        <f t="shared" si="319"/>
        <v>79</v>
      </c>
      <c r="BV71" s="103">
        <f t="shared" ref="BV71:BV75" si="349">BV70</f>
        <v>0</v>
      </c>
      <c r="BW71" s="46">
        <f t="shared" si="105"/>
        <v>79</v>
      </c>
      <c r="BY71" s="120">
        <f t="shared" ref="BY71:BY75" si="350">BY70+1</f>
        <v>12</v>
      </c>
      <c r="BZ71" s="570">
        <f t="shared" ref="BZ71:BZ75" si="351">BZ70</f>
        <v>9</v>
      </c>
      <c r="CA71" s="133"/>
      <c r="CB71" s="408">
        <f t="shared" si="147"/>
        <v>0</v>
      </c>
      <c r="CC71" s="562">
        <f t="shared" si="135"/>
        <v>0</v>
      </c>
      <c r="CD71" s="134"/>
      <c r="CE71" s="135"/>
      <c r="CF71" s="135"/>
      <c r="CG71" s="14">
        <f t="shared" si="113"/>
        <v>0</v>
      </c>
      <c r="CH71" s="14">
        <f t="shared" si="242"/>
        <v>0</v>
      </c>
      <c r="CI71" s="14">
        <f t="shared" si="320"/>
        <v>0.16</v>
      </c>
      <c r="CJ71" s="47">
        <f t="shared" si="114"/>
        <v>0</v>
      </c>
      <c r="CK71" s="35">
        <f t="shared" si="321"/>
        <v>3.0400000000000005</v>
      </c>
      <c r="CL71" s="159">
        <f t="shared" si="243"/>
        <v>0</v>
      </c>
      <c r="CM71" s="142"/>
      <c r="CN71" s="14">
        <f t="shared" si="322"/>
        <v>49</v>
      </c>
      <c r="CO71" s="482">
        <f t="shared" si="323"/>
        <v>0</v>
      </c>
      <c r="CP71" s="470">
        <f t="shared" si="177"/>
        <v>0</v>
      </c>
      <c r="CQ71" s="51">
        <f t="shared" si="324"/>
        <v>712</v>
      </c>
      <c r="CR71" s="103">
        <f t="shared" ref="CR71:CR75" si="352">CR70</f>
        <v>0</v>
      </c>
      <c r="CS71" s="46">
        <f t="shared" si="148"/>
        <v>712</v>
      </c>
      <c r="CT71" s="51">
        <f t="shared" si="325"/>
        <v>79</v>
      </c>
      <c r="CU71" s="103">
        <f t="shared" ref="CU71:CU75" si="353">CU70</f>
        <v>0</v>
      </c>
      <c r="CV71" s="46">
        <f t="shared" si="106"/>
        <v>79</v>
      </c>
      <c r="CX71" s="120">
        <f t="shared" ref="CX71:CX75" si="354">CX70+1</f>
        <v>12</v>
      </c>
      <c r="CY71" s="570">
        <f t="shared" ref="CY71:CY75" si="355">CY70</f>
        <v>9</v>
      </c>
      <c r="CZ71" s="133"/>
      <c r="DA71" s="408">
        <f t="shared" si="149"/>
        <v>0</v>
      </c>
      <c r="DB71" s="562">
        <f t="shared" si="139"/>
        <v>0</v>
      </c>
      <c r="DC71" s="134"/>
      <c r="DD71" s="135"/>
      <c r="DE71" s="135"/>
      <c r="DF71" s="14">
        <f t="shared" si="115"/>
        <v>0</v>
      </c>
      <c r="DG71" s="14">
        <f t="shared" si="244"/>
        <v>0</v>
      </c>
      <c r="DH71" s="14">
        <f t="shared" si="326"/>
        <v>0.16</v>
      </c>
      <c r="DI71" s="47">
        <f t="shared" si="116"/>
        <v>0</v>
      </c>
      <c r="DJ71" s="35">
        <f t="shared" si="327"/>
        <v>3.0400000000000005</v>
      </c>
      <c r="DK71" s="159">
        <f t="shared" si="245"/>
        <v>0</v>
      </c>
      <c r="DL71" s="142"/>
      <c r="DM71" s="14">
        <f t="shared" si="328"/>
        <v>49</v>
      </c>
      <c r="DN71" s="482">
        <f t="shared" si="329"/>
        <v>0</v>
      </c>
      <c r="DO71" s="470">
        <f t="shared" si="178"/>
        <v>0</v>
      </c>
      <c r="DP71" s="51">
        <f t="shared" si="330"/>
        <v>712</v>
      </c>
      <c r="DQ71" s="103">
        <f t="shared" ref="DQ71:DQ75" si="356">DQ70</f>
        <v>0</v>
      </c>
      <c r="DR71" s="46">
        <f t="shared" si="150"/>
        <v>712</v>
      </c>
      <c r="DS71" s="51">
        <f t="shared" si="331"/>
        <v>79</v>
      </c>
      <c r="DT71" s="103">
        <f t="shared" ref="DT71:DT75" si="357">DT70</f>
        <v>0</v>
      </c>
      <c r="DU71" s="46">
        <f t="shared" si="107"/>
        <v>79</v>
      </c>
    </row>
    <row r="72" spans="1:126" x14ac:dyDescent="0.25">
      <c r="B72" s="120">
        <f t="shared" si="332"/>
        <v>13</v>
      </c>
      <c r="C72" s="570">
        <f t="shared" si="333"/>
        <v>9</v>
      </c>
      <c r="D72" s="133"/>
      <c r="E72" s="408">
        <f t="shared" si="334"/>
        <v>171956</v>
      </c>
      <c r="F72" s="562">
        <f t="shared" si="301"/>
        <v>171956</v>
      </c>
      <c r="G72" s="134"/>
      <c r="H72" s="135"/>
      <c r="I72" s="135"/>
      <c r="J72" s="14">
        <f t="shared" si="108"/>
        <v>0</v>
      </c>
      <c r="K72" s="14">
        <f t="shared" si="335"/>
        <v>4875</v>
      </c>
      <c r="L72" s="14">
        <f t="shared" si="302"/>
        <v>0.16</v>
      </c>
      <c r="M72" s="47">
        <f t="shared" ref="M72:M135" si="358">IFERROR((J72*100)/E72,0)</f>
        <v>0</v>
      </c>
      <c r="N72" s="35">
        <f t="shared" si="303"/>
        <v>3.0400000000000005</v>
      </c>
      <c r="O72" s="159">
        <f t="shared" si="336"/>
        <v>2.7568695534154077</v>
      </c>
      <c r="P72" s="142"/>
      <c r="Q72" s="14">
        <f t="shared" si="304"/>
        <v>49</v>
      </c>
      <c r="R72" s="442">
        <f t="shared" si="305"/>
        <v>0</v>
      </c>
      <c r="S72" s="470">
        <f t="shared" si="337"/>
        <v>328.79467076367098</v>
      </c>
      <c r="T72" s="51">
        <f t="shared" si="306"/>
        <v>712</v>
      </c>
      <c r="U72" s="103">
        <f t="shared" si="338"/>
        <v>0</v>
      </c>
      <c r="V72" s="46">
        <f t="shared" si="339"/>
        <v>712</v>
      </c>
      <c r="W72" s="51">
        <f t="shared" si="307"/>
        <v>79</v>
      </c>
      <c r="X72" s="103">
        <f t="shared" si="340"/>
        <v>0</v>
      </c>
      <c r="Y72" s="46">
        <f t="shared" si="341"/>
        <v>79</v>
      </c>
      <c r="Z72" s="487"/>
      <c r="AA72" s="120">
        <f t="shared" si="342"/>
        <v>13</v>
      </c>
      <c r="AB72" s="570">
        <f t="shared" si="343"/>
        <v>9</v>
      </c>
      <c r="AC72" s="133"/>
      <c r="AD72" s="408">
        <f t="shared" si="143"/>
        <v>0</v>
      </c>
      <c r="AE72" s="562">
        <f t="shared" si="127"/>
        <v>0</v>
      </c>
      <c r="AF72" s="134"/>
      <c r="AG72" s="135"/>
      <c r="AH72" s="135"/>
      <c r="AI72" s="14">
        <f t="shared" si="109"/>
        <v>0</v>
      </c>
      <c r="AJ72" s="14">
        <f t="shared" si="239"/>
        <v>0</v>
      </c>
      <c r="AK72" s="14">
        <f t="shared" si="308"/>
        <v>0.16</v>
      </c>
      <c r="AL72" s="47">
        <f t="shared" si="110"/>
        <v>0</v>
      </c>
      <c r="AM72" s="35">
        <f t="shared" si="309"/>
        <v>3.0400000000000005</v>
      </c>
      <c r="AN72" s="159">
        <f t="shared" si="240"/>
        <v>0</v>
      </c>
      <c r="AO72" s="142"/>
      <c r="AP72" s="14">
        <f t="shared" si="310"/>
        <v>49</v>
      </c>
      <c r="AQ72" s="442">
        <f t="shared" si="311"/>
        <v>0</v>
      </c>
      <c r="AR72" s="470">
        <f t="shared" si="175"/>
        <v>0</v>
      </c>
      <c r="AS72" s="51">
        <f t="shared" si="312"/>
        <v>712</v>
      </c>
      <c r="AT72" s="103">
        <f t="shared" si="344"/>
        <v>0</v>
      </c>
      <c r="AU72" s="46">
        <f t="shared" si="144"/>
        <v>712</v>
      </c>
      <c r="AV72" s="51">
        <f t="shared" si="313"/>
        <v>79</v>
      </c>
      <c r="AW72" s="103">
        <f t="shared" si="345"/>
        <v>0</v>
      </c>
      <c r="AX72" s="46">
        <f t="shared" si="104"/>
        <v>79</v>
      </c>
      <c r="AZ72" s="120">
        <f t="shared" si="346"/>
        <v>13</v>
      </c>
      <c r="BA72" s="570">
        <f t="shared" si="347"/>
        <v>9</v>
      </c>
      <c r="BB72" s="133"/>
      <c r="BC72" s="408">
        <f t="shared" si="145"/>
        <v>116143</v>
      </c>
      <c r="BD72" s="562">
        <f t="shared" si="131"/>
        <v>116143</v>
      </c>
      <c r="BE72" s="134"/>
      <c r="BF72" s="135"/>
      <c r="BG72" s="135"/>
      <c r="BH72" s="14">
        <f t="shared" si="111"/>
        <v>0</v>
      </c>
      <c r="BI72" s="14">
        <f t="shared" si="241"/>
        <v>3926</v>
      </c>
      <c r="BJ72" s="14">
        <f t="shared" si="314"/>
        <v>0.16</v>
      </c>
      <c r="BK72" s="47">
        <f t="shared" si="112"/>
        <v>0</v>
      </c>
      <c r="BL72" s="35">
        <f t="shared" si="315"/>
        <v>3.0400000000000005</v>
      </c>
      <c r="BM72" s="159">
        <f t="shared" si="89"/>
        <v>3.2697865394065078</v>
      </c>
      <c r="BN72" s="142"/>
      <c r="BO72" s="14">
        <f t="shared" si="316"/>
        <v>49</v>
      </c>
      <c r="BP72" s="442">
        <f t="shared" si="317"/>
        <v>0</v>
      </c>
      <c r="BQ72" s="470">
        <f t="shared" si="176"/>
        <v>314.58428346602915</v>
      </c>
      <c r="BR72" s="51">
        <f t="shared" si="318"/>
        <v>712</v>
      </c>
      <c r="BS72" s="103">
        <f t="shared" si="348"/>
        <v>0</v>
      </c>
      <c r="BT72" s="46">
        <f t="shared" si="146"/>
        <v>712</v>
      </c>
      <c r="BU72" s="51">
        <f t="shared" si="319"/>
        <v>79</v>
      </c>
      <c r="BV72" s="103">
        <f t="shared" si="349"/>
        <v>0</v>
      </c>
      <c r="BW72" s="46">
        <f t="shared" si="105"/>
        <v>79</v>
      </c>
      <c r="BY72" s="120">
        <f t="shared" si="350"/>
        <v>13</v>
      </c>
      <c r="BZ72" s="570">
        <f t="shared" si="351"/>
        <v>9</v>
      </c>
      <c r="CA72" s="133"/>
      <c r="CB72" s="408">
        <f t="shared" si="147"/>
        <v>0</v>
      </c>
      <c r="CC72" s="562">
        <f t="shared" si="135"/>
        <v>0</v>
      </c>
      <c r="CD72" s="134"/>
      <c r="CE72" s="135"/>
      <c r="CF72" s="135"/>
      <c r="CG72" s="14">
        <f t="shared" si="113"/>
        <v>0</v>
      </c>
      <c r="CH72" s="14">
        <f t="shared" si="242"/>
        <v>0</v>
      </c>
      <c r="CI72" s="14">
        <f t="shared" si="320"/>
        <v>0.16</v>
      </c>
      <c r="CJ72" s="47">
        <f t="shared" si="114"/>
        <v>0</v>
      </c>
      <c r="CK72" s="35">
        <f t="shared" si="321"/>
        <v>3.0400000000000005</v>
      </c>
      <c r="CL72" s="159">
        <f t="shared" si="243"/>
        <v>0</v>
      </c>
      <c r="CM72" s="142"/>
      <c r="CN72" s="14">
        <f t="shared" si="322"/>
        <v>49</v>
      </c>
      <c r="CO72" s="442">
        <f t="shared" si="323"/>
        <v>0</v>
      </c>
      <c r="CP72" s="470">
        <f t="shared" si="177"/>
        <v>0</v>
      </c>
      <c r="CQ72" s="51">
        <f t="shared" si="324"/>
        <v>712</v>
      </c>
      <c r="CR72" s="103">
        <f t="shared" si="352"/>
        <v>0</v>
      </c>
      <c r="CS72" s="46">
        <f t="shared" si="148"/>
        <v>712</v>
      </c>
      <c r="CT72" s="51">
        <f t="shared" si="325"/>
        <v>79</v>
      </c>
      <c r="CU72" s="103">
        <f t="shared" si="353"/>
        <v>0</v>
      </c>
      <c r="CV72" s="46">
        <f t="shared" si="106"/>
        <v>79</v>
      </c>
      <c r="CX72" s="120">
        <f t="shared" si="354"/>
        <v>13</v>
      </c>
      <c r="CY72" s="570">
        <f t="shared" si="355"/>
        <v>9</v>
      </c>
      <c r="CZ72" s="133"/>
      <c r="DA72" s="408">
        <f t="shared" si="149"/>
        <v>0</v>
      </c>
      <c r="DB72" s="562">
        <f t="shared" si="139"/>
        <v>0</v>
      </c>
      <c r="DC72" s="134"/>
      <c r="DD72" s="135"/>
      <c r="DE72" s="135"/>
      <c r="DF72" s="14">
        <f t="shared" si="115"/>
        <v>0</v>
      </c>
      <c r="DG72" s="14">
        <f t="shared" si="244"/>
        <v>0</v>
      </c>
      <c r="DH72" s="14">
        <f t="shared" si="326"/>
        <v>0.16</v>
      </c>
      <c r="DI72" s="47">
        <f t="shared" si="116"/>
        <v>0</v>
      </c>
      <c r="DJ72" s="35">
        <f t="shared" si="327"/>
        <v>3.0400000000000005</v>
      </c>
      <c r="DK72" s="159">
        <f t="shared" si="245"/>
        <v>0</v>
      </c>
      <c r="DL72" s="142"/>
      <c r="DM72" s="14">
        <f t="shared" si="328"/>
        <v>49</v>
      </c>
      <c r="DN72" s="442">
        <f t="shared" si="329"/>
        <v>0</v>
      </c>
      <c r="DO72" s="470">
        <f t="shared" si="178"/>
        <v>0</v>
      </c>
      <c r="DP72" s="51">
        <f t="shared" si="330"/>
        <v>712</v>
      </c>
      <c r="DQ72" s="103">
        <f t="shared" si="356"/>
        <v>0</v>
      </c>
      <c r="DR72" s="46">
        <f t="shared" si="150"/>
        <v>712</v>
      </c>
      <c r="DS72" s="51">
        <f t="shared" si="331"/>
        <v>79</v>
      </c>
      <c r="DT72" s="103">
        <f t="shared" si="357"/>
        <v>0</v>
      </c>
      <c r="DU72" s="46">
        <f t="shared" si="107"/>
        <v>79</v>
      </c>
    </row>
    <row r="73" spans="1:126" ht="18" x14ac:dyDescent="0.25">
      <c r="A73" s="717"/>
      <c r="B73" s="120">
        <f t="shared" si="332"/>
        <v>14</v>
      </c>
      <c r="C73" s="571">
        <f t="shared" si="333"/>
        <v>9</v>
      </c>
      <c r="D73" s="229"/>
      <c r="E73" s="408">
        <f t="shared" si="334"/>
        <v>171956</v>
      </c>
      <c r="F73" s="562">
        <f t="shared" si="301"/>
        <v>171956</v>
      </c>
      <c r="G73" s="405"/>
      <c r="H73" s="406"/>
      <c r="I73" s="406"/>
      <c r="J73" s="380">
        <f t="shared" si="108"/>
        <v>0</v>
      </c>
      <c r="K73" s="380">
        <f t="shared" si="335"/>
        <v>4875</v>
      </c>
      <c r="L73" s="380">
        <f t="shared" si="302"/>
        <v>0.16</v>
      </c>
      <c r="M73" s="410">
        <f t="shared" si="358"/>
        <v>0</v>
      </c>
      <c r="N73" s="407">
        <f t="shared" si="303"/>
        <v>3.0400000000000005</v>
      </c>
      <c r="O73" s="824">
        <f t="shared" si="336"/>
        <v>2.7568695534154077</v>
      </c>
      <c r="P73" s="411"/>
      <c r="Q73" s="380">
        <f t="shared" si="304"/>
        <v>49</v>
      </c>
      <c r="R73" s="518">
        <f t="shared" si="305"/>
        <v>0</v>
      </c>
      <c r="S73" s="474">
        <f t="shared" si="337"/>
        <v>328.79467076367098</v>
      </c>
      <c r="T73" s="182">
        <f t="shared" si="306"/>
        <v>712</v>
      </c>
      <c r="U73" s="181">
        <f t="shared" si="338"/>
        <v>0</v>
      </c>
      <c r="V73" s="809">
        <f t="shared" si="339"/>
        <v>712</v>
      </c>
      <c r="W73" s="810">
        <f t="shared" si="307"/>
        <v>79</v>
      </c>
      <c r="X73" s="181">
        <f t="shared" si="340"/>
        <v>0</v>
      </c>
      <c r="Y73" s="809">
        <f t="shared" si="341"/>
        <v>79</v>
      </c>
      <c r="Z73" s="717"/>
      <c r="AA73" s="120">
        <f t="shared" si="342"/>
        <v>14</v>
      </c>
      <c r="AB73" s="571">
        <f t="shared" si="343"/>
        <v>9</v>
      </c>
      <c r="AC73" s="229"/>
      <c r="AD73" s="408">
        <f t="shared" si="143"/>
        <v>0</v>
      </c>
      <c r="AE73" s="562">
        <f t="shared" si="127"/>
        <v>0</v>
      </c>
      <c r="AF73" s="405"/>
      <c r="AG73" s="406"/>
      <c r="AH73" s="406"/>
      <c r="AI73" s="380">
        <f t="shared" si="109"/>
        <v>0</v>
      </c>
      <c r="AJ73" s="380">
        <f t="shared" si="239"/>
        <v>0</v>
      </c>
      <c r="AK73" s="380">
        <f t="shared" si="308"/>
        <v>0.16</v>
      </c>
      <c r="AL73" s="410">
        <f t="shared" si="110"/>
        <v>0</v>
      </c>
      <c r="AM73" s="407">
        <f t="shared" si="309"/>
        <v>3.0400000000000005</v>
      </c>
      <c r="AN73" s="824">
        <f t="shared" si="240"/>
        <v>0</v>
      </c>
      <c r="AO73" s="411"/>
      <c r="AP73" s="380">
        <f t="shared" si="310"/>
        <v>49</v>
      </c>
      <c r="AQ73" s="518">
        <f t="shared" si="311"/>
        <v>0</v>
      </c>
      <c r="AR73" s="474">
        <f t="shared" si="175"/>
        <v>0</v>
      </c>
      <c r="AS73" s="182">
        <f t="shared" si="312"/>
        <v>712</v>
      </c>
      <c r="AT73" s="181">
        <f t="shared" si="344"/>
        <v>0</v>
      </c>
      <c r="AU73" s="809">
        <f t="shared" si="144"/>
        <v>712</v>
      </c>
      <c r="AV73" s="810">
        <f t="shared" si="313"/>
        <v>79</v>
      </c>
      <c r="AW73" s="181">
        <f t="shared" si="345"/>
        <v>0</v>
      </c>
      <c r="AX73" s="809">
        <f t="shared" si="104"/>
        <v>79</v>
      </c>
      <c r="AY73" s="717"/>
      <c r="AZ73" s="120">
        <f t="shared" si="346"/>
        <v>14</v>
      </c>
      <c r="BA73" s="571">
        <f t="shared" si="347"/>
        <v>9</v>
      </c>
      <c r="BB73" s="229"/>
      <c r="BC73" s="408">
        <f t="shared" si="145"/>
        <v>116143</v>
      </c>
      <c r="BD73" s="562">
        <f t="shared" si="131"/>
        <v>116143</v>
      </c>
      <c r="BE73" s="405"/>
      <c r="BF73" s="406"/>
      <c r="BG73" s="406"/>
      <c r="BH73" s="380">
        <f t="shared" si="111"/>
        <v>0</v>
      </c>
      <c r="BI73" s="380">
        <f t="shared" si="241"/>
        <v>3926</v>
      </c>
      <c r="BJ73" s="380">
        <f t="shared" si="314"/>
        <v>0.16</v>
      </c>
      <c r="BK73" s="410">
        <f t="shared" si="112"/>
        <v>0</v>
      </c>
      <c r="BL73" s="407">
        <f t="shared" si="315"/>
        <v>3.0400000000000005</v>
      </c>
      <c r="BM73" s="159">
        <f t="shared" ref="BM73:BM136" si="359">IFERROR((BI73*100)/$BB$14,0)</f>
        <v>3.2697865394065078</v>
      </c>
      <c r="BN73" s="411"/>
      <c r="BO73" s="380">
        <f t="shared" si="316"/>
        <v>49</v>
      </c>
      <c r="BP73" s="518">
        <f t="shared" si="317"/>
        <v>0</v>
      </c>
      <c r="BQ73" s="474">
        <f t="shared" si="176"/>
        <v>314.58428346602915</v>
      </c>
      <c r="BR73" s="182">
        <f t="shared" si="318"/>
        <v>712</v>
      </c>
      <c r="BS73" s="181">
        <f t="shared" si="348"/>
        <v>0</v>
      </c>
      <c r="BT73" s="809">
        <f t="shared" si="146"/>
        <v>712</v>
      </c>
      <c r="BU73" s="810">
        <f t="shared" si="319"/>
        <v>79</v>
      </c>
      <c r="BV73" s="181">
        <f t="shared" si="349"/>
        <v>0</v>
      </c>
      <c r="BW73" s="809">
        <f t="shared" si="105"/>
        <v>79</v>
      </c>
      <c r="BX73" s="717"/>
      <c r="BY73" s="120">
        <f t="shared" si="350"/>
        <v>14</v>
      </c>
      <c r="BZ73" s="571">
        <f t="shared" si="351"/>
        <v>9</v>
      </c>
      <c r="CA73" s="229"/>
      <c r="CB73" s="408">
        <f t="shared" si="147"/>
        <v>0</v>
      </c>
      <c r="CC73" s="562">
        <f t="shared" si="135"/>
        <v>0</v>
      </c>
      <c r="CD73" s="405"/>
      <c r="CE73" s="406"/>
      <c r="CF73" s="406"/>
      <c r="CG73" s="380">
        <f t="shared" si="113"/>
        <v>0</v>
      </c>
      <c r="CH73" s="380">
        <f t="shared" si="242"/>
        <v>0</v>
      </c>
      <c r="CI73" s="380">
        <f t="shared" si="320"/>
        <v>0.16</v>
      </c>
      <c r="CJ73" s="410">
        <f t="shared" si="114"/>
        <v>0</v>
      </c>
      <c r="CK73" s="407">
        <f t="shared" si="321"/>
        <v>3.0400000000000005</v>
      </c>
      <c r="CL73" s="824">
        <f t="shared" si="243"/>
        <v>0</v>
      </c>
      <c r="CM73" s="411"/>
      <c r="CN73" s="380">
        <f t="shared" si="322"/>
        <v>49</v>
      </c>
      <c r="CO73" s="518">
        <f t="shared" si="323"/>
        <v>0</v>
      </c>
      <c r="CP73" s="474">
        <f t="shared" si="177"/>
        <v>0</v>
      </c>
      <c r="CQ73" s="182">
        <f t="shared" si="324"/>
        <v>712</v>
      </c>
      <c r="CR73" s="181">
        <f t="shared" si="352"/>
        <v>0</v>
      </c>
      <c r="CS73" s="809">
        <f t="shared" si="148"/>
        <v>712</v>
      </c>
      <c r="CT73" s="810">
        <f t="shared" si="325"/>
        <v>79</v>
      </c>
      <c r="CU73" s="181">
        <f t="shared" si="353"/>
        <v>0</v>
      </c>
      <c r="CV73" s="809">
        <f t="shared" si="106"/>
        <v>79</v>
      </c>
      <c r="CW73" s="717"/>
      <c r="CX73" s="120">
        <f t="shared" si="354"/>
        <v>14</v>
      </c>
      <c r="CY73" s="571">
        <f t="shared" si="355"/>
        <v>9</v>
      </c>
      <c r="CZ73" s="229"/>
      <c r="DA73" s="408">
        <f t="shared" si="149"/>
        <v>0</v>
      </c>
      <c r="DB73" s="562">
        <f t="shared" si="139"/>
        <v>0</v>
      </c>
      <c r="DC73" s="405"/>
      <c r="DD73" s="406"/>
      <c r="DE73" s="406"/>
      <c r="DF73" s="380">
        <f t="shared" si="115"/>
        <v>0</v>
      </c>
      <c r="DG73" s="380">
        <f t="shared" si="244"/>
        <v>0</v>
      </c>
      <c r="DH73" s="380">
        <f t="shared" si="326"/>
        <v>0.16</v>
      </c>
      <c r="DI73" s="410">
        <f t="shared" si="116"/>
        <v>0</v>
      </c>
      <c r="DJ73" s="407">
        <f t="shared" si="327"/>
        <v>3.0400000000000005</v>
      </c>
      <c r="DK73" s="824">
        <f t="shared" si="245"/>
        <v>0</v>
      </c>
      <c r="DL73" s="411"/>
      <c r="DM73" s="380">
        <f t="shared" si="328"/>
        <v>49</v>
      </c>
      <c r="DN73" s="518">
        <f t="shared" si="329"/>
        <v>0</v>
      </c>
      <c r="DO73" s="474">
        <f t="shared" si="178"/>
        <v>0</v>
      </c>
      <c r="DP73" s="182">
        <f t="shared" si="330"/>
        <v>712</v>
      </c>
      <c r="DQ73" s="181">
        <f t="shared" si="356"/>
        <v>0</v>
      </c>
      <c r="DR73" s="809">
        <f t="shared" si="150"/>
        <v>712</v>
      </c>
      <c r="DS73" s="810">
        <f t="shared" si="331"/>
        <v>79</v>
      </c>
      <c r="DT73" s="181">
        <f t="shared" si="357"/>
        <v>0</v>
      </c>
      <c r="DU73" s="809">
        <f t="shared" si="107"/>
        <v>79</v>
      </c>
      <c r="DV73" s="790"/>
    </row>
    <row r="74" spans="1:126" x14ac:dyDescent="0.25">
      <c r="A74" s="423"/>
      <c r="B74" s="403">
        <f>B73+1</f>
        <v>15</v>
      </c>
      <c r="C74" s="571">
        <f t="shared" si="333"/>
        <v>9</v>
      </c>
      <c r="D74" s="229"/>
      <c r="E74" s="408">
        <f t="shared" si="334"/>
        <v>171956</v>
      </c>
      <c r="F74" s="562">
        <f t="shared" si="301"/>
        <v>171956</v>
      </c>
      <c r="G74" s="405"/>
      <c r="H74" s="406"/>
      <c r="I74" s="406"/>
      <c r="J74" s="380">
        <f t="shared" si="108"/>
        <v>0</v>
      </c>
      <c r="K74" s="380">
        <f t="shared" si="335"/>
        <v>4875</v>
      </c>
      <c r="L74" s="380">
        <f t="shared" si="302"/>
        <v>0.16</v>
      </c>
      <c r="M74" s="47">
        <f t="shared" si="358"/>
        <v>0</v>
      </c>
      <c r="N74" s="407">
        <f t="shared" si="303"/>
        <v>3.0400000000000005</v>
      </c>
      <c r="O74" s="159">
        <f t="shared" si="336"/>
        <v>2.7568695534154077</v>
      </c>
      <c r="P74" s="411"/>
      <c r="Q74" s="380">
        <f t="shared" si="304"/>
        <v>49</v>
      </c>
      <c r="R74" s="442">
        <f t="shared" si="305"/>
        <v>0</v>
      </c>
      <c r="S74" s="474">
        <f t="shared" si="337"/>
        <v>328.79467076367098</v>
      </c>
      <c r="T74" s="182">
        <f t="shared" si="306"/>
        <v>712</v>
      </c>
      <c r="U74" s="181">
        <f t="shared" si="338"/>
        <v>0</v>
      </c>
      <c r="V74" s="206">
        <f t="shared" si="339"/>
        <v>712</v>
      </c>
      <c r="W74" s="182">
        <f t="shared" si="307"/>
        <v>79</v>
      </c>
      <c r="X74" s="181">
        <f t="shared" si="340"/>
        <v>0</v>
      </c>
      <c r="Y74" s="206">
        <f t="shared" si="341"/>
        <v>79</v>
      </c>
      <c r="Z74" s="487"/>
      <c r="AA74" s="403">
        <f>AA73+1</f>
        <v>15</v>
      </c>
      <c r="AB74" s="571">
        <f t="shared" si="343"/>
        <v>9</v>
      </c>
      <c r="AC74" s="229"/>
      <c r="AD74" s="408">
        <f t="shared" si="143"/>
        <v>0</v>
      </c>
      <c r="AE74" s="562">
        <f t="shared" si="127"/>
        <v>0</v>
      </c>
      <c r="AF74" s="405"/>
      <c r="AG74" s="406"/>
      <c r="AH74" s="406"/>
      <c r="AI74" s="380">
        <f t="shared" si="109"/>
        <v>0</v>
      </c>
      <c r="AJ74" s="380">
        <f t="shared" si="239"/>
        <v>0</v>
      </c>
      <c r="AK74" s="380">
        <f t="shared" si="308"/>
        <v>0.16</v>
      </c>
      <c r="AL74" s="47">
        <f t="shared" si="110"/>
        <v>0</v>
      </c>
      <c r="AM74" s="407">
        <f t="shared" si="309"/>
        <v>3.0400000000000005</v>
      </c>
      <c r="AN74" s="159">
        <f t="shared" si="240"/>
        <v>0</v>
      </c>
      <c r="AO74" s="411"/>
      <c r="AP74" s="380">
        <f t="shared" si="310"/>
        <v>49</v>
      </c>
      <c r="AQ74" s="442">
        <f t="shared" si="311"/>
        <v>0</v>
      </c>
      <c r="AR74" s="474">
        <f t="shared" si="175"/>
        <v>0</v>
      </c>
      <c r="AS74" s="182">
        <f t="shared" si="312"/>
        <v>712</v>
      </c>
      <c r="AT74" s="181">
        <f t="shared" si="344"/>
        <v>0</v>
      </c>
      <c r="AU74" s="206">
        <f t="shared" si="144"/>
        <v>712</v>
      </c>
      <c r="AV74" s="182">
        <f t="shared" si="313"/>
        <v>79</v>
      </c>
      <c r="AW74" s="181">
        <f t="shared" si="345"/>
        <v>0</v>
      </c>
      <c r="AX74" s="206">
        <f t="shared" si="104"/>
        <v>79</v>
      </c>
      <c r="AY74" s="412"/>
      <c r="AZ74" s="403">
        <f>AZ73+1</f>
        <v>15</v>
      </c>
      <c r="BA74" s="571">
        <f t="shared" si="347"/>
        <v>9</v>
      </c>
      <c r="BB74" s="229"/>
      <c r="BC74" s="408">
        <f t="shared" si="145"/>
        <v>116143</v>
      </c>
      <c r="BD74" s="562">
        <f t="shared" si="131"/>
        <v>116143</v>
      </c>
      <c r="BE74" s="405"/>
      <c r="BF74" s="406"/>
      <c r="BG74" s="406"/>
      <c r="BH74" s="380">
        <f t="shared" si="111"/>
        <v>0</v>
      </c>
      <c r="BI74" s="380">
        <f t="shared" si="241"/>
        <v>3926</v>
      </c>
      <c r="BJ74" s="380">
        <f t="shared" si="314"/>
        <v>0.16</v>
      </c>
      <c r="BK74" s="47">
        <f t="shared" si="112"/>
        <v>0</v>
      </c>
      <c r="BL74" s="407">
        <f t="shared" si="315"/>
        <v>3.0400000000000005</v>
      </c>
      <c r="BM74" s="159">
        <f t="shared" si="359"/>
        <v>3.2697865394065078</v>
      </c>
      <c r="BN74" s="411"/>
      <c r="BO74" s="380">
        <f t="shared" si="316"/>
        <v>49</v>
      </c>
      <c r="BP74" s="442">
        <f t="shared" si="317"/>
        <v>0</v>
      </c>
      <c r="BQ74" s="474">
        <f t="shared" si="176"/>
        <v>314.58428346602915</v>
      </c>
      <c r="BR74" s="182">
        <f t="shared" si="318"/>
        <v>712</v>
      </c>
      <c r="BS74" s="181">
        <f t="shared" si="348"/>
        <v>0</v>
      </c>
      <c r="BT74" s="206">
        <f t="shared" si="146"/>
        <v>712</v>
      </c>
      <c r="BU74" s="182">
        <f t="shared" si="319"/>
        <v>79</v>
      </c>
      <c r="BV74" s="181">
        <f t="shared" si="349"/>
        <v>0</v>
      </c>
      <c r="BW74" s="206">
        <f t="shared" si="105"/>
        <v>79</v>
      </c>
      <c r="BX74" s="412"/>
      <c r="BY74" s="403">
        <f>BY73+1</f>
        <v>15</v>
      </c>
      <c r="BZ74" s="571">
        <f t="shared" si="351"/>
        <v>9</v>
      </c>
      <c r="CA74" s="229"/>
      <c r="CB74" s="408">
        <f t="shared" si="147"/>
        <v>0</v>
      </c>
      <c r="CC74" s="562">
        <f t="shared" si="135"/>
        <v>0</v>
      </c>
      <c r="CD74" s="405"/>
      <c r="CE74" s="406"/>
      <c r="CF74" s="406"/>
      <c r="CG74" s="380">
        <f t="shared" si="113"/>
        <v>0</v>
      </c>
      <c r="CH74" s="380">
        <f t="shared" si="242"/>
        <v>0</v>
      </c>
      <c r="CI74" s="380">
        <f t="shared" si="320"/>
        <v>0.16</v>
      </c>
      <c r="CJ74" s="47">
        <f t="shared" si="114"/>
        <v>0</v>
      </c>
      <c r="CK74" s="407">
        <f t="shared" si="321"/>
        <v>3.0400000000000005</v>
      </c>
      <c r="CL74" s="159">
        <f t="shared" si="243"/>
        <v>0</v>
      </c>
      <c r="CM74" s="411"/>
      <c r="CN74" s="380">
        <f t="shared" si="322"/>
        <v>49</v>
      </c>
      <c r="CO74" s="442">
        <f t="shared" si="323"/>
        <v>0</v>
      </c>
      <c r="CP74" s="474">
        <f t="shared" si="177"/>
        <v>0</v>
      </c>
      <c r="CQ74" s="182">
        <f t="shared" si="324"/>
        <v>712</v>
      </c>
      <c r="CR74" s="181">
        <f t="shared" si="352"/>
        <v>0</v>
      </c>
      <c r="CS74" s="206">
        <f t="shared" si="148"/>
        <v>712</v>
      </c>
      <c r="CT74" s="182">
        <f t="shared" si="325"/>
        <v>79</v>
      </c>
      <c r="CU74" s="181">
        <f t="shared" si="353"/>
        <v>0</v>
      </c>
      <c r="CV74" s="206">
        <f t="shared" si="106"/>
        <v>79</v>
      </c>
      <c r="CW74" s="412"/>
      <c r="CX74" s="403">
        <f>CX73+1</f>
        <v>15</v>
      </c>
      <c r="CY74" s="571">
        <f t="shared" si="355"/>
        <v>9</v>
      </c>
      <c r="CZ74" s="229"/>
      <c r="DA74" s="408">
        <f t="shared" si="149"/>
        <v>0</v>
      </c>
      <c r="DB74" s="562">
        <f t="shared" si="139"/>
        <v>0</v>
      </c>
      <c r="DC74" s="405"/>
      <c r="DD74" s="406"/>
      <c r="DE74" s="406"/>
      <c r="DF74" s="380">
        <f t="shared" si="115"/>
        <v>0</v>
      </c>
      <c r="DG74" s="380">
        <f t="shared" si="244"/>
        <v>0</v>
      </c>
      <c r="DH74" s="380">
        <f t="shared" si="326"/>
        <v>0.16</v>
      </c>
      <c r="DI74" s="47">
        <f t="shared" si="116"/>
        <v>0</v>
      </c>
      <c r="DJ74" s="407">
        <f t="shared" si="327"/>
        <v>3.0400000000000005</v>
      </c>
      <c r="DK74" s="159">
        <f t="shared" si="245"/>
        <v>0</v>
      </c>
      <c r="DL74" s="411"/>
      <c r="DM74" s="380">
        <f t="shared" si="328"/>
        <v>49</v>
      </c>
      <c r="DN74" s="442">
        <f t="shared" si="329"/>
        <v>0</v>
      </c>
      <c r="DO74" s="474">
        <f t="shared" si="178"/>
        <v>0</v>
      </c>
      <c r="DP74" s="182">
        <f t="shared" si="330"/>
        <v>712</v>
      </c>
      <c r="DQ74" s="181">
        <f t="shared" si="356"/>
        <v>0</v>
      </c>
      <c r="DR74" s="206">
        <f t="shared" si="150"/>
        <v>712</v>
      </c>
      <c r="DS74" s="182">
        <f t="shared" si="331"/>
        <v>79</v>
      </c>
      <c r="DT74" s="181">
        <f t="shared" si="357"/>
        <v>0</v>
      </c>
      <c r="DU74" s="206">
        <f t="shared" si="107"/>
        <v>79</v>
      </c>
    </row>
    <row r="75" spans="1:126" ht="17.25" thickBot="1" x14ac:dyDescent="0.3">
      <c r="B75" s="197">
        <f t="shared" si="332"/>
        <v>16</v>
      </c>
      <c r="C75" s="574">
        <f t="shared" si="333"/>
        <v>9</v>
      </c>
      <c r="D75" s="136"/>
      <c r="E75" s="436">
        <f t="shared" si="334"/>
        <v>171956</v>
      </c>
      <c r="F75" s="451">
        <f t="shared" si="301"/>
        <v>171956</v>
      </c>
      <c r="G75" s="137"/>
      <c r="H75" s="138"/>
      <c r="I75" s="138"/>
      <c r="J75" s="32">
        <f t="shared" si="108"/>
        <v>0</v>
      </c>
      <c r="K75" s="32">
        <f t="shared" si="335"/>
        <v>4875</v>
      </c>
      <c r="L75" s="32">
        <f t="shared" si="302"/>
        <v>0.16</v>
      </c>
      <c r="M75" s="96">
        <f t="shared" si="358"/>
        <v>0</v>
      </c>
      <c r="N75" s="36">
        <f t="shared" si="303"/>
        <v>3.0400000000000005</v>
      </c>
      <c r="O75" s="156">
        <f t="shared" si="336"/>
        <v>2.7568695534154077</v>
      </c>
      <c r="P75" s="139"/>
      <c r="Q75" s="32">
        <f t="shared" si="304"/>
        <v>49</v>
      </c>
      <c r="R75" s="592">
        <f t="shared" si="305"/>
        <v>0</v>
      </c>
      <c r="S75" s="471">
        <f t="shared" si="337"/>
        <v>328.79467076367098</v>
      </c>
      <c r="T75" s="56">
        <f t="shared" si="306"/>
        <v>712</v>
      </c>
      <c r="U75" s="109">
        <f t="shared" si="338"/>
        <v>0</v>
      </c>
      <c r="V75" s="63">
        <f t="shared" si="339"/>
        <v>712</v>
      </c>
      <c r="W75" s="15">
        <f t="shared" si="307"/>
        <v>79</v>
      </c>
      <c r="X75" s="109">
        <f t="shared" si="340"/>
        <v>0</v>
      </c>
      <c r="Y75" s="63">
        <f t="shared" si="341"/>
        <v>79</v>
      </c>
      <c r="Z75" s="487"/>
      <c r="AA75" s="197">
        <f t="shared" si="342"/>
        <v>16</v>
      </c>
      <c r="AB75" s="574">
        <f t="shared" si="343"/>
        <v>9</v>
      </c>
      <c r="AC75" s="136"/>
      <c r="AD75" s="436">
        <f t="shared" si="143"/>
        <v>0</v>
      </c>
      <c r="AE75" s="451">
        <f t="shared" si="127"/>
        <v>0</v>
      </c>
      <c r="AF75" s="137"/>
      <c r="AG75" s="138"/>
      <c r="AH75" s="138"/>
      <c r="AI75" s="32">
        <f t="shared" si="109"/>
        <v>0</v>
      </c>
      <c r="AJ75" s="32">
        <f t="shared" si="239"/>
        <v>0</v>
      </c>
      <c r="AK75" s="32">
        <f t="shared" si="308"/>
        <v>0.16</v>
      </c>
      <c r="AL75" s="96">
        <f t="shared" si="110"/>
        <v>0</v>
      </c>
      <c r="AM75" s="36">
        <f t="shared" si="309"/>
        <v>3.0400000000000005</v>
      </c>
      <c r="AN75" s="156">
        <f t="shared" si="240"/>
        <v>0</v>
      </c>
      <c r="AO75" s="139"/>
      <c r="AP75" s="32">
        <f t="shared" si="310"/>
        <v>49</v>
      </c>
      <c r="AQ75" s="592">
        <f t="shared" si="311"/>
        <v>0</v>
      </c>
      <c r="AR75" s="471">
        <f t="shared" si="175"/>
        <v>0</v>
      </c>
      <c r="AS75" s="56">
        <f t="shared" si="312"/>
        <v>712</v>
      </c>
      <c r="AT75" s="109">
        <f t="shared" si="344"/>
        <v>0</v>
      </c>
      <c r="AU75" s="63">
        <f t="shared" si="144"/>
        <v>712</v>
      </c>
      <c r="AV75" s="15">
        <f t="shared" si="313"/>
        <v>79</v>
      </c>
      <c r="AW75" s="109">
        <f t="shared" si="345"/>
        <v>0</v>
      </c>
      <c r="AX75" s="63">
        <f t="shared" ref="AX75:AX138" si="360">AV75-AW75</f>
        <v>79</v>
      </c>
      <c r="AZ75" s="197">
        <f t="shared" si="346"/>
        <v>16</v>
      </c>
      <c r="BA75" s="574">
        <f t="shared" si="347"/>
        <v>9</v>
      </c>
      <c r="BB75" s="136"/>
      <c r="BC75" s="436">
        <f t="shared" si="145"/>
        <v>116143</v>
      </c>
      <c r="BD75" s="451">
        <f t="shared" si="131"/>
        <v>116143</v>
      </c>
      <c r="BE75" s="137"/>
      <c r="BF75" s="138"/>
      <c r="BG75" s="138"/>
      <c r="BH75" s="32">
        <f t="shared" si="111"/>
        <v>0</v>
      </c>
      <c r="BI75" s="32">
        <f t="shared" si="241"/>
        <v>3926</v>
      </c>
      <c r="BJ75" s="32">
        <f t="shared" si="314"/>
        <v>0.16</v>
      </c>
      <c r="BK75" s="96">
        <f t="shared" si="112"/>
        <v>0</v>
      </c>
      <c r="BL75" s="36">
        <f t="shared" si="315"/>
        <v>3.0400000000000005</v>
      </c>
      <c r="BM75" s="156">
        <f t="shared" si="359"/>
        <v>3.2697865394065078</v>
      </c>
      <c r="BN75" s="139"/>
      <c r="BO75" s="32">
        <f t="shared" si="316"/>
        <v>49</v>
      </c>
      <c r="BP75" s="592">
        <f t="shared" si="317"/>
        <v>0</v>
      </c>
      <c r="BQ75" s="471">
        <f t="shared" si="176"/>
        <v>314.58428346602915</v>
      </c>
      <c r="BR75" s="56">
        <f t="shared" si="318"/>
        <v>712</v>
      </c>
      <c r="BS75" s="109">
        <f t="shared" si="348"/>
        <v>0</v>
      </c>
      <c r="BT75" s="63">
        <f t="shared" si="146"/>
        <v>712</v>
      </c>
      <c r="BU75" s="15">
        <f t="shared" si="319"/>
        <v>79</v>
      </c>
      <c r="BV75" s="109">
        <f t="shared" si="349"/>
        <v>0</v>
      </c>
      <c r="BW75" s="63">
        <f t="shared" ref="BW75:BW138" si="361">BU75-BV75</f>
        <v>79</v>
      </c>
      <c r="BY75" s="197">
        <f t="shared" si="350"/>
        <v>16</v>
      </c>
      <c r="BZ75" s="574">
        <f t="shared" si="351"/>
        <v>9</v>
      </c>
      <c r="CA75" s="136"/>
      <c r="CB75" s="436">
        <f t="shared" si="147"/>
        <v>0</v>
      </c>
      <c r="CC75" s="451">
        <f t="shared" si="135"/>
        <v>0</v>
      </c>
      <c r="CD75" s="137"/>
      <c r="CE75" s="138"/>
      <c r="CF75" s="138"/>
      <c r="CG75" s="32">
        <f t="shared" si="113"/>
        <v>0</v>
      </c>
      <c r="CH75" s="32">
        <f t="shared" si="242"/>
        <v>0</v>
      </c>
      <c r="CI75" s="32">
        <f t="shared" si="320"/>
        <v>0.16</v>
      </c>
      <c r="CJ75" s="96">
        <f t="shared" si="114"/>
        <v>0</v>
      </c>
      <c r="CK75" s="36">
        <f t="shared" si="321"/>
        <v>3.0400000000000005</v>
      </c>
      <c r="CL75" s="156">
        <f t="shared" si="243"/>
        <v>0</v>
      </c>
      <c r="CM75" s="139"/>
      <c r="CN75" s="32">
        <f t="shared" si="322"/>
        <v>49</v>
      </c>
      <c r="CO75" s="592">
        <f t="shared" si="323"/>
        <v>0</v>
      </c>
      <c r="CP75" s="471">
        <f t="shared" si="177"/>
        <v>0</v>
      </c>
      <c r="CQ75" s="56">
        <f t="shared" si="324"/>
        <v>712</v>
      </c>
      <c r="CR75" s="109">
        <f t="shared" si="352"/>
        <v>0</v>
      </c>
      <c r="CS75" s="63">
        <f t="shared" si="148"/>
        <v>712</v>
      </c>
      <c r="CT75" s="15">
        <f t="shared" si="325"/>
        <v>79</v>
      </c>
      <c r="CU75" s="109">
        <f t="shared" si="353"/>
        <v>0</v>
      </c>
      <c r="CV75" s="63">
        <f t="shared" ref="CV75:CV138" si="362">CT75-CU75</f>
        <v>79</v>
      </c>
      <c r="CX75" s="197">
        <f t="shared" si="354"/>
        <v>16</v>
      </c>
      <c r="CY75" s="574">
        <f t="shared" si="355"/>
        <v>9</v>
      </c>
      <c r="CZ75" s="136"/>
      <c r="DA75" s="436">
        <f t="shared" si="149"/>
        <v>0</v>
      </c>
      <c r="DB75" s="451">
        <f t="shared" si="139"/>
        <v>0</v>
      </c>
      <c r="DC75" s="137"/>
      <c r="DD75" s="138"/>
      <c r="DE75" s="138"/>
      <c r="DF75" s="32">
        <f t="shared" si="115"/>
        <v>0</v>
      </c>
      <c r="DG75" s="32">
        <f t="shared" si="244"/>
        <v>0</v>
      </c>
      <c r="DH75" s="32">
        <f t="shared" si="326"/>
        <v>0.16</v>
      </c>
      <c r="DI75" s="96">
        <f t="shared" si="116"/>
        <v>0</v>
      </c>
      <c r="DJ75" s="36">
        <f t="shared" si="327"/>
        <v>3.0400000000000005</v>
      </c>
      <c r="DK75" s="156">
        <f t="shared" si="245"/>
        <v>0</v>
      </c>
      <c r="DL75" s="139"/>
      <c r="DM75" s="32">
        <f t="shared" si="328"/>
        <v>49</v>
      </c>
      <c r="DN75" s="592">
        <f t="shared" si="329"/>
        <v>0</v>
      </c>
      <c r="DO75" s="471">
        <f t="shared" si="178"/>
        <v>0</v>
      </c>
      <c r="DP75" s="56">
        <f t="shared" si="330"/>
        <v>712</v>
      </c>
      <c r="DQ75" s="109">
        <f t="shared" si="356"/>
        <v>0</v>
      </c>
      <c r="DR75" s="63">
        <f t="shared" si="150"/>
        <v>712</v>
      </c>
      <c r="DS75" s="15">
        <f t="shared" si="331"/>
        <v>79</v>
      </c>
      <c r="DT75" s="109">
        <f t="shared" si="357"/>
        <v>0</v>
      </c>
      <c r="DU75" s="63">
        <f t="shared" ref="DU75:DU138" si="363">DS75-DT75</f>
        <v>79</v>
      </c>
    </row>
    <row r="76" spans="1:126" x14ac:dyDescent="0.25">
      <c r="B76" s="118">
        <v>17</v>
      </c>
      <c r="C76" s="575">
        <v>10</v>
      </c>
      <c r="D76" s="129"/>
      <c r="E76" s="400">
        <f t="shared" si="334"/>
        <v>171956</v>
      </c>
      <c r="F76" s="561">
        <f t="shared" si="301"/>
        <v>171956</v>
      </c>
      <c r="G76" s="130"/>
      <c r="H76" s="131"/>
      <c r="I76" s="131"/>
      <c r="J76" s="11">
        <f t="shared" si="108"/>
        <v>0</v>
      </c>
      <c r="K76" s="11">
        <f t="shared" si="335"/>
        <v>4875</v>
      </c>
      <c r="L76" s="11">
        <f t="shared" si="302"/>
        <v>0.16</v>
      </c>
      <c r="M76" s="42">
        <f t="shared" si="358"/>
        <v>0</v>
      </c>
      <c r="N76" s="21">
        <f t="shared" si="303"/>
        <v>3.2000000000000006</v>
      </c>
      <c r="O76" s="165">
        <f t="shared" si="336"/>
        <v>2.7568695534154077</v>
      </c>
      <c r="P76" s="158"/>
      <c r="Q76" s="11">
        <f t="shared" si="304"/>
        <v>52</v>
      </c>
      <c r="R76" s="481">
        <f t="shared" si="305"/>
        <v>0</v>
      </c>
      <c r="S76" s="469">
        <f t="shared" si="337"/>
        <v>328.79467076367098</v>
      </c>
      <c r="T76" s="58">
        <f t="shared" si="306"/>
        <v>802</v>
      </c>
      <c r="U76" s="131"/>
      <c r="V76" s="41">
        <f t="shared" si="339"/>
        <v>802</v>
      </c>
      <c r="W76" s="18">
        <f t="shared" si="307"/>
        <v>80</v>
      </c>
      <c r="X76" s="131"/>
      <c r="Y76" s="41">
        <f t="shared" si="341"/>
        <v>80</v>
      </c>
      <c r="Z76" s="487"/>
      <c r="AA76" s="118">
        <v>17</v>
      </c>
      <c r="AB76" s="575">
        <v>10</v>
      </c>
      <c r="AC76" s="129"/>
      <c r="AD76" s="400">
        <f t="shared" si="143"/>
        <v>0</v>
      </c>
      <c r="AE76" s="561">
        <f t="shared" si="127"/>
        <v>0</v>
      </c>
      <c r="AF76" s="130"/>
      <c r="AG76" s="131"/>
      <c r="AH76" s="131"/>
      <c r="AI76" s="11">
        <f t="shared" si="109"/>
        <v>0</v>
      </c>
      <c r="AJ76" s="11">
        <f t="shared" si="239"/>
        <v>0</v>
      </c>
      <c r="AK76" s="11">
        <f t="shared" si="308"/>
        <v>0.16</v>
      </c>
      <c r="AL76" s="42">
        <f t="shared" si="110"/>
        <v>0</v>
      </c>
      <c r="AM76" s="21">
        <f t="shared" si="309"/>
        <v>3.2000000000000006</v>
      </c>
      <c r="AN76" s="165">
        <f t="shared" si="240"/>
        <v>0</v>
      </c>
      <c r="AO76" s="158"/>
      <c r="AP76" s="11">
        <f t="shared" si="310"/>
        <v>52</v>
      </c>
      <c r="AQ76" s="481">
        <f t="shared" si="311"/>
        <v>0</v>
      </c>
      <c r="AR76" s="469">
        <f t="shared" si="175"/>
        <v>0</v>
      </c>
      <c r="AS76" s="58">
        <f t="shared" si="312"/>
        <v>802</v>
      </c>
      <c r="AT76" s="131"/>
      <c r="AU76" s="41">
        <f t="shared" si="144"/>
        <v>802</v>
      </c>
      <c r="AV76" s="18">
        <f t="shared" si="313"/>
        <v>80</v>
      </c>
      <c r="AW76" s="131"/>
      <c r="AX76" s="41">
        <f t="shared" si="360"/>
        <v>80</v>
      </c>
      <c r="AZ76" s="118">
        <v>17</v>
      </c>
      <c r="BA76" s="575">
        <v>10</v>
      </c>
      <c r="BB76" s="129"/>
      <c r="BC76" s="400">
        <f t="shared" si="145"/>
        <v>116143</v>
      </c>
      <c r="BD76" s="561">
        <f t="shared" si="131"/>
        <v>116143</v>
      </c>
      <c r="BE76" s="130"/>
      <c r="BF76" s="131"/>
      <c r="BG76" s="131"/>
      <c r="BH76" s="11">
        <f t="shared" si="111"/>
        <v>0</v>
      </c>
      <c r="BI76" s="11">
        <f t="shared" si="241"/>
        <v>3926</v>
      </c>
      <c r="BJ76" s="11">
        <f t="shared" si="314"/>
        <v>0.16</v>
      </c>
      <c r="BK76" s="42">
        <f t="shared" si="112"/>
        <v>0</v>
      </c>
      <c r="BL76" s="21">
        <f t="shared" si="315"/>
        <v>3.2000000000000006</v>
      </c>
      <c r="BM76" s="210">
        <f t="shared" si="359"/>
        <v>3.2697865394065078</v>
      </c>
      <c r="BN76" s="158"/>
      <c r="BO76" s="11">
        <f t="shared" si="316"/>
        <v>52</v>
      </c>
      <c r="BP76" s="481">
        <f t="shared" si="317"/>
        <v>0</v>
      </c>
      <c r="BQ76" s="469">
        <f t="shared" si="176"/>
        <v>314.58428346602915</v>
      </c>
      <c r="BR76" s="58">
        <f t="shared" si="318"/>
        <v>802</v>
      </c>
      <c r="BS76" s="131"/>
      <c r="BT76" s="41">
        <f t="shared" si="146"/>
        <v>802</v>
      </c>
      <c r="BU76" s="18">
        <f t="shared" si="319"/>
        <v>80</v>
      </c>
      <c r="BV76" s="131"/>
      <c r="BW76" s="41">
        <f t="shared" si="361"/>
        <v>80</v>
      </c>
      <c r="BY76" s="118">
        <v>17</v>
      </c>
      <c r="BZ76" s="575">
        <v>10</v>
      </c>
      <c r="CA76" s="129"/>
      <c r="CB76" s="400">
        <f t="shared" si="147"/>
        <v>0</v>
      </c>
      <c r="CC76" s="561">
        <f t="shared" si="135"/>
        <v>0</v>
      </c>
      <c r="CD76" s="130"/>
      <c r="CE76" s="131"/>
      <c r="CF76" s="131"/>
      <c r="CG76" s="11">
        <f t="shared" si="113"/>
        <v>0</v>
      </c>
      <c r="CH76" s="11">
        <f t="shared" si="242"/>
        <v>0</v>
      </c>
      <c r="CI76" s="11">
        <f t="shared" si="320"/>
        <v>0.16</v>
      </c>
      <c r="CJ76" s="42">
        <f t="shared" si="114"/>
        <v>0</v>
      </c>
      <c r="CK76" s="21">
        <f t="shared" si="321"/>
        <v>3.2000000000000006</v>
      </c>
      <c r="CL76" s="165">
        <f t="shared" si="243"/>
        <v>0</v>
      </c>
      <c r="CM76" s="158"/>
      <c r="CN76" s="11">
        <f t="shared" si="322"/>
        <v>52</v>
      </c>
      <c r="CO76" s="481">
        <f t="shared" si="323"/>
        <v>0</v>
      </c>
      <c r="CP76" s="469">
        <f t="shared" si="177"/>
        <v>0</v>
      </c>
      <c r="CQ76" s="58">
        <f t="shared" si="324"/>
        <v>802</v>
      </c>
      <c r="CR76" s="131"/>
      <c r="CS76" s="41">
        <f t="shared" si="148"/>
        <v>802</v>
      </c>
      <c r="CT76" s="18">
        <f t="shared" si="325"/>
        <v>80</v>
      </c>
      <c r="CU76" s="131"/>
      <c r="CV76" s="41">
        <f t="shared" si="362"/>
        <v>80</v>
      </c>
      <c r="CX76" s="118">
        <v>17</v>
      </c>
      <c r="CY76" s="575">
        <v>10</v>
      </c>
      <c r="CZ76" s="129"/>
      <c r="DA76" s="400">
        <f t="shared" si="149"/>
        <v>0</v>
      </c>
      <c r="DB76" s="561">
        <f t="shared" si="139"/>
        <v>0</v>
      </c>
      <c r="DC76" s="130"/>
      <c r="DD76" s="131"/>
      <c r="DE76" s="131"/>
      <c r="DF76" s="11">
        <f t="shared" si="115"/>
        <v>0</v>
      </c>
      <c r="DG76" s="11">
        <f t="shared" si="244"/>
        <v>0</v>
      </c>
      <c r="DH76" s="11">
        <f t="shared" si="326"/>
        <v>0.16</v>
      </c>
      <c r="DI76" s="42">
        <f t="shared" si="116"/>
        <v>0</v>
      </c>
      <c r="DJ76" s="21">
        <f t="shared" si="327"/>
        <v>3.2000000000000006</v>
      </c>
      <c r="DK76" s="165">
        <f t="shared" si="245"/>
        <v>0</v>
      </c>
      <c r="DL76" s="158"/>
      <c r="DM76" s="11">
        <f t="shared" si="328"/>
        <v>52</v>
      </c>
      <c r="DN76" s="481">
        <f t="shared" si="329"/>
        <v>0</v>
      </c>
      <c r="DO76" s="469">
        <f t="shared" si="178"/>
        <v>0</v>
      </c>
      <c r="DP76" s="58">
        <f t="shared" si="330"/>
        <v>802</v>
      </c>
      <c r="DQ76" s="131"/>
      <c r="DR76" s="41">
        <f t="shared" si="150"/>
        <v>802</v>
      </c>
      <c r="DS76" s="18">
        <f t="shared" si="331"/>
        <v>80</v>
      </c>
      <c r="DT76" s="131"/>
      <c r="DU76" s="41">
        <f t="shared" si="363"/>
        <v>80</v>
      </c>
    </row>
    <row r="77" spans="1:126" x14ac:dyDescent="0.25">
      <c r="B77" s="120">
        <f>B76+1</f>
        <v>18</v>
      </c>
      <c r="C77" s="570">
        <f>C76</f>
        <v>10</v>
      </c>
      <c r="D77" s="133"/>
      <c r="E77" s="408">
        <f t="shared" si="334"/>
        <v>171956</v>
      </c>
      <c r="F77" s="562">
        <f t="shared" si="301"/>
        <v>171956</v>
      </c>
      <c r="G77" s="134"/>
      <c r="H77" s="135"/>
      <c r="I77" s="135"/>
      <c r="J77" s="14">
        <f t="shared" ref="J77:J131" si="364">SUM(G77:I77)</f>
        <v>0</v>
      </c>
      <c r="K77" s="14">
        <f t="shared" si="335"/>
        <v>4875</v>
      </c>
      <c r="L77" s="14">
        <f t="shared" si="302"/>
        <v>0.16</v>
      </c>
      <c r="M77" s="47">
        <f t="shared" si="358"/>
        <v>0</v>
      </c>
      <c r="N77" s="35">
        <f t="shared" si="303"/>
        <v>3.2000000000000006</v>
      </c>
      <c r="O77" s="159">
        <f t="shared" si="336"/>
        <v>2.7568695534154077</v>
      </c>
      <c r="P77" s="142"/>
      <c r="Q77" s="14">
        <f t="shared" si="304"/>
        <v>52</v>
      </c>
      <c r="R77" s="482">
        <f t="shared" si="305"/>
        <v>0</v>
      </c>
      <c r="S77" s="470">
        <f t="shared" si="337"/>
        <v>328.79467076367098</v>
      </c>
      <c r="T77" s="51">
        <f t="shared" si="306"/>
        <v>802</v>
      </c>
      <c r="U77" s="103">
        <f>U76</f>
        <v>0</v>
      </c>
      <c r="V77" s="46">
        <f t="shared" si="339"/>
        <v>802</v>
      </c>
      <c r="W77" s="51">
        <f t="shared" si="307"/>
        <v>80</v>
      </c>
      <c r="X77" s="103">
        <f>X76</f>
        <v>0</v>
      </c>
      <c r="Y77" s="46">
        <f t="shared" si="341"/>
        <v>80</v>
      </c>
      <c r="Z77" s="487"/>
      <c r="AA77" s="120">
        <f>AA76+1</f>
        <v>18</v>
      </c>
      <c r="AB77" s="570">
        <f>AB76</f>
        <v>10</v>
      </c>
      <c r="AC77" s="133"/>
      <c r="AD77" s="408">
        <f t="shared" si="143"/>
        <v>0</v>
      </c>
      <c r="AE77" s="562">
        <f t="shared" si="127"/>
        <v>0</v>
      </c>
      <c r="AF77" s="134"/>
      <c r="AG77" s="135"/>
      <c r="AH77" s="135"/>
      <c r="AI77" s="14">
        <f t="shared" ref="AI77:AI104" si="365">SUM(AF77:AH77)</f>
        <v>0</v>
      </c>
      <c r="AJ77" s="14">
        <f t="shared" si="239"/>
        <v>0</v>
      </c>
      <c r="AK77" s="14">
        <f t="shared" si="308"/>
        <v>0.16</v>
      </c>
      <c r="AL77" s="47">
        <f t="shared" ref="AL77:AL138" si="366">IFERROR((AI77*100)/AD77,0)</f>
        <v>0</v>
      </c>
      <c r="AM77" s="35">
        <f t="shared" si="309"/>
        <v>3.2000000000000006</v>
      </c>
      <c r="AN77" s="159">
        <f t="shared" si="240"/>
        <v>0</v>
      </c>
      <c r="AO77" s="142"/>
      <c r="AP77" s="14">
        <f t="shared" si="310"/>
        <v>52</v>
      </c>
      <c r="AQ77" s="482">
        <f t="shared" si="311"/>
        <v>0</v>
      </c>
      <c r="AR77" s="470">
        <f t="shared" si="175"/>
        <v>0</v>
      </c>
      <c r="AS77" s="51">
        <f t="shared" si="312"/>
        <v>802</v>
      </c>
      <c r="AT77" s="103">
        <f>AT76</f>
        <v>0</v>
      </c>
      <c r="AU77" s="46">
        <f t="shared" si="144"/>
        <v>802</v>
      </c>
      <c r="AV77" s="51">
        <f t="shared" si="313"/>
        <v>80</v>
      </c>
      <c r="AW77" s="103">
        <f>AW76</f>
        <v>0</v>
      </c>
      <c r="AX77" s="46">
        <f t="shared" si="360"/>
        <v>80</v>
      </c>
      <c r="AZ77" s="120">
        <f>AZ76+1</f>
        <v>18</v>
      </c>
      <c r="BA77" s="570">
        <f>BA76</f>
        <v>10</v>
      </c>
      <c r="BB77" s="133"/>
      <c r="BC77" s="408">
        <f t="shared" si="145"/>
        <v>116143</v>
      </c>
      <c r="BD77" s="562">
        <f t="shared" si="131"/>
        <v>116143</v>
      </c>
      <c r="BE77" s="134"/>
      <c r="BF77" s="135"/>
      <c r="BG77" s="135"/>
      <c r="BH77" s="14">
        <f t="shared" ref="BH77:BH104" si="367">SUM(BE77:BG77)</f>
        <v>0</v>
      </c>
      <c r="BI77" s="14">
        <f t="shared" si="241"/>
        <v>3926</v>
      </c>
      <c r="BJ77" s="14">
        <f t="shared" si="314"/>
        <v>0.16</v>
      </c>
      <c r="BK77" s="47">
        <f t="shared" ref="BK77:BK138" si="368">IFERROR((BH77*100)/BC77,0)</f>
        <v>0</v>
      </c>
      <c r="BL77" s="35">
        <f t="shared" si="315"/>
        <v>3.2000000000000006</v>
      </c>
      <c r="BM77" s="159">
        <f t="shared" si="359"/>
        <v>3.2697865394065078</v>
      </c>
      <c r="BN77" s="142"/>
      <c r="BO77" s="14">
        <f t="shared" si="316"/>
        <v>52</v>
      </c>
      <c r="BP77" s="482">
        <f t="shared" si="317"/>
        <v>0</v>
      </c>
      <c r="BQ77" s="470">
        <f t="shared" si="176"/>
        <v>314.58428346602915</v>
      </c>
      <c r="BR77" s="51">
        <f t="shared" si="318"/>
        <v>802</v>
      </c>
      <c r="BS77" s="103">
        <f>BS76</f>
        <v>0</v>
      </c>
      <c r="BT77" s="46">
        <f t="shared" si="146"/>
        <v>802</v>
      </c>
      <c r="BU77" s="51">
        <f t="shared" si="319"/>
        <v>80</v>
      </c>
      <c r="BV77" s="103">
        <f>BV76</f>
        <v>0</v>
      </c>
      <c r="BW77" s="46">
        <f t="shared" si="361"/>
        <v>80</v>
      </c>
      <c r="BY77" s="120">
        <f>BY76+1</f>
        <v>18</v>
      </c>
      <c r="BZ77" s="570">
        <f>BZ76</f>
        <v>10</v>
      </c>
      <c r="CA77" s="133"/>
      <c r="CB77" s="408">
        <f t="shared" si="147"/>
        <v>0</v>
      </c>
      <c r="CC77" s="562">
        <f t="shared" si="135"/>
        <v>0</v>
      </c>
      <c r="CD77" s="134"/>
      <c r="CE77" s="135"/>
      <c r="CF77" s="135"/>
      <c r="CG77" s="14">
        <f t="shared" ref="CG77:CG104" si="369">SUM(CD77:CF77)</f>
        <v>0</v>
      </c>
      <c r="CH77" s="14">
        <f t="shared" si="242"/>
        <v>0</v>
      </c>
      <c r="CI77" s="14">
        <f t="shared" si="320"/>
        <v>0.16</v>
      </c>
      <c r="CJ77" s="47">
        <f t="shared" ref="CJ77:CJ138" si="370">IFERROR((CG77*100)/CB77,0)</f>
        <v>0</v>
      </c>
      <c r="CK77" s="35">
        <f t="shared" si="321"/>
        <v>3.2000000000000006</v>
      </c>
      <c r="CL77" s="159">
        <f t="shared" si="243"/>
        <v>0</v>
      </c>
      <c r="CM77" s="142"/>
      <c r="CN77" s="14">
        <f t="shared" si="322"/>
        <v>52</v>
      </c>
      <c r="CO77" s="482">
        <f t="shared" si="323"/>
        <v>0</v>
      </c>
      <c r="CP77" s="470">
        <f t="shared" si="177"/>
        <v>0</v>
      </c>
      <c r="CQ77" s="51">
        <f t="shared" si="324"/>
        <v>802</v>
      </c>
      <c r="CR77" s="103">
        <f>CR76</f>
        <v>0</v>
      </c>
      <c r="CS77" s="46">
        <f t="shared" si="148"/>
        <v>802</v>
      </c>
      <c r="CT77" s="51">
        <f t="shared" si="325"/>
        <v>80</v>
      </c>
      <c r="CU77" s="103">
        <f>CU76</f>
        <v>0</v>
      </c>
      <c r="CV77" s="46">
        <f t="shared" si="362"/>
        <v>80</v>
      </c>
      <c r="CX77" s="120">
        <f>CX76+1</f>
        <v>18</v>
      </c>
      <c r="CY77" s="570">
        <f>CY76</f>
        <v>10</v>
      </c>
      <c r="CZ77" s="133"/>
      <c r="DA77" s="408">
        <f t="shared" si="149"/>
        <v>0</v>
      </c>
      <c r="DB77" s="562">
        <f t="shared" si="139"/>
        <v>0</v>
      </c>
      <c r="DC77" s="134"/>
      <c r="DD77" s="135"/>
      <c r="DE77" s="135"/>
      <c r="DF77" s="14">
        <f t="shared" ref="DF77:DF104" si="371">SUM(DC77:DE77)</f>
        <v>0</v>
      </c>
      <c r="DG77" s="14">
        <f t="shared" si="244"/>
        <v>0</v>
      </c>
      <c r="DH77" s="14">
        <f t="shared" si="326"/>
        <v>0.16</v>
      </c>
      <c r="DI77" s="47">
        <f t="shared" ref="DI77:DI138" si="372">IFERROR((DF77*100)/DA77,0)</f>
        <v>0</v>
      </c>
      <c r="DJ77" s="35">
        <f t="shared" si="327"/>
        <v>3.2000000000000006</v>
      </c>
      <c r="DK77" s="159">
        <f t="shared" si="245"/>
        <v>0</v>
      </c>
      <c r="DL77" s="142"/>
      <c r="DM77" s="14">
        <f t="shared" si="328"/>
        <v>52</v>
      </c>
      <c r="DN77" s="482">
        <f t="shared" si="329"/>
        <v>0</v>
      </c>
      <c r="DO77" s="470">
        <f t="shared" si="178"/>
        <v>0</v>
      </c>
      <c r="DP77" s="51">
        <f t="shared" si="330"/>
        <v>802</v>
      </c>
      <c r="DQ77" s="103">
        <f>DQ76</f>
        <v>0</v>
      </c>
      <c r="DR77" s="46">
        <f t="shared" si="150"/>
        <v>802</v>
      </c>
      <c r="DS77" s="51">
        <f t="shared" si="331"/>
        <v>80</v>
      </c>
      <c r="DT77" s="103">
        <f>DT76</f>
        <v>0</v>
      </c>
      <c r="DU77" s="46">
        <f t="shared" si="363"/>
        <v>80</v>
      </c>
    </row>
    <row r="78" spans="1:126" x14ac:dyDescent="0.25">
      <c r="B78" s="120">
        <f t="shared" ref="B78:B82" si="373">B77+1</f>
        <v>19</v>
      </c>
      <c r="C78" s="570">
        <f t="shared" ref="C78:C82" si="374">C77</f>
        <v>10</v>
      </c>
      <c r="D78" s="133"/>
      <c r="E78" s="408">
        <f t="shared" si="334"/>
        <v>171956</v>
      </c>
      <c r="F78" s="562">
        <f t="shared" si="301"/>
        <v>171956</v>
      </c>
      <c r="G78" s="134"/>
      <c r="H78" s="135"/>
      <c r="I78" s="135"/>
      <c r="J78" s="14">
        <f t="shared" si="364"/>
        <v>0</v>
      </c>
      <c r="K78" s="14">
        <f t="shared" si="335"/>
        <v>4875</v>
      </c>
      <c r="L78" s="14">
        <f t="shared" si="302"/>
        <v>0.16</v>
      </c>
      <c r="M78" s="47">
        <f t="shared" si="358"/>
        <v>0</v>
      </c>
      <c r="N78" s="35">
        <f t="shared" si="303"/>
        <v>3.2000000000000006</v>
      </c>
      <c r="O78" s="159">
        <f t="shared" si="336"/>
        <v>2.7568695534154077</v>
      </c>
      <c r="P78" s="142"/>
      <c r="Q78" s="14">
        <f t="shared" si="304"/>
        <v>52</v>
      </c>
      <c r="R78" s="482">
        <f t="shared" si="305"/>
        <v>0</v>
      </c>
      <c r="S78" s="470">
        <f t="shared" si="337"/>
        <v>328.79467076367098</v>
      </c>
      <c r="T78" s="51">
        <f t="shared" si="306"/>
        <v>802</v>
      </c>
      <c r="U78" s="103">
        <f t="shared" ref="U78:U82" si="375">U77</f>
        <v>0</v>
      </c>
      <c r="V78" s="46">
        <f t="shared" si="339"/>
        <v>802</v>
      </c>
      <c r="W78" s="51">
        <f t="shared" si="307"/>
        <v>80</v>
      </c>
      <c r="X78" s="103">
        <f t="shared" ref="X78:X82" si="376">X77</f>
        <v>0</v>
      </c>
      <c r="Y78" s="46">
        <f t="shared" si="341"/>
        <v>80</v>
      </c>
      <c r="Z78" s="487"/>
      <c r="AA78" s="120">
        <f t="shared" ref="AA78:AA82" si="377">AA77+1</f>
        <v>19</v>
      </c>
      <c r="AB78" s="570">
        <f t="shared" ref="AB78:AB82" si="378">AB77</f>
        <v>10</v>
      </c>
      <c r="AC78" s="133"/>
      <c r="AD78" s="408">
        <f t="shared" si="143"/>
        <v>0</v>
      </c>
      <c r="AE78" s="562">
        <f t="shared" si="127"/>
        <v>0</v>
      </c>
      <c r="AF78" s="134"/>
      <c r="AG78" s="135"/>
      <c r="AH78" s="135"/>
      <c r="AI78" s="14">
        <f t="shared" si="365"/>
        <v>0</v>
      </c>
      <c r="AJ78" s="14">
        <f t="shared" si="239"/>
        <v>0</v>
      </c>
      <c r="AK78" s="14">
        <f t="shared" si="308"/>
        <v>0.16</v>
      </c>
      <c r="AL78" s="47">
        <f t="shared" si="366"/>
        <v>0</v>
      </c>
      <c r="AM78" s="35">
        <f t="shared" si="309"/>
        <v>3.2000000000000006</v>
      </c>
      <c r="AN78" s="159">
        <f t="shared" si="240"/>
        <v>0</v>
      </c>
      <c r="AO78" s="142"/>
      <c r="AP78" s="14">
        <f t="shared" si="310"/>
        <v>52</v>
      </c>
      <c r="AQ78" s="482">
        <f t="shared" si="311"/>
        <v>0</v>
      </c>
      <c r="AR78" s="470">
        <f t="shared" si="175"/>
        <v>0</v>
      </c>
      <c r="AS78" s="51">
        <f t="shared" si="312"/>
        <v>802</v>
      </c>
      <c r="AT78" s="103">
        <f t="shared" ref="AT78:AT82" si="379">AT77</f>
        <v>0</v>
      </c>
      <c r="AU78" s="46">
        <f t="shared" si="144"/>
        <v>802</v>
      </c>
      <c r="AV78" s="51">
        <f t="shared" si="313"/>
        <v>80</v>
      </c>
      <c r="AW78" s="103">
        <f t="shared" ref="AW78:AW82" si="380">AW77</f>
        <v>0</v>
      </c>
      <c r="AX78" s="46">
        <f t="shared" si="360"/>
        <v>80</v>
      </c>
      <c r="AZ78" s="120">
        <f t="shared" ref="AZ78:AZ82" si="381">AZ77+1</f>
        <v>19</v>
      </c>
      <c r="BA78" s="570">
        <f t="shared" ref="BA78:BA82" si="382">BA77</f>
        <v>10</v>
      </c>
      <c r="BB78" s="133"/>
      <c r="BC78" s="408">
        <f t="shared" si="145"/>
        <v>116143</v>
      </c>
      <c r="BD78" s="562">
        <f t="shared" si="131"/>
        <v>116143</v>
      </c>
      <c r="BE78" s="134"/>
      <c r="BF78" s="135"/>
      <c r="BG78" s="135"/>
      <c r="BH78" s="14">
        <f t="shared" si="367"/>
        <v>0</v>
      </c>
      <c r="BI78" s="14">
        <f t="shared" si="241"/>
        <v>3926</v>
      </c>
      <c r="BJ78" s="14">
        <f t="shared" si="314"/>
        <v>0.16</v>
      </c>
      <c r="BK78" s="47">
        <f t="shared" si="368"/>
        <v>0</v>
      </c>
      <c r="BL78" s="35">
        <f t="shared" si="315"/>
        <v>3.2000000000000006</v>
      </c>
      <c r="BM78" s="159">
        <f t="shared" si="359"/>
        <v>3.2697865394065078</v>
      </c>
      <c r="BN78" s="142"/>
      <c r="BO78" s="14">
        <f t="shared" si="316"/>
        <v>52</v>
      </c>
      <c r="BP78" s="482">
        <f t="shared" si="317"/>
        <v>0</v>
      </c>
      <c r="BQ78" s="470">
        <f t="shared" si="176"/>
        <v>314.58428346602915</v>
      </c>
      <c r="BR78" s="51">
        <f t="shared" si="318"/>
        <v>802</v>
      </c>
      <c r="BS78" s="103">
        <f t="shared" ref="BS78:BS82" si="383">BS77</f>
        <v>0</v>
      </c>
      <c r="BT78" s="46">
        <f t="shared" si="146"/>
        <v>802</v>
      </c>
      <c r="BU78" s="51">
        <f t="shared" si="319"/>
        <v>80</v>
      </c>
      <c r="BV78" s="103">
        <f t="shared" ref="BV78:BV82" si="384">BV77</f>
        <v>0</v>
      </c>
      <c r="BW78" s="46">
        <f t="shared" si="361"/>
        <v>80</v>
      </c>
      <c r="BY78" s="120">
        <f t="shared" ref="BY78:BY82" si="385">BY77+1</f>
        <v>19</v>
      </c>
      <c r="BZ78" s="570">
        <f t="shared" ref="BZ78:BZ82" si="386">BZ77</f>
        <v>10</v>
      </c>
      <c r="CA78" s="133"/>
      <c r="CB78" s="408">
        <f t="shared" si="147"/>
        <v>0</v>
      </c>
      <c r="CC78" s="562">
        <f t="shared" si="135"/>
        <v>0</v>
      </c>
      <c r="CD78" s="134"/>
      <c r="CE78" s="135"/>
      <c r="CF78" s="135"/>
      <c r="CG78" s="14">
        <f t="shared" si="369"/>
        <v>0</v>
      </c>
      <c r="CH78" s="14">
        <f t="shared" si="242"/>
        <v>0</v>
      </c>
      <c r="CI78" s="14">
        <f t="shared" si="320"/>
        <v>0.16</v>
      </c>
      <c r="CJ78" s="47">
        <f t="shared" si="370"/>
        <v>0</v>
      </c>
      <c r="CK78" s="35">
        <f t="shared" si="321"/>
        <v>3.2000000000000006</v>
      </c>
      <c r="CL78" s="159">
        <f t="shared" si="243"/>
        <v>0</v>
      </c>
      <c r="CM78" s="142"/>
      <c r="CN78" s="14">
        <f t="shared" si="322"/>
        <v>52</v>
      </c>
      <c r="CO78" s="482">
        <f t="shared" si="323"/>
        <v>0</v>
      </c>
      <c r="CP78" s="470">
        <f t="shared" si="177"/>
        <v>0</v>
      </c>
      <c r="CQ78" s="51">
        <f t="shared" si="324"/>
        <v>802</v>
      </c>
      <c r="CR78" s="103">
        <f t="shared" ref="CR78:CR82" si="387">CR77</f>
        <v>0</v>
      </c>
      <c r="CS78" s="46">
        <f t="shared" si="148"/>
        <v>802</v>
      </c>
      <c r="CT78" s="51">
        <f t="shared" si="325"/>
        <v>80</v>
      </c>
      <c r="CU78" s="103">
        <f t="shared" ref="CU78:CU82" si="388">CU77</f>
        <v>0</v>
      </c>
      <c r="CV78" s="46">
        <f t="shared" si="362"/>
        <v>80</v>
      </c>
      <c r="CX78" s="120">
        <f t="shared" ref="CX78:CX82" si="389">CX77+1</f>
        <v>19</v>
      </c>
      <c r="CY78" s="570">
        <f t="shared" ref="CY78:CY82" si="390">CY77</f>
        <v>10</v>
      </c>
      <c r="CZ78" s="133"/>
      <c r="DA78" s="408">
        <f t="shared" si="149"/>
        <v>0</v>
      </c>
      <c r="DB78" s="562">
        <f t="shared" si="139"/>
        <v>0</v>
      </c>
      <c r="DC78" s="134"/>
      <c r="DD78" s="135"/>
      <c r="DE78" s="135"/>
      <c r="DF78" s="14">
        <f t="shared" si="371"/>
        <v>0</v>
      </c>
      <c r="DG78" s="14">
        <f t="shared" si="244"/>
        <v>0</v>
      </c>
      <c r="DH78" s="14">
        <f t="shared" si="326"/>
        <v>0.16</v>
      </c>
      <c r="DI78" s="47">
        <f t="shared" si="372"/>
        <v>0</v>
      </c>
      <c r="DJ78" s="35">
        <f t="shared" si="327"/>
        <v>3.2000000000000006</v>
      </c>
      <c r="DK78" s="159">
        <f t="shared" si="245"/>
        <v>0</v>
      </c>
      <c r="DL78" s="142"/>
      <c r="DM78" s="14">
        <f t="shared" si="328"/>
        <v>52</v>
      </c>
      <c r="DN78" s="482">
        <f t="shared" si="329"/>
        <v>0</v>
      </c>
      <c r="DO78" s="470">
        <f t="shared" si="178"/>
        <v>0</v>
      </c>
      <c r="DP78" s="51">
        <f t="shared" si="330"/>
        <v>802</v>
      </c>
      <c r="DQ78" s="103">
        <f t="shared" ref="DQ78:DQ82" si="391">DQ77</f>
        <v>0</v>
      </c>
      <c r="DR78" s="46">
        <f t="shared" si="150"/>
        <v>802</v>
      </c>
      <c r="DS78" s="51">
        <f t="shared" si="331"/>
        <v>80</v>
      </c>
      <c r="DT78" s="103">
        <f t="shared" ref="DT78:DT82" si="392">DT77</f>
        <v>0</v>
      </c>
      <c r="DU78" s="46">
        <f t="shared" si="363"/>
        <v>80</v>
      </c>
    </row>
    <row r="79" spans="1:126" x14ac:dyDescent="0.25">
      <c r="B79" s="120">
        <f t="shared" si="373"/>
        <v>20</v>
      </c>
      <c r="C79" s="570">
        <f t="shared" si="374"/>
        <v>10</v>
      </c>
      <c r="D79" s="133"/>
      <c r="E79" s="408">
        <f t="shared" si="334"/>
        <v>171956</v>
      </c>
      <c r="F79" s="562">
        <f t="shared" si="301"/>
        <v>171956</v>
      </c>
      <c r="G79" s="134"/>
      <c r="H79" s="135"/>
      <c r="I79" s="135"/>
      <c r="J79" s="14">
        <f t="shared" si="364"/>
        <v>0</v>
      </c>
      <c r="K79" s="14">
        <f t="shared" si="335"/>
        <v>4875</v>
      </c>
      <c r="L79" s="14">
        <f t="shared" si="302"/>
        <v>0.16</v>
      </c>
      <c r="M79" s="47">
        <f t="shared" si="358"/>
        <v>0</v>
      </c>
      <c r="N79" s="35">
        <f t="shared" si="303"/>
        <v>3.2000000000000006</v>
      </c>
      <c r="O79" s="159">
        <f t="shared" si="336"/>
        <v>2.7568695534154077</v>
      </c>
      <c r="P79" s="142"/>
      <c r="Q79" s="14">
        <f t="shared" si="304"/>
        <v>52</v>
      </c>
      <c r="R79" s="482">
        <f t="shared" si="305"/>
        <v>0</v>
      </c>
      <c r="S79" s="470">
        <f t="shared" si="337"/>
        <v>328.79467076367098</v>
      </c>
      <c r="T79" s="51">
        <f t="shared" si="306"/>
        <v>802</v>
      </c>
      <c r="U79" s="103">
        <f t="shared" si="375"/>
        <v>0</v>
      </c>
      <c r="V79" s="46">
        <f t="shared" si="339"/>
        <v>802</v>
      </c>
      <c r="W79" s="51">
        <f t="shared" si="307"/>
        <v>80</v>
      </c>
      <c r="X79" s="103">
        <f t="shared" si="376"/>
        <v>0</v>
      </c>
      <c r="Y79" s="62">
        <f t="shared" si="341"/>
        <v>80</v>
      </c>
      <c r="Z79" s="487"/>
      <c r="AA79" s="120">
        <f t="shared" si="377"/>
        <v>20</v>
      </c>
      <c r="AB79" s="570">
        <f t="shared" si="378"/>
        <v>10</v>
      </c>
      <c r="AC79" s="133"/>
      <c r="AD79" s="408">
        <f t="shared" si="143"/>
        <v>0</v>
      </c>
      <c r="AE79" s="562">
        <f t="shared" ref="AE79:AE138" si="393">IFERROR(AD79-AI79,0)</f>
        <v>0</v>
      </c>
      <c r="AF79" s="134"/>
      <c r="AG79" s="135"/>
      <c r="AH79" s="135"/>
      <c r="AI79" s="14">
        <f t="shared" si="365"/>
        <v>0</v>
      </c>
      <c r="AJ79" s="14">
        <f t="shared" si="239"/>
        <v>0</v>
      </c>
      <c r="AK79" s="14">
        <f t="shared" si="308"/>
        <v>0.16</v>
      </c>
      <c r="AL79" s="47">
        <f t="shared" si="366"/>
        <v>0</v>
      </c>
      <c r="AM79" s="35">
        <f t="shared" si="309"/>
        <v>3.2000000000000006</v>
      </c>
      <c r="AN79" s="159">
        <f t="shared" si="240"/>
        <v>0</v>
      </c>
      <c r="AO79" s="142"/>
      <c r="AP79" s="14">
        <f t="shared" si="310"/>
        <v>52</v>
      </c>
      <c r="AQ79" s="482">
        <f t="shared" si="311"/>
        <v>0</v>
      </c>
      <c r="AR79" s="470">
        <f t="shared" si="175"/>
        <v>0</v>
      </c>
      <c r="AS79" s="51">
        <f t="shared" si="312"/>
        <v>802</v>
      </c>
      <c r="AT79" s="103">
        <f t="shared" si="379"/>
        <v>0</v>
      </c>
      <c r="AU79" s="46">
        <f t="shared" si="144"/>
        <v>802</v>
      </c>
      <c r="AV79" s="51">
        <f t="shared" si="313"/>
        <v>80</v>
      </c>
      <c r="AW79" s="103">
        <f t="shared" si="380"/>
        <v>0</v>
      </c>
      <c r="AX79" s="62">
        <f t="shared" si="360"/>
        <v>80</v>
      </c>
      <c r="AZ79" s="120">
        <f t="shared" si="381"/>
        <v>20</v>
      </c>
      <c r="BA79" s="570">
        <f t="shared" si="382"/>
        <v>10</v>
      </c>
      <c r="BB79" s="133"/>
      <c r="BC79" s="408">
        <f t="shared" si="145"/>
        <v>116143</v>
      </c>
      <c r="BD79" s="562">
        <f t="shared" ref="BD79:BD138" si="394">IFERROR(BC79-BH79,0)</f>
        <v>116143</v>
      </c>
      <c r="BE79" s="134"/>
      <c r="BF79" s="135"/>
      <c r="BG79" s="135"/>
      <c r="BH79" s="14">
        <f t="shared" si="367"/>
        <v>0</v>
      </c>
      <c r="BI79" s="14">
        <f t="shared" si="241"/>
        <v>3926</v>
      </c>
      <c r="BJ79" s="14">
        <f t="shared" si="314"/>
        <v>0.16</v>
      </c>
      <c r="BK79" s="47">
        <f t="shared" si="368"/>
        <v>0</v>
      </c>
      <c r="BL79" s="35">
        <f t="shared" si="315"/>
        <v>3.2000000000000006</v>
      </c>
      <c r="BM79" s="159">
        <f t="shared" si="359"/>
        <v>3.2697865394065078</v>
      </c>
      <c r="BN79" s="142"/>
      <c r="BO79" s="14">
        <f t="shared" si="316"/>
        <v>52</v>
      </c>
      <c r="BP79" s="482">
        <f t="shared" si="317"/>
        <v>0</v>
      </c>
      <c r="BQ79" s="470">
        <f t="shared" si="176"/>
        <v>314.58428346602915</v>
      </c>
      <c r="BR79" s="51">
        <f t="shared" si="318"/>
        <v>802</v>
      </c>
      <c r="BS79" s="103">
        <f t="shared" si="383"/>
        <v>0</v>
      </c>
      <c r="BT79" s="46">
        <f t="shared" si="146"/>
        <v>802</v>
      </c>
      <c r="BU79" s="51">
        <f t="shared" si="319"/>
        <v>80</v>
      </c>
      <c r="BV79" s="103">
        <f t="shared" si="384"/>
        <v>0</v>
      </c>
      <c r="BW79" s="62">
        <f t="shared" si="361"/>
        <v>80</v>
      </c>
      <c r="BY79" s="120">
        <f t="shared" si="385"/>
        <v>20</v>
      </c>
      <c r="BZ79" s="570">
        <f t="shared" si="386"/>
        <v>10</v>
      </c>
      <c r="CA79" s="133"/>
      <c r="CB79" s="408">
        <f t="shared" si="147"/>
        <v>0</v>
      </c>
      <c r="CC79" s="562">
        <f t="shared" ref="CC79:CC138" si="395">IFERROR(CB79-CG79,0)</f>
        <v>0</v>
      </c>
      <c r="CD79" s="134"/>
      <c r="CE79" s="135"/>
      <c r="CF79" s="135"/>
      <c r="CG79" s="14">
        <f t="shared" si="369"/>
        <v>0</v>
      </c>
      <c r="CH79" s="14">
        <f t="shared" si="242"/>
        <v>0</v>
      </c>
      <c r="CI79" s="14">
        <f t="shared" si="320"/>
        <v>0.16</v>
      </c>
      <c r="CJ79" s="47">
        <f t="shared" si="370"/>
        <v>0</v>
      </c>
      <c r="CK79" s="35">
        <f t="shared" si="321"/>
        <v>3.2000000000000006</v>
      </c>
      <c r="CL79" s="159">
        <f t="shared" si="243"/>
        <v>0</v>
      </c>
      <c r="CM79" s="142"/>
      <c r="CN79" s="14">
        <f t="shared" si="322"/>
        <v>52</v>
      </c>
      <c r="CO79" s="482">
        <f t="shared" si="323"/>
        <v>0</v>
      </c>
      <c r="CP79" s="470">
        <f t="shared" si="177"/>
        <v>0</v>
      </c>
      <c r="CQ79" s="51">
        <f t="shared" si="324"/>
        <v>802</v>
      </c>
      <c r="CR79" s="103">
        <f t="shared" si="387"/>
        <v>0</v>
      </c>
      <c r="CS79" s="46">
        <f t="shared" si="148"/>
        <v>802</v>
      </c>
      <c r="CT79" s="51">
        <f t="shared" si="325"/>
        <v>80</v>
      </c>
      <c r="CU79" s="103">
        <f t="shared" si="388"/>
        <v>0</v>
      </c>
      <c r="CV79" s="62">
        <f t="shared" si="362"/>
        <v>80</v>
      </c>
      <c r="CX79" s="120">
        <f t="shared" si="389"/>
        <v>20</v>
      </c>
      <c r="CY79" s="570">
        <f t="shared" si="390"/>
        <v>10</v>
      </c>
      <c r="CZ79" s="133"/>
      <c r="DA79" s="408">
        <f t="shared" si="149"/>
        <v>0</v>
      </c>
      <c r="DB79" s="562">
        <f t="shared" ref="DB79:DB138" si="396">IFERROR(DA79-DF79,0)</f>
        <v>0</v>
      </c>
      <c r="DC79" s="134"/>
      <c r="DD79" s="135"/>
      <c r="DE79" s="135"/>
      <c r="DF79" s="14">
        <f t="shared" si="371"/>
        <v>0</v>
      </c>
      <c r="DG79" s="14">
        <f t="shared" si="244"/>
        <v>0</v>
      </c>
      <c r="DH79" s="14">
        <f t="shared" si="326"/>
        <v>0.16</v>
      </c>
      <c r="DI79" s="47">
        <f t="shared" si="372"/>
        <v>0</v>
      </c>
      <c r="DJ79" s="35">
        <f t="shared" si="327"/>
        <v>3.2000000000000006</v>
      </c>
      <c r="DK79" s="159">
        <f t="shared" si="245"/>
        <v>0</v>
      </c>
      <c r="DL79" s="142"/>
      <c r="DM79" s="14">
        <f t="shared" si="328"/>
        <v>52</v>
      </c>
      <c r="DN79" s="482">
        <f t="shared" si="329"/>
        <v>0</v>
      </c>
      <c r="DO79" s="470">
        <f t="shared" si="178"/>
        <v>0</v>
      </c>
      <c r="DP79" s="51">
        <f t="shared" si="330"/>
        <v>802</v>
      </c>
      <c r="DQ79" s="103">
        <f t="shared" si="391"/>
        <v>0</v>
      </c>
      <c r="DR79" s="46">
        <f t="shared" si="150"/>
        <v>802</v>
      </c>
      <c r="DS79" s="51">
        <f t="shared" si="331"/>
        <v>80</v>
      </c>
      <c r="DT79" s="103">
        <f t="shared" si="392"/>
        <v>0</v>
      </c>
      <c r="DU79" s="62">
        <f t="shared" si="363"/>
        <v>80</v>
      </c>
    </row>
    <row r="80" spans="1:126" x14ac:dyDescent="0.25">
      <c r="B80" s="120">
        <f t="shared" si="373"/>
        <v>21</v>
      </c>
      <c r="C80" s="570">
        <f t="shared" si="374"/>
        <v>10</v>
      </c>
      <c r="D80" s="143"/>
      <c r="E80" s="408">
        <f t="shared" si="334"/>
        <v>171956</v>
      </c>
      <c r="F80" s="562">
        <f t="shared" si="301"/>
        <v>171956</v>
      </c>
      <c r="G80" s="134"/>
      <c r="H80" s="135"/>
      <c r="I80" s="135"/>
      <c r="J80" s="14">
        <f t="shared" si="364"/>
        <v>0</v>
      </c>
      <c r="K80" s="14">
        <f t="shared" si="335"/>
        <v>4875</v>
      </c>
      <c r="L80" s="14">
        <f t="shared" si="302"/>
        <v>0.16</v>
      </c>
      <c r="M80" s="47">
        <f t="shared" si="358"/>
        <v>0</v>
      </c>
      <c r="N80" s="35">
        <f t="shared" si="303"/>
        <v>3.2000000000000006</v>
      </c>
      <c r="O80" s="159">
        <f t="shared" si="336"/>
        <v>2.7568695534154077</v>
      </c>
      <c r="P80" s="142"/>
      <c r="Q80" s="14">
        <f t="shared" si="304"/>
        <v>52</v>
      </c>
      <c r="R80" s="442">
        <f t="shared" si="305"/>
        <v>0</v>
      </c>
      <c r="S80" s="470">
        <f t="shared" si="337"/>
        <v>328.79467076367098</v>
      </c>
      <c r="T80" s="51">
        <f t="shared" si="306"/>
        <v>802</v>
      </c>
      <c r="U80" s="103">
        <f t="shared" si="375"/>
        <v>0</v>
      </c>
      <c r="V80" s="46">
        <f t="shared" si="339"/>
        <v>802</v>
      </c>
      <c r="W80" s="12">
        <f t="shared" si="307"/>
        <v>80</v>
      </c>
      <c r="X80" s="103">
        <f t="shared" si="376"/>
        <v>0</v>
      </c>
      <c r="Y80" s="46">
        <f t="shared" si="341"/>
        <v>80</v>
      </c>
      <c r="Z80" s="487"/>
      <c r="AA80" s="120">
        <f t="shared" si="377"/>
        <v>21</v>
      </c>
      <c r="AB80" s="570">
        <f t="shared" si="378"/>
        <v>10</v>
      </c>
      <c r="AC80" s="143"/>
      <c r="AD80" s="408">
        <f t="shared" si="143"/>
        <v>0</v>
      </c>
      <c r="AE80" s="562">
        <f t="shared" si="393"/>
        <v>0</v>
      </c>
      <c r="AF80" s="134"/>
      <c r="AG80" s="135"/>
      <c r="AH80" s="135"/>
      <c r="AI80" s="14">
        <f t="shared" si="365"/>
        <v>0</v>
      </c>
      <c r="AJ80" s="14">
        <f t="shared" si="239"/>
        <v>0</v>
      </c>
      <c r="AK80" s="14">
        <f t="shared" si="308"/>
        <v>0.16</v>
      </c>
      <c r="AL80" s="47">
        <f t="shared" si="366"/>
        <v>0</v>
      </c>
      <c r="AM80" s="35">
        <f t="shared" si="309"/>
        <v>3.2000000000000006</v>
      </c>
      <c r="AN80" s="159">
        <f t="shared" si="240"/>
        <v>0</v>
      </c>
      <c r="AO80" s="142"/>
      <c r="AP80" s="14">
        <f t="shared" si="310"/>
        <v>52</v>
      </c>
      <c r="AQ80" s="442">
        <f t="shared" si="311"/>
        <v>0</v>
      </c>
      <c r="AR80" s="470">
        <f t="shared" si="175"/>
        <v>0</v>
      </c>
      <c r="AS80" s="51">
        <f t="shared" si="312"/>
        <v>802</v>
      </c>
      <c r="AT80" s="103">
        <f t="shared" si="379"/>
        <v>0</v>
      </c>
      <c r="AU80" s="46">
        <f t="shared" si="144"/>
        <v>802</v>
      </c>
      <c r="AV80" s="12">
        <f t="shared" si="313"/>
        <v>80</v>
      </c>
      <c r="AW80" s="103">
        <f t="shared" si="380"/>
        <v>0</v>
      </c>
      <c r="AX80" s="46">
        <f t="shared" si="360"/>
        <v>80</v>
      </c>
      <c r="AZ80" s="120">
        <f t="shared" si="381"/>
        <v>21</v>
      </c>
      <c r="BA80" s="570">
        <f t="shared" si="382"/>
        <v>10</v>
      </c>
      <c r="BB80" s="143"/>
      <c r="BC80" s="408">
        <f t="shared" si="145"/>
        <v>116143</v>
      </c>
      <c r="BD80" s="562">
        <f t="shared" si="394"/>
        <v>116143</v>
      </c>
      <c r="BE80" s="134"/>
      <c r="BF80" s="135"/>
      <c r="BG80" s="135"/>
      <c r="BH80" s="14">
        <f t="shared" si="367"/>
        <v>0</v>
      </c>
      <c r="BI80" s="14">
        <f t="shared" si="241"/>
        <v>3926</v>
      </c>
      <c r="BJ80" s="14">
        <f t="shared" si="314"/>
        <v>0.16</v>
      </c>
      <c r="BK80" s="47">
        <f t="shared" si="368"/>
        <v>0</v>
      </c>
      <c r="BL80" s="35">
        <f t="shared" si="315"/>
        <v>3.2000000000000006</v>
      </c>
      <c r="BM80" s="159">
        <f t="shared" si="359"/>
        <v>3.2697865394065078</v>
      </c>
      <c r="BN80" s="142"/>
      <c r="BO80" s="14">
        <f t="shared" si="316"/>
        <v>52</v>
      </c>
      <c r="BP80" s="442">
        <f t="shared" si="317"/>
        <v>0</v>
      </c>
      <c r="BQ80" s="470">
        <f t="shared" si="176"/>
        <v>314.58428346602915</v>
      </c>
      <c r="BR80" s="51">
        <f t="shared" si="318"/>
        <v>802</v>
      </c>
      <c r="BS80" s="103">
        <f t="shared" si="383"/>
        <v>0</v>
      </c>
      <c r="BT80" s="46">
        <f t="shared" si="146"/>
        <v>802</v>
      </c>
      <c r="BU80" s="12">
        <f t="shared" si="319"/>
        <v>80</v>
      </c>
      <c r="BV80" s="103">
        <f t="shared" si="384"/>
        <v>0</v>
      </c>
      <c r="BW80" s="46">
        <f t="shared" si="361"/>
        <v>80</v>
      </c>
      <c r="BY80" s="120">
        <f t="shared" si="385"/>
        <v>21</v>
      </c>
      <c r="BZ80" s="570">
        <f t="shared" si="386"/>
        <v>10</v>
      </c>
      <c r="CA80" s="143"/>
      <c r="CB80" s="408">
        <f t="shared" si="147"/>
        <v>0</v>
      </c>
      <c r="CC80" s="562">
        <f t="shared" si="395"/>
        <v>0</v>
      </c>
      <c r="CD80" s="134"/>
      <c r="CE80" s="135"/>
      <c r="CF80" s="135"/>
      <c r="CG80" s="14">
        <f t="shared" si="369"/>
        <v>0</v>
      </c>
      <c r="CH80" s="14">
        <f t="shared" si="242"/>
        <v>0</v>
      </c>
      <c r="CI80" s="14">
        <f t="shared" si="320"/>
        <v>0.16</v>
      </c>
      <c r="CJ80" s="47">
        <f t="shared" si="370"/>
        <v>0</v>
      </c>
      <c r="CK80" s="35">
        <f t="shared" si="321"/>
        <v>3.2000000000000006</v>
      </c>
      <c r="CL80" s="159">
        <f t="shared" si="243"/>
        <v>0</v>
      </c>
      <c r="CM80" s="142"/>
      <c r="CN80" s="14">
        <f t="shared" si="322"/>
        <v>52</v>
      </c>
      <c r="CO80" s="442">
        <f t="shared" si="323"/>
        <v>0</v>
      </c>
      <c r="CP80" s="470">
        <f t="shared" si="177"/>
        <v>0</v>
      </c>
      <c r="CQ80" s="51">
        <f t="shared" si="324"/>
        <v>802</v>
      </c>
      <c r="CR80" s="103">
        <f t="shared" si="387"/>
        <v>0</v>
      </c>
      <c r="CS80" s="46">
        <f t="shared" si="148"/>
        <v>802</v>
      </c>
      <c r="CT80" s="12">
        <f t="shared" si="325"/>
        <v>80</v>
      </c>
      <c r="CU80" s="103">
        <f t="shared" si="388"/>
        <v>0</v>
      </c>
      <c r="CV80" s="46">
        <f t="shared" si="362"/>
        <v>80</v>
      </c>
      <c r="CX80" s="120">
        <f t="shared" si="389"/>
        <v>21</v>
      </c>
      <c r="CY80" s="570">
        <f t="shared" si="390"/>
        <v>10</v>
      </c>
      <c r="CZ80" s="143"/>
      <c r="DA80" s="408">
        <f t="shared" si="149"/>
        <v>0</v>
      </c>
      <c r="DB80" s="562">
        <f t="shared" si="396"/>
        <v>0</v>
      </c>
      <c r="DC80" s="134"/>
      <c r="DD80" s="135"/>
      <c r="DE80" s="135"/>
      <c r="DF80" s="14">
        <f t="shared" si="371"/>
        <v>0</v>
      </c>
      <c r="DG80" s="14">
        <f t="shared" si="244"/>
        <v>0</v>
      </c>
      <c r="DH80" s="14">
        <f t="shared" si="326"/>
        <v>0.16</v>
      </c>
      <c r="DI80" s="47">
        <f t="shared" si="372"/>
        <v>0</v>
      </c>
      <c r="DJ80" s="35">
        <f t="shared" si="327"/>
        <v>3.2000000000000006</v>
      </c>
      <c r="DK80" s="159">
        <f t="shared" si="245"/>
        <v>0</v>
      </c>
      <c r="DL80" s="142"/>
      <c r="DM80" s="14">
        <f t="shared" si="328"/>
        <v>52</v>
      </c>
      <c r="DN80" s="442">
        <f t="shared" si="329"/>
        <v>0</v>
      </c>
      <c r="DO80" s="470">
        <f t="shared" si="178"/>
        <v>0</v>
      </c>
      <c r="DP80" s="51">
        <f t="shared" si="330"/>
        <v>802</v>
      </c>
      <c r="DQ80" s="103">
        <f t="shared" si="391"/>
        <v>0</v>
      </c>
      <c r="DR80" s="46">
        <f t="shared" si="150"/>
        <v>802</v>
      </c>
      <c r="DS80" s="12">
        <f t="shared" si="331"/>
        <v>80</v>
      </c>
      <c r="DT80" s="103">
        <f t="shared" si="392"/>
        <v>0</v>
      </c>
      <c r="DU80" s="46">
        <f t="shared" si="363"/>
        <v>80</v>
      </c>
    </row>
    <row r="81" spans="1:125" x14ac:dyDescent="0.25">
      <c r="B81" s="120">
        <f t="shared" si="373"/>
        <v>22</v>
      </c>
      <c r="C81" s="570">
        <f t="shared" si="374"/>
        <v>10</v>
      </c>
      <c r="D81" s="133"/>
      <c r="E81" s="408">
        <f t="shared" si="334"/>
        <v>171956</v>
      </c>
      <c r="F81" s="562">
        <f t="shared" si="301"/>
        <v>171956</v>
      </c>
      <c r="G81" s="134"/>
      <c r="H81" s="135"/>
      <c r="I81" s="135"/>
      <c r="J81" s="14">
        <f t="shared" si="364"/>
        <v>0</v>
      </c>
      <c r="K81" s="14">
        <f t="shared" si="335"/>
        <v>4875</v>
      </c>
      <c r="L81" s="14">
        <f t="shared" si="302"/>
        <v>0.16</v>
      </c>
      <c r="M81" s="47">
        <f t="shared" si="358"/>
        <v>0</v>
      </c>
      <c r="N81" s="35">
        <f t="shared" si="303"/>
        <v>3.2000000000000006</v>
      </c>
      <c r="O81" s="159">
        <f t="shared" si="336"/>
        <v>2.7568695534154077</v>
      </c>
      <c r="P81" s="142"/>
      <c r="Q81" s="14">
        <f t="shared" si="304"/>
        <v>52</v>
      </c>
      <c r="R81" s="442">
        <f t="shared" si="305"/>
        <v>0</v>
      </c>
      <c r="S81" s="470">
        <f t="shared" si="337"/>
        <v>328.79467076367098</v>
      </c>
      <c r="T81" s="51">
        <f t="shared" si="306"/>
        <v>802</v>
      </c>
      <c r="U81" s="103">
        <f t="shared" si="375"/>
        <v>0</v>
      </c>
      <c r="V81" s="46">
        <f t="shared" si="339"/>
        <v>802</v>
      </c>
      <c r="W81" s="50">
        <f t="shared" si="307"/>
        <v>80</v>
      </c>
      <c r="X81" s="103">
        <f t="shared" si="376"/>
        <v>0</v>
      </c>
      <c r="Y81" s="46">
        <f t="shared" si="341"/>
        <v>80</v>
      </c>
      <c r="Z81" s="487"/>
      <c r="AA81" s="120">
        <f t="shared" si="377"/>
        <v>22</v>
      </c>
      <c r="AB81" s="570">
        <f t="shared" si="378"/>
        <v>10</v>
      </c>
      <c r="AC81" s="133"/>
      <c r="AD81" s="408">
        <f t="shared" si="143"/>
        <v>0</v>
      </c>
      <c r="AE81" s="562">
        <f t="shared" si="393"/>
        <v>0</v>
      </c>
      <c r="AF81" s="134"/>
      <c r="AG81" s="135"/>
      <c r="AH81" s="135"/>
      <c r="AI81" s="14">
        <f t="shared" si="365"/>
        <v>0</v>
      </c>
      <c r="AJ81" s="14">
        <f t="shared" si="239"/>
        <v>0</v>
      </c>
      <c r="AK81" s="14">
        <f t="shared" si="308"/>
        <v>0.16</v>
      </c>
      <c r="AL81" s="47">
        <f t="shared" si="366"/>
        <v>0</v>
      </c>
      <c r="AM81" s="35">
        <f t="shared" si="309"/>
        <v>3.2000000000000006</v>
      </c>
      <c r="AN81" s="159">
        <f t="shared" si="240"/>
        <v>0</v>
      </c>
      <c r="AO81" s="142"/>
      <c r="AP81" s="14">
        <f t="shared" si="310"/>
        <v>52</v>
      </c>
      <c r="AQ81" s="442">
        <f t="shared" si="311"/>
        <v>0</v>
      </c>
      <c r="AR81" s="470">
        <f t="shared" si="175"/>
        <v>0</v>
      </c>
      <c r="AS81" s="51">
        <f t="shared" si="312"/>
        <v>802</v>
      </c>
      <c r="AT81" s="103">
        <f t="shared" si="379"/>
        <v>0</v>
      </c>
      <c r="AU81" s="46">
        <f t="shared" si="144"/>
        <v>802</v>
      </c>
      <c r="AV81" s="50">
        <f t="shared" si="313"/>
        <v>80</v>
      </c>
      <c r="AW81" s="103">
        <f t="shared" si="380"/>
        <v>0</v>
      </c>
      <c r="AX81" s="46">
        <f t="shared" si="360"/>
        <v>80</v>
      </c>
      <c r="AZ81" s="120">
        <f t="shared" si="381"/>
        <v>22</v>
      </c>
      <c r="BA81" s="570">
        <f t="shared" si="382"/>
        <v>10</v>
      </c>
      <c r="BB81" s="133"/>
      <c r="BC81" s="408">
        <f t="shared" si="145"/>
        <v>116143</v>
      </c>
      <c r="BD81" s="562">
        <f t="shared" si="394"/>
        <v>116143</v>
      </c>
      <c r="BE81" s="134"/>
      <c r="BF81" s="135"/>
      <c r="BG81" s="135"/>
      <c r="BH81" s="14">
        <f t="shared" si="367"/>
        <v>0</v>
      </c>
      <c r="BI81" s="14">
        <f t="shared" si="241"/>
        <v>3926</v>
      </c>
      <c r="BJ81" s="14">
        <f t="shared" si="314"/>
        <v>0.16</v>
      </c>
      <c r="BK81" s="47">
        <f t="shared" si="368"/>
        <v>0</v>
      </c>
      <c r="BL81" s="35">
        <f t="shared" si="315"/>
        <v>3.2000000000000006</v>
      </c>
      <c r="BM81" s="159">
        <f t="shared" si="359"/>
        <v>3.2697865394065078</v>
      </c>
      <c r="BN81" s="142"/>
      <c r="BO81" s="14">
        <f t="shared" si="316"/>
        <v>52</v>
      </c>
      <c r="BP81" s="442">
        <f t="shared" si="317"/>
        <v>0</v>
      </c>
      <c r="BQ81" s="470">
        <f t="shared" si="176"/>
        <v>314.58428346602915</v>
      </c>
      <c r="BR81" s="51">
        <f t="shared" si="318"/>
        <v>802</v>
      </c>
      <c r="BS81" s="103">
        <f t="shared" si="383"/>
        <v>0</v>
      </c>
      <c r="BT81" s="46">
        <f t="shared" si="146"/>
        <v>802</v>
      </c>
      <c r="BU81" s="50">
        <f t="shared" si="319"/>
        <v>80</v>
      </c>
      <c r="BV81" s="103">
        <f t="shared" si="384"/>
        <v>0</v>
      </c>
      <c r="BW81" s="46">
        <f t="shared" si="361"/>
        <v>80</v>
      </c>
      <c r="BY81" s="120">
        <f t="shared" si="385"/>
        <v>22</v>
      </c>
      <c r="BZ81" s="570">
        <f t="shared" si="386"/>
        <v>10</v>
      </c>
      <c r="CA81" s="133"/>
      <c r="CB81" s="408">
        <f t="shared" si="147"/>
        <v>0</v>
      </c>
      <c r="CC81" s="562">
        <f t="shared" si="395"/>
        <v>0</v>
      </c>
      <c r="CD81" s="134"/>
      <c r="CE81" s="135"/>
      <c r="CF81" s="135"/>
      <c r="CG81" s="14">
        <f t="shared" si="369"/>
        <v>0</v>
      </c>
      <c r="CH81" s="14">
        <f t="shared" si="242"/>
        <v>0</v>
      </c>
      <c r="CI81" s="14">
        <f t="shared" si="320"/>
        <v>0.16</v>
      </c>
      <c r="CJ81" s="47">
        <f t="shared" si="370"/>
        <v>0</v>
      </c>
      <c r="CK81" s="35">
        <f t="shared" si="321"/>
        <v>3.2000000000000006</v>
      </c>
      <c r="CL81" s="159">
        <f t="shared" si="243"/>
        <v>0</v>
      </c>
      <c r="CM81" s="142"/>
      <c r="CN81" s="14">
        <f t="shared" si="322"/>
        <v>52</v>
      </c>
      <c r="CO81" s="442">
        <f t="shared" si="323"/>
        <v>0</v>
      </c>
      <c r="CP81" s="470">
        <f t="shared" si="177"/>
        <v>0</v>
      </c>
      <c r="CQ81" s="51">
        <f t="shared" si="324"/>
        <v>802</v>
      </c>
      <c r="CR81" s="103">
        <f t="shared" si="387"/>
        <v>0</v>
      </c>
      <c r="CS81" s="46">
        <f t="shared" si="148"/>
        <v>802</v>
      </c>
      <c r="CT81" s="50">
        <f t="shared" si="325"/>
        <v>80</v>
      </c>
      <c r="CU81" s="103">
        <f t="shared" si="388"/>
        <v>0</v>
      </c>
      <c r="CV81" s="46">
        <f t="shared" si="362"/>
        <v>80</v>
      </c>
      <c r="CX81" s="120">
        <f t="shared" si="389"/>
        <v>22</v>
      </c>
      <c r="CY81" s="570">
        <f t="shared" si="390"/>
        <v>10</v>
      </c>
      <c r="CZ81" s="133"/>
      <c r="DA81" s="408">
        <f t="shared" si="149"/>
        <v>0</v>
      </c>
      <c r="DB81" s="562">
        <f t="shared" si="396"/>
        <v>0</v>
      </c>
      <c r="DC81" s="134"/>
      <c r="DD81" s="135"/>
      <c r="DE81" s="135"/>
      <c r="DF81" s="14">
        <f t="shared" si="371"/>
        <v>0</v>
      </c>
      <c r="DG81" s="14">
        <f t="shared" si="244"/>
        <v>0</v>
      </c>
      <c r="DH81" s="14">
        <f t="shared" si="326"/>
        <v>0.16</v>
      </c>
      <c r="DI81" s="47">
        <f t="shared" si="372"/>
        <v>0</v>
      </c>
      <c r="DJ81" s="35">
        <f t="shared" si="327"/>
        <v>3.2000000000000006</v>
      </c>
      <c r="DK81" s="159">
        <f t="shared" si="245"/>
        <v>0</v>
      </c>
      <c r="DL81" s="142"/>
      <c r="DM81" s="14">
        <f t="shared" si="328"/>
        <v>52</v>
      </c>
      <c r="DN81" s="442">
        <f t="shared" si="329"/>
        <v>0</v>
      </c>
      <c r="DO81" s="470">
        <f t="shared" si="178"/>
        <v>0</v>
      </c>
      <c r="DP81" s="51">
        <f t="shared" si="330"/>
        <v>802</v>
      </c>
      <c r="DQ81" s="103">
        <f t="shared" si="391"/>
        <v>0</v>
      </c>
      <c r="DR81" s="46">
        <f t="shared" si="150"/>
        <v>802</v>
      </c>
      <c r="DS81" s="50">
        <f t="shared" si="331"/>
        <v>80</v>
      </c>
      <c r="DT81" s="103">
        <f t="shared" si="392"/>
        <v>0</v>
      </c>
      <c r="DU81" s="46">
        <f t="shared" si="363"/>
        <v>80</v>
      </c>
    </row>
    <row r="82" spans="1:125" ht="17.25" thickBot="1" x14ac:dyDescent="0.3">
      <c r="B82" s="197">
        <f t="shared" si="373"/>
        <v>23</v>
      </c>
      <c r="C82" s="574">
        <f t="shared" si="374"/>
        <v>10</v>
      </c>
      <c r="D82" s="136"/>
      <c r="E82" s="436">
        <f t="shared" si="334"/>
        <v>171956</v>
      </c>
      <c r="F82" s="451">
        <f t="shared" si="301"/>
        <v>171956</v>
      </c>
      <c r="G82" s="137"/>
      <c r="H82" s="138"/>
      <c r="I82" s="138"/>
      <c r="J82" s="32">
        <f t="shared" si="364"/>
        <v>0</v>
      </c>
      <c r="K82" s="32">
        <f t="shared" si="335"/>
        <v>4875</v>
      </c>
      <c r="L82" s="32">
        <f t="shared" si="302"/>
        <v>0.16</v>
      </c>
      <c r="M82" s="96">
        <f t="shared" si="358"/>
        <v>0</v>
      </c>
      <c r="N82" s="36">
        <f t="shared" si="303"/>
        <v>3.2000000000000006</v>
      </c>
      <c r="O82" s="156">
        <f t="shared" si="336"/>
        <v>2.7568695534154077</v>
      </c>
      <c r="P82" s="139"/>
      <c r="Q82" s="32">
        <f t="shared" si="304"/>
        <v>52</v>
      </c>
      <c r="R82" s="592">
        <f t="shared" si="305"/>
        <v>0</v>
      </c>
      <c r="S82" s="471">
        <f t="shared" si="337"/>
        <v>328.79467076367098</v>
      </c>
      <c r="T82" s="56">
        <f t="shared" si="306"/>
        <v>802</v>
      </c>
      <c r="U82" s="109">
        <f t="shared" si="375"/>
        <v>0</v>
      </c>
      <c r="V82" s="63">
        <f t="shared" si="339"/>
        <v>802</v>
      </c>
      <c r="W82" s="56">
        <f t="shared" si="307"/>
        <v>80</v>
      </c>
      <c r="X82" s="109">
        <f t="shared" si="376"/>
        <v>0</v>
      </c>
      <c r="Y82" s="63">
        <f t="shared" si="341"/>
        <v>80</v>
      </c>
      <c r="Z82" s="487"/>
      <c r="AA82" s="197">
        <f t="shared" si="377"/>
        <v>23</v>
      </c>
      <c r="AB82" s="574">
        <f t="shared" si="378"/>
        <v>10</v>
      </c>
      <c r="AC82" s="136"/>
      <c r="AD82" s="436">
        <f t="shared" si="143"/>
        <v>0</v>
      </c>
      <c r="AE82" s="451">
        <f t="shared" si="393"/>
        <v>0</v>
      </c>
      <c r="AF82" s="137"/>
      <c r="AG82" s="138"/>
      <c r="AH82" s="138"/>
      <c r="AI82" s="32">
        <f t="shared" si="365"/>
        <v>0</v>
      </c>
      <c r="AJ82" s="32">
        <f t="shared" si="239"/>
        <v>0</v>
      </c>
      <c r="AK82" s="32">
        <f t="shared" si="308"/>
        <v>0.16</v>
      </c>
      <c r="AL82" s="96">
        <f t="shared" si="366"/>
        <v>0</v>
      </c>
      <c r="AM82" s="36">
        <f t="shared" si="309"/>
        <v>3.2000000000000006</v>
      </c>
      <c r="AN82" s="156">
        <f t="shared" si="240"/>
        <v>0</v>
      </c>
      <c r="AO82" s="139"/>
      <c r="AP82" s="32">
        <f t="shared" si="310"/>
        <v>52</v>
      </c>
      <c r="AQ82" s="592">
        <f t="shared" si="311"/>
        <v>0</v>
      </c>
      <c r="AR82" s="471">
        <f t="shared" si="175"/>
        <v>0</v>
      </c>
      <c r="AS82" s="56">
        <f t="shared" si="312"/>
        <v>802</v>
      </c>
      <c r="AT82" s="109">
        <f t="shared" si="379"/>
        <v>0</v>
      </c>
      <c r="AU82" s="63">
        <f t="shared" si="144"/>
        <v>802</v>
      </c>
      <c r="AV82" s="56">
        <f t="shared" si="313"/>
        <v>80</v>
      </c>
      <c r="AW82" s="109">
        <f t="shared" si="380"/>
        <v>0</v>
      </c>
      <c r="AX82" s="63">
        <f t="shared" si="360"/>
        <v>80</v>
      </c>
      <c r="AZ82" s="197">
        <f t="shared" si="381"/>
        <v>23</v>
      </c>
      <c r="BA82" s="574">
        <f t="shared" si="382"/>
        <v>10</v>
      </c>
      <c r="BB82" s="136"/>
      <c r="BC82" s="436">
        <f t="shared" si="145"/>
        <v>116143</v>
      </c>
      <c r="BD82" s="451">
        <f t="shared" si="394"/>
        <v>116143</v>
      </c>
      <c r="BE82" s="137"/>
      <c r="BF82" s="138"/>
      <c r="BG82" s="138"/>
      <c r="BH82" s="32">
        <f t="shared" si="367"/>
        <v>0</v>
      </c>
      <c r="BI82" s="32">
        <f t="shared" si="241"/>
        <v>3926</v>
      </c>
      <c r="BJ82" s="32">
        <f t="shared" si="314"/>
        <v>0.16</v>
      </c>
      <c r="BK82" s="96">
        <f t="shared" si="368"/>
        <v>0</v>
      </c>
      <c r="BL82" s="36">
        <f t="shared" si="315"/>
        <v>3.2000000000000006</v>
      </c>
      <c r="BM82" s="156">
        <f t="shared" si="359"/>
        <v>3.2697865394065078</v>
      </c>
      <c r="BN82" s="139"/>
      <c r="BO82" s="32">
        <f t="shared" si="316"/>
        <v>52</v>
      </c>
      <c r="BP82" s="592">
        <f t="shared" si="317"/>
        <v>0</v>
      </c>
      <c r="BQ82" s="471">
        <f t="shared" si="176"/>
        <v>314.58428346602915</v>
      </c>
      <c r="BR82" s="56">
        <f t="shared" si="318"/>
        <v>802</v>
      </c>
      <c r="BS82" s="109">
        <f t="shared" si="383"/>
        <v>0</v>
      </c>
      <c r="BT82" s="63">
        <f t="shared" si="146"/>
        <v>802</v>
      </c>
      <c r="BU82" s="56">
        <f t="shared" si="319"/>
        <v>80</v>
      </c>
      <c r="BV82" s="109">
        <f t="shared" si="384"/>
        <v>0</v>
      </c>
      <c r="BW82" s="63">
        <f t="shared" si="361"/>
        <v>80</v>
      </c>
      <c r="BY82" s="197">
        <f t="shared" si="385"/>
        <v>23</v>
      </c>
      <c r="BZ82" s="574">
        <f t="shared" si="386"/>
        <v>10</v>
      </c>
      <c r="CA82" s="136"/>
      <c r="CB82" s="436">
        <f t="shared" si="147"/>
        <v>0</v>
      </c>
      <c r="CC82" s="451">
        <f t="shared" si="395"/>
        <v>0</v>
      </c>
      <c r="CD82" s="137"/>
      <c r="CE82" s="138"/>
      <c r="CF82" s="138"/>
      <c r="CG82" s="32">
        <f t="shared" si="369"/>
        <v>0</v>
      </c>
      <c r="CH82" s="32">
        <f t="shared" si="242"/>
        <v>0</v>
      </c>
      <c r="CI82" s="32">
        <f t="shared" si="320"/>
        <v>0.16</v>
      </c>
      <c r="CJ82" s="96">
        <f t="shared" si="370"/>
        <v>0</v>
      </c>
      <c r="CK82" s="36">
        <f t="shared" si="321"/>
        <v>3.2000000000000006</v>
      </c>
      <c r="CL82" s="156">
        <f t="shared" si="243"/>
        <v>0</v>
      </c>
      <c r="CM82" s="139"/>
      <c r="CN82" s="32">
        <f t="shared" si="322"/>
        <v>52</v>
      </c>
      <c r="CO82" s="592">
        <f t="shared" si="323"/>
        <v>0</v>
      </c>
      <c r="CP82" s="471">
        <f t="shared" si="177"/>
        <v>0</v>
      </c>
      <c r="CQ82" s="56">
        <f t="shared" si="324"/>
        <v>802</v>
      </c>
      <c r="CR82" s="109">
        <f t="shared" si="387"/>
        <v>0</v>
      </c>
      <c r="CS82" s="63">
        <f t="shared" si="148"/>
        <v>802</v>
      </c>
      <c r="CT82" s="56">
        <f t="shared" si="325"/>
        <v>80</v>
      </c>
      <c r="CU82" s="109">
        <f t="shared" si="388"/>
        <v>0</v>
      </c>
      <c r="CV82" s="63">
        <f t="shared" si="362"/>
        <v>80</v>
      </c>
      <c r="CX82" s="197">
        <f t="shared" si="389"/>
        <v>23</v>
      </c>
      <c r="CY82" s="574">
        <f t="shared" si="390"/>
        <v>10</v>
      </c>
      <c r="CZ82" s="136"/>
      <c r="DA82" s="436">
        <f t="shared" si="149"/>
        <v>0</v>
      </c>
      <c r="DB82" s="451">
        <f t="shared" si="396"/>
        <v>0</v>
      </c>
      <c r="DC82" s="137"/>
      <c r="DD82" s="138"/>
      <c r="DE82" s="138"/>
      <c r="DF82" s="32">
        <f t="shared" si="371"/>
        <v>0</v>
      </c>
      <c r="DG82" s="32">
        <f t="shared" si="244"/>
        <v>0</v>
      </c>
      <c r="DH82" s="32">
        <f t="shared" si="326"/>
        <v>0.16</v>
      </c>
      <c r="DI82" s="96">
        <f t="shared" si="372"/>
        <v>0</v>
      </c>
      <c r="DJ82" s="36">
        <f t="shared" si="327"/>
        <v>3.2000000000000006</v>
      </c>
      <c r="DK82" s="156">
        <f t="shared" si="245"/>
        <v>0</v>
      </c>
      <c r="DL82" s="139"/>
      <c r="DM82" s="32">
        <f t="shared" si="328"/>
        <v>52</v>
      </c>
      <c r="DN82" s="592">
        <f t="shared" si="329"/>
        <v>0</v>
      </c>
      <c r="DO82" s="471">
        <f t="shared" si="178"/>
        <v>0</v>
      </c>
      <c r="DP82" s="56">
        <f t="shared" si="330"/>
        <v>802</v>
      </c>
      <c r="DQ82" s="109">
        <f t="shared" si="391"/>
        <v>0</v>
      </c>
      <c r="DR82" s="63">
        <f t="shared" si="150"/>
        <v>802</v>
      </c>
      <c r="DS82" s="56">
        <f t="shared" si="331"/>
        <v>80</v>
      </c>
      <c r="DT82" s="109">
        <f t="shared" si="392"/>
        <v>0</v>
      </c>
      <c r="DU82" s="63">
        <f t="shared" si="363"/>
        <v>80</v>
      </c>
    </row>
    <row r="83" spans="1:125" x14ac:dyDescent="0.25">
      <c r="B83" s="198">
        <v>24</v>
      </c>
      <c r="C83" s="826">
        <v>11</v>
      </c>
      <c r="D83" s="143"/>
      <c r="E83" s="430">
        <f t="shared" si="334"/>
        <v>171956</v>
      </c>
      <c r="F83" s="583">
        <f t="shared" si="301"/>
        <v>171956</v>
      </c>
      <c r="G83" s="144"/>
      <c r="H83" s="141"/>
      <c r="I83" s="141"/>
      <c r="J83" s="17">
        <f t="shared" si="364"/>
        <v>0</v>
      </c>
      <c r="K83" s="17">
        <f t="shared" si="335"/>
        <v>4875</v>
      </c>
      <c r="L83" s="17">
        <f t="shared" si="302"/>
        <v>0.16</v>
      </c>
      <c r="M83" s="235">
        <f t="shared" si="358"/>
        <v>0</v>
      </c>
      <c r="N83" s="33">
        <f t="shared" si="303"/>
        <v>3.3600000000000008</v>
      </c>
      <c r="O83" s="210">
        <f t="shared" si="336"/>
        <v>2.7568695534154077</v>
      </c>
      <c r="P83" s="145"/>
      <c r="Q83" s="17">
        <f t="shared" si="304"/>
        <v>55</v>
      </c>
      <c r="R83" s="479">
        <f t="shared" si="305"/>
        <v>0</v>
      </c>
      <c r="S83" s="475">
        <f t="shared" si="337"/>
        <v>328.79467076367098</v>
      </c>
      <c r="T83" s="61">
        <f t="shared" si="306"/>
        <v>880</v>
      </c>
      <c r="U83" s="141"/>
      <c r="V83" s="71">
        <f t="shared" si="339"/>
        <v>880</v>
      </c>
      <c r="W83" s="12">
        <f t="shared" si="307"/>
        <v>80</v>
      </c>
      <c r="X83" s="141"/>
      <c r="Y83" s="71">
        <f t="shared" si="341"/>
        <v>80</v>
      </c>
      <c r="Z83" s="487"/>
      <c r="AA83" s="198">
        <v>24</v>
      </c>
      <c r="AB83" s="826">
        <v>11</v>
      </c>
      <c r="AC83" s="143"/>
      <c r="AD83" s="430">
        <f t="shared" si="143"/>
        <v>0</v>
      </c>
      <c r="AE83" s="583">
        <f t="shared" si="393"/>
        <v>0</v>
      </c>
      <c r="AF83" s="144"/>
      <c r="AG83" s="141"/>
      <c r="AH83" s="141"/>
      <c r="AI83" s="17">
        <f t="shared" si="365"/>
        <v>0</v>
      </c>
      <c r="AJ83" s="17">
        <f t="shared" si="239"/>
        <v>0</v>
      </c>
      <c r="AK83" s="17">
        <f t="shared" si="308"/>
        <v>0.16</v>
      </c>
      <c r="AL83" s="235">
        <f t="shared" si="366"/>
        <v>0</v>
      </c>
      <c r="AM83" s="33">
        <f t="shared" si="309"/>
        <v>3.3600000000000008</v>
      </c>
      <c r="AN83" s="210">
        <f t="shared" si="240"/>
        <v>0</v>
      </c>
      <c r="AO83" s="145"/>
      <c r="AP83" s="17">
        <f t="shared" si="310"/>
        <v>55</v>
      </c>
      <c r="AQ83" s="479">
        <f t="shared" si="311"/>
        <v>0</v>
      </c>
      <c r="AR83" s="475">
        <f t="shared" si="175"/>
        <v>0</v>
      </c>
      <c r="AS83" s="61">
        <f t="shared" si="312"/>
        <v>880</v>
      </c>
      <c r="AT83" s="141"/>
      <c r="AU83" s="71">
        <f t="shared" si="144"/>
        <v>880</v>
      </c>
      <c r="AV83" s="12">
        <f t="shared" si="313"/>
        <v>80</v>
      </c>
      <c r="AW83" s="141"/>
      <c r="AX83" s="71">
        <f t="shared" si="360"/>
        <v>80</v>
      </c>
      <c r="AZ83" s="198">
        <v>24</v>
      </c>
      <c r="BA83" s="826">
        <v>11</v>
      </c>
      <c r="BB83" s="143"/>
      <c r="BC83" s="430">
        <f t="shared" si="145"/>
        <v>116143</v>
      </c>
      <c r="BD83" s="583">
        <f t="shared" si="394"/>
        <v>116143</v>
      </c>
      <c r="BE83" s="144"/>
      <c r="BF83" s="141"/>
      <c r="BG83" s="141"/>
      <c r="BH83" s="17">
        <f t="shared" si="367"/>
        <v>0</v>
      </c>
      <c r="BI83" s="17">
        <f t="shared" si="241"/>
        <v>3926</v>
      </c>
      <c r="BJ83" s="17">
        <f t="shared" si="314"/>
        <v>0.16</v>
      </c>
      <c r="BK83" s="235">
        <f t="shared" si="368"/>
        <v>0</v>
      </c>
      <c r="BL83" s="33">
        <f t="shared" si="315"/>
        <v>3.3600000000000008</v>
      </c>
      <c r="BM83" s="210">
        <f t="shared" si="359"/>
        <v>3.2697865394065078</v>
      </c>
      <c r="BN83" s="145"/>
      <c r="BO83" s="17">
        <f t="shared" si="316"/>
        <v>55</v>
      </c>
      <c r="BP83" s="479">
        <f t="shared" si="317"/>
        <v>0</v>
      </c>
      <c r="BQ83" s="475">
        <f t="shared" si="176"/>
        <v>314.58428346602915</v>
      </c>
      <c r="BR83" s="61">
        <f t="shared" si="318"/>
        <v>880</v>
      </c>
      <c r="BS83" s="141"/>
      <c r="BT83" s="71">
        <f t="shared" si="146"/>
        <v>880</v>
      </c>
      <c r="BU83" s="12">
        <f t="shared" si="319"/>
        <v>80</v>
      </c>
      <c r="BV83" s="141"/>
      <c r="BW83" s="71">
        <f t="shared" si="361"/>
        <v>80</v>
      </c>
      <c r="BY83" s="198">
        <v>24</v>
      </c>
      <c r="BZ83" s="826">
        <v>11</v>
      </c>
      <c r="CA83" s="143"/>
      <c r="CB83" s="430">
        <f t="shared" si="147"/>
        <v>0</v>
      </c>
      <c r="CC83" s="583">
        <f t="shared" si="395"/>
        <v>0</v>
      </c>
      <c r="CD83" s="144"/>
      <c r="CE83" s="141"/>
      <c r="CF83" s="141"/>
      <c r="CG83" s="17">
        <f t="shared" si="369"/>
        <v>0</v>
      </c>
      <c r="CH83" s="17">
        <f t="shared" si="242"/>
        <v>0</v>
      </c>
      <c r="CI83" s="17">
        <f t="shared" si="320"/>
        <v>0.16</v>
      </c>
      <c r="CJ83" s="235">
        <f t="shared" si="370"/>
        <v>0</v>
      </c>
      <c r="CK83" s="33">
        <f t="shared" si="321"/>
        <v>3.3600000000000008</v>
      </c>
      <c r="CL83" s="210">
        <f t="shared" si="243"/>
        <v>0</v>
      </c>
      <c r="CM83" s="145"/>
      <c r="CN83" s="17">
        <f t="shared" si="322"/>
        <v>55</v>
      </c>
      <c r="CO83" s="479">
        <f t="shared" si="323"/>
        <v>0</v>
      </c>
      <c r="CP83" s="475">
        <f t="shared" si="177"/>
        <v>0</v>
      </c>
      <c r="CQ83" s="61">
        <f t="shared" si="324"/>
        <v>880</v>
      </c>
      <c r="CR83" s="141"/>
      <c r="CS83" s="71">
        <f t="shared" si="148"/>
        <v>880</v>
      </c>
      <c r="CT83" s="12">
        <f t="shared" si="325"/>
        <v>80</v>
      </c>
      <c r="CU83" s="141"/>
      <c r="CV83" s="71">
        <f t="shared" si="362"/>
        <v>80</v>
      </c>
      <c r="CX83" s="198">
        <v>24</v>
      </c>
      <c r="CY83" s="826">
        <v>11</v>
      </c>
      <c r="CZ83" s="143"/>
      <c r="DA83" s="430">
        <f t="shared" si="149"/>
        <v>0</v>
      </c>
      <c r="DB83" s="583">
        <f t="shared" si="396"/>
        <v>0</v>
      </c>
      <c r="DC83" s="144"/>
      <c r="DD83" s="141"/>
      <c r="DE83" s="141"/>
      <c r="DF83" s="17">
        <f t="shared" si="371"/>
        <v>0</v>
      </c>
      <c r="DG83" s="17">
        <f t="shared" si="244"/>
        <v>0</v>
      </c>
      <c r="DH83" s="17">
        <f t="shared" si="326"/>
        <v>0.16</v>
      </c>
      <c r="DI83" s="235">
        <f t="shared" si="372"/>
        <v>0</v>
      </c>
      <c r="DJ83" s="33">
        <f t="shared" si="327"/>
        <v>3.3600000000000008</v>
      </c>
      <c r="DK83" s="210">
        <f t="shared" si="245"/>
        <v>0</v>
      </c>
      <c r="DL83" s="145"/>
      <c r="DM83" s="17">
        <f t="shared" si="328"/>
        <v>55</v>
      </c>
      <c r="DN83" s="479">
        <f t="shared" si="329"/>
        <v>0</v>
      </c>
      <c r="DO83" s="475">
        <f t="shared" si="178"/>
        <v>0</v>
      </c>
      <c r="DP83" s="61">
        <f t="shared" si="330"/>
        <v>880</v>
      </c>
      <c r="DQ83" s="141"/>
      <c r="DR83" s="71">
        <f t="shared" si="150"/>
        <v>880</v>
      </c>
      <c r="DS83" s="12">
        <f t="shared" si="331"/>
        <v>80</v>
      </c>
      <c r="DT83" s="141"/>
      <c r="DU83" s="71">
        <f t="shared" si="363"/>
        <v>80</v>
      </c>
    </row>
    <row r="84" spans="1:125" ht="18" x14ac:dyDescent="0.25">
      <c r="A84" s="836"/>
      <c r="B84" s="198">
        <f>B83+1</f>
        <v>25</v>
      </c>
      <c r="C84" s="571">
        <f>C83</f>
        <v>11</v>
      </c>
      <c r="D84" s="229"/>
      <c r="E84" s="408">
        <f t="shared" si="334"/>
        <v>171956</v>
      </c>
      <c r="F84" s="562">
        <f t="shared" si="301"/>
        <v>171956</v>
      </c>
      <c r="G84" s="405"/>
      <c r="H84" s="406"/>
      <c r="I84" s="406"/>
      <c r="J84" s="380">
        <f t="shared" si="364"/>
        <v>0</v>
      </c>
      <c r="K84" s="380">
        <f t="shared" si="335"/>
        <v>4875</v>
      </c>
      <c r="L84" s="380">
        <f t="shared" si="302"/>
        <v>0.16</v>
      </c>
      <c r="M84" s="410">
        <f t="shared" si="358"/>
        <v>0</v>
      </c>
      <c r="N84" s="407">
        <f t="shared" si="303"/>
        <v>3.3600000000000008</v>
      </c>
      <c r="O84" s="824">
        <f t="shared" si="336"/>
        <v>2.7568695534154077</v>
      </c>
      <c r="P84" s="411"/>
      <c r="Q84" s="380">
        <f t="shared" si="304"/>
        <v>55</v>
      </c>
      <c r="R84" s="518">
        <f t="shared" si="305"/>
        <v>0</v>
      </c>
      <c r="S84" s="474">
        <f t="shared" si="337"/>
        <v>328.79467076367098</v>
      </c>
      <c r="T84" s="182">
        <f t="shared" si="306"/>
        <v>880</v>
      </c>
      <c r="U84" s="181">
        <f>U83</f>
        <v>0</v>
      </c>
      <c r="V84" s="206">
        <f t="shared" si="339"/>
        <v>880</v>
      </c>
      <c r="W84" s="182">
        <f t="shared" si="307"/>
        <v>80</v>
      </c>
      <c r="X84" s="181">
        <f>X83</f>
        <v>0</v>
      </c>
      <c r="Y84" s="206">
        <f t="shared" si="341"/>
        <v>80</v>
      </c>
      <c r="Z84" s="836"/>
      <c r="AA84" s="403">
        <f>AA83+1</f>
        <v>25</v>
      </c>
      <c r="AB84" s="571">
        <f>AB83</f>
        <v>11</v>
      </c>
      <c r="AC84" s="229"/>
      <c r="AD84" s="408">
        <f t="shared" ref="AD84:AD138" si="397">IFERROR(AE83+AC84,0)</f>
        <v>0</v>
      </c>
      <c r="AE84" s="562">
        <f t="shared" si="393"/>
        <v>0</v>
      </c>
      <c r="AF84" s="405"/>
      <c r="AG84" s="406"/>
      <c r="AH84" s="406"/>
      <c r="AI84" s="380">
        <f t="shared" si="365"/>
        <v>0</v>
      </c>
      <c r="AJ84" s="380">
        <f t="shared" si="239"/>
        <v>0</v>
      </c>
      <c r="AK84" s="380">
        <f t="shared" si="308"/>
        <v>0.16</v>
      </c>
      <c r="AL84" s="410">
        <f t="shared" si="366"/>
        <v>0</v>
      </c>
      <c r="AM84" s="407">
        <f t="shared" si="309"/>
        <v>3.3600000000000008</v>
      </c>
      <c r="AN84" s="824">
        <f t="shared" si="240"/>
        <v>0</v>
      </c>
      <c r="AO84" s="411"/>
      <c r="AP84" s="380">
        <f t="shared" si="310"/>
        <v>55</v>
      </c>
      <c r="AQ84" s="518">
        <f t="shared" si="311"/>
        <v>0</v>
      </c>
      <c r="AR84" s="474">
        <f t="shared" si="175"/>
        <v>0</v>
      </c>
      <c r="AS84" s="182">
        <f t="shared" si="312"/>
        <v>880</v>
      </c>
      <c r="AT84" s="181">
        <f>AT83</f>
        <v>0</v>
      </c>
      <c r="AU84" s="206">
        <f t="shared" ref="AU84:AU138" si="398">AS84-AT84</f>
        <v>880</v>
      </c>
      <c r="AV84" s="182">
        <f t="shared" si="313"/>
        <v>80</v>
      </c>
      <c r="AW84" s="181">
        <f>AW83</f>
        <v>0</v>
      </c>
      <c r="AX84" s="206">
        <f t="shared" si="360"/>
        <v>80</v>
      </c>
      <c r="AY84" s="836"/>
      <c r="AZ84" s="403">
        <f>AZ83+1</f>
        <v>25</v>
      </c>
      <c r="BA84" s="571">
        <f>BA83</f>
        <v>11</v>
      </c>
      <c r="BB84" s="229"/>
      <c r="BC84" s="408">
        <f t="shared" ref="BC84:BC138" si="399">IFERROR(BD83+BB84,0)</f>
        <v>116143</v>
      </c>
      <c r="BD84" s="562">
        <f t="shared" si="394"/>
        <v>116143</v>
      </c>
      <c r="BE84" s="405"/>
      <c r="BF84" s="406"/>
      <c r="BG84" s="406"/>
      <c r="BH84" s="380">
        <f t="shared" si="367"/>
        <v>0</v>
      </c>
      <c r="BI84" s="380">
        <f t="shared" si="241"/>
        <v>3926</v>
      </c>
      <c r="BJ84" s="380">
        <f t="shared" si="314"/>
        <v>0.16</v>
      </c>
      <c r="BK84" s="410">
        <f t="shared" si="368"/>
        <v>0</v>
      </c>
      <c r="BL84" s="407">
        <f t="shared" si="315"/>
        <v>3.3600000000000008</v>
      </c>
      <c r="BM84" s="159">
        <f t="shared" si="359"/>
        <v>3.2697865394065078</v>
      </c>
      <c r="BN84" s="411"/>
      <c r="BO84" s="380">
        <f t="shared" si="316"/>
        <v>55</v>
      </c>
      <c r="BP84" s="518">
        <f t="shared" si="317"/>
        <v>0</v>
      </c>
      <c r="BQ84" s="474">
        <f t="shared" si="176"/>
        <v>314.58428346602915</v>
      </c>
      <c r="BR84" s="182">
        <f t="shared" si="318"/>
        <v>880</v>
      </c>
      <c r="BS84" s="181">
        <f>BS83</f>
        <v>0</v>
      </c>
      <c r="BT84" s="206">
        <f t="shared" ref="BT84:BT138" si="400">BR84-BS84</f>
        <v>880</v>
      </c>
      <c r="BU84" s="182">
        <f t="shared" si="319"/>
        <v>80</v>
      </c>
      <c r="BV84" s="181">
        <f>BV83</f>
        <v>0</v>
      </c>
      <c r="BW84" s="206">
        <f t="shared" si="361"/>
        <v>80</v>
      </c>
      <c r="BX84" s="836"/>
      <c r="BY84" s="403">
        <f>BY83+1</f>
        <v>25</v>
      </c>
      <c r="BZ84" s="571">
        <f>BZ83</f>
        <v>11</v>
      </c>
      <c r="CA84" s="229"/>
      <c r="CB84" s="408">
        <f t="shared" ref="CB84:CB138" si="401">IFERROR(CC83+CA84,0)</f>
        <v>0</v>
      </c>
      <c r="CC84" s="562">
        <f t="shared" si="395"/>
        <v>0</v>
      </c>
      <c r="CD84" s="405"/>
      <c r="CE84" s="406"/>
      <c r="CF84" s="406"/>
      <c r="CG84" s="380">
        <f t="shared" si="369"/>
        <v>0</v>
      </c>
      <c r="CH84" s="380">
        <f t="shared" si="242"/>
        <v>0</v>
      </c>
      <c r="CI84" s="380">
        <f t="shared" si="320"/>
        <v>0.16</v>
      </c>
      <c r="CJ84" s="410">
        <f t="shared" si="370"/>
        <v>0</v>
      </c>
      <c r="CK84" s="407">
        <f t="shared" si="321"/>
        <v>3.3600000000000008</v>
      </c>
      <c r="CL84" s="824">
        <f t="shared" si="243"/>
        <v>0</v>
      </c>
      <c r="CM84" s="411"/>
      <c r="CN84" s="380">
        <f t="shared" si="322"/>
        <v>55</v>
      </c>
      <c r="CO84" s="518">
        <f t="shared" si="323"/>
        <v>0</v>
      </c>
      <c r="CP84" s="474">
        <f t="shared" si="177"/>
        <v>0</v>
      </c>
      <c r="CQ84" s="182">
        <f t="shared" si="324"/>
        <v>880</v>
      </c>
      <c r="CR84" s="181">
        <f>CR83</f>
        <v>0</v>
      </c>
      <c r="CS84" s="206">
        <f t="shared" ref="CS84:CS138" si="402">CQ84-CR84</f>
        <v>880</v>
      </c>
      <c r="CT84" s="182">
        <f t="shared" si="325"/>
        <v>80</v>
      </c>
      <c r="CU84" s="181">
        <f>CU83</f>
        <v>0</v>
      </c>
      <c r="CV84" s="206">
        <f t="shared" si="362"/>
        <v>80</v>
      </c>
      <c r="CW84" s="836"/>
      <c r="CX84" s="403">
        <f>CX83+1</f>
        <v>25</v>
      </c>
      <c r="CY84" s="571">
        <f>CY83</f>
        <v>11</v>
      </c>
      <c r="CZ84" s="229"/>
      <c r="DA84" s="408">
        <f t="shared" ref="DA84:DA138" si="403">IFERROR(DB83+CZ84,0)</f>
        <v>0</v>
      </c>
      <c r="DB84" s="562">
        <f t="shared" si="396"/>
        <v>0</v>
      </c>
      <c r="DC84" s="405"/>
      <c r="DD84" s="406"/>
      <c r="DE84" s="406"/>
      <c r="DF84" s="380">
        <f t="shared" si="371"/>
        <v>0</v>
      </c>
      <c r="DG84" s="380">
        <f t="shared" si="244"/>
        <v>0</v>
      </c>
      <c r="DH84" s="380">
        <f t="shared" si="326"/>
        <v>0.16</v>
      </c>
      <c r="DI84" s="410">
        <f t="shared" si="372"/>
        <v>0</v>
      </c>
      <c r="DJ84" s="407">
        <f t="shared" si="327"/>
        <v>3.3600000000000008</v>
      </c>
      <c r="DK84" s="824">
        <f t="shared" si="245"/>
        <v>0</v>
      </c>
      <c r="DL84" s="411"/>
      <c r="DM84" s="380">
        <f t="shared" si="328"/>
        <v>55</v>
      </c>
      <c r="DN84" s="518">
        <f t="shared" si="329"/>
        <v>0</v>
      </c>
      <c r="DO84" s="474">
        <f t="shared" si="178"/>
        <v>0</v>
      </c>
      <c r="DP84" s="182">
        <f t="shared" si="330"/>
        <v>880</v>
      </c>
      <c r="DQ84" s="181">
        <f>DQ83</f>
        <v>0</v>
      </c>
      <c r="DR84" s="206">
        <f t="shared" ref="DR84:DR138" si="404">DP84-DQ84</f>
        <v>880</v>
      </c>
      <c r="DS84" s="182">
        <f t="shared" si="331"/>
        <v>80</v>
      </c>
      <c r="DT84" s="181">
        <f>DT83</f>
        <v>0</v>
      </c>
      <c r="DU84" s="206">
        <f t="shared" si="363"/>
        <v>80</v>
      </c>
    </row>
    <row r="85" spans="1:125" x14ac:dyDescent="0.25">
      <c r="B85" s="120">
        <f t="shared" ref="B85:B89" si="405">B84+1</f>
        <v>26</v>
      </c>
      <c r="C85" s="570">
        <f t="shared" ref="C85:C89" si="406">C84</f>
        <v>11</v>
      </c>
      <c r="D85" s="133"/>
      <c r="E85" s="408">
        <f t="shared" si="334"/>
        <v>171956</v>
      </c>
      <c r="F85" s="562">
        <f t="shared" si="301"/>
        <v>171956</v>
      </c>
      <c r="G85" s="134"/>
      <c r="H85" s="135"/>
      <c r="I85" s="135"/>
      <c r="J85" s="14">
        <f t="shared" si="364"/>
        <v>0</v>
      </c>
      <c r="K85" s="14">
        <f t="shared" si="335"/>
        <v>4875</v>
      </c>
      <c r="L85" s="14">
        <f t="shared" si="302"/>
        <v>0.16</v>
      </c>
      <c r="M85" s="47">
        <f t="shared" si="358"/>
        <v>0</v>
      </c>
      <c r="N85" s="35">
        <f t="shared" si="303"/>
        <v>3.3600000000000008</v>
      </c>
      <c r="O85" s="159">
        <f t="shared" si="336"/>
        <v>2.7568695534154077</v>
      </c>
      <c r="P85" s="142"/>
      <c r="Q85" s="14">
        <f t="shared" si="304"/>
        <v>55</v>
      </c>
      <c r="R85" s="482">
        <f t="shared" si="305"/>
        <v>0</v>
      </c>
      <c r="S85" s="470">
        <f t="shared" si="337"/>
        <v>328.79467076367098</v>
      </c>
      <c r="T85" s="51">
        <f t="shared" si="306"/>
        <v>880</v>
      </c>
      <c r="U85" s="103">
        <f t="shared" ref="U85:U89" si="407">U84</f>
        <v>0</v>
      </c>
      <c r="V85" s="46">
        <f t="shared" si="339"/>
        <v>880</v>
      </c>
      <c r="W85" s="12">
        <f t="shared" si="307"/>
        <v>80</v>
      </c>
      <c r="X85" s="103">
        <f t="shared" ref="X85:X89" si="408">X84</f>
        <v>0</v>
      </c>
      <c r="Y85" s="46">
        <f t="shared" si="341"/>
        <v>80</v>
      </c>
      <c r="Z85" s="487"/>
      <c r="AA85" s="120">
        <f t="shared" ref="AA85:AA89" si="409">AA84+1</f>
        <v>26</v>
      </c>
      <c r="AB85" s="570">
        <f t="shared" ref="AB85:AB89" si="410">AB84</f>
        <v>11</v>
      </c>
      <c r="AC85" s="133"/>
      <c r="AD85" s="408">
        <f t="shared" si="397"/>
        <v>0</v>
      </c>
      <c r="AE85" s="562">
        <f t="shared" si="393"/>
        <v>0</v>
      </c>
      <c r="AF85" s="134"/>
      <c r="AG85" s="135"/>
      <c r="AH85" s="135"/>
      <c r="AI85" s="14">
        <f t="shared" si="365"/>
        <v>0</v>
      </c>
      <c r="AJ85" s="14">
        <f t="shared" si="239"/>
        <v>0</v>
      </c>
      <c r="AK85" s="14">
        <f t="shared" si="308"/>
        <v>0.16</v>
      </c>
      <c r="AL85" s="47">
        <f t="shared" si="366"/>
        <v>0</v>
      </c>
      <c r="AM85" s="35">
        <f t="shared" si="309"/>
        <v>3.3600000000000008</v>
      </c>
      <c r="AN85" s="159">
        <f t="shared" si="240"/>
        <v>0</v>
      </c>
      <c r="AO85" s="142"/>
      <c r="AP85" s="14">
        <f t="shared" si="310"/>
        <v>55</v>
      </c>
      <c r="AQ85" s="482">
        <f t="shared" si="311"/>
        <v>0</v>
      </c>
      <c r="AR85" s="470">
        <f t="shared" si="175"/>
        <v>0</v>
      </c>
      <c r="AS85" s="51">
        <f t="shared" si="312"/>
        <v>880</v>
      </c>
      <c r="AT85" s="103">
        <f t="shared" ref="AT85:AT89" si="411">AT84</f>
        <v>0</v>
      </c>
      <c r="AU85" s="46">
        <f t="shared" si="398"/>
        <v>880</v>
      </c>
      <c r="AV85" s="12">
        <f t="shared" si="313"/>
        <v>80</v>
      </c>
      <c r="AW85" s="103">
        <f t="shared" ref="AW85:AW89" si="412">AW84</f>
        <v>0</v>
      </c>
      <c r="AX85" s="46">
        <f t="shared" si="360"/>
        <v>80</v>
      </c>
      <c r="AZ85" s="120">
        <f t="shared" ref="AZ85:AZ89" si="413">AZ84+1</f>
        <v>26</v>
      </c>
      <c r="BA85" s="570">
        <f t="shared" ref="BA85:BA89" si="414">BA84</f>
        <v>11</v>
      </c>
      <c r="BB85" s="133"/>
      <c r="BC85" s="408">
        <f t="shared" si="399"/>
        <v>116143</v>
      </c>
      <c r="BD85" s="562">
        <f t="shared" si="394"/>
        <v>116143</v>
      </c>
      <c r="BE85" s="134"/>
      <c r="BF85" s="135"/>
      <c r="BG85" s="135"/>
      <c r="BH85" s="14">
        <f t="shared" si="367"/>
        <v>0</v>
      </c>
      <c r="BI85" s="14">
        <f t="shared" si="241"/>
        <v>3926</v>
      </c>
      <c r="BJ85" s="14">
        <f t="shared" si="314"/>
        <v>0.16</v>
      </c>
      <c r="BK85" s="47">
        <f t="shared" si="368"/>
        <v>0</v>
      </c>
      <c r="BL85" s="35">
        <f t="shared" si="315"/>
        <v>3.3600000000000008</v>
      </c>
      <c r="BM85" s="159">
        <f t="shared" si="359"/>
        <v>3.2697865394065078</v>
      </c>
      <c r="BN85" s="142"/>
      <c r="BO85" s="14">
        <f t="shared" si="316"/>
        <v>55</v>
      </c>
      <c r="BP85" s="482">
        <f t="shared" si="317"/>
        <v>0</v>
      </c>
      <c r="BQ85" s="470">
        <f t="shared" si="176"/>
        <v>314.58428346602915</v>
      </c>
      <c r="BR85" s="51">
        <f t="shared" si="318"/>
        <v>880</v>
      </c>
      <c r="BS85" s="103">
        <f t="shared" ref="BS85:BS89" si="415">BS84</f>
        <v>0</v>
      </c>
      <c r="BT85" s="46">
        <f t="shared" si="400"/>
        <v>880</v>
      </c>
      <c r="BU85" s="12">
        <f t="shared" si="319"/>
        <v>80</v>
      </c>
      <c r="BV85" s="103">
        <f t="shared" ref="BV85:BV89" si="416">BV84</f>
        <v>0</v>
      </c>
      <c r="BW85" s="46">
        <f t="shared" si="361"/>
        <v>80</v>
      </c>
      <c r="BY85" s="120">
        <f t="shared" ref="BY85:BY89" si="417">BY84+1</f>
        <v>26</v>
      </c>
      <c r="BZ85" s="570">
        <f t="shared" ref="BZ85:BZ89" si="418">BZ84</f>
        <v>11</v>
      </c>
      <c r="CA85" s="133"/>
      <c r="CB85" s="408">
        <f t="shared" si="401"/>
        <v>0</v>
      </c>
      <c r="CC85" s="562">
        <f t="shared" si="395"/>
        <v>0</v>
      </c>
      <c r="CD85" s="134"/>
      <c r="CE85" s="135"/>
      <c r="CF85" s="135"/>
      <c r="CG85" s="14">
        <f t="shared" si="369"/>
        <v>0</v>
      </c>
      <c r="CH85" s="14">
        <f t="shared" si="242"/>
        <v>0</v>
      </c>
      <c r="CI85" s="14">
        <f t="shared" si="320"/>
        <v>0.16</v>
      </c>
      <c r="CJ85" s="47">
        <f t="shared" si="370"/>
        <v>0</v>
      </c>
      <c r="CK85" s="35">
        <f t="shared" si="321"/>
        <v>3.3600000000000008</v>
      </c>
      <c r="CL85" s="159">
        <f t="shared" si="243"/>
        <v>0</v>
      </c>
      <c r="CM85" s="142"/>
      <c r="CN85" s="14">
        <f t="shared" si="322"/>
        <v>55</v>
      </c>
      <c r="CO85" s="482">
        <f t="shared" si="323"/>
        <v>0</v>
      </c>
      <c r="CP85" s="470">
        <f t="shared" si="177"/>
        <v>0</v>
      </c>
      <c r="CQ85" s="51">
        <f t="shared" si="324"/>
        <v>880</v>
      </c>
      <c r="CR85" s="103">
        <f t="shared" ref="CR85:CR89" si="419">CR84</f>
        <v>0</v>
      </c>
      <c r="CS85" s="46">
        <f t="shared" si="402"/>
        <v>880</v>
      </c>
      <c r="CT85" s="12">
        <f t="shared" si="325"/>
        <v>80</v>
      </c>
      <c r="CU85" s="103">
        <f t="shared" ref="CU85:CU89" si="420">CU84</f>
        <v>0</v>
      </c>
      <c r="CV85" s="46">
        <f t="shared" si="362"/>
        <v>80</v>
      </c>
      <c r="CX85" s="120">
        <f t="shared" ref="CX85:CX89" si="421">CX84+1</f>
        <v>26</v>
      </c>
      <c r="CY85" s="570">
        <f t="shared" ref="CY85:CY89" si="422">CY84</f>
        <v>11</v>
      </c>
      <c r="CZ85" s="133"/>
      <c r="DA85" s="408">
        <f t="shared" si="403"/>
        <v>0</v>
      </c>
      <c r="DB85" s="562">
        <f t="shared" si="396"/>
        <v>0</v>
      </c>
      <c r="DC85" s="134"/>
      <c r="DD85" s="135"/>
      <c r="DE85" s="135"/>
      <c r="DF85" s="14">
        <f t="shared" si="371"/>
        <v>0</v>
      </c>
      <c r="DG85" s="14">
        <f t="shared" si="244"/>
        <v>0</v>
      </c>
      <c r="DH85" s="14">
        <f t="shared" si="326"/>
        <v>0.16</v>
      </c>
      <c r="DI85" s="47">
        <f t="shared" si="372"/>
        <v>0</v>
      </c>
      <c r="DJ85" s="35">
        <f t="shared" si="327"/>
        <v>3.3600000000000008</v>
      </c>
      <c r="DK85" s="159">
        <f t="shared" si="245"/>
        <v>0</v>
      </c>
      <c r="DL85" s="142"/>
      <c r="DM85" s="14">
        <f t="shared" si="328"/>
        <v>55</v>
      </c>
      <c r="DN85" s="482">
        <f t="shared" si="329"/>
        <v>0</v>
      </c>
      <c r="DO85" s="470">
        <f t="shared" si="178"/>
        <v>0</v>
      </c>
      <c r="DP85" s="51">
        <f t="shared" si="330"/>
        <v>880</v>
      </c>
      <c r="DQ85" s="103">
        <f t="shared" ref="DQ85:DQ89" si="423">DQ84</f>
        <v>0</v>
      </c>
      <c r="DR85" s="46">
        <f t="shared" si="404"/>
        <v>880</v>
      </c>
      <c r="DS85" s="12">
        <f t="shared" si="331"/>
        <v>80</v>
      </c>
      <c r="DT85" s="103">
        <f t="shared" ref="DT85:DT89" si="424">DT84</f>
        <v>0</v>
      </c>
      <c r="DU85" s="46">
        <f t="shared" si="363"/>
        <v>80</v>
      </c>
    </row>
    <row r="86" spans="1:125" x14ac:dyDescent="0.25">
      <c r="B86" s="120">
        <f t="shared" si="405"/>
        <v>27</v>
      </c>
      <c r="C86" s="570">
        <f t="shared" si="406"/>
        <v>11</v>
      </c>
      <c r="D86" s="808"/>
      <c r="E86" s="408">
        <f t="shared" si="334"/>
        <v>171956</v>
      </c>
      <c r="F86" s="562">
        <f t="shared" si="301"/>
        <v>171956</v>
      </c>
      <c r="G86" s="134"/>
      <c r="H86" s="135"/>
      <c r="I86" s="135"/>
      <c r="J86" s="14">
        <f t="shared" si="364"/>
        <v>0</v>
      </c>
      <c r="K86" s="14">
        <f t="shared" si="335"/>
        <v>4875</v>
      </c>
      <c r="L86" s="14">
        <f t="shared" si="302"/>
        <v>0.16</v>
      </c>
      <c r="M86" s="47">
        <f t="shared" si="358"/>
        <v>0</v>
      </c>
      <c r="N86" s="35">
        <f t="shared" si="303"/>
        <v>3.3600000000000008</v>
      </c>
      <c r="O86" s="159">
        <f t="shared" si="336"/>
        <v>2.7568695534154077</v>
      </c>
      <c r="P86" s="142"/>
      <c r="Q86" s="14">
        <f t="shared" si="304"/>
        <v>55</v>
      </c>
      <c r="R86" s="482">
        <f t="shared" si="305"/>
        <v>0</v>
      </c>
      <c r="S86" s="470">
        <f t="shared" si="337"/>
        <v>328.79467076367098</v>
      </c>
      <c r="T86" s="51">
        <f t="shared" si="306"/>
        <v>880</v>
      </c>
      <c r="U86" s="103">
        <f t="shared" si="407"/>
        <v>0</v>
      </c>
      <c r="V86" s="46">
        <f t="shared" si="339"/>
        <v>880</v>
      </c>
      <c r="W86" s="50">
        <f t="shared" si="307"/>
        <v>80</v>
      </c>
      <c r="X86" s="103">
        <f t="shared" si="408"/>
        <v>0</v>
      </c>
      <c r="Y86" s="46">
        <f t="shared" si="341"/>
        <v>80</v>
      </c>
      <c r="Z86" s="487"/>
      <c r="AA86" s="120">
        <f t="shared" si="409"/>
        <v>27</v>
      </c>
      <c r="AB86" s="570">
        <f t="shared" si="410"/>
        <v>11</v>
      </c>
      <c r="AC86" s="808"/>
      <c r="AD86" s="408">
        <f t="shared" si="397"/>
        <v>0</v>
      </c>
      <c r="AE86" s="562">
        <f t="shared" si="393"/>
        <v>0</v>
      </c>
      <c r="AF86" s="134"/>
      <c r="AG86" s="135"/>
      <c r="AH86" s="135"/>
      <c r="AI86" s="14">
        <f t="shared" si="365"/>
        <v>0</v>
      </c>
      <c r="AJ86" s="14">
        <f t="shared" si="239"/>
        <v>0</v>
      </c>
      <c r="AK86" s="14">
        <f t="shared" si="308"/>
        <v>0.16</v>
      </c>
      <c r="AL86" s="47">
        <f t="shared" si="366"/>
        <v>0</v>
      </c>
      <c r="AM86" s="35">
        <f t="shared" si="309"/>
        <v>3.3600000000000008</v>
      </c>
      <c r="AN86" s="159">
        <f t="shared" si="240"/>
        <v>0</v>
      </c>
      <c r="AO86" s="142"/>
      <c r="AP86" s="14">
        <f t="shared" si="310"/>
        <v>55</v>
      </c>
      <c r="AQ86" s="482">
        <f t="shared" si="311"/>
        <v>0</v>
      </c>
      <c r="AR86" s="470">
        <f t="shared" si="175"/>
        <v>0</v>
      </c>
      <c r="AS86" s="51">
        <f t="shared" si="312"/>
        <v>880</v>
      </c>
      <c r="AT86" s="103">
        <f t="shared" si="411"/>
        <v>0</v>
      </c>
      <c r="AU86" s="46">
        <f t="shared" si="398"/>
        <v>880</v>
      </c>
      <c r="AV86" s="50">
        <f t="shared" si="313"/>
        <v>80</v>
      </c>
      <c r="AW86" s="103">
        <f t="shared" si="412"/>
        <v>0</v>
      </c>
      <c r="AX86" s="46">
        <f t="shared" si="360"/>
        <v>80</v>
      </c>
      <c r="AZ86" s="120">
        <f t="shared" si="413"/>
        <v>27</v>
      </c>
      <c r="BA86" s="570">
        <f t="shared" si="414"/>
        <v>11</v>
      </c>
      <c r="BB86" s="808"/>
      <c r="BC86" s="408">
        <f t="shared" si="399"/>
        <v>116143</v>
      </c>
      <c r="BD86" s="562">
        <f t="shared" si="394"/>
        <v>116143</v>
      </c>
      <c r="BE86" s="134"/>
      <c r="BF86" s="135"/>
      <c r="BG86" s="135"/>
      <c r="BH86" s="14">
        <f t="shared" si="367"/>
        <v>0</v>
      </c>
      <c r="BI86" s="14">
        <f t="shared" si="241"/>
        <v>3926</v>
      </c>
      <c r="BJ86" s="14">
        <f t="shared" si="314"/>
        <v>0.16</v>
      </c>
      <c r="BK86" s="47">
        <f t="shared" si="368"/>
        <v>0</v>
      </c>
      <c r="BL86" s="35">
        <f t="shared" si="315"/>
        <v>3.3600000000000008</v>
      </c>
      <c r="BM86" s="159">
        <f t="shared" si="359"/>
        <v>3.2697865394065078</v>
      </c>
      <c r="BN86" s="142"/>
      <c r="BO86" s="14">
        <f t="shared" si="316"/>
        <v>55</v>
      </c>
      <c r="BP86" s="482">
        <f t="shared" si="317"/>
        <v>0</v>
      </c>
      <c r="BQ86" s="470">
        <f t="shared" si="176"/>
        <v>314.58428346602915</v>
      </c>
      <c r="BR86" s="51">
        <f t="shared" si="318"/>
        <v>880</v>
      </c>
      <c r="BS86" s="103">
        <f t="shared" si="415"/>
        <v>0</v>
      </c>
      <c r="BT86" s="46">
        <f t="shared" si="400"/>
        <v>880</v>
      </c>
      <c r="BU86" s="50">
        <f t="shared" si="319"/>
        <v>80</v>
      </c>
      <c r="BV86" s="103">
        <f t="shared" si="416"/>
        <v>0</v>
      </c>
      <c r="BW86" s="46">
        <f t="shared" si="361"/>
        <v>80</v>
      </c>
      <c r="BY86" s="120">
        <f t="shared" si="417"/>
        <v>27</v>
      </c>
      <c r="BZ86" s="570">
        <f t="shared" si="418"/>
        <v>11</v>
      </c>
      <c r="CA86" s="808"/>
      <c r="CB86" s="408">
        <f t="shared" si="401"/>
        <v>0</v>
      </c>
      <c r="CC86" s="562">
        <f t="shared" si="395"/>
        <v>0</v>
      </c>
      <c r="CD86" s="134"/>
      <c r="CE86" s="135"/>
      <c r="CF86" s="135"/>
      <c r="CG86" s="14">
        <f t="shared" si="369"/>
        <v>0</v>
      </c>
      <c r="CH86" s="14">
        <f t="shared" si="242"/>
        <v>0</v>
      </c>
      <c r="CI86" s="14">
        <f t="shared" si="320"/>
        <v>0.16</v>
      </c>
      <c r="CJ86" s="47">
        <f t="shared" si="370"/>
        <v>0</v>
      </c>
      <c r="CK86" s="35">
        <f t="shared" si="321"/>
        <v>3.3600000000000008</v>
      </c>
      <c r="CL86" s="159">
        <f t="shared" si="243"/>
        <v>0</v>
      </c>
      <c r="CM86" s="142"/>
      <c r="CN86" s="14">
        <f t="shared" si="322"/>
        <v>55</v>
      </c>
      <c r="CO86" s="482">
        <f t="shared" si="323"/>
        <v>0</v>
      </c>
      <c r="CP86" s="470">
        <f t="shared" si="177"/>
        <v>0</v>
      </c>
      <c r="CQ86" s="51">
        <f t="shared" si="324"/>
        <v>880</v>
      </c>
      <c r="CR86" s="103">
        <f t="shared" si="419"/>
        <v>0</v>
      </c>
      <c r="CS86" s="46">
        <f t="shared" si="402"/>
        <v>880</v>
      </c>
      <c r="CT86" s="50">
        <f t="shared" si="325"/>
        <v>80</v>
      </c>
      <c r="CU86" s="103">
        <f t="shared" si="420"/>
        <v>0</v>
      </c>
      <c r="CV86" s="46">
        <f t="shared" si="362"/>
        <v>80</v>
      </c>
      <c r="CX86" s="120">
        <f t="shared" si="421"/>
        <v>27</v>
      </c>
      <c r="CY86" s="570">
        <f t="shared" si="422"/>
        <v>11</v>
      </c>
      <c r="CZ86" s="808"/>
      <c r="DA86" s="408">
        <f t="shared" si="403"/>
        <v>0</v>
      </c>
      <c r="DB86" s="562">
        <f t="shared" si="396"/>
        <v>0</v>
      </c>
      <c r="DC86" s="134"/>
      <c r="DD86" s="135"/>
      <c r="DE86" s="135"/>
      <c r="DF86" s="14">
        <f t="shared" si="371"/>
        <v>0</v>
      </c>
      <c r="DG86" s="14">
        <f t="shared" si="244"/>
        <v>0</v>
      </c>
      <c r="DH86" s="14">
        <f t="shared" si="326"/>
        <v>0.16</v>
      </c>
      <c r="DI86" s="47">
        <f t="shared" si="372"/>
        <v>0</v>
      </c>
      <c r="DJ86" s="35">
        <f t="shared" si="327"/>
        <v>3.3600000000000008</v>
      </c>
      <c r="DK86" s="159">
        <f t="shared" si="245"/>
        <v>0</v>
      </c>
      <c r="DL86" s="142"/>
      <c r="DM86" s="14">
        <f t="shared" si="328"/>
        <v>55</v>
      </c>
      <c r="DN86" s="482">
        <f t="shared" si="329"/>
        <v>0</v>
      </c>
      <c r="DO86" s="470">
        <f t="shared" si="178"/>
        <v>0</v>
      </c>
      <c r="DP86" s="51">
        <f t="shared" si="330"/>
        <v>880</v>
      </c>
      <c r="DQ86" s="103">
        <f t="shared" si="423"/>
        <v>0</v>
      </c>
      <c r="DR86" s="46">
        <f t="shared" si="404"/>
        <v>880</v>
      </c>
      <c r="DS86" s="50">
        <f t="shared" si="331"/>
        <v>80</v>
      </c>
      <c r="DT86" s="103">
        <f t="shared" si="424"/>
        <v>0</v>
      </c>
      <c r="DU86" s="46">
        <f t="shared" si="363"/>
        <v>80</v>
      </c>
    </row>
    <row r="87" spans="1:125" x14ac:dyDescent="0.25">
      <c r="B87" s="120">
        <f t="shared" si="405"/>
        <v>28</v>
      </c>
      <c r="C87" s="570">
        <f t="shared" si="406"/>
        <v>11</v>
      </c>
      <c r="D87" s="808"/>
      <c r="E87" s="408">
        <f t="shared" si="334"/>
        <v>171956</v>
      </c>
      <c r="F87" s="562">
        <f t="shared" si="301"/>
        <v>171956</v>
      </c>
      <c r="G87" s="134"/>
      <c r="H87" s="135"/>
      <c r="I87" s="135"/>
      <c r="J87" s="14">
        <f t="shared" si="364"/>
        <v>0</v>
      </c>
      <c r="K87" s="14">
        <f t="shared" si="335"/>
        <v>4875</v>
      </c>
      <c r="L87" s="14">
        <f t="shared" si="302"/>
        <v>0.16</v>
      </c>
      <c r="M87" s="47">
        <f t="shared" si="358"/>
        <v>0</v>
      </c>
      <c r="N87" s="35">
        <f t="shared" si="303"/>
        <v>3.3600000000000008</v>
      </c>
      <c r="O87" s="159">
        <f t="shared" si="336"/>
        <v>2.7568695534154077</v>
      </c>
      <c r="P87" s="142"/>
      <c r="Q87" s="14">
        <f t="shared" si="304"/>
        <v>55</v>
      </c>
      <c r="R87" s="442">
        <f t="shared" si="305"/>
        <v>0</v>
      </c>
      <c r="S87" s="470">
        <f t="shared" si="337"/>
        <v>328.79467076367098</v>
      </c>
      <c r="T87" s="51">
        <f t="shared" si="306"/>
        <v>880</v>
      </c>
      <c r="U87" s="103">
        <f t="shared" si="407"/>
        <v>0</v>
      </c>
      <c r="V87" s="46">
        <f t="shared" si="339"/>
        <v>880</v>
      </c>
      <c r="W87" s="50">
        <f t="shared" si="307"/>
        <v>80</v>
      </c>
      <c r="X87" s="103">
        <f t="shared" si="408"/>
        <v>0</v>
      </c>
      <c r="Y87" s="46">
        <f t="shared" si="341"/>
        <v>80</v>
      </c>
      <c r="Z87" s="487"/>
      <c r="AA87" s="120">
        <f t="shared" si="409"/>
        <v>28</v>
      </c>
      <c r="AB87" s="570">
        <f t="shared" si="410"/>
        <v>11</v>
      </c>
      <c r="AC87" s="808"/>
      <c r="AD87" s="408">
        <f t="shared" si="397"/>
        <v>0</v>
      </c>
      <c r="AE87" s="562">
        <f t="shared" si="393"/>
        <v>0</v>
      </c>
      <c r="AF87" s="134"/>
      <c r="AG87" s="135"/>
      <c r="AH87" s="135"/>
      <c r="AI87" s="14">
        <f t="shared" si="365"/>
        <v>0</v>
      </c>
      <c r="AJ87" s="14">
        <f t="shared" si="239"/>
        <v>0</v>
      </c>
      <c r="AK87" s="14">
        <f t="shared" si="308"/>
        <v>0.16</v>
      </c>
      <c r="AL87" s="47">
        <f t="shared" si="366"/>
        <v>0</v>
      </c>
      <c r="AM87" s="35">
        <f t="shared" si="309"/>
        <v>3.3600000000000008</v>
      </c>
      <c r="AN87" s="159">
        <f t="shared" si="240"/>
        <v>0</v>
      </c>
      <c r="AO87" s="142"/>
      <c r="AP87" s="14">
        <f t="shared" si="310"/>
        <v>55</v>
      </c>
      <c r="AQ87" s="442">
        <f t="shared" si="311"/>
        <v>0</v>
      </c>
      <c r="AR87" s="470">
        <f t="shared" si="175"/>
        <v>0</v>
      </c>
      <c r="AS87" s="51">
        <f t="shared" si="312"/>
        <v>880</v>
      </c>
      <c r="AT87" s="103">
        <f t="shared" si="411"/>
        <v>0</v>
      </c>
      <c r="AU87" s="46">
        <f t="shared" si="398"/>
        <v>880</v>
      </c>
      <c r="AV87" s="50">
        <f t="shared" si="313"/>
        <v>80</v>
      </c>
      <c r="AW87" s="103">
        <f t="shared" si="412"/>
        <v>0</v>
      </c>
      <c r="AX87" s="46">
        <f t="shared" si="360"/>
        <v>80</v>
      </c>
      <c r="AZ87" s="120">
        <f t="shared" si="413"/>
        <v>28</v>
      </c>
      <c r="BA87" s="570">
        <f t="shared" si="414"/>
        <v>11</v>
      </c>
      <c r="BB87" s="808"/>
      <c r="BC87" s="408">
        <f t="shared" si="399"/>
        <v>116143</v>
      </c>
      <c r="BD87" s="562">
        <f t="shared" si="394"/>
        <v>116143</v>
      </c>
      <c r="BE87" s="134"/>
      <c r="BF87" s="135"/>
      <c r="BG87" s="135"/>
      <c r="BH87" s="14">
        <f t="shared" si="367"/>
        <v>0</v>
      </c>
      <c r="BI87" s="14">
        <f t="shared" si="241"/>
        <v>3926</v>
      </c>
      <c r="BJ87" s="14">
        <f t="shared" si="314"/>
        <v>0.16</v>
      </c>
      <c r="BK87" s="47">
        <f t="shared" si="368"/>
        <v>0</v>
      </c>
      <c r="BL87" s="35">
        <f t="shared" si="315"/>
        <v>3.3600000000000008</v>
      </c>
      <c r="BM87" s="159">
        <f t="shared" si="359"/>
        <v>3.2697865394065078</v>
      </c>
      <c r="BN87" s="142"/>
      <c r="BO87" s="14">
        <f t="shared" si="316"/>
        <v>55</v>
      </c>
      <c r="BP87" s="442">
        <f t="shared" si="317"/>
        <v>0</v>
      </c>
      <c r="BQ87" s="470">
        <f t="shared" si="176"/>
        <v>314.58428346602915</v>
      </c>
      <c r="BR87" s="51">
        <f t="shared" si="318"/>
        <v>880</v>
      </c>
      <c r="BS87" s="103">
        <f t="shared" si="415"/>
        <v>0</v>
      </c>
      <c r="BT87" s="46">
        <f t="shared" si="400"/>
        <v>880</v>
      </c>
      <c r="BU87" s="50">
        <f t="shared" si="319"/>
        <v>80</v>
      </c>
      <c r="BV87" s="103">
        <f t="shared" si="416"/>
        <v>0</v>
      </c>
      <c r="BW87" s="46">
        <f t="shared" si="361"/>
        <v>80</v>
      </c>
      <c r="BY87" s="120">
        <f t="shared" si="417"/>
        <v>28</v>
      </c>
      <c r="BZ87" s="570">
        <f t="shared" si="418"/>
        <v>11</v>
      </c>
      <c r="CA87" s="808"/>
      <c r="CB87" s="408">
        <f t="shared" si="401"/>
        <v>0</v>
      </c>
      <c r="CC87" s="562">
        <f t="shared" si="395"/>
        <v>0</v>
      </c>
      <c r="CD87" s="134"/>
      <c r="CE87" s="135"/>
      <c r="CF87" s="135"/>
      <c r="CG87" s="14">
        <f t="shared" si="369"/>
        <v>0</v>
      </c>
      <c r="CH87" s="14">
        <f t="shared" si="242"/>
        <v>0</v>
      </c>
      <c r="CI87" s="14">
        <f t="shared" si="320"/>
        <v>0.16</v>
      </c>
      <c r="CJ87" s="47">
        <f t="shared" si="370"/>
        <v>0</v>
      </c>
      <c r="CK87" s="35">
        <f t="shared" si="321"/>
        <v>3.3600000000000008</v>
      </c>
      <c r="CL87" s="159">
        <f t="shared" si="243"/>
        <v>0</v>
      </c>
      <c r="CM87" s="142"/>
      <c r="CN87" s="14">
        <f t="shared" si="322"/>
        <v>55</v>
      </c>
      <c r="CO87" s="442">
        <f t="shared" si="323"/>
        <v>0</v>
      </c>
      <c r="CP87" s="470">
        <f t="shared" si="177"/>
        <v>0</v>
      </c>
      <c r="CQ87" s="51">
        <f t="shared" si="324"/>
        <v>880</v>
      </c>
      <c r="CR87" s="103">
        <f t="shared" si="419"/>
        <v>0</v>
      </c>
      <c r="CS87" s="46">
        <f t="shared" si="402"/>
        <v>880</v>
      </c>
      <c r="CT87" s="50">
        <f t="shared" si="325"/>
        <v>80</v>
      </c>
      <c r="CU87" s="103">
        <f t="shared" si="420"/>
        <v>0</v>
      </c>
      <c r="CV87" s="46">
        <f t="shared" si="362"/>
        <v>80</v>
      </c>
      <c r="CX87" s="120">
        <f t="shared" si="421"/>
        <v>28</v>
      </c>
      <c r="CY87" s="570">
        <f t="shared" si="422"/>
        <v>11</v>
      </c>
      <c r="CZ87" s="808"/>
      <c r="DA87" s="408">
        <f t="shared" si="403"/>
        <v>0</v>
      </c>
      <c r="DB87" s="562">
        <f t="shared" si="396"/>
        <v>0</v>
      </c>
      <c r="DC87" s="134"/>
      <c r="DD87" s="135"/>
      <c r="DE87" s="135"/>
      <c r="DF87" s="14">
        <f t="shared" si="371"/>
        <v>0</v>
      </c>
      <c r="DG87" s="14">
        <f t="shared" si="244"/>
        <v>0</v>
      </c>
      <c r="DH87" s="14">
        <f t="shared" si="326"/>
        <v>0.16</v>
      </c>
      <c r="DI87" s="47">
        <f t="shared" si="372"/>
        <v>0</v>
      </c>
      <c r="DJ87" s="35">
        <f t="shared" si="327"/>
        <v>3.3600000000000008</v>
      </c>
      <c r="DK87" s="159">
        <f t="shared" si="245"/>
        <v>0</v>
      </c>
      <c r="DL87" s="142"/>
      <c r="DM87" s="14">
        <f t="shared" si="328"/>
        <v>55</v>
      </c>
      <c r="DN87" s="442">
        <f t="shared" si="329"/>
        <v>0</v>
      </c>
      <c r="DO87" s="470">
        <f t="shared" si="178"/>
        <v>0</v>
      </c>
      <c r="DP87" s="51">
        <f t="shared" si="330"/>
        <v>880</v>
      </c>
      <c r="DQ87" s="103">
        <f t="shared" si="423"/>
        <v>0</v>
      </c>
      <c r="DR87" s="46">
        <f t="shared" si="404"/>
        <v>880</v>
      </c>
      <c r="DS87" s="50">
        <f t="shared" si="331"/>
        <v>80</v>
      </c>
      <c r="DT87" s="103">
        <f t="shared" si="424"/>
        <v>0</v>
      </c>
      <c r="DU87" s="46">
        <f t="shared" si="363"/>
        <v>80</v>
      </c>
    </row>
    <row r="88" spans="1:125" x14ac:dyDescent="0.25">
      <c r="B88" s="120">
        <f t="shared" si="405"/>
        <v>29</v>
      </c>
      <c r="C88" s="570">
        <f t="shared" si="406"/>
        <v>11</v>
      </c>
      <c r="D88" s="133"/>
      <c r="E88" s="408">
        <f t="shared" si="334"/>
        <v>171956</v>
      </c>
      <c r="F88" s="562">
        <f t="shared" si="301"/>
        <v>171956</v>
      </c>
      <c r="G88" s="134"/>
      <c r="H88" s="135"/>
      <c r="I88" s="135"/>
      <c r="J88" s="14">
        <f t="shared" si="364"/>
        <v>0</v>
      </c>
      <c r="K88" s="14">
        <f t="shared" si="335"/>
        <v>4875</v>
      </c>
      <c r="L88" s="14">
        <f t="shared" si="302"/>
        <v>0.16</v>
      </c>
      <c r="M88" s="47">
        <f t="shared" si="358"/>
        <v>0</v>
      </c>
      <c r="N88" s="35">
        <f t="shared" si="303"/>
        <v>3.3600000000000008</v>
      </c>
      <c r="O88" s="159">
        <f t="shared" si="336"/>
        <v>2.7568695534154077</v>
      </c>
      <c r="P88" s="142"/>
      <c r="Q88" s="14">
        <f t="shared" si="304"/>
        <v>55</v>
      </c>
      <c r="R88" s="442">
        <f t="shared" si="305"/>
        <v>0</v>
      </c>
      <c r="S88" s="470">
        <f t="shared" si="337"/>
        <v>328.79467076367098</v>
      </c>
      <c r="T88" s="51">
        <f t="shared" si="306"/>
        <v>880</v>
      </c>
      <c r="U88" s="103">
        <f t="shared" si="407"/>
        <v>0</v>
      </c>
      <c r="V88" s="46">
        <f t="shared" si="339"/>
        <v>880</v>
      </c>
      <c r="W88" s="51">
        <f t="shared" si="307"/>
        <v>80</v>
      </c>
      <c r="X88" s="103">
        <f t="shared" si="408"/>
        <v>0</v>
      </c>
      <c r="Y88" s="46">
        <f t="shared" si="341"/>
        <v>80</v>
      </c>
      <c r="Z88" s="487"/>
      <c r="AA88" s="120">
        <f t="shared" si="409"/>
        <v>29</v>
      </c>
      <c r="AB88" s="570">
        <f t="shared" si="410"/>
        <v>11</v>
      </c>
      <c r="AC88" s="133"/>
      <c r="AD88" s="408">
        <f t="shared" si="397"/>
        <v>0</v>
      </c>
      <c r="AE88" s="562">
        <f t="shared" si="393"/>
        <v>0</v>
      </c>
      <c r="AF88" s="134"/>
      <c r="AG88" s="135"/>
      <c r="AH88" s="135"/>
      <c r="AI88" s="14">
        <f t="shared" si="365"/>
        <v>0</v>
      </c>
      <c r="AJ88" s="14">
        <f t="shared" si="239"/>
        <v>0</v>
      </c>
      <c r="AK88" s="14">
        <f t="shared" si="308"/>
        <v>0.16</v>
      </c>
      <c r="AL88" s="47">
        <f t="shared" si="366"/>
        <v>0</v>
      </c>
      <c r="AM88" s="35">
        <f t="shared" si="309"/>
        <v>3.3600000000000008</v>
      </c>
      <c r="AN88" s="159">
        <f t="shared" si="240"/>
        <v>0</v>
      </c>
      <c r="AO88" s="142"/>
      <c r="AP88" s="14">
        <f t="shared" si="310"/>
        <v>55</v>
      </c>
      <c r="AQ88" s="442">
        <f t="shared" si="311"/>
        <v>0</v>
      </c>
      <c r="AR88" s="470">
        <f t="shared" si="175"/>
        <v>0</v>
      </c>
      <c r="AS88" s="51">
        <f t="shared" si="312"/>
        <v>880</v>
      </c>
      <c r="AT88" s="103">
        <f t="shared" si="411"/>
        <v>0</v>
      </c>
      <c r="AU88" s="46">
        <f t="shared" si="398"/>
        <v>880</v>
      </c>
      <c r="AV88" s="51">
        <f t="shared" si="313"/>
        <v>80</v>
      </c>
      <c r="AW88" s="103">
        <f t="shared" si="412"/>
        <v>0</v>
      </c>
      <c r="AX88" s="46">
        <f t="shared" si="360"/>
        <v>80</v>
      </c>
      <c r="AZ88" s="120">
        <f t="shared" si="413"/>
        <v>29</v>
      </c>
      <c r="BA88" s="570">
        <f t="shared" si="414"/>
        <v>11</v>
      </c>
      <c r="BB88" s="133"/>
      <c r="BC88" s="408">
        <f t="shared" si="399"/>
        <v>116143</v>
      </c>
      <c r="BD88" s="562">
        <f t="shared" si="394"/>
        <v>116143</v>
      </c>
      <c r="BE88" s="134"/>
      <c r="BF88" s="135"/>
      <c r="BG88" s="135"/>
      <c r="BH88" s="14">
        <f t="shared" si="367"/>
        <v>0</v>
      </c>
      <c r="BI88" s="14">
        <f t="shared" si="241"/>
        <v>3926</v>
      </c>
      <c r="BJ88" s="14">
        <f t="shared" si="314"/>
        <v>0.16</v>
      </c>
      <c r="BK88" s="47">
        <f t="shared" si="368"/>
        <v>0</v>
      </c>
      <c r="BL88" s="35">
        <f t="shared" si="315"/>
        <v>3.3600000000000008</v>
      </c>
      <c r="BM88" s="159">
        <f t="shared" si="359"/>
        <v>3.2697865394065078</v>
      </c>
      <c r="BN88" s="142"/>
      <c r="BO88" s="14">
        <f t="shared" si="316"/>
        <v>55</v>
      </c>
      <c r="BP88" s="442">
        <f t="shared" si="317"/>
        <v>0</v>
      </c>
      <c r="BQ88" s="470">
        <f t="shared" si="176"/>
        <v>314.58428346602915</v>
      </c>
      <c r="BR88" s="51">
        <f t="shared" si="318"/>
        <v>880</v>
      </c>
      <c r="BS88" s="103">
        <f t="shared" si="415"/>
        <v>0</v>
      </c>
      <c r="BT88" s="46">
        <f t="shared" si="400"/>
        <v>880</v>
      </c>
      <c r="BU88" s="51">
        <f t="shared" si="319"/>
        <v>80</v>
      </c>
      <c r="BV88" s="103">
        <f t="shared" si="416"/>
        <v>0</v>
      </c>
      <c r="BW88" s="46">
        <f t="shared" si="361"/>
        <v>80</v>
      </c>
      <c r="BY88" s="120">
        <f t="shared" si="417"/>
        <v>29</v>
      </c>
      <c r="BZ88" s="570">
        <f t="shared" si="418"/>
        <v>11</v>
      </c>
      <c r="CA88" s="133"/>
      <c r="CB88" s="408">
        <f t="shared" si="401"/>
        <v>0</v>
      </c>
      <c r="CC88" s="562">
        <f t="shared" si="395"/>
        <v>0</v>
      </c>
      <c r="CD88" s="134"/>
      <c r="CE88" s="135"/>
      <c r="CF88" s="135"/>
      <c r="CG88" s="14">
        <f t="shared" si="369"/>
        <v>0</v>
      </c>
      <c r="CH88" s="14">
        <f t="shared" si="242"/>
        <v>0</v>
      </c>
      <c r="CI88" s="14">
        <f t="shared" si="320"/>
        <v>0.16</v>
      </c>
      <c r="CJ88" s="47">
        <f t="shared" si="370"/>
        <v>0</v>
      </c>
      <c r="CK88" s="35">
        <f t="shared" si="321"/>
        <v>3.3600000000000008</v>
      </c>
      <c r="CL88" s="159">
        <f t="shared" si="243"/>
        <v>0</v>
      </c>
      <c r="CM88" s="142"/>
      <c r="CN88" s="14">
        <f t="shared" si="322"/>
        <v>55</v>
      </c>
      <c r="CO88" s="442">
        <f t="shared" si="323"/>
        <v>0</v>
      </c>
      <c r="CP88" s="470">
        <f t="shared" si="177"/>
        <v>0</v>
      </c>
      <c r="CQ88" s="51">
        <f t="shared" si="324"/>
        <v>880</v>
      </c>
      <c r="CR88" s="103">
        <f t="shared" si="419"/>
        <v>0</v>
      </c>
      <c r="CS88" s="46">
        <f t="shared" si="402"/>
        <v>880</v>
      </c>
      <c r="CT88" s="51">
        <f t="shared" si="325"/>
        <v>80</v>
      </c>
      <c r="CU88" s="103">
        <f t="shared" si="420"/>
        <v>0</v>
      </c>
      <c r="CV88" s="46">
        <f t="shared" si="362"/>
        <v>80</v>
      </c>
      <c r="CX88" s="120">
        <f t="shared" si="421"/>
        <v>29</v>
      </c>
      <c r="CY88" s="570">
        <f t="shared" si="422"/>
        <v>11</v>
      </c>
      <c r="CZ88" s="133"/>
      <c r="DA88" s="408">
        <f t="shared" si="403"/>
        <v>0</v>
      </c>
      <c r="DB88" s="562">
        <f t="shared" si="396"/>
        <v>0</v>
      </c>
      <c r="DC88" s="134"/>
      <c r="DD88" s="135"/>
      <c r="DE88" s="135"/>
      <c r="DF88" s="14">
        <f t="shared" si="371"/>
        <v>0</v>
      </c>
      <c r="DG88" s="14">
        <f t="shared" si="244"/>
        <v>0</v>
      </c>
      <c r="DH88" s="14">
        <f t="shared" si="326"/>
        <v>0.16</v>
      </c>
      <c r="DI88" s="47">
        <f t="shared" si="372"/>
        <v>0</v>
      </c>
      <c r="DJ88" s="35">
        <f t="shared" si="327"/>
        <v>3.3600000000000008</v>
      </c>
      <c r="DK88" s="159">
        <f t="shared" si="245"/>
        <v>0</v>
      </c>
      <c r="DL88" s="142"/>
      <c r="DM88" s="14">
        <f t="shared" si="328"/>
        <v>55</v>
      </c>
      <c r="DN88" s="442">
        <f t="shared" si="329"/>
        <v>0</v>
      </c>
      <c r="DO88" s="470">
        <f t="shared" si="178"/>
        <v>0</v>
      </c>
      <c r="DP88" s="51">
        <f t="shared" si="330"/>
        <v>880</v>
      </c>
      <c r="DQ88" s="103">
        <f t="shared" si="423"/>
        <v>0</v>
      </c>
      <c r="DR88" s="46">
        <f t="shared" si="404"/>
        <v>880</v>
      </c>
      <c r="DS88" s="51">
        <f t="shared" si="331"/>
        <v>80</v>
      </c>
      <c r="DT88" s="103">
        <f t="shared" si="424"/>
        <v>0</v>
      </c>
      <c r="DU88" s="46">
        <f t="shared" si="363"/>
        <v>80</v>
      </c>
    </row>
    <row r="89" spans="1:125" ht="17.25" thickBot="1" x14ac:dyDescent="0.3">
      <c r="B89" s="119">
        <f t="shared" si="405"/>
        <v>30</v>
      </c>
      <c r="C89" s="825">
        <f t="shared" si="406"/>
        <v>11</v>
      </c>
      <c r="D89" s="203"/>
      <c r="E89" s="818">
        <f t="shared" si="334"/>
        <v>171956</v>
      </c>
      <c r="F89" s="450">
        <f t="shared" si="301"/>
        <v>171956</v>
      </c>
      <c r="G89" s="204"/>
      <c r="H89" s="205"/>
      <c r="I89" s="205"/>
      <c r="J89" s="13">
        <f t="shared" si="364"/>
        <v>0</v>
      </c>
      <c r="K89" s="13">
        <f t="shared" si="335"/>
        <v>4875</v>
      </c>
      <c r="L89" s="13">
        <f t="shared" si="302"/>
        <v>0.16</v>
      </c>
      <c r="M89" s="230">
        <f t="shared" si="358"/>
        <v>0</v>
      </c>
      <c r="N89" s="161">
        <f t="shared" si="303"/>
        <v>3.3600000000000008</v>
      </c>
      <c r="O89" s="157">
        <f t="shared" si="336"/>
        <v>2.7568695534154077</v>
      </c>
      <c r="P89" s="237"/>
      <c r="Q89" s="13">
        <f t="shared" si="304"/>
        <v>55</v>
      </c>
      <c r="R89" s="480">
        <f t="shared" si="305"/>
        <v>0</v>
      </c>
      <c r="S89" s="641">
        <f t="shared" si="337"/>
        <v>328.79467076367098</v>
      </c>
      <c r="T89" s="50">
        <f t="shared" si="306"/>
        <v>880</v>
      </c>
      <c r="U89" s="202">
        <f t="shared" si="407"/>
        <v>0</v>
      </c>
      <c r="V89" s="62">
        <f t="shared" si="339"/>
        <v>880</v>
      </c>
      <c r="W89" s="12">
        <f t="shared" si="307"/>
        <v>80</v>
      </c>
      <c r="X89" s="202">
        <f t="shared" si="408"/>
        <v>0</v>
      </c>
      <c r="Y89" s="62">
        <f t="shared" si="341"/>
        <v>80</v>
      </c>
      <c r="Z89" s="487"/>
      <c r="AA89" s="119">
        <f t="shared" si="409"/>
        <v>30</v>
      </c>
      <c r="AB89" s="825">
        <f t="shared" si="410"/>
        <v>11</v>
      </c>
      <c r="AC89" s="203"/>
      <c r="AD89" s="818">
        <f t="shared" si="397"/>
        <v>0</v>
      </c>
      <c r="AE89" s="450">
        <f t="shared" si="393"/>
        <v>0</v>
      </c>
      <c r="AF89" s="204"/>
      <c r="AG89" s="205"/>
      <c r="AH89" s="205"/>
      <c r="AI89" s="13">
        <f t="shared" si="365"/>
        <v>0</v>
      </c>
      <c r="AJ89" s="13">
        <f t="shared" si="239"/>
        <v>0</v>
      </c>
      <c r="AK89" s="13">
        <f t="shared" si="308"/>
        <v>0.16</v>
      </c>
      <c r="AL89" s="230">
        <f t="shared" si="366"/>
        <v>0</v>
      </c>
      <c r="AM89" s="161">
        <f t="shared" si="309"/>
        <v>3.3600000000000008</v>
      </c>
      <c r="AN89" s="157">
        <f t="shared" si="240"/>
        <v>0</v>
      </c>
      <c r="AO89" s="237"/>
      <c r="AP89" s="13">
        <f t="shared" si="310"/>
        <v>55</v>
      </c>
      <c r="AQ89" s="480">
        <f t="shared" si="311"/>
        <v>0</v>
      </c>
      <c r="AR89" s="641">
        <f t="shared" si="175"/>
        <v>0</v>
      </c>
      <c r="AS89" s="50">
        <f t="shared" si="312"/>
        <v>880</v>
      </c>
      <c r="AT89" s="202">
        <f t="shared" si="411"/>
        <v>0</v>
      </c>
      <c r="AU89" s="62">
        <f t="shared" si="398"/>
        <v>880</v>
      </c>
      <c r="AV89" s="12">
        <f t="shared" si="313"/>
        <v>80</v>
      </c>
      <c r="AW89" s="202">
        <f t="shared" si="412"/>
        <v>0</v>
      </c>
      <c r="AX89" s="62">
        <f t="shared" si="360"/>
        <v>80</v>
      </c>
      <c r="AZ89" s="119">
        <f t="shared" si="413"/>
        <v>30</v>
      </c>
      <c r="BA89" s="825">
        <f t="shared" si="414"/>
        <v>11</v>
      </c>
      <c r="BB89" s="203"/>
      <c r="BC89" s="818">
        <f t="shared" si="399"/>
        <v>116143</v>
      </c>
      <c r="BD89" s="450">
        <f t="shared" si="394"/>
        <v>116143</v>
      </c>
      <c r="BE89" s="204"/>
      <c r="BF89" s="205"/>
      <c r="BG89" s="205"/>
      <c r="BH89" s="13">
        <f t="shared" si="367"/>
        <v>0</v>
      </c>
      <c r="BI89" s="13">
        <f t="shared" si="241"/>
        <v>3926</v>
      </c>
      <c r="BJ89" s="13">
        <f t="shared" si="314"/>
        <v>0.16</v>
      </c>
      <c r="BK89" s="230">
        <f t="shared" si="368"/>
        <v>0</v>
      </c>
      <c r="BL89" s="161">
        <f t="shared" si="315"/>
        <v>3.3600000000000008</v>
      </c>
      <c r="BM89" s="156">
        <f t="shared" si="359"/>
        <v>3.2697865394065078</v>
      </c>
      <c r="BN89" s="237"/>
      <c r="BO89" s="13">
        <f t="shared" si="316"/>
        <v>55</v>
      </c>
      <c r="BP89" s="480">
        <f t="shared" si="317"/>
        <v>0</v>
      </c>
      <c r="BQ89" s="641">
        <f t="shared" si="176"/>
        <v>314.58428346602915</v>
      </c>
      <c r="BR89" s="50">
        <f t="shared" si="318"/>
        <v>880</v>
      </c>
      <c r="BS89" s="202">
        <f t="shared" si="415"/>
        <v>0</v>
      </c>
      <c r="BT89" s="62">
        <f t="shared" si="400"/>
        <v>880</v>
      </c>
      <c r="BU89" s="12">
        <f t="shared" si="319"/>
        <v>80</v>
      </c>
      <c r="BV89" s="202">
        <f t="shared" si="416"/>
        <v>0</v>
      </c>
      <c r="BW89" s="62">
        <f t="shared" si="361"/>
        <v>80</v>
      </c>
      <c r="BY89" s="119">
        <f t="shared" si="417"/>
        <v>30</v>
      </c>
      <c r="BZ89" s="825">
        <f t="shared" si="418"/>
        <v>11</v>
      </c>
      <c r="CA89" s="203"/>
      <c r="CB89" s="818">
        <f t="shared" si="401"/>
        <v>0</v>
      </c>
      <c r="CC89" s="450">
        <f t="shared" si="395"/>
        <v>0</v>
      </c>
      <c r="CD89" s="204"/>
      <c r="CE89" s="205"/>
      <c r="CF89" s="205"/>
      <c r="CG89" s="13">
        <f t="shared" si="369"/>
        <v>0</v>
      </c>
      <c r="CH89" s="13">
        <f t="shared" si="242"/>
        <v>0</v>
      </c>
      <c r="CI89" s="13">
        <f t="shared" si="320"/>
        <v>0.16</v>
      </c>
      <c r="CJ89" s="230">
        <f t="shared" si="370"/>
        <v>0</v>
      </c>
      <c r="CK89" s="161">
        <f t="shared" si="321"/>
        <v>3.3600000000000008</v>
      </c>
      <c r="CL89" s="157">
        <f t="shared" si="243"/>
        <v>0</v>
      </c>
      <c r="CM89" s="237"/>
      <c r="CN89" s="13">
        <f t="shared" si="322"/>
        <v>55</v>
      </c>
      <c r="CO89" s="480">
        <f t="shared" si="323"/>
        <v>0</v>
      </c>
      <c r="CP89" s="641">
        <f t="shared" si="177"/>
        <v>0</v>
      </c>
      <c r="CQ89" s="50">
        <f t="shared" si="324"/>
        <v>880</v>
      </c>
      <c r="CR89" s="202">
        <f t="shared" si="419"/>
        <v>0</v>
      </c>
      <c r="CS89" s="62">
        <f t="shared" si="402"/>
        <v>880</v>
      </c>
      <c r="CT89" s="12">
        <f t="shared" si="325"/>
        <v>80</v>
      </c>
      <c r="CU89" s="202">
        <f t="shared" si="420"/>
        <v>0</v>
      </c>
      <c r="CV89" s="62">
        <f t="shared" si="362"/>
        <v>80</v>
      </c>
      <c r="CX89" s="119">
        <f t="shared" si="421"/>
        <v>30</v>
      </c>
      <c r="CY89" s="825">
        <f t="shared" si="422"/>
        <v>11</v>
      </c>
      <c r="CZ89" s="203"/>
      <c r="DA89" s="818">
        <f t="shared" si="403"/>
        <v>0</v>
      </c>
      <c r="DB89" s="450">
        <f t="shared" si="396"/>
        <v>0</v>
      </c>
      <c r="DC89" s="204"/>
      <c r="DD89" s="205"/>
      <c r="DE89" s="205"/>
      <c r="DF89" s="13">
        <f t="shared" si="371"/>
        <v>0</v>
      </c>
      <c r="DG89" s="13">
        <f t="shared" si="244"/>
        <v>0</v>
      </c>
      <c r="DH89" s="13">
        <f t="shared" si="326"/>
        <v>0.16</v>
      </c>
      <c r="DI89" s="230">
        <f t="shared" si="372"/>
        <v>0</v>
      </c>
      <c r="DJ89" s="161">
        <f t="shared" si="327"/>
        <v>3.3600000000000008</v>
      </c>
      <c r="DK89" s="157">
        <f t="shared" si="245"/>
        <v>0</v>
      </c>
      <c r="DL89" s="237"/>
      <c r="DM89" s="13">
        <f t="shared" si="328"/>
        <v>55</v>
      </c>
      <c r="DN89" s="480">
        <f t="shared" si="329"/>
        <v>0</v>
      </c>
      <c r="DO89" s="641">
        <f t="shared" si="178"/>
        <v>0</v>
      </c>
      <c r="DP89" s="50">
        <f t="shared" si="330"/>
        <v>880</v>
      </c>
      <c r="DQ89" s="202">
        <f t="shared" si="423"/>
        <v>0</v>
      </c>
      <c r="DR89" s="62">
        <f t="shared" si="404"/>
        <v>880</v>
      </c>
      <c r="DS89" s="12">
        <f t="shared" si="331"/>
        <v>80</v>
      </c>
      <c r="DT89" s="202">
        <f t="shared" si="424"/>
        <v>0</v>
      </c>
      <c r="DU89" s="62">
        <f t="shared" si="363"/>
        <v>80</v>
      </c>
    </row>
    <row r="90" spans="1:125" x14ac:dyDescent="0.25">
      <c r="B90" s="118">
        <v>31</v>
      </c>
      <c r="C90" s="575">
        <v>12</v>
      </c>
      <c r="D90" s="129"/>
      <c r="E90" s="400">
        <f t="shared" si="334"/>
        <v>171956</v>
      </c>
      <c r="F90" s="561">
        <f t="shared" si="301"/>
        <v>171956</v>
      </c>
      <c r="G90" s="130"/>
      <c r="H90" s="131"/>
      <c r="I90" s="131"/>
      <c r="J90" s="11">
        <f t="shared" si="364"/>
        <v>0</v>
      </c>
      <c r="K90" s="11">
        <f t="shared" si="335"/>
        <v>4875</v>
      </c>
      <c r="L90" s="11">
        <f t="shared" si="302"/>
        <v>0.16</v>
      </c>
      <c r="M90" s="42">
        <f t="shared" si="358"/>
        <v>0</v>
      </c>
      <c r="N90" s="21">
        <f t="shared" si="303"/>
        <v>3.5200000000000009</v>
      </c>
      <c r="O90" s="165">
        <f t="shared" si="336"/>
        <v>2.7568695534154077</v>
      </c>
      <c r="P90" s="158"/>
      <c r="Q90" s="11">
        <f t="shared" si="304"/>
        <v>58</v>
      </c>
      <c r="R90" s="441">
        <f t="shared" si="305"/>
        <v>0</v>
      </c>
      <c r="S90" s="469">
        <f t="shared" si="337"/>
        <v>328.79467076367098</v>
      </c>
      <c r="T90" s="58">
        <f t="shared" si="306"/>
        <v>950</v>
      </c>
      <c r="U90" s="131"/>
      <c r="V90" s="41">
        <f t="shared" si="339"/>
        <v>950</v>
      </c>
      <c r="W90" s="18">
        <f t="shared" si="307"/>
        <v>82</v>
      </c>
      <c r="X90" s="131"/>
      <c r="Y90" s="41">
        <f t="shared" si="341"/>
        <v>82</v>
      </c>
      <c r="Z90" s="487"/>
      <c r="AA90" s="118">
        <v>31</v>
      </c>
      <c r="AB90" s="575">
        <v>12</v>
      </c>
      <c r="AC90" s="129"/>
      <c r="AD90" s="400">
        <f t="shared" si="397"/>
        <v>0</v>
      </c>
      <c r="AE90" s="561">
        <f t="shared" si="393"/>
        <v>0</v>
      </c>
      <c r="AF90" s="130"/>
      <c r="AG90" s="131"/>
      <c r="AH90" s="131"/>
      <c r="AI90" s="11">
        <f t="shared" si="365"/>
        <v>0</v>
      </c>
      <c r="AJ90" s="11">
        <f t="shared" si="239"/>
        <v>0</v>
      </c>
      <c r="AK90" s="11">
        <f t="shared" si="308"/>
        <v>0.16</v>
      </c>
      <c r="AL90" s="42">
        <f t="shared" si="366"/>
        <v>0</v>
      </c>
      <c r="AM90" s="21">
        <f t="shared" si="309"/>
        <v>3.5200000000000009</v>
      </c>
      <c r="AN90" s="165">
        <f t="shared" si="240"/>
        <v>0</v>
      </c>
      <c r="AO90" s="158"/>
      <c r="AP90" s="11">
        <f t="shared" si="310"/>
        <v>58</v>
      </c>
      <c r="AQ90" s="441">
        <f t="shared" si="311"/>
        <v>0</v>
      </c>
      <c r="AR90" s="469">
        <f t="shared" si="175"/>
        <v>0</v>
      </c>
      <c r="AS90" s="58">
        <f t="shared" si="312"/>
        <v>950</v>
      </c>
      <c r="AT90" s="131"/>
      <c r="AU90" s="41">
        <f t="shared" si="398"/>
        <v>950</v>
      </c>
      <c r="AV90" s="18">
        <f t="shared" si="313"/>
        <v>82</v>
      </c>
      <c r="AW90" s="131"/>
      <c r="AX90" s="41">
        <f t="shared" si="360"/>
        <v>82</v>
      </c>
      <c r="AZ90" s="118">
        <v>31</v>
      </c>
      <c r="BA90" s="575">
        <v>12</v>
      </c>
      <c r="BB90" s="129"/>
      <c r="BC90" s="400">
        <f t="shared" si="399"/>
        <v>116143</v>
      </c>
      <c r="BD90" s="561">
        <f t="shared" si="394"/>
        <v>116143</v>
      </c>
      <c r="BE90" s="130"/>
      <c r="BF90" s="131"/>
      <c r="BG90" s="131"/>
      <c r="BH90" s="11">
        <f t="shared" si="367"/>
        <v>0</v>
      </c>
      <c r="BI90" s="11">
        <f t="shared" si="241"/>
        <v>3926</v>
      </c>
      <c r="BJ90" s="11">
        <f t="shared" si="314"/>
        <v>0.16</v>
      </c>
      <c r="BK90" s="42">
        <f t="shared" si="368"/>
        <v>0</v>
      </c>
      <c r="BL90" s="21">
        <f t="shared" si="315"/>
        <v>3.5200000000000009</v>
      </c>
      <c r="BM90" s="210">
        <f t="shared" si="359"/>
        <v>3.2697865394065078</v>
      </c>
      <c r="BN90" s="158"/>
      <c r="BO90" s="11">
        <f t="shared" si="316"/>
        <v>58</v>
      </c>
      <c r="BP90" s="441">
        <f t="shared" si="317"/>
        <v>0</v>
      </c>
      <c r="BQ90" s="469">
        <f t="shared" si="176"/>
        <v>314.58428346602915</v>
      </c>
      <c r="BR90" s="58">
        <f t="shared" si="318"/>
        <v>950</v>
      </c>
      <c r="BS90" s="131"/>
      <c r="BT90" s="41">
        <f t="shared" si="400"/>
        <v>950</v>
      </c>
      <c r="BU90" s="18">
        <f t="shared" si="319"/>
        <v>82</v>
      </c>
      <c r="BV90" s="131"/>
      <c r="BW90" s="41">
        <f t="shared" si="361"/>
        <v>82</v>
      </c>
      <c r="BY90" s="118">
        <v>31</v>
      </c>
      <c r="BZ90" s="575">
        <v>12</v>
      </c>
      <c r="CA90" s="129"/>
      <c r="CB90" s="400">
        <f t="shared" si="401"/>
        <v>0</v>
      </c>
      <c r="CC90" s="561">
        <f t="shared" si="395"/>
        <v>0</v>
      </c>
      <c r="CD90" s="130"/>
      <c r="CE90" s="131"/>
      <c r="CF90" s="131"/>
      <c r="CG90" s="11">
        <f t="shared" si="369"/>
        <v>0</v>
      </c>
      <c r="CH90" s="11">
        <f t="shared" si="242"/>
        <v>0</v>
      </c>
      <c r="CI90" s="11">
        <f t="shared" si="320"/>
        <v>0.16</v>
      </c>
      <c r="CJ90" s="42">
        <f t="shared" si="370"/>
        <v>0</v>
      </c>
      <c r="CK90" s="21">
        <f t="shared" si="321"/>
        <v>3.5200000000000009</v>
      </c>
      <c r="CL90" s="165">
        <f t="shared" si="243"/>
        <v>0</v>
      </c>
      <c r="CM90" s="158"/>
      <c r="CN90" s="11">
        <f t="shared" si="322"/>
        <v>58</v>
      </c>
      <c r="CO90" s="441">
        <f t="shared" si="323"/>
        <v>0</v>
      </c>
      <c r="CP90" s="469">
        <f t="shared" si="177"/>
        <v>0</v>
      </c>
      <c r="CQ90" s="58">
        <f t="shared" si="324"/>
        <v>950</v>
      </c>
      <c r="CR90" s="131"/>
      <c r="CS90" s="41">
        <f t="shared" si="402"/>
        <v>950</v>
      </c>
      <c r="CT90" s="18">
        <f t="shared" si="325"/>
        <v>82</v>
      </c>
      <c r="CU90" s="131"/>
      <c r="CV90" s="41">
        <f t="shared" si="362"/>
        <v>82</v>
      </c>
      <c r="CX90" s="118">
        <v>31</v>
      </c>
      <c r="CY90" s="575">
        <v>12</v>
      </c>
      <c r="CZ90" s="129"/>
      <c r="DA90" s="400">
        <f t="shared" si="403"/>
        <v>0</v>
      </c>
      <c r="DB90" s="561">
        <f t="shared" si="396"/>
        <v>0</v>
      </c>
      <c r="DC90" s="130"/>
      <c r="DD90" s="131"/>
      <c r="DE90" s="131"/>
      <c r="DF90" s="11">
        <f t="shared" si="371"/>
        <v>0</v>
      </c>
      <c r="DG90" s="11">
        <f t="shared" si="244"/>
        <v>0</v>
      </c>
      <c r="DH90" s="11">
        <f t="shared" si="326"/>
        <v>0.16</v>
      </c>
      <c r="DI90" s="42">
        <f t="shared" si="372"/>
        <v>0</v>
      </c>
      <c r="DJ90" s="21">
        <f t="shared" si="327"/>
        <v>3.5200000000000009</v>
      </c>
      <c r="DK90" s="165">
        <f t="shared" si="245"/>
        <v>0</v>
      </c>
      <c r="DL90" s="158"/>
      <c r="DM90" s="11">
        <f t="shared" si="328"/>
        <v>58</v>
      </c>
      <c r="DN90" s="441">
        <f t="shared" si="329"/>
        <v>0</v>
      </c>
      <c r="DO90" s="469">
        <f t="shared" si="178"/>
        <v>0</v>
      </c>
      <c r="DP90" s="58">
        <f t="shared" si="330"/>
        <v>950</v>
      </c>
      <c r="DQ90" s="131"/>
      <c r="DR90" s="41">
        <f t="shared" si="404"/>
        <v>950</v>
      </c>
      <c r="DS90" s="18">
        <f t="shared" si="331"/>
        <v>82</v>
      </c>
      <c r="DT90" s="131"/>
      <c r="DU90" s="41">
        <f t="shared" si="363"/>
        <v>82</v>
      </c>
    </row>
    <row r="91" spans="1:125" ht="18" x14ac:dyDescent="0.25">
      <c r="A91" s="815" t="s">
        <v>192</v>
      </c>
      <c r="B91" s="502">
        <v>1</v>
      </c>
      <c r="C91" s="577">
        <f>C90</f>
        <v>12</v>
      </c>
      <c r="D91" s="528"/>
      <c r="E91" s="564">
        <f t="shared" si="334"/>
        <v>171956</v>
      </c>
      <c r="F91" s="582">
        <f t="shared" si="301"/>
        <v>171956</v>
      </c>
      <c r="G91" s="519"/>
      <c r="H91" s="520"/>
      <c r="I91" s="520"/>
      <c r="J91" s="521">
        <f t="shared" si="364"/>
        <v>0</v>
      </c>
      <c r="K91" s="521">
        <f t="shared" si="335"/>
        <v>4875</v>
      </c>
      <c r="L91" s="521">
        <f t="shared" si="302"/>
        <v>0.16</v>
      </c>
      <c r="M91" s="529">
        <f t="shared" si="358"/>
        <v>0</v>
      </c>
      <c r="N91" s="522">
        <f t="shared" si="303"/>
        <v>3.5200000000000009</v>
      </c>
      <c r="O91" s="817">
        <f t="shared" si="336"/>
        <v>2.7568695534154077</v>
      </c>
      <c r="P91" s="578"/>
      <c r="Q91" s="521">
        <f t="shared" si="304"/>
        <v>58</v>
      </c>
      <c r="R91" s="537">
        <f t="shared" si="305"/>
        <v>0</v>
      </c>
      <c r="S91" s="524">
        <f t="shared" si="337"/>
        <v>328.79467076367098</v>
      </c>
      <c r="T91" s="525">
        <f t="shared" si="306"/>
        <v>950</v>
      </c>
      <c r="U91" s="514">
        <f>U90</f>
        <v>0</v>
      </c>
      <c r="V91" s="526">
        <f t="shared" si="339"/>
        <v>950</v>
      </c>
      <c r="W91" s="525">
        <f t="shared" si="307"/>
        <v>82</v>
      </c>
      <c r="X91" s="514">
        <f>X90</f>
        <v>0</v>
      </c>
      <c r="Y91" s="526">
        <f t="shared" si="341"/>
        <v>82</v>
      </c>
      <c r="Z91" s="815" t="s">
        <v>192</v>
      </c>
      <c r="AA91" s="502">
        <v>1</v>
      </c>
      <c r="AB91" s="577">
        <f>AB90</f>
        <v>12</v>
      </c>
      <c r="AC91" s="528"/>
      <c r="AD91" s="564">
        <f t="shared" si="397"/>
        <v>0</v>
      </c>
      <c r="AE91" s="582">
        <f t="shared" si="393"/>
        <v>0</v>
      </c>
      <c r="AF91" s="519"/>
      <c r="AG91" s="520"/>
      <c r="AH91" s="520"/>
      <c r="AI91" s="521">
        <f t="shared" si="365"/>
        <v>0</v>
      </c>
      <c r="AJ91" s="521">
        <f t="shared" si="239"/>
        <v>0</v>
      </c>
      <c r="AK91" s="521">
        <f t="shared" si="308"/>
        <v>0.16</v>
      </c>
      <c r="AL91" s="529">
        <f t="shared" si="366"/>
        <v>0</v>
      </c>
      <c r="AM91" s="522">
        <f t="shared" si="309"/>
        <v>3.5200000000000009</v>
      </c>
      <c r="AN91" s="817">
        <f t="shared" si="240"/>
        <v>0</v>
      </c>
      <c r="AO91" s="578"/>
      <c r="AP91" s="521">
        <f t="shared" si="310"/>
        <v>58</v>
      </c>
      <c r="AQ91" s="537">
        <f t="shared" si="311"/>
        <v>0</v>
      </c>
      <c r="AR91" s="524">
        <f t="shared" ref="AR91:AR138" si="425">AR90+AQ91</f>
        <v>0</v>
      </c>
      <c r="AS91" s="525">
        <f t="shared" si="312"/>
        <v>950</v>
      </c>
      <c r="AT91" s="514">
        <f>AT90</f>
        <v>0</v>
      </c>
      <c r="AU91" s="526">
        <f t="shared" si="398"/>
        <v>950</v>
      </c>
      <c r="AV91" s="525">
        <f t="shared" si="313"/>
        <v>82</v>
      </c>
      <c r="AW91" s="514">
        <f>AW90</f>
        <v>0</v>
      </c>
      <c r="AX91" s="526">
        <f t="shared" si="360"/>
        <v>82</v>
      </c>
      <c r="AY91" s="815" t="s">
        <v>192</v>
      </c>
      <c r="AZ91" s="502">
        <v>1</v>
      </c>
      <c r="BA91" s="577">
        <f>BA90</f>
        <v>12</v>
      </c>
      <c r="BB91" s="528"/>
      <c r="BC91" s="564">
        <f t="shared" si="399"/>
        <v>116143</v>
      </c>
      <c r="BD91" s="582">
        <f t="shared" si="394"/>
        <v>116143</v>
      </c>
      <c r="BE91" s="519"/>
      <c r="BF91" s="520"/>
      <c r="BG91" s="520"/>
      <c r="BH91" s="521">
        <f t="shared" si="367"/>
        <v>0</v>
      </c>
      <c r="BI91" s="521">
        <f t="shared" si="241"/>
        <v>3926</v>
      </c>
      <c r="BJ91" s="521">
        <f t="shared" si="314"/>
        <v>0.16</v>
      </c>
      <c r="BK91" s="529">
        <f t="shared" si="368"/>
        <v>0</v>
      </c>
      <c r="BL91" s="522">
        <f t="shared" si="315"/>
        <v>3.5200000000000009</v>
      </c>
      <c r="BM91" s="817">
        <f t="shared" si="359"/>
        <v>3.2697865394065078</v>
      </c>
      <c r="BN91" s="578"/>
      <c r="BO91" s="521">
        <f t="shared" si="316"/>
        <v>58</v>
      </c>
      <c r="BP91" s="537">
        <f t="shared" si="317"/>
        <v>0</v>
      </c>
      <c r="BQ91" s="524">
        <f t="shared" ref="BQ91:BQ138" si="426">BQ90+BP91</f>
        <v>314.58428346602915</v>
      </c>
      <c r="BR91" s="525">
        <f t="shared" si="318"/>
        <v>950</v>
      </c>
      <c r="BS91" s="514">
        <f>BS90</f>
        <v>0</v>
      </c>
      <c r="BT91" s="526">
        <f t="shared" si="400"/>
        <v>950</v>
      </c>
      <c r="BU91" s="525">
        <f t="shared" si="319"/>
        <v>82</v>
      </c>
      <c r="BV91" s="514">
        <f>BV90</f>
        <v>0</v>
      </c>
      <c r="BW91" s="526">
        <f t="shared" si="361"/>
        <v>82</v>
      </c>
      <c r="BX91" s="815" t="s">
        <v>192</v>
      </c>
      <c r="BY91" s="502">
        <v>1</v>
      </c>
      <c r="BZ91" s="577">
        <f>BZ90</f>
        <v>12</v>
      </c>
      <c r="CA91" s="528"/>
      <c r="CB91" s="564">
        <f t="shared" si="401"/>
        <v>0</v>
      </c>
      <c r="CC91" s="582">
        <f t="shared" si="395"/>
        <v>0</v>
      </c>
      <c r="CD91" s="519"/>
      <c r="CE91" s="520"/>
      <c r="CF91" s="520"/>
      <c r="CG91" s="521">
        <f t="shared" si="369"/>
        <v>0</v>
      </c>
      <c r="CH91" s="521">
        <f t="shared" si="242"/>
        <v>0</v>
      </c>
      <c r="CI91" s="521">
        <f t="shared" si="320"/>
        <v>0.16</v>
      </c>
      <c r="CJ91" s="529">
        <f t="shared" si="370"/>
        <v>0</v>
      </c>
      <c r="CK91" s="522">
        <f t="shared" si="321"/>
        <v>3.5200000000000009</v>
      </c>
      <c r="CL91" s="817">
        <f t="shared" si="243"/>
        <v>0</v>
      </c>
      <c r="CM91" s="578"/>
      <c r="CN91" s="521">
        <f t="shared" si="322"/>
        <v>58</v>
      </c>
      <c r="CO91" s="537">
        <f t="shared" si="323"/>
        <v>0</v>
      </c>
      <c r="CP91" s="524">
        <f t="shared" ref="CP91:CP138" si="427">CP90+CO91</f>
        <v>0</v>
      </c>
      <c r="CQ91" s="525">
        <f t="shared" si="324"/>
        <v>950</v>
      </c>
      <c r="CR91" s="514">
        <f>CR90</f>
        <v>0</v>
      </c>
      <c r="CS91" s="526">
        <f t="shared" si="402"/>
        <v>950</v>
      </c>
      <c r="CT91" s="525">
        <f t="shared" si="325"/>
        <v>82</v>
      </c>
      <c r="CU91" s="514">
        <f>CU90</f>
        <v>0</v>
      </c>
      <c r="CV91" s="526">
        <f t="shared" si="362"/>
        <v>82</v>
      </c>
      <c r="CW91" s="815" t="s">
        <v>192</v>
      </c>
      <c r="CX91" s="502">
        <v>1</v>
      </c>
      <c r="CY91" s="577">
        <f>CY90</f>
        <v>12</v>
      </c>
      <c r="CZ91" s="528"/>
      <c r="DA91" s="564">
        <f t="shared" si="403"/>
        <v>0</v>
      </c>
      <c r="DB91" s="582">
        <f t="shared" si="396"/>
        <v>0</v>
      </c>
      <c r="DC91" s="519"/>
      <c r="DD91" s="520"/>
      <c r="DE91" s="520"/>
      <c r="DF91" s="521">
        <f t="shared" si="371"/>
        <v>0</v>
      </c>
      <c r="DG91" s="521">
        <f t="shared" si="244"/>
        <v>0</v>
      </c>
      <c r="DH91" s="521">
        <f t="shared" si="326"/>
        <v>0.16</v>
      </c>
      <c r="DI91" s="529">
        <f t="shared" si="372"/>
        <v>0</v>
      </c>
      <c r="DJ91" s="522">
        <f t="shared" si="327"/>
        <v>3.5200000000000009</v>
      </c>
      <c r="DK91" s="817">
        <f t="shared" si="245"/>
        <v>0</v>
      </c>
      <c r="DL91" s="578"/>
      <c r="DM91" s="521">
        <f t="shared" si="328"/>
        <v>58</v>
      </c>
      <c r="DN91" s="537">
        <f t="shared" si="329"/>
        <v>0</v>
      </c>
      <c r="DO91" s="524">
        <f t="shared" ref="DO91:DO138" si="428">DO90+DN91</f>
        <v>0</v>
      </c>
      <c r="DP91" s="525">
        <f t="shared" si="330"/>
        <v>950</v>
      </c>
      <c r="DQ91" s="514">
        <f>DQ90</f>
        <v>0</v>
      </c>
      <c r="DR91" s="526">
        <f t="shared" si="404"/>
        <v>950</v>
      </c>
      <c r="DS91" s="525">
        <f t="shared" si="331"/>
        <v>82</v>
      </c>
      <c r="DT91" s="514">
        <f>DT90</f>
        <v>0</v>
      </c>
      <c r="DU91" s="526">
        <f t="shared" si="363"/>
        <v>82</v>
      </c>
    </row>
    <row r="92" spans="1:125" x14ac:dyDescent="0.25">
      <c r="B92" s="120">
        <f>B91+1</f>
        <v>2</v>
      </c>
      <c r="C92" s="570">
        <f t="shared" ref="C92:C96" si="429">C91</f>
        <v>12</v>
      </c>
      <c r="D92" s="133"/>
      <c r="E92" s="408">
        <f t="shared" si="334"/>
        <v>171956</v>
      </c>
      <c r="F92" s="562">
        <f t="shared" si="301"/>
        <v>171956</v>
      </c>
      <c r="G92" s="405"/>
      <c r="H92" s="135"/>
      <c r="I92" s="135"/>
      <c r="J92" s="14">
        <f t="shared" si="364"/>
        <v>0</v>
      </c>
      <c r="K92" s="14">
        <f t="shared" si="335"/>
        <v>4875</v>
      </c>
      <c r="L92" s="14">
        <f t="shared" si="302"/>
        <v>0.16</v>
      </c>
      <c r="M92" s="47">
        <f t="shared" si="358"/>
        <v>0</v>
      </c>
      <c r="N92" s="35">
        <f t="shared" si="303"/>
        <v>3.5200000000000009</v>
      </c>
      <c r="O92" s="159">
        <f t="shared" si="336"/>
        <v>2.7568695534154077</v>
      </c>
      <c r="P92" s="142"/>
      <c r="Q92" s="14">
        <f t="shared" si="304"/>
        <v>58</v>
      </c>
      <c r="R92" s="480">
        <f t="shared" si="305"/>
        <v>0</v>
      </c>
      <c r="S92" s="470">
        <f t="shared" si="337"/>
        <v>328.79467076367098</v>
      </c>
      <c r="T92" s="51">
        <f t="shared" si="306"/>
        <v>950</v>
      </c>
      <c r="U92" s="103">
        <f t="shared" ref="U92:U96" si="430">U91</f>
        <v>0</v>
      </c>
      <c r="V92" s="46">
        <f t="shared" si="339"/>
        <v>950</v>
      </c>
      <c r="W92" s="51">
        <f t="shared" si="307"/>
        <v>82</v>
      </c>
      <c r="X92" s="103">
        <f t="shared" ref="X92:X96" si="431">X91</f>
        <v>0</v>
      </c>
      <c r="Y92" s="46">
        <f t="shared" si="341"/>
        <v>82</v>
      </c>
      <c r="Z92" s="487"/>
      <c r="AA92" s="120">
        <f>AA91+1</f>
        <v>2</v>
      </c>
      <c r="AB92" s="570">
        <f t="shared" ref="AB92:AB96" si="432">AB91</f>
        <v>12</v>
      </c>
      <c r="AC92" s="133"/>
      <c r="AD92" s="408">
        <f t="shared" si="397"/>
        <v>0</v>
      </c>
      <c r="AE92" s="562">
        <f t="shared" si="393"/>
        <v>0</v>
      </c>
      <c r="AF92" s="405"/>
      <c r="AG92" s="135"/>
      <c r="AH92" s="135"/>
      <c r="AI92" s="14">
        <f t="shared" si="365"/>
        <v>0</v>
      </c>
      <c r="AJ92" s="14">
        <f t="shared" si="239"/>
        <v>0</v>
      </c>
      <c r="AK92" s="14">
        <f t="shared" si="308"/>
        <v>0.16</v>
      </c>
      <c r="AL92" s="47">
        <f t="shared" si="366"/>
        <v>0</v>
      </c>
      <c r="AM92" s="35">
        <f t="shared" si="309"/>
        <v>3.5200000000000009</v>
      </c>
      <c r="AN92" s="159">
        <f t="shared" si="240"/>
        <v>0</v>
      </c>
      <c r="AO92" s="142"/>
      <c r="AP92" s="14">
        <f t="shared" si="310"/>
        <v>58</v>
      </c>
      <c r="AQ92" s="480">
        <f t="shared" si="311"/>
        <v>0</v>
      </c>
      <c r="AR92" s="470">
        <f t="shared" si="425"/>
        <v>0</v>
      </c>
      <c r="AS92" s="51">
        <f t="shared" si="312"/>
        <v>950</v>
      </c>
      <c r="AT92" s="103">
        <f t="shared" ref="AT92:AT96" si="433">AT91</f>
        <v>0</v>
      </c>
      <c r="AU92" s="46">
        <f t="shared" si="398"/>
        <v>950</v>
      </c>
      <c r="AV92" s="51">
        <f t="shared" si="313"/>
        <v>82</v>
      </c>
      <c r="AW92" s="103">
        <f t="shared" ref="AW92:AW96" si="434">AW91</f>
        <v>0</v>
      </c>
      <c r="AX92" s="46">
        <f t="shared" si="360"/>
        <v>82</v>
      </c>
      <c r="AZ92" s="120">
        <f>AZ91+1</f>
        <v>2</v>
      </c>
      <c r="BA92" s="570">
        <f t="shared" ref="BA92:BA96" si="435">BA91</f>
        <v>12</v>
      </c>
      <c r="BB92" s="133"/>
      <c r="BC92" s="408">
        <f t="shared" si="399"/>
        <v>116143</v>
      </c>
      <c r="BD92" s="562">
        <f t="shared" si="394"/>
        <v>116143</v>
      </c>
      <c r="BE92" s="405"/>
      <c r="BF92" s="135"/>
      <c r="BG92" s="135"/>
      <c r="BH92" s="14">
        <f t="shared" si="367"/>
        <v>0</v>
      </c>
      <c r="BI92" s="14">
        <f t="shared" si="241"/>
        <v>3926</v>
      </c>
      <c r="BJ92" s="14">
        <f t="shared" si="314"/>
        <v>0.16</v>
      </c>
      <c r="BK92" s="47">
        <f t="shared" si="368"/>
        <v>0</v>
      </c>
      <c r="BL92" s="35">
        <f t="shared" si="315"/>
        <v>3.5200000000000009</v>
      </c>
      <c r="BM92" s="159">
        <f t="shared" si="359"/>
        <v>3.2697865394065078</v>
      </c>
      <c r="BN92" s="142"/>
      <c r="BO92" s="14">
        <f t="shared" si="316"/>
        <v>58</v>
      </c>
      <c r="BP92" s="480">
        <f t="shared" si="317"/>
        <v>0</v>
      </c>
      <c r="BQ92" s="470">
        <f t="shared" si="426"/>
        <v>314.58428346602915</v>
      </c>
      <c r="BR92" s="51">
        <f t="shared" si="318"/>
        <v>950</v>
      </c>
      <c r="BS92" s="103">
        <f t="shared" ref="BS92:BS96" si="436">BS91</f>
        <v>0</v>
      </c>
      <c r="BT92" s="46">
        <f t="shared" si="400"/>
        <v>950</v>
      </c>
      <c r="BU92" s="51">
        <f t="shared" si="319"/>
        <v>82</v>
      </c>
      <c r="BV92" s="103">
        <f t="shared" ref="BV92:BV96" si="437">BV91</f>
        <v>0</v>
      </c>
      <c r="BW92" s="46">
        <f t="shared" si="361"/>
        <v>82</v>
      </c>
      <c r="BY92" s="120">
        <f>BY91+1</f>
        <v>2</v>
      </c>
      <c r="BZ92" s="570">
        <f t="shared" ref="BZ92:BZ96" si="438">BZ91</f>
        <v>12</v>
      </c>
      <c r="CA92" s="133"/>
      <c r="CB92" s="408">
        <f t="shared" si="401"/>
        <v>0</v>
      </c>
      <c r="CC92" s="562">
        <f t="shared" si="395"/>
        <v>0</v>
      </c>
      <c r="CD92" s="405"/>
      <c r="CE92" s="135"/>
      <c r="CF92" s="135"/>
      <c r="CG92" s="14">
        <f t="shared" si="369"/>
        <v>0</v>
      </c>
      <c r="CH92" s="14">
        <f t="shared" si="242"/>
        <v>0</v>
      </c>
      <c r="CI92" s="14">
        <f t="shared" si="320"/>
        <v>0.16</v>
      </c>
      <c r="CJ92" s="47">
        <f t="shared" si="370"/>
        <v>0</v>
      </c>
      <c r="CK92" s="35">
        <f t="shared" si="321"/>
        <v>3.5200000000000009</v>
      </c>
      <c r="CL92" s="159">
        <f t="shared" si="243"/>
        <v>0</v>
      </c>
      <c r="CM92" s="142"/>
      <c r="CN92" s="14">
        <f t="shared" si="322"/>
        <v>58</v>
      </c>
      <c r="CO92" s="480">
        <f t="shared" si="323"/>
        <v>0</v>
      </c>
      <c r="CP92" s="470">
        <f t="shared" si="427"/>
        <v>0</v>
      </c>
      <c r="CQ92" s="51">
        <f t="shared" si="324"/>
        <v>950</v>
      </c>
      <c r="CR92" s="103">
        <f t="shared" ref="CR92:CR96" si="439">CR91</f>
        <v>0</v>
      </c>
      <c r="CS92" s="46">
        <f t="shared" si="402"/>
        <v>950</v>
      </c>
      <c r="CT92" s="51">
        <f t="shared" si="325"/>
        <v>82</v>
      </c>
      <c r="CU92" s="103">
        <f t="shared" ref="CU92:CU96" si="440">CU91</f>
        <v>0</v>
      </c>
      <c r="CV92" s="46">
        <f t="shared" si="362"/>
        <v>82</v>
      </c>
      <c r="CX92" s="120">
        <f>CX91+1</f>
        <v>2</v>
      </c>
      <c r="CY92" s="570">
        <f t="shared" ref="CY92:CY96" si="441">CY91</f>
        <v>12</v>
      </c>
      <c r="CZ92" s="133"/>
      <c r="DA92" s="408">
        <f t="shared" si="403"/>
        <v>0</v>
      </c>
      <c r="DB92" s="562">
        <f t="shared" si="396"/>
        <v>0</v>
      </c>
      <c r="DC92" s="405"/>
      <c r="DD92" s="135"/>
      <c r="DE92" s="135"/>
      <c r="DF92" s="14">
        <f t="shared" si="371"/>
        <v>0</v>
      </c>
      <c r="DG92" s="14">
        <f t="shared" si="244"/>
        <v>0</v>
      </c>
      <c r="DH92" s="14">
        <f t="shared" si="326"/>
        <v>0.16</v>
      </c>
      <c r="DI92" s="47">
        <f t="shared" si="372"/>
        <v>0</v>
      </c>
      <c r="DJ92" s="35">
        <f t="shared" si="327"/>
        <v>3.5200000000000009</v>
      </c>
      <c r="DK92" s="159">
        <f t="shared" si="245"/>
        <v>0</v>
      </c>
      <c r="DL92" s="142"/>
      <c r="DM92" s="14">
        <f t="shared" si="328"/>
        <v>58</v>
      </c>
      <c r="DN92" s="480">
        <f t="shared" si="329"/>
        <v>0</v>
      </c>
      <c r="DO92" s="470">
        <f t="shared" si="428"/>
        <v>0</v>
      </c>
      <c r="DP92" s="51">
        <f t="shared" si="330"/>
        <v>950</v>
      </c>
      <c r="DQ92" s="103">
        <f t="shared" ref="DQ92:DQ96" si="442">DQ91</f>
        <v>0</v>
      </c>
      <c r="DR92" s="46">
        <f t="shared" si="404"/>
        <v>950</v>
      </c>
      <c r="DS92" s="51">
        <f t="shared" si="331"/>
        <v>82</v>
      </c>
      <c r="DT92" s="103">
        <f t="shared" ref="DT92:DT96" si="443">DT91</f>
        <v>0</v>
      </c>
      <c r="DU92" s="46">
        <f t="shared" si="363"/>
        <v>82</v>
      </c>
    </row>
    <row r="93" spans="1:125" x14ac:dyDescent="0.25">
      <c r="B93" s="120">
        <f t="shared" ref="B93:B96" si="444">B92+1</f>
        <v>3</v>
      </c>
      <c r="C93" s="570">
        <f t="shared" si="429"/>
        <v>12</v>
      </c>
      <c r="D93" s="133"/>
      <c r="E93" s="408">
        <f t="shared" si="334"/>
        <v>171956</v>
      </c>
      <c r="F93" s="562">
        <f t="shared" si="301"/>
        <v>171956</v>
      </c>
      <c r="G93" s="405"/>
      <c r="H93" s="135"/>
      <c r="I93" s="135"/>
      <c r="J93" s="14">
        <f t="shared" si="364"/>
        <v>0</v>
      </c>
      <c r="K93" s="14">
        <f t="shared" si="335"/>
        <v>4875</v>
      </c>
      <c r="L93" s="14">
        <f t="shared" si="302"/>
        <v>0.16</v>
      </c>
      <c r="M93" s="47">
        <f t="shared" si="358"/>
        <v>0</v>
      </c>
      <c r="N93" s="35">
        <f t="shared" si="303"/>
        <v>3.5200000000000009</v>
      </c>
      <c r="O93" s="159">
        <f t="shared" si="336"/>
        <v>2.7568695534154077</v>
      </c>
      <c r="P93" s="142"/>
      <c r="Q93" s="14">
        <f t="shared" si="304"/>
        <v>58</v>
      </c>
      <c r="R93" s="482">
        <f t="shared" si="305"/>
        <v>0</v>
      </c>
      <c r="S93" s="470">
        <f t="shared" si="337"/>
        <v>328.79467076367098</v>
      </c>
      <c r="T93" s="51">
        <f t="shared" si="306"/>
        <v>950</v>
      </c>
      <c r="U93" s="103">
        <f t="shared" si="430"/>
        <v>0</v>
      </c>
      <c r="V93" s="46">
        <f t="shared" si="339"/>
        <v>950</v>
      </c>
      <c r="W93" s="51">
        <f t="shared" si="307"/>
        <v>82</v>
      </c>
      <c r="X93" s="103">
        <f t="shared" si="431"/>
        <v>0</v>
      </c>
      <c r="Y93" s="46">
        <f t="shared" si="341"/>
        <v>82</v>
      </c>
      <c r="Z93" s="487"/>
      <c r="AA93" s="120">
        <f t="shared" ref="AA93:AA96" si="445">AA92+1</f>
        <v>3</v>
      </c>
      <c r="AB93" s="570">
        <f t="shared" si="432"/>
        <v>12</v>
      </c>
      <c r="AC93" s="133"/>
      <c r="AD93" s="408">
        <f t="shared" si="397"/>
        <v>0</v>
      </c>
      <c r="AE93" s="562">
        <f t="shared" si="393"/>
        <v>0</v>
      </c>
      <c r="AF93" s="405"/>
      <c r="AG93" s="135"/>
      <c r="AH93" s="135"/>
      <c r="AI93" s="14">
        <f t="shared" si="365"/>
        <v>0</v>
      </c>
      <c r="AJ93" s="14">
        <f t="shared" si="239"/>
        <v>0</v>
      </c>
      <c r="AK93" s="14">
        <f t="shared" si="308"/>
        <v>0.16</v>
      </c>
      <c r="AL93" s="47">
        <f t="shared" si="366"/>
        <v>0</v>
      </c>
      <c r="AM93" s="35">
        <f t="shared" si="309"/>
        <v>3.5200000000000009</v>
      </c>
      <c r="AN93" s="159">
        <f t="shared" si="240"/>
        <v>0</v>
      </c>
      <c r="AO93" s="142"/>
      <c r="AP93" s="14">
        <f t="shared" si="310"/>
        <v>58</v>
      </c>
      <c r="AQ93" s="482">
        <f t="shared" si="311"/>
        <v>0</v>
      </c>
      <c r="AR93" s="470">
        <f t="shared" si="425"/>
        <v>0</v>
      </c>
      <c r="AS93" s="51">
        <f t="shared" si="312"/>
        <v>950</v>
      </c>
      <c r="AT93" s="103">
        <f t="shared" si="433"/>
        <v>0</v>
      </c>
      <c r="AU93" s="46">
        <f t="shared" si="398"/>
        <v>950</v>
      </c>
      <c r="AV93" s="51">
        <f t="shared" si="313"/>
        <v>82</v>
      </c>
      <c r="AW93" s="103">
        <f t="shared" si="434"/>
        <v>0</v>
      </c>
      <c r="AX93" s="46">
        <f t="shared" si="360"/>
        <v>82</v>
      </c>
      <c r="AZ93" s="120">
        <f t="shared" ref="AZ93:AZ96" si="446">AZ92+1</f>
        <v>3</v>
      </c>
      <c r="BA93" s="570">
        <f t="shared" si="435"/>
        <v>12</v>
      </c>
      <c r="BB93" s="133"/>
      <c r="BC93" s="408">
        <f t="shared" si="399"/>
        <v>116143</v>
      </c>
      <c r="BD93" s="562">
        <f t="shared" si="394"/>
        <v>116143</v>
      </c>
      <c r="BE93" s="405"/>
      <c r="BF93" s="135"/>
      <c r="BG93" s="135"/>
      <c r="BH93" s="14">
        <f t="shared" si="367"/>
        <v>0</v>
      </c>
      <c r="BI93" s="14">
        <f t="shared" si="241"/>
        <v>3926</v>
      </c>
      <c r="BJ93" s="14">
        <f t="shared" si="314"/>
        <v>0.16</v>
      </c>
      <c r="BK93" s="47">
        <f t="shared" si="368"/>
        <v>0</v>
      </c>
      <c r="BL93" s="35">
        <f t="shared" si="315"/>
        <v>3.5200000000000009</v>
      </c>
      <c r="BM93" s="159">
        <f t="shared" si="359"/>
        <v>3.2697865394065078</v>
      </c>
      <c r="BN93" s="142"/>
      <c r="BO93" s="14">
        <f t="shared" si="316"/>
        <v>58</v>
      </c>
      <c r="BP93" s="482">
        <f t="shared" si="317"/>
        <v>0</v>
      </c>
      <c r="BQ93" s="470">
        <f t="shared" si="426"/>
        <v>314.58428346602915</v>
      </c>
      <c r="BR93" s="51">
        <f t="shared" si="318"/>
        <v>950</v>
      </c>
      <c r="BS93" s="103">
        <f t="shared" si="436"/>
        <v>0</v>
      </c>
      <c r="BT93" s="46">
        <f t="shared" si="400"/>
        <v>950</v>
      </c>
      <c r="BU93" s="51">
        <f t="shared" si="319"/>
        <v>82</v>
      </c>
      <c r="BV93" s="103">
        <f t="shared" si="437"/>
        <v>0</v>
      </c>
      <c r="BW93" s="46">
        <f t="shared" si="361"/>
        <v>82</v>
      </c>
      <c r="BY93" s="120">
        <f t="shared" ref="BY93:BY96" si="447">BY92+1</f>
        <v>3</v>
      </c>
      <c r="BZ93" s="570">
        <f t="shared" si="438"/>
        <v>12</v>
      </c>
      <c r="CA93" s="133"/>
      <c r="CB93" s="408">
        <f t="shared" si="401"/>
        <v>0</v>
      </c>
      <c r="CC93" s="562">
        <f t="shared" si="395"/>
        <v>0</v>
      </c>
      <c r="CD93" s="405"/>
      <c r="CE93" s="135"/>
      <c r="CF93" s="135"/>
      <c r="CG93" s="14">
        <f t="shared" si="369"/>
        <v>0</v>
      </c>
      <c r="CH93" s="14">
        <f t="shared" si="242"/>
        <v>0</v>
      </c>
      <c r="CI93" s="14">
        <f t="shared" si="320"/>
        <v>0.16</v>
      </c>
      <c r="CJ93" s="47">
        <f t="shared" si="370"/>
        <v>0</v>
      </c>
      <c r="CK93" s="35">
        <f t="shared" si="321"/>
        <v>3.5200000000000009</v>
      </c>
      <c r="CL93" s="159">
        <f t="shared" si="243"/>
        <v>0</v>
      </c>
      <c r="CM93" s="142"/>
      <c r="CN93" s="14">
        <f t="shared" si="322"/>
        <v>58</v>
      </c>
      <c r="CO93" s="482">
        <f t="shared" si="323"/>
        <v>0</v>
      </c>
      <c r="CP93" s="470">
        <f t="shared" si="427"/>
        <v>0</v>
      </c>
      <c r="CQ93" s="51">
        <f t="shared" si="324"/>
        <v>950</v>
      </c>
      <c r="CR93" s="103">
        <f t="shared" si="439"/>
        <v>0</v>
      </c>
      <c r="CS93" s="46">
        <f t="shared" si="402"/>
        <v>950</v>
      </c>
      <c r="CT93" s="51">
        <f t="shared" si="325"/>
        <v>82</v>
      </c>
      <c r="CU93" s="103">
        <f t="shared" si="440"/>
        <v>0</v>
      </c>
      <c r="CV93" s="46">
        <f t="shared" si="362"/>
        <v>82</v>
      </c>
      <c r="CX93" s="120">
        <f t="shared" ref="CX93:CX96" si="448">CX92+1</f>
        <v>3</v>
      </c>
      <c r="CY93" s="570">
        <f t="shared" si="441"/>
        <v>12</v>
      </c>
      <c r="CZ93" s="133"/>
      <c r="DA93" s="408">
        <f t="shared" si="403"/>
        <v>0</v>
      </c>
      <c r="DB93" s="562">
        <f t="shared" si="396"/>
        <v>0</v>
      </c>
      <c r="DC93" s="405"/>
      <c r="DD93" s="135"/>
      <c r="DE93" s="135"/>
      <c r="DF93" s="14">
        <f t="shared" si="371"/>
        <v>0</v>
      </c>
      <c r="DG93" s="14">
        <f t="shared" si="244"/>
        <v>0</v>
      </c>
      <c r="DH93" s="14">
        <f t="shared" si="326"/>
        <v>0.16</v>
      </c>
      <c r="DI93" s="47">
        <f t="shared" si="372"/>
        <v>0</v>
      </c>
      <c r="DJ93" s="35">
        <f t="shared" si="327"/>
        <v>3.5200000000000009</v>
      </c>
      <c r="DK93" s="159">
        <f t="shared" si="245"/>
        <v>0</v>
      </c>
      <c r="DL93" s="142"/>
      <c r="DM93" s="14">
        <f t="shared" si="328"/>
        <v>58</v>
      </c>
      <c r="DN93" s="482">
        <f t="shared" si="329"/>
        <v>0</v>
      </c>
      <c r="DO93" s="470">
        <f t="shared" si="428"/>
        <v>0</v>
      </c>
      <c r="DP93" s="51">
        <f t="shared" si="330"/>
        <v>950</v>
      </c>
      <c r="DQ93" s="103">
        <f t="shared" si="442"/>
        <v>0</v>
      </c>
      <c r="DR93" s="46">
        <f t="shared" si="404"/>
        <v>950</v>
      </c>
      <c r="DS93" s="51">
        <f t="shared" si="331"/>
        <v>82</v>
      </c>
      <c r="DT93" s="103">
        <f t="shared" si="443"/>
        <v>0</v>
      </c>
      <c r="DU93" s="46">
        <f t="shared" si="363"/>
        <v>82</v>
      </c>
    </row>
    <row r="94" spans="1:125" x14ac:dyDescent="0.25">
      <c r="B94" s="120">
        <f t="shared" si="444"/>
        <v>4</v>
      </c>
      <c r="C94" s="570">
        <f t="shared" si="429"/>
        <v>12</v>
      </c>
      <c r="D94" s="133"/>
      <c r="E94" s="408">
        <f t="shared" si="334"/>
        <v>171956</v>
      </c>
      <c r="F94" s="562">
        <f t="shared" si="301"/>
        <v>171956</v>
      </c>
      <c r="G94" s="405"/>
      <c r="H94" s="135"/>
      <c r="I94" s="135"/>
      <c r="J94" s="14">
        <f t="shared" si="364"/>
        <v>0</v>
      </c>
      <c r="K94" s="14">
        <f t="shared" si="335"/>
        <v>4875</v>
      </c>
      <c r="L94" s="14">
        <f t="shared" si="302"/>
        <v>0.16</v>
      </c>
      <c r="M94" s="47">
        <f t="shared" si="358"/>
        <v>0</v>
      </c>
      <c r="N94" s="35">
        <f t="shared" si="303"/>
        <v>3.5200000000000009</v>
      </c>
      <c r="O94" s="159">
        <f t="shared" si="336"/>
        <v>2.7568695534154077</v>
      </c>
      <c r="P94" s="142"/>
      <c r="Q94" s="14">
        <f t="shared" si="304"/>
        <v>58</v>
      </c>
      <c r="R94" s="442">
        <f t="shared" si="305"/>
        <v>0</v>
      </c>
      <c r="S94" s="470">
        <f t="shared" si="337"/>
        <v>328.79467076367098</v>
      </c>
      <c r="T94" s="51">
        <f t="shared" si="306"/>
        <v>950</v>
      </c>
      <c r="U94" s="103">
        <f t="shared" si="430"/>
        <v>0</v>
      </c>
      <c r="V94" s="46">
        <f t="shared" si="339"/>
        <v>950</v>
      </c>
      <c r="W94" s="51">
        <f t="shared" si="307"/>
        <v>82</v>
      </c>
      <c r="X94" s="103">
        <f t="shared" si="431"/>
        <v>0</v>
      </c>
      <c r="Y94" s="46">
        <f t="shared" si="341"/>
        <v>82</v>
      </c>
      <c r="Z94" s="487"/>
      <c r="AA94" s="120">
        <f t="shared" si="445"/>
        <v>4</v>
      </c>
      <c r="AB94" s="570">
        <f t="shared" si="432"/>
        <v>12</v>
      </c>
      <c r="AC94" s="133"/>
      <c r="AD94" s="408">
        <f t="shared" si="397"/>
        <v>0</v>
      </c>
      <c r="AE94" s="562">
        <f t="shared" si="393"/>
        <v>0</v>
      </c>
      <c r="AF94" s="405"/>
      <c r="AG94" s="135"/>
      <c r="AH94" s="135"/>
      <c r="AI94" s="14">
        <f t="shared" si="365"/>
        <v>0</v>
      </c>
      <c r="AJ94" s="14">
        <f t="shared" si="239"/>
        <v>0</v>
      </c>
      <c r="AK94" s="14">
        <f t="shared" si="308"/>
        <v>0.16</v>
      </c>
      <c r="AL94" s="47">
        <f t="shared" si="366"/>
        <v>0</v>
      </c>
      <c r="AM94" s="35">
        <f t="shared" si="309"/>
        <v>3.5200000000000009</v>
      </c>
      <c r="AN94" s="159">
        <f t="shared" si="240"/>
        <v>0</v>
      </c>
      <c r="AO94" s="142"/>
      <c r="AP94" s="14">
        <f t="shared" si="310"/>
        <v>58</v>
      </c>
      <c r="AQ94" s="442">
        <f t="shared" si="311"/>
        <v>0</v>
      </c>
      <c r="AR94" s="470">
        <f t="shared" si="425"/>
        <v>0</v>
      </c>
      <c r="AS94" s="51">
        <f t="shared" si="312"/>
        <v>950</v>
      </c>
      <c r="AT94" s="103">
        <f t="shared" si="433"/>
        <v>0</v>
      </c>
      <c r="AU94" s="46">
        <f t="shared" si="398"/>
        <v>950</v>
      </c>
      <c r="AV94" s="51">
        <f t="shared" si="313"/>
        <v>82</v>
      </c>
      <c r="AW94" s="103">
        <f t="shared" si="434"/>
        <v>0</v>
      </c>
      <c r="AX94" s="46">
        <f t="shared" si="360"/>
        <v>82</v>
      </c>
      <c r="AZ94" s="120">
        <f t="shared" si="446"/>
        <v>4</v>
      </c>
      <c r="BA94" s="570">
        <f t="shared" si="435"/>
        <v>12</v>
      </c>
      <c r="BB94" s="133"/>
      <c r="BC94" s="408">
        <f t="shared" si="399"/>
        <v>116143</v>
      </c>
      <c r="BD94" s="562">
        <f t="shared" si="394"/>
        <v>116143</v>
      </c>
      <c r="BE94" s="405"/>
      <c r="BF94" s="135"/>
      <c r="BG94" s="135"/>
      <c r="BH94" s="14">
        <f t="shared" si="367"/>
        <v>0</v>
      </c>
      <c r="BI94" s="14">
        <f t="shared" si="241"/>
        <v>3926</v>
      </c>
      <c r="BJ94" s="14">
        <f t="shared" si="314"/>
        <v>0.16</v>
      </c>
      <c r="BK94" s="47">
        <f t="shared" si="368"/>
        <v>0</v>
      </c>
      <c r="BL94" s="35">
        <f t="shared" si="315"/>
        <v>3.5200000000000009</v>
      </c>
      <c r="BM94" s="159">
        <f t="shared" si="359"/>
        <v>3.2697865394065078</v>
      </c>
      <c r="BN94" s="142"/>
      <c r="BO94" s="14">
        <f t="shared" si="316"/>
        <v>58</v>
      </c>
      <c r="BP94" s="442">
        <f t="shared" si="317"/>
        <v>0</v>
      </c>
      <c r="BQ94" s="470">
        <f t="shared" si="426"/>
        <v>314.58428346602915</v>
      </c>
      <c r="BR94" s="51">
        <f t="shared" si="318"/>
        <v>950</v>
      </c>
      <c r="BS94" s="103">
        <f t="shared" si="436"/>
        <v>0</v>
      </c>
      <c r="BT94" s="46">
        <f t="shared" si="400"/>
        <v>950</v>
      </c>
      <c r="BU94" s="51">
        <f t="shared" si="319"/>
        <v>82</v>
      </c>
      <c r="BV94" s="103">
        <f t="shared" si="437"/>
        <v>0</v>
      </c>
      <c r="BW94" s="46">
        <f t="shared" si="361"/>
        <v>82</v>
      </c>
      <c r="BY94" s="120">
        <f t="shared" si="447"/>
        <v>4</v>
      </c>
      <c r="BZ94" s="570">
        <f t="shared" si="438"/>
        <v>12</v>
      </c>
      <c r="CA94" s="133"/>
      <c r="CB94" s="408">
        <f t="shared" si="401"/>
        <v>0</v>
      </c>
      <c r="CC94" s="562">
        <f t="shared" si="395"/>
        <v>0</v>
      </c>
      <c r="CD94" s="405"/>
      <c r="CE94" s="135"/>
      <c r="CF94" s="135"/>
      <c r="CG94" s="14">
        <f t="shared" si="369"/>
        <v>0</v>
      </c>
      <c r="CH94" s="14">
        <f t="shared" si="242"/>
        <v>0</v>
      </c>
      <c r="CI94" s="14">
        <f t="shared" si="320"/>
        <v>0.16</v>
      </c>
      <c r="CJ94" s="47">
        <f t="shared" si="370"/>
        <v>0</v>
      </c>
      <c r="CK94" s="35">
        <f t="shared" si="321"/>
        <v>3.5200000000000009</v>
      </c>
      <c r="CL94" s="159">
        <f t="shared" si="243"/>
        <v>0</v>
      </c>
      <c r="CM94" s="142"/>
      <c r="CN94" s="14">
        <f t="shared" si="322"/>
        <v>58</v>
      </c>
      <c r="CO94" s="442">
        <f t="shared" si="323"/>
        <v>0</v>
      </c>
      <c r="CP94" s="470">
        <f t="shared" si="427"/>
        <v>0</v>
      </c>
      <c r="CQ94" s="51">
        <f t="shared" si="324"/>
        <v>950</v>
      </c>
      <c r="CR94" s="103">
        <f t="shared" si="439"/>
        <v>0</v>
      </c>
      <c r="CS94" s="46">
        <f t="shared" si="402"/>
        <v>950</v>
      </c>
      <c r="CT94" s="51">
        <f t="shared" si="325"/>
        <v>82</v>
      </c>
      <c r="CU94" s="103">
        <f t="shared" si="440"/>
        <v>0</v>
      </c>
      <c r="CV94" s="46">
        <f t="shared" si="362"/>
        <v>82</v>
      </c>
      <c r="CX94" s="120">
        <f t="shared" si="448"/>
        <v>4</v>
      </c>
      <c r="CY94" s="570">
        <f t="shared" si="441"/>
        <v>12</v>
      </c>
      <c r="CZ94" s="133"/>
      <c r="DA94" s="408">
        <f t="shared" si="403"/>
        <v>0</v>
      </c>
      <c r="DB94" s="562">
        <f t="shared" si="396"/>
        <v>0</v>
      </c>
      <c r="DC94" s="405"/>
      <c r="DD94" s="135"/>
      <c r="DE94" s="135"/>
      <c r="DF94" s="14">
        <f t="shared" si="371"/>
        <v>0</v>
      </c>
      <c r="DG94" s="14">
        <f t="shared" si="244"/>
        <v>0</v>
      </c>
      <c r="DH94" s="14">
        <f t="shared" si="326"/>
        <v>0.16</v>
      </c>
      <c r="DI94" s="47">
        <f t="shared" si="372"/>
        <v>0</v>
      </c>
      <c r="DJ94" s="35">
        <f t="shared" si="327"/>
        <v>3.5200000000000009</v>
      </c>
      <c r="DK94" s="159">
        <f t="shared" si="245"/>
        <v>0</v>
      </c>
      <c r="DL94" s="142"/>
      <c r="DM94" s="14">
        <f t="shared" si="328"/>
        <v>58</v>
      </c>
      <c r="DN94" s="442">
        <f t="shared" si="329"/>
        <v>0</v>
      </c>
      <c r="DO94" s="470">
        <f t="shared" si="428"/>
        <v>0</v>
      </c>
      <c r="DP94" s="51">
        <f t="shared" si="330"/>
        <v>950</v>
      </c>
      <c r="DQ94" s="103">
        <f t="shared" si="442"/>
        <v>0</v>
      </c>
      <c r="DR94" s="46">
        <f t="shared" si="404"/>
        <v>950</v>
      </c>
      <c r="DS94" s="51">
        <f t="shared" si="331"/>
        <v>82</v>
      </c>
      <c r="DT94" s="103">
        <f t="shared" si="443"/>
        <v>0</v>
      </c>
      <c r="DU94" s="46">
        <f t="shared" si="363"/>
        <v>82</v>
      </c>
    </row>
    <row r="95" spans="1:125" x14ac:dyDescent="0.25">
      <c r="B95" s="120">
        <f t="shared" si="444"/>
        <v>5</v>
      </c>
      <c r="C95" s="570">
        <f t="shared" si="429"/>
        <v>12</v>
      </c>
      <c r="D95" s="133"/>
      <c r="E95" s="408">
        <f t="shared" si="334"/>
        <v>171956</v>
      </c>
      <c r="F95" s="562">
        <f t="shared" si="301"/>
        <v>171956</v>
      </c>
      <c r="G95" s="405"/>
      <c r="H95" s="135"/>
      <c r="I95" s="135"/>
      <c r="J95" s="14">
        <f t="shared" si="364"/>
        <v>0</v>
      </c>
      <c r="K95" s="14">
        <f t="shared" si="335"/>
        <v>4875</v>
      </c>
      <c r="L95" s="14">
        <f t="shared" si="302"/>
        <v>0.16</v>
      </c>
      <c r="M95" s="47">
        <f t="shared" si="358"/>
        <v>0</v>
      </c>
      <c r="N95" s="35">
        <f t="shared" si="303"/>
        <v>3.5200000000000009</v>
      </c>
      <c r="O95" s="159">
        <f t="shared" si="336"/>
        <v>2.7568695534154077</v>
      </c>
      <c r="P95" s="142"/>
      <c r="Q95" s="14">
        <f t="shared" si="304"/>
        <v>58</v>
      </c>
      <c r="R95" s="442">
        <f t="shared" si="305"/>
        <v>0</v>
      </c>
      <c r="S95" s="470">
        <f t="shared" si="337"/>
        <v>328.79467076367098</v>
      </c>
      <c r="T95" s="51">
        <f t="shared" si="306"/>
        <v>950</v>
      </c>
      <c r="U95" s="103">
        <f t="shared" si="430"/>
        <v>0</v>
      </c>
      <c r="V95" s="46">
        <f t="shared" si="339"/>
        <v>950</v>
      </c>
      <c r="W95" s="12">
        <f t="shared" si="307"/>
        <v>82</v>
      </c>
      <c r="X95" s="103">
        <f t="shared" si="431"/>
        <v>0</v>
      </c>
      <c r="Y95" s="62">
        <f t="shared" si="341"/>
        <v>82</v>
      </c>
      <c r="Z95" s="487"/>
      <c r="AA95" s="120">
        <f t="shared" si="445"/>
        <v>5</v>
      </c>
      <c r="AB95" s="570">
        <f t="shared" si="432"/>
        <v>12</v>
      </c>
      <c r="AC95" s="133"/>
      <c r="AD95" s="408">
        <f t="shared" si="397"/>
        <v>0</v>
      </c>
      <c r="AE95" s="562">
        <f t="shared" si="393"/>
        <v>0</v>
      </c>
      <c r="AF95" s="405"/>
      <c r="AG95" s="135"/>
      <c r="AH95" s="135"/>
      <c r="AI95" s="14">
        <f t="shared" si="365"/>
        <v>0</v>
      </c>
      <c r="AJ95" s="14">
        <f t="shared" si="239"/>
        <v>0</v>
      </c>
      <c r="AK95" s="14">
        <f t="shared" si="308"/>
        <v>0.16</v>
      </c>
      <c r="AL95" s="47">
        <f t="shared" si="366"/>
        <v>0</v>
      </c>
      <c r="AM95" s="35">
        <f t="shared" si="309"/>
        <v>3.5200000000000009</v>
      </c>
      <c r="AN95" s="159">
        <f t="shared" si="240"/>
        <v>0</v>
      </c>
      <c r="AO95" s="142"/>
      <c r="AP95" s="14">
        <f t="shared" si="310"/>
        <v>58</v>
      </c>
      <c r="AQ95" s="442">
        <f t="shared" si="311"/>
        <v>0</v>
      </c>
      <c r="AR95" s="470">
        <f t="shared" si="425"/>
        <v>0</v>
      </c>
      <c r="AS95" s="51">
        <f t="shared" si="312"/>
        <v>950</v>
      </c>
      <c r="AT95" s="103">
        <f t="shared" si="433"/>
        <v>0</v>
      </c>
      <c r="AU95" s="46">
        <f t="shared" si="398"/>
        <v>950</v>
      </c>
      <c r="AV95" s="12">
        <f t="shared" si="313"/>
        <v>82</v>
      </c>
      <c r="AW95" s="103">
        <f t="shared" si="434"/>
        <v>0</v>
      </c>
      <c r="AX95" s="62">
        <f t="shared" si="360"/>
        <v>82</v>
      </c>
      <c r="AZ95" s="120">
        <f t="shared" si="446"/>
        <v>5</v>
      </c>
      <c r="BA95" s="570">
        <f t="shared" si="435"/>
        <v>12</v>
      </c>
      <c r="BB95" s="133"/>
      <c r="BC95" s="408">
        <f t="shared" si="399"/>
        <v>116143</v>
      </c>
      <c r="BD95" s="562">
        <f t="shared" si="394"/>
        <v>116143</v>
      </c>
      <c r="BE95" s="405"/>
      <c r="BF95" s="135"/>
      <c r="BG95" s="135"/>
      <c r="BH95" s="14">
        <f t="shared" si="367"/>
        <v>0</v>
      </c>
      <c r="BI95" s="14">
        <f t="shared" si="241"/>
        <v>3926</v>
      </c>
      <c r="BJ95" s="14">
        <f t="shared" si="314"/>
        <v>0.16</v>
      </c>
      <c r="BK95" s="47">
        <f t="shared" si="368"/>
        <v>0</v>
      </c>
      <c r="BL95" s="35">
        <f t="shared" si="315"/>
        <v>3.5200000000000009</v>
      </c>
      <c r="BM95" s="159">
        <f t="shared" si="359"/>
        <v>3.2697865394065078</v>
      </c>
      <c r="BN95" s="142"/>
      <c r="BO95" s="14">
        <f t="shared" si="316"/>
        <v>58</v>
      </c>
      <c r="BP95" s="442">
        <f t="shared" si="317"/>
        <v>0</v>
      </c>
      <c r="BQ95" s="470">
        <f t="shared" si="426"/>
        <v>314.58428346602915</v>
      </c>
      <c r="BR95" s="51">
        <f t="shared" si="318"/>
        <v>950</v>
      </c>
      <c r="BS95" s="103">
        <f t="shared" si="436"/>
        <v>0</v>
      </c>
      <c r="BT95" s="46">
        <f t="shared" si="400"/>
        <v>950</v>
      </c>
      <c r="BU95" s="12">
        <f t="shared" si="319"/>
        <v>82</v>
      </c>
      <c r="BV95" s="103">
        <f t="shared" si="437"/>
        <v>0</v>
      </c>
      <c r="BW95" s="62">
        <f t="shared" si="361"/>
        <v>82</v>
      </c>
      <c r="BY95" s="120">
        <f t="shared" si="447"/>
        <v>5</v>
      </c>
      <c r="BZ95" s="570">
        <f t="shared" si="438"/>
        <v>12</v>
      </c>
      <c r="CA95" s="133"/>
      <c r="CB95" s="408">
        <f t="shared" si="401"/>
        <v>0</v>
      </c>
      <c r="CC95" s="562">
        <f t="shared" si="395"/>
        <v>0</v>
      </c>
      <c r="CD95" s="405"/>
      <c r="CE95" s="135"/>
      <c r="CF95" s="135"/>
      <c r="CG95" s="14">
        <f t="shared" si="369"/>
        <v>0</v>
      </c>
      <c r="CH95" s="14">
        <f t="shared" si="242"/>
        <v>0</v>
      </c>
      <c r="CI95" s="14">
        <f t="shared" si="320"/>
        <v>0.16</v>
      </c>
      <c r="CJ95" s="47">
        <f t="shared" si="370"/>
        <v>0</v>
      </c>
      <c r="CK95" s="35">
        <f t="shared" si="321"/>
        <v>3.5200000000000009</v>
      </c>
      <c r="CL95" s="159">
        <f t="shared" si="243"/>
        <v>0</v>
      </c>
      <c r="CM95" s="142"/>
      <c r="CN95" s="14">
        <f t="shared" si="322"/>
        <v>58</v>
      </c>
      <c r="CO95" s="442">
        <f t="shared" si="323"/>
        <v>0</v>
      </c>
      <c r="CP95" s="470">
        <f t="shared" si="427"/>
        <v>0</v>
      </c>
      <c r="CQ95" s="51">
        <f t="shared" si="324"/>
        <v>950</v>
      </c>
      <c r="CR95" s="103">
        <f t="shared" si="439"/>
        <v>0</v>
      </c>
      <c r="CS95" s="46">
        <f t="shared" si="402"/>
        <v>950</v>
      </c>
      <c r="CT95" s="12">
        <f t="shared" si="325"/>
        <v>82</v>
      </c>
      <c r="CU95" s="103">
        <f t="shared" si="440"/>
        <v>0</v>
      </c>
      <c r="CV95" s="62">
        <f t="shared" si="362"/>
        <v>82</v>
      </c>
      <c r="CX95" s="120">
        <f t="shared" si="448"/>
        <v>5</v>
      </c>
      <c r="CY95" s="570">
        <f t="shared" si="441"/>
        <v>12</v>
      </c>
      <c r="CZ95" s="133"/>
      <c r="DA95" s="408">
        <f t="shared" si="403"/>
        <v>0</v>
      </c>
      <c r="DB95" s="562">
        <f t="shared" si="396"/>
        <v>0</v>
      </c>
      <c r="DC95" s="405"/>
      <c r="DD95" s="135"/>
      <c r="DE95" s="135"/>
      <c r="DF95" s="14">
        <f t="shared" si="371"/>
        <v>0</v>
      </c>
      <c r="DG95" s="14">
        <f t="shared" si="244"/>
        <v>0</v>
      </c>
      <c r="DH95" s="14">
        <f t="shared" si="326"/>
        <v>0.16</v>
      </c>
      <c r="DI95" s="47">
        <f t="shared" si="372"/>
        <v>0</v>
      </c>
      <c r="DJ95" s="35">
        <f t="shared" si="327"/>
        <v>3.5200000000000009</v>
      </c>
      <c r="DK95" s="159">
        <f t="shared" si="245"/>
        <v>0</v>
      </c>
      <c r="DL95" s="142"/>
      <c r="DM95" s="14">
        <f t="shared" si="328"/>
        <v>58</v>
      </c>
      <c r="DN95" s="442">
        <f t="shared" si="329"/>
        <v>0</v>
      </c>
      <c r="DO95" s="470">
        <f t="shared" si="428"/>
        <v>0</v>
      </c>
      <c r="DP95" s="51">
        <f t="shared" si="330"/>
        <v>950</v>
      </c>
      <c r="DQ95" s="103">
        <f t="shared" si="442"/>
        <v>0</v>
      </c>
      <c r="DR95" s="46">
        <f t="shared" si="404"/>
        <v>950</v>
      </c>
      <c r="DS95" s="12">
        <f t="shared" si="331"/>
        <v>82</v>
      </c>
      <c r="DT95" s="103">
        <f t="shared" si="443"/>
        <v>0</v>
      </c>
      <c r="DU95" s="62">
        <f t="shared" si="363"/>
        <v>82</v>
      </c>
    </row>
    <row r="96" spans="1:125" ht="17.25" thickBot="1" x14ac:dyDescent="0.3">
      <c r="B96" s="197">
        <f t="shared" si="444"/>
        <v>6</v>
      </c>
      <c r="C96" s="574">
        <f t="shared" si="429"/>
        <v>12</v>
      </c>
      <c r="D96" s="136"/>
      <c r="E96" s="436">
        <f t="shared" si="334"/>
        <v>171956</v>
      </c>
      <c r="F96" s="451">
        <f t="shared" si="301"/>
        <v>171956</v>
      </c>
      <c r="G96" s="421"/>
      <c r="H96" s="138"/>
      <c r="I96" s="138"/>
      <c r="J96" s="32">
        <f t="shared" si="364"/>
        <v>0</v>
      </c>
      <c r="K96" s="32">
        <f t="shared" si="335"/>
        <v>4875</v>
      </c>
      <c r="L96" s="32">
        <f t="shared" si="302"/>
        <v>0.16</v>
      </c>
      <c r="M96" s="96">
        <f t="shared" si="358"/>
        <v>0</v>
      </c>
      <c r="N96" s="36">
        <f t="shared" si="303"/>
        <v>3.5200000000000009</v>
      </c>
      <c r="O96" s="156">
        <f t="shared" si="336"/>
        <v>2.7568695534154077</v>
      </c>
      <c r="P96" s="139"/>
      <c r="Q96" s="32">
        <f t="shared" si="304"/>
        <v>58</v>
      </c>
      <c r="R96" s="592">
        <f t="shared" si="305"/>
        <v>0</v>
      </c>
      <c r="S96" s="471">
        <f t="shared" si="337"/>
        <v>328.79467076367098</v>
      </c>
      <c r="T96" s="56">
        <f t="shared" si="306"/>
        <v>950</v>
      </c>
      <c r="U96" s="109">
        <f t="shared" si="430"/>
        <v>0</v>
      </c>
      <c r="V96" s="63">
        <f t="shared" si="339"/>
        <v>950</v>
      </c>
      <c r="W96" s="56">
        <f t="shared" si="307"/>
        <v>82</v>
      </c>
      <c r="X96" s="109">
        <f t="shared" si="431"/>
        <v>0</v>
      </c>
      <c r="Y96" s="53">
        <f t="shared" si="341"/>
        <v>82</v>
      </c>
      <c r="Z96" s="487"/>
      <c r="AA96" s="197">
        <f t="shared" si="445"/>
        <v>6</v>
      </c>
      <c r="AB96" s="574">
        <f t="shared" si="432"/>
        <v>12</v>
      </c>
      <c r="AC96" s="136"/>
      <c r="AD96" s="436">
        <f t="shared" si="397"/>
        <v>0</v>
      </c>
      <c r="AE96" s="451">
        <f t="shared" si="393"/>
        <v>0</v>
      </c>
      <c r="AF96" s="421"/>
      <c r="AG96" s="138"/>
      <c r="AH96" s="138"/>
      <c r="AI96" s="32">
        <f t="shared" si="365"/>
        <v>0</v>
      </c>
      <c r="AJ96" s="32">
        <f t="shared" si="239"/>
        <v>0</v>
      </c>
      <c r="AK96" s="32">
        <f t="shared" si="308"/>
        <v>0.16</v>
      </c>
      <c r="AL96" s="96">
        <f t="shared" si="366"/>
        <v>0</v>
      </c>
      <c r="AM96" s="36">
        <f t="shared" si="309"/>
        <v>3.5200000000000009</v>
      </c>
      <c r="AN96" s="156">
        <f t="shared" si="240"/>
        <v>0</v>
      </c>
      <c r="AO96" s="139"/>
      <c r="AP96" s="32">
        <f t="shared" si="310"/>
        <v>58</v>
      </c>
      <c r="AQ96" s="592">
        <f t="shared" si="311"/>
        <v>0</v>
      </c>
      <c r="AR96" s="471">
        <f t="shared" si="425"/>
        <v>0</v>
      </c>
      <c r="AS96" s="56">
        <f t="shared" si="312"/>
        <v>950</v>
      </c>
      <c r="AT96" s="109">
        <f t="shared" si="433"/>
        <v>0</v>
      </c>
      <c r="AU96" s="63">
        <f t="shared" si="398"/>
        <v>950</v>
      </c>
      <c r="AV96" s="56">
        <f t="shared" si="313"/>
        <v>82</v>
      </c>
      <c r="AW96" s="109">
        <f t="shared" si="434"/>
        <v>0</v>
      </c>
      <c r="AX96" s="53">
        <f t="shared" si="360"/>
        <v>82</v>
      </c>
      <c r="AZ96" s="197">
        <f t="shared" si="446"/>
        <v>6</v>
      </c>
      <c r="BA96" s="574">
        <f t="shared" si="435"/>
        <v>12</v>
      </c>
      <c r="BB96" s="136"/>
      <c r="BC96" s="436">
        <f t="shared" si="399"/>
        <v>116143</v>
      </c>
      <c r="BD96" s="451">
        <f t="shared" si="394"/>
        <v>116143</v>
      </c>
      <c r="BE96" s="421"/>
      <c r="BF96" s="138"/>
      <c r="BG96" s="138"/>
      <c r="BH96" s="32">
        <f t="shared" si="367"/>
        <v>0</v>
      </c>
      <c r="BI96" s="32">
        <f t="shared" si="241"/>
        <v>3926</v>
      </c>
      <c r="BJ96" s="32">
        <f t="shared" si="314"/>
        <v>0.16</v>
      </c>
      <c r="BK96" s="96">
        <f t="shared" si="368"/>
        <v>0</v>
      </c>
      <c r="BL96" s="36">
        <f t="shared" si="315"/>
        <v>3.5200000000000009</v>
      </c>
      <c r="BM96" s="156">
        <f t="shared" si="359"/>
        <v>3.2697865394065078</v>
      </c>
      <c r="BN96" s="139"/>
      <c r="BO96" s="32">
        <f t="shared" si="316"/>
        <v>58</v>
      </c>
      <c r="BP96" s="592">
        <f t="shared" si="317"/>
        <v>0</v>
      </c>
      <c r="BQ96" s="471">
        <f t="shared" si="426"/>
        <v>314.58428346602915</v>
      </c>
      <c r="BR96" s="56">
        <f t="shared" si="318"/>
        <v>950</v>
      </c>
      <c r="BS96" s="109">
        <f t="shared" si="436"/>
        <v>0</v>
      </c>
      <c r="BT96" s="63">
        <f t="shared" si="400"/>
        <v>950</v>
      </c>
      <c r="BU96" s="56">
        <f t="shared" si="319"/>
        <v>82</v>
      </c>
      <c r="BV96" s="109">
        <f t="shared" si="437"/>
        <v>0</v>
      </c>
      <c r="BW96" s="53">
        <f t="shared" si="361"/>
        <v>82</v>
      </c>
      <c r="BY96" s="197">
        <f t="shared" si="447"/>
        <v>6</v>
      </c>
      <c r="BZ96" s="574">
        <f t="shared" si="438"/>
        <v>12</v>
      </c>
      <c r="CA96" s="136"/>
      <c r="CB96" s="436">
        <f t="shared" si="401"/>
        <v>0</v>
      </c>
      <c r="CC96" s="451">
        <f t="shared" si="395"/>
        <v>0</v>
      </c>
      <c r="CD96" s="421"/>
      <c r="CE96" s="138"/>
      <c r="CF96" s="138"/>
      <c r="CG96" s="32">
        <f t="shared" si="369"/>
        <v>0</v>
      </c>
      <c r="CH96" s="32">
        <f t="shared" si="242"/>
        <v>0</v>
      </c>
      <c r="CI96" s="32">
        <f t="shared" si="320"/>
        <v>0.16</v>
      </c>
      <c r="CJ96" s="96">
        <f t="shared" si="370"/>
        <v>0</v>
      </c>
      <c r="CK96" s="36">
        <f t="shared" si="321"/>
        <v>3.5200000000000009</v>
      </c>
      <c r="CL96" s="156">
        <f t="shared" si="243"/>
        <v>0</v>
      </c>
      <c r="CM96" s="139"/>
      <c r="CN96" s="32">
        <f t="shared" si="322"/>
        <v>58</v>
      </c>
      <c r="CO96" s="592">
        <f t="shared" si="323"/>
        <v>0</v>
      </c>
      <c r="CP96" s="471">
        <f t="shared" si="427"/>
        <v>0</v>
      </c>
      <c r="CQ96" s="56">
        <f t="shared" si="324"/>
        <v>950</v>
      </c>
      <c r="CR96" s="109">
        <f t="shared" si="439"/>
        <v>0</v>
      </c>
      <c r="CS96" s="63">
        <f t="shared" si="402"/>
        <v>950</v>
      </c>
      <c r="CT96" s="56">
        <f t="shared" si="325"/>
        <v>82</v>
      </c>
      <c r="CU96" s="109">
        <f t="shared" si="440"/>
        <v>0</v>
      </c>
      <c r="CV96" s="53">
        <f t="shared" si="362"/>
        <v>82</v>
      </c>
      <c r="CX96" s="197">
        <f t="shared" si="448"/>
        <v>6</v>
      </c>
      <c r="CY96" s="574">
        <f t="shared" si="441"/>
        <v>12</v>
      </c>
      <c r="CZ96" s="136"/>
      <c r="DA96" s="436">
        <f t="shared" si="403"/>
        <v>0</v>
      </c>
      <c r="DB96" s="451">
        <f t="shared" si="396"/>
        <v>0</v>
      </c>
      <c r="DC96" s="421"/>
      <c r="DD96" s="138"/>
      <c r="DE96" s="138"/>
      <c r="DF96" s="32">
        <f t="shared" si="371"/>
        <v>0</v>
      </c>
      <c r="DG96" s="32">
        <f t="shared" si="244"/>
        <v>0</v>
      </c>
      <c r="DH96" s="32">
        <f t="shared" si="326"/>
        <v>0.16</v>
      </c>
      <c r="DI96" s="96">
        <f t="shared" si="372"/>
        <v>0</v>
      </c>
      <c r="DJ96" s="36">
        <f t="shared" si="327"/>
        <v>3.5200000000000009</v>
      </c>
      <c r="DK96" s="156">
        <f t="shared" si="245"/>
        <v>0</v>
      </c>
      <c r="DL96" s="139"/>
      <c r="DM96" s="32">
        <f t="shared" si="328"/>
        <v>58</v>
      </c>
      <c r="DN96" s="592">
        <f t="shared" si="329"/>
        <v>0</v>
      </c>
      <c r="DO96" s="471">
        <f t="shared" si="428"/>
        <v>0</v>
      </c>
      <c r="DP96" s="56">
        <f t="shared" si="330"/>
        <v>950</v>
      </c>
      <c r="DQ96" s="109">
        <f t="shared" si="442"/>
        <v>0</v>
      </c>
      <c r="DR96" s="63">
        <f t="shared" si="404"/>
        <v>950</v>
      </c>
      <c r="DS96" s="56">
        <f t="shared" si="331"/>
        <v>82</v>
      </c>
      <c r="DT96" s="109">
        <f t="shared" si="443"/>
        <v>0</v>
      </c>
      <c r="DU96" s="53">
        <f t="shared" si="363"/>
        <v>82</v>
      </c>
    </row>
    <row r="97" spans="1:126" x14ac:dyDescent="0.25">
      <c r="B97" s="198">
        <v>7</v>
      </c>
      <c r="C97" s="826">
        <v>13</v>
      </c>
      <c r="D97" s="143"/>
      <c r="E97" s="430">
        <f t="shared" si="334"/>
        <v>171956</v>
      </c>
      <c r="F97" s="583">
        <f t="shared" si="301"/>
        <v>171956</v>
      </c>
      <c r="G97" s="427"/>
      <c r="H97" s="141"/>
      <c r="I97" s="141"/>
      <c r="J97" s="17">
        <f t="shared" si="364"/>
        <v>0</v>
      </c>
      <c r="K97" s="17">
        <f t="shared" si="335"/>
        <v>4875</v>
      </c>
      <c r="L97" s="17">
        <f t="shared" si="302"/>
        <v>0.16</v>
      </c>
      <c r="M97" s="235">
        <f t="shared" si="358"/>
        <v>0</v>
      </c>
      <c r="N97" s="33">
        <f t="shared" si="303"/>
        <v>3.680000000000001</v>
      </c>
      <c r="O97" s="210">
        <f t="shared" si="336"/>
        <v>2.7568695534154077</v>
      </c>
      <c r="P97" s="145"/>
      <c r="Q97" s="17">
        <f t="shared" si="304"/>
        <v>61</v>
      </c>
      <c r="R97" s="480">
        <f t="shared" si="305"/>
        <v>0</v>
      </c>
      <c r="S97" s="475">
        <f t="shared" si="337"/>
        <v>328.79467076367098</v>
      </c>
      <c r="T97" s="61">
        <f t="shared" si="306"/>
        <v>1010</v>
      </c>
      <c r="U97" s="141"/>
      <c r="V97" s="71">
        <f t="shared" si="339"/>
        <v>1010</v>
      </c>
      <c r="W97" s="12">
        <f t="shared" si="307"/>
        <v>82</v>
      </c>
      <c r="X97" s="141"/>
      <c r="Y97" s="71">
        <f t="shared" si="341"/>
        <v>82</v>
      </c>
      <c r="Z97" s="487"/>
      <c r="AA97" s="198">
        <v>7</v>
      </c>
      <c r="AB97" s="826">
        <v>13</v>
      </c>
      <c r="AC97" s="143"/>
      <c r="AD97" s="430">
        <f t="shared" si="397"/>
        <v>0</v>
      </c>
      <c r="AE97" s="583">
        <f t="shared" si="393"/>
        <v>0</v>
      </c>
      <c r="AF97" s="427"/>
      <c r="AG97" s="141"/>
      <c r="AH97" s="141"/>
      <c r="AI97" s="17">
        <f t="shared" si="365"/>
        <v>0</v>
      </c>
      <c r="AJ97" s="17">
        <f t="shared" si="239"/>
        <v>0</v>
      </c>
      <c r="AK97" s="17">
        <f t="shared" si="308"/>
        <v>0.16</v>
      </c>
      <c r="AL97" s="235">
        <f t="shared" si="366"/>
        <v>0</v>
      </c>
      <c r="AM97" s="33">
        <f t="shared" si="309"/>
        <v>3.680000000000001</v>
      </c>
      <c r="AN97" s="210">
        <f t="shared" si="240"/>
        <v>0</v>
      </c>
      <c r="AO97" s="145"/>
      <c r="AP97" s="17">
        <f t="shared" si="310"/>
        <v>61</v>
      </c>
      <c r="AQ97" s="480">
        <f t="shared" si="311"/>
        <v>0</v>
      </c>
      <c r="AR97" s="475">
        <f t="shared" si="425"/>
        <v>0</v>
      </c>
      <c r="AS97" s="61">
        <f t="shared" si="312"/>
        <v>1010</v>
      </c>
      <c r="AT97" s="141"/>
      <c r="AU97" s="71">
        <f t="shared" si="398"/>
        <v>1010</v>
      </c>
      <c r="AV97" s="12">
        <f t="shared" si="313"/>
        <v>82</v>
      </c>
      <c r="AW97" s="141"/>
      <c r="AX97" s="71">
        <f t="shared" si="360"/>
        <v>82</v>
      </c>
      <c r="AZ97" s="198">
        <v>7</v>
      </c>
      <c r="BA97" s="826">
        <v>13</v>
      </c>
      <c r="BB97" s="143"/>
      <c r="BC97" s="430">
        <f t="shared" si="399"/>
        <v>116143</v>
      </c>
      <c r="BD97" s="583">
        <f t="shared" si="394"/>
        <v>116143</v>
      </c>
      <c r="BE97" s="427"/>
      <c r="BF97" s="141"/>
      <c r="BG97" s="141"/>
      <c r="BH97" s="17">
        <f t="shared" si="367"/>
        <v>0</v>
      </c>
      <c r="BI97" s="17">
        <f t="shared" si="241"/>
        <v>3926</v>
      </c>
      <c r="BJ97" s="17">
        <f t="shared" si="314"/>
        <v>0.16</v>
      </c>
      <c r="BK97" s="235">
        <f t="shared" si="368"/>
        <v>0</v>
      </c>
      <c r="BL97" s="33">
        <f t="shared" si="315"/>
        <v>3.680000000000001</v>
      </c>
      <c r="BM97" s="210">
        <f t="shared" si="359"/>
        <v>3.2697865394065078</v>
      </c>
      <c r="BN97" s="145"/>
      <c r="BO97" s="17">
        <f t="shared" si="316"/>
        <v>61</v>
      </c>
      <c r="BP97" s="480">
        <f t="shared" si="317"/>
        <v>0</v>
      </c>
      <c r="BQ97" s="475">
        <f t="shared" si="426"/>
        <v>314.58428346602915</v>
      </c>
      <c r="BR97" s="61">
        <f t="shared" si="318"/>
        <v>1010</v>
      </c>
      <c r="BS97" s="141"/>
      <c r="BT97" s="71">
        <f t="shared" si="400"/>
        <v>1010</v>
      </c>
      <c r="BU97" s="12">
        <f t="shared" si="319"/>
        <v>82</v>
      </c>
      <c r="BV97" s="141"/>
      <c r="BW97" s="71">
        <f t="shared" si="361"/>
        <v>82</v>
      </c>
      <c r="BY97" s="198">
        <v>7</v>
      </c>
      <c r="BZ97" s="826">
        <v>13</v>
      </c>
      <c r="CA97" s="143"/>
      <c r="CB97" s="430">
        <f t="shared" si="401"/>
        <v>0</v>
      </c>
      <c r="CC97" s="583">
        <f t="shared" si="395"/>
        <v>0</v>
      </c>
      <c r="CD97" s="427"/>
      <c r="CE97" s="141"/>
      <c r="CF97" s="141"/>
      <c r="CG97" s="17">
        <f t="shared" si="369"/>
        <v>0</v>
      </c>
      <c r="CH97" s="17">
        <f t="shared" si="242"/>
        <v>0</v>
      </c>
      <c r="CI97" s="17">
        <f t="shared" si="320"/>
        <v>0.16</v>
      </c>
      <c r="CJ97" s="235">
        <f t="shared" si="370"/>
        <v>0</v>
      </c>
      <c r="CK97" s="33">
        <f t="shared" si="321"/>
        <v>3.680000000000001</v>
      </c>
      <c r="CL97" s="210">
        <f t="shared" si="243"/>
        <v>0</v>
      </c>
      <c r="CM97" s="145"/>
      <c r="CN97" s="17">
        <f t="shared" si="322"/>
        <v>61</v>
      </c>
      <c r="CO97" s="480">
        <f t="shared" si="323"/>
        <v>0</v>
      </c>
      <c r="CP97" s="475">
        <f t="shared" si="427"/>
        <v>0</v>
      </c>
      <c r="CQ97" s="61">
        <f t="shared" si="324"/>
        <v>1010</v>
      </c>
      <c r="CR97" s="141"/>
      <c r="CS97" s="71">
        <f t="shared" si="402"/>
        <v>1010</v>
      </c>
      <c r="CT97" s="12">
        <f t="shared" si="325"/>
        <v>82</v>
      </c>
      <c r="CU97" s="141"/>
      <c r="CV97" s="71">
        <f t="shared" si="362"/>
        <v>82</v>
      </c>
      <c r="CX97" s="198">
        <v>7</v>
      </c>
      <c r="CY97" s="826">
        <v>13</v>
      </c>
      <c r="CZ97" s="143"/>
      <c r="DA97" s="430">
        <f t="shared" si="403"/>
        <v>0</v>
      </c>
      <c r="DB97" s="583">
        <f t="shared" si="396"/>
        <v>0</v>
      </c>
      <c r="DC97" s="427"/>
      <c r="DD97" s="141"/>
      <c r="DE97" s="141"/>
      <c r="DF97" s="17">
        <f t="shared" si="371"/>
        <v>0</v>
      </c>
      <c r="DG97" s="17">
        <f t="shared" si="244"/>
        <v>0</v>
      </c>
      <c r="DH97" s="17">
        <f t="shared" si="326"/>
        <v>0.16</v>
      </c>
      <c r="DI97" s="235">
        <f t="shared" si="372"/>
        <v>0</v>
      </c>
      <c r="DJ97" s="33">
        <f t="shared" si="327"/>
        <v>3.680000000000001</v>
      </c>
      <c r="DK97" s="210">
        <f t="shared" si="245"/>
        <v>0</v>
      </c>
      <c r="DL97" s="145"/>
      <c r="DM97" s="17">
        <f t="shared" si="328"/>
        <v>61</v>
      </c>
      <c r="DN97" s="480">
        <f t="shared" si="329"/>
        <v>0</v>
      </c>
      <c r="DO97" s="475">
        <f t="shared" si="428"/>
        <v>0</v>
      </c>
      <c r="DP97" s="61">
        <f t="shared" si="330"/>
        <v>1010</v>
      </c>
      <c r="DQ97" s="141"/>
      <c r="DR97" s="71">
        <f t="shared" si="404"/>
        <v>1010</v>
      </c>
      <c r="DS97" s="12">
        <f t="shared" si="331"/>
        <v>82</v>
      </c>
      <c r="DT97" s="141"/>
      <c r="DU97" s="71">
        <f t="shared" si="363"/>
        <v>82</v>
      </c>
    </row>
    <row r="98" spans="1:126" x14ac:dyDescent="0.25">
      <c r="B98" s="120">
        <f>B97+1</f>
        <v>8</v>
      </c>
      <c r="C98" s="570">
        <f>C97</f>
        <v>13</v>
      </c>
      <c r="D98" s="133"/>
      <c r="E98" s="408">
        <f t="shared" si="334"/>
        <v>171956</v>
      </c>
      <c r="F98" s="562">
        <f t="shared" si="301"/>
        <v>171956</v>
      </c>
      <c r="G98" s="405"/>
      <c r="H98" s="135"/>
      <c r="I98" s="135"/>
      <c r="J98" s="14">
        <f t="shared" si="364"/>
        <v>0</v>
      </c>
      <c r="K98" s="14">
        <f t="shared" si="335"/>
        <v>4875</v>
      </c>
      <c r="L98" s="14">
        <f t="shared" si="302"/>
        <v>0.16</v>
      </c>
      <c r="M98" s="47">
        <f t="shared" si="358"/>
        <v>0</v>
      </c>
      <c r="N98" s="35">
        <f t="shared" si="303"/>
        <v>3.680000000000001</v>
      </c>
      <c r="O98" s="159">
        <f t="shared" si="336"/>
        <v>2.7568695534154077</v>
      </c>
      <c r="P98" s="142"/>
      <c r="Q98" s="14">
        <f t="shared" si="304"/>
        <v>61</v>
      </c>
      <c r="R98" s="482">
        <f t="shared" si="305"/>
        <v>0</v>
      </c>
      <c r="S98" s="470">
        <f t="shared" si="337"/>
        <v>328.79467076367098</v>
      </c>
      <c r="T98" s="51">
        <f t="shared" si="306"/>
        <v>1010</v>
      </c>
      <c r="U98" s="103">
        <f>U97</f>
        <v>0</v>
      </c>
      <c r="V98" s="46">
        <f t="shared" si="339"/>
        <v>1010</v>
      </c>
      <c r="W98" s="50">
        <f t="shared" si="307"/>
        <v>82</v>
      </c>
      <c r="X98" s="103">
        <f>X97</f>
        <v>0</v>
      </c>
      <c r="Y98" s="46">
        <f t="shared" si="341"/>
        <v>82</v>
      </c>
      <c r="Z98" s="487"/>
      <c r="AA98" s="120">
        <f>AA97+1</f>
        <v>8</v>
      </c>
      <c r="AB98" s="570">
        <f>AB97</f>
        <v>13</v>
      </c>
      <c r="AC98" s="133"/>
      <c r="AD98" s="408">
        <f t="shared" si="397"/>
        <v>0</v>
      </c>
      <c r="AE98" s="562">
        <f t="shared" si="393"/>
        <v>0</v>
      </c>
      <c r="AF98" s="405"/>
      <c r="AG98" s="135"/>
      <c r="AH98" s="135"/>
      <c r="AI98" s="14">
        <f t="shared" si="365"/>
        <v>0</v>
      </c>
      <c r="AJ98" s="14">
        <f t="shared" si="239"/>
        <v>0</v>
      </c>
      <c r="AK98" s="14">
        <f t="shared" si="308"/>
        <v>0.16</v>
      </c>
      <c r="AL98" s="47">
        <f t="shared" si="366"/>
        <v>0</v>
      </c>
      <c r="AM98" s="35">
        <f t="shared" si="309"/>
        <v>3.680000000000001</v>
      </c>
      <c r="AN98" s="159">
        <f t="shared" si="240"/>
        <v>0</v>
      </c>
      <c r="AO98" s="142"/>
      <c r="AP98" s="14">
        <f t="shared" si="310"/>
        <v>61</v>
      </c>
      <c r="AQ98" s="482">
        <f t="shared" si="311"/>
        <v>0</v>
      </c>
      <c r="AR98" s="470">
        <f t="shared" si="425"/>
        <v>0</v>
      </c>
      <c r="AS98" s="51">
        <f t="shared" si="312"/>
        <v>1010</v>
      </c>
      <c r="AT98" s="103">
        <f>AT97</f>
        <v>0</v>
      </c>
      <c r="AU98" s="46">
        <f t="shared" si="398"/>
        <v>1010</v>
      </c>
      <c r="AV98" s="50">
        <f t="shared" si="313"/>
        <v>82</v>
      </c>
      <c r="AW98" s="103">
        <f>AW97</f>
        <v>0</v>
      </c>
      <c r="AX98" s="46">
        <f t="shared" si="360"/>
        <v>82</v>
      </c>
      <c r="AZ98" s="120">
        <f>AZ97+1</f>
        <v>8</v>
      </c>
      <c r="BA98" s="570">
        <f>BA97</f>
        <v>13</v>
      </c>
      <c r="BB98" s="133"/>
      <c r="BC98" s="408">
        <f t="shared" si="399"/>
        <v>116143</v>
      </c>
      <c r="BD98" s="562">
        <f t="shared" si="394"/>
        <v>116143</v>
      </c>
      <c r="BE98" s="405"/>
      <c r="BF98" s="135"/>
      <c r="BG98" s="135"/>
      <c r="BH98" s="14">
        <f t="shared" si="367"/>
        <v>0</v>
      </c>
      <c r="BI98" s="14">
        <f t="shared" si="241"/>
        <v>3926</v>
      </c>
      <c r="BJ98" s="14">
        <f t="shared" si="314"/>
        <v>0.16</v>
      </c>
      <c r="BK98" s="47">
        <f t="shared" si="368"/>
        <v>0</v>
      </c>
      <c r="BL98" s="35">
        <f t="shared" si="315"/>
        <v>3.680000000000001</v>
      </c>
      <c r="BM98" s="159">
        <f t="shared" si="359"/>
        <v>3.2697865394065078</v>
      </c>
      <c r="BN98" s="142"/>
      <c r="BO98" s="14">
        <f t="shared" si="316"/>
        <v>61</v>
      </c>
      <c r="BP98" s="482">
        <f t="shared" si="317"/>
        <v>0</v>
      </c>
      <c r="BQ98" s="470">
        <f t="shared" si="426"/>
        <v>314.58428346602915</v>
      </c>
      <c r="BR98" s="51">
        <f t="shared" si="318"/>
        <v>1010</v>
      </c>
      <c r="BS98" s="103">
        <f>BS97</f>
        <v>0</v>
      </c>
      <c r="BT98" s="46">
        <f t="shared" si="400"/>
        <v>1010</v>
      </c>
      <c r="BU98" s="50">
        <f t="shared" si="319"/>
        <v>82</v>
      </c>
      <c r="BV98" s="103">
        <f>BV97</f>
        <v>0</v>
      </c>
      <c r="BW98" s="46">
        <f t="shared" si="361"/>
        <v>82</v>
      </c>
      <c r="BY98" s="120">
        <f>BY97+1</f>
        <v>8</v>
      </c>
      <c r="BZ98" s="570">
        <f>BZ97</f>
        <v>13</v>
      </c>
      <c r="CA98" s="133"/>
      <c r="CB98" s="408">
        <f t="shared" si="401"/>
        <v>0</v>
      </c>
      <c r="CC98" s="562">
        <f t="shared" si="395"/>
        <v>0</v>
      </c>
      <c r="CD98" s="405"/>
      <c r="CE98" s="135"/>
      <c r="CF98" s="135"/>
      <c r="CG98" s="14">
        <f t="shared" si="369"/>
        <v>0</v>
      </c>
      <c r="CH98" s="14">
        <f t="shared" si="242"/>
        <v>0</v>
      </c>
      <c r="CI98" s="14">
        <f t="shared" si="320"/>
        <v>0.16</v>
      </c>
      <c r="CJ98" s="47">
        <f t="shared" si="370"/>
        <v>0</v>
      </c>
      <c r="CK98" s="35">
        <f t="shared" si="321"/>
        <v>3.680000000000001</v>
      </c>
      <c r="CL98" s="159">
        <f t="shared" si="243"/>
        <v>0</v>
      </c>
      <c r="CM98" s="142"/>
      <c r="CN98" s="14">
        <f t="shared" si="322"/>
        <v>61</v>
      </c>
      <c r="CO98" s="482">
        <f t="shared" si="323"/>
        <v>0</v>
      </c>
      <c r="CP98" s="470">
        <f t="shared" si="427"/>
        <v>0</v>
      </c>
      <c r="CQ98" s="51">
        <f t="shared" si="324"/>
        <v>1010</v>
      </c>
      <c r="CR98" s="103">
        <f>CR97</f>
        <v>0</v>
      </c>
      <c r="CS98" s="46">
        <f t="shared" si="402"/>
        <v>1010</v>
      </c>
      <c r="CT98" s="50">
        <f t="shared" si="325"/>
        <v>82</v>
      </c>
      <c r="CU98" s="103">
        <f>CU97</f>
        <v>0</v>
      </c>
      <c r="CV98" s="46">
        <f t="shared" si="362"/>
        <v>82</v>
      </c>
      <c r="CX98" s="120">
        <f>CX97+1</f>
        <v>8</v>
      </c>
      <c r="CY98" s="570">
        <f>CY97</f>
        <v>13</v>
      </c>
      <c r="CZ98" s="133"/>
      <c r="DA98" s="408">
        <f t="shared" si="403"/>
        <v>0</v>
      </c>
      <c r="DB98" s="562">
        <f t="shared" si="396"/>
        <v>0</v>
      </c>
      <c r="DC98" s="405"/>
      <c r="DD98" s="135"/>
      <c r="DE98" s="135"/>
      <c r="DF98" s="14">
        <f t="shared" si="371"/>
        <v>0</v>
      </c>
      <c r="DG98" s="14">
        <f t="shared" si="244"/>
        <v>0</v>
      </c>
      <c r="DH98" s="14">
        <f t="shared" si="326"/>
        <v>0.16</v>
      </c>
      <c r="DI98" s="47">
        <f t="shared" si="372"/>
        <v>0</v>
      </c>
      <c r="DJ98" s="35">
        <f t="shared" si="327"/>
        <v>3.680000000000001</v>
      </c>
      <c r="DK98" s="159">
        <f t="shared" si="245"/>
        <v>0</v>
      </c>
      <c r="DL98" s="142"/>
      <c r="DM98" s="14">
        <f t="shared" si="328"/>
        <v>61</v>
      </c>
      <c r="DN98" s="482">
        <f t="shared" si="329"/>
        <v>0</v>
      </c>
      <c r="DO98" s="470">
        <f t="shared" si="428"/>
        <v>0</v>
      </c>
      <c r="DP98" s="51">
        <f t="shared" si="330"/>
        <v>1010</v>
      </c>
      <c r="DQ98" s="103">
        <f>DQ97</f>
        <v>0</v>
      </c>
      <c r="DR98" s="46">
        <f t="shared" si="404"/>
        <v>1010</v>
      </c>
      <c r="DS98" s="50">
        <f t="shared" si="331"/>
        <v>82</v>
      </c>
      <c r="DT98" s="103">
        <f>DT97</f>
        <v>0</v>
      </c>
      <c r="DU98" s="46">
        <f t="shared" si="363"/>
        <v>82</v>
      </c>
    </row>
    <row r="99" spans="1:126" x14ac:dyDescent="0.25">
      <c r="B99" s="120">
        <f t="shared" ref="B99:B103" si="449">B98+1</f>
        <v>9</v>
      </c>
      <c r="C99" s="570">
        <f t="shared" ref="C99:C103" si="450">C98</f>
        <v>13</v>
      </c>
      <c r="D99" s="133"/>
      <c r="E99" s="408">
        <f t="shared" si="334"/>
        <v>171956</v>
      </c>
      <c r="F99" s="562">
        <f t="shared" si="301"/>
        <v>171956</v>
      </c>
      <c r="G99" s="134"/>
      <c r="H99" s="135"/>
      <c r="I99" s="135"/>
      <c r="J99" s="14">
        <f t="shared" si="364"/>
        <v>0</v>
      </c>
      <c r="K99" s="14">
        <f t="shared" si="335"/>
        <v>4875</v>
      </c>
      <c r="L99" s="14">
        <f t="shared" si="302"/>
        <v>0.16</v>
      </c>
      <c r="M99" s="47">
        <f t="shared" si="358"/>
        <v>0</v>
      </c>
      <c r="N99" s="35">
        <f t="shared" si="303"/>
        <v>3.680000000000001</v>
      </c>
      <c r="O99" s="159">
        <f t="shared" si="336"/>
        <v>2.7568695534154077</v>
      </c>
      <c r="P99" s="142"/>
      <c r="Q99" s="14">
        <f t="shared" si="304"/>
        <v>61</v>
      </c>
      <c r="R99" s="482">
        <f t="shared" si="305"/>
        <v>0</v>
      </c>
      <c r="S99" s="470">
        <f t="shared" si="337"/>
        <v>328.79467076367098</v>
      </c>
      <c r="T99" s="51">
        <f t="shared" si="306"/>
        <v>1010</v>
      </c>
      <c r="U99" s="103">
        <f t="shared" ref="U99:U103" si="451">U98</f>
        <v>0</v>
      </c>
      <c r="V99" s="46">
        <f t="shared" si="339"/>
        <v>1010</v>
      </c>
      <c r="W99" s="50">
        <f t="shared" si="307"/>
        <v>82</v>
      </c>
      <c r="X99" s="103">
        <f t="shared" ref="X99:X103" si="452">X98</f>
        <v>0</v>
      </c>
      <c r="Y99" s="46">
        <f t="shared" si="341"/>
        <v>82</v>
      </c>
      <c r="Z99" s="487"/>
      <c r="AA99" s="120">
        <f t="shared" ref="AA99:AA103" si="453">AA98+1</f>
        <v>9</v>
      </c>
      <c r="AB99" s="570">
        <f t="shared" ref="AB99:AB103" si="454">AB98</f>
        <v>13</v>
      </c>
      <c r="AC99" s="133"/>
      <c r="AD99" s="408">
        <f t="shared" si="397"/>
        <v>0</v>
      </c>
      <c r="AE99" s="562">
        <f t="shared" si="393"/>
        <v>0</v>
      </c>
      <c r="AF99" s="134"/>
      <c r="AG99" s="135"/>
      <c r="AH99" s="135"/>
      <c r="AI99" s="14">
        <f t="shared" si="365"/>
        <v>0</v>
      </c>
      <c r="AJ99" s="14">
        <f t="shared" si="239"/>
        <v>0</v>
      </c>
      <c r="AK99" s="14">
        <f t="shared" si="308"/>
        <v>0.16</v>
      </c>
      <c r="AL99" s="47">
        <f t="shared" si="366"/>
        <v>0</v>
      </c>
      <c r="AM99" s="35">
        <f t="shared" si="309"/>
        <v>3.680000000000001</v>
      </c>
      <c r="AN99" s="159">
        <f t="shared" si="240"/>
        <v>0</v>
      </c>
      <c r="AO99" s="142"/>
      <c r="AP99" s="14">
        <f t="shared" si="310"/>
        <v>61</v>
      </c>
      <c r="AQ99" s="482">
        <f t="shared" si="311"/>
        <v>0</v>
      </c>
      <c r="AR99" s="470">
        <f t="shared" si="425"/>
        <v>0</v>
      </c>
      <c r="AS99" s="51">
        <f t="shared" si="312"/>
        <v>1010</v>
      </c>
      <c r="AT99" s="103">
        <f t="shared" ref="AT99:AT103" si="455">AT98</f>
        <v>0</v>
      </c>
      <c r="AU99" s="46">
        <f t="shared" si="398"/>
        <v>1010</v>
      </c>
      <c r="AV99" s="50">
        <f t="shared" si="313"/>
        <v>82</v>
      </c>
      <c r="AW99" s="103">
        <f t="shared" ref="AW99:AW103" si="456">AW98</f>
        <v>0</v>
      </c>
      <c r="AX99" s="46">
        <f t="shared" si="360"/>
        <v>82</v>
      </c>
      <c r="AZ99" s="120">
        <f t="shared" ref="AZ99:AZ103" si="457">AZ98+1</f>
        <v>9</v>
      </c>
      <c r="BA99" s="570">
        <f t="shared" ref="BA99:BA103" si="458">BA98</f>
        <v>13</v>
      </c>
      <c r="BB99" s="133"/>
      <c r="BC99" s="408">
        <f t="shared" si="399"/>
        <v>116143</v>
      </c>
      <c r="BD99" s="562">
        <f t="shared" si="394"/>
        <v>116143</v>
      </c>
      <c r="BE99" s="134"/>
      <c r="BF99" s="135"/>
      <c r="BG99" s="135"/>
      <c r="BH99" s="14">
        <f t="shared" si="367"/>
        <v>0</v>
      </c>
      <c r="BI99" s="14">
        <f t="shared" si="241"/>
        <v>3926</v>
      </c>
      <c r="BJ99" s="14">
        <f t="shared" si="314"/>
        <v>0.16</v>
      </c>
      <c r="BK99" s="47">
        <f t="shared" si="368"/>
        <v>0</v>
      </c>
      <c r="BL99" s="35">
        <f t="shared" si="315"/>
        <v>3.680000000000001</v>
      </c>
      <c r="BM99" s="159">
        <f t="shared" si="359"/>
        <v>3.2697865394065078</v>
      </c>
      <c r="BN99" s="142"/>
      <c r="BO99" s="14">
        <f t="shared" si="316"/>
        <v>61</v>
      </c>
      <c r="BP99" s="482">
        <f t="shared" si="317"/>
        <v>0</v>
      </c>
      <c r="BQ99" s="470">
        <f t="shared" si="426"/>
        <v>314.58428346602915</v>
      </c>
      <c r="BR99" s="51">
        <f t="shared" si="318"/>
        <v>1010</v>
      </c>
      <c r="BS99" s="103">
        <f t="shared" ref="BS99:BS103" si="459">BS98</f>
        <v>0</v>
      </c>
      <c r="BT99" s="46">
        <f t="shared" si="400"/>
        <v>1010</v>
      </c>
      <c r="BU99" s="50">
        <f t="shared" si="319"/>
        <v>82</v>
      </c>
      <c r="BV99" s="103">
        <f t="shared" ref="BV99:BV103" si="460">BV98</f>
        <v>0</v>
      </c>
      <c r="BW99" s="46">
        <f t="shared" si="361"/>
        <v>82</v>
      </c>
      <c r="BY99" s="120">
        <f t="shared" ref="BY99:BY103" si="461">BY98+1</f>
        <v>9</v>
      </c>
      <c r="BZ99" s="570">
        <f t="shared" ref="BZ99:BZ103" si="462">BZ98</f>
        <v>13</v>
      </c>
      <c r="CA99" s="133"/>
      <c r="CB99" s="408">
        <f t="shared" si="401"/>
        <v>0</v>
      </c>
      <c r="CC99" s="562">
        <f t="shared" si="395"/>
        <v>0</v>
      </c>
      <c r="CD99" s="134"/>
      <c r="CE99" s="135"/>
      <c r="CF99" s="135"/>
      <c r="CG99" s="14">
        <f t="shared" si="369"/>
        <v>0</v>
      </c>
      <c r="CH99" s="14">
        <f t="shared" si="242"/>
        <v>0</v>
      </c>
      <c r="CI99" s="14">
        <f t="shared" si="320"/>
        <v>0.16</v>
      </c>
      <c r="CJ99" s="47">
        <f t="shared" si="370"/>
        <v>0</v>
      </c>
      <c r="CK99" s="35">
        <f t="shared" si="321"/>
        <v>3.680000000000001</v>
      </c>
      <c r="CL99" s="159">
        <f t="shared" si="243"/>
        <v>0</v>
      </c>
      <c r="CM99" s="142"/>
      <c r="CN99" s="14">
        <f t="shared" si="322"/>
        <v>61</v>
      </c>
      <c r="CO99" s="482">
        <f t="shared" si="323"/>
        <v>0</v>
      </c>
      <c r="CP99" s="470">
        <f t="shared" si="427"/>
        <v>0</v>
      </c>
      <c r="CQ99" s="51">
        <f t="shared" si="324"/>
        <v>1010</v>
      </c>
      <c r="CR99" s="103">
        <f t="shared" ref="CR99:CR103" si="463">CR98</f>
        <v>0</v>
      </c>
      <c r="CS99" s="46">
        <f t="shared" si="402"/>
        <v>1010</v>
      </c>
      <c r="CT99" s="50">
        <f t="shared" si="325"/>
        <v>82</v>
      </c>
      <c r="CU99" s="103">
        <f t="shared" ref="CU99:CU103" si="464">CU98</f>
        <v>0</v>
      </c>
      <c r="CV99" s="46">
        <f t="shared" si="362"/>
        <v>82</v>
      </c>
      <c r="CX99" s="120">
        <f t="shared" ref="CX99:CX103" si="465">CX98+1</f>
        <v>9</v>
      </c>
      <c r="CY99" s="570">
        <f t="shared" ref="CY99:CY103" si="466">CY98</f>
        <v>13</v>
      </c>
      <c r="CZ99" s="133"/>
      <c r="DA99" s="408">
        <f t="shared" si="403"/>
        <v>0</v>
      </c>
      <c r="DB99" s="562">
        <f t="shared" si="396"/>
        <v>0</v>
      </c>
      <c r="DC99" s="134"/>
      <c r="DD99" s="135"/>
      <c r="DE99" s="135"/>
      <c r="DF99" s="14">
        <f t="shared" si="371"/>
        <v>0</v>
      </c>
      <c r="DG99" s="14">
        <f t="shared" si="244"/>
        <v>0</v>
      </c>
      <c r="DH99" s="14">
        <f t="shared" si="326"/>
        <v>0.16</v>
      </c>
      <c r="DI99" s="47">
        <f t="shared" si="372"/>
        <v>0</v>
      </c>
      <c r="DJ99" s="35">
        <f t="shared" si="327"/>
        <v>3.680000000000001</v>
      </c>
      <c r="DK99" s="159">
        <f t="shared" si="245"/>
        <v>0</v>
      </c>
      <c r="DL99" s="142"/>
      <c r="DM99" s="14">
        <f t="shared" si="328"/>
        <v>61</v>
      </c>
      <c r="DN99" s="482">
        <f t="shared" si="329"/>
        <v>0</v>
      </c>
      <c r="DO99" s="470">
        <f t="shared" si="428"/>
        <v>0</v>
      </c>
      <c r="DP99" s="51">
        <f t="shared" si="330"/>
        <v>1010</v>
      </c>
      <c r="DQ99" s="103">
        <f t="shared" ref="DQ99:DQ103" si="467">DQ98</f>
        <v>0</v>
      </c>
      <c r="DR99" s="46">
        <f t="shared" si="404"/>
        <v>1010</v>
      </c>
      <c r="DS99" s="50">
        <f t="shared" si="331"/>
        <v>82</v>
      </c>
      <c r="DT99" s="103">
        <f t="shared" ref="DT99:DT103" si="468">DT98</f>
        <v>0</v>
      </c>
      <c r="DU99" s="46">
        <f t="shared" si="363"/>
        <v>82</v>
      </c>
    </row>
    <row r="100" spans="1:126" x14ac:dyDescent="0.25">
      <c r="B100" s="120">
        <f t="shared" si="449"/>
        <v>10</v>
      </c>
      <c r="C100" s="570">
        <f t="shared" si="450"/>
        <v>13</v>
      </c>
      <c r="D100" s="133"/>
      <c r="E100" s="408">
        <f t="shared" si="334"/>
        <v>171956</v>
      </c>
      <c r="F100" s="562">
        <f t="shared" si="301"/>
        <v>171956</v>
      </c>
      <c r="G100" s="134"/>
      <c r="H100" s="135"/>
      <c r="I100" s="135"/>
      <c r="J100" s="14">
        <f t="shared" si="364"/>
        <v>0</v>
      </c>
      <c r="K100" s="14">
        <f t="shared" si="335"/>
        <v>4875</v>
      </c>
      <c r="L100" s="14">
        <f t="shared" si="302"/>
        <v>0.16</v>
      </c>
      <c r="M100" s="47">
        <f t="shared" si="358"/>
        <v>0</v>
      </c>
      <c r="N100" s="35">
        <f t="shared" si="303"/>
        <v>3.680000000000001</v>
      </c>
      <c r="O100" s="159">
        <f t="shared" si="336"/>
        <v>2.7568695534154077</v>
      </c>
      <c r="P100" s="142"/>
      <c r="Q100" s="14">
        <f t="shared" si="304"/>
        <v>61</v>
      </c>
      <c r="R100" s="482">
        <f t="shared" si="305"/>
        <v>0</v>
      </c>
      <c r="S100" s="470">
        <f t="shared" si="337"/>
        <v>328.79467076367098</v>
      </c>
      <c r="T100" s="51">
        <f t="shared" si="306"/>
        <v>1010</v>
      </c>
      <c r="U100" s="103">
        <f t="shared" si="451"/>
        <v>0</v>
      </c>
      <c r="V100" s="46">
        <f t="shared" si="339"/>
        <v>1010</v>
      </c>
      <c r="W100" s="50">
        <f t="shared" si="307"/>
        <v>82</v>
      </c>
      <c r="X100" s="103">
        <f t="shared" si="452"/>
        <v>0</v>
      </c>
      <c r="Y100" s="46">
        <f t="shared" si="341"/>
        <v>82</v>
      </c>
      <c r="Z100" s="487"/>
      <c r="AA100" s="120">
        <f t="shared" si="453"/>
        <v>10</v>
      </c>
      <c r="AB100" s="570">
        <f t="shared" si="454"/>
        <v>13</v>
      </c>
      <c r="AC100" s="133"/>
      <c r="AD100" s="408">
        <f t="shared" si="397"/>
        <v>0</v>
      </c>
      <c r="AE100" s="562">
        <f t="shared" si="393"/>
        <v>0</v>
      </c>
      <c r="AF100" s="134"/>
      <c r="AG100" s="135"/>
      <c r="AH100" s="135"/>
      <c r="AI100" s="14">
        <f t="shared" si="365"/>
        <v>0</v>
      </c>
      <c r="AJ100" s="14">
        <f t="shared" si="239"/>
        <v>0</v>
      </c>
      <c r="AK100" s="14">
        <f t="shared" si="308"/>
        <v>0.16</v>
      </c>
      <c r="AL100" s="47">
        <f t="shared" si="366"/>
        <v>0</v>
      </c>
      <c r="AM100" s="35">
        <f t="shared" si="309"/>
        <v>3.680000000000001</v>
      </c>
      <c r="AN100" s="159">
        <f t="shared" si="240"/>
        <v>0</v>
      </c>
      <c r="AO100" s="142"/>
      <c r="AP100" s="14">
        <f t="shared" si="310"/>
        <v>61</v>
      </c>
      <c r="AQ100" s="482">
        <f t="shared" si="311"/>
        <v>0</v>
      </c>
      <c r="AR100" s="470">
        <f t="shared" si="425"/>
        <v>0</v>
      </c>
      <c r="AS100" s="51">
        <f t="shared" si="312"/>
        <v>1010</v>
      </c>
      <c r="AT100" s="103">
        <f t="shared" si="455"/>
        <v>0</v>
      </c>
      <c r="AU100" s="46">
        <f t="shared" si="398"/>
        <v>1010</v>
      </c>
      <c r="AV100" s="50">
        <f t="shared" si="313"/>
        <v>82</v>
      </c>
      <c r="AW100" s="103">
        <f t="shared" si="456"/>
        <v>0</v>
      </c>
      <c r="AX100" s="46">
        <f t="shared" si="360"/>
        <v>82</v>
      </c>
      <c r="AZ100" s="120">
        <f t="shared" si="457"/>
        <v>10</v>
      </c>
      <c r="BA100" s="570">
        <f t="shared" si="458"/>
        <v>13</v>
      </c>
      <c r="BB100" s="133"/>
      <c r="BC100" s="408">
        <f t="shared" si="399"/>
        <v>116143</v>
      </c>
      <c r="BD100" s="562">
        <f t="shared" si="394"/>
        <v>116143</v>
      </c>
      <c r="BE100" s="134"/>
      <c r="BF100" s="135"/>
      <c r="BG100" s="135"/>
      <c r="BH100" s="14">
        <f t="shared" si="367"/>
        <v>0</v>
      </c>
      <c r="BI100" s="14">
        <f t="shared" si="241"/>
        <v>3926</v>
      </c>
      <c r="BJ100" s="14">
        <f t="shared" si="314"/>
        <v>0.16</v>
      </c>
      <c r="BK100" s="47">
        <f t="shared" si="368"/>
        <v>0</v>
      </c>
      <c r="BL100" s="35">
        <f t="shared" si="315"/>
        <v>3.680000000000001</v>
      </c>
      <c r="BM100" s="159">
        <f t="shared" si="359"/>
        <v>3.2697865394065078</v>
      </c>
      <c r="BN100" s="142"/>
      <c r="BO100" s="14">
        <f t="shared" si="316"/>
        <v>61</v>
      </c>
      <c r="BP100" s="482">
        <f t="shared" si="317"/>
        <v>0</v>
      </c>
      <c r="BQ100" s="470">
        <f t="shared" si="426"/>
        <v>314.58428346602915</v>
      </c>
      <c r="BR100" s="51">
        <f t="shared" si="318"/>
        <v>1010</v>
      </c>
      <c r="BS100" s="103">
        <f t="shared" si="459"/>
        <v>0</v>
      </c>
      <c r="BT100" s="46">
        <f t="shared" si="400"/>
        <v>1010</v>
      </c>
      <c r="BU100" s="50">
        <f t="shared" si="319"/>
        <v>82</v>
      </c>
      <c r="BV100" s="103">
        <f t="shared" si="460"/>
        <v>0</v>
      </c>
      <c r="BW100" s="46">
        <f t="shared" si="361"/>
        <v>82</v>
      </c>
      <c r="BY100" s="120">
        <f t="shared" si="461"/>
        <v>10</v>
      </c>
      <c r="BZ100" s="570">
        <f t="shared" si="462"/>
        <v>13</v>
      </c>
      <c r="CA100" s="133"/>
      <c r="CB100" s="408">
        <f t="shared" si="401"/>
        <v>0</v>
      </c>
      <c r="CC100" s="562">
        <f t="shared" si="395"/>
        <v>0</v>
      </c>
      <c r="CD100" s="134"/>
      <c r="CE100" s="135"/>
      <c r="CF100" s="135"/>
      <c r="CG100" s="14">
        <f t="shared" si="369"/>
        <v>0</v>
      </c>
      <c r="CH100" s="14">
        <f t="shared" si="242"/>
        <v>0</v>
      </c>
      <c r="CI100" s="14">
        <f t="shared" si="320"/>
        <v>0.16</v>
      </c>
      <c r="CJ100" s="47">
        <f t="shared" si="370"/>
        <v>0</v>
      </c>
      <c r="CK100" s="35">
        <f t="shared" si="321"/>
        <v>3.680000000000001</v>
      </c>
      <c r="CL100" s="159">
        <f t="shared" si="243"/>
        <v>0</v>
      </c>
      <c r="CM100" s="142"/>
      <c r="CN100" s="14">
        <f t="shared" si="322"/>
        <v>61</v>
      </c>
      <c r="CO100" s="482">
        <f t="shared" si="323"/>
        <v>0</v>
      </c>
      <c r="CP100" s="470">
        <f t="shared" si="427"/>
        <v>0</v>
      </c>
      <c r="CQ100" s="51">
        <f t="shared" si="324"/>
        <v>1010</v>
      </c>
      <c r="CR100" s="103">
        <f t="shared" si="463"/>
        <v>0</v>
      </c>
      <c r="CS100" s="46">
        <f t="shared" si="402"/>
        <v>1010</v>
      </c>
      <c r="CT100" s="50">
        <f t="shared" si="325"/>
        <v>82</v>
      </c>
      <c r="CU100" s="103">
        <f t="shared" si="464"/>
        <v>0</v>
      </c>
      <c r="CV100" s="46">
        <f t="shared" si="362"/>
        <v>82</v>
      </c>
      <c r="CX100" s="120">
        <f t="shared" si="465"/>
        <v>10</v>
      </c>
      <c r="CY100" s="570">
        <f t="shared" si="466"/>
        <v>13</v>
      </c>
      <c r="CZ100" s="133"/>
      <c r="DA100" s="408">
        <f t="shared" si="403"/>
        <v>0</v>
      </c>
      <c r="DB100" s="562">
        <f t="shared" si="396"/>
        <v>0</v>
      </c>
      <c r="DC100" s="134"/>
      <c r="DD100" s="135"/>
      <c r="DE100" s="135"/>
      <c r="DF100" s="14">
        <f t="shared" si="371"/>
        <v>0</v>
      </c>
      <c r="DG100" s="14">
        <f t="shared" si="244"/>
        <v>0</v>
      </c>
      <c r="DH100" s="14">
        <f t="shared" si="326"/>
        <v>0.16</v>
      </c>
      <c r="DI100" s="47">
        <f t="shared" si="372"/>
        <v>0</v>
      </c>
      <c r="DJ100" s="35">
        <f t="shared" si="327"/>
        <v>3.680000000000001</v>
      </c>
      <c r="DK100" s="159">
        <f t="shared" si="245"/>
        <v>0</v>
      </c>
      <c r="DL100" s="142"/>
      <c r="DM100" s="14">
        <f t="shared" si="328"/>
        <v>61</v>
      </c>
      <c r="DN100" s="482">
        <f t="shared" si="329"/>
        <v>0</v>
      </c>
      <c r="DO100" s="470">
        <f t="shared" si="428"/>
        <v>0</v>
      </c>
      <c r="DP100" s="51">
        <f t="shared" si="330"/>
        <v>1010</v>
      </c>
      <c r="DQ100" s="103">
        <f t="shared" si="467"/>
        <v>0</v>
      </c>
      <c r="DR100" s="46">
        <f t="shared" si="404"/>
        <v>1010</v>
      </c>
      <c r="DS100" s="50">
        <f t="shared" si="331"/>
        <v>82</v>
      </c>
      <c r="DT100" s="103">
        <f t="shared" si="468"/>
        <v>0</v>
      </c>
      <c r="DU100" s="46">
        <f t="shared" si="363"/>
        <v>82</v>
      </c>
    </row>
    <row r="101" spans="1:126" x14ac:dyDescent="0.25">
      <c r="B101" s="120">
        <f t="shared" si="449"/>
        <v>11</v>
      </c>
      <c r="C101" s="570">
        <f t="shared" si="450"/>
        <v>13</v>
      </c>
      <c r="D101" s="133"/>
      <c r="E101" s="408">
        <f t="shared" si="334"/>
        <v>171956</v>
      </c>
      <c r="F101" s="562">
        <f t="shared" si="301"/>
        <v>171956</v>
      </c>
      <c r="G101" s="134"/>
      <c r="H101" s="135"/>
      <c r="I101" s="135"/>
      <c r="J101" s="14">
        <f t="shared" si="364"/>
        <v>0</v>
      </c>
      <c r="K101" s="14">
        <f t="shared" si="335"/>
        <v>4875</v>
      </c>
      <c r="L101" s="14">
        <f t="shared" si="302"/>
        <v>0.16</v>
      </c>
      <c r="M101" s="47">
        <f t="shared" si="358"/>
        <v>0</v>
      </c>
      <c r="N101" s="35">
        <f t="shared" si="303"/>
        <v>3.680000000000001</v>
      </c>
      <c r="O101" s="159">
        <f t="shared" si="336"/>
        <v>2.7568695534154077</v>
      </c>
      <c r="P101" s="142"/>
      <c r="Q101" s="14">
        <f t="shared" si="304"/>
        <v>61</v>
      </c>
      <c r="R101" s="442">
        <f t="shared" si="305"/>
        <v>0</v>
      </c>
      <c r="S101" s="470">
        <f t="shared" si="337"/>
        <v>328.79467076367098</v>
      </c>
      <c r="T101" s="51">
        <f t="shared" si="306"/>
        <v>1010</v>
      </c>
      <c r="U101" s="103">
        <f t="shared" si="451"/>
        <v>0</v>
      </c>
      <c r="V101" s="46">
        <f t="shared" si="339"/>
        <v>1010</v>
      </c>
      <c r="W101" s="51">
        <f t="shared" si="307"/>
        <v>82</v>
      </c>
      <c r="X101" s="103">
        <f t="shared" si="452"/>
        <v>0</v>
      </c>
      <c r="Y101" s="46">
        <f t="shared" si="341"/>
        <v>82</v>
      </c>
      <c r="Z101" s="487"/>
      <c r="AA101" s="120">
        <f t="shared" si="453"/>
        <v>11</v>
      </c>
      <c r="AB101" s="570">
        <f t="shared" si="454"/>
        <v>13</v>
      </c>
      <c r="AC101" s="133"/>
      <c r="AD101" s="408">
        <f t="shared" si="397"/>
        <v>0</v>
      </c>
      <c r="AE101" s="562">
        <f t="shared" si="393"/>
        <v>0</v>
      </c>
      <c r="AF101" s="134"/>
      <c r="AG101" s="135"/>
      <c r="AH101" s="135"/>
      <c r="AI101" s="14">
        <f t="shared" si="365"/>
        <v>0</v>
      </c>
      <c r="AJ101" s="14">
        <f t="shared" si="239"/>
        <v>0</v>
      </c>
      <c r="AK101" s="14">
        <f t="shared" si="308"/>
        <v>0.16</v>
      </c>
      <c r="AL101" s="47">
        <f t="shared" si="366"/>
        <v>0</v>
      </c>
      <c r="AM101" s="35">
        <f t="shared" si="309"/>
        <v>3.680000000000001</v>
      </c>
      <c r="AN101" s="159">
        <f t="shared" si="240"/>
        <v>0</v>
      </c>
      <c r="AO101" s="142"/>
      <c r="AP101" s="14">
        <f t="shared" si="310"/>
        <v>61</v>
      </c>
      <c r="AQ101" s="442">
        <f t="shared" si="311"/>
        <v>0</v>
      </c>
      <c r="AR101" s="470">
        <f t="shared" si="425"/>
        <v>0</v>
      </c>
      <c r="AS101" s="51">
        <f t="shared" si="312"/>
        <v>1010</v>
      </c>
      <c r="AT101" s="103">
        <f t="shared" si="455"/>
        <v>0</v>
      </c>
      <c r="AU101" s="46">
        <f t="shared" si="398"/>
        <v>1010</v>
      </c>
      <c r="AV101" s="51">
        <f t="shared" si="313"/>
        <v>82</v>
      </c>
      <c r="AW101" s="103">
        <f t="shared" si="456"/>
        <v>0</v>
      </c>
      <c r="AX101" s="46">
        <f t="shared" si="360"/>
        <v>82</v>
      </c>
      <c r="AZ101" s="120">
        <f t="shared" si="457"/>
        <v>11</v>
      </c>
      <c r="BA101" s="570">
        <f t="shared" si="458"/>
        <v>13</v>
      </c>
      <c r="BB101" s="133"/>
      <c r="BC101" s="408">
        <f t="shared" si="399"/>
        <v>116143</v>
      </c>
      <c r="BD101" s="562">
        <f t="shared" si="394"/>
        <v>116143</v>
      </c>
      <c r="BE101" s="134"/>
      <c r="BF101" s="135"/>
      <c r="BG101" s="135"/>
      <c r="BH101" s="14">
        <f t="shared" si="367"/>
        <v>0</v>
      </c>
      <c r="BI101" s="14">
        <f t="shared" si="241"/>
        <v>3926</v>
      </c>
      <c r="BJ101" s="14">
        <f t="shared" si="314"/>
        <v>0.16</v>
      </c>
      <c r="BK101" s="47">
        <f t="shared" si="368"/>
        <v>0</v>
      </c>
      <c r="BL101" s="35">
        <f t="shared" si="315"/>
        <v>3.680000000000001</v>
      </c>
      <c r="BM101" s="159">
        <f t="shared" si="359"/>
        <v>3.2697865394065078</v>
      </c>
      <c r="BN101" s="142"/>
      <c r="BO101" s="14">
        <f t="shared" si="316"/>
        <v>61</v>
      </c>
      <c r="BP101" s="442">
        <f t="shared" si="317"/>
        <v>0</v>
      </c>
      <c r="BQ101" s="470">
        <f t="shared" si="426"/>
        <v>314.58428346602915</v>
      </c>
      <c r="BR101" s="51">
        <f t="shared" si="318"/>
        <v>1010</v>
      </c>
      <c r="BS101" s="103">
        <f t="shared" si="459"/>
        <v>0</v>
      </c>
      <c r="BT101" s="46">
        <f t="shared" si="400"/>
        <v>1010</v>
      </c>
      <c r="BU101" s="51">
        <f t="shared" si="319"/>
        <v>82</v>
      </c>
      <c r="BV101" s="103">
        <f t="shared" si="460"/>
        <v>0</v>
      </c>
      <c r="BW101" s="46">
        <f t="shared" si="361"/>
        <v>82</v>
      </c>
      <c r="BY101" s="120">
        <f t="shared" si="461"/>
        <v>11</v>
      </c>
      <c r="BZ101" s="570">
        <f t="shared" si="462"/>
        <v>13</v>
      </c>
      <c r="CA101" s="133"/>
      <c r="CB101" s="408">
        <f t="shared" si="401"/>
        <v>0</v>
      </c>
      <c r="CC101" s="562">
        <f t="shared" si="395"/>
        <v>0</v>
      </c>
      <c r="CD101" s="134"/>
      <c r="CE101" s="135"/>
      <c r="CF101" s="135"/>
      <c r="CG101" s="14">
        <f t="shared" si="369"/>
        <v>0</v>
      </c>
      <c r="CH101" s="14">
        <f t="shared" si="242"/>
        <v>0</v>
      </c>
      <c r="CI101" s="14">
        <f t="shared" si="320"/>
        <v>0.16</v>
      </c>
      <c r="CJ101" s="47">
        <f t="shared" si="370"/>
        <v>0</v>
      </c>
      <c r="CK101" s="35">
        <f t="shared" si="321"/>
        <v>3.680000000000001</v>
      </c>
      <c r="CL101" s="159">
        <f t="shared" si="243"/>
        <v>0</v>
      </c>
      <c r="CM101" s="142"/>
      <c r="CN101" s="14">
        <f t="shared" si="322"/>
        <v>61</v>
      </c>
      <c r="CO101" s="442">
        <f t="shared" si="323"/>
        <v>0</v>
      </c>
      <c r="CP101" s="470">
        <f t="shared" si="427"/>
        <v>0</v>
      </c>
      <c r="CQ101" s="51">
        <f t="shared" si="324"/>
        <v>1010</v>
      </c>
      <c r="CR101" s="103">
        <f t="shared" si="463"/>
        <v>0</v>
      </c>
      <c r="CS101" s="46">
        <f t="shared" si="402"/>
        <v>1010</v>
      </c>
      <c r="CT101" s="51">
        <f t="shared" si="325"/>
        <v>82</v>
      </c>
      <c r="CU101" s="103">
        <f t="shared" si="464"/>
        <v>0</v>
      </c>
      <c r="CV101" s="46">
        <f t="shared" si="362"/>
        <v>82</v>
      </c>
      <c r="CX101" s="120">
        <f t="shared" si="465"/>
        <v>11</v>
      </c>
      <c r="CY101" s="570">
        <f t="shared" si="466"/>
        <v>13</v>
      </c>
      <c r="CZ101" s="133"/>
      <c r="DA101" s="408">
        <f t="shared" si="403"/>
        <v>0</v>
      </c>
      <c r="DB101" s="562">
        <f t="shared" si="396"/>
        <v>0</v>
      </c>
      <c r="DC101" s="134"/>
      <c r="DD101" s="135"/>
      <c r="DE101" s="135"/>
      <c r="DF101" s="14">
        <f t="shared" si="371"/>
        <v>0</v>
      </c>
      <c r="DG101" s="14">
        <f t="shared" si="244"/>
        <v>0</v>
      </c>
      <c r="DH101" s="14">
        <f t="shared" si="326"/>
        <v>0.16</v>
      </c>
      <c r="DI101" s="47">
        <f t="shared" si="372"/>
        <v>0</v>
      </c>
      <c r="DJ101" s="35">
        <f t="shared" si="327"/>
        <v>3.680000000000001</v>
      </c>
      <c r="DK101" s="159">
        <f t="shared" si="245"/>
        <v>0</v>
      </c>
      <c r="DL101" s="142"/>
      <c r="DM101" s="14">
        <f t="shared" si="328"/>
        <v>61</v>
      </c>
      <c r="DN101" s="442">
        <f t="shared" si="329"/>
        <v>0</v>
      </c>
      <c r="DO101" s="470">
        <f t="shared" si="428"/>
        <v>0</v>
      </c>
      <c r="DP101" s="51">
        <f t="shared" si="330"/>
        <v>1010</v>
      </c>
      <c r="DQ101" s="103">
        <f t="shared" si="467"/>
        <v>0</v>
      </c>
      <c r="DR101" s="46">
        <f t="shared" si="404"/>
        <v>1010</v>
      </c>
      <c r="DS101" s="51">
        <f t="shared" si="331"/>
        <v>82</v>
      </c>
      <c r="DT101" s="103">
        <f t="shared" si="468"/>
        <v>0</v>
      </c>
      <c r="DU101" s="46">
        <f t="shared" si="363"/>
        <v>82</v>
      </c>
    </row>
    <row r="102" spans="1:126" x14ac:dyDescent="0.25">
      <c r="B102" s="120">
        <f t="shared" si="449"/>
        <v>12</v>
      </c>
      <c r="C102" s="570">
        <f t="shared" si="450"/>
        <v>13</v>
      </c>
      <c r="D102" s="133"/>
      <c r="E102" s="408">
        <f t="shared" si="334"/>
        <v>171956</v>
      </c>
      <c r="F102" s="562">
        <f t="shared" si="301"/>
        <v>171956</v>
      </c>
      <c r="G102" s="134"/>
      <c r="H102" s="135"/>
      <c r="I102" s="135"/>
      <c r="J102" s="14">
        <f t="shared" si="364"/>
        <v>0</v>
      </c>
      <c r="K102" s="14">
        <f t="shared" si="335"/>
        <v>4875</v>
      </c>
      <c r="L102" s="14">
        <f t="shared" si="302"/>
        <v>0.16</v>
      </c>
      <c r="M102" s="47">
        <f t="shared" si="358"/>
        <v>0</v>
      </c>
      <c r="N102" s="35">
        <f t="shared" si="303"/>
        <v>3.680000000000001</v>
      </c>
      <c r="O102" s="159">
        <f t="shared" si="336"/>
        <v>2.7568695534154077</v>
      </c>
      <c r="P102" s="142"/>
      <c r="Q102" s="14">
        <f t="shared" si="304"/>
        <v>61</v>
      </c>
      <c r="R102" s="442">
        <f t="shared" si="305"/>
        <v>0</v>
      </c>
      <c r="S102" s="470">
        <f t="shared" si="337"/>
        <v>328.79467076367098</v>
      </c>
      <c r="T102" s="51">
        <f t="shared" si="306"/>
        <v>1010</v>
      </c>
      <c r="U102" s="103">
        <f t="shared" si="451"/>
        <v>0</v>
      </c>
      <c r="V102" s="46">
        <f t="shared" si="339"/>
        <v>1010</v>
      </c>
      <c r="W102" s="12">
        <f t="shared" si="307"/>
        <v>82</v>
      </c>
      <c r="X102" s="103">
        <f t="shared" si="452"/>
        <v>0</v>
      </c>
      <c r="Y102" s="46">
        <f t="shared" si="341"/>
        <v>82</v>
      </c>
      <c r="Z102" s="487"/>
      <c r="AA102" s="120">
        <f t="shared" si="453"/>
        <v>12</v>
      </c>
      <c r="AB102" s="570">
        <f t="shared" si="454"/>
        <v>13</v>
      </c>
      <c r="AC102" s="133"/>
      <c r="AD102" s="408">
        <f t="shared" si="397"/>
        <v>0</v>
      </c>
      <c r="AE102" s="562">
        <f t="shared" si="393"/>
        <v>0</v>
      </c>
      <c r="AF102" s="134"/>
      <c r="AG102" s="135"/>
      <c r="AH102" s="135"/>
      <c r="AI102" s="14">
        <f t="shared" si="365"/>
        <v>0</v>
      </c>
      <c r="AJ102" s="14">
        <f t="shared" si="239"/>
        <v>0</v>
      </c>
      <c r="AK102" s="14">
        <f t="shared" si="308"/>
        <v>0.16</v>
      </c>
      <c r="AL102" s="47">
        <f t="shared" si="366"/>
        <v>0</v>
      </c>
      <c r="AM102" s="35">
        <f t="shared" si="309"/>
        <v>3.680000000000001</v>
      </c>
      <c r="AN102" s="159">
        <f t="shared" si="240"/>
        <v>0</v>
      </c>
      <c r="AO102" s="142"/>
      <c r="AP102" s="14">
        <f t="shared" si="310"/>
        <v>61</v>
      </c>
      <c r="AQ102" s="442">
        <f t="shared" si="311"/>
        <v>0</v>
      </c>
      <c r="AR102" s="470">
        <f t="shared" si="425"/>
        <v>0</v>
      </c>
      <c r="AS102" s="51">
        <f t="shared" si="312"/>
        <v>1010</v>
      </c>
      <c r="AT102" s="103">
        <f t="shared" si="455"/>
        <v>0</v>
      </c>
      <c r="AU102" s="46">
        <f t="shared" si="398"/>
        <v>1010</v>
      </c>
      <c r="AV102" s="12">
        <f t="shared" si="313"/>
        <v>82</v>
      </c>
      <c r="AW102" s="103">
        <f t="shared" si="456"/>
        <v>0</v>
      </c>
      <c r="AX102" s="46">
        <f t="shared" si="360"/>
        <v>82</v>
      </c>
      <c r="AZ102" s="120">
        <f t="shared" si="457"/>
        <v>12</v>
      </c>
      <c r="BA102" s="570">
        <f t="shared" si="458"/>
        <v>13</v>
      </c>
      <c r="BB102" s="133"/>
      <c r="BC102" s="408">
        <f t="shared" si="399"/>
        <v>116143</v>
      </c>
      <c r="BD102" s="562">
        <f t="shared" si="394"/>
        <v>116143</v>
      </c>
      <c r="BE102" s="134"/>
      <c r="BF102" s="135"/>
      <c r="BG102" s="135"/>
      <c r="BH102" s="14">
        <f t="shared" si="367"/>
        <v>0</v>
      </c>
      <c r="BI102" s="14">
        <f t="shared" si="241"/>
        <v>3926</v>
      </c>
      <c r="BJ102" s="14">
        <f t="shared" si="314"/>
        <v>0.16</v>
      </c>
      <c r="BK102" s="47">
        <f t="shared" si="368"/>
        <v>0</v>
      </c>
      <c r="BL102" s="35">
        <f t="shared" si="315"/>
        <v>3.680000000000001</v>
      </c>
      <c r="BM102" s="159">
        <f t="shared" si="359"/>
        <v>3.2697865394065078</v>
      </c>
      <c r="BN102" s="142"/>
      <c r="BO102" s="14">
        <f t="shared" si="316"/>
        <v>61</v>
      </c>
      <c r="BP102" s="442">
        <f t="shared" si="317"/>
        <v>0</v>
      </c>
      <c r="BQ102" s="470">
        <f t="shared" si="426"/>
        <v>314.58428346602915</v>
      </c>
      <c r="BR102" s="51">
        <f t="shared" si="318"/>
        <v>1010</v>
      </c>
      <c r="BS102" s="103">
        <f t="shared" si="459"/>
        <v>0</v>
      </c>
      <c r="BT102" s="46">
        <f t="shared" si="400"/>
        <v>1010</v>
      </c>
      <c r="BU102" s="12">
        <f t="shared" si="319"/>
        <v>82</v>
      </c>
      <c r="BV102" s="103">
        <f t="shared" si="460"/>
        <v>0</v>
      </c>
      <c r="BW102" s="46">
        <f t="shared" si="361"/>
        <v>82</v>
      </c>
      <c r="BY102" s="120">
        <f t="shared" si="461"/>
        <v>12</v>
      </c>
      <c r="BZ102" s="570">
        <f t="shared" si="462"/>
        <v>13</v>
      </c>
      <c r="CA102" s="133"/>
      <c r="CB102" s="408">
        <f t="shared" si="401"/>
        <v>0</v>
      </c>
      <c r="CC102" s="562">
        <f t="shared" si="395"/>
        <v>0</v>
      </c>
      <c r="CD102" s="134"/>
      <c r="CE102" s="135"/>
      <c r="CF102" s="135"/>
      <c r="CG102" s="14">
        <f t="shared" si="369"/>
        <v>0</v>
      </c>
      <c r="CH102" s="14">
        <f t="shared" si="242"/>
        <v>0</v>
      </c>
      <c r="CI102" s="14">
        <f t="shared" si="320"/>
        <v>0.16</v>
      </c>
      <c r="CJ102" s="47">
        <f t="shared" si="370"/>
        <v>0</v>
      </c>
      <c r="CK102" s="35">
        <f t="shared" si="321"/>
        <v>3.680000000000001</v>
      </c>
      <c r="CL102" s="159">
        <f t="shared" si="243"/>
        <v>0</v>
      </c>
      <c r="CM102" s="142"/>
      <c r="CN102" s="14">
        <f t="shared" si="322"/>
        <v>61</v>
      </c>
      <c r="CO102" s="442">
        <f t="shared" si="323"/>
        <v>0</v>
      </c>
      <c r="CP102" s="470">
        <f t="shared" si="427"/>
        <v>0</v>
      </c>
      <c r="CQ102" s="51">
        <f t="shared" si="324"/>
        <v>1010</v>
      </c>
      <c r="CR102" s="103">
        <f t="shared" si="463"/>
        <v>0</v>
      </c>
      <c r="CS102" s="46">
        <f t="shared" si="402"/>
        <v>1010</v>
      </c>
      <c r="CT102" s="12">
        <f t="shared" si="325"/>
        <v>82</v>
      </c>
      <c r="CU102" s="103">
        <f t="shared" si="464"/>
        <v>0</v>
      </c>
      <c r="CV102" s="46">
        <f t="shared" si="362"/>
        <v>82</v>
      </c>
      <c r="CX102" s="120">
        <f t="shared" si="465"/>
        <v>12</v>
      </c>
      <c r="CY102" s="570">
        <f t="shared" si="466"/>
        <v>13</v>
      </c>
      <c r="CZ102" s="133"/>
      <c r="DA102" s="408">
        <f t="shared" si="403"/>
        <v>0</v>
      </c>
      <c r="DB102" s="562">
        <f t="shared" si="396"/>
        <v>0</v>
      </c>
      <c r="DC102" s="134"/>
      <c r="DD102" s="135"/>
      <c r="DE102" s="135"/>
      <c r="DF102" s="14">
        <f t="shared" si="371"/>
        <v>0</v>
      </c>
      <c r="DG102" s="14">
        <f t="shared" si="244"/>
        <v>0</v>
      </c>
      <c r="DH102" s="14">
        <f t="shared" si="326"/>
        <v>0.16</v>
      </c>
      <c r="DI102" s="47">
        <f t="shared" si="372"/>
        <v>0</v>
      </c>
      <c r="DJ102" s="35">
        <f t="shared" si="327"/>
        <v>3.680000000000001</v>
      </c>
      <c r="DK102" s="159">
        <f t="shared" si="245"/>
        <v>0</v>
      </c>
      <c r="DL102" s="142"/>
      <c r="DM102" s="14">
        <f t="shared" si="328"/>
        <v>61</v>
      </c>
      <c r="DN102" s="442">
        <f t="shared" si="329"/>
        <v>0</v>
      </c>
      <c r="DO102" s="470">
        <f t="shared" si="428"/>
        <v>0</v>
      </c>
      <c r="DP102" s="51">
        <f t="shared" si="330"/>
        <v>1010</v>
      </c>
      <c r="DQ102" s="103">
        <f t="shared" si="467"/>
        <v>0</v>
      </c>
      <c r="DR102" s="46">
        <f t="shared" si="404"/>
        <v>1010</v>
      </c>
      <c r="DS102" s="12">
        <f t="shared" si="331"/>
        <v>82</v>
      </c>
      <c r="DT102" s="103">
        <f t="shared" si="468"/>
        <v>0</v>
      </c>
      <c r="DU102" s="46">
        <f t="shared" si="363"/>
        <v>82</v>
      </c>
    </row>
    <row r="103" spans="1:126" ht="17.25" thickBot="1" x14ac:dyDescent="0.3">
      <c r="B103" s="119">
        <f t="shared" si="449"/>
        <v>13</v>
      </c>
      <c r="C103" s="825">
        <f t="shared" si="450"/>
        <v>13</v>
      </c>
      <c r="D103" s="203"/>
      <c r="E103" s="818">
        <f t="shared" si="334"/>
        <v>171956</v>
      </c>
      <c r="F103" s="450">
        <f t="shared" si="301"/>
        <v>171956</v>
      </c>
      <c r="G103" s="204"/>
      <c r="H103" s="205"/>
      <c r="I103" s="205"/>
      <c r="J103" s="13">
        <f t="shared" si="364"/>
        <v>0</v>
      </c>
      <c r="K103" s="13">
        <f t="shared" si="335"/>
        <v>4875</v>
      </c>
      <c r="L103" s="13">
        <f t="shared" si="302"/>
        <v>0.16</v>
      </c>
      <c r="M103" s="230">
        <f t="shared" si="358"/>
        <v>0</v>
      </c>
      <c r="N103" s="161">
        <f t="shared" si="303"/>
        <v>3.680000000000001</v>
      </c>
      <c r="O103" s="157">
        <f t="shared" si="336"/>
        <v>2.7568695534154077</v>
      </c>
      <c r="P103" s="237"/>
      <c r="Q103" s="13">
        <f t="shared" si="304"/>
        <v>61</v>
      </c>
      <c r="R103" s="480">
        <f t="shared" si="305"/>
        <v>0</v>
      </c>
      <c r="S103" s="641">
        <f>S102+R103</f>
        <v>328.79467076367098</v>
      </c>
      <c r="T103" s="50">
        <f t="shared" si="306"/>
        <v>1010</v>
      </c>
      <c r="U103" s="202">
        <f t="shared" si="451"/>
        <v>0</v>
      </c>
      <c r="V103" s="62">
        <f t="shared" si="339"/>
        <v>1010</v>
      </c>
      <c r="W103" s="50">
        <f t="shared" si="307"/>
        <v>82</v>
      </c>
      <c r="X103" s="202">
        <f t="shared" si="452"/>
        <v>0</v>
      </c>
      <c r="Y103" s="62">
        <f t="shared" si="341"/>
        <v>82</v>
      </c>
      <c r="Z103" s="487"/>
      <c r="AA103" s="119">
        <f t="shared" si="453"/>
        <v>13</v>
      </c>
      <c r="AB103" s="825">
        <f t="shared" si="454"/>
        <v>13</v>
      </c>
      <c r="AC103" s="203"/>
      <c r="AD103" s="818">
        <f t="shared" si="397"/>
        <v>0</v>
      </c>
      <c r="AE103" s="450">
        <f t="shared" si="393"/>
        <v>0</v>
      </c>
      <c r="AF103" s="204"/>
      <c r="AG103" s="205"/>
      <c r="AH103" s="205"/>
      <c r="AI103" s="13">
        <f t="shared" si="365"/>
        <v>0</v>
      </c>
      <c r="AJ103" s="13">
        <f t="shared" si="239"/>
        <v>0</v>
      </c>
      <c r="AK103" s="13">
        <f t="shared" si="308"/>
        <v>0.16</v>
      </c>
      <c r="AL103" s="230">
        <f t="shared" si="366"/>
        <v>0</v>
      </c>
      <c r="AM103" s="161">
        <f t="shared" si="309"/>
        <v>3.680000000000001</v>
      </c>
      <c r="AN103" s="157">
        <f t="shared" si="240"/>
        <v>0</v>
      </c>
      <c r="AO103" s="237"/>
      <c r="AP103" s="13">
        <f t="shared" si="310"/>
        <v>61</v>
      </c>
      <c r="AQ103" s="480">
        <f t="shared" si="311"/>
        <v>0</v>
      </c>
      <c r="AR103" s="641">
        <f t="shared" si="425"/>
        <v>0</v>
      </c>
      <c r="AS103" s="50">
        <f t="shared" si="312"/>
        <v>1010</v>
      </c>
      <c r="AT103" s="202">
        <f t="shared" si="455"/>
        <v>0</v>
      </c>
      <c r="AU103" s="62">
        <f t="shared" si="398"/>
        <v>1010</v>
      </c>
      <c r="AV103" s="50">
        <f t="shared" si="313"/>
        <v>82</v>
      </c>
      <c r="AW103" s="202">
        <f t="shared" si="456"/>
        <v>0</v>
      </c>
      <c r="AX103" s="62">
        <f t="shared" si="360"/>
        <v>82</v>
      </c>
      <c r="AZ103" s="119">
        <f t="shared" si="457"/>
        <v>13</v>
      </c>
      <c r="BA103" s="825">
        <f t="shared" si="458"/>
        <v>13</v>
      </c>
      <c r="BB103" s="203"/>
      <c r="BC103" s="818">
        <f t="shared" si="399"/>
        <v>116143</v>
      </c>
      <c r="BD103" s="450">
        <f t="shared" si="394"/>
        <v>116143</v>
      </c>
      <c r="BE103" s="204"/>
      <c r="BF103" s="205"/>
      <c r="BG103" s="205"/>
      <c r="BH103" s="13">
        <f t="shared" si="367"/>
        <v>0</v>
      </c>
      <c r="BI103" s="13">
        <f t="shared" si="241"/>
        <v>3926</v>
      </c>
      <c r="BJ103" s="13">
        <f t="shared" si="314"/>
        <v>0.16</v>
      </c>
      <c r="BK103" s="230">
        <f t="shared" si="368"/>
        <v>0</v>
      </c>
      <c r="BL103" s="161">
        <f t="shared" si="315"/>
        <v>3.680000000000001</v>
      </c>
      <c r="BM103" s="156">
        <f t="shared" si="359"/>
        <v>3.2697865394065078</v>
      </c>
      <c r="BN103" s="237"/>
      <c r="BO103" s="13">
        <f t="shared" si="316"/>
        <v>61</v>
      </c>
      <c r="BP103" s="480">
        <f t="shared" si="317"/>
        <v>0</v>
      </c>
      <c r="BQ103" s="641">
        <f t="shared" si="426"/>
        <v>314.58428346602915</v>
      </c>
      <c r="BR103" s="50">
        <f t="shared" si="318"/>
        <v>1010</v>
      </c>
      <c r="BS103" s="202">
        <f t="shared" si="459"/>
        <v>0</v>
      </c>
      <c r="BT103" s="62">
        <f t="shared" si="400"/>
        <v>1010</v>
      </c>
      <c r="BU103" s="50">
        <f t="shared" si="319"/>
        <v>82</v>
      </c>
      <c r="BV103" s="202">
        <f t="shared" si="460"/>
        <v>0</v>
      </c>
      <c r="BW103" s="62">
        <f t="shared" si="361"/>
        <v>82</v>
      </c>
      <c r="BY103" s="119">
        <f t="shared" si="461"/>
        <v>13</v>
      </c>
      <c r="BZ103" s="825">
        <f t="shared" si="462"/>
        <v>13</v>
      </c>
      <c r="CA103" s="203"/>
      <c r="CB103" s="818">
        <f t="shared" si="401"/>
        <v>0</v>
      </c>
      <c r="CC103" s="450">
        <f t="shared" si="395"/>
        <v>0</v>
      </c>
      <c r="CD103" s="204"/>
      <c r="CE103" s="205"/>
      <c r="CF103" s="205"/>
      <c r="CG103" s="13">
        <f t="shared" si="369"/>
        <v>0</v>
      </c>
      <c r="CH103" s="13">
        <f t="shared" si="242"/>
        <v>0</v>
      </c>
      <c r="CI103" s="13">
        <f t="shared" si="320"/>
        <v>0.16</v>
      </c>
      <c r="CJ103" s="230">
        <f t="shared" si="370"/>
        <v>0</v>
      </c>
      <c r="CK103" s="161">
        <f t="shared" si="321"/>
        <v>3.680000000000001</v>
      </c>
      <c r="CL103" s="157">
        <f t="shared" si="243"/>
        <v>0</v>
      </c>
      <c r="CM103" s="237"/>
      <c r="CN103" s="13">
        <f t="shared" si="322"/>
        <v>61</v>
      </c>
      <c r="CO103" s="480">
        <f t="shared" si="323"/>
        <v>0</v>
      </c>
      <c r="CP103" s="641">
        <f t="shared" si="427"/>
        <v>0</v>
      </c>
      <c r="CQ103" s="50">
        <f t="shared" si="324"/>
        <v>1010</v>
      </c>
      <c r="CR103" s="202">
        <f t="shared" si="463"/>
        <v>0</v>
      </c>
      <c r="CS103" s="62">
        <f t="shared" si="402"/>
        <v>1010</v>
      </c>
      <c r="CT103" s="50">
        <f t="shared" si="325"/>
        <v>82</v>
      </c>
      <c r="CU103" s="202">
        <f t="shared" si="464"/>
        <v>0</v>
      </c>
      <c r="CV103" s="62">
        <f t="shared" si="362"/>
        <v>82</v>
      </c>
      <c r="CX103" s="119">
        <f t="shared" si="465"/>
        <v>13</v>
      </c>
      <c r="CY103" s="825">
        <f t="shared" si="466"/>
        <v>13</v>
      </c>
      <c r="CZ103" s="203"/>
      <c r="DA103" s="818">
        <f t="shared" si="403"/>
        <v>0</v>
      </c>
      <c r="DB103" s="450">
        <f t="shared" si="396"/>
        <v>0</v>
      </c>
      <c r="DC103" s="204"/>
      <c r="DD103" s="205"/>
      <c r="DE103" s="205"/>
      <c r="DF103" s="13">
        <f t="shared" si="371"/>
        <v>0</v>
      </c>
      <c r="DG103" s="13">
        <f t="shared" si="244"/>
        <v>0</v>
      </c>
      <c r="DH103" s="13">
        <f t="shared" si="326"/>
        <v>0.16</v>
      </c>
      <c r="DI103" s="230">
        <f t="shared" si="372"/>
        <v>0</v>
      </c>
      <c r="DJ103" s="161">
        <f t="shared" si="327"/>
        <v>3.680000000000001</v>
      </c>
      <c r="DK103" s="157">
        <f t="shared" si="245"/>
        <v>0</v>
      </c>
      <c r="DL103" s="237"/>
      <c r="DM103" s="13">
        <f t="shared" si="328"/>
        <v>61</v>
      </c>
      <c r="DN103" s="480">
        <f t="shared" si="329"/>
        <v>0</v>
      </c>
      <c r="DO103" s="641">
        <f t="shared" si="428"/>
        <v>0</v>
      </c>
      <c r="DP103" s="50">
        <f t="shared" si="330"/>
        <v>1010</v>
      </c>
      <c r="DQ103" s="202">
        <f t="shared" si="467"/>
        <v>0</v>
      </c>
      <c r="DR103" s="62">
        <f t="shared" si="404"/>
        <v>1010</v>
      </c>
      <c r="DS103" s="50">
        <f t="shared" si="331"/>
        <v>82</v>
      </c>
      <c r="DT103" s="202">
        <f t="shared" si="468"/>
        <v>0</v>
      </c>
      <c r="DU103" s="62">
        <f t="shared" si="363"/>
        <v>82</v>
      </c>
    </row>
    <row r="104" spans="1:126" x14ac:dyDescent="0.25">
      <c r="A104" s="811"/>
      <c r="B104" s="394">
        <v>14</v>
      </c>
      <c r="C104" s="785">
        <v>14</v>
      </c>
      <c r="D104" s="396"/>
      <c r="E104" s="400">
        <f t="shared" si="334"/>
        <v>171956</v>
      </c>
      <c r="F104" s="561">
        <f t="shared" si="301"/>
        <v>171956</v>
      </c>
      <c r="G104" s="398"/>
      <c r="H104" s="399"/>
      <c r="I104" s="399"/>
      <c r="J104" s="379">
        <f t="shared" si="364"/>
        <v>0</v>
      </c>
      <c r="K104" s="379">
        <f t="shared" si="335"/>
        <v>4875</v>
      </c>
      <c r="L104" s="379">
        <f t="shared" si="302"/>
        <v>0.16</v>
      </c>
      <c r="M104" s="812">
        <f t="shared" si="358"/>
        <v>0</v>
      </c>
      <c r="N104" s="590">
        <f t="shared" si="303"/>
        <v>3.8400000000000012</v>
      </c>
      <c r="O104" s="827">
        <f t="shared" si="336"/>
        <v>2.7568695534154077</v>
      </c>
      <c r="P104" s="640"/>
      <c r="Q104" s="379">
        <f t="shared" si="304"/>
        <v>64</v>
      </c>
      <c r="R104" s="813">
        <f t="shared" si="305"/>
        <v>0</v>
      </c>
      <c r="S104" s="472">
        <f>S103+R104</f>
        <v>328.79467076367098</v>
      </c>
      <c r="T104" s="386">
        <f t="shared" si="306"/>
        <v>1065</v>
      </c>
      <c r="U104" s="399"/>
      <c r="V104" s="402">
        <f t="shared" si="339"/>
        <v>1065</v>
      </c>
      <c r="W104" s="414">
        <f t="shared" si="307"/>
        <v>84</v>
      </c>
      <c r="X104" s="399"/>
      <c r="Y104" s="402">
        <f t="shared" si="341"/>
        <v>84</v>
      </c>
      <c r="Z104" s="811"/>
      <c r="AA104" s="394">
        <v>14</v>
      </c>
      <c r="AB104" s="785">
        <v>14</v>
      </c>
      <c r="AC104" s="396"/>
      <c r="AD104" s="400">
        <f t="shared" si="397"/>
        <v>0</v>
      </c>
      <c r="AE104" s="561">
        <f t="shared" si="393"/>
        <v>0</v>
      </c>
      <c r="AF104" s="398"/>
      <c r="AG104" s="399"/>
      <c r="AH104" s="399"/>
      <c r="AI104" s="379">
        <f t="shared" si="365"/>
        <v>0</v>
      </c>
      <c r="AJ104" s="379">
        <f t="shared" si="239"/>
        <v>0</v>
      </c>
      <c r="AK104" s="379">
        <f t="shared" si="308"/>
        <v>0.16</v>
      </c>
      <c r="AL104" s="812">
        <f t="shared" si="366"/>
        <v>0</v>
      </c>
      <c r="AM104" s="590">
        <f t="shared" si="309"/>
        <v>3.8400000000000012</v>
      </c>
      <c r="AN104" s="827">
        <f t="shared" si="240"/>
        <v>0</v>
      </c>
      <c r="AO104" s="640"/>
      <c r="AP104" s="379">
        <f t="shared" si="310"/>
        <v>64</v>
      </c>
      <c r="AQ104" s="813">
        <f t="shared" si="311"/>
        <v>0</v>
      </c>
      <c r="AR104" s="472">
        <f t="shared" si="425"/>
        <v>0</v>
      </c>
      <c r="AS104" s="386">
        <f t="shared" si="312"/>
        <v>1065</v>
      </c>
      <c r="AT104" s="399"/>
      <c r="AU104" s="402">
        <f t="shared" si="398"/>
        <v>1065</v>
      </c>
      <c r="AV104" s="414">
        <f t="shared" si="313"/>
        <v>84</v>
      </c>
      <c r="AW104" s="399"/>
      <c r="AX104" s="402">
        <f t="shared" si="360"/>
        <v>84</v>
      </c>
      <c r="AY104" s="811"/>
      <c r="AZ104" s="394">
        <v>14</v>
      </c>
      <c r="BA104" s="785">
        <v>14</v>
      </c>
      <c r="BB104" s="396"/>
      <c r="BC104" s="400">
        <f t="shared" si="399"/>
        <v>116143</v>
      </c>
      <c r="BD104" s="561">
        <f t="shared" si="394"/>
        <v>116143</v>
      </c>
      <c r="BE104" s="398"/>
      <c r="BF104" s="399"/>
      <c r="BG104" s="399"/>
      <c r="BH104" s="379">
        <f t="shared" si="367"/>
        <v>0</v>
      </c>
      <c r="BI104" s="379">
        <f t="shared" si="241"/>
        <v>3926</v>
      </c>
      <c r="BJ104" s="379">
        <f t="shared" si="314"/>
        <v>0.16</v>
      </c>
      <c r="BK104" s="812">
        <f t="shared" si="368"/>
        <v>0</v>
      </c>
      <c r="BL104" s="590">
        <f t="shared" si="315"/>
        <v>3.8400000000000012</v>
      </c>
      <c r="BM104" s="210">
        <f t="shared" si="359"/>
        <v>3.2697865394065078</v>
      </c>
      <c r="BN104" s="640"/>
      <c r="BO104" s="379">
        <f t="shared" si="316"/>
        <v>64</v>
      </c>
      <c r="BP104" s="813">
        <f t="shared" si="317"/>
        <v>0</v>
      </c>
      <c r="BQ104" s="472">
        <f t="shared" si="426"/>
        <v>314.58428346602915</v>
      </c>
      <c r="BR104" s="386">
        <f t="shared" si="318"/>
        <v>1065</v>
      </c>
      <c r="BS104" s="399"/>
      <c r="BT104" s="402">
        <f t="shared" si="400"/>
        <v>1065</v>
      </c>
      <c r="BU104" s="414">
        <f t="shared" si="319"/>
        <v>84</v>
      </c>
      <c r="BV104" s="399"/>
      <c r="BW104" s="402">
        <f t="shared" si="361"/>
        <v>84</v>
      </c>
      <c r="BX104" s="811"/>
      <c r="BY104" s="394">
        <v>14</v>
      </c>
      <c r="BZ104" s="785">
        <v>14</v>
      </c>
      <c r="CA104" s="396"/>
      <c r="CB104" s="400">
        <f t="shared" si="401"/>
        <v>0</v>
      </c>
      <c r="CC104" s="561">
        <f t="shared" si="395"/>
        <v>0</v>
      </c>
      <c r="CD104" s="398"/>
      <c r="CE104" s="399"/>
      <c r="CF104" s="399"/>
      <c r="CG104" s="379">
        <f t="shared" si="369"/>
        <v>0</v>
      </c>
      <c r="CH104" s="379">
        <f t="shared" si="242"/>
        <v>0</v>
      </c>
      <c r="CI104" s="379">
        <f t="shared" si="320"/>
        <v>0.16</v>
      </c>
      <c r="CJ104" s="812">
        <f t="shared" si="370"/>
        <v>0</v>
      </c>
      <c r="CK104" s="590">
        <f t="shared" si="321"/>
        <v>3.8400000000000012</v>
      </c>
      <c r="CL104" s="827">
        <f t="shared" si="243"/>
        <v>0</v>
      </c>
      <c r="CM104" s="640"/>
      <c r="CN104" s="379">
        <f t="shared" si="322"/>
        <v>64</v>
      </c>
      <c r="CO104" s="813">
        <f t="shared" si="323"/>
        <v>0</v>
      </c>
      <c r="CP104" s="472">
        <f t="shared" si="427"/>
        <v>0</v>
      </c>
      <c r="CQ104" s="386">
        <f t="shared" si="324"/>
        <v>1065</v>
      </c>
      <c r="CR104" s="399"/>
      <c r="CS104" s="402">
        <f t="shared" si="402"/>
        <v>1065</v>
      </c>
      <c r="CT104" s="414">
        <f t="shared" si="325"/>
        <v>84</v>
      </c>
      <c r="CU104" s="399"/>
      <c r="CV104" s="402">
        <f t="shared" si="362"/>
        <v>84</v>
      </c>
      <c r="CW104" s="811"/>
      <c r="CX104" s="394">
        <v>14</v>
      </c>
      <c r="CY104" s="785">
        <v>14</v>
      </c>
      <c r="CZ104" s="396"/>
      <c r="DA104" s="400">
        <f t="shared" si="403"/>
        <v>0</v>
      </c>
      <c r="DB104" s="561">
        <f t="shared" si="396"/>
        <v>0</v>
      </c>
      <c r="DC104" s="398"/>
      <c r="DD104" s="399"/>
      <c r="DE104" s="399"/>
      <c r="DF104" s="379">
        <f t="shared" si="371"/>
        <v>0</v>
      </c>
      <c r="DG104" s="379">
        <f t="shared" si="244"/>
        <v>0</v>
      </c>
      <c r="DH104" s="379">
        <f t="shared" si="326"/>
        <v>0.16</v>
      </c>
      <c r="DI104" s="812">
        <f t="shared" si="372"/>
        <v>0</v>
      </c>
      <c r="DJ104" s="590">
        <f t="shared" si="327"/>
        <v>3.8400000000000012</v>
      </c>
      <c r="DK104" s="827">
        <f t="shared" si="245"/>
        <v>0</v>
      </c>
      <c r="DL104" s="640"/>
      <c r="DM104" s="379">
        <f t="shared" si="328"/>
        <v>64</v>
      </c>
      <c r="DN104" s="813">
        <f t="shared" si="329"/>
        <v>0</v>
      </c>
      <c r="DO104" s="472">
        <f t="shared" si="428"/>
        <v>0</v>
      </c>
      <c r="DP104" s="386">
        <f t="shared" si="330"/>
        <v>1065</v>
      </c>
      <c r="DQ104" s="399"/>
      <c r="DR104" s="402">
        <f t="shared" si="404"/>
        <v>1065</v>
      </c>
      <c r="DS104" s="414">
        <f t="shared" si="331"/>
        <v>84</v>
      </c>
      <c r="DT104" s="399"/>
      <c r="DU104" s="402">
        <f t="shared" si="363"/>
        <v>84</v>
      </c>
      <c r="DV104" s="790"/>
    </row>
    <row r="105" spans="1:126" x14ac:dyDescent="0.25">
      <c r="A105" s="423"/>
      <c r="B105" s="403">
        <f>B104+1</f>
        <v>15</v>
      </c>
      <c r="C105" s="571">
        <f>C104</f>
        <v>14</v>
      </c>
      <c r="D105" s="229"/>
      <c r="E105" s="408">
        <f t="shared" si="334"/>
        <v>171956</v>
      </c>
      <c r="F105" s="562">
        <f t="shared" si="301"/>
        <v>171956</v>
      </c>
      <c r="G105" s="405"/>
      <c r="H105" s="406"/>
      <c r="I105" s="406"/>
      <c r="J105" s="380">
        <f>SUM(G105:I105)</f>
        <v>0</v>
      </c>
      <c r="K105" s="380">
        <f>K104+J105</f>
        <v>4875</v>
      </c>
      <c r="L105" s="380">
        <f t="shared" si="302"/>
        <v>0.16</v>
      </c>
      <c r="M105" s="47">
        <f t="shared" si="358"/>
        <v>0</v>
      </c>
      <c r="N105" s="407">
        <f t="shared" si="303"/>
        <v>3.8400000000000012</v>
      </c>
      <c r="O105" s="159">
        <f t="shared" si="336"/>
        <v>2.7568695534154077</v>
      </c>
      <c r="P105" s="411"/>
      <c r="Q105" s="380">
        <f t="shared" si="304"/>
        <v>64</v>
      </c>
      <c r="R105" s="442">
        <f t="shared" si="305"/>
        <v>0</v>
      </c>
      <c r="S105" s="474">
        <f>S104+R105</f>
        <v>328.79467076367098</v>
      </c>
      <c r="T105" s="182">
        <f t="shared" si="306"/>
        <v>1065</v>
      </c>
      <c r="U105" s="181">
        <f>U104</f>
        <v>0</v>
      </c>
      <c r="V105" s="206">
        <f t="shared" si="339"/>
        <v>1065</v>
      </c>
      <c r="W105" s="385">
        <f t="shared" si="307"/>
        <v>84</v>
      </c>
      <c r="X105" s="181">
        <f>X104</f>
        <v>0</v>
      </c>
      <c r="Y105" s="206">
        <f t="shared" si="341"/>
        <v>84</v>
      </c>
      <c r="Z105" s="487"/>
      <c r="AA105" s="403">
        <f>AA104+1</f>
        <v>15</v>
      </c>
      <c r="AB105" s="571">
        <f>AB104</f>
        <v>14</v>
      </c>
      <c r="AC105" s="229"/>
      <c r="AD105" s="408">
        <f t="shared" si="397"/>
        <v>0</v>
      </c>
      <c r="AE105" s="562">
        <f t="shared" si="393"/>
        <v>0</v>
      </c>
      <c r="AF105" s="405"/>
      <c r="AG105" s="406"/>
      <c r="AH105" s="406"/>
      <c r="AI105" s="380">
        <f>SUM(AF105:AH105)</f>
        <v>0</v>
      </c>
      <c r="AJ105" s="380">
        <f>AJ104+AI105</f>
        <v>0</v>
      </c>
      <c r="AK105" s="380">
        <f t="shared" si="308"/>
        <v>0.16</v>
      </c>
      <c r="AL105" s="47">
        <f t="shared" si="366"/>
        <v>0</v>
      </c>
      <c r="AM105" s="407">
        <f t="shared" si="309"/>
        <v>3.8400000000000012</v>
      </c>
      <c r="AN105" s="159">
        <f t="shared" si="240"/>
        <v>0</v>
      </c>
      <c r="AO105" s="411"/>
      <c r="AP105" s="380">
        <f t="shared" si="310"/>
        <v>64</v>
      </c>
      <c r="AQ105" s="442">
        <f t="shared" si="311"/>
        <v>0</v>
      </c>
      <c r="AR105" s="474">
        <f t="shared" si="425"/>
        <v>0</v>
      </c>
      <c r="AS105" s="182">
        <f t="shared" si="312"/>
        <v>1065</v>
      </c>
      <c r="AT105" s="181">
        <f>AT104</f>
        <v>0</v>
      </c>
      <c r="AU105" s="206">
        <f t="shared" si="398"/>
        <v>1065</v>
      </c>
      <c r="AV105" s="385">
        <f t="shared" si="313"/>
        <v>84</v>
      </c>
      <c r="AW105" s="181">
        <f>AW104</f>
        <v>0</v>
      </c>
      <c r="AX105" s="206">
        <f t="shared" si="360"/>
        <v>84</v>
      </c>
      <c r="AY105" s="412"/>
      <c r="AZ105" s="403">
        <f>AZ104+1</f>
        <v>15</v>
      </c>
      <c r="BA105" s="571">
        <f>BA104</f>
        <v>14</v>
      </c>
      <c r="BB105" s="229"/>
      <c r="BC105" s="408">
        <f t="shared" si="399"/>
        <v>116143</v>
      </c>
      <c r="BD105" s="562">
        <f t="shared" si="394"/>
        <v>116143</v>
      </c>
      <c r="BE105" s="405"/>
      <c r="BF105" s="406"/>
      <c r="BG105" s="406"/>
      <c r="BH105" s="380">
        <f>SUM(BE105:BG105)</f>
        <v>0</v>
      </c>
      <c r="BI105" s="380">
        <f>BI104+BH105</f>
        <v>3926</v>
      </c>
      <c r="BJ105" s="380">
        <f t="shared" si="314"/>
        <v>0.16</v>
      </c>
      <c r="BK105" s="47">
        <f t="shared" si="368"/>
        <v>0</v>
      </c>
      <c r="BL105" s="407">
        <f t="shared" si="315"/>
        <v>3.8400000000000012</v>
      </c>
      <c r="BM105" s="159">
        <f t="shared" si="359"/>
        <v>3.2697865394065078</v>
      </c>
      <c r="BN105" s="411"/>
      <c r="BO105" s="380">
        <f t="shared" si="316"/>
        <v>64</v>
      </c>
      <c r="BP105" s="442">
        <f t="shared" si="317"/>
        <v>0</v>
      </c>
      <c r="BQ105" s="474">
        <f t="shared" si="426"/>
        <v>314.58428346602915</v>
      </c>
      <c r="BR105" s="182">
        <f t="shared" si="318"/>
        <v>1065</v>
      </c>
      <c r="BS105" s="181">
        <f>BS104</f>
        <v>0</v>
      </c>
      <c r="BT105" s="206">
        <f t="shared" si="400"/>
        <v>1065</v>
      </c>
      <c r="BU105" s="385">
        <f t="shared" si="319"/>
        <v>84</v>
      </c>
      <c r="BV105" s="181">
        <f>BV104</f>
        <v>0</v>
      </c>
      <c r="BW105" s="206">
        <f t="shared" si="361"/>
        <v>84</v>
      </c>
      <c r="BX105" s="412"/>
      <c r="BY105" s="403">
        <f>BY104+1</f>
        <v>15</v>
      </c>
      <c r="BZ105" s="571">
        <f>BZ104</f>
        <v>14</v>
      </c>
      <c r="CA105" s="229"/>
      <c r="CB105" s="408">
        <f t="shared" si="401"/>
        <v>0</v>
      </c>
      <c r="CC105" s="562">
        <f t="shared" si="395"/>
        <v>0</v>
      </c>
      <c r="CD105" s="405"/>
      <c r="CE105" s="406"/>
      <c r="CF105" s="406"/>
      <c r="CG105" s="380">
        <f>SUM(CD105:CF105)</f>
        <v>0</v>
      </c>
      <c r="CH105" s="380">
        <f>CH104+CG105</f>
        <v>0</v>
      </c>
      <c r="CI105" s="380">
        <f t="shared" si="320"/>
        <v>0.16</v>
      </c>
      <c r="CJ105" s="47">
        <f t="shared" si="370"/>
        <v>0</v>
      </c>
      <c r="CK105" s="407">
        <f t="shared" si="321"/>
        <v>3.8400000000000012</v>
      </c>
      <c r="CL105" s="159">
        <f t="shared" si="243"/>
        <v>0</v>
      </c>
      <c r="CM105" s="411"/>
      <c r="CN105" s="380">
        <f t="shared" si="322"/>
        <v>64</v>
      </c>
      <c r="CO105" s="442">
        <f t="shared" si="323"/>
        <v>0</v>
      </c>
      <c r="CP105" s="474">
        <f t="shared" si="427"/>
        <v>0</v>
      </c>
      <c r="CQ105" s="182">
        <f t="shared" si="324"/>
        <v>1065</v>
      </c>
      <c r="CR105" s="181">
        <f>CR104</f>
        <v>0</v>
      </c>
      <c r="CS105" s="206">
        <f t="shared" si="402"/>
        <v>1065</v>
      </c>
      <c r="CT105" s="385">
        <f t="shared" si="325"/>
        <v>84</v>
      </c>
      <c r="CU105" s="181">
        <f>CU104</f>
        <v>0</v>
      </c>
      <c r="CV105" s="206">
        <f t="shared" si="362"/>
        <v>84</v>
      </c>
      <c r="CW105" s="412"/>
      <c r="CX105" s="403">
        <f>CX104+1</f>
        <v>15</v>
      </c>
      <c r="CY105" s="571">
        <f>CY104</f>
        <v>14</v>
      </c>
      <c r="CZ105" s="229"/>
      <c r="DA105" s="408">
        <f t="shared" si="403"/>
        <v>0</v>
      </c>
      <c r="DB105" s="562">
        <f t="shared" si="396"/>
        <v>0</v>
      </c>
      <c r="DC105" s="405"/>
      <c r="DD105" s="406"/>
      <c r="DE105" s="406"/>
      <c r="DF105" s="380">
        <f>SUM(DC105:DE105)</f>
        <v>0</v>
      </c>
      <c r="DG105" s="380">
        <f>DG104+DF105</f>
        <v>0</v>
      </c>
      <c r="DH105" s="380">
        <f t="shared" si="326"/>
        <v>0.16</v>
      </c>
      <c r="DI105" s="47">
        <f t="shared" si="372"/>
        <v>0</v>
      </c>
      <c r="DJ105" s="407">
        <f t="shared" si="327"/>
        <v>3.8400000000000012</v>
      </c>
      <c r="DK105" s="159">
        <f t="shared" si="245"/>
        <v>0</v>
      </c>
      <c r="DL105" s="411"/>
      <c r="DM105" s="380">
        <f t="shared" si="328"/>
        <v>64</v>
      </c>
      <c r="DN105" s="442">
        <f t="shared" si="329"/>
        <v>0</v>
      </c>
      <c r="DO105" s="474">
        <f t="shared" si="428"/>
        <v>0</v>
      </c>
      <c r="DP105" s="182">
        <f t="shared" si="330"/>
        <v>1065</v>
      </c>
      <c r="DQ105" s="181">
        <f>DQ104</f>
        <v>0</v>
      </c>
      <c r="DR105" s="206">
        <f t="shared" si="404"/>
        <v>1065</v>
      </c>
      <c r="DS105" s="385">
        <f t="shared" si="331"/>
        <v>84</v>
      </c>
      <c r="DT105" s="181">
        <f>DT104</f>
        <v>0</v>
      </c>
      <c r="DU105" s="206">
        <f t="shared" si="363"/>
        <v>84</v>
      </c>
    </row>
    <row r="106" spans="1:126" x14ac:dyDescent="0.25">
      <c r="B106" s="120">
        <f>B105+1</f>
        <v>16</v>
      </c>
      <c r="C106" s="570">
        <f t="shared" ref="C106:C110" si="469">C105</f>
        <v>14</v>
      </c>
      <c r="D106" s="133"/>
      <c r="E106" s="408">
        <f t="shared" si="334"/>
        <v>171956</v>
      </c>
      <c r="F106" s="562">
        <f t="shared" si="301"/>
        <v>171956</v>
      </c>
      <c r="G106" s="134"/>
      <c r="H106" s="135"/>
      <c r="I106" s="135"/>
      <c r="J106" s="14">
        <f t="shared" si="364"/>
        <v>0</v>
      </c>
      <c r="K106" s="14">
        <f>K105+J106</f>
        <v>4875</v>
      </c>
      <c r="L106" s="14">
        <f t="shared" si="302"/>
        <v>0.16</v>
      </c>
      <c r="M106" s="47">
        <f t="shared" si="358"/>
        <v>0</v>
      </c>
      <c r="N106" s="35">
        <f t="shared" si="303"/>
        <v>3.8400000000000012</v>
      </c>
      <c r="O106" s="159">
        <f t="shared" si="336"/>
        <v>2.7568695534154077</v>
      </c>
      <c r="P106" s="142"/>
      <c r="Q106" s="14">
        <f t="shared" si="304"/>
        <v>64</v>
      </c>
      <c r="R106" s="480">
        <f t="shared" si="305"/>
        <v>0</v>
      </c>
      <c r="S106" s="470">
        <f>S105+R106</f>
        <v>328.79467076367098</v>
      </c>
      <c r="T106" s="51">
        <f t="shared" si="306"/>
        <v>1065</v>
      </c>
      <c r="U106" s="181">
        <f t="shared" ref="U106:U110" si="470">U105</f>
        <v>0</v>
      </c>
      <c r="V106" s="46">
        <f t="shared" si="339"/>
        <v>1065</v>
      </c>
      <c r="W106" s="51">
        <f t="shared" si="307"/>
        <v>84</v>
      </c>
      <c r="X106" s="181">
        <f t="shared" ref="X106:X110" si="471">X105</f>
        <v>0</v>
      </c>
      <c r="Y106" s="46">
        <f t="shared" si="341"/>
        <v>84</v>
      </c>
      <c r="Z106" s="487"/>
      <c r="AA106" s="120">
        <f>AA105+1</f>
        <v>16</v>
      </c>
      <c r="AB106" s="570">
        <f t="shared" ref="AB106:AB110" si="472">AB105</f>
        <v>14</v>
      </c>
      <c r="AC106" s="133"/>
      <c r="AD106" s="408">
        <f t="shared" si="397"/>
        <v>0</v>
      </c>
      <c r="AE106" s="562">
        <f t="shared" si="393"/>
        <v>0</v>
      </c>
      <c r="AF106" s="134"/>
      <c r="AG106" s="135"/>
      <c r="AH106" s="135"/>
      <c r="AI106" s="14">
        <f t="shared" ref="AI106:AI131" si="473">SUM(AF106:AH106)</f>
        <v>0</v>
      </c>
      <c r="AJ106" s="14">
        <f>AJ105+AI106</f>
        <v>0</v>
      </c>
      <c r="AK106" s="14">
        <f t="shared" si="308"/>
        <v>0.16</v>
      </c>
      <c r="AL106" s="47">
        <f t="shared" si="366"/>
        <v>0</v>
      </c>
      <c r="AM106" s="35">
        <f t="shared" si="309"/>
        <v>3.8400000000000012</v>
      </c>
      <c r="AN106" s="159">
        <f t="shared" si="240"/>
        <v>0</v>
      </c>
      <c r="AO106" s="142"/>
      <c r="AP106" s="14">
        <f t="shared" si="310"/>
        <v>64</v>
      </c>
      <c r="AQ106" s="480">
        <f t="shared" si="311"/>
        <v>0</v>
      </c>
      <c r="AR106" s="470">
        <f t="shared" si="425"/>
        <v>0</v>
      </c>
      <c r="AS106" s="51">
        <f t="shared" si="312"/>
        <v>1065</v>
      </c>
      <c r="AT106" s="181">
        <f t="shared" ref="AT106:AT110" si="474">AT105</f>
        <v>0</v>
      </c>
      <c r="AU106" s="46">
        <f t="shared" si="398"/>
        <v>1065</v>
      </c>
      <c r="AV106" s="51">
        <f t="shared" si="313"/>
        <v>84</v>
      </c>
      <c r="AW106" s="181">
        <f t="shared" ref="AW106:AW110" si="475">AW105</f>
        <v>0</v>
      </c>
      <c r="AX106" s="46">
        <f t="shared" si="360"/>
        <v>84</v>
      </c>
      <c r="AZ106" s="120">
        <f>AZ105+1</f>
        <v>16</v>
      </c>
      <c r="BA106" s="570">
        <f t="shared" ref="BA106:BA110" si="476">BA105</f>
        <v>14</v>
      </c>
      <c r="BB106" s="133"/>
      <c r="BC106" s="408">
        <f t="shared" si="399"/>
        <v>116143</v>
      </c>
      <c r="BD106" s="562">
        <f t="shared" si="394"/>
        <v>116143</v>
      </c>
      <c r="BE106" s="134"/>
      <c r="BF106" s="135"/>
      <c r="BG106" s="135"/>
      <c r="BH106" s="14">
        <f t="shared" ref="BH106:BH131" si="477">SUM(BE106:BG106)</f>
        <v>0</v>
      </c>
      <c r="BI106" s="14">
        <f>BI105+BH106</f>
        <v>3926</v>
      </c>
      <c r="BJ106" s="14">
        <f t="shared" si="314"/>
        <v>0.16</v>
      </c>
      <c r="BK106" s="47">
        <f t="shared" si="368"/>
        <v>0</v>
      </c>
      <c r="BL106" s="35">
        <f t="shared" si="315"/>
        <v>3.8400000000000012</v>
      </c>
      <c r="BM106" s="159">
        <f t="shared" si="359"/>
        <v>3.2697865394065078</v>
      </c>
      <c r="BN106" s="142"/>
      <c r="BO106" s="14">
        <f t="shared" si="316"/>
        <v>64</v>
      </c>
      <c r="BP106" s="480">
        <f t="shared" si="317"/>
        <v>0</v>
      </c>
      <c r="BQ106" s="470">
        <f t="shared" si="426"/>
        <v>314.58428346602915</v>
      </c>
      <c r="BR106" s="51">
        <f t="shared" si="318"/>
        <v>1065</v>
      </c>
      <c r="BS106" s="181">
        <f t="shared" ref="BS106:BS110" si="478">BS105</f>
        <v>0</v>
      </c>
      <c r="BT106" s="46">
        <f t="shared" si="400"/>
        <v>1065</v>
      </c>
      <c r="BU106" s="51">
        <f t="shared" si="319"/>
        <v>84</v>
      </c>
      <c r="BV106" s="181">
        <f t="shared" ref="BV106:BV110" si="479">BV105</f>
        <v>0</v>
      </c>
      <c r="BW106" s="46">
        <f t="shared" si="361"/>
        <v>84</v>
      </c>
      <c r="BY106" s="120">
        <f>BY105+1</f>
        <v>16</v>
      </c>
      <c r="BZ106" s="570">
        <f t="shared" ref="BZ106:BZ110" si="480">BZ105</f>
        <v>14</v>
      </c>
      <c r="CA106" s="133"/>
      <c r="CB106" s="408">
        <f t="shared" si="401"/>
        <v>0</v>
      </c>
      <c r="CC106" s="562">
        <f t="shared" si="395"/>
        <v>0</v>
      </c>
      <c r="CD106" s="134"/>
      <c r="CE106" s="135"/>
      <c r="CF106" s="135"/>
      <c r="CG106" s="14">
        <f t="shared" ref="CG106:CG131" si="481">SUM(CD106:CF106)</f>
        <v>0</v>
      </c>
      <c r="CH106" s="14">
        <f>CH105+CG106</f>
        <v>0</v>
      </c>
      <c r="CI106" s="14">
        <f t="shared" si="320"/>
        <v>0.16</v>
      </c>
      <c r="CJ106" s="47">
        <f t="shared" si="370"/>
        <v>0</v>
      </c>
      <c r="CK106" s="35">
        <f t="shared" si="321"/>
        <v>3.8400000000000012</v>
      </c>
      <c r="CL106" s="159">
        <f t="shared" si="243"/>
        <v>0</v>
      </c>
      <c r="CM106" s="142"/>
      <c r="CN106" s="14">
        <f t="shared" si="322"/>
        <v>64</v>
      </c>
      <c r="CO106" s="480">
        <f t="shared" si="323"/>
        <v>0</v>
      </c>
      <c r="CP106" s="470">
        <f t="shared" si="427"/>
        <v>0</v>
      </c>
      <c r="CQ106" s="51">
        <f t="shared" si="324"/>
        <v>1065</v>
      </c>
      <c r="CR106" s="181">
        <f t="shared" ref="CR106:CR110" si="482">CR105</f>
        <v>0</v>
      </c>
      <c r="CS106" s="46">
        <f t="shared" si="402"/>
        <v>1065</v>
      </c>
      <c r="CT106" s="51">
        <f t="shared" si="325"/>
        <v>84</v>
      </c>
      <c r="CU106" s="181">
        <f t="shared" ref="CU106:CU110" si="483">CU105</f>
        <v>0</v>
      </c>
      <c r="CV106" s="46">
        <f t="shared" si="362"/>
        <v>84</v>
      </c>
      <c r="CX106" s="120">
        <f>CX105+1</f>
        <v>16</v>
      </c>
      <c r="CY106" s="570">
        <f t="shared" ref="CY106:CY110" si="484">CY105</f>
        <v>14</v>
      </c>
      <c r="CZ106" s="133"/>
      <c r="DA106" s="408">
        <f t="shared" si="403"/>
        <v>0</v>
      </c>
      <c r="DB106" s="562">
        <f t="shared" si="396"/>
        <v>0</v>
      </c>
      <c r="DC106" s="134"/>
      <c r="DD106" s="135"/>
      <c r="DE106" s="135"/>
      <c r="DF106" s="14">
        <f t="shared" ref="DF106:DF131" si="485">SUM(DC106:DE106)</f>
        <v>0</v>
      </c>
      <c r="DG106" s="14">
        <f>DG105+DF106</f>
        <v>0</v>
      </c>
      <c r="DH106" s="14">
        <f t="shared" si="326"/>
        <v>0.16</v>
      </c>
      <c r="DI106" s="47">
        <f t="shared" si="372"/>
        <v>0</v>
      </c>
      <c r="DJ106" s="35">
        <f t="shared" si="327"/>
        <v>3.8400000000000012</v>
      </c>
      <c r="DK106" s="159">
        <f t="shared" si="245"/>
        <v>0</v>
      </c>
      <c r="DL106" s="142"/>
      <c r="DM106" s="14">
        <f t="shared" si="328"/>
        <v>64</v>
      </c>
      <c r="DN106" s="480">
        <f t="shared" si="329"/>
        <v>0</v>
      </c>
      <c r="DO106" s="470">
        <f t="shared" si="428"/>
        <v>0</v>
      </c>
      <c r="DP106" s="51">
        <f t="shared" si="330"/>
        <v>1065</v>
      </c>
      <c r="DQ106" s="181">
        <f t="shared" ref="DQ106:DQ110" si="486">DQ105</f>
        <v>0</v>
      </c>
      <c r="DR106" s="46">
        <f t="shared" si="404"/>
        <v>1065</v>
      </c>
      <c r="DS106" s="51">
        <f t="shared" si="331"/>
        <v>84</v>
      </c>
      <c r="DT106" s="181">
        <f t="shared" ref="DT106:DT110" si="487">DT105</f>
        <v>0</v>
      </c>
      <c r="DU106" s="46">
        <f t="shared" si="363"/>
        <v>84</v>
      </c>
    </row>
    <row r="107" spans="1:126" x14ac:dyDescent="0.25">
      <c r="B107" s="120">
        <f t="shared" ref="B107:B110" si="488">B106+1</f>
        <v>17</v>
      </c>
      <c r="C107" s="570">
        <f t="shared" si="469"/>
        <v>14</v>
      </c>
      <c r="D107" s="229"/>
      <c r="E107" s="408">
        <f t="shared" si="334"/>
        <v>171956</v>
      </c>
      <c r="F107" s="562">
        <f t="shared" si="301"/>
        <v>171956</v>
      </c>
      <c r="G107" s="134"/>
      <c r="H107" s="135"/>
      <c r="I107" s="135"/>
      <c r="J107" s="14">
        <f t="shared" si="364"/>
        <v>0</v>
      </c>
      <c r="K107" s="14">
        <f t="shared" si="335"/>
        <v>4875</v>
      </c>
      <c r="L107" s="14">
        <f t="shared" si="302"/>
        <v>0.16</v>
      </c>
      <c r="M107" s="47">
        <f t="shared" si="358"/>
        <v>0</v>
      </c>
      <c r="N107" s="35">
        <f t="shared" si="303"/>
        <v>3.8400000000000012</v>
      </c>
      <c r="O107" s="159">
        <f t="shared" si="336"/>
        <v>2.7568695534154077</v>
      </c>
      <c r="P107" s="142"/>
      <c r="Q107" s="14">
        <f t="shared" si="304"/>
        <v>64</v>
      </c>
      <c r="R107" s="482">
        <f t="shared" si="305"/>
        <v>0</v>
      </c>
      <c r="S107" s="470">
        <f t="shared" si="337"/>
        <v>328.79467076367098</v>
      </c>
      <c r="T107" s="51">
        <f t="shared" si="306"/>
        <v>1065</v>
      </c>
      <c r="U107" s="181">
        <f t="shared" si="470"/>
        <v>0</v>
      </c>
      <c r="V107" s="46">
        <f t="shared" si="339"/>
        <v>1065</v>
      </c>
      <c r="W107" s="12">
        <f t="shared" si="307"/>
        <v>84</v>
      </c>
      <c r="X107" s="181">
        <f t="shared" si="471"/>
        <v>0</v>
      </c>
      <c r="Y107" s="46">
        <f t="shared" si="341"/>
        <v>84</v>
      </c>
      <c r="Z107" s="487"/>
      <c r="AA107" s="120">
        <f t="shared" ref="AA107:AA110" si="489">AA106+1</f>
        <v>17</v>
      </c>
      <c r="AB107" s="570">
        <f t="shared" si="472"/>
        <v>14</v>
      </c>
      <c r="AC107" s="229"/>
      <c r="AD107" s="408">
        <f t="shared" si="397"/>
        <v>0</v>
      </c>
      <c r="AE107" s="562">
        <f t="shared" si="393"/>
        <v>0</v>
      </c>
      <c r="AF107" s="134"/>
      <c r="AG107" s="135"/>
      <c r="AH107" s="135"/>
      <c r="AI107" s="14">
        <f t="shared" si="473"/>
        <v>0</v>
      </c>
      <c r="AJ107" s="14">
        <f t="shared" ref="AJ107:AJ138" si="490">AJ106+AI107</f>
        <v>0</v>
      </c>
      <c r="AK107" s="14">
        <f t="shared" si="308"/>
        <v>0.16</v>
      </c>
      <c r="AL107" s="47">
        <f t="shared" si="366"/>
        <v>0</v>
      </c>
      <c r="AM107" s="35">
        <f t="shared" si="309"/>
        <v>3.8400000000000012</v>
      </c>
      <c r="AN107" s="159">
        <f t="shared" si="240"/>
        <v>0</v>
      </c>
      <c r="AO107" s="142"/>
      <c r="AP107" s="14">
        <f t="shared" si="310"/>
        <v>64</v>
      </c>
      <c r="AQ107" s="482">
        <f t="shared" si="311"/>
        <v>0</v>
      </c>
      <c r="AR107" s="470">
        <f t="shared" si="425"/>
        <v>0</v>
      </c>
      <c r="AS107" s="51">
        <f t="shared" si="312"/>
        <v>1065</v>
      </c>
      <c r="AT107" s="181">
        <f t="shared" si="474"/>
        <v>0</v>
      </c>
      <c r="AU107" s="46">
        <f t="shared" si="398"/>
        <v>1065</v>
      </c>
      <c r="AV107" s="12">
        <f t="shared" si="313"/>
        <v>84</v>
      </c>
      <c r="AW107" s="181">
        <f t="shared" si="475"/>
        <v>0</v>
      </c>
      <c r="AX107" s="46">
        <f t="shared" si="360"/>
        <v>84</v>
      </c>
      <c r="AZ107" s="120">
        <f t="shared" ref="AZ107:AZ110" si="491">AZ106+1</f>
        <v>17</v>
      </c>
      <c r="BA107" s="570">
        <f t="shared" si="476"/>
        <v>14</v>
      </c>
      <c r="BB107" s="229"/>
      <c r="BC107" s="408">
        <f t="shared" si="399"/>
        <v>116143</v>
      </c>
      <c r="BD107" s="562">
        <f t="shared" si="394"/>
        <v>116143</v>
      </c>
      <c r="BE107" s="134"/>
      <c r="BF107" s="135"/>
      <c r="BG107" s="135"/>
      <c r="BH107" s="14">
        <f t="shared" si="477"/>
        <v>0</v>
      </c>
      <c r="BI107" s="14">
        <f t="shared" ref="BI107:BI138" si="492">BI106+BH107</f>
        <v>3926</v>
      </c>
      <c r="BJ107" s="14">
        <f t="shared" si="314"/>
        <v>0.16</v>
      </c>
      <c r="BK107" s="47">
        <f t="shared" si="368"/>
        <v>0</v>
      </c>
      <c r="BL107" s="35">
        <f t="shared" si="315"/>
        <v>3.8400000000000012</v>
      </c>
      <c r="BM107" s="159">
        <f t="shared" si="359"/>
        <v>3.2697865394065078</v>
      </c>
      <c r="BN107" s="142"/>
      <c r="BO107" s="14">
        <f t="shared" si="316"/>
        <v>64</v>
      </c>
      <c r="BP107" s="482">
        <f t="shared" si="317"/>
        <v>0</v>
      </c>
      <c r="BQ107" s="470">
        <f t="shared" si="426"/>
        <v>314.58428346602915</v>
      </c>
      <c r="BR107" s="51">
        <f t="shared" si="318"/>
        <v>1065</v>
      </c>
      <c r="BS107" s="181">
        <f t="shared" si="478"/>
        <v>0</v>
      </c>
      <c r="BT107" s="46">
        <f t="shared" si="400"/>
        <v>1065</v>
      </c>
      <c r="BU107" s="12">
        <f t="shared" si="319"/>
        <v>84</v>
      </c>
      <c r="BV107" s="181">
        <f t="shared" si="479"/>
        <v>0</v>
      </c>
      <c r="BW107" s="46">
        <f t="shared" si="361"/>
        <v>84</v>
      </c>
      <c r="BY107" s="120">
        <f t="shared" ref="BY107:BY110" si="493">BY106+1</f>
        <v>17</v>
      </c>
      <c r="BZ107" s="570">
        <f t="shared" si="480"/>
        <v>14</v>
      </c>
      <c r="CA107" s="229"/>
      <c r="CB107" s="408">
        <f t="shared" si="401"/>
        <v>0</v>
      </c>
      <c r="CC107" s="562">
        <f t="shared" si="395"/>
        <v>0</v>
      </c>
      <c r="CD107" s="134"/>
      <c r="CE107" s="135"/>
      <c r="CF107" s="135"/>
      <c r="CG107" s="14">
        <f t="shared" si="481"/>
        <v>0</v>
      </c>
      <c r="CH107" s="14">
        <f t="shared" ref="CH107:CH138" si="494">CH106+CG107</f>
        <v>0</v>
      </c>
      <c r="CI107" s="14">
        <f t="shared" si="320"/>
        <v>0.16</v>
      </c>
      <c r="CJ107" s="47">
        <f t="shared" si="370"/>
        <v>0</v>
      </c>
      <c r="CK107" s="35">
        <f t="shared" si="321"/>
        <v>3.8400000000000012</v>
      </c>
      <c r="CL107" s="159">
        <f t="shared" si="243"/>
        <v>0</v>
      </c>
      <c r="CM107" s="142"/>
      <c r="CN107" s="14">
        <f t="shared" si="322"/>
        <v>64</v>
      </c>
      <c r="CO107" s="482">
        <f t="shared" si="323"/>
        <v>0</v>
      </c>
      <c r="CP107" s="470">
        <f t="shared" si="427"/>
        <v>0</v>
      </c>
      <c r="CQ107" s="51">
        <f t="shared" si="324"/>
        <v>1065</v>
      </c>
      <c r="CR107" s="181">
        <f t="shared" si="482"/>
        <v>0</v>
      </c>
      <c r="CS107" s="46">
        <f t="shared" si="402"/>
        <v>1065</v>
      </c>
      <c r="CT107" s="12">
        <f t="shared" si="325"/>
        <v>84</v>
      </c>
      <c r="CU107" s="181">
        <f t="shared" si="483"/>
        <v>0</v>
      </c>
      <c r="CV107" s="46">
        <f t="shared" si="362"/>
        <v>84</v>
      </c>
      <c r="CX107" s="120">
        <f t="shared" ref="CX107:CX110" si="495">CX106+1</f>
        <v>17</v>
      </c>
      <c r="CY107" s="570">
        <f t="shared" si="484"/>
        <v>14</v>
      </c>
      <c r="CZ107" s="229"/>
      <c r="DA107" s="408">
        <f t="shared" si="403"/>
        <v>0</v>
      </c>
      <c r="DB107" s="562">
        <f t="shared" si="396"/>
        <v>0</v>
      </c>
      <c r="DC107" s="134"/>
      <c r="DD107" s="135"/>
      <c r="DE107" s="135"/>
      <c r="DF107" s="14">
        <f t="shared" si="485"/>
        <v>0</v>
      </c>
      <c r="DG107" s="14">
        <f t="shared" ref="DG107:DG138" si="496">DG106+DF107</f>
        <v>0</v>
      </c>
      <c r="DH107" s="14">
        <f t="shared" si="326"/>
        <v>0.16</v>
      </c>
      <c r="DI107" s="47">
        <f t="shared" si="372"/>
        <v>0</v>
      </c>
      <c r="DJ107" s="35">
        <f t="shared" si="327"/>
        <v>3.8400000000000012</v>
      </c>
      <c r="DK107" s="159">
        <f t="shared" si="245"/>
        <v>0</v>
      </c>
      <c r="DL107" s="142"/>
      <c r="DM107" s="14">
        <f t="shared" si="328"/>
        <v>64</v>
      </c>
      <c r="DN107" s="482">
        <f t="shared" si="329"/>
        <v>0</v>
      </c>
      <c r="DO107" s="470">
        <f t="shared" si="428"/>
        <v>0</v>
      </c>
      <c r="DP107" s="51">
        <f t="shared" si="330"/>
        <v>1065</v>
      </c>
      <c r="DQ107" s="181">
        <f t="shared" si="486"/>
        <v>0</v>
      </c>
      <c r="DR107" s="46">
        <f t="shared" si="404"/>
        <v>1065</v>
      </c>
      <c r="DS107" s="12">
        <f t="shared" si="331"/>
        <v>84</v>
      </c>
      <c r="DT107" s="181">
        <f t="shared" si="487"/>
        <v>0</v>
      </c>
      <c r="DU107" s="46">
        <f t="shared" si="363"/>
        <v>84</v>
      </c>
    </row>
    <row r="108" spans="1:126" x14ac:dyDescent="0.25">
      <c r="B108" s="120">
        <f t="shared" si="488"/>
        <v>18</v>
      </c>
      <c r="C108" s="570">
        <f t="shared" si="469"/>
        <v>14</v>
      </c>
      <c r="D108" s="133"/>
      <c r="E108" s="408">
        <f t="shared" si="334"/>
        <v>171956</v>
      </c>
      <c r="F108" s="562">
        <f t="shared" si="301"/>
        <v>171956</v>
      </c>
      <c r="G108" s="134"/>
      <c r="H108" s="135"/>
      <c r="I108" s="135"/>
      <c r="J108" s="14">
        <f t="shared" si="364"/>
        <v>0</v>
      </c>
      <c r="K108" s="14">
        <f t="shared" si="335"/>
        <v>4875</v>
      </c>
      <c r="L108" s="14">
        <f t="shared" si="302"/>
        <v>0.16</v>
      </c>
      <c r="M108" s="47">
        <f t="shared" si="358"/>
        <v>0</v>
      </c>
      <c r="N108" s="35">
        <f t="shared" si="303"/>
        <v>3.8400000000000012</v>
      </c>
      <c r="O108" s="159">
        <f t="shared" si="336"/>
        <v>2.7568695534154077</v>
      </c>
      <c r="P108" s="142"/>
      <c r="Q108" s="14">
        <f t="shared" si="304"/>
        <v>64</v>
      </c>
      <c r="R108" s="482">
        <f t="shared" si="305"/>
        <v>0</v>
      </c>
      <c r="S108" s="470">
        <f>S107+R108</f>
        <v>328.79467076367098</v>
      </c>
      <c r="T108" s="51">
        <f t="shared" si="306"/>
        <v>1065</v>
      </c>
      <c r="U108" s="181">
        <f t="shared" si="470"/>
        <v>0</v>
      </c>
      <c r="V108" s="46">
        <f t="shared" si="339"/>
        <v>1065</v>
      </c>
      <c r="W108" s="50">
        <f t="shared" si="307"/>
        <v>84</v>
      </c>
      <c r="X108" s="181">
        <f t="shared" si="471"/>
        <v>0</v>
      </c>
      <c r="Y108" s="46">
        <f t="shared" si="341"/>
        <v>84</v>
      </c>
      <c r="Z108" s="487"/>
      <c r="AA108" s="120">
        <f t="shared" si="489"/>
        <v>18</v>
      </c>
      <c r="AB108" s="570">
        <f t="shared" si="472"/>
        <v>14</v>
      </c>
      <c r="AC108" s="133"/>
      <c r="AD108" s="408">
        <f t="shared" si="397"/>
        <v>0</v>
      </c>
      <c r="AE108" s="562">
        <f t="shared" si="393"/>
        <v>0</v>
      </c>
      <c r="AF108" s="134"/>
      <c r="AG108" s="135"/>
      <c r="AH108" s="135"/>
      <c r="AI108" s="14">
        <f t="shared" si="473"/>
        <v>0</v>
      </c>
      <c r="AJ108" s="14">
        <f t="shared" si="490"/>
        <v>0</v>
      </c>
      <c r="AK108" s="14">
        <f t="shared" si="308"/>
        <v>0.16</v>
      </c>
      <c r="AL108" s="47">
        <f t="shared" si="366"/>
        <v>0</v>
      </c>
      <c r="AM108" s="35">
        <f t="shared" si="309"/>
        <v>3.8400000000000012</v>
      </c>
      <c r="AN108" s="159">
        <f t="shared" si="240"/>
        <v>0</v>
      </c>
      <c r="AO108" s="142"/>
      <c r="AP108" s="14">
        <f t="shared" si="310"/>
        <v>64</v>
      </c>
      <c r="AQ108" s="482">
        <f t="shared" si="311"/>
        <v>0</v>
      </c>
      <c r="AR108" s="470">
        <f t="shared" si="425"/>
        <v>0</v>
      </c>
      <c r="AS108" s="51">
        <f t="shared" si="312"/>
        <v>1065</v>
      </c>
      <c r="AT108" s="181">
        <f t="shared" si="474"/>
        <v>0</v>
      </c>
      <c r="AU108" s="46">
        <f t="shared" si="398"/>
        <v>1065</v>
      </c>
      <c r="AV108" s="50">
        <f t="shared" si="313"/>
        <v>84</v>
      </c>
      <c r="AW108" s="181">
        <f t="shared" si="475"/>
        <v>0</v>
      </c>
      <c r="AX108" s="46">
        <f t="shared" si="360"/>
        <v>84</v>
      </c>
      <c r="AZ108" s="120">
        <f t="shared" si="491"/>
        <v>18</v>
      </c>
      <c r="BA108" s="570">
        <f t="shared" si="476"/>
        <v>14</v>
      </c>
      <c r="BB108" s="133"/>
      <c r="BC108" s="408">
        <f t="shared" si="399"/>
        <v>116143</v>
      </c>
      <c r="BD108" s="562">
        <f t="shared" si="394"/>
        <v>116143</v>
      </c>
      <c r="BE108" s="134"/>
      <c r="BF108" s="135"/>
      <c r="BG108" s="135"/>
      <c r="BH108" s="14">
        <f t="shared" si="477"/>
        <v>0</v>
      </c>
      <c r="BI108" s="14">
        <f t="shared" si="492"/>
        <v>3926</v>
      </c>
      <c r="BJ108" s="14">
        <f t="shared" si="314"/>
        <v>0.16</v>
      </c>
      <c r="BK108" s="47">
        <f t="shared" si="368"/>
        <v>0</v>
      </c>
      <c r="BL108" s="35">
        <f t="shared" si="315"/>
        <v>3.8400000000000012</v>
      </c>
      <c r="BM108" s="159">
        <f t="shared" si="359"/>
        <v>3.2697865394065078</v>
      </c>
      <c r="BN108" s="142"/>
      <c r="BO108" s="14">
        <f t="shared" si="316"/>
        <v>64</v>
      </c>
      <c r="BP108" s="482">
        <f t="shared" si="317"/>
        <v>0</v>
      </c>
      <c r="BQ108" s="470">
        <f t="shared" si="426"/>
        <v>314.58428346602915</v>
      </c>
      <c r="BR108" s="51">
        <f t="shared" si="318"/>
        <v>1065</v>
      </c>
      <c r="BS108" s="181">
        <f t="shared" si="478"/>
        <v>0</v>
      </c>
      <c r="BT108" s="46">
        <f t="shared" si="400"/>
        <v>1065</v>
      </c>
      <c r="BU108" s="50">
        <f t="shared" si="319"/>
        <v>84</v>
      </c>
      <c r="BV108" s="181">
        <f t="shared" si="479"/>
        <v>0</v>
      </c>
      <c r="BW108" s="46">
        <f t="shared" si="361"/>
        <v>84</v>
      </c>
      <c r="BY108" s="120">
        <f t="shared" si="493"/>
        <v>18</v>
      </c>
      <c r="BZ108" s="570">
        <f t="shared" si="480"/>
        <v>14</v>
      </c>
      <c r="CA108" s="133"/>
      <c r="CB108" s="408">
        <f t="shared" si="401"/>
        <v>0</v>
      </c>
      <c r="CC108" s="562">
        <f t="shared" si="395"/>
        <v>0</v>
      </c>
      <c r="CD108" s="134"/>
      <c r="CE108" s="135"/>
      <c r="CF108" s="135"/>
      <c r="CG108" s="14">
        <f t="shared" si="481"/>
        <v>0</v>
      </c>
      <c r="CH108" s="14">
        <f t="shared" si="494"/>
        <v>0</v>
      </c>
      <c r="CI108" s="14">
        <f t="shared" si="320"/>
        <v>0.16</v>
      </c>
      <c r="CJ108" s="47">
        <f t="shared" si="370"/>
        <v>0</v>
      </c>
      <c r="CK108" s="35">
        <f t="shared" si="321"/>
        <v>3.8400000000000012</v>
      </c>
      <c r="CL108" s="159">
        <f t="shared" si="243"/>
        <v>0</v>
      </c>
      <c r="CM108" s="142"/>
      <c r="CN108" s="14">
        <f t="shared" si="322"/>
        <v>64</v>
      </c>
      <c r="CO108" s="482">
        <f t="shared" si="323"/>
        <v>0</v>
      </c>
      <c r="CP108" s="470">
        <f t="shared" si="427"/>
        <v>0</v>
      </c>
      <c r="CQ108" s="51">
        <f t="shared" si="324"/>
        <v>1065</v>
      </c>
      <c r="CR108" s="181">
        <f t="shared" si="482"/>
        <v>0</v>
      </c>
      <c r="CS108" s="46">
        <f t="shared" si="402"/>
        <v>1065</v>
      </c>
      <c r="CT108" s="50">
        <f t="shared" si="325"/>
        <v>84</v>
      </c>
      <c r="CU108" s="181">
        <f t="shared" si="483"/>
        <v>0</v>
      </c>
      <c r="CV108" s="46">
        <f t="shared" si="362"/>
        <v>84</v>
      </c>
      <c r="CX108" s="120">
        <f t="shared" si="495"/>
        <v>18</v>
      </c>
      <c r="CY108" s="570">
        <f t="shared" si="484"/>
        <v>14</v>
      </c>
      <c r="CZ108" s="133"/>
      <c r="DA108" s="408">
        <f t="shared" si="403"/>
        <v>0</v>
      </c>
      <c r="DB108" s="562">
        <f t="shared" si="396"/>
        <v>0</v>
      </c>
      <c r="DC108" s="134"/>
      <c r="DD108" s="135"/>
      <c r="DE108" s="135"/>
      <c r="DF108" s="14">
        <f t="shared" si="485"/>
        <v>0</v>
      </c>
      <c r="DG108" s="14">
        <f t="shared" si="496"/>
        <v>0</v>
      </c>
      <c r="DH108" s="14">
        <f t="shared" si="326"/>
        <v>0.16</v>
      </c>
      <c r="DI108" s="47">
        <f t="shared" si="372"/>
        <v>0</v>
      </c>
      <c r="DJ108" s="35">
        <f t="shared" si="327"/>
        <v>3.8400000000000012</v>
      </c>
      <c r="DK108" s="159">
        <f t="shared" si="245"/>
        <v>0</v>
      </c>
      <c r="DL108" s="142"/>
      <c r="DM108" s="14">
        <f t="shared" si="328"/>
        <v>64</v>
      </c>
      <c r="DN108" s="482">
        <f t="shared" si="329"/>
        <v>0</v>
      </c>
      <c r="DO108" s="470">
        <f t="shared" si="428"/>
        <v>0</v>
      </c>
      <c r="DP108" s="51">
        <f t="shared" si="330"/>
        <v>1065</v>
      </c>
      <c r="DQ108" s="181">
        <f t="shared" si="486"/>
        <v>0</v>
      </c>
      <c r="DR108" s="46">
        <f t="shared" si="404"/>
        <v>1065</v>
      </c>
      <c r="DS108" s="50">
        <f t="shared" si="331"/>
        <v>84</v>
      </c>
      <c r="DT108" s="181">
        <f t="shared" si="487"/>
        <v>0</v>
      </c>
      <c r="DU108" s="46">
        <f t="shared" si="363"/>
        <v>84</v>
      </c>
    </row>
    <row r="109" spans="1:126" x14ac:dyDescent="0.25">
      <c r="B109" s="120">
        <f t="shared" si="488"/>
        <v>19</v>
      </c>
      <c r="C109" s="570">
        <f t="shared" si="469"/>
        <v>14</v>
      </c>
      <c r="D109" s="133"/>
      <c r="E109" s="408">
        <f t="shared" si="334"/>
        <v>171956</v>
      </c>
      <c r="F109" s="562">
        <f t="shared" si="301"/>
        <v>171956</v>
      </c>
      <c r="G109" s="134"/>
      <c r="H109" s="135"/>
      <c r="I109" s="135"/>
      <c r="J109" s="14">
        <f t="shared" si="364"/>
        <v>0</v>
      </c>
      <c r="K109" s="14">
        <f t="shared" si="335"/>
        <v>4875</v>
      </c>
      <c r="L109" s="14">
        <f t="shared" si="302"/>
        <v>0.16</v>
      </c>
      <c r="M109" s="47">
        <f t="shared" si="358"/>
        <v>0</v>
      </c>
      <c r="N109" s="35">
        <f t="shared" si="303"/>
        <v>3.8400000000000012</v>
      </c>
      <c r="O109" s="159">
        <f t="shared" si="336"/>
        <v>2.7568695534154077</v>
      </c>
      <c r="P109" s="142"/>
      <c r="Q109" s="14">
        <f t="shared" si="304"/>
        <v>64</v>
      </c>
      <c r="R109" s="442">
        <f t="shared" si="305"/>
        <v>0</v>
      </c>
      <c r="S109" s="470">
        <f>S108+R109</f>
        <v>328.79467076367098</v>
      </c>
      <c r="T109" s="51">
        <f t="shared" si="306"/>
        <v>1065</v>
      </c>
      <c r="U109" s="181">
        <f t="shared" si="470"/>
        <v>0</v>
      </c>
      <c r="V109" s="46">
        <f t="shared" si="339"/>
        <v>1065</v>
      </c>
      <c r="W109" s="50">
        <f t="shared" si="307"/>
        <v>84</v>
      </c>
      <c r="X109" s="181">
        <f t="shared" si="471"/>
        <v>0</v>
      </c>
      <c r="Y109" s="46">
        <f t="shared" si="341"/>
        <v>84</v>
      </c>
      <c r="Z109" s="487"/>
      <c r="AA109" s="120">
        <f t="shared" si="489"/>
        <v>19</v>
      </c>
      <c r="AB109" s="570">
        <f t="shared" si="472"/>
        <v>14</v>
      </c>
      <c r="AC109" s="133"/>
      <c r="AD109" s="408">
        <f t="shared" si="397"/>
        <v>0</v>
      </c>
      <c r="AE109" s="562">
        <f t="shared" si="393"/>
        <v>0</v>
      </c>
      <c r="AF109" s="134"/>
      <c r="AG109" s="135"/>
      <c r="AH109" s="135"/>
      <c r="AI109" s="14">
        <f t="shared" si="473"/>
        <v>0</v>
      </c>
      <c r="AJ109" s="14">
        <f t="shared" si="490"/>
        <v>0</v>
      </c>
      <c r="AK109" s="14">
        <f t="shared" si="308"/>
        <v>0.16</v>
      </c>
      <c r="AL109" s="47">
        <f t="shared" si="366"/>
        <v>0</v>
      </c>
      <c r="AM109" s="35">
        <f t="shared" si="309"/>
        <v>3.8400000000000012</v>
      </c>
      <c r="AN109" s="159">
        <f t="shared" si="240"/>
        <v>0</v>
      </c>
      <c r="AO109" s="142"/>
      <c r="AP109" s="14">
        <f t="shared" si="310"/>
        <v>64</v>
      </c>
      <c r="AQ109" s="442">
        <f t="shared" si="311"/>
        <v>0</v>
      </c>
      <c r="AR109" s="470">
        <f t="shared" si="425"/>
        <v>0</v>
      </c>
      <c r="AS109" s="51">
        <f t="shared" si="312"/>
        <v>1065</v>
      </c>
      <c r="AT109" s="181">
        <f t="shared" si="474"/>
        <v>0</v>
      </c>
      <c r="AU109" s="46">
        <f t="shared" si="398"/>
        <v>1065</v>
      </c>
      <c r="AV109" s="50">
        <f t="shared" si="313"/>
        <v>84</v>
      </c>
      <c r="AW109" s="181">
        <f t="shared" si="475"/>
        <v>0</v>
      </c>
      <c r="AX109" s="46">
        <f t="shared" si="360"/>
        <v>84</v>
      </c>
      <c r="AZ109" s="120">
        <f t="shared" si="491"/>
        <v>19</v>
      </c>
      <c r="BA109" s="570">
        <f t="shared" si="476"/>
        <v>14</v>
      </c>
      <c r="BB109" s="133"/>
      <c r="BC109" s="408">
        <f t="shared" si="399"/>
        <v>116143</v>
      </c>
      <c r="BD109" s="562">
        <f t="shared" si="394"/>
        <v>116143</v>
      </c>
      <c r="BE109" s="134"/>
      <c r="BF109" s="135"/>
      <c r="BG109" s="135"/>
      <c r="BH109" s="14">
        <f t="shared" si="477"/>
        <v>0</v>
      </c>
      <c r="BI109" s="14">
        <f t="shared" si="492"/>
        <v>3926</v>
      </c>
      <c r="BJ109" s="14">
        <f t="shared" si="314"/>
        <v>0.16</v>
      </c>
      <c r="BK109" s="47">
        <f t="shared" si="368"/>
        <v>0</v>
      </c>
      <c r="BL109" s="35">
        <f t="shared" si="315"/>
        <v>3.8400000000000012</v>
      </c>
      <c r="BM109" s="159">
        <f t="shared" si="359"/>
        <v>3.2697865394065078</v>
      </c>
      <c r="BN109" s="142"/>
      <c r="BO109" s="14">
        <f t="shared" si="316"/>
        <v>64</v>
      </c>
      <c r="BP109" s="442">
        <f t="shared" si="317"/>
        <v>0</v>
      </c>
      <c r="BQ109" s="470">
        <f t="shared" si="426"/>
        <v>314.58428346602915</v>
      </c>
      <c r="BR109" s="51">
        <f t="shared" si="318"/>
        <v>1065</v>
      </c>
      <c r="BS109" s="181">
        <f t="shared" si="478"/>
        <v>0</v>
      </c>
      <c r="BT109" s="46">
        <f t="shared" si="400"/>
        <v>1065</v>
      </c>
      <c r="BU109" s="50">
        <f t="shared" si="319"/>
        <v>84</v>
      </c>
      <c r="BV109" s="181">
        <f t="shared" si="479"/>
        <v>0</v>
      </c>
      <c r="BW109" s="46">
        <f t="shared" si="361"/>
        <v>84</v>
      </c>
      <c r="BY109" s="120">
        <f t="shared" si="493"/>
        <v>19</v>
      </c>
      <c r="BZ109" s="570">
        <f t="shared" si="480"/>
        <v>14</v>
      </c>
      <c r="CA109" s="133"/>
      <c r="CB109" s="408">
        <f t="shared" si="401"/>
        <v>0</v>
      </c>
      <c r="CC109" s="562">
        <f t="shared" si="395"/>
        <v>0</v>
      </c>
      <c r="CD109" s="134"/>
      <c r="CE109" s="135"/>
      <c r="CF109" s="135"/>
      <c r="CG109" s="14">
        <f t="shared" si="481"/>
        <v>0</v>
      </c>
      <c r="CH109" s="14">
        <f t="shared" si="494"/>
        <v>0</v>
      </c>
      <c r="CI109" s="14">
        <f t="shared" si="320"/>
        <v>0.16</v>
      </c>
      <c r="CJ109" s="47">
        <f t="shared" si="370"/>
        <v>0</v>
      </c>
      <c r="CK109" s="35">
        <f t="shared" si="321"/>
        <v>3.8400000000000012</v>
      </c>
      <c r="CL109" s="159">
        <f t="shared" si="243"/>
        <v>0</v>
      </c>
      <c r="CM109" s="142"/>
      <c r="CN109" s="14">
        <f t="shared" si="322"/>
        <v>64</v>
      </c>
      <c r="CO109" s="442">
        <f t="shared" si="323"/>
        <v>0</v>
      </c>
      <c r="CP109" s="470">
        <f t="shared" si="427"/>
        <v>0</v>
      </c>
      <c r="CQ109" s="51">
        <f t="shared" si="324"/>
        <v>1065</v>
      </c>
      <c r="CR109" s="181">
        <f t="shared" si="482"/>
        <v>0</v>
      </c>
      <c r="CS109" s="46">
        <f t="shared" si="402"/>
        <v>1065</v>
      </c>
      <c r="CT109" s="50">
        <f t="shared" si="325"/>
        <v>84</v>
      </c>
      <c r="CU109" s="181">
        <f t="shared" si="483"/>
        <v>0</v>
      </c>
      <c r="CV109" s="46">
        <f t="shared" si="362"/>
        <v>84</v>
      </c>
      <c r="CX109" s="120">
        <f t="shared" si="495"/>
        <v>19</v>
      </c>
      <c r="CY109" s="570">
        <f t="shared" si="484"/>
        <v>14</v>
      </c>
      <c r="CZ109" s="133"/>
      <c r="DA109" s="408">
        <f t="shared" si="403"/>
        <v>0</v>
      </c>
      <c r="DB109" s="562">
        <f t="shared" si="396"/>
        <v>0</v>
      </c>
      <c r="DC109" s="134"/>
      <c r="DD109" s="135"/>
      <c r="DE109" s="135"/>
      <c r="DF109" s="14">
        <f t="shared" si="485"/>
        <v>0</v>
      </c>
      <c r="DG109" s="14">
        <f t="shared" si="496"/>
        <v>0</v>
      </c>
      <c r="DH109" s="14">
        <f t="shared" si="326"/>
        <v>0.16</v>
      </c>
      <c r="DI109" s="47">
        <f t="shared" si="372"/>
        <v>0</v>
      </c>
      <c r="DJ109" s="35">
        <f t="shared" si="327"/>
        <v>3.8400000000000012</v>
      </c>
      <c r="DK109" s="159">
        <f t="shared" si="245"/>
        <v>0</v>
      </c>
      <c r="DL109" s="142"/>
      <c r="DM109" s="14">
        <f t="shared" si="328"/>
        <v>64</v>
      </c>
      <c r="DN109" s="442">
        <f t="shared" si="329"/>
        <v>0</v>
      </c>
      <c r="DO109" s="470">
        <f t="shared" si="428"/>
        <v>0</v>
      </c>
      <c r="DP109" s="51">
        <f t="shared" si="330"/>
        <v>1065</v>
      </c>
      <c r="DQ109" s="181">
        <f t="shared" si="486"/>
        <v>0</v>
      </c>
      <c r="DR109" s="46">
        <f t="shared" si="404"/>
        <v>1065</v>
      </c>
      <c r="DS109" s="50">
        <f t="shared" si="331"/>
        <v>84</v>
      </c>
      <c r="DT109" s="181">
        <f t="shared" si="487"/>
        <v>0</v>
      </c>
      <c r="DU109" s="46">
        <f t="shared" si="363"/>
        <v>84</v>
      </c>
    </row>
    <row r="110" spans="1:126" ht="17.25" thickBot="1" x14ac:dyDescent="0.3">
      <c r="B110" s="197">
        <f t="shared" si="488"/>
        <v>20</v>
      </c>
      <c r="C110" s="574">
        <f t="shared" si="469"/>
        <v>14</v>
      </c>
      <c r="D110" s="136"/>
      <c r="E110" s="436">
        <f t="shared" si="334"/>
        <v>171956</v>
      </c>
      <c r="F110" s="451">
        <f t="shared" si="301"/>
        <v>171956</v>
      </c>
      <c r="G110" s="137"/>
      <c r="H110" s="138"/>
      <c r="I110" s="138"/>
      <c r="J110" s="32">
        <f t="shared" si="364"/>
        <v>0</v>
      </c>
      <c r="K110" s="32">
        <f t="shared" si="335"/>
        <v>4875</v>
      </c>
      <c r="L110" s="32">
        <f t="shared" si="302"/>
        <v>0.16</v>
      </c>
      <c r="M110" s="96">
        <f t="shared" si="358"/>
        <v>0</v>
      </c>
      <c r="N110" s="36">
        <f t="shared" si="303"/>
        <v>3.8400000000000012</v>
      </c>
      <c r="O110" s="156">
        <f t="shared" si="336"/>
        <v>2.7568695534154077</v>
      </c>
      <c r="P110" s="139"/>
      <c r="Q110" s="32">
        <f t="shared" si="304"/>
        <v>64</v>
      </c>
      <c r="R110" s="592">
        <f t="shared" si="305"/>
        <v>0</v>
      </c>
      <c r="S110" s="471">
        <f>S109+R110</f>
        <v>328.79467076367098</v>
      </c>
      <c r="T110" s="56">
        <f t="shared" si="306"/>
        <v>1065</v>
      </c>
      <c r="U110" s="591">
        <f t="shared" si="470"/>
        <v>0</v>
      </c>
      <c r="V110" s="63">
        <f t="shared" si="339"/>
        <v>1065</v>
      </c>
      <c r="W110" s="56">
        <f t="shared" si="307"/>
        <v>84</v>
      </c>
      <c r="X110" s="591">
        <f t="shared" si="471"/>
        <v>0</v>
      </c>
      <c r="Y110" s="63">
        <f t="shared" si="341"/>
        <v>84</v>
      </c>
      <c r="Z110" s="487"/>
      <c r="AA110" s="197">
        <f t="shared" si="489"/>
        <v>20</v>
      </c>
      <c r="AB110" s="574">
        <f t="shared" si="472"/>
        <v>14</v>
      </c>
      <c r="AC110" s="136"/>
      <c r="AD110" s="436">
        <f t="shared" si="397"/>
        <v>0</v>
      </c>
      <c r="AE110" s="451">
        <f t="shared" si="393"/>
        <v>0</v>
      </c>
      <c r="AF110" s="137"/>
      <c r="AG110" s="138"/>
      <c r="AH110" s="138"/>
      <c r="AI110" s="32">
        <f t="shared" si="473"/>
        <v>0</v>
      </c>
      <c r="AJ110" s="32">
        <f t="shared" si="490"/>
        <v>0</v>
      </c>
      <c r="AK110" s="32">
        <f t="shared" si="308"/>
        <v>0.16</v>
      </c>
      <c r="AL110" s="96">
        <f t="shared" si="366"/>
        <v>0</v>
      </c>
      <c r="AM110" s="36">
        <f t="shared" si="309"/>
        <v>3.8400000000000012</v>
      </c>
      <c r="AN110" s="156">
        <f t="shared" si="240"/>
        <v>0</v>
      </c>
      <c r="AO110" s="139"/>
      <c r="AP110" s="32">
        <f t="shared" si="310"/>
        <v>64</v>
      </c>
      <c r="AQ110" s="592">
        <f t="shared" si="311"/>
        <v>0</v>
      </c>
      <c r="AR110" s="471">
        <f t="shared" si="425"/>
        <v>0</v>
      </c>
      <c r="AS110" s="56">
        <f t="shared" si="312"/>
        <v>1065</v>
      </c>
      <c r="AT110" s="591">
        <f t="shared" si="474"/>
        <v>0</v>
      </c>
      <c r="AU110" s="63">
        <f t="shared" si="398"/>
        <v>1065</v>
      </c>
      <c r="AV110" s="56">
        <f t="shared" si="313"/>
        <v>84</v>
      </c>
      <c r="AW110" s="591">
        <f t="shared" si="475"/>
        <v>0</v>
      </c>
      <c r="AX110" s="63">
        <f t="shared" si="360"/>
        <v>84</v>
      </c>
      <c r="AZ110" s="197">
        <f t="shared" si="491"/>
        <v>20</v>
      </c>
      <c r="BA110" s="574">
        <f t="shared" si="476"/>
        <v>14</v>
      </c>
      <c r="BB110" s="136"/>
      <c r="BC110" s="436">
        <f t="shared" si="399"/>
        <v>116143</v>
      </c>
      <c r="BD110" s="451">
        <f t="shared" si="394"/>
        <v>116143</v>
      </c>
      <c r="BE110" s="137"/>
      <c r="BF110" s="138"/>
      <c r="BG110" s="138"/>
      <c r="BH110" s="32">
        <f t="shared" si="477"/>
        <v>0</v>
      </c>
      <c r="BI110" s="32">
        <f t="shared" si="492"/>
        <v>3926</v>
      </c>
      <c r="BJ110" s="32">
        <f t="shared" si="314"/>
        <v>0.16</v>
      </c>
      <c r="BK110" s="96">
        <f t="shared" si="368"/>
        <v>0</v>
      </c>
      <c r="BL110" s="36">
        <f t="shared" si="315"/>
        <v>3.8400000000000012</v>
      </c>
      <c r="BM110" s="156">
        <f t="shared" si="359"/>
        <v>3.2697865394065078</v>
      </c>
      <c r="BN110" s="139"/>
      <c r="BO110" s="32">
        <f t="shared" si="316"/>
        <v>64</v>
      </c>
      <c r="BP110" s="592">
        <f t="shared" si="317"/>
        <v>0</v>
      </c>
      <c r="BQ110" s="471">
        <f t="shared" si="426"/>
        <v>314.58428346602915</v>
      </c>
      <c r="BR110" s="56">
        <f t="shared" si="318"/>
        <v>1065</v>
      </c>
      <c r="BS110" s="591">
        <f t="shared" si="478"/>
        <v>0</v>
      </c>
      <c r="BT110" s="63">
        <f t="shared" si="400"/>
        <v>1065</v>
      </c>
      <c r="BU110" s="56">
        <f t="shared" si="319"/>
        <v>84</v>
      </c>
      <c r="BV110" s="591">
        <f t="shared" si="479"/>
        <v>0</v>
      </c>
      <c r="BW110" s="63">
        <f t="shared" si="361"/>
        <v>84</v>
      </c>
      <c r="BY110" s="197">
        <f t="shared" si="493"/>
        <v>20</v>
      </c>
      <c r="BZ110" s="574">
        <f t="shared" si="480"/>
        <v>14</v>
      </c>
      <c r="CA110" s="136"/>
      <c r="CB110" s="436">
        <f t="shared" si="401"/>
        <v>0</v>
      </c>
      <c r="CC110" s="451">
        <f t="shared" si="395"/>
        <v>0</v>
      </c>
      <c r="CD110" s="137"/>
      <c r="CE110" s="138"/>
      <c r="CF110" s="138"/>
      <c r="CG110" s="32">
        <f t="shared" si="481"/>
        <v>0</v>
      </c>
      <c r="CH110" s="32">
        <f t="shared" si="494"/>
        <v>0</v>
      </c>
      <c r="CI110" s="32">
        <f t="shared" si="320"/>
        <v>0.16</v>
      </c>
      <c r="CJ110" s="96">
        <f t="shared" si="370"/>
        <v>0</v>
      </c>
      <c r="CK110" s="36">
        <f t="shared" si="321"/>
        <v>3.8400000000000012</v>
      </c>
      <c r="CL110" s="156">
        <f t="shared" si="243"/>
        <v>0</v>
      </c>
      <c r="CM110" s="139"/>
      <c r="CN110" s="32">
        <f t="shared" si="322"/>
        <v>64</v>
      </c>
      <c r="CO110" s="592">
        <f t="shared" si="323"/>
        <v>0</v>
      </c>
      <c r="CP110" s="471">
        <f t="shared" si="427"/>
        <v>0</v>
      </c>
      <c r="CQ110" s="56">
        <f t="shared" si="324"/>
        <v>1065</v>
      </c>
      <c r="CR110" s="591">
        <f t="shared" si="482"/>
        <v>0</v>
      </c>
      <c r="CS110" s="63">
        <f t="shared" si="402"/>
        <v>1065</v>
      </c>
      <c r="CT110" s="56">
        <f t="shared" si="325"/>
        <v>84</v>
      </c>
      <c r="CU110" s="591">
        <f t="shared" si="483"/>
        <v>0</v>
      </c>
      <c r="CV110" s="63">
        <f t="shared" si="362"/>
        <v>84</v>
      </c>
      <c r="CX110" s="197">
        <f t="shared" si="495"/>
        <v>20</v>
      </c>
      <c r="CY110" s="574">
        <f t="shared" si="484"/>
        <v>14</v>
      </c>
      <c r="CZ110" s="136"/>
      <c r="DA110" s="436">
        <f t="shared" si="403"/>
        <v>0</v>
      </c>
      <c r="DB110" s="451">
        <f t="shared" si="396"/>
        <v>0</v>
      </c>
      <c r="DC110" s="137"/>
      <c r="DD110" s="138"/>
      <c r="DE110" s="138"/>
      <c r="DF110" s="32">
        <f t="shared" si="485"/>
        <v>0</v>
      </c>
      <c r="DG110" s="32">
        <f t="shared" si="496"/>
        <v>0</v>
      </c>
      <c r="DH110" s="32">
        <f t="shared" si="326"/>
        <v>0.16</v>
      </c>
      <c r="DI110" s="96">
        <f t="shared" si="372"/>
        <v>0</v>
      </c>
      <c r="DJ110" s="36">
        <f t="shared" si="327"/>
        <v>3.8400000000000012</v>
      </c>
      <c r="DK110" s="156">
        <f t="shared" si="245"/>
        <v>0</v>
      </c>
      <c r="DL110" s="139"/>
      <c r="DM110" s="32">
        <f t="shared" si="328"/>
        <v>64</v>
      </c>
      <c r="DN110" s="592">
        <f t="shared" si="329"/>
        <v>0</v>
      </c>
      <c r="DO110" s="471">
        <f t="shared" si="428"/>
        <v>0</v>
      </c>
      <c r="DP110" s="56">
        <f t="shared" si="330"/>
        <v>1065</v>
      </c>
      <c r="DQ110" s="591">
        <f t="shared" si="486"/>
        <v>0</v>
      </c>
      <c r="DR110" s="63">
        <f t="shared" si="404"/>
        <v>1065</v>
      </c>
      <c r="DS110" s="56">
        <f t="shared" si="331"/>
        <v>84</v>
      </c>
      <c r="DT110" s="591">
        <f t="shared" si="487"/>
        <v>0</v>
      </c>
      <c r="DU110" s="63">
        <f t="shared" si="363"/>
        <v>84</v>
      </c>
    </row>
    <row r="111" spans="1:126" x14ac:dyDescent="0.25">
      <c r="B111" s="198">
        <v>21</v>
      </c>
      <c r="C111" s="826">
        <v>15</v>
      </c>
      <c r="D111" s="143"/>
      <c r="E111" s="430">
        <f t="shared" si="334"/>
        <v>171956</v>
      </c>
      <c r="F111" s="583">
        <f t="shared" si="301"/>
        <v>171956</v>
      </c>
      <c r="G111" s="144"/>
      <c r="H111" s="141"/>
      <c r="I111" s="141"/>
      <c r="J111" s="17">
        <f t="shared" si="364"/>
        <v>0</v>
      </c>
      <c r="K111" s="17">
        <f t="shared" si="335"/>
        <v>4875</v>
      </c>
      <c r="L111" s="17">
        <f t="shared" si="302"/>
        <v>0.16</v>
      </c>
      <c r="M111" s="235">
        <f t="shared" si="358"/>
        <v>0</v>
      </c>
      <c r="N111" s="33">
        <f t="shared" si="303"/>
        <v>4.0000000000000009</v>
      </c>
      <c r="O111" s="210">
        <f t="shared" si="336"/>
        <v>2.7568695534154077</v>
      </c>
      <c r="P111" s="145"/>
      <c r="Q111" s="17">
        <f t="shared" si="304"/>
        <v>67</v>
      </c>
      <c r="R111" s="479">
        <f t="shared" si="305"/>
        <v>0</v>
      </c>
      <c r="S111" s="475">
        <f>S110+R111</f>
        <v>328.79467076367098</v>
      </c>
      <c r="T111" s="61">
        <f t="shared" si="306"/>
        <v>1115</v>
      </c>
      <c r="U111" s="141"/>
      <c r="V111" s="71">
        <f t="shared" si="339"/>
        <v>1115</v>
      </c>
      <c r="W111" s="12">
        <f t="shared" si="307"/>
        <v>86</v>
      </c>
      <c r="X111" s="141"/>
      <c r="Y111" s="71">
        <f t="shared" si="341"/>
        <v>86</v>
      </c>
      <c r="Z111" s="487"/>
      <c r="AA111" s="198">
        <v>21</v>
      </c>
      <c r="AB111" s="826">
        <v>15</v>
      </c>
      <c r="AC111" s="143"/>
      <c r="AD111" s="430">
        <f t="shared" si="397"/>
        <v>0</v>
      </c>
      <c r="AE111" s="583">
        <f t="shared" si="393"/>
        <v>0</v>
      </c>
      <c r="AF111" s="144"/>
      <c r="AG111" s="141"/>
      <c r="AH111" s="141"/>
      <c r="AI111" s="17">
        <f t="shared" si="473"/>
        <v>0</v>
      </c>
      <c r="AJ111" s="17">
        <f t="shared" si="490"/>
        <v>0</v>
      </c>
      <c r="AK111" s="17">
        <f t="shared" si="308"/>
        <v>0.16</v>
      </c>
      <c r="AL111" s="235">
        <f t="shared" si="366"/>
        <v>0</v>
      </c>
      <c r="AM111" s="33">
        <f t="shared" si="309"/>
        <v>4.0000000000000009</v>
      </c>
      <c r="AN111" s="210">
        <f t="shared" si="240"/>
        <v>0</v>
      </c>
      <c r="AO111" s="145"/>
      <c r="AP111" s="17">
        <f t="shared" si="310"/>
        <v>67</v>
      </c>
      <c r="AQ111" s="479">
        <f t="shared" si="311"/>
        <v>0</v>
      </c>
      <c r="AR111" s="475">
        <f t="shared" si="425"/>
        <v>0</v>
      </c>
      <c r="AS111" s="61">
        <f t="shared" si="312"/>
        <v>1115</v>
      </c>
      <c r="AT111" s="141"/>
      <c r="AU111" s="71">
        <f t="shared" si="398"/>
        <v>1115</v>
      </c>
      <c r="AV111" s="12">
        <f t="shared" si="313"/>
        <v>86</v>
      </c>
      <c r="AW111" s="141"/>
      <c r="AX111" s="71">
        <f t="shared" si="360"/>
        <v>86</v>
      </c>
      <c r="AZ111" s="198">
        <v>21</v>
      </c>
      <c r="BA111" s="826">
        <v>15</v>
      </c>
      <c r="BB111" s="143"/>
      <c r="BC111" s="430">
        <f t="shared" si="399"/>
        <v>116143</v>
      </c>
      <c r="BD111" s="583">
        <f t="shared" si="394"/>
        <v>116143</v>
      </c>
      <c r="BE111" s="144"/>
      <c r="BF111" s="141"/>
      <c r="BG111" s="141"/>
      <c r="BH111" s="17">
        <f t="shared" si="477"/>
        <v>0</v>
      </c>
      <c r="BI111" s="17">
        <f t="shared" si="492"/>
        <v>3926</v>
      </c>
      <c r="BJ111" s="17">
        <f t="shared" si="314"/>
        <v>0.16</v>
      </c>
      <c r="BK111" s="235">
        <f t="shared" si="368"/>
        <v>0</v>
      </c>
      <c r="BL111" s="33">
        <f t="shared" si="315"/>
        <v>4.0000000000000009</v>
      </c>
      <c r="BM111" s="210">
        <f t="shared" si="359"/>
        <v>3.2697865394065078</v>
      </c>
      <c r="BN111" s="145"/>
      <c r="BO111" s="17">
        <f t="shared" si="316"/>
        <v>67</v>
      </c>
      <c r="BP111" s="479">
        <f t="shared" si="317"/>
        <v>0</v>
      </c>
      <c r="BQ111" s="475">
        <f t="shared" si="426"/>
        <v>314.58428346602915</v>
      </c>
      <c r="BR111" s="61">
        <f t="shared" si="318"/>
        <v>1115</v>
      </c>
      <c r="BS111" s="141"/>
      <c r="BT111" s="71">
        <f t="shared" si="400"/>
        <v>1115</v>
      </c>
      <c r="BU111" s="12">
        <f t="shared" si="319"/>
        <v>86</v>
      </c>
      <c r="BV111" s="141"/>
      <c r="BW111" s="71">
        <f t="shared" si="361"/>
        <v>86</v>
      </c>
      <c r="BY111" s="198">
        <v>21</v>
      </c>
      <c r="BZ111" s="826">
        <v>15</v>
      </c>
      <c r="CA111" s="143"/>
      <c r="CB111" s="430">
        <f t="shared" si="401"/>
        <v>0</v>
      </c>
      <c r="CC111" s="583">
        <f t="shared" si="395"/>
        <v>0</v>
      </c>
      <c r="CD111" s="144"/>
      <c r="CE111" s="141"/>
      <c r="CF111" s="141"/>
      <c r="CG111" s="17">
        <f t="shared" si="481"/>
        <v>0</v>
      </c>
      <c r="CH111" s="17">
        <f t="shared" si="494"/>
        <v>0</v>
      </c>
      <c r="CI111" s="17">
        <f t="shared" si="320"/>
        <v>0.16</v>
      </c>
      <c r="CJ111" s="235">
        <f t="shared" si="370"/>
        <v>0</v>
      </c>
      <c r="CK111" s="33">
        <f t="shared" si="321"/>
        <v>4.0000000000000009</v>
      </c>
      <c r="CL111" s="210">
        <f t="shared" si="243"/>
        <v>0</v>
      </c>
      <c r="CM111" s="145"/>
      <c r="CN111" s="17">
        <f t="shared" si="322"/>
        <v>67</v>
      </c>
      <c r="CO111" s="479">
        <f t="shared" si="323"/>
        <v>0</v>
      </c>
      <c r="CP111" s="475">
        <f t="shared" si="427"/>
        <v>0</v>
      </c>
      <c r="CQ111" s="61">
        <f t="shared" si="324"/>
        <v>1115</v>
      </c>
      <c r="CR111" s="141"/>
      <c r="CS111" s="71">
        <f t="shared" si="402"/>
        <v>1115</v>
      </c>
      <c r="CT111" s="12">
        <f t="shared" si="325"/>
        <v>86</v>
      </c>
      <c r="CU111" s="141"/>
      <c r="CV111" s="71">
        <f t="shared" si="362"/>
        <v>86</v>
      </c>
      <c r="CX111" s="198">
        <v>21</v>
      </c>
      <c r="CY111" s="826">
        <v>15</v>
      </c>
      <c r="CZ111" s="143"/>
      <c r="DA111" s="430">
        <f t="shared" si="403"/>
        <v>0</v>
      </c>
      <c r="DB111" s="583">
        <f t="shared" si="396"/>
        <v>0</v>
      </c>
      <c r="DC111" s="144"/>
      <c r="DD111" s="141"/>
      <c r="DE111" s="141"/>
      <c r="DF111" s="17">
        <f t="shared" si="485"/>
        <v>0</v>
      </c>
      <c r="DG111" s="17">
        <f t="shared" si="496"/>
        <v>0</v>
      </c>
      <c r="DH111" s="17">
        <f t="shared" si="326"/>
        <v>0.16</v>
      </c>
      <c r="DI111" s="235">
        <f t="shared" si="372"/>
        <v>0</v>
      </c>
      <c r="DJ111" s="33">
        <f t="shared" si="327"/>
        <v>4.0000000000000009</v>
      </c>
      <c r="DK111" s="210">
        <f t="shared" si="245"/>
        <v>0</v>
      </c>
      <c r="DL111" s="145"/>
      <c r="DM111" s="17">
        <f t="shared" si="328"/>
        <v>67</v>
      </c>
      <c r="DN111" s="479">
        <f t="shared" si="329"/>
        <v>0</v>
      </c>
      <c r="DO111" s="475">
        <f t="shared" si="428"/>
        <v>0</v>
      </c>
      <c r="DP111" s="61">
        <f t="shared" si="330"/>
        <v>1115</v>
      </c>
      <c r="DQ111" s="141"/>
      <c r="DR111" s="71">
        <f t="shared" si="404"/>
        <v>1115</v>
      </c>
      <c r="DS111" s="12">
        <f t="shared" si="331"/>
        <v>86</v>
      </c>
      <c r="DT111" s="141"/>
      <c r="DU111" s="71">
        <f t="shared" si="363"/>
        <v>86</v>
      </c>
    </row>
    <row r="112" spans="1:126" x14ac:dyDescent="0.25">
      <c r="B112" s="120">
        <f>B111+1</f>
        <v>22</v>
      </c>
      <c r="C112" s="570">
        <f>C111</f>
        <v>15</v>
      </c>
      <c r="D112" s="133"/>
      <c r="E112" s="408">
        <f t="shared" si="334"/>
        <v>171956</v>
      </c>
      <c r="F112" s="562">
        <f t="shared" si="301"/>
        <v>171956</v>
      </c>
      <c r="G112" s="134"/>
      <c r="H112" s="135"/>
      <c r="I112" s="135"/>
      <c r="J112" s="14">
        <f t="shared" si="364"/>
        <v>0</v>
      </c>
      <c r="K112" s="14">
        <f t="shared" si="335"/>
        <v>4875</v>
      </c>
      <c r="L112" s="14">
        <f t="shared" si="302"/>
        <v>0.16</v>
      </c>
      <c r="M112" s="47">
        <f t="shared" si="358"/>
        <v>0</v>
      </c>
      <c r="N112" s="35">
        <f t="shared" si="303"/>
        <v>4.0000000000000009</v>
      </c>
      <c r="O112" s="159">
        <f t="shared" si="336"/>
        <v>2.7568695534154077</v>
      </c>
      <c r="P112" s="142"/>
      <c r="Q112" s="14">
        <f t="shared" si="304"/>
        <v>67</v>
      </c>
      <c r="R112" s="442">
        <f t="shared" si="305"/>
        <v>0</v>
      </c>
      <c r="S112" s="470">
        <f>S111+R112</f>
        <v>328.79467076367098</v>
      </c>
      <c r="T112" s="51">
        <f t="shared" si="306"/>
        <v>1115</v>
      </c>
      <c r="U112" s="103">
        <f>U111</f>
        <v>0</v>
      </c>
      <c r="V112" s="46">
        <f t="shared" si="339"/>
        <v>1115</v>
      </c>
      <c r="W112" s="51">
        <f t="shared" si="307"/>
        <v>86</v>
      </c>
      <c r="X112" s="103">
        <f>X111</f>
        <v>0</v>
      </c>
      <c r="Y112" s="46">
        <f t="shared" si="341"/>
        <v>86</v>
      </c>
      <c r="Z112" s="487"/>
      <c r="AA112" s="120">
        <f>AA111+1</f>
        <v>22</v>
      </c>
      <c r="AB112" s="570">
        <f>AB111</f>
        <v>15</v>
      </c>
      <c r="AC112" s="133"/>
      <c r="AD112" s="408">
        <f t="shared" si="397"/>
        <v>0</v>
      </c>
      <c r="AE112" s="562">
        <f t="shared" si="393"/>
        <v>0</v>
      </c>
      <c r="AF112" s="134"/>
      <c r="AG112" s="135"/>
      <c r="AH112" s="135"/>
      <c r="AI112" s="14">
        <f t="shared" si="473"/>
        <v>0</v>
      </c>
      <c r="AJ112" s="14">
        <f t="shared" si="490"/>
        <v>0</v>
      </c>
      <c r="AK112" s="14">
        <f t="shared" si="308"/>
        <v>0.16</v>
      </c>
      <c r="AL112" s="47">
        <f t="shared" si="366"/>
        <v>0</v>
      </c>
      <c r="AM112" s="35">
        <f t="shared" si="309"/>
        <v>4.0000000000000009</v>
      </c>
      <c r="AN112" s="159">
        <f t="shared" si="240"/>
        <v>0</v>
      </c>
      <c r="AO112" s="142"/>
      <c r="AP112" s="14">
        <f t="shared" si="310"/>
        <v>67</v>
      </c>
      <c r="AQ112" s="442">
        <f t="shared" si="311"/>
        <v>0</v>
      </c>
      <c r="AR112" s="470">
        <f t="shared" si="425"/>
        <v>0</v>
      </c>
      <c r="AS112" s="51">
        <f t="shared" si="312"/>
        <v>1115</v>
      </c>
      <c r="AT112" s="103">
        <f>AT111</f>
        <v>0</v>
      </c>
      <c r="AU112" s="46">
        <f t="shared" si="398"/>
        <v>1115</v>
      </c>
      <c r="AV112" s="51">
        <f t="shared" si="313"/>
        <v>86</v>
      </c>
      <c r="AW112" s="103">
        <f>AW111</f>
        <v>0</v>
      </c>
      <c r="AX112" s="46">
        <f t="shared" si="360"/>
        <v>86</v>
      </c>
      <c r="AZ112" s="120">
        <f>AZ111+1</f>
        <v>22</v>
      </c>
      <c r="BA112" s="570">
        <f>BA111</f>
        <v>15</v>
      </c>
      <c r="BB112" s="133"/>
      <c r="BC112" s="408">
        <f t="shared" si="399"/>
        <v>116143</v>
      </c>
      <c r="BD112" s="562">
        <f t="shared" si="394"/>
        <v>116143</v>
      </c>
      <c r="BE112" s="134"/>
      <c r="BF112" s="135"/>
      <c r="BG112" s="135"/>
      <c r="BH112" s="14">
        <f t="shared" si="477"/>
        <v>0</v>
      </c>
      <c r="BI112" s="14">
        <f t="shared" si="492"/>
        <v>3926</v>
      </c>
      <c r="BJ112" s="14">
        <f t="shared" si="314"/>
        <v>0.16</v>
      </c>
      <c r="BK112" s="47">
        <f t="shared" si="368"/>
        <v>0</v>
      </c>
      <c r="BL112" s="35">
        <f t="shared" si="315"/>
        <v>4.0000000000000009</v>
      </c>
      <c r="BM112" s="159">
        <f t="shared" si="359"/>
        <v>3.2697865394065078</v>
      </c>
      <c r="BN112" s="142"/>
      <c r="BO112" s="14">
        <f t="shared" si="316"/>
        <v>67</v>
      </c>
      <c r="BP112" s="442">
        <f t="shared" si="317"/>
        <v>0</v>
      </c>
      <c r="BQ112" s="470">
        <f t="shared" si="426"/>
        <v>314.58428346602915</v>
      </c>
      <c r="BR112" s="51">
        <f t="shared" si="318"/>
        <v>1115</v>
      </c>
      <c r="BS112" s="103">
        <f>BS111</f>
        <v>0</v>
      </c>
      <c r="BT112" s="46">
        <f t="shared" si="400"/>
        <v>1115</v>
      </c>
      <c r="BU112" s="51">
        <f t="shared" si="319"/>
        <v>86</v>
      </c>
      <c r="BV112" s="103">
        <f>BV111</f>
        <v>0</v>
      </c>
      <c r="BW112" s="46">
        <f t="shared" si="361"/>
        <v>86</v>
      </c>
      <c r="BY112" s="120">
        <f>BY111+1</f>
        <v>22</v>
      </c>
      <c r="BZ112" s="570">
        <f>BZ111</f>
        <v>15</v>
      </c>
      <c r="CA112" s="133"/>
      <c r="CB112" s="408">
        <f t="shared" si="401"/>
        <v>0</v>
      </c>
      <c r="CC112" s="562">
        <f t="shared" si="395"/>
        <v>0</v>
      </c>
      <c r="CD112" s="134"/>
      <c r="CE112" s="135"/>
      <c r="CF112" s="135"/>
      <c r="CG112" s="14">
        <f t="shared" si="481"/>
        <v>0</v>
      </c>
      <c r="CH112" s="14">
        <f t="shared" si="494"/>
        <v>0</v>
      </c>
      <c r="CI112" s="14">
        <f t="shared" si="320"/>
        <v>0.16</v>
      </c>
      <c r="CJ112" s="47">
        <f t="shared" si="370"/>
        <v>0</v>
      </c>
      <c r="CK112" s="35">
        <f t="shared" si="321"/>
        <v>4.0000000000000009</v>
      </c>
      <c r="CL112" s="159">
        <f t="shared" si="243"/>
        <v>0</v>
      </c>
      <c r="CM112" s="142"/>
      <c r="CN112" s="14">
        <f t="shared" si="322"/>
        <v>67</v>
      </c>
      <c r="CO112" s="442">
        <f t="shared" si="323"/>
        <v>0</v>
      </c>
      <c r="CP112" s="470">
        <f t="shared" si="427"/>
        <v>0</v>
      </c>
      <c r="CQ112" s="51">
        <f t="shared" si="324"/>
        <v>1115</v>
      </c>
      <c r="CR112" s="103">
        <f>CR111</f>
        <v>0</v>
      </c>
      <c r="CS112" s="46">
        <f t="shared" si="402"/>
        <v>1115</v>
      </c>
      <c r="CT112" s="51">
        <f t="shared" si="325"/>
        <v>86</v>
      </c>
      <c r="CU112" s="103">
        <f>CU111</f>
        <v>0</v>
      </c>
      <c r="CV112" s="46">
        <f t="shared" si="362"/>
        <v>86</v>
      </c>
      <c r="CX112" s="120">
        <f>CX111+1</f>
        <v>22</v>
      </c>
      <c r="CY112" s="570">
        <f>CY111</f>
        <v>15</v>
      </c>
      <c r="CZ112" s="133"/>
      <c r="DA112" s="408">
        <f t="shared" si="403"/>
        <v>0</v>
      </c>
      <c r="DB112" s="562">
        <f t="shared" si="396"/>
        <v>0</v>
      </c>
      <c r="DC112" s="134"/>
      <c r="DD112" s="135"/>
      <c r="DE112" s="135"/>
      <c r="DF112" s="14">
        <f t="shared" si="485"/>
        <v>0</v>
      </c>
      <c r="DG112" s="14">
        <f t="shared" si="496"/>
        <v>0</v>
      </c>
      <c r="DH112" s="14">
        <f t="shared" si="326"/>
        <v>0.16</v>
      </c>
      <c r="DI112" s="47">
        <f t="shared" si="372"/>
        <v>0</v>
      </c>
      <c r="DJ112" s="35">
        <f t="shared" si="327"/>
        <v>4.0000000000000009</v>
      </c>
      <c r="DK112" s="159">
        <f t="shared" si="245"/>
        <v>0</v>
      </c>
      <c r="DL112" s="142"/>
      <c r="DM112" s="14">
        <f t="shared" si="328"/>
        <v>67</v>
      </c>
      <c r="DN112" s="442">
        <f t="shared" si="329"/>
        <v>0</v>
      </c>
      <c r="DO112" s="470">
        <f t="shared" si="428"/>
        <v>0</v>
      </c>
      <c r="DP112" s="51">
        <f t="shared" si="330"/>
        <v>1115</v>
      </c>
      <c r="DQ112" s="103">
        <f>DQ111</f>
        <v>0</v>
      </c>
      <c r="DR112" s="46">
        <f t="shared" si="404"/>
        <v>1115</v>
      </c>
      <c r="DS112" s="51">
        <f t="shared" si="331"/>
        <v>86</v>
      </c>
      <c r="DT112" s="103">
        <f>DT111</f>
        <v>0</v>
      </c>
      <c r="DU112" s="46">
        <f t="shared" si="363"/>
        <v>86</v>
      </c>
    </row>
    <row r="113" spans="1:125" x14ac:dyDescent="0.25">
      <c r="B113" s="120">
        <f t="shared" ref="B113:B117" si="497">B112+1</f>
        <v>23</v>
      </c>
      <c r="C113" s="570">
        <f t="shared" ref="C113:C117" si="498">C112</f>
        <v>15</v>
      </c>
      <c r="D113" s="133"/>
      <c r="E113" s="408">
        <f t="shared" si="334"/>
        <v>171956</v>
      </c>
      <c r="F113" s="562">
        <f t="shared" si="301"/>
        <v>171956</v>
      </c>
      <c r="G113" s="134"/>
      <c r="H113" s="135"/>
      <c r="I113" s="135"/>
      <c r="J113" s="14">
        <f t="shared" si="364"/>
        <v>0</v>
      </c>
      <c r="K113" s="14">
        <f t="shared" si="335"/>
        <v>4875</v>
      </c>
      <c r="L113" s="14">
        <f t="shared" si="302"/>
        <v>0.16</v>
      </c>
      <c r="M113" s="47">
        <f t="shared" si="358"/>
        <v>0</v>
      </c>
      <c r="N113" s="35">
        <f t="shared" si="303"/>
        <v>4.0000000000000009</v>
      </c>
      <c r="O113" s="159">
        <f t="shared" si="336"/>
        <v>2.7568695534154077</v>
      </c>
      <c r="P113" s="142"/>
      <c r="Q113" s="14">
        <f t="shared" si="304"/>
        <v>67</v>
      </c>
      <c r="R113" s="480">
        <f t="shared" si="305"/>
        <v>0</v>
      </c>
      <c r="S113" s="470">
        <f t="shared" si="337"/>
        <v>328.79467076367098</v>
      </c>
      <c r="T113" s="51">
        <f t="shared" si="306"/>
        <v>1115</v>
      </c>
      <c r="U113" s="103">
        <f t="shared" ref="U113:U117" si="499">U112</f>
        <v>0</v>
      </c>
      <c r="V113" s="46">
        <f t="shared" si="339"/>
        <v>1115</v>
      </c>
      <c r="W113" s="51">
        <f t="shared" si="307"/>
        <v>86</v>
      </c>
      <c r="X113" s="103">
        <f t="shared" ref="X113:X117" si="500">X112</f>
        <v>0</v>
      </c>
      <c r="Y113" s="46">
        <f t="shared" si="341"/>
        <v>86</v>
      </c>
      <c r="Z113" s="487"/>
      <c r="AA113" s="120">
        <f t="shared" ref="AA113:AA117" si="501">AA112+1</f>
        <v>23</v>
      </c>
      <c r="AB113" s="570">
        <f t="shared" ref="AB113:AB117" si="502">AB112</f>
        <v>15</v>
      </c>
      <c r="AC113" s="133"/>
      <c r="AD113" s="408">
        <f t="shared" si="397"/>
        <v>0</v>
      </c>
      <c r="AE113" s="562">
        <f t="shared" si="393"/>
        <v>0</v>
      </c>
      <c r="AF113" s="134"/>
      <c r="AG113" s="135"/>
      <c r="AH113" s="135"/>
      <c r="AI113" s="14">
        <f t="shared" si="473"/>
        <v>0</v>
      </c>
      <c r="AJ113" s="14">
        <f t="shared" si="490"/>
        <v>0</v>
      </c>
      <c r="AK113" s="14">
        <f t="shared" si="308"/>
        <v>0.16</v>
      </c>
      <c r="AL113" s="47">
        <f t="shared" si="366"/>
        <v>0</v>
      </c>
      <c r="AM113" s="35">
        <f t="shared" si="309"/>
        <v>4.0000000000000009</v>
      </c>
      <c r="AN113" s="159">
        <f t="shared" ref="AN113:AN137" si="503">IFERROR((AJ113*100)/$D$12,0)</f>
        <v>0</v>
      </c>
      <c r="AO113" s="142"/>
      <c r="AP113" s="14">
        <f t="shared" si="310"/>
        <v>67</v>
      </c>
      <c r="AQ113" s="480">
        <f t="shared" si="311"/>
        <v>0</v>
      </c>
      <c r="AR113" s="470">
        <f t="shared" si="425"/>
        <v>0</v>
      </c>
      <c r="AS113" s="51">
        <f t="shared" si="312"/>
        <v>1115</v>
      </c>
      <c r="AT113" s="103">
        <f t="shared" ref="AT113:AT117" si="504">AT112</f>
        <v>0</v>
      </c>
      <c r="AU113" s="46">
        <f t="shared" si="398"/>
        <v>1115</v>
      </c>
      <c r="AV113" s="51">
        <f t="shared" si="313"/>
        <v>86</v>
      </c>
      <c r="AW113" s="103">
        <f t="shared" ref="AW113:AW117" si="505">AW112</f>
        <v>0</v>
      </c>
      <c r="AX113" s="46">
        <f t="shared" si="360"/>
        <v>86</v>
      </c>
      <c r="AZ113" s="120">
        <f t="shared" ref="AZ113:AZ117" si="506">AZ112+1</f>
        <v>23</v>
      </c>
      <c r="BA113" s="570">
        <f t="shared" ref="BA113:BA117" si="507">BA112</f>
        <v>15</v>
      </c>
      <c r="BB113" s="133"/>
      <c r="BC113" s="408">
        <f t="shared" si="399"/>
        <v>116143</v>
      </c>
      <c r="BD113" s="562">
        <f t="shared" si="394"/>
        <v>116143</v>
      </c>
      <c r="BE113" s="134"/>
      <c r="BF113" s="135"/>
      <c r="BG113" s="135"/>
      <c r="BH113" s="14">
        <f t="shared" si="477"/>
        <v>0</v>
      </c>
      <c r="BI113" s="14">
        <f t="shared" si="492"/>
        <v>3926</v>
      </c>
      <c r="BJ113" s="14">
        <f t="shared" si="314"/>
        <v>0.16</v>
      </c>
      <c r="BK113" s="47">
        <f t="shared" si="368"/>
        <v>0</v>
      </c>
      <c r="BL113" s="35">
        <f t="shared" si="315"/>
        <v>4.0000000000000009</v>
      </c>
      <c r="BM113" s="159">
        <f t="shared" si="359"/>
        <v>3.2697865394065078</v>
      </c>
      <c r="BN113" s="142"/>
      <c r="BO113" s="14">
        <f t="shared" si="316"/>
        <v>67</v>
      </c>
      <c r="BP113" s="480">
        <f t="shared" si="317"/>
        <v>0</v>
      </c>
      <c r="BQ113" s="470">
        <f t="shared" si="426"/>
        <v>314.58428346602915</v>
      </c>
      <c r="BR113" s="51">
        <f t="shared" si="318"/>
        <v>1115</v>
      </c>
      <c r="BS113" s="103">
        <f t="shared" ref="BS113:BS117" si="508">BS112</f>
        <v>0</v>
      </c>
      <c r="BT113" s="46">
        <f t="shared" si="400"/>
        <v>1115</v>
      </c>
      <c r="BU113" s="51">
        <f t="shared" si="319"/>
        <v>86</v>
      </c>
      <c r="BV113" s="103">
        <f t="shared" ref="BV113:BV117" si="509">BV112</f>
        <v>0</v>
      </c>
      <c r="BW113" s="46">
        <f t="shared" si="361"/>
        <v>86</v>
      </c>
      <c r="BY113" s="120">
        <f t="shared" ref="BY113:BY117" si="510">BY112+1</f>
        <v>23</v>
      </c>
      <c r="BZ113" s="570">
        <f t="shared" ref="BZ113:BZ117" si="511">BZ112</f>
        <v>15</v>
      </c>
      <c r="CA113" s="133"/>
      <c r="CB113" s="408">
        <f t="shared" si="401"/>
        <v>0</v>
      </c>
      <c r="CC113" s="562">
        <f t="shared" si="395"/>
        <v>0</v>
      </c>
      <c r="CD113" s="134"/>
      <c r="CE113" s="135"/>
      <c r="CF113" s="135"/>
      <c r="CG113" s="14">
        <f t="shared" si="481"/>
        <v>0</v>
      </c>
      <c r="CH113" s="14">
        <f t="shared" si="494"/>
        <v>0</v>
      </c>
      <c r="CI113" s="14">
        <f t="shared" si="320"/>
        <v>0.16</v>
      </c>
      <c r="CJ113" s="47">
        <f t="shared" si="370"/>
        <v>0</v>
      </c>
      <c r="CK113" s="35">
        <f t="shared" si="321"/>
        <v>4.0000000000000009</v>
      </c>
      <c r="CL113" s="159">
        <f t="shared" ref="CL113:CL137" si="512">IFERROR((CH113*100)/$D$12,0)</f>
        <v>0</v>
      </c>
      <c r="CM113" s="142"/>
      <c r="CN113" s="14">
        <f t="shared" si="322"/>
        <v>67</v>
      </c>
      <c r="CO113" s="480">
        <f t="shared" si="323"/>
        <v>0</v>
      </c>
      <c r="CP113" s="470">
        <f t="shared" si="427"/>
        <v>0</v>
      </c>
      <c r="CQ113" s="51">
        <f t="shared" si="324"/>
        <v>1115</v>
      </c>
      <c r="CR113" s="103">
        <f t="shared" ref="CR113:CR117" si="513">CR112</f>
        <v>0</v>
      </c>
      <c r="CS113" s="46">
        <f t="shared" si="402"/>
        <v>1115</v>
      </c>
      <c r="CT113" s="51">
        <f t="shared" si="325"/>
        <v>86</v>
      </c>
      <c r="CU113" s="103">
        <f t="shared" ref="CU113:CU117" si="514">CU112</f>
        <v>0</v>
      </c>
      <c r="CV113" s="46">
        <f t="shared" si="362"/>
        <v>86</v>
      </c>
      <c r="CX113" s="120">
        <f t="shared" ref="CX113:CX117" si="515">CX112+1</f>
        <v>23</v>
      </c>
      <c r="CY113" s="570">
        <f t="shared" ref="CY113:CY117" si="516">CY112</f>
        <v>15</v>
      </c>
      <c r="CZ113" s="133"/>
      <c r="DA113" s="408">
        <f t="shared" si="403"/>
        <v>0</v>
      </c>
      <c r="DB113" s="562">
        <f t="shared" si="396"/>
        <v>0</v>
      </c>
      <c r="DC113" s="134"/>
      <c r="DD113" s="135"/>
      <c r="DE113" s="135"/>
      <c r="DF113" s="14">
        <f t="shared" si="485"/>
        <v>0</v>
      </c>
      <c r="DG113" s="14">
        <f t="shared" si="496"/>
        <v>0</v>
      </c>
      <c r="DH113" s="14">
        <f t="shared" si="326"/>
        <v>0.16</v>
      </c>
      <c r="DI113" s="47">
        <f t="shared" si="372"/>
        <v>0</v>
      </c>
      <c r="DJ113" s="35">
        <f t="shared" si="327"/>
        <v>4.0000000000000009</v>
      </c>
      <c r="DK113" s="159">
        <f t="shared" ref="DK113:DK137" si="517">IFERROR((DG113*100)/$D$12,0)</f>
        <v>0</v>
      </c>
      <c r="DL113" s="142"/>
      <c r="DM113" s="14">
        <f t="shared" si="328"/>
        <v>67</v>
      </c>
      <c r="DN113" s="480">
        <f t="shared" si="329"/>
        <v>0</v>
      </c>
      <c r="DO113" s="470">
        <f t="shared" si="428"/>
        <v>0</v>
      </c>
      <c r="DP113" s="51">
        <f t="shared" si="330"/>
        <v>1115</v>
      </c>
      <c r="DQ113" s="103">
        <f t="shared" ref="DQ113:DQ117" si="518">DQ112</f>
        <v>0</v>
      </c>
      <c r="DR113" s="46">
        <f t="shared" si="404"/>
        <v>1115</v>
      </c>
      <c r="DS113" s="51">
        <f t="shared" si="331"/>
        <v>86</v>
      </c>
      <c r="DT113" s="103">
        <f t="shared" ref="DT113:DT117" si="519">DT112</f>
        <v>0</v>
      </c>
      <c r="DU113" s="46">
        <f t="shared" si="363"/>
        <v>86</v>
      </c>
    </row>
    <row r="114" spans="1:125" x14ac:dyDescent="0.25">
      <c r="B114" s="120">
        <f t="shared" si="497"/>
        <v>24</v>
      </c>
      <c r="C114" s="570">
        <f t="shared" si="498"/>
        <v>15</v>
      </c>
      <c r="D114" s="133"/>
      <c r="E114" s="408">
        <f t="shared" si="334"/>
        <v>171956</v>
      </c>
      <c r="F114" s="562">
        <f t="shared" si="301"/>
        <v>171956</v>
      </c>
      <c r="G114" s="134"/>
      <c r="H114" s="135"/>
      <c r="I114" s="135"/>
      <c r="J114" s="14">
        <f t="shared" si="364"/>
        <v>0</v>
      </c>
      <c r="K114" s="14">
        <f t="shared" si="335"/>
        <v>4875</v>
      </c>
      <c r="L114" s="14">
        <f t="shared" si="302"/>
        <v>0.16</v>
      </c>
      <c r="M114" s="47">
        <f t="shared" si="358"/>
        <v>0</v>
      </c>
      <c r="N114" s="35">
        <f t="shared" si="303"/>
        <v>4.0000000000000009</v>
      </c>
      <c r="O114" s="159">
        <f t="shared" si="336"/>
        <v>2.7568695534154077</v>
      </c>
      <c r="P114" s="142"/>
      <c r="Q114" s="14">
        <f t="shared" si="304"/>
        <v>67</v>
      </c>
      <c r="R114" s="482">
        <f t="shared" si="305"/>
        <v>0</v>
      </c>
      <c r="S114" s="470">
        <f t="shared" si="337"/>
        <v>328.79467076367098</v>
      </c>
      <c r="T114" s="51">
        <f t="shared" si="306"/>
        <v>1115</v>
      </c>
      <c r="U114" s="103">
        <f t="shared" si="499"/>
        <v>0</v>
      </c>
      <c r="V114" s="46">
        <f t="shared" si="339"/>
        <v>1115</v>
      </c>
      <c r="W114" s="12">
        <f t="shared" si="307"/>
        <v>86</v>
      </c>
      <c r="X114" s="103">
        <f t="shared" si="500"/>
        <v>0</v>
      </c>
      <c r="Y114" s="46">
        <f t="shared" si="341"/>
        <v>86</v>
      </c>
      <c r="Z114" s="487"/>
      <c r="AA114" s="120">
        <f t="shared" si="501"/>
        <v>24</v>
      </c>
      <c r="AB114" s="570">
        <f t="shared" si="502"/>
        <v>15</v>
      </c>
      <c r="AC114" s="133"/>
      <c r="AD114" s="408">
        <f t="shared" si="397"/>
        <v>0</v>
      </c>
      <c r="AE114" s="562">
        <f t="shared" si="393"/>
        <v>0</v>
      </c>
      <c r="AF114" s="134"/>
      <c r="AG114" s="135"/>
      <c r="AH114" s="135"/>
      <c r="AI114" s="14">
        <f t="shared" si="473"/>
        <v>0</v>
      </c>
      <c r="AJ114" s="14">
        <f t="shared" si="490"/>
        <v>0</v>
      </c>
      <c r="AK114" s="14">
        <f t="shared" si="308"/>
        <v>0.16</v>
      </c>
      <c r="AL114" s="47">
        <f t="shared" si="366"/>
        <v>0</v>
      </c>
      <c r="AM114" s="35">
        <f t="shared" si="309"/>
        <v>4.0000000000000009</v>
      </c>
      <c r="AN114" s="159">
        <f t="shared" si="503"/>
        <v>0</v>
      </c>
      <c r="AO114" s="142"/>
      <c r="AP114" s="14">
        <f t="shared" si="310"/>
        <v>67</v>
      </c>
      <c r="AQ114" s="482">
        <f t="shared" si="311"/>
        <v>0</v>
      </c>
      <c r="AR114" s="470">
        <f t="shared" si="425"/>
        <v>0</v>
      </c>
      <c r="AS114" s="51">
        <f t="shared" si="312"/>
        <v>1115</v>
      </c>
      <c r="AT114" s="103">
        <f t="shared" si="504"/>
        <v>0</v>
      </c>
      <c r="AU114" s="46">
        <f t="shared" si="398"/>
        <v>1115</v>
      </c>
      <c r="AV114" s="12">
        <f t="shared" si="313"/>
        <v>86</v>
      </c>
      <c r="AW114" s="103">
        <f t="shared" si="505"/>
        <v>0</v>
      </c>
      <c r="AX114" s="46">
        <f t="shared" si="360"/>
        <v>86</v>
      </c>
      <c r="AZ114" s="120">
        <f>AZ113+1</f>
        <v>24</v>
      </c>
      <c r="BA114" s="570">
        <f t="shared" si="507"/>
        <v>15</v>
      </c>
      <c r="BB114" s="133"/>
      <c r="BC114" s="408">
        <f t="shared" si="399"/>
        <v>116143</v>
      </c>
      <c r="BD114" s="562">
        <f t="shared" si="394"/>
        <v>116143</v>
      </c>
      <c r="BE114" s="134"/>
      <c r="BF114" s="135"/>
      <c r="BG114" s="135"/>
      <c r="BH114" s="14">
        <f t="shared" si="477"/>
        <v>0</v>
      </c>
      <c r="BI114" s="14">
        <f t="shared" si="492"/>
        <v>3926</v>
      </c>
      <c r="BJ114" s="14">
        <f t="shared" si="314"/>
        <v>0.16</v>
      </c>
      <c r="BK114" s="47">
        <f t="shared" si="368"/>
        <v>0</v>
      </c>
      <c r="BL114" s="35">
        <f t="shared" si="315"/>
        <v>4.0000000000000009</v>
      </c>
      <c r="BM114" s="159">
        <f t="shared" si="359"/>
        <v>3.2697865394065078</v>
      </c>
      <c r="BN114" s="142"/>
      <c r="BO114" s="14">
        <f t="shared" si="316"/>
        <v>67</v>
      </c>
      <c r="BP114" s="482">
        <f t="shared" si="317"/>
        <v>0</v>
      </c>
      <c r="BQ114" s="470">
        <f t="shared" si="426"/>
        <v>314.58428346602915</v>
      </c>
      <c r="BR114" s="51">
        <f t="shared" si="318"/>
        <v>1115</v>
      </c>
      <c r="BS114" s="103">
        <f t="shared" si="508"/>
        <v>0</v>
      </c>
      <c r="BT114" s="46">
        <f t="shared" si="400"/>
        <v>1115</v>
      </c>
      <c r="BU114" s="12">
        <f t="shared" si="319"/>
        <v>86</v>
      </c>
      <c r="BV114" s="103">
        <f t="shared" si="509"/>
        <v>0</v>
      </c>
      <c r="BW114" s="46">
        <f t="shared" si="361"/>
        <v>86</v>
      </c>
      <c r="BY114" s="120">
        <f>BY113+1</f>
        <v>24</v>
      </c>
      <c r="BZ114" s="570">
        <f t="shared" si="511"/>
        <v>15</v>
      </c>
      <c r="CA114" s="133"/>
      <c r="CB114" s="408">
        <f t="shared" si="401"/>
        <v>0</v>
      </c>
      <c r="CC114" s="562">
        <f t="shared" si="395"/>
        <v>0</v>
      </c>
      <c r="CD114" s="134"/>
      <c r="CE114" s="135"/>
      <c r="CF114" s="135"/>
      <c r="CG114" s="14">
        <f t="shared" si="481"/>
        <v>0</v>
      </c>
      <c r="CH114" s="14">
        <f t="shared" si="494"/>
        <v>0</v>
      </c>
      <c r="CI114" s="14">
        <f t="shared" si="320"/>
        <v>0.16</v>
      </c>
      <c r="CJ114" s="47">
        <f t="shared" si="370"/>
        <v>0</v>
      </c>
      <c r="CK114" s="35">
        <f t="shared" si="321"/>
        <v>4.0000000000000009</v>
      </c>
      <c r="CL114" s="159">
        <f t="shared" si="512"/>
        <v>0</v>
      </c>
      <c r="CM114" s="142"/>
      <c r="CN114" s="14">
        <f t="shared" si="322"/>
        <v>67</v>
      </c>
      <c r="CO114" s="482">
        <f t="shared" si="323"/>
        <v>0</v>
      </c>
      <c r="CP114" s="470">
        <f t="shared" si="427"/>
        <v>0</v>
      </c>
      <c r="CQ114" s="51">
        <f t="shared" si="324"/>
        <v>1115</v>
      </c>
      <c r="CR114" s="103">
        <f t="shared" si="513"/>
        <v>0</v>
      </c>
      <c r="CS114" s="46">
        <f t="shared" si="402"/>
        <v>1115</v>
      </c>
      <c r="CT114" s="12">
        <f t="shared" si="325"/>
        <v>86</v>
      </c>
      <c r="CU114" s="103">
        <f t="shared" si="514"/>
        <v>0</v>
      </c>
      <c r="CV114" s="46">
        <f t="shared" si="362"/>
        <v>86</v>
      </c>
      <c r="CX114" s="120">
        <f>CX113+1</f>
        <v>24</v>
      </c>
      <c r="CY114" s="570">
        <f t="shared" si="516"/>
        <v>15</v>
      </c>
      <c r="CZ114" s="133"/>
      <c r="DA114" s="408">
        <f t="shared" si="403"/>
        <v>0</v>
      </c>
      <c r="DB114" s="562">
        <f t="shared" si="396"/>
        <v>0</v>
      </c>
      <c r="DC114" s="134"/>
      <c r="DD114" s="135"/>
      <c r="DE114" s="135"/>
      <c r="DF114" s="14">
        <f t="shared" si="485"/>
        <v>0</v>
      </c>
      <c r="DG114" s="14">
        <f t="shared" si="496"/>
        <v>0</v>
      </c>
      <c r="DH114" s="14">
        <f t="shared" si="326"/>
        <v>0.16</v>
      </c>
      <c r="DI114" s="47">
        <f t="shared" si="372"/>
        <v>0</v>
      </c>
      <c r="DJ114" s="35">
        <f t="shared" si="327"/>
        <v>4.0000000000000009</v>
      </c>
      <c r="DK114" s="159">
        <f t="shared" si="517"/>
        <v>0</v>
      </c>
      <c r="DL114" s="142"/>
      <c r="DM114" s="14">
        <f t="shared" si="328"/>
        <v>67</v>
      </c>
      <c r="DN114" s="482">
        <f t="shared" si="329"/>
        <v>0</v>
      </c>
      <c r="DO114" s="470">
        <f t="shared" si="428"/>
        <v>0</v>
      </c>
      <c r="DP114" s="51">
        <f t="shared" si="330"/>
        <v>1115</v>
      </c>
      <c r="DQ114" s="103">
        <f t="shared" si="518"/>
        <v>0</v>
      </c>
      <c r="DR114" s="46">
        <f t="shared" si="404"/>
        <v>1115</v>
      </c>
      <c r="DS114" s="12">
        <f t="shared" si="331"/>
        <v>86</v>
      </c>
      <c r="DT114" s="103">
        <f t="shared" si="519"/>
        <v>0</v>
      </c>
      <c r="DU114" s="46">
        <f t="shared" si="363"/>
        <v>86</v>
      </c>
    </row>
    <row r="115" spans="1:125" x14ac:dyDescent="0.25">
      <c r="B115" s="120">
        <f t="shared" si="497"/>
        <v>25</v>
      </c>
      <c r="C115" s="570">
        <f t="shared" si="498"/>
        <v>15</v>
      </c>
      <c r="D115" s="133"/>
      <c r="E115" s="408">
        <f t="shared" si="334"/>
        <v>171956</v>
      </c>
      <c r="F115" s="562">
        <f t="shared" si="301"/>
        <v>171956</v>
      </c>
      <c r="G115" s="134"/>
      <c r="H115" s="135"/>
      <c r="I115" s="135"/>
      <c r="J115" s="14">
        <f t="shared" si="364"/>
        <v>0</v>
      </c>
      <c r="K115" s="14">
        <f t="shared" si="335"/>
        <v>4875</v>
      </c>
      <c r="L115" s="14">
        <f t="shared" si="302"/>
        <v>0.16</v>
      </c>
      <c r="M115" s="47">
        <f t="shared" si="358"/>
        <v>0</v>
      </c>
      <c r="N115" s="35">
        <f t="shared" si="303"/>
        <v>4.0000000000000009</v>
      </c>
      <c r="O115" s="159">
        <f t="shared" si="336"/>
        <v>2.7568695534154077</v>
      </c>
      <c r="P115" s="142"/>
      <c r="Q115" s="14">
        <f t="shared" si="304"/>
        <v>67</v>
      </c>
      <c r="R115" s="442">
        <f t="shared" si="305"/>
        <v>0</v>
      </c>
      <c r="S115" s="470">
        <f t="shared" si="337"/>
        <v>328.79467076367098</v>
      </c>
      <c r="T115" s="51">
        <f t="shared" si="306"/>
        <v>1115</v>
      </c>
      <c r="U115" s="103">
        <f t="shared" si="499"/>
        <v>0</v>
      </c>
      <c r="V115" s="46">
        <f t="shared" si="339"/>
        <v>1115</v>
      </c>
      <c r="W115" s="50">
        <f t="shared" si="307"/>
        <v>86</v>
      </c>
      <c r="X115" s="103">
        <f t="shared" si="500"/>
        <v>0</v>
      </c>
      <c r="Y115" s="46">
        <f t="shared" si="341"/>
        <v>86</v>
      </c>
      <c r="Z115" s="487"/>
      <c r="AA115" s="120">
        <f t="shared" si="501"/>
        <v>25</v>
      </c>
      <c r="AB115" s="570">
        <f t="shared" si="502"/>
        <v>15</v>
      </c>
      <c r="AC115" s="133"/>
      <c r="AD115" s="408">
        <f t="shared" si="397"/>
        <v>0</v>
      </c>
      <c r="AE115" s="562">
        <f t="shared" si="393"/>
        <v>0</v>
      </c>
      <c r="AF115" s="134"/>
      <c r="AG115" s="135"/>
      <c r="AH115" s="135"/>
      <c r="AI115" s="14">
        <f t="shared" si="473"/>
        <v>0</v>
      </c>
      <c r="AJ115" s="14">
        <f t="shared" si="490"/>
        <v>0</v>
      </c>
      <c r="AK115" s="14">
        <f t="shared" si="308"/>
        <v>0.16</v>
      </c>
      <c r="AL115" s="47">
        <f t="shared" si="366"/>
        <v>0</v>
      </c>
      <c r="AM115" s="35">
        <f t="shared" si="309"/>
        <v>4.0000000000000009</v>
      </c>
      <c r="AN115" s="159">
        <f t="shared" si="503"/>
        <v>0</v>
      </c>
      <c r="AO115" s="142"/>
      <c r="AP115" s="14">
        <f t="shared" si="310"/>
        <v>67</v>
      </c>
      <c r="AQ115" s="442">
        <f t="shared" si="311"/>
        <v>0</v>
      </c>
      <c r="AR115" s="470">
        <f t="shared" si="425"/>
        <v>0</v>
      </c>
      <c r="AS115" s="51">
        <f t="shared" si="312"/>
        <v>1115</v>
      </c>
      <c r="AT115" s="103">
        <f t="shared" si="504"/>
        <v>0</v>
      </c>
      <c r="AU115" s="46">
        <f t="shared" si="398"/>
        <v>1115</v>
      </c>
      <c r="AV115" s="50">
        <f t="shared" si="313"/>
        <v>86</v>
      </c>
      <c r="AW115" s="103">
        <f t="shared" si="505"/>
        <v>0</v>
      </c>
      <c r="AX115" s="46">
        <f t="shared" si="360"/>
        <v>86</v>
      </c>
      <c r="AZ115" s="120">
        <f t="shared" si="506"/>
        <v>25</v>
      </c>
      <c r="BA115" s="570">
        <f t="shared" si="507"/>
        <v>15</v>
      </c>
      <c r="BB115" s="133"/>
      <c r="BC115" s="408">
        <f t="shared" si="399"/>
        <v>116143</v>
      </c>
      <c r="BD115" s="562">
        <f t="shared" si="394"/>
        <v>116143</v>
      </c>
      <c r="BE115" s="134"/>
      <c r="BF115" s="135"/>
      <c r="BG115" s="135"/>
      <c r="BH115" s="14">
        <f t="shared" si="477"/>
        <v>0</v>
      </c>
      <c r="BI115" s="14">
        <f t="shared" si="492"/>
        <v>3926</v>
      </c>
      <c r="BJ115" s="14">
        <f t="shared" si="314"/>
        <v>0.16</v>
      </c>
      <c r="BK115" s="47">
        <f t="shared" si="368"/>
        <v>0</v>
      </c>
      <c r="BL115" s="35">
        <f t="shared" si="315"/>
        <v>4.0000000000000009</v>
      </c>
      <c r="BM115" s="159">
        <f t="shared" si="359"/>
        <v>3.2697865394065078</v>
      </c>
      <c r="BN115" s="142"/>
      <c r="BO115" s="14">
        <f t="shared" si="316"/>
        <v>67</v>
      </c>
      <c r="BP115" s="442">
        <f t="shared" si="317"/>
        <v>0</v>
      </c>
      <c r="BQ115" s="470">
        <f t="shared" si="426"/>
        <v>314.58428346602915</v>
      </c>
      <c r="BR115" s="51">
        <f t="shared" si="318"/>
        <v>1115</v>
      </c>
      <c r="BS115" s="103">
        <f t="shared" si="508"/>
        <v>0</v>
      </c>
      <c r="BT115" s="46">
        <f t="shared" si="400"/>
        <v>1115</v>
      </c>
      <c r="BU115" s="50">
        <f t="shared" si="319"/>
        <v>86</v>
      </c>
      <c r="BV115" s="103">
        <f t="shared" si="509"/>
        <v>0</v>
      </c>
      <c r="BW115" s="46">
        <f t="shared" si="361"/>
        <v>86</v>
      </c>
      <c r="BY115" s="120">
        <f t="shared" si="510"/>
        <v>25</v>
      </c>
      <c r="BZ115" s="570">
        <f t="shared" si="511"/>
        <v>15</v>
      </c>
      <c r="CA115" s="133"/>
      <c r="CB115" s="408">
        <f t="shared" si="401"/>
        <v>0</v>
      </c>
      <c r="CC115" s="562">
        <f t="shared" si="395"/>
        <v>0</v>
      </c>
      <c r="CD115" s="134"/>
      <c r="CE115" s="135"/>
      <c r="CF115" s="135"/>
      <c r="CG115" s="14">
        <f t="shared" si="481"/>
        <v>0</v>
      </c>
      <c r="CH115" s="14">
        <f t="shared" si="494"/>
        <v>0</v>
      </c>
      <c r="CI115" s="14">
        <f t="shared" si="320"/>
        <v>0.16</v>
      </c>
      <c r="CJ115" s="47">
        <f t="shared" si="370"/>
        <v>0</v>
      </c>
      <c r="CK115" s="35">
        <f t="shared" si="321"/>
        <v>4.0000000000000009</v>
      </c>
      <c r="CL115" s="159">
        <f t="shared" si="512"/>
        <v>0</v>
      </c>
      <c r="CM115" s="142"/>
      <c r="CN115" s="14">
        <f t="shared" si="322"/>
        <v>67</v>
      </c>
      <c r="CO115" s="442">
        <f t="shared" si="323"/>
        <v>0</v>
      </c>
      <c r="CP115" s="470">
        <f t="shared" si="427"/>
        <v>0</v>
      </c>
      <c r="CQ115" s="51">
        <f t="shared" si="324"/>
        <v>1115</v>
      </c>
      <c r="CR115" s="103">
        <f t="shared" si="513"/>
        <v>0</v>
      </c>
      <c r="CS115" s="46">
        <f t="shared" si="402"/>
        <v>1115</v>
      </c>
      <c r="CT115" s="50">
        <f t="shared" si="325"/>
        <v>86</v>
      </c>
      <c r="CU115" s="103">
        <f t="shared" si="514"/>
        <v>0</v>
      </c>
      <c r="CV115" s="46">
        <f t="shared" si="362"/>
        <v>86</v>
      </c>
      <c r="CX115" s="120">
        <f t="shared" si="515"/>
        <v>25</v>
      </c>
      <c r="CY115" s="570">
        <f t="shared" si="516"/>
        <v>15</v>
      </c>
      <c r="CZ115" s="133"/>
      <c r="DA115" s="408">
        <f t="shared" si="403"/>
        <v>0</v>
      </c>
      <c r="DB115" s="562">
        <f t="shared" si="396"/>
        <v>0</v>
      </c>
      <c r="DC115" s="134"/>
      <c r="DD115" s="135"/>
      <c r="DE115" s="135"/>
      <c r="DF115" s="14">
        <f t="shared" si="485"/>
        <v>0</v>
      </c>
      <c r="DG115" s="14">
        <f t="shared" si="496"/>
        <v>0</v>
      </c>
      <c r="DH115" s="14">
        <f t="shared" si="326"/>
        <v>0.16</v>
      </c>
      <c r="DI115" s="47">
        <f t="shared" si="372"/>
        <v>0</v>
      </c>
      <c r="DJ115" s="35">
        <f t="shared" si="327"/>
        <v>4.0000000000000009</v>
      </c>
      <c r="DK115" s="159">
        <f t="shared" si="517"/>
        <v>0</v>
      </c>
      <c r="DL115" s="142"/>
      <c r="DM115" s="14">
        <f t="shared" si="328"/>
        <v>67</v>
      </c>
      <c r="DN115" s="442">
        <f t="shared" si="329"/>
        <v>0</v>
      </c>
      <c r="DO115" s="470">
        <f t="shared" si="428"/>
        <v>0</v>
      </c>
      <c r="DP115" s="51">
        <f t="shared" si="330"/>
        <v>1115</v>
      </c>
      <c r="DQ115" s="103">
        <f t="shared" si="518"/>
        <v>0</v>
      </c>
      <c r="DR115" s="46">
        <f t="shared" si="404"/>
        <v>1115</v>
      </c>
      <c r="DS115" s="50">
        <f t="shared" si="331"/>
        <v>86</v>
      </c>
      <c r="DT115" s="103">
        <f t="shared" si="519"/>
        <v>0</v>
      </c>
      <c r="DU115" s="46">
        <f t="shared" si="363"/>
        <v>86</v>
      </c>
    </row>
    <row r="116" spans="1:125" x14ac:dyDescent="0.25">
      <c r="B116" s="120">
        <f t="shared" si="497"/>
        <v>26</v>
      </c>
      <c r="C116" s="570">
        <f t="shared" si="498"/>
        <v>15</v>
      </c>
      <c r="D116" s="133"/>
      <c r="E116" s="408">
        <f t="shared" si="334"/>
        <v>171956</v>
      </c>
      <c r="F116" s="562">
        <f t="shared" si="301"/>
        <v>171956</v>
      </c>
      <c r="G116" s="134"/>
      <c r="H116" s="135"/>
      <c r="I116" s="135"/>
      <c r="J116" s="14">
        <f t="shared" si="364"/>
        <v>0</v>
      </c>
      <c r="K116" s="14">
        <f t="shared" si="335"/>
        <v>4875</v>
      </c>
      <c r="L116" s="14">
        <f t="shared" si="302"/>
        <v>0.16</v>
      </c>
      <c r="M116" s="47">
        <f t="shared" si="358"/>
        <v>0</v>
      </c>
      <c r="N116" s="35">
        <f t="shared" si="303"/>
        <v>4.0000000000000009</v>
      </c>
      <c r="O116" s="159">
        <f t="shared" si="336"/>
        <v>2.7568695534154077</v>
      </c>
      <c r="P116" s="142"/>
      <c r="Q116" s="14">
        <f t="shared" si="304"/>
        <v>67</v>
      </c>
      <c r="R116" s="480">
        <f t="shared" si="305"/>
        <v>0</v>
      </c>
      <c r="S116" s="470">
        <f t="shared" si="337"/>
        <v>328.79467076367098</v>
      </c>
      <c r="T116" s="51">
        <f t="shared" si="306"/>
        <v>1115</v>
      </c>
      <c r="U116" s="103">
        <f t="shared" si="499"/>
        <v>0</v>
      </c>
      <c r="V116" s="46">
        <f t="shared" si="339"/>
        <v>1115</v>
      </c>
      <c r="W116" s="50">
        <f t="shared" si="307"/>
        <v>86</v>
      </c>
      <c r="X116" s="103">
        <f t="shared" si="500"/>
        <v>0</v>
      </c>
      <c r="Y116" s="46">
        <f t="shared" si="341"/>
        <v>86</v>
      </c>
      <c r="Z116" s="487"/>
      <c r="AA116" s="120">
        <f t="shared" si="501"/>
        <v>26</v>
      </c>
      <c r="AB116" s="570">
        <f t="shared" si="502"/>
        <v>15</v>
      </c>
      <c r="AC116" s="133"/>
      <c r="AD116" s="408">
        <f t="shared" si="397"/>
        <v>0</v>
      </c>
      <c r="AE116" s="562">
        <f t="shared" si="393"/>
        <v>0</v>
      </c>
      <c r="AF116" s="134"/>
      <c r="AG116" s="135"/>
      <c r="AH116" s="135"/>
      <c r="AI116" s="14">
        <f t="shared" si="473"/>
        <v>0</v>
      </c>
      <c r="AJ116" s="14">
        <f t="shared" si="490"/>
        <v>0</v>
      </c>
      <c r="AK116" s="14">
        <f t="shared" si="308"/>
        <v>0.16</v>
      </c>
      <c r="AL116" s="47">
        <f t="shared" si="366"/>
        <v>0</v>
      </c>
      <c r="AM116" s="35">
        <f t="shared" si="309"/>
        <v>4.0000000000000009</v>
      </c>
      <c r="AN116" s="159">
        <f t="shared" si="503"/>
        <v>0</v>
      </c>
      <c r="AO116" s="142"/>
      <c r="AP116" s="14">
        <f t="shared" si="310"/>
        <v>67</v>
      </c>
      <c r="AQ116" s="480">
        <f t="shared" si="311"/>
        <v>0</v>
      </c>
      <c r="AR116" s="470">
        <f t="shared" si="425"/>
        <v>0</v>
      </c>
      <c r="AS116" s="51">
        <f t="shared" si="312"/>
        <v>1115</v>
      </c>
      <c r="AT116" s="103">
        <f t="shared" si="504"/>
        <v>0</v>
      </c>
      <c r="AU116" s="46">
        <f t="shared" si="398"/>
        <v>1115</v>
      </c>
      <c r="AV116" s="50">
        <f t="shared" si="313"/>
        <v>86</v>
      </c>
      <c r="AW116" s="103">
        <f t="shared" si="505"/>
        <v>0</v>
      </c>
      <c r="AX116" s="46">
        <f t="shared" si="360"/>
        <v>86</v>
      </c>
      <c r="AZ116" s="120">
        <f t="shared" si="506"/>
        <v>26</v>
      </c>
      <c r="BA116" s="570">
        <f t="shared" si="507"/>
        <v>15</v>
      </c>
      <c r="BB116" s="133"/>
      <c r="BC116" s="408">
        <f t="shared" si="399"/>
        <v>116143</v>
      </c>
      <c r="BD116" s="562">
        <f t="shared" si="394"/>
        <v>116143</v>
      </c>
      <c r="BE116" s="134"/>
      <c r="BF116" s="135"/>
      <c r="BG116" s="135"/>
      <c r="BH116" s="14">
        <f t="shared" si="477"/>
        <v>0</v>
      </c>
      <c r="BI116" s="14">
        <f t="shared" si="492"/>
        <v>3926</v>
      </c>
      <c r="BJ116" s="14">
        <f t="shared" si="314"/>
        <v>0.16</v>
      </c>
      <c r="BK116" s="47">
        <f t="shared" si="368"/>
        <v>0</v>
      </c>
      <c r="BL116" s="35">
        <f t="shared" si="315"/>
        <v>4.0000000000000009</v>
      </c>
      <c r="BM116" s="159">
        <f t="shared" si="359"/>
        <v>3.2697865394065078</v>
      </c>
      <c r="BN116" s="142"/>
      <c r="BO116" s="14">
        <f t="shared" si="316"/>
        <v>67</v>
      </c>
      <c r="BP116" s="480">
        <f t="shared" si="317"/>
        <v>0</v>
      </c>
      <c r="BQ116" s="470">
        <f t="shared" si="426"/>
        <v>314.58428346602915</v>
      </c>
      <c r="BR116" s="51">
        <f t="shared" si="318"/>
        <v>1115</v>
      </c>
      <c r="BS116" s="103">
        <f t="shared" si="508"/>
        <v>0</v>
      </c>
      <c r="BT116" s="46">
        <f t="shared" si="400"/>
        <v>1115</v>
      </c>
      <c r="BU116" s="50">
        <f t="shared" si="319"/>
        <v>86</v>
      </c>
      <c r="BV116" s="103">
        <f t="shared" si="509"/>
        <v>0</v>
      </c>
      <c r="BW116" s="46">
        <f t="shared" si="361"/>
        <v>86</v>
      </c>
      <c r="BY116" s="120">
        <f t="shared" si="510"/>
        <v>26</v>
      </c>
      <c r="BZ116" s="570">
        <f t="shared" si="511"/>
        <v>15</v>
      </c>
      <c r="CA116" s="133"/>
      <c r="CB116" s="408">
        <f t="shared" si="401"/>
        <v>0</v>
      </c>
      <c r="CC116" s="562">
        <f t="shared" si="395"/>
        <v>0</v>
      </c>
      <c r="CD116" s="134"/>
      <c r="CE116" s="135"/>
      <c r="CF116" s="135"/>
      <c r="CG116" s="14">
        <f t="shared" si="481"/>
        <v>0</v>
      </c>
      <c r="CH116" s="14">
        <f t="shared" si="494"/>
        <v>0</v>
      </c>
      <c r="CI116" s="14">
        <f t="shared" si="320"/>
        <v>0.16</v>
      </c>
      <c r="CJ116" s="47">
        <f t="shared" si="370"/>
        <v>0</v>
      </c>
      <c r="CK116" s="35">
        <f t="shared" si="321"/>
        <v>4.0000000000000009</v>
      </c>
      <c r="CL116" s="159">
        <f t="shared" si="512"/>
        <v>0</v>
      </c>
      <c r="CM116" s="142"/>
      <c r="CN116" s="14">
        <f t="shared" si="322"/>
        <v>67</v>
      </c>
      <c r="CO116" s="480">
        <f t="shared" si="323"/>
        <v>0</v>
      </c>
      <c r="CP116" s="470">
        <f t="shared" si="427"/>
        <v>0</v>
      </c>
      <c r="CQ116" s="51">
        <f t="shared" si="324"/>
        <v>1115</v>
      </c>
      <c r="CR116" s="103">
        <f t="shared" si="513"/>
        <v>0</v>
      </c>
      <c r="CS116" s="46">
        <f t="shared" si="402"/>
        <v>1115</v>
      </c>
      <c r="CT116" s="50">
        <f t="shared" si="325"/>
        <v>86</v>
      </c>
      <c r="CU116" s="103">
        <f t="shared" si="514"/>
        <v>0</v>
      </c>
      <c r="CV116" s="46">
        <f t="shared" si="362"/>
        <v>86</v>
      </c>
      <c r="CX116" s="120">
        <f t="shared" si="515"/>
        <v>26</v>
      </c>
      <c r="CY116" s="570">
        <f t="shared" si="516"/>
        <v>15</v>
      </c>
      <c r="CZ116" s="133"/>
      <c r="DA116" s="408">
        <f t="shared" si="403"/>
        <v>0</v>
      </c>
      <c r="DB116" s="562">
        <f t="shared" si="396"/>
        <v>0</v>
      </c>
      <c r="DC116" s="134"/>
      <c r="DD116" s="135"/>
      <c r="DE116" s="135"/>
      <c r="DF116" s="14">
        <f t="shared" si="485"/>
        <v>0</v>
      </c>
      <c r="DG116" s="14">
        <f t="shared" si="496"/>
        <v>0</v>
      </c>
      <c r="DH116" s="14">
        <f t="shared" si="326"/>
        <v>0.16</v>
      </c>
      <c r="DI116" s="47">
        <f t="shared" si="372"/>
        <v>0</v>
      </c>
      <c r="DJ116" s="35">
        <f t="shared" si="327"/>
        <v>4.0000000000000009</v>
      </c>
      <c r="DK116" s="159">
        <f t="shared" si="517"/>
        <v>0</v>
      </c>
      <c r="DL116" s="142"/>
      <c r="DM116" s="14">
        <f t="shared" si="328"/>
        <v>67</v>
      </c>
      <c r="DN116" s="480">
        <f t="shared" si="329"/>
        <v>0</v>
      </c>
      <c r="DO116" s="470">
        <f t="shared" si="428"/>
        <v>0</v>
      </c>
      <c r="DP116" s="51">
        <f t="shared" si="330"/>
        <v>1115</v>
      </c>
      <c r="DQ116" s="103">
        <f t="shared" si="518"/>
        <v>0</v>
      </c>
      <c r="DR116" s="46">
        <f t="shared" si="404"/>
        <v>1115</v>
      </c>
      <c r="DS116" s="50">
        <f t="shared" si="331"/>
        <v>86</v>
      </c>
      <c r="DT116" s="103">
        <f t="shared" si="519"/>
        <v>0</v>
      </c>
      <c r="DU116" s="46">
        <f t="shared" si="363"/>
        <v>86</v>
      </c>
    </row>
    <row r="117" spans="1:125" ht="17.25" thickBot="1" x14ac:dyDescent="0.3">
      <c r="B117" s="119">
        <f t="shared" si="497"/>
        <v>27</v>
      </c>
      <c r="C117" s="825">
        <f t="shared" si="498"/>
        <v>15</v>
      </c>
      <c r="D117" s="203"/>
      <c r="E117" s="818">
        <f t="shared" si="334"/>
        <v>171956</v>
      </c>
      <c r="F117" s="450">
        <f t="shared" si="301"/>
        <v>171956</v>
      </c>
      <c r="G117" s="204"/>
      <c r="H117" s="205"/>
      <c r="I117" s="205"/>
      <c r="J117" s="13">
        <f t="shared" si="364"/>
        <v>0</v>
      </c>
      <c r="K117" s="13">
        <f t="shared" si="335"/>
        <v>4875</v>
      </c>
      <c r="L117" s="13">
        <f t="shared" si="302"/>
        <v>0.16</v>
      </c>
      <c r="M117" s="230">
        <f t="shared" si="358"/>
        <v>0</v>
      </c>
      <c r="N117" s="161">
        <f t="shared" si="303"/>
        <v>4.0000000000000009</v>
      </c>
      <c r="O117" s="157">
        <f t="shared" si="336"/>
        <v>2.7568695534154077</v>
      </c>
      <c r="P117" s="237"/>
      <c r="Q117" s="13">
        <f t="shared" si="304"/>
        <v>67</v>
      </c>
      <c r="R117" s="482">
        <f t="shared" si="305"/>
        <v>0</v>
      </c>
      <c r="S117" s="641">
        <f t="shared" si="337"/>
        <v>328.79467076367098</v>
      </c>
      <c r="T117" s="50">
        <f t="shared" si="306"/>
        <v>1115</v>
      </c>
      <c r="U117" s="202">
        <f t="shared" si="499"/>
        <v>0</v>
      </c>
      <c r="V117" s="62">
        <f t="shared" si="339"/>
        <v>1115</v>
      </c>
      <c r="W117" s="50">
        <f t="shared" si="307"/>
        <v>86</v>
      </c>
      <c r="X117" s="202">
        <f t="shared" si="500"/>
        <v>0</v>
      </c>
      <c r="Y117" s="62">
        <f t="shared" si="341"/>
        <v>86</v>
      </c>
      <c r="Z117" s="487"/>
      <c r="AA117" s="119">
        <f t="shared" si="501"/>
        <v>27</v>
      </c>
      <c r="AB117" s="825">
        <f t="shared" si="502"/>
        <v>15</v>
      </c>
      <c r="AC117" s="203"/>
      <c r="AD117" s="818">
        <f t="shared" si="397"/>
        <v>0</v>
      </c>
      <c r="AE117" s="450">
        <f t="shared" si="393"/>
        <v>0</v>
      </c>
      <c r="AF117" s="204"/>
      <c r="AG117" s="205"/>
      <c r="AH117" s="205"/>
      <c r="AI117" s="13">
        <f t="shared" si="473"/>
        <v>0</v>
      </c>
      <c r="AJ117" s="13">
        <f t="shared" si="490"/>
        <v>0</v>
      </c>
      <c r="AK117" s="13">
        <f t="shared" si="308"/>
        <v>0.16</v>
      </c>
      <c r="AL117" s="230">
        <f t="shared" si="366"/>
        <v>0</v>
      </c>
      <c r="AM117" s="161">
        <f t="shared" si="309"/>
        <v>4.0000000000000009</v>
      </c>
      <c r="AN117" s="157">
        <f t="shared" si="503"/>
        <v>0</v>
      </c>
      <c r="AO117" s="237"/>
      <c r="AP117" s="13">
        <f t="shared" si="310"/>
        <v>67</v>
      </c>
      <c r="AQ117" s="482">
        <f t="shared" si="311"/>
        <v>0</v>
      </c>
      <c r="AR117" s="641">
        <f t="shared" si="425"/>
        <v>0</v>
      </c>
      <c r="AS117" s="50">
        <f t="shared" si="312"/>
        <v>1115</v>
      </c>
      <c r="AT117" s="202">
        <f t="shared" si="504"/>
        <v>0</v>
      </c>
      <c r="AU117" s="62">
        <f t="shared" si="398"/>
        <v>1115</v>
      </c>
      <c r="AV117" s="50">
        <f t="shared" si="313"/>
        <v>86</v>
      </c>
      <c r="AW117" s="202">
        <f t="shared" si="505"/>
        <v>0</v>
      </c>
      <c r="AX117" s="62">
        <f t="shared" si="360"/>
        <v>86</v>
      </c>
      <c r="AZ117" s="119">
        <f t="shared" si="506"/>
        <v>27</v>
      </c>
      <c r="BA117" s="825">
        <f t="shared" si="507"/>
        <v>15</v>
      </c>
      <c r="BB117" s="203"/>
      <c r="BC117" s="818">
        <f t="shared" si="399"/>
        <v>116143</v>
      </c>
      <c r="BD117" s="450">
        <f t="shared" si="394"/>
        <v>116143</v>
      </c>
      <c r="BE117" s="204"/>
      <c r="BF117" s="205"/>
      <c r="BG117" s="205"/>
      <c r="BH117" s="13">
        <f t="shared" si="477"/>
        <v>0</v>
      </c>
      <c r="BI117" s="13">
        <f t="shared" si="492"/>
        <v>3926</v>
      </c>
      <c r="BJ117" s="13">
        <f t="shared" si="314"/>
        <v>0.16</v>
      </c>
      <c r="BK117" s="230">
        <f t="shared" si="368"/>
        <v>0</v>
      </c>
      <c r="BL117" s="161">
        <f t="shared" si="315"/>
        <v>4.0000000000000009</v>
      </c>
      <c r="BM117" s="156">
        <f t="shared" si="359"/>
        <v>3.2697865394065078</v>
      </c>
      <c r="BN117" s="237"/>
      <c r="BO117" s="13">
        <f t="shared" si="316"/>
        <v>67</v>
      </c>
      <c r="BP117" s="482">
        <f t="shared" si="317"/>
        <v>0</v>
      </c>
      <c r="BQ117" s="641">
        <f t="shared" si="426"/>
        <v>314.58428346602915</v>
      </c>
      <c r="BR117" s="50">
        <f t="shared" si="318"/>
        <v>1115</v>
      </c>
      <c r="BS117" s="202">
        <f t="shared" si="508"/>
        <v>0</v>
      </c>
      <c r="BT117" s="62">
        <f t="shared" si="400"/>
        <v>1115</v>
      </c>
      <c r="BU117" s="50">
        <f t="shared" si="319"/>
        <v>86</v>
      </c>
      <c r="BV117" s="202">
        <f t="shared" si="509"/>
        <v>0</v>
      </c>
      <c r="BW117" s="62">
        <f t="shared" si="361"/>
        <v>86</v>
      </c>
      <c r="BY117" s="119">
        <f t="shared" si="510"/>
        <v>27</v>
      </c>
      <c r="BZ117" s="825">
        <f t="shared" si="511"/>
        <v>15</v>
      </c>
      <c r="CA117" s="203"/>
      <c r="CB117" s="818">
        <f t="shared" si="401"/>
        <v>0</v>
      </c>
      <c r="CC117" s="450">
        <f t="shared" si="395"/>
        <v>0</v>
      </c>
      <c r="CD117" s="204"/>
      <c r="CE117" s="205"/>
      <c r="CF117" s="205"/>
      <c r="CG117" s="13">
        <f t="shared" si="481"/>
        <v>0</v>
      </c>
      <c r="CH117" s="13">
        <f t="shared" si="494"/>
        <v>0</v>
      </c>
      <c r="CI117" s="13">
        <f t="shared" si="320"/>
        <v>0.16</v>
      </c>
      <c r="CJ117" s="230">
        <f t="shared" si="370"/>
        <v>0</v>
      </c>
      <c r="CK117" s="161">
        <f t="shared" si="321"/>
        <v>4.0000000000000009</v>
      </c>
      <c r="CL117" s="157">
        <f t="shared" si="512"/>
        <v>0</v>
      </c>
      <c r="CM117" s="237"/>
      <c r="CN117" s="13">
        <f t="shared" si="322"/>
        <v>67</v>
      </c>
      <c r="CO117" s="482">
        <f t="shared" si="323"/>
        <v>0</v>
      </c>
      <c r="CP117" s="641">
        <f t="shared" si="427"/>
        <v>0</v>
      </c>
      <c r="CQ117" s="50">
        <f t="shared" si="324"/>
        <v>1115</v>
      </c>
      <c r="CR117" s="202">
        <f t="shared" si="513"/>
        <v>0</v>
      </c>
      <c r="CS117" s="62">
        <f t="shared" si="402"/>
        <v>1115</v>
      </c>
      <c r="CT117" s="50">
        <f t="shared" si="325"/>
        <v>86</v>
      </c>
      <c r="CU117" s="202">
        <f t="shared" si="514"/>
        <v>0</v>
      </c>
      <c r="CV117" s="62">
        <f t="shared" si="362"/>
        <v>86</v>
      </c>
      <c r="CX117" s="119">
        <f t="shared" si="515"/>
        <v>27</v>
      </c>
      <c r="CY117" s="825">
        <f t="shared" si="516"/>
        <v>15</v>
      </c>
      <c r="CZ117" s="203"/>
      <c r="DA117" s="818">
        <f t="shared" si="403"/>
        <v>0</v>
      </c>
      <c r="DB117" s="450">
        <f t="shared" si="396"/>
        <v>0</v>
      </c>
      <c r="DC117" s="204"/>
      <c r="DD117" s="205"/>
      <c r="DE117" s="205"/>
      <c r="DF117" s="13">
        <f t="shared" si="485"/>
        <v>0</v>
      </c>
      <c r="DG117" s="13">
        <f t="shared" si="496"/>
        <v>0</v>
      </c>
      <c r="DH117" s="13">
        <f t="shared" si="326"/>
        <v>0.16</v>
      </c>
      <c r="DI117" s="230">
        <f t="shared" si="372"/>
        <v>0</v>
      </c>
      <c r="DJ117" s="161">
        <f t="shared" si="327"/>
        <v>4.0000000000000009</v>
      </c>
      <c r="DK117" s="157">
        <f t="shared" si="517"/>
        <v>0</v>
      </c>
      <c r="DL117" s="237"/>
      <c r="DM117" s="13">
        <f t="shared" si="328"/>
        <v>67</v>
      </c>
      <c r="DN117" s="482">
        <f t="shared" si="329"/>
        <v>0</v>
      </c>
      <c r="DO117" s="641">
        <f t="shared" si="428"/>
        <v>0</v>
      </c>
      <c r="DP117" s="50">
        <f t="shared" si="330"/>
        <v>1115</v>
      </c>
      <c r="DQ117" s="202">
        <f t="shared" si="518"/>
        <v>0</v>
      </c>
      <c r="DR117" s="62">
        <f t="shared" si="404"/>
        <v>1115</v>
      </c>
      <c r="DS117" s="50">
        <f t="shared" si="331"/>
        <v>86</v>
      </c>
      <c r="DT117" s="202">
        <f t="shared" si="519"/>
        <v>0</v>
      </c>
      <c r="DU117" s="62">
        <f t="shared" si="363"/>
        <v>86</v>
      </c>
    </row>
    <row r="118" spans="1:125" x14ac:dyDescent="0.25">
      <c r="B118" s="118">
        <v>28</v>
      </c>
      <c r="C118" s="575">
        <v>16</v>
      </c>
      <c r="D118" s="129"/>
      <c r="E118" s="400">
        <f t="shared" si="334"/>
        <v>171956</v>
      </c>
      <c r="F118" s="561">
        <f t="shared" si="301"/>
        <v>171956</v>
      </c>
      <c r="G118" s="130"/>
      <c r="H118" s="131"/>
      <c r="I118" s="131"/>
      <c r="J118" s="11">
        <f t="shared" si="364"/>
        <v>0</v>
      </c>
      <c r="K118" s="11">
        <f t="shared" si="335"/>
        <v>4875</v>
      </c>
      <c r="L118" s="11">
        <f t="shared" si="302"/>
        <v>0.16</v>
      </c>
      <c r="M118" s="42">
        <f t="shared" si="358"/>
        <v>0</v>
      </c>
      <c r="N118" s="21">
        <f t="shared" si="303"/>
        <v>4.160000000000001</v>
      </c>
      <c r="O118" s="165">
        <f t="shared" si="336"/>
        <v>2.7568695534154077</v>
      </c>
      <c r="P118" s="158"/>
      <c r="Q118" s="11">
        <f t="shared" si="304"/>
        <v>71</v>
      </c>
      <c r="R118" s="441">
        <f t="shared" si="305"/>
        <v>0</v>
      </c>
      <c r="S118" s="469">
        <f t="shared" si="337"/>
        <v>328.79467076367098</v>
      </c>
      <c r="T118" s="58">
        <f t="shared" si="306"/>
        <v>1160</v>
      </c>
      <c r="U118" s="131"/>
      <c r="V118" s="41">
        <f t="shared" si="339"/>
        <v>1160</v>
      </c>
      <c r="W118" s="18">
        <f t="shared" si="307"/>
        <v>86</v>
      </c>
      <c r="X118" s="131"/>
      <c r="Y118" s="41">
        <f t="shared" si="341"/>
        <v>86</v>
      </c>
      <c r="Z118" s="487"/>
      <c r="AA118" s="118">
        <v>28</v>
      </c>
      <c r="AB118" s="575">
        <v>16</v>
      </c>
      <c r="AC118" s="129"/>
      <c r="AD118" s="400">
        <f t="shared" si="397"/>
        <v>0</v>
      </c>
      <c r="AE118" s="561">
        <f t="shared" si="393"/>
        <v>0</v>
      </c>
      <c r="AF118" s="130"/>
      <c r="AG118" s="131"/>
      <c r="AH118" s="131"/>
      <c r="AI118" s="11">
        <f t="shared" si="473"/>
        <v>0</v>
      </c>
      <c r="AJ118" s="11">
        <f t="shared" si="490"/>
        <v>0</v>
      </c>
      <c r="AK118" s="11">
        <f t="shared" si="308"/>
        <v>0.16</v>
      </c>
      <c r="AL118" s="42">
        <f t="shared" si="366"/>
        <v>0</v>
      </c>
      <c r="AM118" s="21">
        <f t="shared" si="309"/>
        <v>4.160000000000001</v>
      </c>
      <c r="AN118" s="165">
        <f t="shared" si="503"/>
        <v>0</v>
      </c>
      <c r="AO118" s="158"/>
      <c r="AP118" s="11">
        <f t="shared" si="310"/>
        <v>71</v>
      </c>
      <c r="AQ118" s="441">
        <f t="shared" si="311"/>
        <v>0</v>
      </c>
      <c r="AR118" s="469">
        <f t="shared" si="425"/>
        <v>0</v>
      </c>
      <c r="AS118" s="58">
        <f t="shared" si="312"/>
        <v>1160</v>
      </c>
      <c r="AT118" s="131"/>
      <c r="AU118" s="41">
        <f t="shared" si="398"/>
        <v>1160</v>
      </c>
      <c r="AV118" s="18">
        <f t="shared" si="313"/>
        <v>86</v>
      </c>
      <c r="AW118" s="131"/>
      <c r="AX118" s="41">
        <f t="shared" si="360"/>
        <v>86</v>
      </c>
      <c r="AZ118" s="118">
        <v>28</v>
      </c>
      <c r="BA118" s="575">
        <v>16</v>
      </c>
      <c r="BB118" s="129"/>
      <c r="BC118" s="400">
        <f t="shared" si="399"/>
        <v>116143</v>
      </c>
      <c r="BD118" s="561">
        <f t="shared" si="394"/>
        <v>116143</v>
      </c>
      <c r="BE118" s="130"/>
      <c r="BF118" s="131"/>
      <c r="BG118" s="131"/>
      <c r="BH118" s="11">
        <f t="shared" si="477"/>
        <v>0</v>
      </c>
      <c r="BI118" s="11">
        <f t="shared" si="492"/>
        <v>3926</v>
      </c>
      <c r="BJ118" s="11">
        <f t="shared" si="314"/>
        <v>0.16</v>
      </c>
      <c r="BK118" s="42">
        <f t="shared" si="368"/>
        <v>0</v>
      </c>
      <c r="BL118" s="21">
        <f t="shared" si="315"/>
        <v>4.160000000000001</v>
      </c>
      <c r="BM118" s="210">
        <f t="shared" si="359"/>
        <v>3.2697865394065078</v>
      </c>
      <c r="BN118" s="158"/>
      <c r="BO118" s="11">
        <f t="shared" si="316"/>
        <v>71</v>
      </c>
      <c r="BP118" s="441">
        <f t="shared" si="317"/>
        <v>0</v>
      </c>
      <c r="BQ118" s="469">
        <f t="shared" si="426"/>
        <v>314.58428346602915</v>
      </c>
      <c r="BR118" s="58">
        <f t="shared" si="318"/>
        <v>1160</v>
      </c>
      <c r="BS118" s="131"/>
      <c r="BT118" s="41">
        <f t="shared" si="400"/>
        <v>1160</v>
      </c>
      <c r="BU118" s="18">
        <f t="shared" si="319"/>
        <v>86</v>
      </c>
      <c r="BV118" s="131"/>
      <c r="BW118" s="41">
        <f t="shared" si="361"/>
        <v>86</v>
      </c>
      <c r="BY118" s="118">
        <v>28</v>
      </c>
      <c r="BZ118" s="575">
        <v>16</v>
      </c>
      <c r="CA118" s="129"/>
      <c r="CB118" s="400">
        <f t="shared" si="401"/>
        <v>0</v>
      </c>
      <c r="CC118" s="561">
        <f t="shared" si="395"/>
        <v>0</v>
      </c>
      <c r="CD118" s="130"/>
      <c r="CE118" s="131"/>
      <c r="CF118" s="131"/>
      <c r="CG118" s="11">
        <f t="shared" si="481"/>
        <v>0</v>
      </c>
      <c r="CH118" s="11">
        <f t="shared" si="494"/>
        <v>0</v>
      </c>
      <c r="CI118" s="11">
        <f t="shared" si="320"/>
        <v>0.16</v>
      </c>
      <c r="CJ118" s="42">
        <f t="shared" si="370"/>
        <v>0</v>
      </c>
      <c r="CK118" s="21">
        <f t="shared" si="321"/>
        <v>4.160000000000001</v>
      </c>
      <c r="CL118" s="165">
        <f t="shared" si="512"/>
        <v>0</v>
      </c>
      <c r="CM118" s="158"/>
      <c r="CN118" s="11">
        <f t="shared" si="322"/>
        <v>71</v>
      </c>
      <c r="CO118" s="441">
        <f t="shared" si="323"/>
        <v>0</v>
      </c>
      <c r="CP118" s="469">
        <f t="shared" si="427"/>
        <v>0</v>
      </c>
      <c r="CQ118" s="58">
        <f t="shared" si="324"/>
        <v>1160</v>
      </c>
      <c r="CR118" s="131"/>
      <c r="CS118" s="41">
        <f t="shared" si="402"/>
        <v>1160</v>
      </c>
      <c r="CT118" s="18">
        <f t="shared" si="325"/>
        <v>86</v>
      </c>
      <c r="CU118" s="131"/>
      <c r="CV118" s="41">
        <f t="shared" si="362"/>
        <v>86</v>
      </c>
      <c r="CX118" s="118">
        <v>28</v>
      </c>
      <c r="CY118" s="575">
        <v>16</v>
      </c>
      <c r="CZ118" s="129"/>
      <c r="DA118" s="400">
        <f t="shared" si="403"/>
        <v>0</v>
      </c>
      <c r="DB118" s="561">
        <f t="shared" si="396"/>
        <v>0</v>
      </c>
      <c r="DC118" s="130"/>
      <c r="DD118" s="131"/>
      <c r="DE118" s="131"/>
      <c r="DF118" s="11">
        <f t="shared" si="485"/>
        <v>0</v>
      </c>
      <c r="DG118" s="11">
        <f t="shared" si="496"/>
        <v>0</v>
      </c>
      <c r="DH118" s="11">
        <f t="shared" si="326"/>
        <v>0.16</v>
      </c>
      <c r="DI118" s="42">
        <f t="shared" si="372"/>
        <v>0</v>
      </c>
      <c r="DJ118" s="21">
        <f t="shared" si="327"/>
        <v>4.160000000000001</v>
      </c>
      <c r="DK118" s="165">
        <f t="shared" si="517"/>
        <v>0</v>
      </c>
      <c r="DL118" s="158"/>
      <c r="DM118" s="11">
        <f t="shared" si="328"/>
        <v>71</v>
      </c>
      <c r="DN118" s="441">
        <f t="shared" si="329"/>
        <v>0</v>
      </c>
      <c r="DO118" s="469">
        <f t="shared" si="428"/>
        <v>0</v>
      </c>
      <c r="DP118" s="58">
        <f t="shared" si="330"/>
        <v>1160</v>
      </c>
      <c r="DQ118" s="131"/>
      <c r="DR118" s="41">
        <f t="shared" si="404"/>
        <v>1160</v>
      </c>
      <c r="DS118" s="18">
        <f t="shared" si="331"/>
        <v>86</v>
      </c>
      <c r="DT118" s="131"/>
      <c r="DU118" s="41">
        <f t="shared" si="363"/>
        <v>86</v>
      </c>
    </row>
    <row r="119" spans="1:125" x14ac:dyDescent="0.25">
      <c r="B119" s="120">
        <f>B118+1</f>
        <v>29</v>
      </c>
      <c r="C119" s="570">
        <f>C118</f>
        <v>16</v>
      </c>
      <c r="D119" s="133"/>
      <c r="E119" s="408">
        <f t="shared" si="334"/>
        <v>171956</v>
      </c>
      <c r="F119" s="562">
        <f t="shared" si="301"/>
        <v>171956</v>
      </c>
      <c r="G119" s="134"/>
      <c r="H119" s="135"/>
      <c r="I119" s="135"/>
      <c r="J119" s="14">
        <f t="shared" si="364"/>
        <v>0</v>
      </c>
      <c r="K119" s="14">
        <f t="shared" si="335"/>
        <v>4875</v>
      </c>
      <c r="L119" s="14">
        <f t="shared" si="302"/>
        <v>0.16</v>
      </c>
      <c r="M119" s="47">
        <f t="shared" si="358"/>
        <v>0</v>
      </c>
      <c r="N119" s="35">
        <f t="shared" si="303"/>
        <v>4.160000000000001</v>
      </c>
      <c r="O119" s="159">
        <f t="shared" si="336"/>
        <v>2.7568695534154077</v>
      </c>
      <c r="P119" s="142"/>
      <c r="Q119" s="14">
        <f t="shared" si="304"/>
        <v>71</v>
      </c>
      <c r="R119" s="480">
        <f t="shared" si="305"/>
        <v>0</v>
      </c>
      <c r="S119" s="470">
        <f t="shared" si="337"/>
        <v>328.79467076367098</v>
      </c>
      <c r="T119" s="51">
        <f t="shared" si="306"/>
        <v>1160</v>
      </c>
      <c r="U119" s="103">
        <f>U118</f>
        <v>0</v>
      </c>
      <c r="V119" s="46">
        <f t="shared" si="339"/>
        <v>1160</v>
      </c>
      <c r="W119" s="51">
        <f t="shared" si="307"/>
        <v>86</v>
      </c>
      <c r="X119" s="103">
        <f>X118</f>
        <v>0</v>
      </c>
      <c r="Y119" s="46">
        <f t="shared" si="341"/>
        <v>86</v>
      </c>
      <c r="Z119" s="487"/>
      <c r="AA119" s="120">
        <f>AA118+1</f>
        <v>29</v>
      </c>
      <c r="AB119" s="570">
        <f>AB118</f>
        <v>16</v>
      </c>
      <c r="AC119" s="133"/>
      <c r="AD119" s="408">
        <f t="shared" si="397"/>
        <v>0</v>
      </c>
      <c r="AE119" s="562">
        <f t="shared" si="393"/>
        <v>0</v>
      </c>
      <c r="AF119" s="134"/>
      <c r="AG119" s="135"/>
      <c r="AH119" s="135"/>
      <c r="AI119" s="14">
        <f t="shared" si="473"/>
        <v>0</v>
      </c>
      <c r="AJ119" s="14">
        <f t="shared" si="490"/>
        <v>0</v>
      </c>
      <c r="AK119" s="14">
        <f t="shared" si="308"/>
        <v>0.16</v>
      </c>
      <c r="AL119" s="47">
        <f t="shared" si="366"/>
        <v>0</v>
      </c>
      <c r="AM119" s="35">
        <f t="shared" si="309"/>
        <v>4.160000000000001</v>
      </c>
      <c r="AN119" s="159">
        <f t="shared" si="503"/>
        <v>0</v>
      </c>
      <c r="AO119" s="142"/>
      <c r="AP119" s="14">
        <f t="shared" si="310"/>
        <v>71</v>
      </c>
      <c r="AQ119" s="480">
        <f t="shared" si="311"/>
        <v>0</v>
      </c>
      <c r="AR119" s="470">
        <f t="shared" si="425"/>
        <v>0</v>
      </c>
      <c r="AS119" s="51">
        <f t="shared" si="312"/>
        <v>1160</v>
      </c>
      <c r="AT119" s="103">
        <f>AT118</f>
        <v>0</v>
      </c>
      <c r="AU119" s="46">
        <f t="shared" si="398"/>
        <v>1160</v>
      </c>
      <c r="AV119" s="51">
        <f t="shared" si="313"/>
        <v>86</v>
      </c>
      <c r="AW119" s="103">
        <f>AW118</f>
        <v>0</v>
      </c>
      <c r="AX119" s="46">
        <f t="shared" si="360"/>
        <v>86</v>
      </c>
      <c r="AZ119" s="120">
        <f>AZ118+1</f>
        <v>29</v>
      </c>
      <c r="BA119" s="570">
        <f>BA118</f>
        <v>16</v>
      </c>
      <c r="BB119" s="133"/>
      <c r="BC119" s="408">
        <f t="shared" si="399"/>
        <v>116143</v>
      </c>
      <c r="BD119" s="562">
        <f t="shared" si="394"/>
        <v>116143</v>
      </c>
      <c r="BE119" s="134"/>
      <c r="BF119" s="135"/>
      <c r="BG119" s="135"/>
      <c r="BH119" s="14">
        <f t="shared" si="477"/>
        <v>0</v>
      </c>
      <c r="BI119" s="14">
        <f t="shared" si="492"/>
        <v>3926</v>
      </c>
      <c r="BJ119" s="14">
        <f t="shared" si="314"/>
        <v>0.16</v>
      </c>
      <c r="BK119" s="47">
        <f t="shared" si="368"/>
        <v>0</v>
      </c>
      <c r="BL119" s="35">
        <f t="shared" si="315"/>
        <v>4.160000000000001</v>
      </c>
      <c r="BM119" s="159">
        <f t="shared" si="359"/>
        <v>3.2697865394065078</v>
      </c>
      <c r="BN119" s="142"/>
      <c r="BO119" s="14">
        <f t="shared" si="316"/>
        <v>71</v>
      </c>
      <c r="BP119" s="480">
        <f t="shared" si="317"/>
        <v>0</v>
      </c>
      <c r="BQ119" s="470">
        <f t="shared" si="426"/>
        <v>314.58428346602915</v>
      </c>
      <c r="BR119" s="51">
        <f t="shared" si="318"/>
        <v>1160</v>
      </c>
      <c r="BS119" s="103">
        <f>BS118</f>
        <v>0</v>
      </c>
      <c r="BT119" s="46">
        <f t="shared" si="400"/>
        <v>1160</v>
      </c>
      <c r="BU119" s="51">
        <f t="shared" si="319"/>
        <v>86</v>
      </c>
      <c r="BV119" s="103">
        <f>BV118</f>
        <v>0</v>
      </c>
      <c r="BW119" s="46">
        <f t="shared" si="361"/>
        <v>86</v>
      </c>
      <c r="BY119" s="120">
        <f>BY118+1</f>
        <v>29</v>
      </c>
      <c r="BZ119" s="570">
        <f>BZ118</f>
        <v>16</v>
      </c>
      <c r="CA119" s="133"/>
      <c r="CB119" s="408">
        <f t="shared" si="401"/>
        <v>0</v>
      </c>
      <c r="CC119" s="562">
        <f t="shared" si="395"/>
        <v>0</v>
      </c>
      <c r="CD119" s="134"/>
      <c r="CE119" s="135"/>
      <c r="CF119" s="135"/>
      <c r="CG119" s="14">
        <f t="shared" si="481"/>
        <v>0</v>
      </c>
      <c r="CH119" s="14">
        <f t="shared" si="494"/>
        <v>0</v>
      </c>
      <c r="CI119" s="14">
        <f t="shared" si="320"/>
        <v>0.16</v>
      </c>
      <c r="CJ119" s="47">
        <f t="shared" si="370"/>
        <v>0</v>
      </c>
      <c r="CK119" s="35">
        <f t="shared" si="321"/>
        <v>4.160000000000001</v>
      </c>
      <c r="CL119" s="159">
        <f t="shared" si="512"/>
        <v>0</v>
      </c>
      <c r="CM119" s="142"/>
      <c r="CN119" s="14">
        <f t="shared" si="322"/>
        <v>71</v>
      </c>
      <c r="CO119" s="480">
        <f t="shared" si="323"/>
        <v>0</v>
      </c>
      <c r="CP119" s="470">
        <f t="shared" si="427"/>
        <v>0</v>
      </c>
      <c r="CQ119" s="51">
        <f t="shared" si="324"/>
        <v>1160</v>
      </c>
      <c r="CR119" s="103">
        <f>CR118</f>
        <v>0</v>
      </c>
      <c r="CS119" s="46">
        <f t="shared" si="402"/>
        <v>1160</v>
      </c>
      <c r="CT119" s="51">
        <f t="shared" si="325"/>
        <v>86</v>
      </c>
      <c r="CU119" s="103">
        <f>CU118</f>
        <v>0</v>
      </c>
      <c r="CV119" s="46">
        <f t="shared" si="362"/>
        <v>86</v>
      </c>
      <c r="CX119" s="120">
        <f>CX118+1</f>
        <v>29</v>
      </c>
      <c r="CY119" s="570">
        <f>CY118</f>
        <v>16</v>
      </c>
      <c r="CZ119" s="133"/>
      <c r="DA119" s="408">
        <f t="shared" si="403"/>
        <v>0</v>
      </c>
      <c r="DB119" s="562">
        <f t="shared" si="396"/>
        <v>0</v>
      </c>
      <c r="DC119" s="134"/>
      <c r="DD119" s="135"/>
      <c r="DE119" s="135"/>
      <c r="DF119" s="14">
        <f t="shared" si="485"/>
        <v>0</v>
      </c>
      <c r="DG119" s="14">
        <f t="shared" si="496"/>
        <v>0</v>
      </c>
      <c r="DH119" s="14">
        <f t="shared" si="326"/>
        <v>0.16</v>
      </c>
      <c r="DI119" s="47">
        <f t="shared" si="372"/>
        <v>0</v>
      </c>
      <c r="DJ119" s="35">
        <f t="shared" si="327"/>
        <v>4.160000000000001</v>
      </c>
      <c r="DK119" s="159">
        <f t="shared" si="517"/>
        <v>0</v>
      </c>
      <c r="DL119" s="142"/>
      <c r="DM119" s="14">
        <f t="shared" si="328"/>
        <v>71</v>
      </c>
      <c r="DN119" s="480">
        <f t="shared" si="329"/>
        <v>0</v>
      </c>
      <c r="DO119" s="470">
        <f t="shared" si="428"/>
        <v>0</v>
      </c>
      <c r="DP119" s="51">
        <f t="shared" si="330"/>
        <v>1160</v>
      </c>
      <c r="DQ119" s="103">
        <f>DQ118</f>
        <v>0</v>
      </c>
      <c r="DR119" s="46">
        <f t="shared" si="404"/>
        <v>1160</v>
      </c>
      <c r="DS119" s="51">
        <f t="shared" si="331"/>
        <v>86</v>
      </c>
      <c r="DT119" s="103">
        <f>DT118</f>
        <v>0</v>
      </c>
      <c r="DU119" s="46">
        <f t="shared" si="363"/>
        <v>86</v>
      </c>
    </row>
    <row r="120" spans="1:125" x14ac:dyDescent="0.25">
      <c r="B120" s="120">
        <f t="shared" ref="B120:B124" si="520">B119+1</f>
        <v>30</v>
      </c>
      <c r="C120" s="570">
        <f t="shared" ref="C120:C124" si="521">C119</f>
        <v>16</v>
      </c>
      <c r="D120" s="133"/>
      <c r="E120" s="408">
        <f t="shared" si="334"/>
        <v>171956</v>
      </c>
      <c r="F120" s="562">
        <f t="shared" si="301"/>
        <v>171956</v>
      </c>
      <c r="G120" s="134"/>
      <c r="H120" s="135"/>
      <c r="I120" s="135"/>
      <c r="J120" s="14">
        <f t="shared" si="364"/>
        <v>0</v>
      </c>
      <c r="K120" s="14">
        <f t="shared" si="335"/>
        <v>4875</v>
      </c>
      <c r="L120" s="14">
        <f t="shared" si="302"/>
        <v>0.16</v>
      </c>
      <c r="M120" s="47">
        <f t="shared" si="358"/>
        <v>0</v>
      </c>
      <c r="N120" s="35">
        <f t="shared" si="303"/>
        <v>4.160000000000001</v>
      </c>
      <c r="O120" s="159">
        <f t="shared" si="336"/>
        <v>2.7568695534154077</v>
      </c>
      <c r="P120" s="142"/>
      <c r="Q120" s="14">
        <f t="shared" si="304"/>
        <v>71</v>
      </c>
      <c r="R120" s="482">
        <f t="shared" si="305"/>
        <v>0</v>
      </c>
      <c r="S120" s="470">
        <f t="shared" si="337"/>
        <v>328.79467076367098</v>
      </c>
      <c r="T120" s="51">
        <f t="shared" si="306"/>
        <v>1160</v>
      </c>
      <c r="U120" s="103">
        <f t="shared" ref="U120:U124" si="522">U119</f>
        <v>0</v>
      </c>
      <c r="V120" s="46">
        <f t="shared" si="339"/>
        <v>1160</v>
      </c>
      <c r="W120" s="12">
        <f t="shared" si="307"/>
        <v>86</v>
      </c>
      <c r="X120" s="103">
        <f t="shared" ref="X120:X124" si="523">X119</f>
        <v>0</v>
      </c>
      <c r="Y120" s="46">
        <f t="shared" si="341"/>
        <v>86</v>
      </c>
      <c r="Z120" s="487"/>
      <c r="AA120" s="120">
        <f t="shared" ref="AA120:AA124" si="524">AA119+1</f>
        <v>30</v>
      </c>
      <c r="AB120" s="570">
        <f t="shared" ref="AB120:AB124" si="525">AB119</f>
        <v>16</v>
      </c>
      <c r="AC120" s="133"/>
      <c r="AD120" s="408">
        <f t="shared" si="397"/>
        <v>0</v>
      </c>
      <c r="AE120" s="562">
        <f t="shared" si="393"/>
        <v>0</v>
      </c>
      <c r="AF120" s="134"/>
      <c r="AG120" s="135"/>
      <c r="AH120" s="135"/>
      <c r="AI120" s="14">
        <f t="shared" si="473"/>
        <v>0</v>
      </c>
      <c r="AJ120" s="14">
        <f t="shared" si="490"/>
        <v>0</v>
      </c>
      <c r="AK120" s="14">
        <f t="shared" si="308"/>
        <v>0.16</v>
      </c>
      <c r="AL120" s="47">
        <f t="shared" si="366"/>
        <v>0</v>
      </c>
      <c r="AM120" s="35">
        <f t="shared" si="309"/>
        <v>4.160000000000001</v>
      </c>
      <c r="AN120" s="159">
        <f t="shared" si="503"/>
        <v>0</v>
      </c>
      <c r="AO120" s="142"/>
      <c r="AP120" s="14">
        <f t="shared" si="310"/>
        <v>71</v>
      </c>
      <c r="AQ120" s="482">
        <f t="shared" si="311"/>
        <v>0</v>
      </c>
      <c r="AR120" s="470">
        <f t="shared" si="425"/>
        <v>0</v>
      </c>
      <c r="AS120" s="51">
        <f t="shared" si="312"/>
        <v>1160</v>
      </c>
      <c r="AT120" s="103">
        <f t="shared" ref="AT120:AT124" si="526">AT119</f>
        <v>0</v>
      </c>
      <c r="AU120" s="46">
        <f t="shared" si="398"/>
        <v>1160</v>
      </c>
      <c r="AV120" s="12">
        <f t="shared" si="313"/>
        <v>86</v>
      </c>
      <c r="AW120" s="103">
        <f t="shared" ref="AW120:AW124" si="527">AW119</f>
        <v>0</v>
      </c>
      <c r="AX120" s="46">
        <f t="shared" si="360"/>
        <v>86</v>
      </c>
      <c r="AZ120" s="120">
        <f t="shared" ref="AZ120:AZ124" si="528">AZ119+1</f>
        <v>30</v>
      </c>
      <c r="BA120" s="570">
        <f t="shared" ref="BA120:BA124" si="529">BA119</f>
        <v>16</v>
      </c>
      <c r="BB120" s="133"/>
      <c r="BC120" s="408">
        <f t="shared" si="399"/>
        <v>116143</v>
      </c>
      <c r="BD120" s="562">
        <f t="shared" si="394"/>
        <v>116143</v>
      </c>
      <c r="BE120" s="134"/>
      <c r="BF120" s="135"/>
      <c r="BG120" s="135"/>
      <c r="BH120" s="14">
        <f t="shared" si="477"/>
        <v>0</v>
      </c>
      <c r="BI120" s="14">
        <f t="shared" si="492"/>
        <v>3926</v>
      </c>
      <c r="BJ120" s="14">
        <f t="shared" si="314"/>
        <v>0.16</v>
      </c>
      <c r="BK120" s="47">
        <f t="shared" si="368"/>
        <v>0</v>
      </c>
      <c r="BL120" s="35">
        <f t="shared" si="315"/>
        <v>4.160000000000001</v>
      </c>
      <c r="BM120" s="159">
        <f t="shared" si="359"/>
        <v>3.2697865394065078</v>
      </c>
      <c r="BN120" s="142"/>
      <c r="BO120" s="14">
        <f t="shared" si="316"/>
        <v>71</v>
      </c>
      <c r="BP120" s="482">
        <f t="shared" si="317"/>
        <v>0</v>
      </c>
      <c r="BQ120" s="470">
        <f t="shared" si="426"/>
        <v>314.58428346602915</v>
      </c>
      <c r="BR120" s="51">
        <f t="shared" si="318"/>
        <v>1160</v>
      </c>
      <c r="BS120" s="103">
        <f t="shared" ref="BS120:BS124" si="530">BS119</f>
        <v>0</v>
      </c>
      <c r="BT120" s="46">
        <f t="shared" si="400"/>
        <v>1160</v>
      </c>
      <c r="BU120" s="12">
        <f t="shared" si="319"/>
        <v>86</v>
      </c>
      <c r="BV120" s="103">
        <f t="shared" ref="BV120:BV124" si="531">BV119</f>
        <v>0</v>
      </c>
      <c r="BW120" s="46">
        <f t="shared" si="361"/>
        <v>86</v>
      </c>
      <c r="BY120" s="120">
        <f t="shared" ref="BY120:BY124" si="532">BY119+1</f>
        <v>30</v>
      </c>
      <c r="BZ120" s="570">
        <f t="shared" ref="BZ120:BZ124" si="533">BZ119</f>
        <v>16</v>
      </c>
      <c r="CA120" s="133"/>
      <c r="CB120" s="408">
        <f t="shared" si="401"/>
        <v>0</v>
      </c>
      <c r="CC120" s="562">
        <f t="shared" si="395"/>
        <v>0</v>
      </c>
      <c r="CD120" s="134"/>
      <c r="CE120" s="135"/>
      <c r="CF120" s="135"/>
      <c r="CG120" s="14">
        <f t="shared" si="481"/>
        <v>0</v>
      </c>
      <c r="CH120" s="14">
        <f t="shared" si="494"/>
        <v>0</v>
      </c>
      <c r="CI120" s="14">
        <f t="shared" si="320"/>
        <v>0.16</v>
      </c>
      <c r="CJ120" s="47">
        <f t="shared" si="370"/>
        <v>0</v>
      </c>
      <c r="CK120" s="35">
        <f t="shared" si="321"/>
        <v>4.160000000000001</v>
      </c>
      <c r="CL120" s="159">
        <f t="shared" si="512"/>
        <v>0</v>
      </c>
      <c r="CM120" s="142"/>
      <c r="CN120" s="14">
        <f t="shared" si="322"/>
        <v>71</v>
      </c>
      <c r="CO120" s="482">
        <f t="shared" si="323"/>
        <v>0</v>
      </c>
      <c r="CP120" s="470">
        <f t="shared" si="427"/>
        <v>0</v>
      </c>
      <c r="CQ120" s="51">
        <f t="shared" si="324"/>
        <v>1160</v>
      </c>
      <c r="CR120" s="103">
        <f t="shared" ref="CR120:CR124" si="534">CR119</f>
        <v>0</v>
      </c>
      <c r="CS120" s="46">
        <f t="shared" si="402"/>
        <v>1160</v>
      </c>
      <c r="CT120" s="12">
        <f t="shared" si="325"/>
        <v>86</v>
      </c>
      <c r="CU120" s="103">
        <f t="shared" ref="CU120:CU124" si="535">CU119</f>
        <v>0</v>
      </c>
      <c r="CV120" s="46">
        <f t="shared" si="362"/>
        <v>86</v>
      </c>
      <c r="CX120" s="120">
        <f t="shared" ref="CX120:CX124" si="536">CX119+1</f>
        <v>30</v>
      </c>
      <c r="CY120" s="570">
        <f t="shared" ref="CY120:CY124" si="537">CY119</f>
        <v>16</v>
      </c>
      <c r="CZ120" s="133"/>
      <c r="DA120" s="408">
        <f t="shared" si="403"/>
        <v>0</v>
      </c>
      <c r="DB120" s="562">
        <f t="shared" si="396"/>
        <v>0</v>
      </c>
      <c r="DC120" s="134"/>
      <c r="DD120" s="135"/>
      <c r="DE120" s="135"/>
      <c r="DF120" s="14">
        <f t="shared" si="485"/>
        <v>0</v>
      </c>
      <c r="DG120" s="14">
        <f t="shared" si="496"/>
        <v>0</v>
      </c>
      <c r="DH120" s="14">
        <f t="shared" si="326"/>
        <v>0.16</v>
      </c>
      <c r="DI120" s="47">
        <f t="shared" si="372"/>
        <v>0</v>
      </c>
      <c r="DJ120" s="35">
        <f t="shared" si="327"/>
        <v>4.160000000000001</v>
      </c>
      <c r="DK120" s="159">
        <f t="shared" si="517"/>
        <v>0</v>
      </c>
      <c r="DL120" s="142"/>
      <c r="DM120" s="14">
        <f t="shared" si="328"/>
        <v>71</v>
      </c>
      <c r="DN120" s="482">
        <f t="shared" si="329"/>
        <v>0</v>
      </c>
      <c r="DO120" s="470">
        <f t="shared" si="428"/>
        <v>0</v>
      </c>
      <c r="DP120" s="51">
        <f t="shared" si="330"/>
        <v>1160</v>
      </c>
      <c r="DQ120" s="103">
        <f t="shared" ref="DQ120:DQ124" si="538">DQ119</f>
        <v>0</v>
      </c>
      <c r="DR120" s="46">
        <f t="shared" si="404"/>
        <v>1160</v>
      </c>
      <c r="DS120" s="12">
        <f t="shared" si="331"/>
        <v>86</v>
      </c>
      <c r="DT120" s="103">
        <f t="shared" ref="DT120:DT124" si="539">DT119</f>
        <v>0</v>
      </c>
      <c r="DU120" s="46">
        <f t="shared" si="363"/>
        <v>86</v>
      </c>
    </row>
    <row r="121" spans="1:125" ht="18" x14ac:dyDescent="0.25">
      <c r="A121" s="815" t="s">
        <v>196</v>
      </c>
      <c r="B121" s="502">
        <v>1</v>
      </c>
      <c r="C121" s="577">
        <f t="shared" si="521"/>
        <v>16</v>
      </c>
      <c r="D121" s="528"/>
      <c r="E121" s="564">
        <f t="shared" si="334"/>
        <v>171956</v>
      </c>
      <c r="F121" s="582">
        <f t="shared" si="301"/>
        <v>171956</v>
      </c>
      <c r="G121" s="519"/>
      <c r="H121" s="520"/>
      <c r="I121" s="520"/>
      <c r="J121" s="521">
        <f t="shared" si="364"/>
        <v>0</v>
      </c>
      <c r="K121" s="521">
        <f t="shared" si="335"/>
        <v>4875</v>
      </c>
      <c r="L121" s="521">
        <f t="shared" si="302"/>
        <v>0.16</v>
      </c>
      <c r="M121" s="529">
        <f t="shared" si="358"/>
        <v>0</v>
      </c>
      <c r="N121" s="522">
        <f t="shared" si="303"/>
        <v>4.160000000000001</v>
      </c>
      <c r="O121" s="817">
        <f t="shared" si="336"/>
        <v>2.7568695534154077</v>
      </c>
      <c r="P121" s="578"/>
      <c r="Q121" s="521">
        <f t="shared" si="304"/>
        <v>71</v>
      </c>
      <c r="R121" s="696">
        <f t="shared" si="305"/>
        <v>0</v>
      </c>
      <c r="S121" s="524">
        <f t="shared" si="337"/>
        <v>328.79467076367098</v>
      </c>
      <c r="T121" s="525">
        <f t="shared" si="306"/>
        <v>1160</v>
      </c>
      <c r="U121" s="514">
        <f t="shared" si="522"/>
        <v>0</v>
      </c>
      <c r="V121" s="526">
        <f t="shared" si="339"/>
        <v>1160</v>
      </c>
      <c r="W121" s="525">
        <f t="shared" si="307"/>
        <v>86</v>
      </c>
      <c r="X121" s="514">
        <f t="shared" si="523"/>
        <v>0</v>
      </c>
      <c r="Y121" s="526">
        <f t="shared" si="341"/>
        <v>86</v>
      </c>
      <c r="Z121" s="815" t="s">
        <v>196</v>
      </c>
      <c r="AA121" s="502">
        <v>1</v>
      </c>
      <c r="AB121" s="577">
        <f t="shared" si="525"/>
        <v>16</v>
      </c>
      <c r="AC121" s="528"/>
      <c r="AD121" s="564">
        <f t="shared" si="397"/>
        <v>0</v>
      </c>
      <c r="AE121" s="582">
        <f t="shared" si="393"/>
        <v>0</v>
      </c>
      <c r="AF121" s="519"/>
      <c r="AG121" s="520"/>
      <c r="AH121" s="520"/>
      <c r="AI121" s="521">
        <f t="shared" si="473"/>
        <v>0</v>
      </c>
      <c r="AJ121" s="521">
        <f t="shared" si="490"/>
        <v>0</v>
      </c>
      <c r="AK121" s="521">
        <f t="shared" si="308"/>
        <v>0.16</v>
      </c>
      <c r="AL121" s="529">
        <f t="shared" si="366"/>
        <v>0</v>
      </c>
      <c r="AM121" s="522">
        <f t="shared" si="309"/>
        <v>4.160000000000001</v>
      </c>
      <c r="AN121" s="817">
        <f t="shared" si="503"/>
        <v>0</v>
      </c>
      <c r="AO121" s="578"/>
      <c r="AP121" s="521">
        <f t="shared" si="310"/>
        <v>71</v>
      </c>
      <c r="AQ121" s="696">
        <f t="shared" si="311"/>
        <v>0</v>
      </c>
      <c r="AR121" s="524">
        <f t="shared" si="425"/>
        <v>0</v>
      </c>
      <c r="AS121" s="525">
        <f t="shared" si="312"/>
        <v>1160</v>
      </c>
      <c r="AT121" s="514">
        <f t="shared" si="526"/>
        <v>0</v>
      </c>
      <c r="AU121" s="526">
        <f t="shared" si="398"/>
        <v>1160</v>
      </c>
      <c r="AV121" s="525">
        <f t="shared" si="313"/>
        <v>86</v>
      </c>
      <c r="AW121" s="514">
        <f t="shared" si="527"/>
        <v>0</v>
      </c>
      <c r="AX121" s="526">
        <f t="shared" si="360"/>
        <v>86</v>
      </c>
      <c r="AY121" s="815" t="s">
        <v>196</v>
      </c>
      <c r="AZ121" s="502">
        <v>1</v>
      </c>
      <c r="BA121" s="577">
        <f t="shared" si="529"/>
        <v>16</v>
      </c>
      <c r="BB121" s="528"/>
      <c r="BC121" s="564">
        <f t="shared" si="399"/>
        <v>116143</v>
      </c>
      <c r="BD121" s="582">
        <f t="shared" si="394"/>
        <v>116143</v>
      </c>
      <c r="BE121" s="519"/>
      <c r="BF121" s="520"/>
      <c r="BG121" s="520"/>
      <c r="BH121" s="521">
        <f t="shared" si="477"/>
        <v>0</v>
      </c>
      <c r="BI121" s="521">
        <f t="shared" si="492"/>
        <v>3926</v>
      </c>
      <c r="BJ121" s="521">
        <f t="shared" si="314"/>
        <v>0.16</v>
      </c>
      <c r="BK121" s="529">
        <f t="shared" si="368"/>
        <v>0</v>
      </c>
      <c r="BL121" s="522">
        <f t="shared" si="315"/>
        <v>4.160000000000001</v>
      </c>
      <c r="BM121" s="817">
        <f t="shared" si="359"/>
        <v>3.2697865394065078</v>
      </c>
      <c r="BN121" s="578"/>
      <c r="BO121" s="521">
        <f t="shared" si="316"/>
        <v>71</v>
      </c>
      <c r="BP121" s="696">
        <f t="shared" si="317"/>
        <v>0</v>
      </c>
      <c r="BQ121" s="524">
        <f t="shared" si="426"/>
        <v>314.58428346602915</v>
      </c>
      <c r="BR121" s="525">
        <f t="shared" si="318"/>
        <v>1160</v>
      </c>
      <c r="BS121" s="514">
        <f t="shared" si="530"/>
        <v>0</v>
      </c>
      <c r="BT121" s="526">
        <f t="shared" si="400"/>
        <v>1160</v>
      </c>
      <c r="BU121" s="525">
        <f t="shared" si="319"/>
        <v>86</v>
      </c>
      <c r="BV121" s="514">
        <f t="shared" si="531"/>
        <v>0</v>
      </c>
      <c r="BW121" s="526">
        <f t="shared" si="361"/>
        <v>86</v>
      </c>
      <c r="BX121" s="815" t="s">
        <v>196</v>
      </c>
      <c r="BY121" s="502">
        <v>1</v>
      </c>
      <c r="BZ121" s="577">
        <f t="shared" si="533"/>
        <v>16</v>
      </c>
      <c r="CA121" s="528"/>
      <c r="CB121" s="564">
        <f t="shared" si="401"/>
        <v>0</v>
      </c>
      <c r="CC121" s="582">
        <f t="shared" si="395"/>
        <v>0</v>
      </c>
      <c r="CD121" s="519"/>
      <c r="CE121" s="520"/>
      <c r="CF121" s="520"/>
      <c r="CG121" s="521">
        <f t="shared" si="481"/>
        <v>0</v>
      </c>
      <c r="CH121" s="521">
        <f t="shared" si="494"/>
        <v>0</v>
      </c>
      <c r="CI121" s="521">
        <f t="shared" si="320"/>
        <v>0.16</v>
      </c>
      <c r="CJ121" s="529">
        <f t="shared" si="370"/>
        <v>0</v>
      </c>
      <c r="CK121" s="522">
        <f t="shared" si="321"/>
        <v>4.160000000000001</v>
      </c>
      <c r="CL121" s="817">
        <f t="shared" si="512"/>
        <v>0</v>
      </c>
      <c r="CM121" s="578"/>
      <c r="CN121" s="521">
        <f t="shared" si="322"/>
        <v>71</v>
      </c>
      <c r="CO121" s="696">
        <f t="shared" si="323"/>
        <v>0</v>
      </c>
      <c r="CP121" s="524">
        <f t="shared" si="427"/>
        <v>0</v>
      </c>
      <c r="CQ121" s="525">
        <f t="shared" si="324"/>
        <v>1160</v>
      </c>
      <c r="CR121" s="514">
        <f t="shared" si="534"/>
        <v>0</v>
      </c>
      <c r="CS121" s="526">
        <f t="shared" si="402"/>
        <v>1160</v>
      </c>
      <c r="CT121" s="525">
        <f t="shared" si="325"/>
        <v>86</v>
      </c>
      <c r="CU121" s="514">
        <f t="shared" si="535"/>
        <v>0</v>
      </c>
      <c r="CV121" s="526">
        <f t="shared" si="362"/>
        <v>86</v>
      </c>
      <c r="CW121" s="815" t="s">
        <v>196</v>
      </c>
      <c r="CX121" s="502">
        <v>1</v>
      </c>
      <c r="CY121" s="577">
        <f t="shared" si="537"/>
        <v>16</v>
      </c>
      <c r="CZ121" s="528"/>
      <c r="DA121" s="564">
        <f t="shared" si="403"/>
        <v>0</v>
      </c>
      <c r="DB121" s="582">
        <f t="shared" si="396"/>
        <v>0</v>
      </c>
      <c r="DC121" s="519"/>
      <c r="DD121" s="520"/>
      <c r="DE121" s="520"/>
      <c r="DF121" s="521">
        <f t="shared" si="485"/>
        <v>0</v>
      </c>
      <c r="DG121" s="521">
        <f t="shared" si="496"/>
        <v>0</v>
      </c>
      <c r="DH121" s="521">
        <f t="shared" si="326"/>
        <v>0.16</v>
      </c>
      <c r="DI121" s="529">
        <f t="shared" si="372"/>
        <v>0</v>
      </c>
      <c r="DJ121" s="522">
        <f t="shared" si="327"/>
        <v>4.160000000000001</v>
      </c>
      <c r="DK121" s="817">
        <f t="shared" si="517"/>
        <v>0</v>
      </c>
      <c r="DL121" s="578"/>
      <c r="DM121" s="521">
        <f t="shared" si="328"/>
        <v>71</v>
      </c>
      <c r="DN121" s="696">
        <f t="shared" si="329"/>
        <v>0</v>
      </c>
      <c r="DO121" s="524">
        <f t="shared" si="428"/>
        <v>0</v>
      </c>
      <c r="DP121" s="525">
        <f t="shared" si="330"/>
        <v>1160</v>
      </c>
      <c r="DQ121" s="514">
        <f t="shared" si="538"/>
        <v>0</v>
      </c>
      <c r="DR121" s="526">
        <f t="shared" si="404"/>
        <v>1160</v>
      </c>
      <c r="DS121" s="525">
        <f t="shared" si="331"/>
        <v>86</v>
      </c>
      <c r="DT121" s="514">
        <f t="shared" si="539"/>
        <v>0</v>
      </c>
      <c r="DU121" s="526">
        <f t="shared" si="363"/>
        <v>86</v>
      </c>
    </row>
    <row r="122" spans="1:125" x14ac:dyDescent="0.25">
      <c r="B122" s="120">
        <f t="shared" si="520"/>
        <v>2</v>
      </c>
      <c r="C122" s="570">
        <f t="shared" si="521"/>
        <v>16</v>
      </c>
      <c r="D122" s="133"/>
      <c r="E122" s="408">
        <f t="shared" si="334"/>
        <v>171956</v>
      </c>
      <c r="F122" s="562">
        <f t="shared" si="301"/>
        <v>171956</v>
      </c>
      <c r="G122" s="134"/>
      <c r="H122" s="135"/>
      <c r="I122" s="135"/>
      <c r="J122" s="14">
        <f t="shared" si="364"/>
        <v>0</v>
      </c>
      <c r="K122" s="14">
        <f t="shared" si="335"/>
        <v>4875</v>
      </c>
      <c r="L122" s="14">
        <f t="shared" si="302"/>
        <v>0.16</v>
      </c>
      <c r="M122" s="47">
        <f t="shared" si="358"/>
        <v>0</v>
      </c>
      <c r="N122" s="35">
        <f t="shared" si="303"/>
        <v>4.160000000000001</v>
      </c>
      <c r="O122" s="159">
        <f t="shared" si="336"/>
        <v>2.7568695534154077</v>
      </c>
      <c r="P122" s="145"/>
      <c r="Q122" s="14">
        <f t="shared" si="304"/>
        <v>71</v>
      </c>
      <c r="R122" s="482">
        <f t="shared" si="305"/>
        <v>0</v>
      </c>
      <c r="S122" s="470">
        <f t="shared" si="337"/>
        <v>328.79467076367098</v>
      </c>
      <c r="T122" s="51">
        <f t="shared" si="306"/>
        <v>1160</v>
      </c>
      <c r="U122" s="103">
        <f t="shared" si="522"/>
        <v>0</v>
      </c>
      <c r="V122" s="46">
        <f t="shared" si="339"/>
        <v>1160</v>
      </c>
      <c r="W122" s="51">
        <f t="shared" si="307"/>
        <v>86</v>
      </c>
      <c r="X122" s="103">
        <f t="shared" si="523"/>
        <v>0</v>
      </c>
      <c r="Y122" s="46">
        <f t="shared" si="341"/>
        <v>86</v>
      </c>
      <c r="Z122" s="487"/>
      <c r="AA122" s="120">
        <f t="shared" si="524"/>
        <v>2</v>
      </c>
      <c r="AB122" s="570">
        <f t="shared" si="525"/>
        <v>16</v>
      </c>
      <c r="AC122" s="133"/>
      <c r="AD122" s="408">
        <f t="shared" si="397"/>
        <v>0</v>
      </c>
      <c r="AE122" s="562">
        <f t="shared" si="393"/>
        <v>0</v>
      </c>
      <c r="AF122" s="134"/>
      <c r="AG122" s="135"/>
      <c r="AH122" s="135"/>
      <c r="AI122" s="14">
        <f t="shared" si="473"/>
        <v>0</v>
      </c>
      <c r="AJ122" s="14">
        <f t="shared" si="490"/>
        <v>0</v>
      </c>
      <c r="AK122" s="14">
        <f t="shared" si="308"/>
        <v>0.16</v>
      </c>
      <c r="AL122" s="47">
        <f t="shared" si="366"/>
        <v>0</v>
      </c>
      <c r="AM122" s="35">
        <f t="shared" si="309"/>
        <v>4.160000000000001</v>
      </c>
      <c r="AN122" s="159">
        <f t="shared" si="503"/>
        <v>0</v>
      </c>
      <c r="AO122" s="145"/>
      <c r="AP122" s="14">
        <f t="shared" si="310"/>
        <v>71</v>
      </c>
      <c r="AQ122" s="482">
        <f t="shared" si="311"/>
        <v>0</v>
      </c>
      <c r="AR122" s="470">
        <f t="shared" si="425"/>
        <v>0</v>
      </c>
      <c r="AS122" s="51">
        <f t="shared" si="312"/>
        <v>1160</v>
      </c>
      <c r="AT122" s="103">
        <f t="shared" si="526"/>
        <v>0</v>
      </c>
      <c r="AU122" s="46">
        <f t="shared" si="398"/>
        <v>1160</v>
      </c>
      <c r="AV122" s="51">
        <f t="shared" si="313"/>
        <v>86</v>
      </c>
      <c r="AW122" s="103">
        <f t="shared" si="527"/>
        <v>0</v>
      </c>
      <c r="AX122" s="46">
        <f t="shared" si="360"/>
        <v>86</v>
      </c>
      <c r="AZ122" s="120">
        <f t="shared" si="528"/>
        <v>2</v>
      </c>
      <c r="BA122" s="570">
        <f t="shared" si="529"/>
        <v>16</v>
      </c>
      <c r="BB122" s="133"/>
      <c r="BC122" s="408">
        <f t="shared" si="399"/>
        <v>116143</v>
      </c>
      <c r="BD122" s="562">
        <f t="shared" si="394"/>
        <v>116143</v>
      </c>
      <c r="BE122" s="134"/>
      <c r="BF122" s="135"/>
      <c r="BG122" s="135"/>
      <c r="BH122" s="14">
        <f t="shared" si="477"/>
        <v>0</v>
      </c>
      <c r="BI122" s="14">
        <f t="shared" si="492"/>
        <v>3926</v>
      </c>
      <c r="BJ122" s="14">
        <f t="shared" si="314"/>
        <v>0.16</v>
      </c>
      <c r="BK122" s="47">
        <f t="shared" si="368"/>
        <v>0</v>
      </c>
      <c r="BL122" s="35">
        <f t="shared" si="315"/>
        <v>4.160000000000001</v>
      </c>
      <c r="BM122" s="159">
        <f t="shared" si="359"/>
        <v>3.2697865394065078</v>
      </c>
      <c r="BN122" s="145"/>
      <c r="BO122" s="14">
        <f t="shared" si="316"/>
        <v>71</v>
      </c>
      <c r="BP122" s="482">
        <f t="shared" si="317"/>
        <v>0</v>
      </c>
      <c r="BQ122" s="470">
        <f t="shared" si="426"/>
        <v>314.58428346602915</v>
      </c>
      <c r="BR122" s="51">
        <f t="shared" si="318"/>
        <v>1160</v>
      </c>
      <c r="BS122" s="103">
        <f t="shared" si="530"/>
        <v>0</v>
      </c>
      <c r="BT122" s="46">
        <f t="shared" si="400"/>
        <v>1160</v>
      </c>
      <c r="BU122" s="51">
        <f t="shared" si="319"/>
        <v>86</v>
      </c>
      <c r="BV122" s="103">
        <f t="shared" si="531"/>
        <v>0</v>
      </c>
      <c r="BW122" s="46">
        <f t="shared" si="361"/>
        <v>86</v>
      </c>
      <c r="BY122" s="120">
        <f t="shared" si="532"/>
        <v>2</v>
      </c>
      <c r="BZ122" s="570">
        <f t="shared" si="533"/>
        <v>16</v>
      </c>
      <c r="CA122" s="133"/>
      <c r="CB122" s="408">
        <f t="shared" si="401"/>
        <v>0</v>
      </c>
      <c r="CC122" s="562">
        <f t="shared" si="395"/>
        <v>0</v>
      </c>
      <c r="CD122" s="134"/>
      <c r="CE122" s="135"/>
      <c r="CF122" s="135"/>
      <c r="CG122" s="14">
        <f t="shared" si="481"/>
        <v>0</v>
      </c>
      <c r="CH122" s="14">
        <f t="shared" si="494"/>
        <v>0</v>
      </c>
      <c r="CI122" s="14">
        <f t="shared" si="320"/>
        <v>0.16</v>
      </c>
      <c r="CJ122" s="47">
        <f t="shared" si="370"/>
        <v>0</v>
      </c>
      <c r="CK122" s="35">
        <f t="shared" si="321"/>
        <v>4.160000000000001</v>
      </c>
      <c r="CL122" s="159">
        <f t="shared" si="512"/>
        <v>0</v>
      </c>
      <c r="CM122" s="145"/>
      <c r="CN122" s="14">
        <f t="shared" si="322"/>
        <v>71</v>
      </c>
      <c r="CO122" s="482">
        <f t="shared" si="323"/>
        <v>0</v>
      </c>
      <c r="CP122" s="470">
        <f t="shared" si="427"/>
        <v>0</v>
      </c>
      <c r="CQ122" s="51">
        <f t="shared" si="324"/>
        <v>1160</v>
      </c>
      <c r="CR122" s="103">
        <f t="shared" si="534"/>
        <v>0</v>
      </c>
      <c r="CS122" s="46">
        <f t="shared" si="402"/>
        <v>1160</v>
      </c>
      <c r="CT122" s="51">
        <f t="shared" si="325"/>
        <v>86</v>
      </c>
      <c r="CU122" s="103">
        <f t="shared" si="535"/>
        <v>0</v>
      </c>
      <c r="CV122" s="46">
        <f t="shared" si="362"/>
        <v>86</v>
      </c>
      <c r="CX122" s="120">
        <f t="shared" si="536"/>
        <v>2</v>
      </c>
      <c r="CY122" s="570">
        <f t="shared" si="537"/>
        <v>16</v>
      </c>
      <c r="CZ122" s="133"/>
      <c r="DA122" s="408">
        <f t="shared" si="403"/>
        <v>0</v>
      </c>
      <c r="DB122" s="562">
        <f t="shared" si="396"/>
        <v>0</v>
      </c>
      <c r="DC122" s="134"/>
      <c r="DD122" s="135"/>
      <c r="DE122" s="135"/>
      <c r="DF122" s="14">
        <f t="shared" si="485"/>
        <v>0</v>
      </c>
      <c r="DG122" s="14">
        <f t="shared" si="496"/>
        <v>0</v>
      </c>
      <c r="DH122" s="14">
        <f t="shared" si="326"/>
        <v>0.16</v>
      </c>
      <c r="DI122" s="47">
        <f t="shared" si="372"/>
        <v>0</v>
      </c>
      <c r="DJ122" s="35">
        <f t="shared" si="327"/>
        <v>4.160000000000001</v>
      </c>
      <c r="DK122" s="159">
        <f t="shared" si="517"/>
        <v>0</v>
      </c>
      <c r="DL122" s="145"/>
      <c r="DM122" s="14">
        <f t="shared" si="328"/>
        <v>71</v>
      </c>
      <c r="DN122" s="482">
        <f t="shared" si="329"/>
        <v>0</v>
      </c>
      <c r="DO122" s="470">
        <f t="shared" si="428"/>
        <v>0</v>
      </c>
      <c r="DP122" s="51">
        <f t="shared" si="330"/>
        <v>1160</v>
      </c>
      <c r="DQ122" s="103">
        <f t="shared" si="538"/>
        <v>0</v>
      </c>
      <c r="DR122" s="46">
        <f t="shared" si="404"/>
        <v>1160</v>
      </c>
      <c r="DS122" s="51">
        <f t="shared" si="331"/>
        <v>86</v>
      </c>
      <c r="DT122" s="103">
        <f t="shared" si="539"/>
        <v>0</v>
      </c>
      <c r="DU122" s="46">
        <f t="shared" si="363"/>
        <v>86</v>
      </c>
    </row>
    <row r="123" spans="1:125" ht="18" x14ac:dyDescent="0.25">
      <c r="A123" s="717"/>
      <c r="B123" s="120">
        <f t="shared" si="520"/>
        <v>3</v>
      </c>
      <c r="C123" s="571">
        <f t="shared" si="521"/>
        <v>16</v>
      </c>
      <c r="D123" s="229"/>
      <c r="E123" s="408">
        <f t="shared" si="334"/>
        <v>171956</v>
      </c>
      <c r="F123" s="562">
        <f t="shared" si="301"/>
        <v>171956</v>
      </c>
      <c r="G123" s="405"/>
      <c r="H123" s="406"/>
      <c r="I123" s="406"/>
      <c r="J123" s="380">
        <f t="shared" si="364"/>
        <v>0</v>
      </c>
      <c r="K123" s="380">
        <f t="shared" si="335"/>
        <v>4875</v>
      </c>
      <c r="L123" s="380">
        <f t="shared" si="302"/>
        <v>0.16</v>
      </c>
      <c r="M123" s="410">
        <f t="shared" si="358"/>
        <v>0</v>
      </c>
      <c r="N123" s="407">
        <f t="shared" si="303"/>
        <v>4.160000000000001</v>
      </c>
      <c r="O123" s="159">
        <f t="shared" si="336"/>
        <v>2.7568695534154077</v>
      </c>
      <c r="P123" s="411"/>
      <c r="Q123" s="380">
        <f t="shared" si="304"/>
        <v>71</v>
      </c>
      <c r="R123" s="536">
        <f t="shared" si="305"/>
        <v>0</v>
      </c>
      <c r="S123" s="474">
        <f t="shared" si="337"/>
        <v>328.79467076367098</v>
      </c>
      <c r="T123" s="182">
        <f t="shared" si="306"/>
        <v>1160</v>
      </c>
      <c r="U123" s="604">
        <f t="shared" si="522"/>
        <v>0</v>
      </c>
      <c r="V123" s="206">
        <f t="shared" si="339"/>
        <v>1160</v>
      </c>
      <c r="W123" s="182">
        <f t="shared" si="307"/>
        <v>86</v>
      </c>
      <c r="X123" s="181">
        <f t="shared" si="523"/>
        <v>0</v>
      </c>
      <c r="Y123" s="206">
        <f t="shared" si="341"/>
        <v>86</v>
      </c>
      <c r="Z123" s="487"/>
      <c r="AA123" s="120">
        <f t="shared" si="524"/>
        <v>3</v>
      </c>
      <c r="AB123" s="571">
        <f t="shared" si="525"/>
        <v>16</v>
      </c>
      <c r="AC123" s="229"/>
      <c r="AD123" s="408">
        <f t="shared" si="397"/>
        <v>0</v>
      </c>
      <c r="AE123" s="562">
        <f t="shared" si="393"/>
        <v>0</v>
      </c>
      <c r="AF123" s="405"/>
      <c r="AG123" s="406"/>
      <c r="AH123" s="406"/>
      <c r="AI123" s="380">
        <f t="shared" si="473"/>
        <v>0</v>
      </c>
      <c r="AJ123" s="380">
        <f t="shared" si="490"/>
        <v>0</v>
      </c>
      <c r="AK123" s="380">
        <f t="shared" si="308"/>
        <v>0.16</v>
      </c>
      <c r="AL123" s="410">
        <f t="shared" si="366"/>
        <v>0</v>
      </c>
      <c r="AM123" s="407">
        <f t="shared" si="309"/>
        <v>4.160000000000001</v>
      </c>
      <c r="AN123" s="159">
        <f t="shared" si="503"/>
        <v>0</v>
      </c>
      <c r="AO123" s="411"/>
      <c r="AP123" s="380">
        <f t="shared" si="310"/>
        <v>71</v>
      </c>
      <c r="AQ123" s="536">
        <f t="shared" si="311"/>
        <v>0</v>
      </c>
      <c r="AR123" s="474">
        <f t="shared" si="425"/>
        <v>0</v>
      </c>
      <c r="AS123" s="182">
        <f t="shared" si="312"/>
        <v>1160</v>
      </c>
      <c r="AT123" s="604">
        <f t="shared" si="526"/>
        <v>0</v>
      </c>
      <c r="AU123" s="206">
        <f t="shared" si="398"/>
        <v>1160</v>
      </c>
      <c r="AV123" s="182">
        <f t="shared" si="313"/>
        <v>86</v>
      </c>
      <c r="AW123" s="181">
        <f t="shared" si="527"/>
        <v>0</v>
      </c>
      <c r="AX123" s="206">
        <f t="shared" si="360"/>
        <v>86</v>
      </c>
      <c r="AZ123" s="120">
        <f t="shared" si="528"/>
        <v>3</v>
      </c>
      <c r="BA123" s="571">
        <f t="shared" si="529"/>
        <v>16</v>
      </c>
      <c r="BB123" s="229"/>
      <c r="BC123" s="408">
        <f t="shared" si="399"/>
        <v>116143</v>
      </c>
      <c r="BD123" s="562">
        <f t="shared" si="394"/>
        <v>116143</v>
      </c>
      <c r="BE123" s="405"/>
      <c r="BF123" s="406"/>
      <c r="BG123" s="406"/>
      <c r="BH123" s="380">
        <f t="shared" si="477"/>
        <v>0</v>
      </c>
      <c r="BI123" s="380">
        <f t="shared" si="492"/>
        <v>3926</v>
      </c>
      <c r="BJ123" s="380">
        <f t="shared" si="314"/>
        <v>0.16</v>
      </c>
      <c r="BK123" s="410">
        <f t="shared" si="368"/>
        <v>0</v>
      </c>
      <c r="BL123" s="407">
        <f t="shared" si="315"/>
        <v>4.160000000000001</v>
      </c>
      <c r="BM123" s="159">
        <f t="shared" si="359"/>
        <v>3.2697865394065078</v>
      </c>
      <c r="BN123" s="411"/>
      <c r="BO123" s="380">
        <f t="shared" si="316"/>
        <v>71</v>
      </c>
      <c r="BP123" s="536">
        <f t="shared" si="317"/>
        <v>0</v>
      </c>
      <c r="BQ123" s="474">
        <f t="shared" si="426"/>
        <v>314.58428346602915</v>
      </c>
      <c r="BR123" s="182">
        <f t="shared" si="318"/>
        <v>1160</v>
      </c>
      <c r="BS123" s="604">
        <f t="shared" si="530"/>
        <v>0</v>
      </c>
      <c r="BT123" s="206">
        <f t="shared" si="400"/>
        <v>1160</v>
      </c>
      <c r="BU123" s="182">
        <f t="shared" si="319"/>
        <v>86</v>
      </c>
      <c r="BV123" s="181">
        <f t="shared" si="531"/>
        <v>0</v>
      </c>
      <c r="BW123" s="206">
        <f t="shared" si="361"/>
        <v>86</v>
      </c>
      <c r="BY123" s="120">
        <f t="shared" si="532"/>
        <v>3</v>
      </c>
      <c r="BZ123" s="571">
        <f t="shared" si="533"/>
        <v>16</v>
      </c>
      <c r="CA123" s="229"/>
      <c r="CB123" s="408">
        <f t="shared" si="401"/>
        <v>0</v>
      </c>
      <c r="CC123" s="562">
        <f t="shared" si="395"/>
        <v>0</v>
      </c>
      <c r="CD123" s="405"/>
      <c r="CE123" s="406"/>
      <c r="CF123" s="406"/>
      <c r="CG123" s="380">
        <f t="shared" si="481"/>
        <v>0</v>
      </c>
      <c r="CH123" s="380">
        <f t="shared" si="494"/>
        <v>0</v>
      </c>
      <c r="CI123" s="380">
        <f t="shared" si="320"/>
        <v>0.16</v>
      </c>
      <c r="CJ123" s="410">
        <f t="shared" si="370"/>
        <v>0</v>
      </c>
      <c r="CK123" s="407">
        <f t="shared" si="321"/>
        <v>4.160000000000001</v>
      </c>
      <c r="CL123" s="159">
        <f t="shared" si="512"/>
        <v>0</v>
      </c>
      <c r="CM123" s="411"/>
      <c r="CN123" s="380">
        <f t="shared" si="322"/>
        <v>71</v>
      </c>
      <c r="CO123" s="536">
        <f t="shared" si="323"/>
        <v>0</v>
      </c>
      <c r="CP123" s="474">
        <f t="shared" si="427"/>
        <v>0</v>
      </c>
      <c r="CQ123" s="182">
        <f t="shared" si="324"/>
        <v>1160</v>
      </c>
      <c r="CR123" s="604">
        <f t="shared" si="534"/>
        <v>0</v>
      </c>
      <c r="CS123" s="206">
        <f t="shared" si="402"/>
        <v>1160</v>
      </c>
      <c r="CT123" s="182">
        <f t="shared" si="325"/>
        <v>86</v>
      </c>
      <c r="CU123" s="181">
        <f t="shared" si="535"/>
        <v>0</v>
      </c>
      <c r="CV123" s="206">
        <f t="shared" si="362"/>
        <v>86</v>
      </c>
      <c r="CX123" s="120">
        <f t="shared" si="536"/>
        <v>3</v>
      </c>
      <c r="CY123" s="571">
        <f t="shared" si="537"/>
        <v>16</v>
      </c>
      <c r="CZ123" s="229"/>
      <c r="DA123" s="408">
        <f t="shared" si="403"/>
        <v>0</v>
      </c>
      <c r="DB123" s="562">
        <f t="shared" si="396"/>
        <v>0</v>
      </c>
      <c r="DC123" s="405"/>
      <c r="DD123" s="406"/>
      <c r="DE123" s="406"/>
      <c r="DF123" s="380">
        <f t="shared" si="485"/>
        <v>0</v>
      </c>
      <c r="DG123" s="380">
        <f t="shared" si="496"/>
        <v>0</v>
      </c>
      <c r="DH123" s="380">
        <f t="shared" si="326"/>
        <v>0.16</v>
      </c>
      <c r="DI123" s="410">
        <f t="shared" si="372"/>
        <v>0</v>
      </c>
      <c r="DJ123" s="407">
        <f t="shared" si="327"/>
        <v>4.160000000000001</v>
      </c>
      <c r="DK123" s="159">
        <f t="shared" si="517"/>
        <v>0</v>
      </c>
      <c r="DL123" s="411"/>
      <c r="DM123" s="380">
        <f t="shared" si="328"/>
        <v>71</v>
      </c>
      <c r="DN123" s="536">
        <f t="shared" si="329"/>
        <v>0</v>
      </c>
      <c r="DO123" s="474">
        <f t="shared" si="428"/>
        <v>0</v>
      </c>
      <c r="DP123" s="182">
        <f t="shared" si="330"/>
        <v>1160</v>
      </c>
      <c r="DQ123" s="604">
        <f t="shared" si="538"/>
        <v>0</v>
      </c>
      <c r="DR123" s="206">
        <f t="shared" si="404"/>
        <v>1160</v>
      </c>
      <c r="DS123" s="182">
        <f t="shared" si="331"/>
        <v>86</v>
      </c>
      <c r="DT123" s="181">
        <f t="shared" si="539"/>
        <v>0</v>
      </c>
      <c r="DU123" s="206">
        <f t="shared" si="363"/>
        <v>86</v>
      </c>
    </row>
    <row r="124" spans="1:125" ht="17.25" thickBot="1" x14ac:dyDescent="0.3">
      <c r="B124" s="197">
        <f t="shared" si="520"/>
        <v>4</v>
      </c>
      <c r="C124" s="574">
        <f t="shared" si="521"/>
        <v>16</v>
      </c>
      <c r="D124" s="136"/>
      <c r="E124" s="436">
        <f t="shared" si="334"/>
        <v>171956</v>
      </c>
      <c r="F124" s="451">
        <f t="shared" si="301"/>
        <v>171956</v>
      </c>
      <c r="G124" s="137"/>
      <c r="H124" s="138"/>
      <c r="I124" s="138"/>
      <c r="J124" s="32">
        <f t="shared" si="364"/>
        <v>0</v>
      </c>
      <c r="K124" s="32">
        <f t="shared" si="335"/>
        <v>4875</v>
      </c>
      <c r="L124" s="32">
        <f t="shared" si="302"/>
        <v>0.16</v>
      </c>
      <c r="M124" s="96">
        <f t="shared" si="358"/>
        <v>0</v>
      </c>
      <c r="N124" s="36">
        <f t="shared" si="303"/>
        <v>4.160000000000001</v>
      </c>
      <c r="O124" s="156">
        <f t="shared" si="336"/>
        <v>2.7568695534154077</v>
      </c>
      <c r="P124" s="139"/>
      <c r="Q124" s="32">
        <f t="shared" si="304"/>
        <v>71</v>
      </c>
      <c r="R124" s="592">
        <f t="shared" si="305"/>
        <v>0</v>
      </c>
      <c r="S124" s="471">
        <f t="shared" si="337"/>
        <v>328.79467076367098</v>
      </c>
      <c r="T124" s="378">
        <f t="shared" si="306"/>
        <v>1160</v>
      </c>
      <c r="U124" s="111">
        <f t="shared" si="522"/>
        <v>0</v>
      </c>
      <c r="V124" s="53">
        <f t="shared" si="339"/>
        <v>1160</v>
      </c>
      <c r="W124" s="15">
        <f t="shared" si="307"/>
        <v>86</v>
      </c>
      <c r="X124" s="109">
        <f t="shared" si="523"/>
        <v>0</v>
      </c>
      <c r="Y124" s="63">
        <f t="shared" si="341"/>
        <v>86</v>
      </c>
      <c r="Z124" s="487"/>
      <c r="AA124" s="197">
        <f t="shared" si="524"/>
        <v>4</v>
      </c>
      <c r="AB124" s="574">
        <f t="shared" si="525"/>
        <v>16</v>
      </c>
      <c r="AC124" s="136"/>
      <c r="AD124" s="436">
        <f t="shared" si="397"/>
        <v>0</v>
      </c>
      <c r="AE124" s="451">
        <f t="shared" si="393"/>
        <v>0</v>
      </c>
      <c r="AF124" s="137"/>
      <c r="AG124" s="138"/>
      <c r="AH124" s="138"/>
      <c r="AI124" s="32">
        <f t="shared" si="473"/>
        <v>0</v>
      </c>
      <c r="AJ124" s="32">
        <f t="shared" si="490"/>
        <v>0</v>
      </c>
      <c r="AK124" s="32">
        <f t="shared" si="308"/>
        <v>0.16</v>
      </c>
      <c r="AL124" s="96">
        <f t="shared" si="366"/>
        <v>0</v>
      </c>
      <c r="AM124" s="36">
        <f t="shared" si="309"/>
        <v>4.160000000000001</v>
      </c>
      <c r="AN124" s="156">
        <f t="shared" si="503"/>
        <v>0</v>
      </c>
      <c r="AO124" s="139"/>
      <c r="AP124" s="32">
        <f t="shared" si="310"/>
        <v>71</v>
      </c>
      <c r="AQ124" s="592">
        <f t="shared" si="311"/>
        <v>0</v>
      </c>
      <c r="AR124" s="471">
        <f t="shared" si="425"/>
        <v>0</v>
      </c>
      <c r="AS124" s="378">
        <f t="shared" si="312"/>
        <v>1160</v>
      </c>
      <c r="AT124" s="111">
        <f t="shared" si="526"/>
        <v>0</v>
      </c>
      <c r="AU124" s="53">
        <f t="shared" si="398"/>
        <v>1160</v>
      </c>
      <c r="AV124" s="15">
        <f t="shared" si="313"/>
        <v>86</v>
      </c>
      <c r="AW124" s="109">
        <f t="shared" si="527"/>
        <v>0</v>
      </c>
      <c r="AX124" s="63">
        <f t="shared" si="360"/>
        <v>86</v>
      </c>
      <c r="AZ124" s="197">
        <f t="shared" si="528"/>
        <v>4</v>
      </c>
      <c r="BA124" s="574">
        <f t="shared" si="529"/>
        <v>16</v>
      </c>
      <c r="BB124" s="136"/>
      <c r="BC124" s="436">
        <f t="shared" si="399"/>
        <v>116143</v>
      </c>
      <c r="BD124" s="451">
        <f t="shared" si="394"/>
        <v>116143</v>
      </c>
      <c r="BE124" s="137"/>
      <c r="BF124" s="138"/>
      <c r="BG124" s="138"/>
      <c r="BH124" s="32">
        <f t="shared" si="477"/>
        <v>0</v>
      </c>
      <c r="BI124" s="32">
        <f t="shared" si="492"/>
        <v>3926</v>
      </c>
      <c r="BJ124" s="32">
        <f t="shared" si="314"/>
        <v>0.16</v>
      </c>
      <c r="BK124" s="96">
        <f t="shared" si="368"/>
        <v>0</v>
      </c>
      <c r="BL124" s="36">
        <f t="shared" si="315"/>
        <v>4.160000000000001</v>
      </c>
      <c r="BM124" s="156">
        <f t="shared" si="359"/>
        <v>3.2697865394065078</v>
      </c>
      <c r="BN124" s="139"/>
      <c r="BO124" s="32">
        <f t="shared" si="316"/>
        <v>71</v>
      </c>
      <c r="BP124" s="592">
        <f t="shared" si="317"/>
        <v>0</v>
      </c>
      <c r="BQ124" s="471">
        <f t="shared" si="426"/>
        <v>314.58428346602915</v>
      </c>
      <c r="BR124" s="378">
        <f t="shared" si="318"/>
        <v>1160</v>
      </c>
      <c r="BS124" s="111">
        <f t="shared" si="530"/>
        <v>0</v>
      </c>
      <c r="BT124" s="53">
        <f t="shared" si="400"/>
        <v>1160</v>
      </c>
      <c r="BU124" s="15">
        <f t="shared" si="319"/>
        <v>86</v>
      </c>
      <c r="BV124" s="109">
        <f t="shared" si="531"/>
        <v>0</v>
      </c>
      <c r="BW124" s="63">
        <f t="shared" si="361"/>
        <v>86</v>
      </c>
      <c r="BY124" s="197">
        <f t="shared" si="532"/>
        <v>4</v>
      </c>
      <c r="BZ124" s="574">
        <f t="shared" si="533"/>
        <v>16</v>
      </c>
      <c r="CA124" s="136"/>
      <c r="CB124" s="436">
        <f t="shared" si="401"/>
        <v>0</v>
      </c>
      <c r="CC124" s="451">
        <f t="shared" si="395"/>
        <v>0</v>
      </c>
      <c r="CD124" s="137"/>
      <c r="CE124" s="138"/>
      <c r="CF124" s="138"/>
      <c r="CG124" s="32">
        <f t="shared" si="481"/>
        <v>0</v>
      </c>
      <c r="CH124" s="32">
        <f t="shared" si="494"/>
        <v>0</v>
      </c>
      <c r="CI124" s="32">
        <f t="shared" si="320"/>
        <v>0.16</v>
      </c>
      <c r="CJ124" s="96">
        <f t="shared" si="370"/>
        <v>0</v>
      </c>
      <c r="CK124" s="36">
        <f t="shared" si="321"/>
        <v>4.160000000000001</v>
      </c>
      <c r="CL124" s="156">
        <f t="shared" si="512"/>
        <v>0</v>
      </c>
      <c r="CM124" s="139"/>
      <c r="CN124" s="32">
        <f t="shared" si="322"/>
        <v>71</v>
      </c>
      <c r="CO124" s="592">
        <f t="shared" si="323"/>
        <v>0</v>
      </c>
      <c r="CP124" s="471">
        <f t="shared" si="427"/>
        <v>0</v>
      </c>
      <c r="CQ124" s="378">
        <f t="shared" si="324"/>
        <v>1160</v>
      </c>
      <c r="CR124" s="111">
        <f t="shared" si="534"/>
        <v>0</v>
      </c>
      <c r="CS124" s="53">
        <f t="shared" si="402"/>
        <v>1160</v>
      </c>
      <c r="CT124" s="15">
        <f t="shared" si="325"/>
        <v>86</v>
      </c>
      <c r="CU124" s="109">
        <f t="shared" si="535"/>
        <v>0</v>
      </c>
      <c r="CV124" s="63">
        <f t="shared" si="362"/>
        <v>86</v>
      </c>
      <c r="CX124" s="197">
        <f t="shared" si="536"/>
        <v>4</v>
      </c>
      <c r="CY124" s="574">
        <f t="shared" si="537"/>
        <v>16</v>
      </c>
      <c r="CZ124" s="136"/>
      <c r="DA124" s="436">
        <f t="shared" si="403"/>
        <v>0</v>
      </c>
      <c r="DB124" s="451">
        <f t="shared" si="396"/>
        <v>0</v>
      </c>
      <c r="DC124" s="137"/>
      <c r="DD124" s="138"/>
      <c r="DE124" s="138"/>
      <c r="DF124" s="32">
        <f t="shared" si="485"/>
        <v>0</v>
      </c>
      <c r="DG124" s="32">
        <f t="shared" si="496"/>
        <v>0</v>
      </c>
      <c r="DH124" s="32">
        <f t="shared" si="326"/>
        <v>0.16</v>
      </c>
      <c r="DI124" s="96">
        <f t="shared" si="372"/>
        <v>0</v>
      </c>
      <c r="DJ124" s="36">
        <f t="shared" si="327"/>
        <v>4.160000000000001</v>
      </c>
      <c r="DK124" s="156">
        <f t="shared" si="517"/>
        <v>0</v>
      </c>
      <c r="DL124" s="139"/>
      <c r="DM124" s="32">
        <f t="shared" si="328"/>
        <v>71</v>
      </c>
      <c r="DN124" s="592">
        <f t="shared" si="329"/>
        <v>0</v>
      </c>
      <c r="DO124" s="471">
        <f t="shared" si="428"/>
        <v>0</v>
      </c>
      <c r="DP124" s="378">
        <f t="shared" si="330"/>
        <v>1160</v>
      </c>
      <c r="DQ124" s="111">
        <f t="shared" si="538"/>
        <v>0</v>
      </c>
      <c r="DR124" s="53">
        <f t="shared" si="404"/>
        <v>1160</v>
      </c>
      <c r="DS124" s="15">
        <f t="shared" si="331"/>
        <v>86</v>
      </c>
      <c r="DT124" s="109">
        <f t="shared" si="539"/>
        <v>0</v>
      </c>
      <c r="DU124" s="63">
        <f t="shared" si="363"/>
        <v>86</v>
      </c>
    </row>
    <row r="125" spans="1:125" x14ac:dyDescent="0.25">
      <c r="B125" s="198">
        <v>5</v>
      </c>
      <c r="C125" s="826">
        <v>17</v>
      </c>
      <c r="D125" s="143"/>
      <c r="E125" s="430">
        <f t="shared" si="334"/>
        <v>171956</v>
      </c>
      <c r="F125" s="583">
        <f t="shared" si="301"/>
        <v>171956</v>
      </c>
      <c r="G125" s="144"/>
      <c r="H125" s="141"/>
      <c r="I125" s="141"/>
      <c r="J125" s="17">
        <f t="shared" si="364"/>
        <v>0</v>
      </c>
      <c r="K125" s="17">
        <f t="shared" si="335"/>
        <v>4875</v>
      </c>
      <c r="L125" s="17">
        <f t="shared" si="302"/>
        <v>0.16</v>
      </c>
      <c r="M125" s="235">
        <f t="shared" si="358"/>
        <v>0</v>
      </c>
      <c r="N125" s="33">
        <f t="shared" si="303"/>
        <v>4.3200000000000012</v>
      </c>
      <c r="O125" s="210">
        <f t="shared" si="336"/>
        <v>2.7568695534154077</v>
      </c>
      <c r="P125" s="145"/>
      <c r="Q125" s="17">
        <f t="shared" si="304"/>
        <v>75</v>
      </c>
      <c r="R125" s="479">
        <f t="shared" si="305"/>
        <v>0</v>
      </c>
      <c r="S125" s="475">
        <f t="shared" si="337"/>
        <v>328.79467076367098</v>
      </c>
      <c r="T125" s="61">
        <f t="shared" si="306"/>
        <v>1207</v>
      </c>
      <c r="U125" s="141"/>
      <c r="V125" s="71">
        <f t="shared" si="339"/>
        <v>1207</v>
      </c>
      <c r="W125" s="12">
        <f t="shared" si="307"/>
        <v>86</v>
      </c>
      <c r="X125" s="141"/>
      <c r="Y125" s="71">
        <f t="shared" si="341"/>
        <v>86</v>
      </c>
      <c r="Z125" s="487"/>
      <c r="AA125" s="198">
        <v>5</v>
      </c>
      <c r="AB125" s="826">
        <v>17</v>
      </c>
      <c r="AC125" s="143"/>
      <c r="AD125" s="430">
        <f t="shared" si="397"/>
        <v>0</v>
      </c>
      <c r="AE125" s="583">
        <f t="shared" si="393"/>
        <v>0</v>
      </c>
      <c r="AF125" s="144"/>
      <c r="AG125" s="141"/>
      <c r="AH125" s="141"/>
      <c r="AI125" s="17">
        <f t="shared" si="473"/>
        <v>0</v>
      </c>
      <c r="AJ125" s="17">
        <f t="shared" si="490"/>
        <v>0</v>
      </c>
      <c r="AK125" s="17">
        <f t="shared" si="308"/>
        <v>0.16</v>
      </c>
      <c r="AL125" s="235">
        <f t="shared" si="366"/>
        <v>0</v>
      </c>
      <c r="AM125" s="33">
        <f t="shared" si="309"/>
        <v>4.3200000000000012</v>
      </c>
      <c r="AN125" s="210">
        <f t="shared" si="503"/>
        <v>0</v>
      </c>
      <c r="AO125" s="145"/>
      <c r="AP125" s="17">
        <f t="shared" si="310"/>
        <v>75</v>
      </c>
      <c r="AQ125" s="479">
        <f t="shared" si="311"/>
        <v>0</v>
      </c>
      <c r="AR125" s="475">
        <f t="shared" si="425"/>
        <v>0</v>
      </c>
      <c r="AS125" s="61">
        <f t="shared" si="312"/>
        <v>1207</v>
      </c>
      <c r="AT125" s="141"/>
      <c r="AU125" s="71">
        <f t="shared" si="398"/>
        <v>1207</v>
      </c>
      <c r="AV125" s="12">
        <f t="shared" si="313"/>
        <v>86</v>
      </c>
      <c r="AW125" s="141"/>
      <c r="AX125" s="71">
        <f t="shared" si="360"/>
        <v>86</v>
      </c>
      <c r="AZ125" s="198">
        <v>5</v>
      </c>
      <c r="BA125" s="826">
        <v>17</v>
      </c>
      <c r="BB125" s="143"/>
      <c r="BC125" s="430">
        <f t="shared" si="399"/>
        <v>116143</v>
      </c>
      <c r="BD125" s="583">
        <f t="shared" si="394"/>
        <v>116143</v>
      </c>
      <c r="BE125" s="144"/>
      <c r="BF125" s="141"/>
      <c r="BG125" s="141"/>
      <c r="BH125" s="17">
        <f t="shared" si="477"/>
        <v>0</v>
      </c>
      <c r="BI125" s="17">
        <f t="shared" si="492"/>
        <v>3926</v>
      </c>
      <c r="BJ125" s="17">
        <f t="shared" si="314"/>
        <v>0.16</v>
      </c>
      <c r="BK125" s="235">
        <f t="shared" si="368"/>
        <v>0</v>
      </c>
      <c r="BL125" s="33">
        <f t="shared" si="315"/>
        <v>4.3200000000000012</v>
      </c>
      <c r="BM125" s="210">
        <f t="shared" si="359"/>
        <v>3.2697865394065078</v>
      </c>
      <c r="BN125" s="145"/>
      <c r="BO125" s="17">
        <f t="shared" si="316"/>
        <v>75</v>
      </c>
      <c r="BP125" s="479">
        <f t="shared" si="317"/>
        <v>0</v>
      </c>
      <c r="BQ125" s="475">
        <f t="shared" si="426"/>
        <v>314.58428346602915</v>
      </c>
      <c r="BR125" s="61">
        <f t="shared" si="318"/>
        <v>1207</v>
      </c>
      <c r="BS125" s="141"/>
      <c r="BT125" s="71">
        <f t="shared" si="400"/>
        <v>1207</v>
      </c>
      <c r="BU125" s="12">
        <f t="shared" si="319"/>
        <v>86</v>
      </c>
      <c r="BV125" s="141"/>
      <c r="BW125" s="71">
        <f t="shared" si="361"/>
        <v>86</v>
      </c>
      <c r="BY125" s="198">
        <v>5</v>
      </c>
      <c r="BZ125" s="826">
        <v>17</v>
      </c>
      <c r="CA125" s="143"/>
      <c r="CB125" s="430">
        <f t="shared" si="401"/>
        <v>0</v>
      </c>
      <c r="CC125" s="583">
        <f t="shared" si="395"/>
        <v>0</v>
      </c>
      <c r="CD125" s="144"/>
      <c r="CE125" s="141"/>
      <c r="CF125" s="141"/>
      <c r="CG125" s="17">
        <f t="shared" si="481"/>
        <v>0</v>
      </c>
      <c r="CH125" s="17">
        <f t="shared" si="494"/>
        <v>0</v>
      </c>
      <c r="CI125" s="17">
        <f t="shared" si="320"/>
        <v>0.16</v>
      </c>
      <c r="CJ125" s="235">
        <f t="shared" si="370"/>
        <v>0</v>
      </c>
      <c r="CK125" s="33">
        <f t="shared" si="321"/>
        <v>4.3200000000000012</v>
      </c>
      <c r="CL125" s="210">
        <f t="shared" si="512"/>
        <v>0</v>
      </c>
      <c r="CM125" s="145"/>
      <c r="CN125" s="17">
        <f t="shared" si="322"/>
        <v>75</v>
      </c>
      <c r="CO125" s="479">
        <f t="shared" si="323"/>
        <v>0</v>
      </c>
      <c r="CP125" s="475">
        <f t="shared" si="427"/>
        <v>0</v>
      </c>
      <c r="CQ125" s="61">
        <f t="shared" si="324"/>
        <v>1207</v>
      </c>
      <c r="CR125" s="141"/>
      <c r="CS125" s="71">
        <f t="shared" si="402"/>
        <v>1207</v>
      </c>
      <c r="CT125" s="12">
        <f t="shared" si="325"/>
        <v>86</v>
      </c>
      <c r="CU125" s="141"/>
      <c r="CV125" s="71">
        <f t="shared" si="362"/>
        <v>86</v>
      </c>
      <c r="CX125" s="198">
        <v>5</v>
      </c>
      <c r="CY125" s="826">
        <v>17</v>
      </c>
      <c r="CZ125" s="143"/>
      <c r="DA125" s="430">
        <f t="shared" si="403"/>
        <v>0</v>
      </c>
      <c r="DB125" s="583">
        <f t="shared" si="396"/>
        <v>0</v>
      </c>
      <c r="DC125" s="144"/>
      <c r="DD125" s="141"/>
      <c r="DE125" s="141"/>
      <c r="DF125" s="17">
        <f t="shared" si="485"/>
        <v>0</v>
      </c>
      <c r="DG125" s="17">
        <f t="shared" si="496"/>
        <v>0</v>
      </c>
      <c r="DH125" s="17">
        <f t="shared" si="326"/>
        <v>0.16</v>
      </c>
      <c r="DI125" s="235">
        <f t="shared" si="372"/>
        <v>0</v>
      </c>
      <c r="DJ125" s="33">
        <f t="shared" si="327"/>
        <v>4.3200000000000012</v>
      </c>
      <c r="DK125" s="210">
        <f t="shared" si="517"/>
        <v>0</v>
      </c>
      <c r="DL125" s="145"/>
      <c r="DM125" s="17">
        <f t="shared" si="328"/>
        <v>75</v>
      </c>
      <c r="DN125" s="479">
        <f t="shared" si="329"/>
        <v>0</v>
      </c>
      <c r="DO125" s="475">
        <f t="shared" si="428"/>
        <v>0</v>
      </c>
      <c r="DP125" s="61">
        <f t="shared" si="330"/>
        <v>1207</v>
      </c>
      <c r="DQ125" s="141"/>
      <c r="DR125" s="71">
        <f t="shared" si="404"/>
        <v>1207</v>
      </c>
      <c r="DS125" s="12">
        <f t="shared" si="331"/>
        <v>86</v>
      </c>
      <c r="DT125" s="141"/>
      <c r="DU125" s="71">
        <f t="shared" si="363"/>
        <v>86</v>
      </c>
    </row>
    <row r="126" spans="1:125" x14ac:dyDescent="0.25">
      <c r="B126" s="120">
        <f>B125+1</f>
        <v>6</v>
      </c>
      <c r="C126" s="570">
        <f>C125</f>
        <v>17</v>
      </c>
      <c r="D126" s="133"/>
      <c r="E126" s="408">
        <f t="shared" si="334"/>
        <v>171956</v>
      </c>
      <c r="F126" s="562">
        <f t="shared" si="301"/>
        <v>171956</v>
      </c>
      <c r="G126" s="134"/>
      <c r="H126" s="135"/>
      <c r="I126" s="135"/>
      <c r="J126" s="14">
        <f t="shared" si="364"/>
        <v>0</v>
      </c>
      <c r="K126" s="14">
        <f t="shared" si="335"/>
        <v>4875</v>
      </c>
      <c r="L126" s="14">
        <f t="shared" si="302"/>
        <v>0.16</v>
      </c>
      <c r="M126" s="47">
        <f t="shared" si="358"/>
        <v>0</v>
      </c>
      <c r="N126" s="35">
        <f t="shared" si="303"/>
        <v>4.3200000000000012</v>
      </c>
      <c r="O126" s="159">
        <f t="shared" si="336"/>
        <v>2.7568695534154077</v>
      </c>
      <c r="P126" s="142"/>
      <c r="Q126" s="14">
        <f t="shared" si="304"/>
        <v>75</v>
      </c>
      <c r="R126" s="480">
        <f t="shared" si="305"/>
        <v>0</v>
      </c>
      <c r="S126" s="470">
        <f t="shared" si="337"/>
        <v>328.79467076367098</v>
      </c>
      <c r="T126" s="51">
        <f t="shared" si="306"/>
        <v>1207</v>
      </c>
      <c r="U126" s="103">
        <f>U125</f>
        <v>0</v>
      </c>
      <c r="V126" s="46">
        <f t="shared" si="339"/>
        <v>1207</v>
      </c>
      <c r="W126" s="51">
        <f t="shared" si="307"/>
        <v>86</v>
      </c>
      <c r="X126" s="103">
        <f>X125</f>
        <v>0</v>
      </c>
      <c r="Y126" s="46">
        <f t="shared" si="341"/>
        <v>86</v>
      </c>
      <c r="Z126" s="487"/>
      <c r="AA126" s="120">
        <f>AA125+1</f>
        <v>6</v>
      </c>
      <c r="AB126" s="570">
        <f>AB125</f>
        <v>17</v>
      </c>
      <c r="AC126" s="133"/>
      <c r="AD126" s="408">
        <f t="shared" si="397"/>
        <v>0</v>
      </c>
      <c r="AE126" s="562">
        <f t="shared" si="393"/>
        <v>0</v>
      </c>
      <c r="AF126" s="134"/>
      <c r="AG126" s="135"/>
      <c r="AH126" s="135"/>
      <c r="AI126" s="14">
        <f t="shared" si="473"/>
        <v>0</v>
      </c>
      <c r="AJ126" s="14">
        <f t="shared" si="490"/>
        <v>0</v>
      </c>
      <c r="AK126" s="14">
        <f t="shared" si="308"/>
        <v>0.16</v>
      </c>
      <c r="AL126" s="47">
        <f t="shared" si="366"/>
        <v>0</v>
      </c>
      <c r="AM126" s="35">
        <f t="shared" si="309"/>
        <v>4.3200000000000012</v>
      </c>
      <c r="AN126" s="159">
        <f t="shared" si="503"/>
        <v>0</v>
      </c>
      <c r="AO126" s="142"/>
      <c r="AP126" s="14">
        <f t="shared" si="310"/>
        <v>75</v>
      </c>
      <c r="AQ126" s="480">
        <f t="shared" si="311"/>
        <v>0</v>
      </c>
      <c r="AR126" s="470">
        <f t="shared" si="425"/>
        <v>0</v>
      </c>
      <c r="AS126" s="51">
        <f t="shared" si="312"/>
        <v>1207</v>
      </c>
      <c r="AT126" s="103">
        <f>AT125</f>
        <v>0</v>
      </c>
      <c r="AU126" s="46">
        <f t="shared" si="398"/>
        <v>1207</v>
      </c>
      <c r="AV126" s="51">
        <f t="shared" si="313"/>
        <v>86</v>
      </c>
      <c r="AW126" s="103">
        <f>AW125</f>
        <v>0</v>
      </c>
      <c r="AX126" s="46">
        <f t="shared" si="360"/>
        <v>86</v>
      </c>
      <c r="AZ126" s="120">
        <f>AZ125+1</f>
        <v>6</v>
      </c>
      <c r="BA126" s="570">
        <f>BA125</f>
        <v>17</v>
      </c>
      <c r="BB126" s="133"/>
      <c r="BC126" s="408">
        <f t="shared" si="399"/>
        <v>116143</v>
      </c>
      <c r="BD126" s="562">
        <f t="shared" si="394"/>
        <v>116143</v>
      </c>
      <c r="BE126" s="134"/>
      <c r="BF126" s="135"/>
      <c r="BG126" s="135"/>
      <c r="BH126" s="14">
        <f t="shared" si="477"/>
        <v>0</v>
      </c>
      <c r="BI126" s="14">
        <f t="shared" si="492"/>
        <v>3926</v>
      </c>
      <c r="BJ126" s="14">
        <f t="shared" si="314"/>
        <v>0.16</v>
      </c>
      <c r="BK126" s="47">
        <f t="shared" si="368"/>
        <v>0</v>
      </c>
      <c r="BL126" s="35">
        <f t="shared" si="315"/>
        <v>4.3200000000000012</v>
      </c>
      <c r="BM126" s="159">
        <f t="shared" si="359"/>
        <v>3.2697865394065078</v>
      </c>
      <c r="BN126" s="142"/>
      <c r="BO126" s="14">
        <f t="shared" si="316"/>
        <v>75</v>
      </c>
      <c r="BP126" s="480">
        <f t="shared" si="317"/>
        <v>0</v>
      </c>
      <c r="BQ126" s="470">
        <f t="shared" si="426"/>
        <v>314.58428346602915</v>
      </c>
      <c r="BR126" s="51">
        <f t="shared" si="318"/>
        <v>1207</v>
      </c>
      <c r="BS126" s="103">
        <f>BS125</f>
        <v>0</v>
      </c>
      <c r="BT126" s="46">
        <f t="shared" si="400"/>
        <v>1207</v>
      </c>
      <c r="BU126" s="51">
        <f t="shared" si="319"/>
        <v>86</v>
      </c>
      <c r="BV126" s="103">
        <f>BV125</f>
        <v>0</v>
      </c>
      <c r="BW126" s="46">
        <f t="shared" si="361"/>
        <v>86</v>
      </c>
      <c r="BY126" s="120">
        <f>BY125+1</f>
        <v>6</v>
      </c>
      <c r="BZ126" s="570">
        <f>BZ125</f>
        <v>17</v>
      </c>
      <c r="CA126" s="133"/>
      <c r="CB126" s="408">
        <f t="shared" si="401"/>
        <v>0</v>
      </c>
      <c r="CC126" s="562">
        <f t="shared" si="395"/>
        <v>0</v>
      </c>
      <c r="CD126" s="134"/>
      <c r="CE126" s="135"/>
      <c r="CF126" s="135"/>
      <c r="CG126" s="14">
        <f t="shared" si="481"/>
        <v>0</v>
      </c>
      <c r="CH126" s="14">
        <f t="shared" si="494"/>
        <v>0</v>
      </c>
      <c r="CI126" s="14">
        <f t="shared" si="320"/>
        <v>0.16</v>
      </c>
      <c r="CJ126" s="47">
        <f t="shared" si="370"/>
        <v>0</v>
      </c>
      <c r="CK126" s="35">
        <f t="shared" si="321"/>
        <v>4.3200000000000012</v>
      </c>
      <c r="CL126" s="159">
        <f t="shared" si="512"/>
        <v>0</v>
      </c>
      <c r="CM126" s="142"/>
      <c r="CN126" s="14">
        <f t="shared" si="322"/>
        <v>75</v>
      </c>
      <c r="CO126" s="480">
        <f t="shared" si="323"/>
        <v>0</v>
      </c>
      <c r="CP126" s="470">
        <f t="shared" si="427"/>
        <v>0</v>
      </c>
      <c r="CQ126" s="51">
        <f t="shared" si="324"/>
        <v>1207</v>
      </c>
      <c r="CR126" s="103">
        <f>CR125</f>
        <v>0</v>
      </c>
      <c r="CS126" s="46">
        <f t="shared" si="402"/>
        <v>1207</v>
      </c>
      <c r="CT126" s="51">
        <f t="shared" si="325"/>
        <v>86</v>
      </c>
      <c r="CU126" s="103">
        <f>CU125</f>
        <v>0</v>
      </c>
      <c r="CV126" s="46">
        <f t="shared" si="362"/>
        <v>86</v>
      </c>
      <c r="CX126" s="120">
        <f>CX125+1</f>
        <v>6</v>
      </c>
      <c r="CY126" s="570">
        <f>CY125</f>
        <v>17</v>
      </c>
      <c r="CZ126" s="133"/>
      <c r="DA126" s="408">
        <f t="shared" si="403"/>
        <v>0</v>
      </c>
      <c r="DB126" s="562">
        <f t="shared" si="396"/>
        <v>0</v>
      </c>
      <c r="DC126" s="134"/>
      <c r="DD126" s="135"/>
      <c r="DE126" s="135"/>
      <c r="DF126" s="14">
        <f t="shared" si="485"/>
        <v>0</v>
      </c>
      <c r="DG126" s="14">
        <f t="shared" si="496"/>
        <v>0</v>
      </c>
      <c r="DH126" s="14">
        <f t="shared" si="326"/>
        <v>0.16</v>
      </c>
      <c r="DI126" s="47">
        <f t="shared" si="372"/>
        <v>0</v>
      </c>
      <c r="DJ126" s="35">
        <f t="shared" si="327"/>
        <v>4.3200000000000012</v>
      </c>
      <c r="DK126" s="159">
        <f t="shared" si="517"/>
        <v>0</v>
      </c>
      <c r="DL126" s="142"/>
      <c r="DM126" s="14">
        <f t="shared" si="328"/>
        <v>75</v>
      </c>
      <c r="DN126" s="480">
        <f t="shared" si="329"/>
        <v>0</v>
      </c>
      <c r="DO126" s="470">
        <f t="shared" si="428"/>
        <v>0</v>
      </c>
      <c r="DP126" s="51">
        <f t="shared" si="330"/>
        <v>1207</v>
      </c>
      <c r="DQ126" s="103">
        <f>DQ125</f>
        <v>0</v>
      </c>
      <c r="DR126" s="46">
        <f t="shared" si="404"/>
        <v>1207</v>
      </c>
      <c r="DS126" s="51">
        <f t="shared" si="331"/>
        <v>86</v>
      </c>
      <c r="DT126" s="103">
        <f>DT125</f>
        <v>0</v>
      </c>
      <c r="DU126" s="46">
        <f t="shared" si="363"/>
        <v>86</v>
      </c>
    </row>
    <row r="127" spans="1:125" x14ac:dyDescent="0.25">
      <c r="B127" s="120">
        <f>B126+1</f>
        <v>7</v>
      </c>
      <c r="C127" s="570">
        <f t="shared" ref="C127:C131" si="540">C126</f>
        <v>17</v>
      </c>
      <c r="D127" s="133"/>
      <c r="E127" s="408">
        <f t="shared" si="334"/>
        <v>171956</v>
      </c>
      <c r="F127" s="562">
        <f t="shared" si="301"/>
        <v>171956</v>
      </c>
      <c r="G127" s="134"/>
      <c r="H127" s="135"/>
      <c r="I127" s="135"/>
      <c r="J127" s="14">
        <f t="shared" si="364"/>
        <v>0</v>
      </c>
      <c r="K127" s="14">
        <f t="shared" si="335"/>
        <v>4875</v>
      </c>
      <c r="L127" s="14">
        <f t="shared" si="302"/>
        <v>0.16</v>
      </c>
      <c r="M127" s="47">
        <f t="shared" si="358"/>
        <v>0</v>
      </c>
      <c r="N127" s="35">
        <f t="shared" si="303"/>
        <v>4.3200000000000012</v>
      </c>
      <c r="O127" s="159">
        <f t="shared" si="336"/>
        <v>2.7568695534154077</v>
      </c>
      <c r="P127" s="142"/>
      <c r="Q127" s="14">
        <f t="shared" si="304"/>
        <v>75</v>
      </c>
      <c r="R127" s="482">
        <f t="shared" si="305"/>
        <v>0</v>
      </c>
      <c r="S127" s="470">
        <f t="shared" si="337"/>
        <v>328.79467076367098</v>
      </c>
      <c r="T127" s="51">
        <f t="shared" si="306"/>
        <v>1207</v>
      </c>
      <c r="U127" s="103">
        <f t="shared" ref="U127:U131" si="541">U126</f>
        <v>0</v>
      </c>
      <c r="V127" s="46">
        <f t="shared" si="339"/>
        <v>1207</v>
      </c>
      <c r="W127" s="51">
        <f t="shared" si="307"/>
        <v>86</v>
      </c>
      <c r="X127" s="103">
        <f t="shared" ref="X127:X131" si="542">X126</f>
        <v>0</v>
      </c>
      <c r="Y127" s="46">
        <f t="shared" si="341"/>
        <v>86</v>
      </c>
      <c r="Z127" s="487"/>
      <c r="AA127" s="120">
        <f>AA126+1</f>
        <v>7</v>
      </c>
      <c r="AB127" s="570">
        <f t="shared" ref="AB127:AB131" si="543">AB126</f>
        <v>17</v>
      </c>
      <c r="AC127" s="133"/>
      <c r="AD127" s="408">
        <f t="shared" si="397"/>
        <v>0</v>
      </c>
      <c r="AE127" s="562">
        <f t="shared" si="393"/>
        <v>0</v>
      </c>
      <c r="AF127" s="134"/>
      <c r="AG127" s="135"/>
      <c r="AH127" s="135"/>
      <c r="AI127" s="14">
        <f t="shared" si="473"/>
        <v>0</v>
      </c>
      <c r="AJ127" s="14">
        <f t="shared" si="490"/>
        <v>0</v>
      </c>
      <c r="AK127" s="14">
        <f t="shared" si="308"/>
        <v>0.16</v>
      </c>
      <c r="AL127" s="47">
        <f t="shared" si="366"/>
        <v>0</v>
      </c>
      <c r="AM127" s="35">
        <f t="shared" si="309"/>
        <v>4.3200000000000012</v>
      </c>
      <c r="AN127" s="159">
        <f t="shared" si="503"/>
        <v>0</v>
      </c>
      <c r="AO127" s="142"/>
      <c r="AP127" s="14">
        <f t="shared" si="310"/>
        <v>75</v>
      </c>
      <c r="AQ127" s="482">
        <f t="shared" si="311"/>
        <v>0</v>
      </c>
      <c r="AR127" s="470">
        <f t="shared" si="425"/>
        <v>0</v>
      </c>
      <c r="AS127" s="51">
        <f t="shared" si="312"/>
        <v>1207</v>
      </c>
      <c r="AT127" s="103">
        <f t="shared" ref="AT127:AT131" si="544">AT126</f>
        <v>0</v>
      </c>
      <c r="AU127" s="46">
        <f t="shared" si="398"/>
        <v>1207</v>
      </c>
      <c r="AV127" s="51">
        <f t="shared" si="313"/>
        <v>86</v>
      </c>
      <c r="AW127" s="103">
        <f t="shared" ref="AW127:AW131" si="545">AW126</f>
        <v>0</v>
      </c>
      <c r="AX127" s="46">
        <f t="shared" si="360"/>
        <v>86</v>
      </c>
      <c r="AZ127" s="120">
        <f>AZ126+1</f>
        <v>7</v>
      </c>
      <c r="BA127" s="570">
        <f t="shared" ref="BA127:BA131" si="546">BA126</f>
        <v>17</v>
      </c>
      <c r="BB127" s="133"/>
      <c r="BC127" s="408">
        <f t="shared" si="399"/>
        <v>116143</v>
      </c>
      <c r="BD127" s="562">
        <f t="shared" si="394"/>
        <v>116143</v>
      </c>
      <c r="BE127" s="134"/>
      <c r="BF127" s="135"/>
      <c r="BG127" s="135"/>
      <c r="BH127" s="14">
        <f t="shared" si="477"/>
        <v>0</v>
      </c>
      <c r="BI127" s="14">
        <f t="shared" si="492"/>
        <v>3926</v>
      </c>
      <c r="BJ127" s="14">
        <f t="shared" si="314"/>
        <v>0.16</v>
      </c>
      <c r="BK127" s="47">
        <f t="shared" si="368"/>
        <v>0</v>
      </c>
      <c r="BL127" s="35">
        <f t="shared" si="315"/>
        <v>4.3200000000000012</v>
      </c>
      <c r="BM127" s="159">
        <f t="shared" si="359"/>
        <v>3.2697865394065078</v>
      </c>
      <c r="BN127" s="142"/>
      <c r="BO127" s="14">
        <f t="shared" si="316"/>
        <v>75</v>
      </c>
      <c r="BP127" s="482">
        <f t="shared" si="317"/>
        <v>0</v>
      </c>
      <c r="BQ127" s="470">
        <f t="shared" si="426"/>
        <v>314.58428346602915</v>
      </c>
      <c r="BR127" s="51">
        <f t="shared" si="318"/>
        <v>1207</v>
      </c>
      <c r="BS127" s="103">
        <f t="shared" ref="BS127:BS131" si="547">BS126</f>
        <v>0</v>
      </c>
      <c r="BT127" s="46">
        <f t="shared" si="400"/>
        <v>1207</v>
      </c>
      <c r="BU127" s="51">
        <f t="shared" si="319"/>
        <v>86</v>
      </c>
      <c r="BV127" s="103">
        <f t="shared" ref="BV127:BV131" si="548">BV126</f>
        <v>0</v>
      </c>
      <c r="BW127" s="46">
        <f t="shared" si="361"/>
        <v>86</v>
      </c>
      <c r="BY127" s="120">
        <f>BY126+1</f>
        <v>7</v>
      </c>
      <c r="BZ127" s="570">
        <f t="shared" ref="BZ127:BZ131" si="549">BZ126</f>
        <v>17</v>
      </c>
      <c r="CA127" s="133"/>
      <c r="CB127" s="408">
        <f t="shared" si="401"/>
        <v>0</v>
      </c>
      <c r="CC127" s="562">
        <f t="shared" si="395"/>
        <v>0</v>
      </c>
      <c r="CD127" s="134"/>
      <c r="CE127" s="135"/>
      <c r="CF127" s="135"/>
      <c r="CG127" s="14">
        <f t="shared" si="481"/>
        <v>0</v>
      </c>
      <c r="CH127" s="14">
        <f t="shared" si="494"/>
        <v>0</v>
      </c>
      <c r="CI127" s="14">
        <f t="shared" si="320"/>
        <v>0.16</v>
      </c>
      <c r="CJ127" s="47">
        <f t="shared" si="370"/>
        <v>0</v>
      </c>
      <c r="CK127" s="35">
        <f t="shared" si="321"/>
        <v>4.3200000000000012</v>
      </c>
      <c r="CL127" s="159">
        <f t="shared" si="512"/>
        <v>0</v>
      </c>
      <c r="CM127" s="142"/>
      <c r="CN127" s="14">
        <f t="shared" si="322"/>
        <v>75</v>
      </c>
      <c r="CO127" s="482">
        <f t="shared" si="323"/>
        <v>0</v>
      </c>
      <c r="CP127" s="470">
        <f t="shared" si="427"/>
        <v>0</v>
      </c>
      <c r="CQ127" s="51">
        <f t="shared" si="324"/>
        <v>1207</v>
      </c>
      <c r="CR127" s="103">
        <f t="shared" ref="CR127:CR131" si="550">CR126</f>
        <v>0</v>
      </c>
      <c r="CS127" s="46">
        <f t="shared" si="402"/>
        <v>1207</v>
      </c>
      <c r="CT127" s="51">
        <f t="shared" si="325"/>
        <v>86</v>
      </c>
      <c r="CU127" s="103">
        <f t="shared" ref="CU127:CU131" si="551">CU126</f>
        <v>0</v>
      </c>
      <c r="CV127" s="46">
        <f t="shared" si="362"/>
        <v>86</v>
      </c>
      <c r="CX127" s="120">
        <f>CX126+1</f>
        <v>7</v>
      </c>
      <c r="CY127" s="570">
        <f t="shared" ref="CY127:CY131" si="552">CY126</f>
        <v>17</v>
      </c>
      <c r="CZ127" s="133"/>
      <c r="DA127" s="408">
        <f t="shared" si="403"/>
        <v>0</v>
      </c>
      <c r="DB127" s="562">
        <f t="shared" si="396"/>
        <v>0</v>
      </c>
      <c r="DC127" s="134"/>
      <c r="DD127" s="135"/>
      <c r="DE127" s="135"/>
      <c r="DF127" s="14">
        <f t="shared" si="485"/>
        <v>0</v>
      </c>
      <c r="DG127" s="14">
        <f t="shared" si="496"/>
        <v>0</v>
      </c>
      <c r="DH127" s="14">
        <f t="shared" si="326"/>
        <v>0.16</v>
      </c>
      <c r="DI127" s="47">
        <f t="shared" si="372"/>
        <v>0</v>
      </c>
      <c r="DJ127" s="35">
        <f t="shared" si="327"/>
        <v>4.3200000000000012</v>
      </c>
      <c r="DK127" s="159">
        <f t="shared" si="517"/>
        <v>0</v>
      </c>
      <c r="DL127" s="142"/>
      <c r="DM127" s="14">
        <f t="shared" si="328"/>
        <v>75</v>
      </c>
      <c r="DN127" s="482">
        <f t="shared" si="329"/>
        <v>0</v>
      </c>
      <c r="DO127" s="470">
        <f t="shared" si="428"/>
        <v>0</v>
      </c>
      <c r="DP127" s="51">
        <f t="shared" si="330"/>
        <v>1207</v>
      </c>
      <c r="DQ127" s="103">
        <f t="shared" ref="DQ127:DQ131" si="553">DQ126</f>
        <v>0</v>
      </c>
      <c r="DR127" s="46">
        <f t="shared" si="404"/>
        <v>1207</v>
      </c>
      <c r="DS127" s="51">
        <f t="shared" si="331"/>
        <v>86</v>
      </c>
      <c r="DT127" s="103">
        <f t="shared" ref="DT127:DT131" si="554">DT126</f>
        <v>0</v>
      </c>
      <c r="DU127" s="46">
        <f t="shared" si="363"/>
        <v>86</v>
      </c>
    </row>
    <row r="128" spans="1:125" x14ac:dyDescent="0.25">
      <c r="B128" s="120">
        <f t="shared" ref="B128:B131" si="555">B127+1</f>
        <v>8</v>
      </c>
      <c r="C128" s="570">
        <f t="shared" si="540"/>
        <v>17</v>
      </c>
      <c r="D128" s="133"/>
      <c r="E128" s="408">
        <f t="shared" si="334"/>
        <v>171956</v>
      </c>
      <c r="F128" s="562">
        <f t="shared" si="301"/>
        <v>171956</v>
      </c>
      <c r="G128" s="134"/>
      <c r="H128" s="135"/>
      <c r="I128" s="135"/>
      <c r="J128" s="14">
        <f t="shared" si="364"/>
        <v>0</v>
      </c>
      <c r="K128" s="14">
        <f t="shared" si="335"/>
        <v>4875</v>
      </c>
      <c r="L128" s="14">
        <f t="shared" si="302"/>
        <v>0.16</v>
      </c>
      <c r="M128" s="47">
        <f t="shared" si="358"/>
        <v>0</v>
      </c>
      <c r="N128" s="35">
        <f t="shared" si="303"/>
        <v>4.3200000000000012</v>
      </c>
      <c r="O128" s="159">
        <f t="shared" si="336"/>
        <v>2.7568695534154077</v>
      </c>
      <c r="P128" s="142"/>
      <c r="Q128" s="14">
        <f t="shared" si="304"/>
        <v>75</v>
      </c>
      <c r="R128" s="482">
        <f t="shared" si="305"/>
        <v>0</v>
      </c>
      <c r="S128" s="470">
        <f t="shared" si="337"/>
        <v>328.79467076367098</v>
      </c>
      <c r="T128" s="51">
        <f t="shared" si="306"/>
        <v>1207</v>
      </c>
      <c r="U128" s="103">
        <f t="shared" si="541"/>
        <v>0</v>
      </c>
      <c r="V128" s="46">
        <f t="shared" si="339"/>
        <v>1207</v>
      </c>
      <c r="W128" s="51">
        <f t="shared" si="307"/>
        <v>86</v>
      </c>
      <c r="X128" s="103">
        <f t="shared" si="542"/>
        <v>0</v>
      </c>
      <c r="Y128" s="46">
        <f t="shared" si="341"/>
        <v>86</v>
      </c>
      <c r="Z128" s="487"/>
      <c r="AA128" s="120">
        <f t="shared" ref="AA128:AA131" si="556">AA127+1</f>
        <v>8</v>
      </c>
      <c r="AB128" s="570">
        <f t="shared" si="543"/>
        <v>17</v>
      </c>
      <c r="AC128" s="133"/>
      <c r="AD128" s="408">
        <f t="shared" si="397"/>
        <v>0</v>
      </c>
      <c r="AE128" s="562">
        <f t="shared" si="393"/>
        <v>0</v>
      </c>
      <c r="AF128" s="134"/>
      <c r="AG128" s="135"/>
      <c r="AH128" s="135"/>
      <c r="AI128" s="14">
        <f t="shared" si="473"/>
        <v>0</v>
      </c>
      <c r="AJ128" s="14">
        <f t="shared" si="490"/>
        <v>0</v>
      </c>
      <c r="AK128" s="14">
        <f t="shared" si="308"/>
        <v>0.16</v>
      </c>
      <c r="AL128" s="47">
        <f t="shared" si="366"/>
        <v>0</v>
      </c>
      <c r="AM128" s="35">
        <f t="shared" si="309"/>
        <v>4.3200000000000012</v>
      </c>
      <c r="AN128" s="159">
        <f t="shared" si="503"/>
        <v>0</v>
      </c>
      <c r="AO128" s="142"/>
      <c r="AP128" s="14">
        <f t="shared" si="310"/>
        <v>75</v>
      </c>
      <c r="AQ128" s="482">
        <f t="shared" si="311"/>
        <v>0</v>
      </c>
      <c r="AR128" s="470">
        <f t="shared" si="425"/>
        <v>0</v>
      </c>
      <c r="AS128" s="51">
        <f t="shared" si="312"/>
        <v>1207</v>
      </c>
      <c r="AT128" s="103">
        <f t="shared" si="544"/>
        <v>0</v>
      </c>
      <c r="AU128" s="46">
        <f t="shared" si="398"/>
        <v>1207</v>
      </c>
      <c r="AV128" s="51">
        <f t="shared" si="313"/>
        <v>86</v>
      </c>
      <c r="AW128" s="103">
        <f t="shared" si="545"/>
        <v>0</v>
      </c>
      <c r="AX128" s="46">
        <f t="shared" si="360"/>
        <v>86</v>
      </c>
      <c r="AZ128" s="120">
        <f t="shared" ref="AZ128:AZ131" si="557">AZ127+1</f>
        <v>8</v>
      </c>
      <c r="BA128" s="570">
        <f t="shared" si="546"/>
        <v>17</v>
      </c>
      <c r="BB128" s="133"/>
      <c r="BC128" s="408">
        <f t="shared" si="399"/>
        <v>116143</v>
      </c>
      <c r="BD128" s="562">
        <f t="shared" si="394"/>
        <v>116143</v>
      </c>
      <c r="BE128" s="134"/>
      <c r="BF128" s="135"/>
      <c r="BG128" s="135"/>
      <c r="BH128" s="14">
        <f t="shared" si="477"/>
        <v>0</v>
      </c>
      <c r="BI128" s="14">
        <f t="shared" si="492"/>
        <v>3926</v>
      </c>
      <c r="BJ128" s="14">
        <f t="shared" si="314"/>
        <v>0.16</v>
      </c>
      <c r="BK128" s="47">
        <f t="shared" si="368"/>
        <v>0</v>
      </c>
      <c r="BL128" s="35">
        <f t="shared" si="315"/>
        <v>4.3200000000000012</v>
      </c>
      <c r="BM128" s="159">
        <f t="shared" si="359"/>
        <v>3.2697865394065078</v>
      </c>
      <c r="BN128" s="142"/>
      <c r="BO128" s="14">
        <f t="shared" si="316"/>
        <v>75</v>
      </c>
      <c r="BP128" s="482">
        <f t="shared" si="317"/>
        <v>0</v>
      </c>
      <c r="BQ128" s="470">
        <f t="shared" si="426"/>
        <v>314.58428346602915</v>
      </c>
      <c r="BR128" s="51">
        <f t="shared" si="318"/>
        <v>1207</v>
      </c>
      <c r="BS128" s="103">
        <f t="shared" si="547"/>
        <v>0</v>
      </c>
      <c r="BT128" s="46">
        <f t="shared" si="400"/>
        <v>1207</v>
      </c>
      <c r="BU128" s="51">
        <f t="shared" si="319"/>
        <v>86</v>
      </c>
      <c r="BV128" s="103">
        <f t="shared" si="548"/>
        <v>0</v>
      </c>
      <c r="BW128" s="46">
        <f t="shared" si="361"/>
        <v>86</v>
      </c>
      <c r="BY128" s="120">
        <f t="shared" ref="BY128:BY131" si="558">BY127+1</f>
        <v>8</v>
      </c>
      <c r="BZ128" s="570">
        <f t="shared" si="549"/>
        <v>17</v>
      </c>
      <c r="CA128" s="133"/>
      <c r="CB128" s="408">
        <f t="shared" si="401"/>
        <v>0</v>
      </c>
      <c r="CC128" s="562">
        <f t="shared" si="395"/>
        <v>0</v>
      </c>
      <c r="CD128" s="134"/>
      <c r="CE128" s="135"/>
      <c r="CF128" s="135"/>
      <c r="CG128" s="14">
        <f t="shared" si="481"/>
        <v>0</v>
      </c>
      <c r="CH128" s="14">
        <f t="shared" si="494"/>
        <v>0</v>
      </c>
      <c r="CI128" s="14">
        <f t="shared" si="320"/>
        <v>0.16</v>
      </c>
      <c r="CJ128" s="47">
        <f t="shared" si="370"/>
        <v>0</v>
      </c>
      <c r="CK128" s="35">
        <f t="shared" si="321"/>
        <v>4.3200000000000012</v>
      </c>
      <c r="CL128" s="159">
        <f t="shared" si="512"/>
        <v>0</v>
      </c>
      <c r="CM128" s="142"/>
      <c r="CN128" s="14">
        <f t="shared" si="322"/>
        <v>75</v>
      </c>
      <c r="CO128" s="482">
        <f t="shared" si="323"/>
        <v>0</v>
      </c>
      <c r="CP128" s="470">
        <f t="shared" si="427"/>
        <v>0</v>
      </c>
      <c r="CQ128" s="51">
        <f t="shared" si="324"/>
        <v>1207</v>
      </c>
      <c r="CR128" s="103">
        <f t="shared" si="550"/>
        <v>0</v>
      </c>
      <c r="CS128" s="46">
        <f t="shared" si="402"/>
        <v>1207</v>
      </c>
      <c r="CT128" s="51">
        <f t="shared" si="325"/>
        <v>86</v>
      </c>
      <c r="CU128" s="103">
        <f t="shared" si="551"/>
        <v>0</v>
      </c>
      <c r="CV128" s="46">
        <f t="shared" si="362"/>
        <v>86</v>
      </c>
      <c r="CX128" s="120">
        <f t="shared" ref="CX128:CX131" si="559">CX127+1</f>
        <v>8</v>
      </c>
      <c r="CY128" s="570">
        <f t="shared" si="552"/>
        <v>17</v>
      </c>
      <c r="CZ128" s="133"/>
      <c r="DA128" s="408">
        <f t="shared" si="403"/>
        <v>0</v>
      </c>
      <c r="DB128" s="562">
        <f t="shared" si="396"/>
        <v>0</v>
      </c>
      <c r="DC128" s="134"/>
      <c r="DD128" s="135"/>
      <c r="DE128" s="135"/>
      <c r="DF128" s="14">
        <f t="shared" si="485"/>
        <v>0</v>
      </c>
      <c r="DG128" s="14">
        <f t="shared" si="496"/>
        <v>0</v>
      </c>
      <c r="DH128" s="14">
        <f t="shared" si="326"/>
        <v>0.16</v>
      </c>
      <c r="DI128" s="47">
        <f t="shared" si="372"/>
        <v>0</v>
      </c>
      <c r="DJ128" s="35">
        <f t="shared" si="327"/>
        <v>4.3200000000000012</v>
      </c>
      <c r="DK128" s="159">
        <f t="shared" si="517"/>
        <v>0</v>
      </c>
      <c r="DL128" s="142"/>
      <c r="DM128" s="14">
        <f t="shared" si="328"/>
        <v>75</v>
      </c>
      <c r="DN128" s="482">
        <f t="shared" si="329"/>
        <v>0</v>
      </c>
      <c r="DO128" s="470">
        <f t="shared" si="428"/>
        <v>0</v>
      </c>
      <c r="DP128" s="51">
        <f t="shared" si="330"/>
        <v>1207</v>
      </c>
      <c r="DQ128" s="103">
        <f t="shared" si="553"/>
        <v>0</v>
      </c>
      <c r="DR128" s="46">
        <f t="shared" si="404"/>
        <v>1207</v>
      </c>
      <c r="DS128" s="51">
        <f t="shared" si="331"/>
        <v>86</v>
      </c>
      <c r="DT128" s="103">
        <f t="shared" si="554"/>
        <v>0</v>
      </c>
      <c r="DU128" s="46">
        <f t="shared" si="363"/>
        <v>86</v>
      </c>
    </row>
    <row r="129" spans="2:125" x14ac:dyDescent="0.25">
      <c r="B129" s="120">
        <f t="shared" si="555"/>
        <v>9</v>
      </c>
      <c r="C129" s="570">
        <f t="shared" si="540"/>
        <v>17</v>
      </c>
      <c r="D129" s="133"/>
      <c r="E129" s="408">
        <f t="shared" si="334"/>
        <v>171956</v>
      </c>
      <c r="F129" s="562">
        <f t="shared" si="301"/>
        <v>171956</v>
      </c>
      <c r="G129" s="134"/>
      <c r="H129" s="135"/>
      <c r="I129" s="135"/>
      <c r="J129" s="14">
        <f t="shared" si="364"/>
        <v>0</v>
      </c>
      <c r="K129" s="14">
        <f t="shared" si="335"/>
        <v>4875</v>
      </c>
      <c r="L129" s="14">
        <f t="shared" si="302"/>
        <v>0.16</v>
      </c>
      <c r="M129" s="47">
        <f t="shared" si="358"/>
        <v>0</v>
      </c>
      <c r="N129" s="35">
        <f t="shared" si="303"/>
        <v>4.3200000000000012</v>
      </c>
      <c r="O129" s="159">
        <f t="shared" si="336"/>
        <v>2.7568695534154077</v>
      </c>
      <c r="P129" s="142"/>
      <c r="Q129" s="14">
        <f t="shared" si="304"/>
        <v>75</v>
      </c>
      <c r="R129" s="482">
        <f t="shared" si="305"/>
        <v>0</v>
      </c>
      <c r="S129" s="470">
        <f t="shared" si="337"/>
        <v>328.79467076367098</v>
      </c>
      <c r="T129" s="51">
        <f t="shared" si="306"/>
        <v>1207</v>
      </c>
      <c r="U129" s="103">
        <f t="shared" si="541"/>
        <v>0</v>
      </c>
      <c r="V129" s="46">
        <f t="shared" si="339"/>
        <v>1207</v>
      </c>
      <c r="W129" s="12">
        <f t="shared" si="307"/>
        <v>86</v>
      </c>
      <c r="X129" s="103">
        <f t="shared" si="542"/>
        <v>0</v>
      </c>
      <c r="Y129" s="46">
        <f t="shared" si="341"/>
        <v>86</v>
      </c>
      <c r="Z129" s="487"/>
      <c r="AA129" s="120">
        <f t="shared" si="556"/>
        <v>9</v>
      </c>
      <c r="AB129" s="570">
        <f t="shared" si="543"/>
        <v>17</v>
      </c>
      <c r="AC129" s="133"/>
      <c r="AD129" s="408">
        <f t="shared" si="397"/>
        <v>0</v>
      </c>
      <c r="AE129" s="562">
        <f t="shared" si="393"/>
        <v>0</v>
      </c>
      <c r="AF129" s="134"/>
      <c r="AG129" s="135"/>
      <c r="AH129" s="135"/>
      <c r="AI129" s="14">
        <f t="shared" si="473"/>
        <v>0</v>
      </c>
      <c r="AJ129" s="14">
        <f t="shared" si="490"/>
        <v>0</v>
      </c>
      <c r="AK129" s="14">
        <f t="shared" si="308"/>
        <v>0.16</v>
      </c>
      <c r="AL129" s="47">
        <f t="shared" si="366"/>
        <v>0</v>
      </c>
      <c r="AM129" s="35">
        <f t="shared" si="309"/>
        <v>4.3200000000000012</v>
      </c>
      <c r="AN129" s="159">
        <f t="shared" si="503"/>
        <v>0</v>
      </c>
      <c r="AO129" s="142"/>
      <c r="AP129" s="14">
        <f t="shared" si="310"/>
        <v>75</v>
      </c>
      <c r="AQ129" s="482">
        <f t="shared" si="311"/>
        <v>0</v>
      </c>
      <c r="AR129" s="470">
        <f t="shared" si="425"/>
        <v>0</v>
      </c>
      <c r="AS129" s="51">
        <f t="shared" si="312"/>
        <v>1207</v>
      </c>
      <c r="AT129" s="103">
        <f t="shared" si="544"/>
        <v>0</v>
      </c>
      <c r="AU129" s="46">
        <f t="shared" si="398"/>
        <v>1207</v>
      </c>
      <c r="AV129" s="12">
        <f t="shared" si="313"/>
        <v>86</v>
      </c>
      <c r="AW129" s="103">
        <f t="shared" si="545"/>
        <v>0</v>
      </c>
      <c r="AX129" s="46">
        <f t="shared" si="360"/>
        <v>86</v>
      </c>
      <c r="AZ129" s="120">
        <f t="shared" si="557"/>
        <v>9</v>
      </c>
      <c r="BA129" s="570">
        <f t="shared" si="546"/>
        <v>17</v>
      </c>
      <c r="BB129" s="133"/>
      <c r="BC129" s="408">
        <f t="shared" si="399"/>
        <v>116143</v>
      </c>
      <c r="BD129" s="562">
        <f t="shared" si="394"/>
        <v>116143</v>
      </c>
      <c r="BE129" s="134"/>
      <c r="BF129" s="135"/>
      <c r="BG129" s="135"/>
      <c r="BH129" s="14">
        <f t="shared" si="477"/>
        <v>0</v>
      </c>
      <c r="BI129" s="14">
        <f t="shared" si="492"/>
        <v>3926</v>
      </c>
      <c r="BJ129" s="14">
        <f t="shared" si="314"/>
        <v>0.16</v>
      </c>
      <c r="BK129" s="47">
        <f t="shared" si="368"/>
        <v>0</v>
      </c>
      <c r="BL129" s="35">
        <f t="shared" si="315"/>
        <v>4.3200000000000012</v>
      </c>
      <c r="BM129" s="159">
        <f t="shared" si="359"/>
        <v>3.2697865394065078</v>
      </c>
      <c r="BN129" s="142"/>
      <c r="BO129" s="14">
        <f t="shared" si="316"/>
        <v>75</v>
      </c>
      <c r="BP129" s="482">
        <f t="shared" si="317"/>
        <v>0</v>
      </c>
      <c r="BQ129" s="470">
        <f t="shared" si="426"/>
        <v>314.58428346602915</v>
      </c>
      <c r="BR129" s="51">
        <f t="shared" si="318"/>
        <v>1207</v>
      </c>
      <c r="BS129" s="103">
        <f t="shared" si="547"/>
        <v>0</v>
      </c>
      <c r="BT129" s="46">
        <f t="shared" si="400"/>
        <v>1207</v>
      </c>
      <c r="BU129" s="12">
        <f t="shared" si="319"/>
        <v>86</v>
      </c>
      <c r="BV129" s="103">
        <f t="shared" si="548"/>
        <v>0</v>
      </c>
      <c r="BW129" s="46">
        <f t="shared" si="361"/>
        <v>86</v>
      </c>
      <c r="BY129" s="120">
        <f t="shared" si="558"/>
        <v>9</v>
      </c>
      <c r="BZ129" s="570">
        <f t="shared" si="549"/>
        <v>17</v>
      </c>
      <c r="CA129" s="133"/>
      <c r="CB129" s="408">
        <f t="shared" si="401"/>
        <v>0</v>
      </c>
      <c r="CC129" s="562">
        <f t="shared" si="395"/>
        <v>0</v>
      </c>
      <c r="CD129" s="134"/>
      <c r="CE129" s="135"/>
      <c r="CF129" s="135"/>
      <c r="CG129" s="14">
        <f t="shared" si="481"/>
        <v>0</v>
      </c>
      <c r="CH129" s="14">
        <f t="shared" si="494"/>
        <v>0</v>
      </c>
      <c r="CI129" s="14">
        <f t="shared" si="320"/>
        <v>0.16</v>
      </c>
      <c r="CJ129" s="47">
        <f t="shared" si="370"/>
        <v>0</v>
      </c>
      <c r="CK129" s="35">
        <f t="shared" si="321"/>
        <v>4.3200000000000012</v>
      </c>
      <c r="CL129" s="159">
        <f t="shared" si="512"/>
        <v>0</v>
      </c>
      <c r="CM129" s="142"/>
      <c r="CN129" s="14">
        <f t="shared" si="322"/>
        <v>75</v>
      </c>
      <c r="CO129" s="482">
        <f t="shared" si="323"/>
        <v>0</v>
      </c>
      <c r="CP129" s="470">
        <f t="shared" si="427"/>
        <v>0</v>
      </c>
      <c r="CQ129" s="51">
        <f t="shared" si="324"/>
        <v>1207</v>
      </c>
      <c r="CR129" s="103">
        <f t="shared" si="550"/>
        <v>0</v>
      </c>
      <c r="CS129" s="46">
        <f t="shared" si="402"/>
        <v>1207</v>
      </c>
      <c r="CT129" s="12">
        <f t="shared" si="325"/>
        <v>86</v>
      </c>
      <c r="CU129" s="103">
        <f t="shared" si="551"/>
        <v>0</v>
      </c>
      <c r="CV129" s="46">
        <f t="shared" si="362"/>
        <v>86</v>
      </c>
      <c r="CX129" s="120">
        <f t="shared" si="559"/>
        <v>9</v>
      </c>
      <c r="CY129" s="570">
        <f t="shared" si="552"/>
        <v>17</v>
      </c>
      <c r="CZ129" s="133"/>
      <c r="DA129" s="408">
        <f t="shared" si="403"/>
        <v>0</v>
      </c>
      <c r="DB129" s="562">
        <f t="shared" si="396"/>
        <v>0</v>
      </c>
      <c r="DC129" s="134"/>
      <c r="DD129" s="135"/>
      <c r="DE129" s="135"/>
      <c r="DF129" s="14">
        <f t="shared" si="485"/>
        <v>0</v>
      </c>
      <c r="DG129" s="14">
        <f t="shared" si="496"/>
        <v>0</v>
      </c>
      <c r="DH129" s="14">
        <f t="shared" si="326"/>
        <v>0.16</v>
      </c>
      <c r="DI129" s="47">
        <f t="shared" si="372"/>
        <v>0</v>
      </c>
      <c r="DJ129" s="35">
        <f t="shared" si="327"/>
        <v>4.3200000000000012</v>
      </c>
      <c r="DK129" s="159">
        <f t="shared" si="517"/>
        <v>0</v>
      </c>
      <c r="DL129" s="142"/>
      <c r="DM129" s="14">
        <f t="shared" si="328"/>
        <v>75</v>
      </c>
      <c r="DN129" s="482">
        <f t="shared" si="329"/>
        <v>0</v>
      </c>
      <c r="DO129" s="470">
        <f t="shared" si="428"/>
        <v>0</v>
      </c>
      <c r="DP129" s="51">
        <f t="shared" si="330"/>
        <v>1207</v>
      </c>
      <c r="DQ129" s="103">
        <f t="shared" si="553"/>
        <v>0</v>
      </c>
      <c r="DR129" s="46">
        <f t="shared" si="404"/>
        <v>1207</v>
      </c>
      <c r="DS129" s="12">
        <f t="shared" si="331"/>
        <v>86</v>
      </c>
      <c r="DT129" s="103">
        <f t="shared" si="554"/>
        <v>0</v>
      </c>
      <c r="DU129" s="46">
        <f t="shared" si="363"/>
        <v>86</v>
      </c>
    </row>
    <row r="130" spans="2:125" x14ac:dyDescent="0.25">
      <c r="B130" s="120">
        <f t="shared" si="555"/>
        <v>10</v>
      </c>
      <c r="C130" s="570">
        <f t="shared" si="540"/>
        <v>17</v>
      </c>
      <c r="D130" s="133"/>
      <c r="E130" s="408">
        <f t="shared" si="334"/>
        <v>171956</v>
      </c>
      <c r="F130" s="562">
        <f t="shared" si="301"/>
        <v>171956</v>
      </c>
      <c r="G130" s="134"/>
      <c r="H130" s="135"/>
      <c r="I130" s="135"/>
      <c r="J130" s="14">
        <f t="shared" si="364"/>
        <v>0</v>
      </c>
      <c r="K130" s="14">
        <f t="shared" si="335"/>
        <v>4875</v>
      </c>
      <c r="L130" s="14">
        <f t="shared" si="302"/>
        <v>0.16</v>
      </c>
      <c r="M130" s="47">
        <f t="shared" si="358"/>
        <v>0</v>
      </c>
      <c r="N130" s="35">
        <f t="shared" si="303"/>
        <v>4.3200000000000012</v>
      </c>
      <c r="O130" s="159">
        <f t="shared" si="336"/>
        <v>2.7568695534154077</v>
      </c>
      <c r="P130" s="142"/>
      <c r="Q130" s="14">
        <f t="shared" si="304"/>
        <v>75</v>
      </c>
      <c r="R130" s="482">
        <f t="shared" si="305"/>
        <v>0</v>
      </c>
      <c r="S130" s="470">
        <f t="shared" si="337"/>
        <v>328.79467076367098</v>
      </c>
      <c r="T130" s="51">
        <f t="shared" si="306"/>
        <v>1207</v>
      </c>
      <c r="U130" s="103">
        <f t="shared" si="541"/>
        <v>0</v>
      </c>
      <c r="V130" s="46">
        <f t="shared" si="339"/>
        <v>1207</v>
      </c>
      <c r="W130" s="50">
        <f t="shared" si="307"/>
        <v>86</v>
      </c>
      <c r="X130" s="103">
        <f t="shared" si="542"/>
        <v>0</v>
      </c>
      <c r="Y130" s="62">
        <f t="shared" si="341"/>
        <v>86</v>
      </c>
      <c r="Z130" s="487"/>
      <c r="AA130" s="120">
        <f t="shared" si="556"/>
        <v>10</v>
      </c>
      <c r="AB130" s="570">
        <f t="shared" si="543"/>
        <v>17</v>
      </c>
      <c r="AC130" s="133"/>
      <c r="AD130" s="408">
        <f t="shared" si="397"/>
        <v>0</v>
      </c>
      <c r="AE130" s="562">
        <f t="shared" si="393"/>
        <v>0</v>
      </c>
      <c r="AF130" s="134"/>
      <c r="AG130" s="135"/>
      <c r="AH130" s="135"/>
      <c r="AI130" s="14">
        <f t="shared" si="473"/>
        <v>0</v>
      </c>
      <c r="AJ130" s="14">
        <f t="shared" si="490"/>
        <v>0</v>
      </c>
      <c r="AK130" s="14">
        <f t="shared" si="308"/>
        <v>0.16</v>
      </c>
      <c r="AL130" s="47">
        <f t="shared" si="366"/>
        <v>0</v>
      </c>
      <c r="AM130" s="35">
        <f t="shared" si="309"/>
        <v>4.3200000000000012</v>
      </c>
      <c r="AN130" s="159">
        <f t="shared" si="503"/>
        <v>0</v>
      </c>
      <c r="AO130" s="142"/>
      <c r="AP130" s="14">
        <f t="shared" si="310"/>
        <v>75</v>
      </c>
      <c r="AQ130" s="482">
        <f t="shared" si="311"/>
        <v>0</v>
      </c>
      <c r="AR130" s="470">
        <f t="shared" si="425"/>
        <v>0</v>
      </c>
      <c r="AS130" s="51">
        <f t="shared" si="312"/>
        <v>1207</v>
      </c>
      <c r="AT130" s="103">
        <f t="shared" si="544"/>
        <v>0</v>
      </c>
      <c r="AU130" s="46">
        <f t="shared" si="398"/>
        <v>1207</v>
      </c>
      <c r="AV130" s="50">
        <f t="shared" si="313"/>
        <v>86</v>
      </c>
      <c r="AW130" s="103">
        <f t="shared" si="545"/>
        <v>0</v>
      </c>
      <c r="AX130" s="62">
        <f t="shared" si="360"/>
        <v>86</v>
      </c>
      <c r="AZ130" s="120">
        <f t="shared" si="557"/>
        <v>10</v>
      </c>
      <c r="BA130" s="570">
        <f t="shared" si="546"/>
        <v>17</v>
      </c>
      <c r="BB130" s="133"/>
      <c r="BC130" s="408">
        <f t="shared" si="399"/>
        <v>116143</v>
      </c>
      <c r="BD130" s="562">
        <f t="shared" si="394"/>
        <v>116143</v>
      </c>
      <c r="BE130" s="134"/>
      <c r="BF130" s="135"/>
      <c r="BG130" s="135"/>
      <c r="BH130" s="14">
        <f t="shared" si="477"/>
        <v>0</v>
      </c>
      <c r="BI130" s="14">
        <f t="shared" si="492"/>
        <v>3926</v>
      </c>
      <c r="BJ130" s="14">
        <f t="shared" si="314"/>
        <v>0.16</v>
      </c>
      <c r="BK130" s="47">
        <f t="shared" si="368"/>
        <v>0</v>
      </c>
      <c r="BL130" s="35">
        <f t="shared" si="315"/>
        <v>4.3200000000000012</v>
      </c>
      <c r="BM130" s="159">
        <f t="shared" si="359"/>
        <v>3.2697865394065078</v>
      </c>
      <c r="BN130" s="142"/>
      <c r="BO130" s="14">
        <f t="shared" si="316"/>
        <v>75</v>
      </c>
      <c r="BP130" s="482">
        <f t="shared" si="317"/>
        <v>0</v>
      </c>
      <c r="BQ130" s="470">
        <f t="shared" si="426"/>
        <v>314.58428346602915</v>
      </c>
      <c r="BR130" s="51">
        <f t="shared" si="318"/>
        <v>1207</v>
      </c>
      <c r="BS130" s="103">
        <f t="shared" si="547"/>
        <v>0</v>
      </c>
      <c r="BT130" s="46">
        <f t="shared" si="400"/>
        <v>1207</v>
      </c>
      <c r="BU130" s="50">
        <f t="shared" si="319"/>
        <v>86</v>
      </c>
      <c r="BV130" s="103">
        <f t="shared" si="548"/>
        <v>0</v>
      </c>
      <c r="BW130" s="62">
        <f t="shared" si="361"/>
        <v>86</v>
      </c>
      <c r="BY130" s="120">
        <f t="shared" si="558"/>
        <v>10</v>
      </c>
      <c r="BZ130" s="570">
        <f t="shared" si="549"/>
        <v>17</v>
      </c>
      <c r="CA130" s="133"/>
      <c r="CB130" s="408">
        <f t="shared" si="401"/>
        <v>0</v>
      </c>
      <c r="CC130" s="562">
        <f t="shared" si="395"/>
        <v>0</v>
      </c>
      <c r="CD130" s="134"/>
      <c r="CE130" s="135"/>
      <c r="CF130" s="135"/>
      <c r="CG130" s="14">
        <f t="shared" si="481"/>
        <v>0</v>
      </c>
      <c r="CH130" s="14">
        <f t="shared" si="494"/>
        <v>0</v>
      </c>
      <c r="CI130" s="14">
        <f t="shared" si="320"/>
        <v>0.16</v>
      </c>
      <c r="CJ130" s="47">
        <f t="shared" si="370"/>
        <v>0</v>
      </c>
      <c r="CK130" s="35">
        <f t="shared" si="321"/>
        <v>4.3200000000000012</v>
      </c>
      <c r="CL130" s="159">
        <f t="shared" si="512"/>
        <v>0</v>
      </c>
      <c r="CM130" s="142"/>
      <c r="CN130" s="14">
        <f t="shared" si="322"/>
        <v>75</v>
      </c>
      <c r="CO130" s="482">
        <f t="shared" si="323"/>
        <v>0</v>
      </c>
      <c r="CP130" s="470">
        <f t="shared" si="427"/>
        <v>0</v>
      </c>
      <c r="CQ130" s="51">
        <f t="shared" si="324"/>
        <v>1207</v>
      </c>
      <c r="CR130" s="103">
        <f t="shared" si="550"/>
        <v>0</v>
      </c>
      <c r="CS130" s="46">
        <f t="shared" si="402"/>
        <v>1207</v>
      </c>
      <c r="CT130" s="50">
        <f t="shared" si="325"/>
        <v>86</v>
      </c>
      <c r="CU130" s="103">
        <f t="shared" si="551"/>
        <v>0</v>
      </c>
      <c r="CV130" s="62">
        <f t="shared" si="362"/>
        <v>86</v>
      </c>
      <c r="CX130" s="120">
        <f t="shared" si="559"/>
        <v>10</v>
      </c>
      <c r="CY130" s="570">
        <f t="shared" si="552"/>
        <v>17</v>
      </c>
      <c r="CZ130" s="133"/>
      <c r="DA130" s="408">
        <f t="shared" si="403"/>
        <v>0</v>
      </c>
      <c r="DB130" s="562">
        <f t="shared" si="396"/>
        <v>0</v>
      </c>
      <c r="DC130" s="134"/>
      <c r="DD130" s="135"/>
      <c r="DE130" s="135"/>
      <c r="DF130" s="14">
        <f t="shared" si="485"/>
        <v>0</v>
      </c>
      <c r="DG130" s="14">
        <f t="shared" si="496"/>
        <v>0</v>
      </c>
      <c r="DH130" s="14">
        <f t="shared" si="326"/>
        <v>0.16</v>
      </c>
      <c r="DI130" s="47">
        <f t="shared" si="372"/>
        <v>0</v>
      </c>
      <c r="DJ130" s="35">
        <f t="shared" si="327"/>
        <v>4.3200000000000012</v>
      </c>
      <c r="DK130" s="159">
        <f t="shared" si="517"/>
        <v>0</v>
      </c>
      <c r="DL130" s="142"/>
      <c r="DM130" s="14">
        <f t="shared" si="328"/>
        <v>75</v>
      </c>
      <c r="DN130" s="482">
        <f t="shared" si="329"/>
        <v>0</v>
      </c>
      <c r="DO130" s="470">
        <f t="shared" si="428"/>
        <v>0</v>
      </c>
      <c r="DP130" s="51">
        <f t="shared" si="330"/>
        <v>1207</v>
      </c>
      <c r="DQ130" s="103">
        <f t="shared" si="553"/>
        <v>0</v>
      </c>
      <c r="DR130" s="46">
        <f t="shared" si="404"/>
        <v>1207</v>
      </c>
      <c r="DS130" s="50">
        <f t="shared" si="331"/>
        <v>86</v>
      </c>
      <c r="DT130" s="103">
        <f t="shared" si="554"/>
        <v>0</v>
      </c>
      <c r="DU130" s="62">
        <f t="shared" si="363"/>
        <v>86</v>
      </c>
    </row>
    <row r="131" spans="2:125" ht="17.25" thickBot="1" x14ac:dyDescent="0.3">
      <c r="B131" s="119">
        <f t="shared" si="555"/>
        <v>11</v>
      </c>
      <c r="C131" s="825">
        <f t="shared" si="540"/>
        <v>17</v>
      </c>
      <c r="D131" s="203"/>
      <c r="E131" s="818">
        <f t="shared" si="334"/>
        <v>171956</v>
      </c>
      <c r="F131" s="450">
        <f t="shared" si="301"/>
        <v>171956</v>
      </c>
      <c r="G131" s="204"/>
      <c r="H131" s="205"/>
      <c r="I131" s="205"/>
      <c r="J131" s="13">
        <f t="shared" si="364"/>
        <v>0</v>
      </c>
      <c r="K131" s="13">
        <f t="shared" si="335"/>
        <v>4875</v>
      </c>
      <c r="L131" s="13">
        <f t="shared" si="302"/>
        <v>0.16</v>
      </c>
      <c r="M131" s="230">
        <f t="shared" si="358"/>
        <v>0</v>
      </c>
      <c r="N131" s="161">
        <f t="shared" si="303"/>
        <v>4.3200000000000012</v>
      </c>
      <c r="O131" s="157">
        <f t="shared" si="336"/>
        <v>2.7568695534154077</v>
      </c>
      <c r="P131" s="237"/>
      <c r="Q131" s="13">
        <f t="shared" si="304"/>
        <v>75</v>
      </c>
      <c r="R131" s="482">
        <f t="shared" si="305"/>
        <v>0</v>
      </c>
      <c r="S131" s="641">
        <f t="shared" si="337"/>
        <v>328.79467076367098</v>
      </c>
      <c r="T131" s="50">
        <f t="shared" si="306"/>
        <v>1207</v>
      </c>
      <c r="U131" s="202">
        <f t="shared" si="541"/>
        <v>0</v>
      </c>
      <c r="V131" s="59">
        <f t="shared" si="339"/>
        <v>1207</v>
      </c>
      <c r="W131" s="50">
        <f t="shared" si="307"/>
        <v>86</v>
      </c>
      <c r="X131" s="202">
        <f t="shared" si="542"/>
        <v>0</v>
      </c>
      <c r="Y131" s="59">
        <f t="shared" si="341"/>
        <v>86</v>
      </c>
      <c r="Z131" s="487"/>
      <c r="AA131" s="119">
        <f t="shared" si="556"/>
        <v>11</v>
      </c>
      <c r="AB131" s="825">
        <f t="shared" si="543"/>
        <v>17</v>
      </c>
      <c r="AC131" s="203"/>
      <c r="AD131" s="818">
        <f t="shared" si="397"/>
        <v>0</v>
      </c>
      <c r="AE131" s="450">
        <f t="shared" si="393"/>
        <v>0</v>
      </c>
      <c r="AF131" s="204"/>
      <c r="AG131" s="205"/>
      <c r="AH131" s="205"/>
      <c r="AI131" s="13">
        <f t="shared" si="473"/>
        <v>0</v>
      </c>
      <c r="AJ131" s="13">
        <f t="shared" si="490"/>
        <v>0</v>
      </c>
      <c r="AK131" s="13">
        <f t="shared" si="308"/>
        <v>0.16</v>
      </c>
      <c r="AL131" s="230">
        <f t="shared" si="366"/>
        <v>0</v>
      </c>
      <c r="AM131" s="161">
        <f t="shared" si="309"/>
        <v>4.3200000000000012</v>
      </c>
      <c r="AN131" s="157">
        <f t="shared" si="503"/>
        <v>0</v>
      </c>
      <c r="AO131" s="237"/>
      <c r="AP131" s="13">
        <f t="shared" si="310"/>
        <v>75</v>
      </c>
      <c r="AQ131" s="482">
        <f t="shared" si="311"/>
        <v>0</v>
      </c>
      <c r="AR131" s="641">
        <f t="shared" si="425"/>
        <v>0</v>
      </c>
      <c r="AS131" s="50">
        <f t="shared" si="312"/>
        <v>1207</v>
      </c>
      <c r="AT131" s="202">
        <f t="shared" si="544"/>
        <v>0</v>
      </c>
      <c r="AU131" s="59">
        <f t="shared" si="398"/>
        <v>1207</v>
      </c>
      <c r="AV131" s="50">
        <f t="shared" si="313"/>
        <v>86</v>
      </c>
      <c r="AW131" s="202">
        <f t="shared" si="545"/>
        <v>0</v>
      </c>
      <c r="AX131" s="59">
        <f t="shared" si="360"/>
        <v>86</v>
      </c>
      <c r="AZ131" s="119">
        <f t="shared" si="557"/>
        <v>11</v>
      </c>
      <c r="BA131" s="825">
        <f t="shared" si="546"/>
        <v>17</v>
      </c>
      <c r="BB131" s="203"/>
      <c r="BC131" s="818">
        <f t="shared" si="399"/>
        <v>116143</v>
      </c>
      <c r="BD131" s="450">
        <f t="shared" si="394"/>
        <v>116143</v>
      </c>
      <c r="BE131" s="204"/>
      <c r="BF131" s="205"/>
      <c r="BG131" s="205"/>
      <c r="BH131" s="13">
        <f t="shared" si="477"/>
        <v>0</v>
      </c>
      <c r="BI131" s="13">
        <f t="shared" si="492"/>
        <v>3926</v>
      </c>
      <c r="BJ131" s="13">
        <f t="shared" si="314"/>
        <v>0.16</v>
      </c>
      <c r="BK131" s="230">
        <f t="shared" si="368"/>
        <v>0</v>
      </c>
      <c r="BL131" s="161">
        <f t="shared" si="315"/>
        <v>4.3200000000000012</v>
      </c>
      <c r="BM131" s="156">
        <f t="shared" si="359"/>
        <v>3.2697865394065078</v>
      </c>
      <c r="BN131" s="237"/>
      <c r="BO131" s="13">
        <f t="shared" si="316"/>
        <v>75</v>
      </c>
      <c r="BP131" s="482">
        <f t="shared" si="317"/>
        <v>0</v>
      </c>
      <c r="BQ131" s="641">
        <f t="shared" si="426"/>
        <v>314.58428346602915</v>
      </c>
      <c r="BR131" s="50">
        <f t="shared" si="318"/>
        <v>1207</v>
      </c>
      <c r="BS131" s="202">
        <f t="shared" si="547"/>
        <v>0</v>
      </c>
      <c r="BT131" s="59">
        <f t="shared" si="400"/>
        <v>1207</v>
      </c>
      <c r="BU131" s="50">
        <f t="shared" si="319"/>
        <v>86</v>
      </c>
      <c r="BV131" s="202">
        <f t="shared" si="548"/>
        <v>0</v>
      </c>
      <c r="BW131" s="59">
        <f t="shared" si="361"/>
        <v>86</v>
      </c>
      <c r="BY131" s="119">
        <f t="shared" si="558"/>
        <v>11</v>
      </c>
      <c r="BZ131" s="825">
        <f t="shared" si="549"/>
        <v>17</v>
      </c>
      <c r="CA131" s="203"/>
      <c r="CB131" s="818">
        <f t="shared" si="401"/>
        <v>0</v>
      </c>
      <c r="CC131" s="450">
        <f t="shared" si="395"/>
        <v>0</v>
      </c>
      <c r="CD131" s="204"/>
      <c r="CE131" s="205"/>
      <c r="CF131" s="205"/>
      <c r="CG131" s="13">
        <f t="shared" si="481"/>
        <v>0</v>
      </c>
      <c r="CH131" s="13">
        <f t="shared" si="494"/>
        <v>0</v>
      </c>
      <c r="CI131" s="13">
        <f t="shared" si="320"/>
        <v>0.16</v>
      </c>
      <c r="CJ131" s="230">
        <f t="shared" si="370"/>
        <v>0</v>
      </c>
      <c r="CK131" s="161">
        <f t="shared" si="321"/>
        <v>4.3200000000000012</v>
      </c>
      <c r="CL131" s="157">
        <f t="shared" si="512"/>
        <v>0</v>
      </c>
      <c r="CM131" s="237"/>
      <c r="CN131" s="13">
        <f t="shared" si="322"/>
        <v>75</v>
      </c>
      <c r="CO131" s="482">
        <f t="shared" si="323"/>
        <v>0</v>
      </c>
      <c r="CP131" s="641">
        <f t="shared" si="427"/>
        <v>0</v>
      </c>
      <c r="CQ131" s="50">
        <f t="shared" si="324"/>
        <v>1207</v>
      </c>
      <c r="CR131" s="202">
        <f t="shared" si="550"/>
        <v>0</v>
      </c>
      <c r="CS131" s="59">
        <f t="shared" si="402"/>
        <v>1207</v>
      </c>
      <c r="CT131" s="50">
        <f t="shared" si="325"/>
        <v>86</v>
      </c>
      <c r="CU131" s="202">
        <f t="shared" si="551"/>
        <v>0</v>
      </c>
      <c r="CV131" s="59">
        <f t="shared" si="362"/>
        <v>86</v>
      </c>
      <c r="CX131" s="119">
        <f t="shared" si="559"/>
        <v>11</v>
      </c>
      <c r="CY131" s="825">
        <f t="shared" si="552"/>
        <v>17</v>
      </c>
      <c r="CZ131" s="203"/>
      <c r="DA131" s="818">
        <f t="shared" si="403"/>
        <v>0</v>
      </c>
      <c r="DB131" s="450">
        <f t="shared" si="396"/>
        <v>0</v>
      </c>
      <c r="DC131" s="204"/>
      <c r="DD131" s="205"/>
      <c r="DE131" s="205"/>
      <c r="DF131" s="13">
        <f t="shared" si="485"/>
        <v>0</v>
      </c>
      <c r="DG131" s="13">
        <f t="shared" si="496"/>
        <v>0</v>
      </c>
      <c r="DH131" s="13">
        <f t="shared" si="326"/>
        <v>0.16</v>
      </c>
      <c r="DI131" s="230">
        <f t="shared" si="372"/>
        <v>0</v>
      </c>
      <c r="DJ131" s="161">
        <f t="shared" si="327"/>
        <v>4.3200000000000012</v>
      </c>
      <c r="DK131" s="157">
        <f t="shared" si="517"/>
        <v>0</v>
      </c>
      <c r="DL131" s="237"/>
      <c r="DM131" s="13">
        <f t="shared" si="328"/>
        <v>75</v>
      </c>
      <c r="DN131" s="482">
        <f t="shared" si="329"/>
        <v>0</v>
      </c>
      <c r="DO131" s="641">
        <f t="shared" si="428"/>
        <v>0</v>
      </c>
      <c r="DP131" s="50">
        <f t="shared" si="330"/>
        <v>1207</v>
      </c>
      <c r="DQ131" s="202">
        <f t="shared" si="553"/>
        <v>0</v>
      </c>
      <c r="DR131" s="59">
        <f t="shared" si="404"/>
        <v>1207</v>
      </c>
      <c r="DS131" s="50">
        <f t="shared" si="331"/>
        <v>86</v>
      </c>
      <c r="DT131" s="202">
        <f t="shared" si="554"/>
        <v>0</v>
      </c>
      <c r="DU131" s="59">
        <f t="shared" si="363"/>
        <v>86</v>
      </c>
    </row>
    <row r="132" spans="2:125" x14ac:dyDescent="0.25">
      <c r="B132" s="118">
        <v>12</v>
      </c>
      <c r="C132" s="575">
        <v>18</v>
      </c>
      <c r="D132" s="129"/>
      <c r="E132" s="400">
        <f t="shared" si="334"/>
        <v>171956</v>
      </c>
      <c r="F132" s="561">
        <f t="shared" si="301"/>
        <v>171956</v>
      </c>
      <c r="G132" s="130"/>
      <c r="H132" s="131"/>
      <c r="I132" s="131"/>
      <c r="J132" s="11">
        <f t="shared" ref="J132:J138" si="560">SUM(G132:I132)</f>
        <v>0</v>
      </c>
      <c r="K132" s="11">
        <f t="shared" si="335"/>
        <v>4875</v>
      </c>
      <c r="L132" s="11">
        <f t="shared" si="302"/>
        <v>0.16</v>
      </c>
      <c r="M132" s="42">
        <f t="shared" si="358"/>
        <v>0</v>
      </c>
      <c r="N132" s="21">
        <f t="shared" si="303"/>
        <v>4.4800000000000013</v>
      </c>
      <c r="O132" s="165">
        <f t="shared" si="336"/>
        <v>2.7568695534154077</v>
      </c>
      <c r="P132" s="158"/>
      <c r="Q132" s="11">
        <f t="shared" si="304"/>
        <v>79</v>
      </c>
      <c r="R132" s="481">
        <f t="shared" si="305"/>
        <v>0</v>
      </c>
      <c r="S132" s="469">
        <f t="shared" si="337"/>
        <v>328.79467076367098</v>
      </c>
      <c r="T132" s="58">
        <f t="shared" si="306"/>
        <v>1257</v>
      </c>
      <c r="U132" s="131"/>
      <c r="V132" s="41">
        <f t="shared" si="339"/>
        <v>1257</v>
      </c>
      <c r="W132" s="18">
        <f t="shared" si="307"/>
        <v>86</v>
      </c>
      <c r="X132" s="131"/>
      <c r="Y132" s="41">
        <f t="shared" si="341"/>
        <v>86</v>
      </c>
      <c r="Z132" s="487"/>
      <c r="AA132" s="118">
        <v>12</v>
      </c>
      <c r="AB132" s="575">
        <v>18</v>
      </c>
      <c r="AC132" s="129"/>
      <c r="AD132" s="400">
        <f t="shared" si="397"/>
        <v>0</v>
      </c>
      <c r="AE132" s="561">
        <f t="shared" si="393"/>
        <v>0</v>
      </c>
      <c r="AF132" s="130"/>
      <c r="AG132" s="131"/>
      <c r="AH132" s="131"/>
      <c r="AI132" s="11">
        <f t="shared" ref="AI132:AI138" si="561">SUM(AF132:AH132)</f>
        <v>0</v>
      </c>
      <c r="AJ132" s="11">
        <f t="shared" si="490"/>
        <v>0</v>
      </c>
      <c r="AK132" s="11">
        <f t="shared" si="308"/>
        <v>0.16</v>
      </c>
      <c r="AL132" s="42">
        <f t="shared" si="366"/>
        <v>0</v>
      </c>
      <c r="AM132" s="21">
        <f t="shared" si="309"/>
        <v>4.4800000000000013</v>
      </c>
      <c r="AN132" s="165">
        <f t="shared" si="503"/>
        <v>0</v>
      </c>
      <c r="AO132" s="158"/>
      <c r="AP132" s="11">
        <f t="shared" si="310"/>
        <v>79</v>
      </c>
      <c r="AQ132" s="481">
        <f t="shared" si="311"/>
        <v>0</v>
      </c>
      <c r="AR132" s="469">
        <f t="shared" si="425"/>
        <v>0</v>
      </c>
      <c r="AS132" s="58">
        <f t="shared" si="312"/>
        <v>1257</v>
      </c>
      <c r="AT132" s="131"/>
      <c r="AU132" s="41">
        <f t="shared" si="398"/>
        <v>1257</v>
      </c>
      <c r="AV132" s="18">
        <f t="shared" si="313"/>
        <v>86</v>
      </c>
      <c r="AW132" s="131"/>
      <c r="AX132" s="41">
        <f t="shared" si="360"/>
        <v>86</v>
      </c>
      <c r="AZ132" s="118">
        <v>12</v>
      </c>
      <c r="BA132" s="575">
        <v>18</v>
      </c>
      <c r="BB132" s="129"/>
      <c r="BC132" s="400">
        <f t="shared" si="399"/>
        <v>116143</v>
      </c>
      <c r="BD132" s="561">
        <f t="shared" si="394"/>
        <v>116143</v>
      </c>
      <c r="BE132" s="130"/>
      <c r="BF132" s="131"/>
      <c r="BG132" s="131"/>
      <c r="BH132" s="11">
        <f t="shared" ref="BH132:BH138" si="562">SUM(BE132:BG132)</f>
        <v>0</v>
      </c>
      <c r="BI132" s="11">
        <f t="shared" si="492"/>
        <v>3926</v>
      </c>
      <c r="BJ132" s="11">
        <f t="shared" si="314"/>
        <v>0.16</v>
      </c>
      <c r="BK132" s="42">
        <f t="shared" si="368"/>
        <v>0</v>
      </c>
      <c r="BL132" s="21">
        <f t="shared" si="315"/>
        <v>4.4800000000000013</v>
      </c>
      <c r="BM132" s="210">
        <f t="shared" si="359"/>
        <v>3.2697865394065078</v>
      </c>
      <c r="BN132" s="158"/>
      <c r="BO132" s="11">
        <f t="shared" si="316"/>
        <v>79</v>
      </c>
      <c r="BP132" s="481">
        <f t="shared" si="317"/>
        <v>0</v>
      </c>
      <c r="BQ132" s="469">
        <f t="shared" si="426"/>
        <v>314.58428346602915</v>
      </c>
      <c r="BR132" s="58">
        <f t="shared" si="318"/>
        <v>1257</v>
      </c>
      <c r="BS132" s="131"/>
      <c r="BT132" s="41">
        <f t="shared" si="400"/>
        <v>1257</v>
      </c>
      <c r="BU132" s="18">
        <f t="shared" si="319"/>
        <v>86</v>
      </c>
      <c r="BV132" s="131"/>
      <c r="BW132" s="41">
        <f t="shared" si="361"/>
        <v>86</v>
      </c>
      <c r="BY132" s="118">
        <v>12</v>
      </c>
      <c r="BZ132" s="575">
        <v>18</v>
      </c>
      <c r="CA132" s="129"/>
      <c r="CB132" s="400">
        <f t="shared" si="401"/>
        <v>0</v>
      </c>
      <c r="CC132" s="561">
        <f t="shared" si="395"/>
        <v>0</v>
      </c>
      <c r="CD132" s="130"/>
      <c r="CE132" s="131"/>
      <c r="CF132" s="131"/>
      <c r="CG132" s="11">
        <f t="shared" ref="CG132:CG138" si="563">SUM(CD132:CF132)</f>
        <v>0</v>
      </c>
      <c r="CH132" s="11">
        <f t="shared" si="494"/>
        <v>0</v>
      </c>
      <c r="CI132" s="11">
        <f t="shared" si="320"/>
        <v>0.16</v>
      </c>
      <c r="CJ132" s="42">
        <f t="shared" si="370"/>
        <v>0</v>
      </c>
      <c r="CK132" s="21">
        <f t="shared" si="321"/>
        <v>4.4800000000000013</v>
      </c>
      <c r="CL132" s="165">
        <f t="shared" si="512"/>
        <v>0</v>
      </c>
      <c r="CM132" s="158"/>
      <c r="CN132" s="11">
        <f t="shared" si="322"/>
        <v>79</v>
      </c>
      <c r="CO132" s="481">
        <f t="shared" si="323"/>
        <v>0</v>
      </c>
      <c r="CP132" s="469">
        <f t="shared" si="427"/>
        <v>0</v>
      </c>
      <c r="CQ132" s="58">
        <f t="shared" si="324"/>
        <v>1257</v>
      </c>
      <c r="CR132" s="131"/>
      <c r="CS132" s="41">
        <f t="shared" si="402"/>
        <v>1257</v>
      </c>
      <c r="CT132" s="18">
        <f t="shared" si="325"/>
        <v>86</v>
      </c>
      <c r="CU132" s="131"/>
      <c r="CV132" s="41">
        <f t="shared" si="362"/>
        <v>86</v>
      </c>
      <c r="CX132" s="118">
        <v>12</v>
      </c>
      <c r="CY132" s="575">
        <v>18</v>
      </c>
      <c r="CZ132" s="129"/>
      <c r="DA132" s="400">
        <f t="shared" si="403"/>
        <v>0</v>
      </c>
      <c r="DB132" s="561">
        <f t="shared" si="396"/>
        <v>0</v>
      </c>
      <c r="DC132" s="130"/>
      <c r="DD132" s="131"/>
      <c r="DE132" s="131"/>
      <c r="DF132" s="11">
        <f t="shared" ref="DF132:DF138" si="564">SUM(DC132:DE132)</f>
        <v>0</v>
      </c>
      <c r="DG132" s="11">
        <f t="shared" si="496"/>
        <v>0</v>
      </c>
      <c r="DH132" s="11">
        <f t="shared" si="326"/>
        <v>0.16</v>
      </c>
      <c r="DI132" s="42">
        <f t="shared" si="372"/>
        <v>0</v>
      </c>
      <c r="DJ132" s="21">
        <f t="shared" si="327"/>
        <v>4.4800000000000013</v>
      </c>
      <c r="DK132" s="165">
        <f t="shared" si="517"/>
        <v>0</v>
      </c>
      <c r="DL132" s="158"/>
      <c r="DM132" s="11">
        <f t="shared" si="328"/>
        <v>79</v>
      </c>
      <c r="DN132" s="481">
        <f t="shared" si="329"/>
        <v>0</v>
      </c>
      <c r="DO132" s="469">
        <f t="shared" si="428"/>
        <v>0</v>
      </c>
      <c r="DP132" s="58">
        <f t="shared" si="330"/>
        <v>1257</v>
      </c>
      <c r="DQ132" s="131"/>
      <c r="DR132" s="41">
        <f t="shared" si="404"/>
        <v>1257</v>
      </c>
      <c r="DS132" s="18">
        <f t="shared" si="331"/>
        <v>86</v>
      </c>
      <c r="DT132" s="131"/>
      <c r="DU132" s="41">
        <f t="shared" si="363"/>
        <v>86</v>
      </c>
    </row>
    <row r="133" spans="2:125" x14ac:dyDescent="0.25">
      <c r="B133" s="120">
        <f>B132+1</f>
        <v>13</v>
      </c>
      <c r="C133" s="570">
        <f>C132</f>
        <v>18</v>
      </c>
      <c r="D133" s="133"/>
      <c r="E133" s="408">
        <f t="shared" si="334"/>
        <v>171956</v>
      </c>
      <c r="F133" s="562">
        <f t="shared" si="301"/>
        <v>171956</v>
      </c>
      <c r="G133" s="134"/>
      <c r="H133" s="135"/>
      <c r="I133" s="135"/>
      <c r="J133" s="14">
        <f t="shared" si="560"/>
        <v>0</v>
      </c>
      <c r="K133" s="14">
        <f t="shared" si="335"/>
        <v>4875</v>
      </c>
      <c r="L133" s="14">
        <f t="shared" si="302"/>
        <v>0.16</v>
      </c>
      <c r="M133" s="47">
        <f t="shared" si="358"/>
        <v>0</v>
      </c>
      <c r="N133" s="35">
        <f t="shared" si="303"/>
        <v>4.4800000000000013</v>
      </c>
      <c r="O133" s="159">
        <f t="shared" si="336"/>
        <v>2.7568695534154077</v>
      </c>
      <c r="P133" s="142"/>
      <c r="Q133" s="14">
        <f t="shared" si="304"/>
        <v>79</v>
      </c>
      <c r="R133" s="442">
        <f t="shared" si="305"/>
        <v>0</v>
      </c>
      <c r="S133" s="470">
        <f t="shared" si="337"/>
        <v>328.79467076367098</v>
      </c>
      <c r="T133" s="51">
        <f t="shared" si="306"/>
        <v>1257</v>
      </c>
      <c r="U133" s="103">
        <f>U132</f>
        <v>0</v>
      </c>
      <c r="V133" s="46">
        <f t="shared" si="339"/>
        <v>1257</v>
      </c>
      <c r="W133" s="51">
        <f t="shared" si="307"/>
        <v>86</v>
      </c>
      <c r="X133" s="103">
        <f>X132</f>
        <v>0</v>
      </c>
      <c r="Y133" s="46">
        <f t="shared" si="341"/>
        <v>86</v>
      </c>
      <c r="Z133" s="487"/>
      <c r="AA133" s="120">
        <f>AA132+1</f>
        <v>13</v>
      </c>
      <c r="AB133" s="570">
        <f>AB132</f>
        <v>18</v>
      </c>
      <c r="AC133" s="133"/>
      <c r="AD133" s="408">
        <f t="shared" si="397"/>
        <v>0</v>
      </c>
      <c r="AE133" s="562">
        <f t="shared" si="393"/>
        <v>0</v>
      </c>
      <c r="AF133" s="134"/>
      <c r="AG133" s="135"/>
      <c r="AH133" s="135"/>
      <c r="AI133" s="14">
        <f t="shared" si="561"/>
        <v>0</v>
      </c>
      <c r="AJ133" s="14">
        <f t="shared" si="490"/>
        <v>0</v>
      </c>
      <c r="AK133" s="14">
        <f t="shared" si="308"/>
        <v>0.16</v>
      </c>
      <c r="AL133" s="47">
        <f t="shared" si="366"/>
        <v>0</v>
      </c>
      <c r="AM133" s="35">
        <f t="shared" si="309"/>
        <v>4.4800000000000013</v>
      </c>
      <c r="AN133" s="159">
        <f t="shared" si="503"/>
        <v>0</v>
      </c>
      <c r="AO133" s="142"/>
      <c r="AP133" s="14">
        <f t="shared" si="310"/>
        <v>79</v>
      </c>
      <c r="AQ133" s="442">
        <f t="shared" si="311"/>
        <v>0</v>
      </c>
      <c r="AR133" s="470">
        <f t="shared" si="425"/>
        <v>0</v>
      </c>
      <c r="AS133" s="51">
        <f t="shared" si="312"/>
        <v>1257</v>
      </c>
      <c r="AT133" s="103">
        <f>AT132</f>
        <v>0</v>
      </c>
      <c r="AU133" s="46">
        <f t="shared" si="398"/>
        <v>1257</v>
      </c>
      <c r="AV133" s="51">
        <f t="shared" si="313"/>
        <v>86</v>
      </c>
      <c r="AW133" s="103">
        <f>AW132</f>
        <v>0</v>
      </c>
      <c r="AX133" s="46">
        <f t="shared" si="360"/>
        <v>86</v>
      </c>
      <c r="AZ133" s="120">
        <f>AZ132+1</f>
        <v>13</v>
      </c>
      <c r="BA133" s="570">
        <f>BA132</f>
        <v>18</v>
      </c>
      <c r="BB133" s="133"/>
      <c r="BC133" s="408">
        <f t="shared" si="399"/>
        <v>116143</v>
      </c>
      <c r="BD133" s="562">
        <f t="shared" si="394"/>
        <v>116143</v>
      </c>
      <c r="BE133" s="134"/>
      <c r="BF133" s="135"/>
      <c r="BG133" s="135"/>
      <c r="BH133" s="14">
        <f t="shared" si="562"/>
        <v>0</v>
      </c>
      <c r="BI133" s="14">
        <f t="shared" si="492"/>
        <v>3926</v>
      </c>
      <c r="BJ133" s="14">
        <f t="shared" si="314"/>
        <v>0.16</v>
      </c>
      <c r="BK133" s="47">
        <f t="shared" si="368"/>
        <v>0</v>
      </c>
      <c r="BL133" s="35">
        <f t="shared" si="315"/>
        <v>4.4800000000000013</v>
      </c>
      <c r="BM133" s="159">
        <f t="shared" si="359"/>
        <v>3.2697865394065078</v>
      </c>
      <c r="BN133" s="142"/>
      <c r="BO133" s="14">
        <f t="shared" si="316"/>
        <v>79</v>
      </c>
      <c r="BP133" s="442">
        <f t="shared" si="317"/>
        <v>0</v>
      </c>
      <c r="BQ133" s="470">
        <f t="shared" si="426"/>
        <v>314.58428346602915</v>
      </c>
      <c r="BR133" s="51">
        <f t="shared" si="318"/>
        <v>1257</v>
      </c>
      <c r="BS133" s="103">
        <f>BS132</f>
        <v>0</v>
      </c>
      <c r="BT133" s="46">
        <f t="shared" si="400"/>
        <v>1257</v>
      </c>
      <c r="BU133" s="51">
        <f t="shared" si="319"/>
        <v>86</v>
      </c>
      <c r="BV133" s="103">
        <f>BV132</f>
        <v>0</v>
      </c>
      <c r="BW133" s="46">
        <f t="shared" si="361"/>
        <v>86</v>
      </c>
      <c r="BY133" s="120">
        <f>BY132+1</f>
        <v>13</v>
      </c>
      <c r="BZ133" s="570">
        <f>BZ132</f>
        <v>18</v>
      </c>
      <c r="CA133" s="133"/>
      <c r="CB133" s="408">
        <f t="shared" si="401"/>
        <v>0</v>
      </c>
      <c r="CC133" s="562">
        <f t="shared" si="395"/>
        <v>0</v>
      </c>
      <c r="CD133" s="134"/>
      <c r="CE133" s="135"/>
      <c r="CF133" s="135"/>
      <c r="CG133" s="14">
        <f t="shared" si="563"/>
        <v>0</v>
      </c>
      <c r="CH133" s="14">
        <f t="shared" si="494"/>
        <v>0</v>
      </c>
      <c r="CI133" s="14">
        <f t="shared" si="320"/>
        <v>0.16</v>
      </c>
      <c r="CJ133" s="47">
        <f t="shared" si="370"/>
        <v>0</v>
      </c>
      <c r="CK133" s="35">
        <f t="shared" si="321"/>
        <v>4.4800000000000013</v>
      </c>
      <c r="CL133" s="159">
        <f t="shared" si="512"/>
        <v>0</v>
      </c>
      <c r="CM133" s="142"/>
      <c r="CN133" s="14">
        <f t="shared" si="322"/>
        <v>79</v>
      </c>
      <c r="CO133" s="442">
        <f t="shared" si="323"/>
        <v>0</v>
      </c>
      <c r="CP133" s="470">
        <f t="shared" si="427"/>
        <v>0</v>
      </c>
      <c r="CQ133" s="51">
        <f t="shared" si="324"/>
        <v>1257</v>
      </c>
      <c r="CR133" s="103">
        <f>CR132</f>
        <v>0</v>
      </c>
      <c r="CS133" s="46">
        <f t="shared" si="402"/>
        <v>1257</v>
      </c>
      <c r="CT133" s="51">
        <f t="shared" si="325"/>
        <v>86</v>
      </c>
      <c r="CU133" s="103">
        <f>CU132</f>
        <v>0</v>
      </c>
      <c r="CV133" s="46">
        <f t="shared" si="362"/>
        <v>86</v>
      </c>
      <c r="CX133" s="120">
        <f>CX132+1</f>
        <v>13</v>
      </c>
      <c r="CY133" s="570">
        <f>CY132</f>
        <v>18</v>
      </c>
      <c r="CZ133" s="133"/>
      <c r="DA133" s="408">
        <f t="shared" si="403"/>
        <v>0</v>
      </c>
      <c r="DB133" s="562">
        <f t="shared" si="396"/>
        <v>0</v>
      </c>
      <c r="DC133" s="134"/>
      <c r="DD133" s="135"/>
      <c r="DE133" s="135"/>
      <c r="DF133" s="14">
        <f t="shared" si="564"/>
        <v>0</v>
      </c>
      <c r="DG133" s="14">
        <f t="shared" si="496"/>
        <v>0</v>
      </c>
      <c r="DH133" s="14">
        <f t="shared" si="326"/>
        <v>0.16</v>
      </c>
      <c r="DI133" s="47">
        <f t="shared" si="372"/>
        <v>0</v>
      </c>
      <c r="DJ133" s="35">
        <f t="shared" si="327"/>
        <v>4.4800000000000013</v>
      </c>
      <c r="DK133" s="159">
        <f t="shared" si="517"/>
        <v>0</v>
      </c>
      <c r="DL133" s="142"/>
      <c r="DM133" s="14">
        <f t="shared" si="328"/>
        <v>79</v>
      </c>
      <c r="DN133" s="442">
        <f t="shared" si="329"/>
        <v>0</v>
      </c>
      <c r="DO133" s="470">
        <f t="shared" si="428"/>
        <v>0</v>
      </c>
      <c r="DP133" s="51">
        <f t="shared" si="330"/>
        <v>1257</v>
      </c>
      <c r="DQ133" s="103">
        <f>DQ132</f>
        <v>0</v>
      </c>
      <c r="DR133" s="46">
        <f t="shared" si="404"/>
        <v>1257</v>
      </c>
      <c r="DS133" s="51">
        <f t="shared" si="331"/>
        <v>86</v>
      </c>
      <c r="DT133" s="103">
        <f>DT132</f>
        <v>0</v>
      </c>
      <c r="DU133" s="46">
        <f t="shared" si="363"/>
        <v>86</v>
      </c>
    </row>
    <row r="134" spans="2:125" x14ac:dyDescent="0.25">
      <c r="B134" s="120">
        <f t="shared" ref="B134:B138" si="565">B133+1</f>
        <v>14</v>
      </c>
      <c r="C134" s="570">
        <f t="shared" ref="C134:C138" si="566">C133</f>
        <v>18</v>
      </c>
      <c r="D134" s="133"/>
      <c r="E134" s="408">
        <f t="shared" si="334"/>
        <v>171956</v>
      </c>
      <c r="F134" s="562">
        <f t="shared" ref="F134:F138" si="567">IFERROR(E134-J134,0)</f>
        <v>171956</v>
      </c>
      <c r="G134" s="134"/>
      <c r="H134" s="135"/>
      <c r="I134" s="135"/>
      <c r="J134" s="14">
        <f t="shared" si="560"/>
        <v>0</v>
      </c>
      <c r="K134" s="14">
        <f t="shared" si="335"/>
        <v>4875</v>
      </c>
      <c r="L134" s="14">
        <f t="shared" ref="L134:L138" si="568">VLOOKUP($C134,LOHMANN,4,FALSE)</f>
        <v>0.16</v>
      </c>
      <c r="M134" s="47">
        <f t="shared" si="358"/>
        <v>0</v>
      </c>
      <c r="N134" s="35">
        <f t="shared" ref="N134:N138" si="569">VLOOKUP($C134,LOHMANN,5,FALSE)</f>
        <v>4.4800000000000013</v>
      </c>
      <c r="O134" s="159">
        <f t="shared" si="336"/>
        <v>2.7568695534154077</v>
      </c>
      <c r="P134" s="142"/>
      <c r="Q134" s="14">
        <f t="shared" ref="Q134:Q138" si="570">VLOOKUP($C134,LOHMANN,6,FALSE)</f>
        <v>79</v>
      </c>
      <c r="R134" s="442">
        <f t="shared" ref="R134:R138" si="571">IFERROR((P134/E134)*1000,0)</f>
        <v>0</v>
      </c>
      <c r="S134" s="470">
        <f t="shared" si="337"/>
        <v>328.79467076367098</v>
      </c>
      <c r="T134" s="51">
        <f t="shared" ref="T134:T138" si="572">VLOOKUP($C134,LOHMANN,2,FALSE)</f>
        <v>1257</v>
      </c>
      <c r="U134" s="103">
        <f t="shared" ref="U134:U138" si="573">U133</f>
        <v>0</v>
      </c>
      <c r="V134" s="46">
        <f t="shared" si="339"/>
        <v>1257</v>
      </c>
      <c r="W134" s="51">
        <f t="shared" ref="W134:W138" si="574">VLOOKUP(C134,LOHMANN,3,FALSE)</f>
        <v>86</v>
      </c>
      <c r="X134" s="103">
        <f t="shared" ref="X134:X138" si="575">X133</f>
        <v>0</v>
      </c>
      <c r="Y134" s="46">
        <f t="shared" si="341"/>
        <v>86</v>
      </c>
      <c r="Z134" s="487"/>
      <c r="AA134" s="120">
        <f t="shared" ref="AA134:AA138" si="576">AA133+1</f>
        <v>14</v>
      </c>
      <c r="AB134" s="570">
        <f t="shared" ref="AB134:AB138" si="577">AB133</f>
        <v>18</v>
      </c>
      <c r="AC134" s="133"/>
      <c r="AD134" s="408">
        <f t="shared" si="397"/>
        <v>0</v>
      </c>
      <c r="AE134" s="562">
        <f t="shared" si="393"/>
        <v>0</v>
      </c>
      <c r="AF134" s="134"/>
      <c r="AG134" s="135"/>
      <c r="AH134" s="135"/>
      <c r="AI134" s="14">
        <f t="shared" si="561"/>
        <v>0</v>
      </c>
      <c r="AJ134" s="14">
        <f t="shared" si="490"/>
        <v>0</v>
      </c>
      <c r="AK134" s="14">
        <f t="shared" ref="AK134:AK138" si="578">VLOOKUP($C134,LOHMANN,4,FALSE)</f>
        <v>0.16</v>
      </c>
      <c r="AL134" s="47">
        <f t="shared" si="366"/>
        <v>0</v>
      </c>
      <c r="AM134" s="35">
        <f t="shared" ref="AM134:AM138" si="579">VLOOKUP($C134,LOHMANN,5,FALSE)</f>
        <v>4.4800000000000013</v>
      </c>
      <c r="AN134" s="159">
        <f t="shared" si="503"/>
        <v>0</v>
      </c>
      <c r="AO134" s="142"/>
      <c r="AP134" s="14">
        <f t="shared" ref="AP134:AP138" si="580">VLOOKUP($C134,LOHMANN,6,FALSE)</f>
        <v>79</v>
      </c>
      <c r="AQ134" s="442">
        <f t="shared" ref="AQ134:AQ138" si="581">IFERROR((AO134/AD134)*1000,0)</f>
        <v>0</v>
      </c>
      <c r="AR134" s="470">
        <f t="shared" si="425"/>
        <v>0</v>
      </c>
      <c r="AS134" s="51">
        <f t="shared" ref="AS134:AS138" si="582">VLOOKUP($C134,LOHMANN,2,FALSE)</f>
        <v>1257</v>
      </c>
      <c r="AT134" s="103">
        <f t="shared" ref="AT134:AT138" si="583">AT133</f>
        <v>0</v>
      </c>
      <c r="AU134" s="46">
        <f t="shared" si="398"/>
        <v>1257</v>
      </c>
      <c r="AV134" s="51">
        <f t="shared" ref="AV134:AV138" si="584">VLOOKUP(AB134,LOHMANN,3,FALSE)</f>
        <v>86</v>
      </c>
      <c r="AW134" s="103">
        <f t="shared" ref="AW134:AW138" si="585">AW133</f>
        <v>0</v>
      </c>
      <c r="AX134" s="46">
        <f t="shared" si="360"/>
        <v>86</v>
      </c>
      <c r="AZ134" s="120">
        <f t="shared" ref="AZ134:AZ138" si="586">AZ133+1</f>
        <v>14</v>
      </c>
      <c r="BA134" s="570">
        <f t="shared" ref="BA134:BA138" si="587">BA133</f>
        <v>18</v>
      </c>
      <c r="BB134" s="133"/>
      <c r="BC134" s="408">
        <f t="shared" si="399"/>
        <v>116143</v>
      </c>
      <c r="BD134" s="562">
        <f t="shared" si="394"/>
        <v>116143</v>
      </c>
      <c r="BE134" s="134"/>
      <c r="BF134" s="135"/>
      <c r="BG134" s="135"/>
      <c r="BH134" s="14">
        <f t="shared" si="562"/>
        <v>0</v>
      </c>
      <c r="BI134" s="14">
        <f t="shared" si="492"/>
        <v>3926</v>
      </c>
      <c r="BJ134" s="14">
        <f t="shared" ref="BJ134:BJ138" si="588">VLOOKUP($C134,LOHMANN,4,FALSE)</f>
        <v>0.16</v>
      </c>
      <c r="BK134" s="47">
        <f t="shared" si="368"/>
        <v>0</v>
      </c>
      <c r="BL134" s="35">
        <f t="shared" ref="BL134:BL138" si="589">VLOOKUP($C134,LOHMANN,5,FALSE)</f>
        <v>4.4800000000000013</v>
      </c>
      <c r="BM134" s="159">
        <f t="shared" si="359"/>
        <v>3.2697865394065078</v>
      </c>
      <c r="BN134" s="142"/>
      <c r="BO134" s="14">
        <f t="shared" ref="BO134:BO138" si="590">VLOOKUP($C134,LOHMANN,6,FALSE)</f>
        <v>79</v>
      </c>
      <c r="BP134" s="442">
        <f t="shared" ref="BP134:BP138" si="591">IFERROR((BN134/BC134)*1000,0)</f>
        <v>0</v>
      </c>
      <c r="BQ134" s="470">
        <f t="shared" si="426"/>
        <v>314.58428346602915</v>
      </c>
      <c r="BR134" s="51">
        <f t="shared" ref="BR134:BR138" si="592">VLOOKUP($C134,LOHMANN,2,FALSE)</f>
        <v>1257</v>
      </c>
      <c r="BS134" s="103">
        <f t="shared" ref="BS134:BS138" si="593">BS133</f>
        <v>0</v>
      </c>
      <c r="BT134" s="46">
        <f t="shared" si="400"/>
        <v>1257</v>
      </c>
      <c r="BU134" s="51">
        <f t="shared" ref="BU134:BU138" si="594">VLOOKUP(BA134,LOHMANN,3,FALSE)</f>
        <v>86</v>
      </c>
      <c r="BV134" s="103">
        <f t="shared" ref="BV134:BV138" si="595">BV133</f>
        <v>0</v>
      </c>
      <c r="BW134" s="46">
        <f t="shared" si="361"/>
        <v>86</v>
      </c>
      <c r="BY134" s="120">
        <f t="shared" ref="BY134:BY138" si="596">BY133+1</f>
        <v>14</v>
      </c>
      <c r="BZ134" s="570">
        <f t="shared" ref="BZ134:BZ138" si="597">BZ133</f>
        <v>18</v>
      </c>
      <c r="CA134" s="133"/>
      <c r="CB134" s="408">
        <f t="shared" si="401"/>
        <v>0</v>
      </c>
      <c r="CC134" s="562">
        <f t="shared" si="395"/>
        <v>0</v>
      </c>
      <c r="CD134" s="134"/>
      <c r="CE134" s="135"/>
      <c r="CF134" s="135"/>
      <c r="CG134" s="14">
        <f t="shared" si="563"/>
        <v>0</v>
      </c>
      <c r="CH134" s="14">
        <f t="shared" si="494"/>
        <v>0</v>
      </c>
      <c r="CI134" s="14">
        <f t="shared" ref="CI134:CI138" si="598">VLOOKUP($C134,LOHMANN,4,FALSE)</f>
        <v>0.16</v>
      </c>
      <c r="CJ134" s="47">
        <f t="shared" si="370"/>
        <v>0</v>
      </c>
      <c r="CK134" s="35">
        <f t="shared" ref="CK134:CK138" si="599">VLOOKUP($C134,LOHMANN,5,FALSE)</f>
        <v>4.4800000000000013</v>
      </c>
      <c r="CL134" s="159">
        <f t="shared" si="512"/>
        <v>0</v>
      </c>
      <c r="CM134" s="142"/>
      <c r="CN134" s="14">
        <f t="shared" ref="CN134:CN138" si="600">VLOOKUP($C134,LOHMANN,6,FALSE)</f>
        <v>79</v>
      </c>
      <c r="CO134" s="442">
        <f t="shared" ref="CO134:CO138" si="601">IFERROR((CM134/CB134)*1000,0)</f>
        <v>0</v>
      </c>
      <c r="CP134" s="470">
        <f t="shared" si="427"/>
        <v>0</v>
      </c>
      <c r="CQ134" s="51">
        <f t="shared" ref="CQ134:CQ138" si="602">VLOOKUP($C134,LOHMANN,2,FALSE)</f>
        <v>1257</v>
      </c>
      <c r="CR134" s="103">
        <f t="shared" ref="CR134:CR138" si="603">CR133</f>
        <v>0</v>
      </c>
      <c r="CS134" s="46">
        <f t="shared" si="402"/>
        <v>1257</v>
      </c>
      <c r="CT134" s="51">
        <f t="shared" ref="CT134:CT138" si="604">VLOOKUP(BZ134,LOHMANN,3,FALSE)</f>
        <v>86</v>
      </c>
      <c r="CU134" s="103">
        <f t="shared" ref="CU134:CU138" si="605">CU133</f>
        <v>0</v>
      </c>
      <c r="CV134" s="46">
        <f t="shared" si="362"/>
        <v>86</v>
      </c>
      <c r="CX134" s="120">
        <f t="shared" ref="CX134:CX138" si="606">CX133+1</f>
        <v>14</v>
      </c>
      <c r="CY134" s="570">
        <f t="shared" ref="CY134:CY138" si="607">CY133</f>
        <v>18</v>
      </c>
      <c r="CZ134" s="133"/>
      <c r="DA134" s="408">
        <f t="shared" si="403"/>
        <v>0</v>
      </c>
      <c r="DB134" s="562">
        <f t="shared" si="396"/>
        <v>0</v>
      </c>
      <c r="DC134" s="134"/>
      <c r="DD134" s="135"/>
      <c r="DE134" s="135"/>
      <c r="DF134" s="14">
        <f t="shared" si="564"/>
        <v>0</v>
      </c>
      <c r="DG134" s="14">
        <f t="shared" si="496"/>
        <v>0</v>
      </c>
      <c r="DH134" s="14">
        <f t="shared" ref="DH134:DH138" si="608">VLOOKUP($C134,LOHMANN,4,FALSE)</f>
        <v>0.16</v>
      </c>
      <c r="DI134" s="47">
        <f t="shared" si="372"/>
        <v>0</v>
      </c>
      <c r="DJ134" s="35">
        <f t="shared" ref="DJ134:DJ138" si="609">VLOOKUP($C134,LOHMANN,5,FALSE)</f>
        <v>4.4800000000000013</v>
      </c>
      <c r="DK134" s="159">
        <f t="shared" si="517"/>
        <v>0</v>
      </c>
      <c r="DL134" s="142"/>
      <c r="DM134" s="14">
        <f t="shared" ref="DM134:DM138" si="610">VLOOKUP($C134,LOHMANN,6,FALSE)</f>
        <v>79</v>
      </c>
      <c r="DN134" s="442">
        <f t="shared" ref="DN134:DN138" si="611">IFERROR((DL134/DA134)*1000,0)</f>
        <v>0</v>
      </c>
      <c r="DO134" s="470">
        <f t="shared" si="428"/>
        <v>0</v>
      </c>
      <c r="DP134" s="51">
        <f t="shared" ref="DP134:DP138" si="612">VLOOKUP($C134,LOHMANN,2,FALSE)</f>
        <v>1257</v>
      </c>
      <c r="DQ134" s="103">
        <f t="shared" ref="DQ134:DQ138" si="613">DQ133</f>
        <v>0</v>
      </c>
      <c r="DR134" s="46">
        <f t="shared" si="404"/>
        <v>1257</v>
      </c>
      <c r="DS134" s="51">
        <f t="shared" ref="DS134:DS138" si="614">VLOOKUP(CY134,LOHMANN,3,FALSE)</f>
        <v>86</v>
      </c>
      <c r="DT134" s="103">
        <f t="shared" ref="DT134:DT138" si="615">DT133</f>
        <v>0</v>
      </c>
      <c r="DU134" s="46">
        <f t="shared" si="363"/>
        <v>86</v>
      </c>
    </row>
    <row r="135" spans="2:125" x14ac:dyDescent="0.25">
      <c r="B135" s="120">
        <f t="shared" si="565"/>
        <v>15</v>
      </c>
      <c r="C135" s="570">
        <f t="shared" si="566"/>
        <v>18</v>
      </c>
      <c r="D135" s="133"/>
      <c r="E135" s="408">
        <f t="shared" ref="E135:E137" si="616">IFERROR(F134+D135,0)</f>
        <v>171956</v>
      </c>
      <c r="F135" s="562">
        <f t="shared" si="567"/>
        <v>171956</v>
      </c>
      <c r="G135" s="134"/>
      <c r="H135" s="135"/>
      <c r="I135" s="135"/>
      <c r="J135" s="14">
        <f t="shared" si="560"/>
        <v>0</v>
      </c>
      <c r="K135" s="14">
        <f t="shared" ref="K135:K138" si="617">K134+J135</f>
        <v>4875</v>
      </c>
      <c r="L135" s="14">
        <f t="shared" si="568"/>
        <v>0.16</v>
      </c>
      <c r="M135" s="47">
        <f t="shared" si="358"/>
        <v>0</v>
      </c>
      <c r="N135" s="35">
        <f t="shared" si="569"/>
        <v>4.4800000000000013</v>
      </c>
      <c r="O135" s="159">
        <f t="shared" ref="O135:O137" si="618">IFERROR((K135*100)/$D$12,0)</f>
        <v>2.7568695534154077</v>
      </c>
      <c r="P135" s="142"/>
      <c r="Q135" s="14">
        <f t="shared" si="570"/>
        <v>79</v>
      </c>
      <c r="R135" s="442">
        <f t="shared" si="571"/>
        <v>0</v>
      </c>
      <c r="S135" s="470">
        <f t="shared" ref="S135:S138" si="619">S134+R135</f>
        <v>328.79467076367098</v>
      </c>
      <c r="T135" s="51">
        <f t="shared" si="572"/>
        <v>1257</v>
      </c>
      <c r="U135" s="103">
        <f t="shared" si="573"/>
        <v>0</v>
      </c>
      <c r="V135" s="46">
        <f t="shared" ref="V135:V138" si="620">T135-U135</f>
        <v>1257</v>
      </c>
      <c r="W135" s="51">
        <f t="shared" si="574"/>
        <v>86</v>
      </c>
      <c r="X135" s="103">
        <f t="shared" si="575"/>
        <v>0</v>
      </c>
      <c r="Y135" s="46">
        <f t="shared" ref="Y135:Y138" si="621">W135-X135</f>
        <v>86</v>
      </c>
      <c r="Z135" s="487"/>
      <c r="AA135" s="120">
        <f t="shared" si="576"/>
        <v>15</v>
      </c>
      <c r="AB135" s="570">
        <f t="shared" si="577"/>
        <v>18</v>
      </c>
      <c r="AC135" s="133"/>
      <c r="AD135" s="408">
        <f t="shared" si="397"/>
        <v>0</v>
      </c>
      <c r="AE135" s="562">
        <f t="shared" si="393"/>
        <v>0</v>
      </c>
      <c r="AF135" s="134"/>
      <c r="AG135" s="135"/>
      <c r="AH135" s="135"/>
      <c r="AI135" s="14">
        <f t="shared" si="561"/>
        <v>0</v>
      </c>
      <c r="AJ135" s="14">
        <f t="shared" si="490"/>
        <v>0</v>
      </c>
      <c r="AK135" s="14">
        <f t="shared" si="578"/>
        <v>0.16</v>
      </c>
      <c r="AL135" s="47">
        <f t="shared" si="366"/>
        <v>0</v>
      </c>
      <c r="AM135" s="35">
        <f t="shared" si="579"/>
        <v>4.4800000000000013</v>
      </c>
      <c r="AN135" s="159">
        <f t="shared" si="503"/>
        <v>0</v>
      </c>
      <c r="AO135" s="142"/>
      <c r="AP135" s="14">
        <f t="shared" si="580"/>
        <v>79</v>
      </c>
      <c r="AQ135" s="442">
        <f t="shared" si="581"/>
        <v>0</v>
      </c>
      <c r="AR135" s="470">
        <f t="shared" si="425"/>
        <v>0</v>
      </c>
      <c r="AS135" s="51">
        <f t="shared" si="582"/>
        <v>1257</v>
      </c>
      <c r="AT135" s="103">
        <f t="shared" si="583"/>
        <v>0</v>
      </c>
      <c r="AU135" s="46">
        <f t="shared" si="398"/>
        <v>1257</v>
      </c>
      <c r="AV135" s="51">
        <f t="shared" si="584"/>
        <v>86</v>
      </c>
      <c r="AW135" s="103">
        <f t="shared" si="585"/>
        <v>0</v>
      </c>
      <c r="AX135" s="46">
        <f t="shared" si="360"/>
        <v>86</v>
      </c>
      <c r="AZ135" s="120">
        <f t="shared" si="586"/>
        <v>15</v>
      </c>
      <c r="BA135" s="570">
        <f t="shared" si="587"/>
        <v>18</v>
      </c>
      <c r="BB135" s="133"/>
      <c r="BC135" s="408">
        <f t="shared" si="399"/>
        <v>116143</v>
      </c>
      <c r="BD135" s="562">
        <f t="shared" si="394"/>
        <v>116143</v>
      </c>
      <c r="BE135" s="134"/>
      <c r="BF135" s="135"/>
      <c r="BG135" s="135"/>
      <c r="BH135" s="14">
        <f t="shared" si="562"/>
        <v>0</v>
      </c>
      <c r="BI135" s="14">
        <f t="shared" si="492"/>
        <v>3926</v>
      </c>
      <c r="BJ135" s="14">
        <f t="shared" si="588"/>
        <v>0.16</v>
      </c>
      <c r="BK135" s="47">
        <f t="shared" si="368"/>
        <v>0</v>
      </c>
      <c r="BL135" s="35">
        <f t="shared" si="589"/>
        <v>4.4800000000000013</v>
      </c>
      <c r="BM135" s="159">
        <f t="shared" si="359"/>
        <v>3.2697865394065078</v>
      </c>
      <c r="BN135" s="142"/>
      <c r="BO135" s="14">
        <f t="shared" si="590"/>
        <v>79</v>
      </c>
      <c r="BP135" s="442">
        <f t="shared" si="591"/>
        <v>0</v>
      </c>
      <c r="BQ135" s="470">
        <f t="shared" si="426"/>
        <v>314.58428346602915</v>
      </c>
      <c r="BR135" s="51">
        <f t="shared" si="592"/>
        <v>1257</v>
      </c>
      <c r="BS135" s="103">
        <f t="shared" si="593"/>
        <v>0</v>
      </c>
      <c r="BT135" s="46">
        <f t="shared" si="400"/>
        <v>1257</v>
      </c>
      <c r="BU135" s="51">
        <f t="shared" si="594"/>
        <v>86</v>
      </c>
      <c r="BV135" s="103">
        <f t="shared" si="595"/>
        <v>0</v>
      </c>
      <c r="BW135" s="46">
        <f t="shared" si="361"/>
        <v>86</v>
      </c>
      <c r="BY135" s="120">
        <f t="shared" si="596"/>
        <v>15</v>
      </c>
      <c r="BZ135" s="570">
        <f t="shared" si="597"/>
        <v>18</v>
      </c>
      <c r="CA135" s="133"/>
      <c r="CB135" s="408">
        <f t="shared" si="401"/>
        <v>0</v>
      </c>
      <c r="CC135" s="562">
        <f t="shared" si="395"/>
        <v>0</v>
      </c>
      <c r="CD135" s="134"/>
      <c r="CE135" s="135"/>
      <c r="CF135" s="135"/>
      <c r="CG135" s="14">
        <f t="shared" si="563"/>
        <v>0</v>
      </c>
      <c r="CH135" s="14">
        <f t="shared" si="494"/>
        <v>0</v>
      </c>
      <c r="CI135" s="14">
        <f t="shared" si="598"/>
        <v>0.16</v>
      </c>
      <c r="CJ135" s="47">
        <f t="shared" si="370"/>
        <v>0</v>
      </c>
      <c r="CK135" s="35">
        <f t="shared" si="599"/>
        <v>4.4800000000000013</v>
      </c>
      <c r="CL135" s="159">
        <f t="shared" si="512"/>
        <v>0</v>
      </c>
      <c r="CM135" s="142"/>
      <c r="CN135" s="14">
        <f t="shared" si="600"/>
        <v>79</v>
      </c>
      <c r="CO135" s="442">
        <f t="shared" si="601"/>
        <v>0</v>
      </c>
      <c r="CP135" s="470">
        <f t="shared" si="427"/>
        <v>0</v>
      </c>
      <c r="CQ135" s="51">
        <f t="shared" si="602"/>
        <v>1257</v>
      </c>
      <c r="CR135" s="103">
        <f t="shared" si="603"/>
        <v>0</v>
      </c>
      <c r="CS135" s="46">
        <f t="shared" si="402"/>
        <v>1257</v>
      </c>
      <c r="CT135" s="51">
        <f t="shared" si="604"/>
        <v>86</v>
      </c>
      <c r="CU135" s="103">
        <f t="shared" si="605"/>
        <v>0</v>
      </c>
      <c r="CV135" s="46">
        <f t="shared" si="362"/>
        <v>86</v>
      </c>
      <c r="CX135" s="120">
        <f t="shared" si="606"/>
        <v>15</v>
      </c>
      <c r="CY135" s="570">
        <f t="shared" si="607"/>
        <v>18</v>
      </c>
      <c r="CZ135" s="133"/>
      <c r="DA135" s="408">
        <f t="shared" si="403"/>
        <v>0</v>
      </c>
      <c r="DB135" s="562">
        <f t="shared" si="396"/>
        <v>0</v>
      </c>
      <c r="DC135" s="134"/>
      <c r="DD135" s="135"/>
      <c r="DE135" s="135"/>
      <c r="DF135" s="14">
        <f t="shared" si="564"/>
        <v>0</v>
      </c>
      <c r="DG135" s="14">
        <f t="shared" si="496"/>
        <v>0</v>
      </c>
      <c r="DH135" s="14">
        <f t="shared" si="608"/>
        <v>0.16</v>
      </c>
      <c r="DI135" s="47">
        <f t="shared" si="372"/>
        <v>0</v>
      </c>
      <c r="DJ135" s="35">
        <f t="shared" si="609"/>
        <v>4.4800000000000013</v>
      </c>
      <c r="DK135" s="159">
        <f t="shared" si="517"/>
        <v>0</v>
      </c>
      <c r="DL135" s="142"/>
      <c r="DM135" s="14">
        <f t="shared" si="610"/>
        <v>79</v>
      </c>
      <c r="DN135" s="442">
        <f t="shared" si="611"/>
        <v>0</v>
      </c>
      <c r="DO135" s="470">
        <f t="shared" si="428"/>
        <v>0</v>
      </c>
      <c r="DP135" s="51">
        <f t="shared" si="612"/>
        <v>1257</v>
      </c>
      <c r="DQ135" s="103">
        <f t="shared" si="613"/>
        <v>0</v>
      </c>
      <c r="DR135" s="46">
        <f t="shared" si="404"/>
        <v>1257</v>
      </c>
      <c r="DS135" s="51">
        <f t="shared" si="614"/>
        <v>86</v>
      </c>
      <c r="DT135" s="103">
        <f t="shared" si="615"/>
        <v>0</v>
      </c>
      <c r="DU135" s="46">
        <f t="shared" si="363"/>
        <v>86</v>
      </c>
    </row>
    <row r="136" spans="2:125" x14ac:dyDescent="0.25">
      <c r="B136" s="120">
        <f t="shared" si="565"/>
        <v>16</v>
      </c>
      <c r="C136" s="570">
        <f t="shared" si="566"/>
        <v>18</v>
      </c>
      <c r="D136" s="133"/>
      <c r="E136" s="408">
        <f t="shared" si="616"/>
        <v>171956</v>
      </c>
      <c r="F136" s="562">
        <f t="shared" si="567"/>
        <v>171956</v>
      </c>
      <c r="G136" s="134"/>
      <c r="H136" s="135"/>
      <c r="I136" s="135"/>
      <c r="J136" s="14">
        <f t="shared" si="560"/>
        <v>0</v>
      </c>
      <c r="K136" s="14">
        <f t="shared" si="617"/>
        <v>4875</v>
      </c>
      <c r="L136" s="14">
        <f t="shared" si="568"/>
        <v>0.16</v>
      </c>
      <c r="M136" s="47">
        <f t="shared" ref="M136:M138" si="622">IFERROR((J136*100)/E136,0)</f>
        <v>0</v>
      </c>
      <c r="N136" s="35">
        <f t="shared" si="569"/>
        <v>4.4800000000000013</v>
      </c>
      <c r="O136" s="159">
        <f t="shared" si="618"/>
        <v>2.7568695534154077</v>
      </c>
      <c r="P136" s="142"/>
      <c r="Q136" s="14">
        <f t="shared" si="570"/>
        <v>79</v>
      </c>
      <c r="R136" s="442">
        <f t="shared" si="571"/>
        <v>0</v>
      </c>
      <c r="S136" s="470">
        <f t="shared" si="619"/>
        <v>328.79467076367098</v>
      </c>
      <c r="T136" s="51">
        <f t="shared" si="572"/>
        <v>1257</v>
      </c>
      <c r="U136" s="103">
        <f t="shared" si="573"/>
        <v>0</v>
      </c>
      <c r="V136" s="46">
        <f t="shared" si="620"/>
        <v>1257</v>
      </c>
      <c r="W136" s="12">
        <f t="shared" si="574"/>
        <v>86</v>
      </c>
      <c r="X136" s="103">
        <f t="shared" si="575"/>
        <v>0</v>
      </c>
      <c r="Y136" s="46">
        <f t="shared" si="621"/>
        <v>86</v>
      </c>
      <c r="Z136" s="487"/>
      <c r="AA136" s="120">
        <f t="shared" si="576"/>
        <v>16</v>
      </c>
      <c r="AB136" s="570">
        <f t="shared" si="577"/>
        <v>18</v>
      </c>
      <c r="AC136" s="133"/>
      <c r="AD136" s="408">
        <f t="shared" si="397"/>
        <v>0</v>
      </c>
      <c r="AE136" s="562">
        <f t="shared" si="393"/>
        <v>0</v>
      </c>
      <c r="AF136" s="134"/>
      <c r="AG136" s="135"/>
      <c r="AH136" s="135"/>
      <c r="AI136" s="14">
        <f t="shared" si="561"/>
        <v>0</v>
      </c>
      <c r="AJ136" s="14">
        <f t="shared" si="490"/>
        <v>0</v>
      </c>
      <c r="AK136" s="14">
        <f t="shared" si="578"/>
        <v>0.16</v>
      </c>
      <c r="AL136" s="47">
        <f t="shared" si="366"/>
        <v>0</v>
      </c>
      <c r="AM136" s="35">
        <f t="shared" si="579"/>
        <v>4.4800000000000013</v>
      </c>
      <c r="AN136" s="159">
        <f t="shared" si="503"/>
        <v>0</v>
      </c>
      <c r="AO136" s="142"/>
      <c r="AP136" s="14">
        <f t="shared" si="580"/>
        <v>79</v>
      </c>
      <c r="AQ136" s="442">
        <f t="shared" si="581"/>
        <v>0</v>
      </c>
      <c r="AR136" s="470">
        <f t="shared" si="425"/>
        <v>0</v>
      </c>
      <c r="AS136" s="51">
        <f t="shared" si="582"/>
        <v>1257</v>
      </c>
      <c r="AT136" s="103">
        <f t="shared" si="583"/>
        <v>0</v>
      </c>
      <c r="AU136" s="46">
        <f t="shared" si="398"/>
        <v>1257</v>
      </c>
      <c r="AV136" s="12">
        <f t="shared" si="584"/>
        <v>86</v>
      </c>
      <c r="AW136" s="103">
        <f t="shared" si="585"/>
        <v>0</v>
      </c>
      <c r="AX136" s="46">
        <f t="shared" si="360"/>
        <v>86</v>
      </c>
      <c r="AZ136" s="120">
        <f t="shared" si="586"/>
        <v>16</v>
      </c>
      <c r="BA136" s="570">
        <f t="shared" si="587"/>
        <v>18</v>
      </c>
      <c r="BB136" s="133"/>
      <c r="BC136" s="408">
        <f t="shared" si="399"/>
        <v>116143</v>
      </c>
      <c r="BD136" s="562">
        <f t="shared" si="394"/>
        <v>116143</v>
      </c>
      <c r="BE136" s="134"/>
      <c r="BF136" s="135"/>
      <c r="BG136" s="135"/>
      <c r="BH136" s="14">
        <f t="shared" si="562"/>
        <v>0</v>
      </c>
      <c r="BI136" s="14">
        <f t="shared" si="492"/>
        <v>3926</v>
      </c>
      <c r="BJ136" s="14">
        <f t="shared" si="588"/>
        <v>0.16</v>
      </c>
      <c r="BK136" s="47">
        <f t="shared" si="368"/>
        <v>0</v>
      </c>
      <c r="BL136" s="35">
        <f t="shared" si="589"/>
        <v>4.4800000000000013</v>
      </c>
      <c r="BM136" s="159">
        <f t="shared" si="359"/>
        <v>3.2697865394065078</v>
      </c>
      <c r="BN136" s="142"/>
      <c r="BO136" s="14">
        <f t="shared" si="590"/>
        <v>79</v>
      </c>
      <c r="BP136" s="442">
        <f t="shared" si="591"/>
        <v>0</v>
      </c>
      <c r="BQ136" s="470">
        <f t="shared" si="426"/>
        <v>314.58428346602915</v>
      </c>
      <c r="BR136" s="51">
        <f t="shared" si="592"/>
        <v>1257</v>
      </c>
      <c r="BS136" s="103">
        <f t="shared" si="593"/>
        <v>0</v>
      </c>
      <c r="BT136" s="46">
        <f t="shared" si="400"/>
        <v>1257</v>
      </c>
      <c r="BU136" s="12">
        <f t="shared" si="594"/>
        <v>86</v>
      </c>
      <c r="BV136" s="103">
        <f t="shared" si="595"/>
        <v>0</v>
      </c>
      <c r="BW136" s="46">
        <f t="shared" si="361"/>
        <v>86</v>
      </c>
      <c r="BY136" s="120">
        <f t="shared" si="596"/>
        <v>16</v>
      </c>
      <c r="BZ136" s="570">
        <f t="shared" si="597"/>
        <v>18</v>
      </c>
      <c r="CA136" s="133"/>
      <c r="CB136" s="408">
        <f t="shared" si="401"/>
        <v>0</v>
      </c>
      <c r="CC136" s="562">
        <f t="shared" si="395"/>
        <v>0</v>
      </c>
      <c r="CD136" s="134"/>
      <c r="CE136" s="135"/>
      <c r="CF136" s="135"/>
      <c r="CG136" s="14">
        <f t="shared" si="563"/>
        <v>0</v>
      </c>
      <c r="CH136" s="14">
        <f t="shared" si="494"/>
        <v>0</v>
      </c>
      <c r="CI136" s="14">
        <f t="shared" si="598"/>
        <v>0.16</v>
      </c>
      <c r="CJ136" s="47">
        <f t="shared" si="370"/>
        <v>0</v>
      </c>
      <c r="CK136" s="35">
        <f t="shared" si="599"/>
        <v>4.4800000000000013</v>
      </c>
      <c r="CL136" s="159">
        <f t="shared" si="512"/>
        <v>0</v>
      </c>
      <c r="CM136" s="142"/>
      <c r="CN136" s="14">
        <f t="shared" si="600"/>
        <v>79</v>
      </c>
      <c r="CO136" s="442">
        <f t="shared" si="601"/>
        <v>0</v>
      </c>
      <c r="CP136" s="470">
        <f t="shared" si="427"/>
        <v>0</v>
      </c>
      <c r="CQ136" s="51">
        <f t="shared" si="602"/>
        <v>1257</v>
      </c>
      <c r="CR136" s="103">
        <f t="shared" si="603"/>
        <v>0</v>
      </c>
      <c r="CS136" s="46">
        <f t="shared" si="402"/>
        <v>1257</v>
      </c>
      <c r="CT136" s="12">
        <f t="shared" si="604"/>
        <v>86</v>
      </c>
      <c r="CU136" s="103">
        <f t="shared" si="605"/>
        <v>0</v>
      </c>
      <c r="CV136" s="46">
        <f t="shared" si="362"/>
        <v>86</v>
      </c>
      <c r="CX136" s="120">
        <f t="shared" si="606"/>
        <v>16</v>
      </c>
      <c r="CY136" s="570">
        <f t="shared" si="607"/>
        <v>18</v>
      </c>
      <c r="CZ136" s="133"/>
      <c r="DA136" s="408">
        <f t="shared" si="403"/>
        <v>0</v>
      </c>
      <c r="DB136" s="562">
        <f t="shared" si="396"/>
        <v>0</v>
      </c>
      <c r="DC136" s="134"/>
      <c r="DD136" s="135"/>
      <c r="DE136" s="135"/>
      <c r="DF136" s="14">
        <f t="shared" si="564"/>
        <v>0</v>
      </c>
      <c r="DG136" s="14">
        <f t="shared" si="496"/>
        <v>0</v>
      </c>
      <c r="DH136" s="14">
        <f t="shared" si="608"/>
        <v>0.16</v>
      </c>
      <c r="DI136" s="47">
        <f t="shared" si="372"/>
        <v>0</v>
      </c>
      <c r="DJ136" s="35">
        <f t="shared" si="609"/>
        <v>4.4800000000000013</v>
      </c>
      <c r="DK136" s="159">
        <f t="shared" si="517"/>
        <v>0</v>
      </c>
      <c r="DL136" s="142"/>
      <c r="DM136" s="14">
        <f t="shared" si="610"/>
        <v>79</v>
      </c>
      <c r="DN136" s="442">
        <f t="shared" si="611"/>
        <v>0</v>
      </c>
      <c r="DO136" s="470">
        <f t="shared" si="428"/>
        <v>0</v>
      </c>
      <c r="DP136" s="51">
        <f t="shared" si="612"/>
        <v>1257</v>
      </c>
      <c r="DQ136" s="103">
        <f t="shared" si="613"/>
        <v>0</v>
      </c>
      <c r="DR136" s="46">
        <f t="shared" si="404"/>
        <v>1257</v>
      </c>
      <c r="DS136" s="12">
        <f t="shared" si="614"/>
        <v>86</v>
      </c>
      <c r="DT136" s="103">
        <f t="shared" si="615"/>
        <v>0</v>
      </c>
      <c r="DU136" s="46">
        <f t="shared" si="363"/>
        <v>86</v>
      </c>
    </row>
    <row r="137" spans="2:125" x14ac:dyDescent="0.25">
      <c r="B137" s="120">
        <f t="shared" si="565"/>
        <v>17</v>
      </c>
      <c r="C137" s="570">
        <f t="shared" si="566"/>
        <v>18</v>
      </c>
      <c r="D137" s="133"/>
      <c r="E137" s="408">
        <f t="shared" si="616"/>
        <v>171956</v>
      </c>
      <c r="F137" s="562">
        <f t="shared" si="567"/>
        <v>171956</v>
      </c>
      <c r="G137" s="134"/>
      <c r="H137" s="135"/>
      <c r="I137" s="135"/>
      <c r="J137" s="14">
        <f t="shared" si="560"/>
        <v>0</v>
      </c>
      <c r="K137" s="14">
        <f t="shared" si="617"/>
        <v>4875</v>
      </c>
      <c r="L137" s="14">
        <f t="shared" si="568"/>
        <v>0.16</v>
      </c>
      <c r="M137" s="47">
        <f t="shared" si="622"/>
        <v>0</v>
      </c>
      <c r="N137" s="35">
        <f t="shared" si="569"/>
        <v>4.4800000000000013</v>
      </c>
      <c r="O137" s="159">
        <f t="shared" si="618"/>
        <v>2.7568695534154077</v>
      </c>
      <c r="P137" s="142"/>
      <c r="Q137" s="14">
        <f t="shared" si="570"/>
        <v>79</v>
      </c>
      <c r="R137" s="480">
        <f t="shared" si="571"/>
        <v>0</v>
      </c>
      <c r="S137" s="470">
        <f t="shared" si="619"/>
        <v>328.79467076367098</v>
      </c>
      <c r="T137" s="51">
        <f t="shared" si="572"/>
        <v>1257</v>
      </c>
      <c r="U137" s="103">
        <f t="shared" si="573"/>
        <v>0</v>
      </c>
      <c r="V137" s="46">
        <f t="shared" si="620"/>
        <v>1257</v>
      </c>
      <c r="W137" s="50">
        <f t="shared" si="574"/>
        <v>86</v>
      </c>
      <c r="X137" s="103">
        <f t="shared" si="575"/>
        <v>0</v>
      </c>
      <c r="Y137" s="62">
        <f t="shared" si="621"/>
        <v>86</v>
      </c>
      <c r="Z137" s="487"/>
      <c r="AA137" s="120">
        <f t="shared" si="576"/>
        <v>17</v>
      </c>
      <c r="AB137" s="570">
        <f t="shared" si="577"/>
        <v>18</v>
      </c>
      <c r="AC137" s="133"/>
      <c r="AD137" s="408">
        <f t="shared" si="397"/>
        <v>0</v>
      </c>
      <c r="AE137" s="562">
        <f t="shared" si="393"/>
        <v>0</v>
      </c>
      <c r="AF137" s="134"/>
      <c r="AG137" s="135"/>
      <c r="AH137" s="135"/>
      <c r="AI137" s="14">
        <f t="shared" si="561"/>
        <v>0</v>
      </c>
      <c r="AJ137" s="14">
        <f t="shared" si="490"/>
        <v>0</v>
      </c>
      <c r="AK137" s="14">
        <f t="shared" si="578"/>
        <v>0.16</v>
      </c>
      <c r="AL137" s="47">
        <f t="shared" si="366"/>
        <v>0</v>
      </c>
      <c r="AM137" s="35">
        <f t="shared" si="579"/>
        <v>4.4800000000000013</v>
      </c>
      <c r="AN137" s="159">
        <f t="shared" si="503"/>
        <v>0</v>
      </c>
      <c r="AO137" s="142"/>
      <c r="AP137" s="14">
        <f t="shared" si="580"/>
        <v>79</v>
      </c>
      <c r="AQ137" s="480">
        <f t="shared" si="581"/>
        <v>0</v>
      </c>
      <c r="AR137" s="470">
        <f t="shared" si="425"/>
        <v>0</v>
      </c>
      <c r="AS137" s="51">
        <f t="shared" si="582"/>
        <v>1257</v>
      </c>
      <c r="AT137" s="103">
        <f t="shared" si="583"/>
        <v>0</v>
      </c>
      <c r="AU137" s="46">
        <f t="shared" si="398"/>
        <v>1257</v>
      </c>
      <c r="AV137" s="50">
        <f t="shared" si="584"/>
        <v>86</v>
      </c>
      <c r="AW137" s="103">
        <f t="shared" si="585"/>
        <v>0</v>
      </c>
      <c r="AX137" s="62">
        <f t="shared" si="360"/>
        <v>86</v>
      </c>
      <c r="AZ137" s="120">
        <f t="shared" si="586"/>
        <v>17</v>
      </c>
      <c r="BA137" s="570">
        <f t="shared" si="587"/>
        <v>18</v>
      </c>
      <c r="BB137" s="133"/>
      <c r="BC137" s="408">
        <f t="shared" si="399"/>
        <v>116143</v>
      </c>
      <c r="BD137" s="562">
        <f t="shared" si="394"/>
        <v>116143</v>
      </c>
      <c r="BE137" s="134"/>
      <c r="BF137" s="135"/>
      <c r="BG137" s="135"/>
      <c r="BH137" s="14">
        <f t="shared" si="562"/>
        <v>0</v>
      </c>
      <c r="BI137" s="14">
        <f t="shared" si="492"/>
        <v>3926</v>
      </c>
      <c r="BJ137" s="14">
        <f t="shared" si="588"/>
        <v>0.16</v>
      </c>
      <c r="BK137" s="47">
        <f t="shared" si="368"/>
        <v>0</v>
      </c>
      <c r="BL137" s="35">
        <f t="shared" si="589"/>
        <v>4.4800000000000013</v>
      </c>
      <c r="BM137" s="159">
        <f t="shared" ref="BM137:BM138" si="623">IFERROR((BI137*100)/$BB$14,0)</f>
        <v>3.2697865394065078</v>
      </c>
      <c r="BN137" s="142"/>
      <c r="BO137" s="14">
        <f t="shared" si="590"/>
        <v>79</v>
      </c>
      <c r="BP137" s="480">
        <f t="shared" si="591"/>
        <v>0</v>
      </c>
      <c r="BQ137" s="470">
        <f t="shared" si="426"/>
        <v>314.58428346602915</v>
      </c>
      <c r="BR137" s="51">
        <f t="shared" si="592"/>
        <v>1257</v>
      </c>
      <c r="BS137" s="103">
        <f t="shared" si="593"/>
        <v>0</v>
      </c>
      <c r="BT137" s="46">
        <f t="shared" si="400"/>
        <v>1257</v>
      </c>
      <c r="BU137" s="50">
        <f t="shared" si="594"/>
        <v>86</v>
      </c>
      <c r="BV137" s="103">
        <f t="shared" si="595"/>
        <v>0</v>
      </c>
      <c r="BW137" s="62">
        <f t="shared" si="361"/>
        <v>86</v>
      </c>
      <c r="BY137" s="120">
        <f t="shared" si="596"/>
        <v>17</v>
      </c>
      <c r="BZ137" s="570">
        <f t="shared" si="597"/>
        <v>18</v>
      </c>
      <c r="CA137" s="133"/>
      <c r="CB137" s="408">
        <f t="shared" si="401"/>
        <v>0</v>
      </c>
      <c r="CC137" s="562">
        <f t="shared" si="395"/>
        <v>0</v>
      </c>
      <c r="CD137" s="134"/>
      <c r="CE137" s="135"/>
      <c r="CF137" s="135"/>
      <c r="CG137" s="14">
        <f t="shared" si="563"/>
        <v>0</v>
      </c>
      <c r="CH137" s="14">
        <f t="shared" si="494"/>
        <v>0</v>
      </c>
      <c r="CI137" s="14">
        <f t="shared" si="598"/>
        <v>0.16</v>
      </c>
      <c r="CJ137" s="47">
        <f t="shared" si="370"/>
        <v>0</v>
      </c>
      <c r="CK137" s="35">
        <f t="shared" si="599"/>
        <v>4.4800000000000013</v>
      </c>
      <c r="CL137" s="159">
        <f t="shared" si="512"/>
        <v>0</v>
      </c>
      <c r="CM137" s="142"/>
      <c r="CN137" s="14">
        <f t="shared" si="600"/>
        <v>79</v>
      </c>
      <c r="CO137" s="480">
        <f t="shared" si="601"/>
        <v>0</v>
      </c>
      <c r="CP137" s="470">
        <f t="shared" si="427"/>
        <v>0</v>
      </c>
      <c r="CQ137" s="51">
        <f t="shared" si="602"/>
        <v>1257</v>
      </c>
      <c r="CR137" s="103">
        <f t="shared" si="603"/>
        <v>0</v>
      </c>
      <c r="CS137" s="46">
        <f t="shared" si="402"/>
        <v>1257</v>
      </c>
      <c r="CT137" s="50">
        <f t="shared" si="604"/>
        <v>86</v>
      </c>
      <c r="CU137" s="103">
        <f t="shared" si="605"/>
        <v>0</v>
      </c>
      <c r="CV137" s="62">
        <f t="shared" si="362"/>
        <v>86</v>
      </c>
      <c r="CX137" s="120">
        <f t="shared" si="606"/>
        <v>17</v>
      </c>
      <c r="CY137" s="570">
        <f t="shared" si="607"/>
        <v>18</v>
      </c>
      <c r="CZ137" s="133"/>
      <c r="DA137" s="408">
        <f t="shared" si="403"/>
        <v>0</v>
      </c>
      <c r="DB137" s="562">
        <f t="shared" si="396"/>
        <v>0</v>
      </c>
      <c r="DC137" s="134"/>
      <c r="DD137" s="135"/>
      <c r="DE137" s="135"/>
      <c r="DF137" s="14">
        <f t="shared" si="564"/>
        <v>0</v>
      </c>
      <c r="DG137" s="14">
        <f t="shared" si="496"/>
        <v>0</v>
      </c>
      <c r="DH137" s="14">
        <f t="shared" si="608"/>
        <v>0.16</v>
      </c>
      <c r="DI137" s="47">
        <f t="shared" si="372"/>
        <v>0</v>
      </c>
      <c r="DJ137" s="35">
        <f t="shared" si="609"/>
        <v>4.4800000000000013</v>
      </c>
      <c r="DK137" s="159">
        <f t="shared" si="517"/>
        <v>0</v>
      </c>
      <c r="DL137" s="142"/>
      <c r="DM137" s="14">
        <f t="shared" si="610"/>
        <v>79</v>
      </c>
      <c r="DN137" s="480">
        <f t="shared" si="611"/>
        <v>0</v>
      </c>
      <c r="DO137" s="470">
        <f t="shared" si="428"/>
        <v>0</v>
      </c>
      <c r="DP137" s="51">
        <f t="shared" si="612"/>
        <v>1257</v>
      </c>
      <c r="DQ137" s="103">
        <f t="shared" si="613"/>
        <v>0</v>
      </c>
      <c r="DR137" s="46">
        <f t="shared" si="404"/>
        <v>1257</v>
      </c>
      <c r="DS137" s="50">
        <f t="shared" si="614"/>
        <v>86</v>
      </c>
      <c r="DT137" s="103">
        <f t="shared" si="615"/>
        <v>0</v>
      </c>
      <c r="DU137" s="62">
        <f t="shared" si="363"/>
        <v>86</v>
      </c>
    </row>
    <row r="138" spans="2:125" ht="17.25" thickBot="1" x14ac:dyDescent="0.3">
      <c r="B138" s="197">
        <f t="shared" si="565"/>
        <v>18</v>
      </c>
      <c r="C138" s="574">
        <f t="shared" si="566"/>
        <v>18</v>
      </c>
      <c r="D138" s="136"/>
      <c r="E138" s="568">
        <f t="shared" ref="E138" si="624">IFERROR(F137+D138,0)</f>
        <v>171956</v>
      </c>
      <c r="F138" s="451">
        <f t="shared" si="567"/>
        <v>171956</v>
      </c>
      <c r="G138" s="821"/>
      <c r="H138" s="822"/>
      <c r="I138" s="822"/>
      <c r="J138" s="34">
        <f t="shared" si="560"/>
        <v>0</v>
      </c>
      <c r="K138" s="34">
        <f t="shared" si="617"/>
        <v>4875</v>
      </c>
      <c r="L138" s="34">
        <f t="shared" si="568"/>
        <v>0.16</v>
      </c>
      <c r="M138" s="166">
        <f t="shared" si="622"/>
        <v>0</v>
      </c>
      <c r="N138" s="40">
        <f t="shared" si="569"/>
        <v>4.4800000000000013</v>
      </c>
      <c r="O138" s="156">
        <f>IFERROR((K138*100)/$D$12,0)</f>
        <v>2.7568695534154077</v>
      </c>
      <c r="P138" s="139"/>
      <c r="Q138" s="32">
        <f t="shared" si="570"/>
        <v>79</v>
      </c>
      <c r="R138" s="443">
        <f t="shared" si="571"/>
        <v>0</v>
      </c>
      <c r="S138" s="471">
        <f t="shared" si="619"/>
        <v>328.79467076367098</v>
      </c>
      <c r="T138" s="56">
        <f t="shared" si="572"/>
        <v>1257</v>
      </c>
      <c r="U138" s="109">
        <f t="shared" si="573"/>
        <v>0</v>
      </c>
      <c r="V138" s="53">
        <f t="shared" si="620"/>
        <v>1257</v>
      </c>
      <c r="W138" s="56">
        <f t="shared" si="574"/>
        <v>86</v>
      </c>
      <c r="X138" s="109">
        <f t="shared" si="575"/>
        <v>0</v>
      </c>
      <c r="Y138" s="53">
        <f t="shared" si="621"/>
        <v>86</v>
      </c>
      <c r="Z138" s="487"/>
      <c r="AA138" s="197">
        <f t="shared" si="576"/>
        <v>18</v>
      </c>
      <c r="AB138" s="574">
        <f t="shared" si="577"/>
        <v>18</v>
      </c>
      <c r="AC138" s="136"/>
      <c r="AD138" s="568">
        <f t="shared" si="397"/>
        <v>0</v>
      </c>
      <c r="AE138" s="451">
        <f t="shared" si="393"/>
        <v>0</v>
      </c>
      <c r="AF138" s="821"/>
      <c r="AG138" s="822"/>
      <c r="AH138" s="822"/>
      <c r="AI138" s="34">
        <f t="shared" si="561"/>
        <v>0</v>
      </c>
      <c r="AJ138" s="34">
        <f t="shared" si="490"/>
        <v>0</v>
      </c>
      <c r="AK138" s="34">
        <f t="shared" si="578"/>
        <v>0.16</v>
      </c>
      <c r="AL138" s="166">
        <f t="shared" si="366"/>
        <v>0</v>
      </c>
      <c r="AM138" s="40">
        <f t="shared" si="579"/>
        <v>4.4800000000000013</v>
      </c>
      <c r="AN138" s="156">
        <f>IFERROR((AJ138*100)/$D$12,0)</f>
        <v>0</v>
      </c>
      <c r="AO138" s="139"/>
      <c r="AP138" s="32">
        <f t="shared" si="580"/>
        <v>79</v>
      </c>
      <c r="AQ138" s="443">
        <f t="shared" si="581"/>
        <v>0</v>
      </c>
      <c r="AR138" s="471">
        <f t="shared" si="425"/>
        <v>0</v>
      </c>
      <c r="AS138" s="56">
        <f t="shared" si="582"/>
        <v>1257</v>
      </c>
      <c r="AT138" s="109">
        <f t="shared" si="583"/>
        <v>0</v>
      </c>
      <c r="AU138" s="53">
        <f t="shared" si="398"/>
        <v>1257</v>
      </c>
      <c r="AV138" s="56">
        <f t="shared" si="584"/>
        <v>86</v>
      </c>
      <c r="AW138" s="109">
        <f t="shared" si="585"/>
        <v>0</v>
      </c>
      <c r="AX138" s="53">
        <f t="shared" si="360"/>
        <v>86</v>
      </c>
      <c r="AZ138" s="197">
        <f t="shared" si="586"/>
        <v>18</v>
      </c>
      <c r="BA138" s="574">
        <f t="shared" si="587"/>
        <v>18</v>
      </c>
      <c r="BB138" s="136"/>
      <c r="BC138" s="568">
        <f t="shared" si="399"/>
        <v>116143</v>
      </c>
      <c r="BD138" s="451">
        <f t="shared" si="394"/>
        <v>116143</v>
      </c>
      <c r="BE138" s="821"/>
      <c r="BF138" s="822"/>
      <c r="BG138" s="822"/>
      <c r="BH138" s="34">
        <f t="shared" si="562"/>
        <v>0</v>
      </c>
      <c r="BI138" s="34">
        <f t="shared" si="492"/>
        <v>3926</v>
      </c>
      <c r="BJ138" s="34">
        <f t="shared" si="588"/>
        <v>0.16</v>
      </c>
      <c r="BK138" s="166">
        <f t="shared" si="368"/>
        <v>0</v>
      </c>
      <c r="BL138" s="40">
        <f t="shared" si="589"/>
        <v>4.4800000000000013</v>
      </c>
      <c r="BM138" s="156">
        <f t="shared" si="623"/>
        <v>3.2697865394065078</v>
      </c>
      <c r="BN138" s="139"/>
      <c r="BO138" s="32">
        <f t="shared" si="590"/>
        <v>79</v>
      </c>
      <c r="BP138" s="443">
        <f t="shared" si="591"/>
        <v>0</v>
      </c>
      <c r="BQ138" s="471">
        <f t="shared" si="426"/>
        <v>314.58428346602915</v>
      </c>
      <c r="BR138" s="56">
        <f t="shared" si="592"/>
        <v>1257</v>
      </c>
      <c r="BS138" s="109">
        <f t="shared" si="593"/>
        <v>0</v>
      </c>
      <c r="BT138" s="53">
        <f t="shared" si="400"/>
        <v>1257</v>
      </c>
      <c r="BU138" s="56">
        <f t="shared" si="594"/>
        <v>86</v>
      </c>
      <c r="BV138" s="109">
        <f t="shared" si="595"/>
        <v>0</v>
      </c>
      <c r="BW138" s="53">
        <f t="shared" si="361"/>
        <v>86</v>
      </c>
      <c r="BY138" s="197">
        <f t="shared" si="596"/>
        <v>18</v>
      </c>
      <c r="BZ138" s="574">
        <f t="shared" si="597"/>
        <v>18</v>
      </c>
      <c r="CA138" s="136"/>
      <c r="CB138" s="568">
        <f t="shared" si="401"/>
        <v>0</v>
      </c>
      <c r="CC138" s="451">
        <f t="shared" si="395"/>
        <v>0</v>
      </c>
      <c r="CD138" s="821"/>
      <c r="CE138" s="822"/>
      <c r="CF138" s="822"/>
      <c r="CG138" s="34">
        <f t="shared" si="563"/>
        <v>0</v>
      </c>
      <c r="CH138" s="34">
        <f t="shared" si="494"/>
        <v>0</v>
      </c>
      <c r="CI138" s="34">
        <f t="shared" si="598"/>
        <v>0.16</v>
      </c>
      <c r="CJ138" s="166">
        <f t="shared" si="370"/>
        <v>0</v>
      </c>
      <c r="CK138" s="40">
        <f t="shared" si="599"/>
        <v>4.4800000000000013</v>
      </c>
      <c r="CL138" s="156">
        <f>IFERROR((CH138*100)/$D$12,0)</f>
        <v>0</v>
      </c>
      <c r="CM138" s="139"/>
      <c r="CN138" s="32">
        <f t="shared" si="600"/>
        <v>79</v>
      </c>
      <c r="CO138" s="443">
        <f t="shared" si="601"/>
        <v>0</v>
      </c>
      <c r="CP138" s="471">
        <f t="shared" si="427"/>
        <v>0</v>
      </c>
      <c r="CQ138" s="56">
        <f t="shared" si="602"/>
        <v>1257</v>
      </c>
      <c r="CR138" s="109">
        <f t="shared" si="603"/>
        <v>0</v>
      </c>
      <c r="CS138" s="53">
        <f t="shared" si="402"/>
        <v>1257</v>
      </c>
      <c r="CT138" s="56">
        <f t="shared" si="604"/>
        <v>86</v>
      </c>
      <c r="CU138" s="109">
        <f t="shared" si="605"/>
        <v>0</v>
      </c>
      <c r="CV138" s="53">
        <f t="shared" si="362"/>
        <v>86</v>
      </c>
      <c r="CX138" s="197">
        <f t="shared" si="606"/>
        <v>18</v>
      </c>
      <c r="CY138" s="574">
        <f t="shared" si="607"/>
        <v>18</v>
      </c>
      <c r="CZ138" s="136"/>
      <c r="DA138" s="568">
        <f t="shared" si="403"/>
        <v>0</v>
      </c>
      <c r="DB138" s="451">
        <f t="shared" si="396"/>
        <v>0</v>
      </c>
      <c r="DC138" s="821"/>
      <c r="DD138" s="822"/>
      <c r="DE138" s="822"/>
      <c r="DF138" s="34">
        <f t="shared" si="564"/>
        <v>0</v>
      </c>
      <c r="DG138" s="34">
        <f t="shared" si="496"/>
        <v>0</v>
      </c>
      <c r="DH138" s="34">
        <f t="shared" si="608"/>
        <v>0.16</v>
      </c>
      <c r="DI138" s="166">
        <f t="shared" si="372"/>
        <v>0</v>
      </c>
      <c r="DJ138" s="40">
        <f t="shared" si="609"/>
        <v>4.4800000000000013</v>
      </c>
      <c r="DK138" s="156">
        <f>IFERROR((DG138*100)/$D$12,0)</f>
        <v>0</v>
      </c>
      <c r="DL138" s="139"/>
      <c r="DM138" s="32">
        <f t="shared" si="610"/>
        <v>79</v>
      </c>
      <c r="DN138" s="443">
        <f t="shared" si="611"/>
        <v>0</v>
      </c>
      <c r="DO138" s="471">
        <f t="shared" si="428"/>
        <v>0</v>
      </c>
      <c r="DP138" s="56">
        <f t="shared" si="612"/>
        <v>1257</v>
      </c>
      <c r="DQ138" s="109">
        <f t="shared" si="613"/>
        <v>0</v>
      </c>
      <c r="DR138" s="53">
        <f t="shared" si="404"/>
        <v>1257</v>
      </c>
      <c r="DS138" s="56">
        <f t="shared" si="614"/>
        <v>86</v>
      </c>
      <c r="DT138" s="109">
        <f t="shared" si="615"/>
        <v>0</v>
      </c>
      <c r="DU138" s="53">
        <f t="shared" si="363"/>
        <v>86</v>
      </c>
    </row>
    <row r="139" spans="2:125" x14ac:dyDescent="0.25">
      <c r="B139" s="455"/>
      <c r="C139" s="456"/>
      <c r="D139" s="455"/>
      <c r="E139" s="457"/>
      <c r="F139" s="457"/>
      <c r="G139" s="458"/>
      <c r="H139" s="458"/>
      <c r="I139" s="458"/>
      <c r="J139" s="459"/>
      <c r="K139" s="459"/>
      <c r="L139" s="459"/>
      <c r="M139" s="460"/>
      <c r="N139" s="461"/>
      <c r="O139" s="460"/>
      <c r="P139" s="458"/>
      <c r="Q139" s="459"/>
      <c r="R139" s="462"/>
      <c r="S139" s="457"/>
      <c r="T139" s="459"/>
      <c r="U139" s="463"/>
      <c r="V139" s="459"/>
      <c r="W139" s="459"/>
      <c r="X139" s="463"/>
      <c r="Y139" s="459"/>
      <c r="Z139" s="487"/>
      <c r="AA139" s="455"/>
      <c r="AB139" s="456"/>
      <c r="AC139" s="455"/>
      <c r="AD139" s="457"/>
      <c r="AE139" s="457"/>
      <c r="AF139" s="458"/>
      <c r="AG139" s="458"/>
      <c r="AH139" s="458"/>
      <c r="AI139" s="459"/>
      <c r="AJ139" s="459"/>
      <c r="AK139" s="459"/>
      <c r="AL139" s="460"/>
      <c r="AM139" s="461"/>
      <c r="AN139" s="460"/>
      <c r="AO139" s="458"/>
      <c r="AP139" s="459"/>
      <c r="AQ139" s="462"/>
      <c r="AR139" s="457"/>
      <c r="AS139" s="459"/>
      <c r="AT139" s="463"/>
      <c r="AU139" s="459"/>
      <c r="AV139" s="459"/>
      <c r="AW139" s="463"/>
      <c r="AX139" s="459"/>
      <c r="AZ139" s="455"/>
      <c r="BA139" s="456"/>
      <c r="BB139" s="455"/>
      <c r="BC139" s="459"/>
      <c r="BD139" s="459"/>
      <c r="BE139" s="458"/>
      <c r="BF139" s="458"/>
      <c r="BG139" s="458"/>
      <c r="BH139" s="459"/>
      <c r="BI139" s="459"/>
      <c r="BJ139" s="459"/>
      <c r="BK139" s="460"/>
      <c r="BL139" s="461"/>
      <c r="BM139" s="460"/>
      <c r="BN139" s="458"/>
      <c r="BO139" s="459"/>
      <c r="BP139" s="457"/>
      <c r="BQ139" s="457"/>
      <c r="BR139" s="459"/>
      <c r="BS139" s="463"/>
      <c r="BT139" s="459"/>
      <c r="BU139" s="459"/>
      <c r="BV139" s="463"/>
      <c r="BW139" s="459"/>
      <c r="BY139" s="455"/>
      <c r="BZ139" s="456"/>
      <c r="CA139" s="455"/>
      <c r="CB139" s="459"/>
      <c r="CC139" s="459"/>
      <c r="CD139" s="458"/>
      <c r="CE139" s="458"/>
      <c r="CF139" s="458"/>
      <c r="CG139" s="459"/>
      <c r="CH139" s="459"/>
      <c r="CI139" s="459"/>
      <c r="CJ139" s="460"/>
      <c r="CK139" s="461"/>
      <c r="CL139" s="460"/>
      <c r="CM139" s="458"/>
      <c r="CN139" s="459"/>
      <c r="CO139" s="457"/>
      <c r="CP139" s="457"/>
      <c r="CQ139" s="459"/>
      <c r="CR139" s="463"/>
      <c r="CS139" s="463"/>
      <c r="CT139" s="459"/>
      <c r="CU139" s="463"/>
      <c r="CV139" s="459"/>
    </row>
    <row r="140" spans="2:125" x14ac:dyDescent="0.25">
      <c r="B140" s="455"/>
      <c r="C140" s="456"/>
      <c r="D140" s="455"/>
      <c r="E140" s="457"/>
      <c r="F140" s="457"/>
      <c r="G140" s="458"/>
      <c r="H140" s="458"/>
      <c r="I140" s="458"/>
      <c r="J140" s="459"/>
      <c r="K140" s="459"/>
      <c r="L140" s="459"/>
      <c r="M140" s="460"/>
      <c r="N140" s="461"/>
      <c r="O140" s="460"/>
      <c r="P140" s="458"/>
      <c r="Q140" s="459"/>
      <c r="R140" s="462"/>
      <c r="S140" s="457"/>
      <c r="T140" s="459"/>
      <c r="U140" s="463"/>
      <c r="V140" s="459"/>
      <c r="W140" s="459"/>
      <c r="X140" s="463"/>
      <c r="Y140" s="459"/>
      <c r="Z140" s="487"/>
      <c r="AA140" s="455"/>
      <c r="AB140" s="456"/>
      <c r="AC140" s="455"/>
      <c r="AD140" s="457"/>
      <c r="AE140" s="457"/>
      <c r="AF140" s="458"/>
      <c r="AG140" s="458"/>
      <c r="AH140" s="458"/>
      <c r="AI140" s="459"/>
      <c r="AJ140" s="459"/>
      <c r="AK140" s="459"/>
      <c r="AL140" s="460"/>
      <c r="AM140" s="461"/>
      <c r="AN140" s="460"/>
      <c r="AO140" s="458"/>
      <c r="AP140" s="459"/>
      <c r="AQ140" s="462"/>
      <c r="AR140" s="457"/>
      <c r="AS140" s="459"/>
      <c r="AT140" s="463"/>
      <c r="AU140" s="459"/>
      <c r="AV140" s="459"/>
      <c r="AW140" s="463"/>
      <c r="AX140" s="459"/>
      <c r="AZ140" s="455"/>
      <c r="BA140" s="456"/>
      <c r="BB140" s="455"/>
      <c r="BC140" s="459"/>
      <c r="BD140" s="459"/>
      <c r="BE140" s="458"/>
      <c r="BF140" s="458"/>
      <c r="BG140" s="458"/>
      <c r="BH140" s="459"/>
      <c r="BI140" s="459"/>
      <c r="BJ140" s="459"/>
      <c r="BK140" s="460"/>
      <c r="BL140" s="461"/>
      <c r="BM140" s="460"/>
      <c r="BN140" s="458"/>
      <c r="BO140" s="459"/>
      <c r="BP140" s="457"/>
      <c r="BQ140" s="457"/>
      <c r="BR140" s="459"/>
      <c r="BS140" s="463"/>
      <c r="BT140" s="459"/>
      <c r="BU140" s="459"/>
      <c r="BV140" s="463"/>
      <c r="BW140" s="459"/>
      <c r="BY140" s="455"/>
      <c r="BZ140" s="456"/>
      <c r="CA140" s="455"/>
      <c r="CB140" s="459"/>
      <c r="CC140" s="459"/>
      <c r="CD140" s="458"/>
      <c r="CE140" s="458"/>
      <c r="CF140" s="458"/>
      <c r="CG140" s="459"/>
      <c r="CH140" s="459"/>
      <c r="CI140" s="459"/>
      <c r="CJ140" s="460"/>
      <c r="CK140" s="461"/>
      <c r="CL140" s="460"/>
      <c r="CM140" s="458"/>
      <c r="CN140" s="459"/>
      <c r="CO140" s="457"/>
      <c r="CP140" s="457"/>
      <c r="CQ140" s="459"/>
      <c r="CR140" s="463"/>
      <c r="CS140" s="463"/>
      <c r="CT140" s="459"/>
      <c r="CU140" s="463"/>
      <c r="CV140" s="459"/>
    </row>
    <row r="141" spans="2:125" s="4" customFormat="1" x14ac:dyDescent="0.25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74"/>
      <c r="Z141" s="492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460"/>
      <c r="AO141" s="3"/>
      <c r="AP141" s="3"/>
      <c r="AQ141" s="3"/>
      <c r="AR141" s="3"/>
      <c r="AS141" s="3"/>
      <c r="AT141" s="3"/>
      <c r="AU141" s="3"/>
      <c r="AV141" s="3"/>
      <c r="AW141" s="3"/>
      <c r="AX141" s="74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74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74"/>
    </row>
    <row r="142" spans="2:125" s="4" customFormat="1" x14ac:dyDescent="0.25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74"/>
      <c r="Z142" s="492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460"/>
      <c r="AO142" s="3"/>
      <c r="AP142" s="3"/>
      <c r="AQ142" s="3"/>
      <c r="AR142" s="3"/>
      <c r="AS142" s="3"/>
      <c r="AT142" s="3"/>
      <c r="AU142" s="3"/>
      <c r="AV142" s="3"/>
      <c r="AW142" s="3"/>
      <c r="AX142" s="74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74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74"/>
    </row>
    <row r="143" spans="2:125" x14ac:dyDescent="0.25"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454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 t="s">
        <v>140</v>
      </c>
      <c r="AM143" s="1"/>
      <c r="AN143" s="460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2:125" ht="37.5" customHeight="1" x14ac:dyDescent="0.25">
      <c r="C144" s="89" t="s">
        <v>43</v>
      </c>
      <c r="D144" s="90" t="s">
        <v>58</v>
      </c>
      <c r="E144" s="86" t="s">
        <v>67</v>
      </c>
      <c r="F144" s="86" t="s">
        <v>34</v>
      </c>
      <c r="G144" s="88" t="s">
        <v>27</v>
      </c>
      <c r="H144" s="88" t="s">
        <v>16</v>
      </c>
      <c r="I144" s="88" t="s">
        <v>17</v>
      </c>
      <c r="J144" s="88" t="s">
        <v>18</v>
      </c>
      <c r="K144" s="88" t="s">
        <v>48</v>
      </c>
      <c r="L144" s="86" t="s">
        <v>72</v>
      </c>
      <c r="M144" s="86" t="s">
        <v>74</v>
      </c>
      <c r="N144" s="87" t="s">
        <v>49</v>
      </c>
      <c r="O144" s="87" t="s">
        <v>73</v>
      </c>
      <c r="P144" s="88" t="s">
        <v>9</v>
      </c>
      <c r="Q144" s="86" t="s">
        <v>75</v>
      </c>
      <c r="R144" s="86" t="s">
        <v>62</v>
      </c>
      <c r="S144" s="86" t="s">
        <v>50</v>
      </c>
      <c r="T144" s="86" t="s">
        <v>63</v>
      </c>
      <c r="U144" s="86" t="s">
        <v>64</v>
      </c>
      <c r="V144" s="88" t="s">
        <v>15</v>
      </c>
      <c r="W144" s="86" t="s">
        <v>65</v>
      </c>
      <c r="X144" s="86" t="s">
        <v>66</v>
      </c>
      <c r="Y144" s="88" t="s">
        <v>15</v>
      </c>
      <c r="Z144" s="488"/>
      <c r="AA144" s="1"/>
      <c r="AB144" s="89" t="s">
        <v>43</v>
      </c>
      <c r="AC144" s="90" t="s">
        <v>58</v>
      </c>
      <c r="AD144" s="86" t="s">
        <v>67</v>
      </c>
      <c r="AE144" s="86" t="s">
        <v>34</v>
      </c>
      <c r="AF144" s="88" t="s">
        <v>27</v>
      </c>
      <c r="AG144" s="88" t="s">
        <v>16</v>
      </c>
      <c r="AH144" s="88" t="s">
        <v>17</v>
      </c>
      <c r="AI144" s="88" t="s">
        <v>18</v>
      </c>
      <c r="AJ144" s="88" t="s">
        <v>48</v>
      </c>
      <c r="AK144" s="86" t="s">
        <v>72</v>
      </c>
      <c r="AL144" s="86" t="s">
        <v>74</v>
      </c>
      <c r="AM144" s="87" t="s">
        <v>49</v>
      </c>
      <c r="AN144" s="87" t="s">
        <v>73</v>
      </c>
      <c r="AO144" s="88" t="s">
        <v>9</v>
      </c>
      <c r="AP144" s="86" t="s">
        <v>75</v>
      </c>
      <c r="AQ144" s="86" t="s">
        <v>62</v>
      </c>
      <c r="AR144" s="86" t="s">
        <v>50</v>
      </c>
      <c r="AS144" s="86" t="s">
        <v>63</v>
      </c>
      <c r="AT144" s="86" t="s">
        <v>64</v>
      </c>
      <c r="AU144" s="88" t="s">
        <v>15</v>
      </c>
      <c r="AV144" s="86" t="s">
        <v>65</v>
      </c>
      <c r="AW144" s="86" t="s">
        <v>66</v>
      </c>
      <c r="AX144" s="88" t="s">
        <v>15</v>
      </c>
      <c r="AZ144" s="1"/>
      <c r="BA144" s="89" t="s">
        <v>43</v>
      </c>
      <c r="BB144" s="90" t="s">
        <v>58</v>
      </c>
      <c r="BC144" s="86" t="s">
        <v>67</v>
      </c>
      <c r="BD144" s="86" t="s">
        <v>34</v>
      </c>
      <c r="BE144" s="88" t="s">
        <v>27</v>
      </c>
      <c r="BF144" s="88" t="s">
        <v>16</v>
      </c>
      <c r="BG144" s="88" t="s">
        <v>17</v>
      </c>
      <c r="BH144" s="88" t="s">
        <v>18</v>
      </c>
      <c r="BI144" s="88" t="s">
        <v>48</v>
      </c>
      <c r="BJ144" s="86" t="s">
        <v>72</v>
      </c>
      <c r="BK144" s="86" t="s">
        <v>74</v>
      </c>
      <c r="BL144" s="87" t="s">
        <v>49</v>
      </c>
      <c r="BM144" s="87" t="s">
        <v>73</v>
      </c>
      <c r="BN144" s="88" t="s">
        <v>9</v>
      </c>
      <c r="BO144" s="86" t="s">
        <v>75</v>
      </c>
      <c r="BP144" s="86" t="s">
        <v>62</v>
      </c>
      <c r="BQ144" s="86" t="s">
        <v>50</v>
      </c>
      <c r="BR144" s="86" t="s">
        <v>63</v>
      </c>
      <c r="BS144" s="86" t="s">
        <v>64</v>
      </c>
      <c r="BT144" s="88" t="s">
        <v>15</v>
      </c>
      <c r="BU144" s="86" t="s">
        <v>65</v>
      </c>
      <c r="BV144" s="86" t="s">
        <v>66</v>
      </c>
      <c r="BW144" s="88" t="s">
        <v>15</v>
      </c>
      <c r="BY144" s="1"/>
      <c r="BZ144" s="89" t="s">
        <v>43</v>
      </c>
      <c r="CA144" s="90" t="s">
        <v>58</v>
      </c>
      <c r="CB144" s="86" t="s">
        <v>67</v>
      </c>
      <c r="CC144" s="86" t="s">
        <v>34</v>
      </c>
      <c r="CD144" s="88" t="s">
        <v>27</v>
      </c>
      <c r="CE144" s="88" t="s">
        <v>16</v>
      </c>
      <c r="CF144" s="88" t="s">
        <v>17</v>
      </c>
      <c r="CG144" s="88" t="s">
        <v>18</v>
      </c>
      <c r="CH144" s="88" t="s">
        <v>48</v>
      </c>
      <c r="CI144" s="86" t="s">
        <v>72</v>
      </c>
      <c r="CJ144" s="86" t="s">
        <v>74</v>
      </c>
      <c r="CK144" s="87" t="s">
        <v>49</v>
      </c>
      <c r="CL144" s="87" t="s">
        <v>73</v>
      </c>
      <c r="CM144" s="88" t="s">
        <v>9</v>
      </c>
      <c r="CN144" s="86" t="s">
        <v>75</v>
      </c>
      <c r="CO144" s="86" t="s">
        <v>62</v>
      </c>
      <c r="CP144" s="86" t="s">
        <v>50</v>
      </c>
      <c r="CQ144" s="86" t="s">
        <v>63</v>
      </c>
      <c r="CR144" s="86" t="s">
        <v>64</v>
      </c>
      <c r="CS144" s="88" t="s">
        <v>15</v>
      </c>
      <c r="CT144" s="86" t="s">
        <v>65</v>
      </c>
      <c r="CU144" s="86" t="s">
        <v>66</v>
      </c>
      <c r="CV144" s="88" t="s">
        <v>15</v>
      </c>
      <c r="CY144" s="89" t="s">
        <v>43</v>
      </c>
      <c r="CZ144" s="90" t="s">
        <v>58</v>
      </c>
      <c r="DA144" s="86" t="s">
        <v>67</v>
      </c>
      <c r="DB144" s="86" t="s">
        <v>34</v>
      </c>
      <c r="DC144" s="88" t="s">
        <v>27</v>
      </c>
      <c r="DD144" s="88" t="s">
        <v>16</v>
      </c>
      <c r="DE144" s="88" t="s">
        <v>17</v>
      </c>
      <c r="DF144" s="88" t="s">
        <v>18</v>
      </c>
      <c r="DG144" s="88" t="s">
        <v>48</v>
      </c>
      <c r="DH144" s="86" t="s">
        <v>72</v>
      </c>
      <c r="DI144" s="86" t="s">
        <v>74</v>
      </c>
      <c r="DJ144" s="87" t="s">
        <v>49</v>
      </c>
      <c r="DK144" s="87" t="s">
        <v>73</v>
      </c>
      <c r="DL144" s="88" t="s">
        <v>9</v>
      </c>
      <c r="DM144" s="86" t="s">
        <v>75</v>
      </c>
      <c r="DN144" s="86" t="s">
        <v>62</v>
      </c>
      <c r="DO144" s="86" t="s">
        <v>50</v>
      </c>
      <c r="DP144" s="86" t="s">
        <v>63</v>
      </c>
      <c r="DQ144" s="86" t="s">
        <v>64</v>
      </c>
      <c r="DR144" s="88" t="s">
        <v>15</v>
      </c>
      <c r="DS144" s="86" t="s">
        <v>65</v>
      </c>
      <c r="DT144" s="86" t="s">
        <v>66</v>
      </c>
      <c r="DU144" s="88" t="s">
        <v>15</v>
      </c>
    </row>
    <row r="145" spans="3:125" ht="21" customHeight="1" x14ac:dyDescent="0.25">
      <c r="C145" s="90">
        <v>0</v>
      </c>
      <c r="D145" s="369" t="s">
        <v>52</v>
      </c>
      <c r="E145" s="26">
        <f>INDEX($C$6:$Y$138,7,2)</f>
        <v>176831</v>
      </c>
      <c r="F145" s="26">
        <f>INDEX($C$6:$Y$138,7,4)</f>
        <v>175152</v>
      </c>
      <c r="G145" s="23">
        <f>SUMIFS($G$6:$G$138,$C$6:$C$138,$C145)</f>
        <v>0</v>
      </c>
      <c r="H145" s="23">
        <f>SUMIFS($H$6:$H$138,$C$6:$C$138,$C145)</f>
        <v>1679</v>
      </c>
      <c r="I145" s="23">
        <f>SUMIFS($I$6:$I$138,$C$6:$C$138,$C145)</f>
        <v>0</v>
      </c>
      <c r="J145" s="88">
        <f>SUM(G145:I145)</f>
        <v>1679</v>
      </c>
      <c r="K145" s="26">
        <f>INDEX($C$6:$Y$138,7,9)</f>
        <v>1679</v>
      </c>
      <c r="L145" s="47">
        <f t="shared" ref="L145:L163" si="625">VLOOKUP($C145,LOHMANN,4,FALSE)</f>
        <v>0.7</v>
      </c>
      <c r="M145" s="28">
        <f>IFERROR((J145*100)/E145,0)</f>
        <v>0.94949414978142976</v>
      </c>
      <c r="N145" s="47">
        <f>VLOOKUP($C145,LOHMANN,5,FALSE)</f>
        <v>0.7</v>
      </c>
      <c r="O145" s="47">
        <f t="shared" ref="O145:O151" si="626">IFERROR((K145*100)/E145,0)</f>
        <v>0.94949414978142976</v>
      </c>
      <c r="P145" s="464">
        <f>SUMIFS($P$6:$P$138,$C$6:$C$138,$C145)</f>
        <v>9360</v>
      </c>
      <c r="Q145" s="14">
        <f>VLOOKUP($C145,LOHMANN,6,FALSE)</f>
        <v>10</v>
      </c>
      <c r="R145" s="742">
        <f>IFERROR((P145/7/E145)*1000,0)</f>
        <v>7.5616993465108333</v>
      </c>
      <c r="S145" s="30">
        <f>INDEX($C$6:$Y$138,7,17)</f>
        <v>98.731891913577527</v>
      </c>
      <c r="T145" s="14">
        <f>VLOOKUP($C145,LOHMANN,2,FALSE)</f>
        <v>40</v>
      </c>
      <c r="U145" s="349">
        <f>INDEX($C$6:$Y$138,7,19)</f>
        <v>33</v>
      </c>
      <c r="V145" s="415">
        <f t="shared" ref="V145:V163" si="627">T145-U145</f>
        <v>7</v>
      </c>
      <c r="W145" s="14">
        <f t="shared" ref="W145:W163" si="628">VLOOKUP(C145,LOHMANN,3,FALSE)</f>
        <v>77</v>
      </c>
      <c r="X145" s="75">
        <f>INDEX($C$6:$Y$138,7,22)</f>
        <v>84</v>
      </c>
      <c r="Y145" s="609">
        <f t="shared" ref="Y145:Y163" si="629">W145-X145</f>
        <v>-7</v>
      </c>
      <c r="Z145" s="489"/>
      <c r="AA145" s="1"/>
      <c r="AB145" s="90">
        <v>0</v>
      </c>
      <c r="AC145" s="369" t="s">
        <v>53</v>
      </c>
      <c r="AD145" s="26">
        <f>INDEX($AB$6:$AX$138,5,3)</f>
        <v>0</v>
      </c>
      <c r="AE145" s="26">
        <f>INDEX($AB$6:$AX$138,7,4)</f>
        <v>0</v>
      </c>
      <c r="AF145" s="23">
        <f>SUMIFS($AF$6:$AF$138,$AB$6:$AB$138,$AB145)</f>
        <v>0</v>
      </c>
      <c r="AG145" s="23">
        <f>SUMIFS($AG$6:$AG$138,$AB$6:$AB$138,$AB145)</f>
        <v>0</v>
      </c>
      <c r="AH145" s="23">
        <f>SUMIFS($AH$6:$AH$138,$AB$6:$AB$138,$AB145)</f>
        <v>0</v>
      </c>
      <c r="AI145" s="88">
        <f>SUM(AF145:AH145)</f>
        <v>0</v>
      </c>
      <c r="AJ145" s="26">
        <f>INDEX($AB$6:$AX$138,7,9)</f>
        <v>0</v>
      </c>
      <c r="AK145" s="47">
        <f>VLOOKUP($C145,LOHMANN,4,FALSE)</f>
        <v>0.7</v>
      </c>
      <c r="AL145" s="28">
        <f>AVERAGEIFS($AL$6:$AL$138,$AB$6:$AB$138,$AB145)</f>
        <v>0</v>
      </c>
      <c r="AM145" s="47">
        <f>VLOOKUP($C145,LOHMANN,5,FALSE)</f>
        <v>0.7</v>
      </c>
      <c r="AN145" s="47">
        <f>IFERROR((AJ145*100)/AD145,0)</f>
        <v>0</v>
      </c>
      <c r="AO145" s="464">
        <f>SUMIFS($AO$6:$AO$138,$AB$6:$AB$138,$AB145)</f>
        <v>0</v>
      </c>
      <c r="AP145" s="14">
        <f>VLOOKUP($C145,LOHMANN,6,FALSE)</f>
        <v>10</v>
      </c>
      <c r="AQ145" s="23">
        <f>IFERROR(((AO145/7)/AD145)*1000,0)</f>
        <v>0</v>
      </c>
      <c r="AR145" s="30">
        <f>INDEX($AB$6:$AX$138,7,17)</f>
        <v>0</v>
      </c>
      <c r="AS145" s="14">
        <f>VLOOKUP($C145,LOHMANN,2,FALSE)</f>
        <v>40</v>
      </c>
      <c r="AT145" s="349">
        <f>INDEX($AB$6:$AX$138,7,19)</f>
        <v>0</v>
      </c>
      <c r="AU145" s="415">
        <f>AS145-AT145</f>
        <v>40</v>
      </c>
      <c r="AV145" s="14">
        <f>VLOOKUP(AB145,LOHMANN,3,FALSE)</f>
        <v>77</v>
      </c>
      <c r="AW145" s="75">
        <f>INDEX($AB$6:$AX$138,7,22)</f>
        <v>0</v>
      </c>
      <c r="AX145" s="609">
        <f t="shared" ref="AX145:AX163" si="630">AV145-AW145</f>
        <v>77</v>
      </c>
      <c r="AZ145" s="1"/>
      <c r="BA145" s="90">
        <v>0</v>
      </c>
      <c r="BB145" s="348" t="s">
        <v>54</v>
      </c>
      <c r="BC145" s="26">
        <f>INDEX($BA$6:$BW$138,8,3)</f>
        <v>119999</v>
      </c>
      <c r="BD145" s="26">
        <f>INDEX($BA$6:$BW$138,8,4)</f>
        <v>119907</v>
      </c>
      <c r="BE145" s="23">
        <f>SUMIFS($BE$6:$BE$138,$BA$6:$BA$138,$BA145)</f>
        <v>0</v>
      </c>
      <c r="BF145" s="23">
        <f>SUMIFS($BF$6:$BF$138,$BA$6:$BA$138,$BA145)</f>
        <v>70</v>
      </c>
      <c r="BG145" s="23">
        <f>SUMIFS($BG$6:$BG$138,$BA$6:$BA$138,$BA145)</f>
        <v>0</v>
      </c>
      <c r="BH145" s="88">
        <f>SUM(BE145:BG145)</f>
        <v>70</v>
      </c>
      <c r="BI145" s="26">
        <f>INDEX($BA$6:$BW$138,7,9)</f>
        <v>70</v>
      </c>
      <c r="BJ145" s="47">
        <f t="shared" ref="BJ145:BJ163" si="631">VLOOKUP($BA145,LOHMANN,4,FALSE)</f>
        <v>0.7</v>
      </c>
      <c r="BK145" s="28">
        <f>AVERAGEIFS($BK$6:$BK$138,$BA$6:$BA$138,$BA145)</f>
        <v>2.06434039849063E-2</v>
      </c>
      <c r="BL145" s="47">
        <f t="shared" ref="BL145:BL163" si="632">VLOOKUP($BA145,LOHMANN,5,FALSE)</f>
        <v>0.7</v>
      </c>
      <c r="BM145" s="27">
        <f>INDEX($BA$6:$BW$138,7,13)</f>
        <v>5.829981094204166E-2</v>
      </c>
      <c r="BN145" s="23">
        <f>SUMIFS($BN$6:$BN$138,$BA$6:$BA$138,$BA145)</f>
        <v>0</v>
      </c>
      <c r="BO145" s="14">
        <f t="shared" ref="BO145:BO163" si="633">VLOOKUP($BA145,LOHMANN,6,FALSE)</f>
        <v>10</v>
      </c>
      <c r="BP145" s="23">
        <f>IFERROR(((BN145/7)/BC145)*1000,0)</f>
        <v>0</v>
      </c>
      <c r="BQ145" s="27">
        <f>INDEX($BA$6:$BW$138,7,17)</f>
        <v>0</v>
      </c>
      <c r="BR145" s="14">
        <f t="shared" ref="BR145:BR163" si="634">VLOOKUP($BA145,LOHMANN,2,FALSE)</f>
        <v>40</v>
      </c>
      <c r="BS145" s="350">
        <f>INDEX($BA$6:$BW$138,7,19)</f>
        <v>33</v>
      </c>
      <c r="BT145" s="26">
        <f>BR145-BS145</f>
        <v>7</v>
      </c>
      <c r="BU145" s="14">
        <f t="shared" ref="BU145:BU163" si="635">VLOOKUP(BA145,LOHMANN,3,FALSE)</f>
        <v>77</v>
      </c>
      <c r="BV145" s="26">
        <f>INDEX($BA$6:$BW$138,7,22)</f>
        <v>84</v>
      </c>
      <c r="BW145" s="26">
        <f>BU145-BV145</f>
        <v>-7</v>
      </c>
      <c r="BY145" s="1"/>
      <c r="BZ145" s="90">
        <v>0</v>
      </c>
      <c r="CA145" s="348" t="s">
        <v>181</v>
      </c>
      <c r="CB145" s="26">
        <f>INDEX($BZ$6:$CV$138,1,3)</f>
        <v>0</v>
      </c>
      <c r="CC145" s="26">
        <f>INDEX($BZ$6:$CV$138,7,4)</f>
        <v>0</v>
      </c>
      <c r="CD145" s="23">
        <f>SUMIFS($CD$6:$CD$138,$BZ$6:$BZ$138,$BZ145)</f>
        <v>0</v>
      </c>
      <c r="CE145" s="23">
        <f>SUMIFS($CE$6:$CE$138,$BZ$6:$BZ$138,$BZ145)</f>
        <v>0</v>
      </c>
      <c r="CF145" s="23">
        <f>SUMIFS($CF$6:$CF$138,$BZ$6:$BZ$138,$BZ145)</f>
        <v>0</v>
      </c>
      <c r="CG145" s="88">
        <f>SUM(CD145:CF145)</f>
        <v>0</v>
      </c>
      <c r="CH145" s="26">
        <f>INDEX($BZ$6:$CV$138,7,9)</f>
        <v>0</v>
      </c>
      <c r="CI145" s="47">
        <f>VLOOKUP($BZ145,LOHMANN,4,FALSE)</f>
        <v>0.7</v>
      </c>
      <c r="CJ145" s="23">
        <f>AVERAGEIFS($CJ$6:$CJ$138,$BZ$6:$BZ$138,$BZ145)</f>
        <v>0</v>
      </c>
      <c r="CK145" s="47">
        <f>VLOOKUP($BZ145,LOHMANN,5,FALSE)</f>
        <v>0.7</v>
      </c>
      <c r="CL145" s="27">
        <f>INDEX($BZ$6:$CV$138,7,13)</f>
        <v>0</v>
      </c>
      <c r="CM145" s="23">
        <f>SUMIFS($CM$6:$CM$138,$BZ$6:$BZ$138,$BZ145)</f>
        <v>0</v>
      </c>
      <c r="CN145" s="14">
        <f>VLOOKUP($BZ145,LOHMANN,6,FALSE)</f>
        <v>10</v>
      </c>
      <c r="CO145" s="23">
        <f>AVERAGEIFS($CO$6:$CO$131,$BZ$6:$BZ$131,$BZ145)</f>
        <v>0</v>
      </c>
      <c r="CP145" s="27">
        <f>INDEX($BZ$6:$CV$138,7,17)</f>
        <v>0</v>
      </c>
      <c r="CQ145" s="14">
        <f t="shared" ref="CQ145:CQ162" si="636">VLOOKUP($BZ145,LOHMANN,2,FALSE)</f>
        <v>40</v>
      </c>
      <c r="CR145" s="351">
        <f>INDEX($BZ$6:$CV$138,7,19)</f>
        <v>0</v>
      </c>
      <c r="CS145" s="416">
        <f>CQ145-CR145</f>
        <v>40</v>
      </c>
      <c r="CT145" s="14">
        <f>VLOOKUP(BZ145,LOHMANN,3,FALSE)</f>
        <v>77</v>
      </c>
      <c r="CU145" s="29">
        <f>INDEX($BZ$6:$CV$138,7,22)</f>
        <v>0</v>
      </c>
      <c r="CV145" s="417">
        <f>CT145-CU145</f>
        <v>77</v>
      </c>
      <c r="CY145" s="90">
        <v>0</v>
      </c>
      <c r="CZ145" s="348" t="s">
        <v>182</v>
      </c>
      <c r="DA145" s="26">
        <f>INDEX($BZ$6:$CV$138,1,3)</f>
        <v>0</v>
      </c>
      <c r="DB145" s="26">
        <f>INDEX($BZ$6:$CV$138,7,4)</f>
        <v>0</v>
      </c>
      <c r="DC145" s="23">
        <f>SUMIFS($CD$6:$CD$138,$BZ$6:$BZ$138,$BZ145)</f>
        <v>0</v>
      </c>
      <c r="DD145" s="23">
        <f>SUMIFS($CE$6:$CE$138,$BZ$6:$BZ$138,$BZ145)</f>
        <v>0</v>
      </c>
      <c r="DE145" s="23">
        <f>SUMIFS($CF$6:$CF$138,$BZ$6:$BZ$138,$BZ145)</f>
        <v>0</v>
      </c>
      <c r="DF145" s="88">
        <f>SUM(DC145:DE145)</f>
        <v>0</v>
      </c>
      <c r="DG145" s="26">
        <f>INDEX($BZ$6:$CV$138,7,9)</f>
        <v>0</v>
      </c>
      <c r="DH145" s="47">
        <f>VLOOKUP($BZ145,LOHMANN,4,FALSE)</f>
        <v>0.7</v>
      </c>
      <c r="DI145" s="23">
        <f>AVERAGEIFS($CJ$6:$CJ$138,$BZ$6:$BZ$138,$BZ145)</f>
        <v>0</v>
      </c>
      <c r="DJ145" s="47">
        <f>VLOOKUP($BZ145,LOHMANN,5,FALSE)</f>
        <v>0.7</v>
      </c>
      <c r="DK145" s="27">
        <f>INDEX($BZ$6:$CV$138,7,13)</f>
        <v>0</v>
      </c>
      <c r="DL145" s="23">
        <f>SUMIFS($CM$6:$CM$138,$BZ$6:$BZ$138,$BZ145)</f>
        <v>0</v>
      </c>
      <c r="DM145" s="14">
        <f>VLOOKUP($BZ145,LOHMANN,6,FALSE)</f>
        <v>10</v>
      </c>
      <c r="DN145" s="23">
        <f>AVERAGEIFS($CO$6:$CO$131,$BZ$6:$BZ$131,$BZ145)</f>
        <v>0</v>
      </c>
      <c r="DO145" s="27">
        <f>INDEX($BZ$6:$CV$138,7,17)</f>
        <v>0</v>
      </c>
      <c r="DP145" s="14">
        <f t="shared" ref="DP145:DP162" si="637">VLOOKUP($BZ145,LOHMANN,2,FALSE)</f>
        <v>40</v>
      </c>
      <c r="DQ145" s="351">
        <f>INDEX($BZ$6:$CV$138,7,19)</f>
        <v>0</v>
      </c>
      <c r="DR145" s="416">
        <f>DP145-DQ145</f>
        <v>40</v>
      </c>
      <c r="DS145" s="14">
        <f>VLOOKUP(CY145,LOHMANN,3,FALSE)</f>
        <v>77</v>
      </c>
      <c r="DT145" s="29">
        <f>INDEX($BZ$6:$CV$138,7,22)</f>
        <v>0</v>
      </c>
      <c r="DU145" s="417">
        <f>DS145-DT145</f>
        <v>77</v>
      </c>
    </row>
    <row r="146" spans="3:125" x14ac:dyDescent="0.25">
      <c r="C146" s="25">
        <v>1</v>
      </c>
      <c r="D146" s="23" t="str">
        <f>D145</f>
        <v>CASETA 1</v>
      </c>
      <c r="E146" s="26">
        <f>INDEX($C$6:$Y$138,8,3)</f>
        <v>175152</v>
      </c>
      <c r="F146" s="26">
        <f>INDEX($C$6:$Y$138,14,4)</f>
        <v>172824</v>
      </c>
      <c r="G146" s="23">
        <f>SUMIFS($G$6:$G$138,$C$6:$C$138,$C146)</f>
        <v>0</v>
      </c>
      <c r="H146" s="23">
        <f>SUMIFS($H$6:$H$138,$C$6:$C$138,$C146)</f>
        <v>2328</v>
      </c>
      <c r="I146" s="23">
        <f>SUMIFS($I$6:$I$138,$C$6:$C$138,$C146)</f>
        <v>0</v>
      </c>
      <c r="J146" s="88">
        <f>SUM(G146:I146)</f>
        <v>2328</v>
      </c>
      <c r="K146" s="26">
        <f>INDEX($C$6:$Y$138,14,9)</f>
        <v>4007</v>
      </c>
      <c r="L146" s="47">
        <f t="shared" si="625"/>
        <v>0.7</v>
      </c>
      <c r="M146" s="28">
        <f t="shared" ref="M146:M163" si="638">IFERROR((J146*100)/E146,0)</f>
        <v>1.3291312688407784</v>
      </c>
      <c r="N146" s="47">
        <f t="shared" ref="N146:N163" si="639">VLOOKUP($C146,LOHMANN,5,FALSE)</f>
        <v>0.7</v>
      </c>
      <c r="O146" s="47">
        <f t="shared" si="626"/>
        <v>2.2877272312048964</v>
      </c>
      <c r="P146" s="464">
        <f>SUMIFS($P$6:$P$138,$C$6:$C$138,$C146)</f>
        <v>12060</v>
      </c>
      <c r="Q146" s="14">
        <f t="shared" ref="Q146:Q163" si="640">VLOOKUP($C146,LOHMANN,6,FALSE)</f>
        <v>10</v>
      </c>
      <c r="R146" s="23">
        <f>IFERROR(((P146/7)/E146)*1000,0)</f>
        <v>9.8363543828054638</v>
      </c>
      <c r="S146" s="30">
        <f>INDEX($C$6:$Y$138,14,17)</f>
        <v>168.19134415163114</v>
      </c>
      <c r="T146" s="14">
        <f t="shared" ref="T146:T163" si="641">VLOOKUP($C146,LOHMANN,2,FALSE)</f>
        <v>70</v>
      </c>
      <c r="U146" s="349">
        <f>INDEX($C$6:$Y$138,14,19)</f>
        <v>70</v>
      </c>
      <c r="V146" s="415">
        <f t="shared" si="627"/>
        <v>0</v>
      </c>
      <c r="W146" s="14">
        <f t="shared" si="628"/>
        <v>77</v>
      </c>
      <c r="X146" s="75">
        <f>INDEX($C$6:$Y$138,14,22)</f>
        <v>84</v>
      </c>
      <c r="Y146" s="609">
        <f t="shared" si="629"/>
        <v>-7</v>
      </c>
      <c r="Z146" s="489"/>
      <c r="AA146" s="1"/>
      <c r="AB146" s="25">
        <v>1</v>
      </c>
      <c r="AC146" s="23" t="str">
        <f>AC145</f>
        <v>CASETA 2</v>
      </c>
      <c r="AD146" s="26">
        <f>INDEX($AB$6:$AX$138,14,2)</f>
        <v>0</v>
      </c>
      <c r="AE146" s="26">
        <f>INDEX($AB$6:$AX$138,14,4)</f>
        <v>0</v>
      </c>
      <c r="AF146" s="23">
        <f t="shared" ref="AF146:AF163" si="642">SUMIFS($AF$6:$AF$138,$AB$6:$AB$138,$AB146)</f>
        <v>0</v>
      </c>
      <c r="AG146" s="23">
        <f t="shared" ref="AG146:AG163" si="643">SUMIFS($AG$6:$AG$138,$AB$6:$AB$138,$AB146)</f>
        <v>0</v>
      </c>
      <c r="AH146" s="23">
        <f t="shared" ref="AH146:AH163" si="644">SUMIFS($AH$6:$AH$138,$AB$6:$AB$138,$AB146)</f>
        <v>0</v>
      </c>
      <c r="AI146" s="88">
        <f t="shared" ref="AI146:AI163" si="645">SUM(AF146:AH146)</f>
        <v>0</v>
      </c>
      <c r="AJ146" s="26">
        <f>INDEX($AB$6:$AX$138,14,9)</f>
        <v>0</v>
      </c>
      <c r="AK146" s="47">
        <f t="shared" ref="AK146:AK163" si="646">VLOOKUP($C146,LOHMANN,4,FALSE)</f>
        <v>0.7</v>
      </c>
      <c r="AL146" s="28">
        <f t="shared" ref="AL146:AL163" si="647">AVERAGEIFS($AL$6:$AL$138,$AB$6:$AB$138,$AB146)</f>
        <v>0</v>
      </c>
      <c r="AM146" s="47">
        <f t="shared" ref="AM146:AM163" si="648">VLOOKUP($C146,LOHMANN,5,FALSE)</f>
        <v>0.7</v>
      </c>
      <c r="AN146" s="47">
        <f t="shared" ref="AN146:AN163" si="649">IFERROR((AJ146*100)/AD146,0)</f>
        <v>0</v>
      </c>
      <c r="AO146" s="464">
        <f t="shared" ref="AO146:AO163" si="650">SUMIFS($AO$6:$AO$138,$AB$6:$AB$138,$AB146)</f>
        <v>0</v>
      </c>
      <c r="AP146" s="14">
        <f t="shared" ref="AP146:AP163" si="651">VLOOKUP($C146,LOHMANN,6,FALSE)</f>
        <v>10</v>
      </c>
      <c r="AQ146" s="23">
        <f t="shared" ref="AQ146:AQ163" si="652">IFERROR(((AO146/7)/AD146)*1000,0)</f>
        <v>0</v>
      </c>
      <c r="AR146" s="30">
        <f>INDEX($AB$6:$AX$138,14,17)</f>
        <v>0</v>
      </c>
      <c r="AS146" s="14">
        <f t="shared" ref="AS146:AS163" si="653">VLOOKUP($C146,LOHMANN,2,FALSE)</f>
        <v>70</v>
      </c>
      <c r="AT146" s="349">
        <f>INDEX($AB$6:$AX$138,14,19)</f>
        <v>0</v>
      </c>
      <c r="AU146" s="415">
        <f t="shared" ref="AU146:AU163" si="654">AS146-AT146</f>
        <v>70</v>
      </c>
      <c r="AV146" s="14">
        <f t="shared" ref="AV146:AV163" si="655">VLOOKUP(AB146,LOHMANN,3,FALSE)</f>
        <v>77</v>
      </c>
      <c r="AW146" s="75">
        <f>INDEX($AB$6:$AX$138,14,22)</f>
        <v>0</v>
      </c>
      <c r="AX146" s="609">
        <f t="shared" si="630"/>
        <v>77</v>
      </c>
      <c r="AZ146" s="1"/>
      <c r="BA146" s="25">
        <v>1</v>
      </c>
      <c r="BB146" s="348" t="str">
        <f>BB145</f>
        <v>CASETA 3</v>
      </c>
      <c r="BC146" s="26">
        <f>INDEX($BA$6:$BW$138,8,3)</f>
        <v>119999</v>
      </c>
      <c r="BD146" s="26">
        <f>INDEX($BA$6:$BW$138,14,4)</f>
        <v>117328</v>
      </c>
      <c r="BE146" s="23">
        <f t="shared" ref="BE146:BE163" si="656">SUMIFS($BE$6:$BE$138,$BA$6:$BA$138,$BA146)</f>
        <v>0</v>
      </c>
      <c r="BF146" s="23">
        <f t="shared" ref="BF146:BF163" si="657">SUMIFS($BF$6:$BF$138,$BA$6:$BA$138,$BA146)</f>
        <v>2671</v>
      </c>
      <c r="BG146" s="23">
        <f t="shared" ref="BG146:BG163" si="658">SUMIFS($BG$6:$BG$138,$BA$6:$BA$138,$BA146)</f>
        <v>0</v>
      </c>
      <c r="BH146" s="88">
        <f t="shared" ref="BH146:BH163" si="659">SUM(BE146:BG146)</f>
        <v>2671</v>
      </c>
      <c r="BI146" s="26">
        <f>INDEX($BA$6:$BW$138,14,9)</f>
        <v>2741</v>
      </c>
      <c r="BJ146" s="47">
        <f t="shared" si="631"/>
        <v>0.7</v>
      </c>
      <c r="BK146" s="28">
        <f t="shared" ref="BK146:BK163" si="660">AVERAGEIFS($BK$6:$BK$138,$BA$6:$BA$138,$BA146)</f>
        <v>0.32088044903134644</v>
      </c>
      <c r="BL146" s="47">
        <f t="shared" si="632"/>
        <v>0.7</v>
      </c>
      <c r="BM146" s="27">
        <f>INDEX($BA$6:$BW$138,14,13)</f>
        <v>2.2828540256019454</v>
      </c>
      <c r="BN146" s="23">
        <f t="shared" ref="BN146:BN163" si="661">SUMIFS($BN$6:$BN$138,$BA$6:$BA$138,$BA146)</f>
        <v>10440</v>
      </c>
      <c r="BO146" s="14">
        <f t="shared" si="633"/>
        <v>10</v>
      </c>
      <c r="BP146" s="23">
        <f t="shared" ref="BP146:BP163" si="662">IFERROR(((BN146/7)/BC146)*1000,0)</f>
        <v>12.428675000863102</v>
      </c>
      <c r="BQ146" s="27">
        <f>INDEX($BA$6:$BW$138,14,17)</f>
        <v>87.749581429748446</v>
      </c>
      <c r="BR146" s="14">
        <f t="shared" si="634"/>
        <v>70</v>
      </c>
      <c r="BS146" s="350">
        <f>INDEX($BA$6:$BW$138,14,19)</f>
        <v>68</v>
      </c>
      <c r="BT146" s="26">
        <f>BR146-BS146</f>
        <v>2</v>
      </c>
      <c r="BU146" s="14">
        <f t="shared" si="635"/>
        <v>77</v>
      </c>
      <c r="BV146" s="26">
        <f>INDEX($BA$6:$BW$138,14,22)</f>
        <v>75</v>
      </c>
      <c r="BW146" s="26">
        <f>BU146-BV146</f>
        <v>2</v>
      </c>
      <c r="BY146" s="1"/>
      <c r="BZ146" s="25">
        <v>1</v>
      </c>
      <c r="CA146" s="348" t="str">
        <f>CA145</f>
        <v>CASETA G1</v>
      </c>
      <c r="CB146" s="26">
        <f>INDEX($BZ$6:$CV$138,8,3)</f>
        <v>0</v>
      </c>
      <c r="CC146" s="26">
        <f>INDEX($BZ$6:$CV$138,14,4)</f>
        <v>0</v>
      </c>
      <c r="CD146" s="23">
        <f t="shared" ref="CD146:CD162" si="663">SUMIFS($CD$6:$CD$138,$BZ$6:$BZ$138,$BZ146)</f>
        <v>0</v>
      </c>
      <c r="CE146" s="23">
        <f t="shared" ref="CE146:CE163" si="664">SUMIFS($CE$6:$CE$138,$BZ$6:$BZ$138,$BZ146)</f>
        <v>0</v>
      </c>
      <c r="CF146" s="23">
        <f t="shared" ref="CF146:CF163" si="665">SUMIFS($CF$6:$CF$138,$BZ$6:$BZ$138,$BZ146)</f>
        <v>0</v>
      </c>
      <c r="CG146" s="88">
        <f t="shared" ref="CG146:CG163" si="666">SUM(CD146:CF146)</f>
        <v>0</v>
      </c>
      <c r="CH146" s="26">
        <f>INDEX($BZ$6:$CV$138,14,9)</f>
        <v>0</v>
      </c>
      <c r="CI146" s="47">
        <f t="shared" ref="CI146:CI163" si="667">VLOOKUP($BZ146,LOHMANN,4,FALSE)</f>
        <v>0.7</v>
      </c>
      <c r="CJ146" s="23">
        <f>AVERAGEIFS($CJ$6:$CJ$138,$BZ$6:$BZ$138,$BZ146)</f>
        <v>0</v>
      </c>
      <c r="CK146" s="47">
        <f t="shared" ref="CK146:CK163" si="668">VLOOKUP($BZ146,LOHMANN,5,FALSE)</f>
        <v>0.7</v>
      </c>
      <c r="CL146" s="27">
        <f>INDEX($BZ$6:$CV$138,14,13)</f>
        <v>0</v>
      </c>
      <c r="CM146" s="23">
        <f t="shared" ref="CM146:CM163" si="669">SUMIFS($CM$6:$CM$138,$BZ$6:$BZ$138,$BZ146)</f>
        <v>0</v>
      </c>
      <c r="CN146" s="14">
        <f t="shared" ref="CN146:CN163" si="670">VLOOKUP($BZ146,LOHMANN,6,FALSE)</f>
        <v>10</v>
      </c>
      <c r="CO146" s="23">
        <f>AVERAGEIFS($CO$6:$CO$131,$BZ$6:$BZ$131,$BZ146)</f>
        <v>0</v>
      </c>
      <c r="CP146" s="27">
        <f>INDEX($BZ$6:$CV$138,14,17)</f>
        <v>0</v>
      </c>
      <c r="CQ146" s="14">
        <f t="shared" si="636"/>
        <v>70</v>
      </c>
      <c r="CR146" s="351">
        <f>INDEX($BZ$6:$CV$138,14,19)</f>
        <v>0</v>
      </c>
      <c r="CS146" s="416">
        <f t="shared" ref="CS146:CS163" si="671">CQ146-CR146</f>
        <v>70</v>
      </c>
      <c r="CT146" s="14">
        <f t="shared" ref="CT146:CT162" si="672">VLOOKUP(BZ146,LOHMANN,3,FALSE)</f>
        <v>77</v>
      </c>
      <c r="CU146" s="29">
        <f>INDEX($BZ$6:$CV$138,14,22)</f>
        <v>0</v>
      </c>
      <c r="CV146" s="417">
        <f t="shared" ref="CV146:CV163" si="673">CT146-CU146</f>
        <v>77</v>
      </c>
      <c r="CY146" s="25">
        <v>1</v>
      </c>
      <c r="CZ146" s="348" t="str">
        <f>CZ145</f>
        <v>CASETA G2</v>
      </c>
      <c r="DA146" s="26">
        <f>INDEX($BZ$6:$CV$138,8,3)</f>
        <v>0</v>
      </c>
      <c r="DB146" s="26">
        <f>INDEX($BZ$6:$CV$138,14,4)</f>
        <v>0</v>
      </c>
      <c r="DC146" s="23">
        <f t="shared" ref="DC146:DC155" si="674">SUMIFS($CD$6:$CD$138,$BZ$6:$BZ$138,$BZ146)</f>
        <v>0</v>
      </c>
      <c r="DD146" s="23">
        <f t="shared" ref="DD146:DD155" si="675">SUMIFS($CE$6:$CE$138,$BZ$6:$BZ$138,$BZ146)</f>
        <v>0</v>
      </c>
      <c r="DE146" s="23">
        <f t="shared" ref="DE146:DE155" si="676">SUMIFS($CF$6:$CF$138,$BZ$6:$BZ$138,$BZ146)</f>
        <v>0</v>
      </c>
      <c r="DF146" s="88">
        <f t="shared" ref="DF146:DF148" si="677">SUM(DC146:DE146)</f>
        <v>0</v>
      </c>
      <c r="DG146" s="26">
        <f>INDEX($BZ$6:$CV$138,14,9)</f>
        <v>0</v>
      </c>
      <c r="DH146" s="47">
        <f t="shared" ref="DH146:DH163" si="678">VLOOKUP($BZ146,LOHMANN,4,FALSE)</f>
        <v>0.7</v>
      </c>
      <c r="DI146" s="23">
        <f>AVERAGEIFS($CJ$6:$CJ$138,$BZ$6:$BZ$138,$BZ146)</f>
        <v>0</v>
      </c>
      <c r="DJ146" s="47">
        <f t="shared" ref="DJ146:DJ163" si="679">VLOOKUP($BZ146,LOHMANN,5,FALSE)</f>
        <v>0.7</v>
      </c>
      <c r="DK146" s="27">
        <f>INDEX($BZ$6:$CV$138,14,13)</f>
        <v>0</v>
      </c>
      <c r="DL146" s="23">
        <f t="shared" ref="DL146:DL155" si="680">SUMIFS($CM$6:$CM$138,$BZ$6:$BZ$138,$BZ146)</f>
        <v>0</v>
      </c>
      <c r="DM146" s="14">
        <f t="shared" ref="DM146:DM163" si="681">VLOOKUP($BZ146,LOHMANN,6,FALSE)</f>
        <v>10</v>
      </c>
      <c r="DN146" s="23">
        <f>AVERAGEIFS($CO$6:$CO$131,$BZ$6:$BZ$131,$BZ146)</f>
        <v>0</v>
      </c>
      <c r="DO146" s="27">
        <f>INDEX($BZ$6:$CV$138,14,17)</f>
        <v>0</v>
      </c>
      <c r="DP146" s="14">
        <f t="shared" si="637"/>
        <v>70</v>
      </c>
      <c r="DQ146" s="351">
        <f>INDEX($BZ$6:$CV$138,14,19)</f>
        <v>0</v>
      </c>
      <c r="DR146" s="416">
        <f t="shared" ref="DR146:DR162" si="682">DP146-DQ146</f>
        <v>70</v>
      </c>
      <c r="DS146" s="14">
        <f t="shared" ref="DS146:DS162" si="683">VLOOKUP(CY146,LOHMANN,3,FALSE)</f>
        <v>77</v>
      </c>
      <c r="DT146" s="29">
        <f>INDEX($BZ$6:$CV$138,14,22)</f>
        <v>0</v>
      </c>
      <c r="DU146" s="417">
        <f t="shared" ref="DU146:DU162" si="684">DS146-DT146</f>
        <v>77</v>
      </c>
    </row>
    <row r="147" spans="3:125" x14ac:dyDescent="0.25">
      <c r="C147" s="25">
        <v>2</v>
      </c>
      <c r="D147" s="23" t="str">
        <f t="shared" ref="D147:D163" si="685">D146</f>
        <v>CASETA 1</v>
      </c>
      <c r="E147" s="26">
        <f>INDEX($C$6:$Y$138,15,3)</f>
        <v>172824</v>
      </c>
      <c r="F147" s="26">
        <f>INDEX($C$6:$Y$138,21,4)</f>
        <v>172237</v>
      </c>
      <c r="G147" s="23">
        <f t="shared" ref="G147:G163" si="686">SUMIFS($G$6:$G$138,$C$6:$C$138,$C147)</f>
        <v>0</v>
      </c>
      <c r="H147" s="23">
        <f t="shared" ref="H147:H163" si="687">SUMIFS($H$6:$H$138,$C$6:$C$138,$C147)</f>
        <v>587</v>
      </c>
      <c r="I147" s="23">
        <f t="shared" ref="I147:I163" si="688">SUMIFS($I$6:$I$138,$C$6:$C$138,$C147)</f>
        <v>0</v>
      </c>
      <c r="J147" s="88">
        <f t="shared" ref="J147:J162" si="689">SUM(G147:I147)</f>
        <v>587</v>
      </c>
      <c r="K147" s="26">
        <f>INDEX($C$6:$Y$138,21,9)</f>
        <v>4594</v>
      </c>
      <c r="L147" s="47">
        <f t="shared" si="625"/>
        <v>0.7</v>
      </c>
      <c r="M147" s="28">
        <f t="shared" si="638"/>
        <v>0.33965190019904645</v>
      </c>
      <c r="N147" s="47">
        <f t="shared" si="639"/>
        <v>1.4</v>
      </c>
      <c r="O147" s="47">
        <f t="shared" si="626"/>
        <v>2.6581956209785678</v>
      </c>
      <c r="P147" s="464">
        <f t="shared" ref="P147:P163" si="690">SUMIFS($P$6:$P$138,$C$6:$C$138,$C147)</f>
        <v>21942</v>
      </c>
      <c r="Q147" s="14">
        <f t="shared" si="640"/>
        <v>17</v>
      </c>
      <c r="R147" s="23">
        <f t="shared" ref="R147:R163" si="691">IFERROR(((P147/7)/E147)*1000,0)</f>
        <v>18.137361874342851</v>
      </c>
      <c r="S147" s="30">
        <f>INDEX($C$6:$Y$138,21,17)</f>
        <v>295.38347760061936</v>
      </c>
      <c r="T147" s="14">
        <f t="shared" si="641"/>
        <v>120</v>
      </c>
      <c r="U147" s="349">
        <f>INDEX($C$6:$Y$138,21,19)</f>
        <v>122</v>
      </c>
      <c r="V147" s="415">
        <f t="shared" si="627"/>
        <v>-2</v>
      </c>
      <c r="W147" s="14">
        <f t="shared" si="628"/>
        <v>77</v>
      </c>
      <c r="X147" s="75">
        <f>INDEX($C$6:$Y$138,21,22)</f>
        <v>65</v>
      </c>
      <c r="Y147" s="609">
        <f t="shared" si="629"/>
        <v>12</v>
      </c>
      <c r="Z147" s="489"/>
      <c r="AA147" s="1"/>
      <c r="AB147" s="25">
        <v>2</v>
      </c>
      <c r="AC147" s="23" t="str">
        <f t="shared" ref="AC147:AC163" si="692">AC146</f>
        <v>CASETA 2</v>
      </c>
      <c r="AD147" s="26">
        <f>INDEX($AB$6:$AX$138,15,3)</f>
        <v>0</v>
      </c>
      <c r="AE147" s="26">
        <f>INDEX($AB$6:$AX$138,21,4)</f>
        <v>0</v>
      </c>
      <c r="AF147" s="23">
        <f t="shared" si="642"/>
        <v>0</v>
      </c>
      <c r="AG147" s="23">
        <f t="shared" si="643"/>
        <v>0</v>
      </c>
      <c r="AH147" s="23">
        <f t="shared" si="644"/>
        <v>0</v>
      </c>
      <c r="AI147" s="88">
        <f t="shared" si="645"/>
        <v>0</v>
      </c>
      <c r="AJ147" s="26">
        <f>INDEX($AB$6:$AX$138,21,9)</f>
        <v>0</v>
      </c>
      <c r="AK147" s="47">
        <f t="shared" si="646"/>
        <v>0.7</v>
      </c>
      <c r="AL147" s="28">
        <f t="shared" si="647"/>
        <v>0</v>
      </c>
      <c r="AM147" s="47">
        <f t="shared" si="648"/>
        <v>1.4</v>
      </c>
      <c r="AN147" s="47">
        <f t="shared" si="649"/>
        <v>0</v>
      </c>
      <c r="AO147" s="464">
        <f t="shared" si="650"/>
        <v>0</v>
      </c>
      <c r="AP147" s="14">
        <f t="shared" si="651"/>
        <v>17</v>
      </c>
      <c r="AQ147" s="23">
        <f>IFERROR(((AO147/7)/AD147)*1000,0)</f>
        <v>0</v>
      </c>
      <c r="AR147" s="30">
        <f>INDEX($AB$6:$AX$138,21,17)</f>
        <v>0</v>
      </c>
      <c r="AS147" s="14">
        <f t="shared" si="653"/>
        <v>120</v>
      </c>
      <c r="AT147" s="349">
        <f>INDEX($AB$6:$AX$138,21,19)</f>
        <v>0</v>
      </c>
      <c r="AU147" s="415">
        <f t="shared" si="654"/>
        <v>120</v>
      </c>
      <c r="AV147" s="14">
        <f t="shared" si="655"/>
        <v>77</v>
      </c>
      <c r="AW147" s="75">
        <f>INDEX($AB$6:$AX$138,21,22)</f>
        <v>0</v>
      </c>
      <c r="AX147" s="609">
        <f t="shared" si="630"/>
        <v>77</v>
      </c>
      <c r="AZ147" s="1"/>
      <c r="BA147" s="25">
        <v>2</v>
      </c>
      <c r="BB147" s="25" t="str">
        <f>BB146</f>
        <v>CASETA 3</v>
      </c>
      <c r="BC147" s="26">
        <f>INDEX($BA$6:$BW$138,15,3)</f>
        <v>117328</v>
      </c>
      <c r="BD147" s="26">
        <f>INDEX($BA$6:$BW$138,21,4)</f>
        <v>116336</v>
      </c>
      <c r="BE147" s="23">
        <f t="shared" si="656"/>
        <v>0</v>
      </c>
      <c r="BF147" s="23">
        <f>SUMIFS($BF$6:$BF$138,$BA$6:$BA$138,$BA147)</f>
        <v>992</v>
      </c>
      <c r="BG147" s="23">
        <f t="shared" si="658"/>
        <v>0</v>
      </c>
      <c r="BH147" s="88">
        <f t="shared" si="659"/>
        <v>992</v>
      </c>
      <c r="BI147" s="26">
        <f>INDEX($BA$6:$BW$138,21,9)</f>
        <v>3733</v>
      </c>
      <c r="BJ147" s="47">
        <f t="shared" si="631"/>
        <v>0.7</v>
      </c>
      <c r="BK147" s="28">
        <f t="shared" si="660"/>
        <v>0.12119147600684207</v>
      </c>
      <c r="BL147" s="47">
        <f t="shared" si="632"/>
        <v>1.4</v>
      </c>
      <c r="BM147" s="27">
        <f>INDEX($BA$6:$BW$138,21,13)</f>
        <v>3.1090456320948787</v>
      </c>
      <c r="BN147" s="23">
        <f t="shared" si="661"/>
        <v>20520</v>
      </c>
      <c r="BO147" s="14">
        <f t="shared" si="633"/>
        <v>17</v>
      </c>
      <c r="BP147" s="23">
        <f t="shared" si="662"/>
        <v>24.984901911125831</v>
      </c>
      <c r="BQ147" s="27">
        <f>INDEX($BA$6:$BW$138,21,17)</f>
        <v>263.50228096393801</v>
      </c>
      <c r="BR147" s="14">
        <f t="shared" si="634"/>
        <v>120</v>
      </c>
      <c r="BS147" s="350">
        <f>INDEX($BA$6:$BW$138,21,19)</f>
        <v>120</v>
      </c>
      <c r="BT147" s="26">
        <f t="shared" ref="BT147:BT163" si="693">BR147-BS147</f>
        <v>0</v>
      </c>
      <c r="BU147" s="14">
        <f t="shared" si="635"/>
        <v>77</v>
      </c>
      <c r="BV147" s="26">
        <f>INDEX($BA$6:$BW$138,21,22)</f>
        <v>81</v>
      </c>
      <c r="BW147" s="26">
        <f>BU147-BV147</f>
        <v>-4</v>
      </c>
      <c r="BY147" s="1"/>
      <c r="BZ147" s="25">
        <v>2</v>
      </c>
      <c r="CA147" s="25" t="str">
        <f>CA146</f>
        <v>CASETA G1</v>
      </c>
      <c r="CB147" s="26">
        <f>INDEX($BZ$6:$CV$138,15,3)</f>
        <v>0</v>
      </c>
      <c r="CC147" s="26">
        <f>INDEX($BZ$6:$CV$138,21,4)</f>
        <v>0</v>
      </c>
      <c r="CD147" s="23">
        <f t="shared" si="663"/>
        <v>0</v>
      </c>
      <c r="CE147" s="23">
        <f t="shared" si="664"/>
        <v>0</v>
      </c>
      <c r="CF147" s="23">
        <f t="shared" si="665"/>
        <v>0</v>
      </c>
      <c r="CG147" s="88">
        <f t="shared" si="666"/>
        <v>0</v>
      </c>
      <c r="CH147" s="26">
        <f>INDEX($BZ$6:$CV$138,21,9)</f>
        <v>0</v>
      </c>
      <c r="CI147" s="47">
        <f t="shared" si="667"/>
        <v>0.7</v>
      </c>
      <c r="CJ147" s="23">
        <f t="shared" ref="CJ147:CJ163" si="694">AVERAGEIFS($CJ$6:$CJ$138,$BZ$6:$BZ$138,$BZ147)</f>
        <v>0</v>
      </c>
      <c r="CK147" s="47">
        <f t="shared" si="668"/>
        <v>1.4</v>
      </c>
      <c r="CL147" s="27">
        <f>INDEX($BZ$6:$CV$138,21,13)</f>
        <v>0</v>
      </c>
      <c r="CM147" s="23">
        <f t="shared" si="669"/>
        <v>0</v>
      </c>
      <c r="CN147" s="14">
        <f t="shared" si="670"/>
        <v>17</v>
      </c>
      <c r="CO147" s="23">
        <f t="shared" ref="CO147:CO154" si="695">AVERAGEIFS($CO$6:$CO$131,$BZ$6:$BZ$131,$BZ147)</f>
        <v>0</v>
      </c>
      <c r="CP147" s="27">
        <f>INDEX($BZ$6:$CV$138,21,17)</f>
        <v>0</v>
      </c>
      <c r="CQ147" s="14">
        <f t="shared" si="636"/>
        <v>120</v>
      </c>
      <c r="CR147" s="351">
        <f>INDEX($BZ$6:$CV$138,21,19)</f>
        <v>0</v>
      </c>
      <c r="CS147" s="416">
        <f t="shared" si="671"/>
        <v>120</v>
      </c>
      <c r="CT147" s="14">
        <f t="shared" si="672"/>
        <v>77</v>
      </c>
      <c r="CU147" s="29">
        <f>INDEX($BZ$6:$CV$138,21,22)</f>
        <v>0</v>
      </c>
      <c r="CV147" s="417">
        <f t="shared" si="673"/>
        <v>77</v>
      </c>
      <c r="CY147" s="25">
        <v>2</v>
      </c>
      <c r="CZ147" s="25" t="str">
        <f>CZ146</f>
        <v>CASETA G2</v>
      </c>
      <c r="DA147" s="26">
        <f>INDEX($BZ$6:$CV$138,15,3)</f>
        <v>0</v>
      </c>
      <c r="DB147" s="26">
        <f>INDEX($BZ$6:$CV$138,21,4)</f>
        <v>0</v>
      </c>
      <c r="DC147" s="23">
        <f t="shared" si="674"/>
        <v>0</v>
      </c>
      <c r="DD147" s="23">
        <f t="shared" si="675"/>
        <v>0</v>
      </c>
      <c r="DE147" s="23">
        <f t="shared" si="676"/>
        <v>0</v>
      </c>
      <c r="DF147" s="88">
        <f t="shared" si="677"/>
        <v>0</v>
      </c>
      <c r="DG147" s="26">
        <f>INDEX($BZ$6:$CV$138,21,9)</f>
        <v>0</v>
      </c>
      <c r="DH147" s="47">
        <f t="shared" si="678"/>
        <v>0.7</v>
      </c>
      <c r="DI147" s="23">
        <f t="shared" ref="DI147:DI155" si="696">AVERAGEIFS($CJ$6:$CJ$138,$BZ$6:$BZ$138,$BZ147)</f>
        <v>0</v>
      </c>
      <c r="DJ147" s="47">
        <f t="shared" si="679"/>
        <v>1.4</v>
      </c>
      <c r="DK147" s="27">
        <f>INDEX($BZ$6:$CV$138,21,13)</f>
        <v>0</v>
      </c>
      <c r="DL147" s="23">
        <f t="shared" si="680"/>
        <v>0</v>
      </c>
      <c r="DM147" s="14">
        <f t="shared" si="681"/>
        <v>17</v>
      </c>
      <c r="DN147" s="23">
        <f t="shared" ref="DN147:DN155" si="697">AVERAGEIFS($CO$6:$CO$131,$BZ$6:$BZ$131,$BZ147)</f>
        <v>0</v>
      </c>
      <c r="DO147" s="27">
        <f>INDEX($BZ$6:$CV$138,21,17)</f>
        <v>0</v>
      </c>
      <c r="DP147" s="14">
        <f t="shared" si="637"/>
        <v>120</v>
      </c>
      <c r="DQ147" s="351">
        <f>INDEX($BZ$6:$CV$138,21,19)</f>
        <v>0</v>
      </c>
      <c r="DR147" s="416">
        <f t="shared" si="682"/>
        <v>120</v>
      </c>
      <c r="DS147" s="14">
        <f t="shared" si="683"/>
        <v>77</v>
      </c>
      <c r="DT147" s="29">
        <f>INDEX($BZ$6:$CV$138,21,22)</f>
        <v>0</v>
      </c>
      <c r="DU147" s="417">
        <f t="shared" si="684"/>
        <v>77</v>
      </c>
    </row>
    <row r="148" spans="3:125" x14ac:dyDescent="0.25">
      <c r="C148" s="25">
        <v>3</v>
      </c>
      <c r="D148" s="23" t="str">
        <f t="shared" si="685"/>
        <v>CASETA 1</v>
      </c>
      <c r="E148" s="26">
        <f>INDEX($C$6:$Y$138,25,3)</f>
        <v>171956</v>
      </c>
      <c r="F148" s="26">
        <f>INDEX($C$6:$Y$138,28,4)</f>
        <v>171956</v>
      </c>
      <c r="G148" s="23">
        <f t="shared" si="686"/>
        <v>0</v>
      </c>
      <c r="H148" s="23">
        <f t="shared" si="687"/>
        <v>281</v>
      </c>
      <c r="I148" s="23">
        <f t="shared" si="688"/>
        <v>0</v>
      </c>
      <c r="J148" s="88">
        <f t="shared" si="689"/>
        <v>281</v>
      </c>
      <c r="K148" s="26">
        <f>INDEX($C$6:$Y$138,28,9)</f>
        <v>4875</v>
      </c>
      <c r="L148" s="47">
        <f t="shared" si="625"/>
        <v>0.5</v>
      </c>
      <c r="M148" s="28">
        <f t="shared" si="638"/>
        <v>0.16341389657819441</v>
      </c>
      <c r="N148" s="47">
        <f t="shared" si="639"/>
        <v>1.9</v>
      </c>
      <c r="O148" s="47">
        <f t="shared" si="626"/>
        <v>2.8350275651910954</v>
      </c>
      <c r="P148" s="464">
        <f t="shared" si="690"/>
        <v>5751</v>
      </c>
      <c r="Q148" s="14">
        <f t="shared" si="640"/>
        <v>23</v>
      </c>
      <c r="R148" s="23">
        <f t="shared" si="691"/>
        <v>4.7778003010736967</v>
      </c>
      <c r="S148" s="30">
        <f>INDEX($C$6:$Y$138,28,17)</f>
        <v>328.79467076367098</v>
      </c>
      <c r="T148" s="14">
        <f t="shared" si="641"/>
        <v>185</v>
      </c>
      <c r="U148" s="349">
        <f>INDEX($C$6:$Y$138,28,19)</f>
        <v>178</v>
      </c>
      <c r="V148" s="415">
        <f t="shared" si="627"/>
        <v>7</v>
      </c>
      <c r="W148" s="14">
        <f t="shared" si="628"/>
        <v>77</v>
      </c>
      <c r="X148" s="75">
        <f>INDEX($C$6:$Y$138,28,22)</f>
        <v>67</v>
      </c>
      <c r="Y148" s="609">
        <f t="shared" si="629"/>
        <v>10</v>
      </c>
      <c r="Z148" s="489"/>
      <c r="AA148" s="1"/>
      <c r="AB148" s="25">
        <v>3</v>
      </c>
      <c r="AC148" s="23" t="str">
        <f t="shared" si="692"/>
        <v>CASETA 2</v>
      </c>
      <c r="AD148" s="26">
        <f>INDEX($AB$6:$AX$138,22,3)</f>
        <v>0</v>
      </c>
      <c r="AE148" s="26">
        <f>INDEX($AB$6:$AX$138,28,4)</f>
        <v>0</v>
      </c>
      <c r="AF148" s="23">
        <f t="shared" si="642"/>
        <v>0</v>
      </c>
      <c r="AG148" s="23">
        <f t="shared" si="643"/>
        <v>0</v>
      </c>
      <c r="AH148" s="23">
        <f t="shared" si="644"/>
        <v>0</v>
      </c>
      <c r="AI148" s="88">
        <f t="shared" si="645"/>
        <v>0</v>
      </c>
      <c r="AJ148" s="26">
        <f>INDEX($AB$6:$AX$138,28,9)</f>
        <v>0</v>
      </c>
      <c r="AK148" s="47">
        <f t="shared" si="646"/>
        <v>0.5</v>
      </c>
      <c r="AL148" s="28">
        <f t="shared" si="647"/>
        <v>0</v>
      </c>
      <c r="AM148" s="47">
        <f t="shared" si="648"/>
        <v>1.9</v>
      </c>
      <c r="AN148" s="47">
        <f t="shared" si="649"/>
        <v>0</v>
      </c>
      <c r="AO148" s="464">
        <f t="shared" si="650"/>
        <v>0</v>
      </c>
      <c r="AP148" s="14">
        <f t="shared" si="651"/>
        <v>23</v>
      </c>
      <c r="AQ148" s="23">
        <f>IFERROR(((AO148/7)/AD148)*1000,0)</f>
        <v>0</v>
      </c>
      <c r="AR148" s="30">
        <f>INDEX($AB$6:$AX$138,28,17)</f>
        <v>0</v>
      </c>
      <c r="AS148" s="14">
        <f>VLOOKUP($C148,LOHMANN,2,FALSE)</f>
        <v>185</v>
      </c>
      <c r="AT148" s="349">
        <f>INDEX($AB$6:$AX$138,28,19)</f>
        <v>0</v>
      </c>
      <c r="AU148" s="415">
        <f t="shared" si="654"/>
        <v>185</v>
      </c>
      <c r="AV148" s="14">
        <f t="shared" si="655"/>
        <v>77</v>
      </c>
      <c r="AW148" s="75">
        <f>INDEX($AB$6:$AX$138,28,22)</f>
        <v>0</v>
      </c>
      <c r="AX148" s="609">
        <f t="shared" si="630"/>
        <v>77</v>
      </c>
      <c r="AZ148" s="1"/>
      <c r="BA148" s="25">
        <v>3</v>
      </c>
      <c r="BB148" s="25" t="str">
        <f t="shared" ref="BB148:BB163" si="698">BB147</f>
        <v>CASETA 3</v>
      </c>
      <c r="BC148" s="26">
        <f>INDEX($BA$6:$BW$138,22,3)</f>
        <v>116336</v>
      </c>
      <c r="BD148" s="26">
        <f>INDEX($BA$6:$BW$138,28,4)</f>
        <v>116143</v>
      </c>
      <c r="BE148" s="23">
        <f t="shared" si="656"/>
        <v>0</v>
      </c>
      <c r="BF148" s="23">
        <f t="shared" si="657"/>
        <v>193</v>
      </c>
      <c r="BG148" s="23">
        <f t="shared" si="658"/>
        <v>0</v>
      </c>
      <c r="BH148" s="88">
        <f t="shared" si="659"/>
        <v>193</v>
      </c>
      <c r="BI148" s="26">
        <f>INDEX($BA$6:$BW$138,28,9)</f>
        <v>3926</v>
      </c>
      <c r="BJ148" s="47">
        <f t="shared" si="631"/>
        <v>0.5</v>
      </c>
      <c r="BK148" s="28">
        <f t="shared" si="660"/>
        <v>2.3709662420795839E-2</v>
      </c>
      <c r="BL148" s="47">
        <f t="shared" si="632"/>
        <v>1.9</v>
      </c>
      <c r="BM148" s="27">
        <f>INDEX($BA$6:$BW$138,28,13)</f>
        <v>3.2697865394065078</v>
      </c>
      <c r="BN148" s="23">
        <f t="shared" si="661"/>
        <v>5940</v>
      </c>
      <c r="BO148" s="14">
        <f t="shared" si="633"/>
        <v>23</v>
      </c>
      <c r="BP148" s="23">
        <f t="shared" si="662"/>
        <v>7.2941430732656141</v>
      </c>
      <c r="BQ148" s="27">
        <f>INDEX($BA$6:$BW$138,28,17)</f>
        <v>314.58428346602915</v>
      </c>
      <c r="BR148" s="14">
        <f t="shared" si="634"/>
        <v>185</v>
      </c>
      <c r="BS148" s="350">
        <f>INDEX($BA$6:$BW$138,28,19)</f>
        <v>0</v>
      </c>
      <c r="BT148" s="26">
        <f t="shared" si="693"/>
        <v>185</v>
      </c>
      <c r="BU148" s="14">
        <f t="shared" si="635"/>
        <v>77</v>
      </c>
      <c r="BV148" s="26">
        <f>INDEX($BA$6:$BW$138,28,22)</f>
        <v>0</v>
      </c>
      <c r="BW148" s="26">
        <f>BU148-BV148</f>
        <v>77</v>
      </c>
      <c r="BY148" s="1"/>
      <c r="BZ148" s="25">
        <v>3</v>
      </c>
      <c r="CA148" s="25" t="str">
        <f t="shared" ref="CA148:CA163" si="699">CA147</f>
        <v>CASETA G1</v>
      </c>
      <c r="CB148" s="26">
        <f>INDEX($BZ$6:$CV$138,22,3)</f>
        <v>0</v>
      </c>
      <c r="CC148" s="26">
        <f>INDEX($BZ$6:$CV$138,28,4)</f>
        <v>0</v>
      </c>
      <c r="CD148" s="23">
        <f t="shared" si="663"/>
        <v>0</v>
      </c>
      <c r="CE148" s="23">
        <f t="shared" si="664"/>
        <v>0</v>
      </c>
      <c r="CF148" s="23">
        <f t="shared" si="665"/>
        <v>0</v>
      </c>
      <c r="CG148" s="88">
        <f t="shared" si="666"/>
        <v>0</v>
      </c>
      <c r="CH148" s="26">
        <f>INDEX($BZ$6:$CV$138,28,9)</f>
        <v>0</v>
      </c>
      <c r="CI148" s="47">
        <f t="shared" si="667"/>
        <v>0.5</v>
      </c>
      <c r="CJ148" s="23">
        <f t="shared" si="694"/>
        <v>0</v>
      </c>
      <c r="CK148" s="47">
        <f t="shared" si="668"/>
        <v>1.9</v>
      </c>
      <c r="CL148" s="27">
        <f>INDEX($BZ$6:$CV$138,28,13)</f>
        <v>0</v>
      </c>
      <c r="CM148" s="23">
        <f t="shared" si="669"/>
        <v>0</v>
      </c>
      <c r="CN148" s="14">
        <f t="shared" si="670"/>
        <v>23</v>
      </c>
      <c r="CO148" s="23">
        <f t="shared" si="695"/>
        <v>0</v>
      </c>
      <c r="CP148" s="27">
        <f>INDEX($BZ$6:$CV$138,28,17)</f>
        <v>0</v>
      </c>
      <c r="CQ148" s="14">
        <f t="shared" si="636"/>
        <v>185</v>
      </c>
      <c r="CR148" s="351">
        <f>INDEX($BZ$6:$CV$138,28,19)</f>
        <v>0</v>
      </c>
      <c r="CS148" s="416">
        <f t="shared" si="671"/>
        <v>185</v>
      </c>
      <c r="CT148" s="14">
        <f t="shared" si="672"/>
        <v>77</v>
      </c>
      <c r="CU148" s="29">
        <f>INDEX($BZ$6:$CV$138,28,22)</f>
        <v>0</v>
      </c>
      <c r="CV148" s="417">
        <f t="shared" si="673"/>
        <v>77</v>
      </c>
      <c r="CY148" s="25">
        <v>3</v>
      </c>
      <c r="CZ148" s="25" t="str">
        <f t="shared" ref="CZ148:CZ163" si="700">CZ147</f>
        <v>CASETA G2</v>
      </c>
      <c r="DA148" s="26">
        <f>INDEX($BZ$6:$CV$138,22,3)</f>
        <v>0</v>
      </c>
      <c r="DB148" s="26">
        <f>INDEX($BZ$6:$CV$138,28,4)</f>
        <v>0</v>
      </c>
      <c r="DC148" s="23">
        <f t="shared" si="674"/>
        <v>0</v>
      </c>
      <c r="DD148" s="23">
        <f t="shared" si="675"/>
        <v>0</v>
      </c>
      <c r="DE148" s="23">
        <f t="shared" si="676"/>
        <v>0</v>
      </c>
      <c r="DF148" s="88">
        <f t="shared" si="677"/>
        <v>0</v>
      </c>
      <c r="DG148" s="26">
        <f>INDEX($BZ$6:$CV$138,28,9)</f>
        <v>0</v>
      </c>
      <c r="DH148" s="47">
        <f t="shared" si="678"/>
        <v>0.5</v>
      </c>
      <c r="DI148" s="23">
        <f t="shared" si="696"/>
        <v>0</v>
      </c>
      <c r="DJ148" s="47">
        <f t="shared" si="679"/>
        <v>1.9</v>
      </c>
      <c r="DK148" s="27">
        <f>INDEX($BZ$6:$CV$138,28,13)</f>
        <v>0</v>
      </c>
      <c r="DL148" s="23">
        <f t="shared" si="680"/>
        <v>0</v>
      </c>
      <c r="DM148" s="14">
        <f t="shared" si="681"/>
        <v>23</v>
      </c>
      <c r="DN148" s="23">
        <f t="shared" si="697"/>
        <v>0</v>
      </c>
      <c r="DO148" s="27">
        <f>INDEX($BZ$6:$CV$138,28,17)</f>
        <v>0</v>
      </c>
      <c r="DP148" s="14">
        <f t="shared" si="637"/>
        <v>185</v>
      </c>
      <c r="DQ148" s="351">
        <f>INDEX($BZ$6:$CV$138,28,19)</f>
        <v>0</v>
      </c>
      <c r="DR148" s="416">
        <f t="shared" si="682"/>
        <v>185</v>
      </c>
      <c r="DS148" s="14">
        <f t="shared" si="683"/>
        <v>77</v>
      </c>
      <c r="DT148" s="29">
        <f>INDEX($BZ$6:$CV$138,28,22)</f>
        <v>0</v>
      </c>
      <c r="DU148" s="417">
        <f t="shared" si="684"/>
        <v>77</v>
      </c>
    </row>
    <row r="149" spans="3:125" x14ac:dyDescent="0.25">
      <c r="C149" s="25">
        <v>4</v>
      </c>
      <c r="D149" s="23" t="str">
        <f t="shared" si="685"/>
        <v>CASETA 1</v>
      </c>
      <c r="E149" s="26">
        <f>INDEX($C$6:$Y$138,29,3)</f>
        <v>171956</v>
      </c>
      <c r="F149" s="26">
        <f>INDEX($C$6:$Y$138,35,4)</f>
        <v>171956</v>
      </c>
      <c r="G149" s="23">
        <f t="shared" si="686"/>
        <v>0</v>
      </c>
      <c r="H149" s="23">
        <f t="shared" si="687"/>
        <v>0</v>
      </c>
      <c r="I149" s="23">
        <f t="shared" si="688"/>
        <v>0</v>
      </c>
      <c r="J149" s="88">
        <f t="shared" si="689"/>
        <v>0</v>
      </c>
      <c r="K149" s="26">
        <f>INDEX($C$6:$Y$138,35,9)</f>
        <v>4875</v>
      </c>
      <c r="L149" s="47">
        <f t="shared" si="625"/>
        <v>0.3</v>
      </c>
      <c r="M149" s="28">
        <f t="shared" si="638"/>
        <v>0</v>
      </c>
      <c r="N149" s="47">
        <f t="shared" si="639"/>
        <v>2.1999999999999997</v>
      </c>
      <c r="O149" s="47">
        <f t="shared" si="626"/>
        <v>2.8350275651910954</v>
      </c>
      <c r="P149" s="464">
        <f t="shared" si="690"/>
        <v>0</v>
      </c>
      <c r="Q149" s="14">
        <f t="shared" si="640"/>
        <v>29</v>
      </c>
      <c r="R149" s="23">
        <f>IFERROR(((P149/7)/E149)*1000,0)</f>
        <v>0</v>
      </c>
      <c r="S149" s="30">
        <f>INDEX($C$6:$Y$138,35,17)</f>
        <v>328.79467076367098</v>
      </c>
      <c r="T149" s="14">
        <f t="shared" si="641"/>
        <v>255</v>
      </c>
      <c r="U149" s="349">
        <f>INDEX($C$6:$Y$138,35,19)</f>
        <v>0</v>
      </c>
      <c r="V149" s="415">
        <f t="shared" si="627"/>
        <v>255</v>
      </c>
      <c r="W149" s="14">
        <f t="shared" si="628"/>
        <v>79</v>
      </c>
      <c r="X149" s="75">
        <f>INDEX($C$6:$Y$138,35,22)</f>
        <v>0</v>
      </c>
      <c r="Y149" s="609">
        <f t="shared" si="629"/>
        <v>79</v>
      </c>
      <c r="Z149" s="489"/>
      <c r="AA149" s="1"/>
      <c r="AB149" s="25">
        <v>4</v>
      </c>
      <c r="AC149" s="23" t="str">
        <f t="shared" si="692"/>
        <v>CASETA 2</v>
      </c>
      <c r="AD149" s="26">
        <f>INDEX($AB$6:$AX$138,29,3)</f>
        <v>0</v>
      </c>
      <c r="AE149" s="26">
        <f>INDEX($AB$6:$AX$138,35,4)</f>
        <v>0</v>
      </c>
      <c r="AF149" s="23">
        <f t="shared" si="642"/>
        <v>0</v>
      </c>
      <c r="AG149" s="23">
        <f t="shared" si="643"/>
        <v>0</v>
      </c>
      <c r="AH149" s="23">
        <f t="shared" si="644"/>
        <v>0</v>
      </c>
      <c r="AI149" s="88">
        <f t="shared" si="645"/>
        <v>0</v>
      </c>
      <c r="AJ149" s="26">
        <f>INDEX($AB$6:$AX$138,35,9)</f>
        <v>0</v>
      </c>
      <c r="AK149" s="47">
        <f t="shared" si="646"/>
        <v>0.3</v>
      </c>
      <c r="AL149" s="28">
        <f t="shared" si="647"/>
        <v>0</v>
      </c>
      <c r="AM149" s="47">
        <f t="shared" si="648"/>
        <v>2.1999999999999997</v>
      </c>
      <c r="AN149" s="47">
        <f t="shared" si="649"/>
        <v>0</v>
      </c>
      <c r="AO149" s="464">
        <f t="shared" si="650"/>
        <v>0</v>
      </c>
      <c r="AP149" s="14">
        <f t="shared" si="651"/>
        <v>29</v>
      </c>
      <c r="AQ149" s="23">
        <f t="shared" si="652"/>
        <v>0</v>
      </c>
      <c r="AR149" s="30">
        <f>INDEX($AB$6:$AX$138,35,17)</f>
        <v>0</v>
      </c>
      <c r="AS149" s="14">
        <f t="shared" si="653"/>
        <v>255</v>
      </c>
      <c r="AT149" s="349">
        <f>INDEX($AB$6:$AX$138,35,19)</f>
        <v>0</v>
      </c>
      <c r="AU149" s="415">
        <f t="shared" si="654"/>
        <v>255</v>
      </c>
      <c r="AV149" s="14">
        <f t="shared" si="655"/>
        <v>79</v>
      </c>
      <c r="AW149" s="75">
        <f>INDEX($AB$6:$AX$138,35,22)</f>
        <v>0</v>
      </c>
      <c r="AX149" s="609">
        <f t="shared" si="630"/>
        <v>79</v>
      </c>
      <c r="AZ149" s="1"/>
      <c r="BA149" s="25">
        <v>4</v>
      </c>
      <c r="BB149" s="25" t="str">
        <f t="shared" si="698"/>
        <v>CASETA 3</v>
      </c>
      <c r="BC149" s="26">
        <f>INDEX($BA$6:$BW$138,29,3)</f>
        <v>116143</v>
      </c>
      <c r="BD149" s="26">
        <f>INDEX($BA$6:$BW$138,35,4)</f>
        <v>116143</v>
      </c>
      <c r="BE149" s="23">
        <f t="shared" si="656"/>
        <v>0</v>
      </c>
      <c r="BF149" s="23">
        <f t="shared" si="657"/>
        <v>0</v>
      </c>
      <c r="BG149" s="23">
        <f t="shared" si="658"/>
        <v>0</v>
      </c>
      <c r="BH149" s="88">
        <f>SUM(BE149:BG149)</f>
        <v>0</v>
      </c>
      <c r="BI149" s="26">
        <f>INDEX($BA$6:$BW$138,35,9)</f>
        <v>3926</v>
      </c>
      <c r="BJ149" s="47">
        <f t="shared" si="631"/>
        <v>0.3</v>
      </c>
      <c r="BK149" s="28">
        <f>AVERAGEIFS($BK$6:$BK$138,$BA$6:$BA$138,$BA149)</f>
        <v>0</v>
      </c>
      <c r="BL149" s="47">
        <f t="shared" si="632"/>
        <v>2.1999999999999997</v>
      </c>
      <c r="BM149" s="27">
        <f>INDEX($BA$6:$BW$138,35,13)</f>
        <v>3.2697865394065078</v>
      </c>
      <c r="BN149" s="23">
        <f t="shared" si="661"/>
        <v>0</v>
      </c>
      <c r="BO149" s="14">
        <f t="shared" si="633"/>
        <v>29</v>
      </c>
      <c r="BP149" s="23">
        <f t="shared" si="662"/>
        <v>0</v>
      </c>
      <c r="BQ149" s="27">
        <f>INDEX($BA$6:$BW$138,35,17)</f>
        <v>314.58428346602915</v>
      </c>
      <c r="BR149" s="14">
        <f t="shared" si="634"/>
        <v>255</v>
      </c>
      <c r="BS149" s="350">
        <f>INDEX($BA$6:$BW$138,35,19)</f>
        <v>0</v>
      </c>
      <c r="BT149" s="26">
        <f t="shared" si="693"/>
        <v>255</v>
      </c>
      <c r="BU149" s="14">
        <f t="shared" si="635"/>
        <v>79</v>
      </c>
      <c r="BV149" s="26">
        <f>INDEX($BA$6:$BW$138,35,22)</f>
        <v>0</v>
      </c>
      <c r="BW149" s="26">
        <f>BU149-BV149</f>
        <v>79</v>
      </c>
      <c r="BY149" s="1"/>
      <c r="BZ149" s="25">
        <v>4</v>
      </c>
      <c r="CA149" s="25" t="str">
        <f t="shared" si="699"/>
        <v>CASETA G1</v>
      </c>
      <c r="CB149" s="26">
        <f>INDEX($BZ$6:$CV$138,35,3)</f>
        <v>0</v>
      </c>
      <c r="CC149" s="26">
        <f>INDEX($BZ$6:$CV$138,35,4)</f>
        <v>0</v>
      </c>
      <c r="CD149" s="23">
        <f>SUMIFS($CD$6:$CD$138,$BZ$6:$BZ$138,$BZ149)</f>
        <v>0</v>
      </c>
      <c r="CE149" s="23">
        <f>SUMIFS($CE$6:$CE$138,$BZ$6:$BZ$138,$BZ149)</f>
        <v>0</v>
      </c>
      <c r="CF149" s="23">
        <f>SUMIFS($CF$6:$CF$138,$BZ$6:$BZ$138,$BZ149)</f>
        <v>0</v>
      </c>
      <c r="CG149" s="88">
        <f>SUM(CD149:CF149)</f>
        <v>0</v>
      </c>
      <c r="CH149" s="26">
        <f>INDEX($BZ$6:$CV$138,35,9)</f>
        <v>0</v>
      </c>
      <c r="CI149" s="47">
        <f t="shared" si="667"/>
        <v>0.3</v>
      </c>
      <c r="CJ149" s="23">
        <f t="shared" si="694"/>
        <v>0</v>
      </c>
      <c r="CK149" s="47">
        <f t="shared" si="668"/>
        <v>2.1999999999999997</v>
      </c>
      <c r="CL149" s="27">
        <f>INDEX($BZ$6:$CV$138,35,13)</f>
        <v>0</v>
      </c>
      <c r="CM149" s="23">
        <f>SUMIFS($CM$6:$CM$138,$BZ$6:$BZ$138,$BZ149)</f>
        <v>0</v>
      </c>
      <c r="CN149" s="14">
        <f>VLOOKUP($BZ149,LOHMANN,6,FALSE)</f>
        <v>29</v>
      </c>
      <c r="CO149" s="23">
        <f>AVERAGEIFS($CO$6:$CO$131,$BZ$6:$BZ$131,$BZ149)</f>
        <v>0</v>
      </c>
      <c r="CP149" s="27">
        <f>INDEX($BZ$6:$CV$138,35,17)</f>
        <v>0</v>
      </c>
      <c r="CQ149" s="14">
        <f t="shared" si="636"/>
        <v>255</v>
      </c>
      <c r="CR149" s="351">
        <f>INDEX($BZ$6:$CV$138,35,19)</f>
        <v>0</v>
      </c>
      <c r="CS149" s="416">
        <f t="shared" si="671"/>
        <v>255</v>
      </c>
      <c r="CT149" s="14">
        <f t="shared" si="672"/>
        <v>79</v>
      </c>
      <c r="CU149" s="29">
        <f>INDEX($BZ$6:$CV$138,35,22)</f>
        <v>0</v>
      </c>
      <c r="CV149" s="417">
        <f t="shared" si="673"/>
        <v>79</v>
      </c>
      <c r="CY149" s="25">
        <v>4</v>
      </c>
      <c r="CZ149" s="25" t="str">
        <f t="shared" si="700"/>
        <v>CASETA G2</v>
      </c>
      <c r="DA149" s="26">
        <f>INDEX($BZ$6:$CV$138,35,3)</f>
        <v>0</v>
      </c>
      <c r="DB149" s="26">
        <f>INDEX($BZ$6:$CV$138,35,4)</f>
        <v>0</v>
      </c>
      <c r="DC149" s="23">
        <f>SUMIFS($CD$6:$CD$138,$BZ$6:$BZ$138,$BZ149)</f>
        <v>0</v>
      </c>
      <c r="DD149" s="23">
        <f>SUMIFS($CE$6:$CE$138,$BZ$6:$BZ$138,$BZ149)</f>
        <v>0</v>
      </c>
      <c r="DE149" s="23">
        <f>SUMIFS($CF$6:$CF$138,$BZ$6:$BZ$138,$BZ149)</f>
        <v>0</v>
      </c>
      <c r="DF149" s="88">
        <f>SUM(DC149:DE149)</f>
        <v>0</v>
      </c>
      <c r="DG149" s="26">
        <f>INDEX($BZ$6:$CV$138,35,9)</f>
        <v>0</v>
      </c>
      <c r="DH149" s="47">
        <f t="shared" si="678"/>
        <v>0.3</v>
      </c>
      <c r="DI149" s="23">
        <f t="shared" si="696"/>
        <v>0</v>
      </c>
      <c r="DJ149" s="47">
        <f t="shared" si="679"/>
        <v>2.1999999999999997</v>
      </c>
      <c r="DK149" s="27">
        <f>INDEX($BZ$6:$CV$138,35,13)</f>
        <v>0</v>
      </c>
      <c r="DL149" s="23">
        <f>SUMIFS($CM$6:$CM$138,$BZ$6:$BZ$138,$BZ149)</f>
        <v>0</v>
      </c>
      <c r="DM149" s="14">
        <f>VLOOKUP($BZ149,LOHMANN,6,FALSE)</f>
        <v>29</v>
      </c>
      <c r="DN149" s="23">
        <f>AVERAGEIFS($CO$6:$CO$131,$BZ$6:$BZ$131,$BZ149)</f>
        <v>0</v>
      </c>
      <c r="DO149" s="27">
        <f>INDEX($BZ$6:$CV$138,35,17)</f>
        <v>0</v>
      </c>
      <c r="DP149" s="14">
        <f t="shared" si="637"/>
        <v>255</v>
      </c>
      <c r="DQ149" s="351">
        <f>INDEX($BZ$6:$CV$138,35,19)</f>
        <v>0</v>
      </c>
      <c r="DR149" s="416">
        <f t="shared" si="682"/>
        <v>255</v>
      </c>
      <c r="DS149" s="14">
        <f t="shared" si="683"/>
        <v>79</v>
      </c>
      <c r="DT149" s="29">
        <f>INDEX($BZ$6:$CV$138,35,22)</f>
        <v>0</v>
      </c>
      <c r="DU149" s="417">
        <f t="shared" si="684"/>
        <v>79</v>
      </c>
    </row>
    <row r="150" spans="3:125" x14ac:dyDescent="0.25">
      <c r="C150" s="25">
        <v>5</v>
      </c>
      <c r="D150" s="23" t="str">
        <f t="shared" si="685"/>
        <v>CASETA 1</v>
      </c>
      <c r="E150" s="26">
        <f>INDEX($C$6:$Y$138,36,3)</f>
        <v>171956</v>
      </c>
      <c r="F150" s="26">
        <f>INDEX($C$6:$Y$138,42,4)</f>
        <v>171956</v>
      </c>
      <c r="G150" s="23">
        <f t="shared" si="686"/>
        <v>0</v>
      </c>
      <c r="H150" s="23">
        <f>SUMIFS($H$6:$H$138,$C$6:$C$138,$C150)</f>
        <v>0</v>
      </c>
      <c r="I150" s="23">
        <f>SUMIFS($I$6:$I$138,$C$6:$C$138,$C150)</f>
        <v>0</v>
      </c>
      <c r="J150" s="88">
        <f t="shared" si="689"/>
        <v>0</v>
      </c>
      <c r="K150" s="26">
        <f>INDEX($C$6:$Y$138,42,9)</f>
        <v>4875</v>
      </c>
      <c r="L150" s="47">
        <f t="shared" si="625"/>
        <v>0.18</v>
      </c>
      <c r="M150" s="28">
        <f t="shared" si="638"/>
        <v>0</v>
      </c>
      <c r="N150" s="47">
        <f t="shared" si="639"/>
        <v>2.38</v>
      </c>
      <c r="O150" s="47">
        <f t="shared" si="626"/>
        <v>2.8350275651910954</v>
      </c>
      <c r="P150" s="464">
        <f t="shared" si="690"/>
        <v>0</v>
      </c>
      <c r="Q150" s="14">
        <f t="shared" si="640"/>
        <v>34</v>
      </c>
      <c r="R150" s="23">
        <f t="shared" si="691"/>
        <v>0</v>
      </c>
      <c r="S150" s="30">
        <f>INDEX($C$6:$Y$138,42,17)</f>
        <v>328.79467076367098</v>
      </c>
      <c r="T150" s="14">
        <f t="shared" si="641"/>
        <v>334</v>
      </c>
      <c r="U150" s="349">
        <f>INDEX($C$6:$Y$138,42,19)</f>
        <v>0</v>
      </c>
      <c r="V150" s="415">
        <f t="shared" si="627"/>
        <v>334</v>
      </c>
      <c r="W150" s="14">
        <f t="shared" si="628"/>
        <v>79</v>
      </c>
      <c r="X150" s="75">
        <f>INDEX($C$6:$Y$138,42,22)</f>
        <v>0</v>
      </c>
      <c r="Y150" s="609">
        <f t="shared" si="629"/>
        <v>79</v>
      </c>
      <c r="Z150" s="489"/>
      <c r="AA150" s="1"/>
      <c r="AB150" s="25">
        <v>5</v>
      </c>
      <c r="AC150" s="23" t="str">
        <f t="shared" si="692"/>
        <v>CASETA 2</v>
      </c>
      <c r="AD150" s="26">
        <f>INDEX($AB$6:$AX$138,36,3)</f>
        <v>0</v>
      </c>
      <c r="AE150" s="26">
        <f>INDEX($AB$6:$AX$138,42,4)</f>
        <v>0</v>
      </c>
      <c r="AF150" s="23">
        <f t="shared" si="642"/>
        <v>0</v>
      </c>
      <c r="AG150" s="23">
        <f t="shared" si="643"/>
        <v>0</v>
      </c>
      <c r="AH150" s="23">
        <f t="shared" si="644"/>
        <v>0</v>
      </c>
      <c r="AI150" s="88">
        <f>SUM(AF150:AH150)</f>
        <v>0</v>
      </c>
      <c r="AJ150" s="26">
        <f>INDEX($AB$6:$AX$138,42,9)</f>
        <v>0</v>
      </c>
      <c r="AK150" s="47">
        <f t="shared" si="646"/>
        <v>0.18</v>
      </c>
      <c r="AL150" s="28">
        <f t="shared" si="647"/>
        <v>0</v>
      </c>
      <c r="AM150" s="47">
        <f t="shared" si="648"/>
        <v>2.38</v>
      </c>
      <c r="AN150" s="47">
        <f t="shared" si="649"/>
        <v>0</v>
      </c>
      <c r="AO150" s="464">
        <f t="shared" si="650"/>
        <v>0</v>
      </c>
      <c r="AP150" s="14">
        <f t="shared" si="651"/>
        <v>34</v>
      </c>
      <c r="AQ150" s="23">
        <f t="shared" si="652"/>
        <v>0</v>
      </c>
      <c r="AR150" s="30">
        <f>INDEX($AB$6:$AX$138,42,17)</f>
        <v>0</v>
      </c>
      <c r="AS150" s="14">
        <f t="shared" si="653"/>
        <v>334</v>
      </c>
      <c r="AT150" s="349">
        <f>INDEX($AB$6:$AX$138,42,19)</f>
        <v>0</v>
      </c>
      <c r="AU150" s="415">
        <f t="shared" si="654"/>
        <v>334</v>
      </c>
      <c r="AV150" s="14">
        <f t="shared" si="655"/>
        <v>79</v>
      </c>
      <c r="AW150" s="75">
        <f>INDEX($AB$6:$AX$138,42,22)</f>
        <v>0</v>
      </c>
      <c r="AX150" s="609">
        <f>AV150-AW150</f>
        <v>79</v>
      </c>
      <c r="AZ150" s="1"/>
      <c r="BA150" s="25">
        <v>5</v>
      </c>
      <c r="BB150" s="25" t="str">
        <f t="shared" si="698"/>
        <v>CASETA 3</v>
      </c>
      <c r="BC150" s="26">
        <f>INDEX($BA$6:$BW$138,36,3)</f>
        <v>116143</v>
      </c>
      <c r="BD150" s="26">
        <f>INDEX($BA$6:$BW$138,42,4)</f>
        <v>116143</v>
      </c>
      <c r="BE150" s="23">
        <f t="shared" si="656"/>
        <v>0</v>
      </c>
      <c r="BF150" s="23">
        <f t="shared" si="657"/>
        <v>0</v>
      </c>
      <c r="BG150" s="23">
        <f t="shared" si="658"/>
        <v>0</v>
      </c>
      <c r="BH150" s="88">
        <f t="shared" si="659"/>
        <v>0</v>
      </c>
      <c r="BI150" s="26">
        <f>INDEX($BA$6:$BW$138,42,9)</f>
        <v>3926</v>
      </c>
      <c r="BJ150" s="47">
        <f t="shared" si="631"/>
        <v>0.18</v>
      </c>
      <c r="BK150" s="28">
        <f t="shared" si="660"/>
        <v>0</v>
      </c>
      <c r="BL150" s="47">
        <f t="shared" si="632"/>
        <v>2.38</v>
      </c>
      <c r="BM150" s="27">
        <f>INDEX($BA$6:$BW$138,42,13)</f>
        <v>3.2697865394065078</v>
      </c>
      <c r="BN150" s="23">
        <f t="shared" si="661"/>
        <v>0</v>
      </c>
      <c r="BO150" s="14">
        <f t="shared" si="633"/>
        <v>34</v>
      </c>
      <c r="BP150" s="23">
        <f t="shared" si="662"/>
        <v>0</v>
      </c>
      <c r="BQ150" s="27">
        <f>INDEX($BA$6:$BW$138,42,17)</f>
        <v>314.58428346602915</v>
      </c>
      <c r="BR150" s="14">
        <f t="shared" si="634"/>
        <v>334</v>
      </c>
      <c r="BS150" s="350">
        <f>INDEX($BA$6:$BW$138,42,19)</f>
        <v>0</v>
      </c>
      <c r="BT150" s="26">
        <f t="shared" si="693"/>
        <v>334</v>
      </c>
      <c r="BU150" s="14">
        <f t="shared" si="635"/>
        <v>79</v>
      </c>
      <c r="BV150" s="26">
        <f>INDEX($BA$6:$BW$138,42,22)</f>
        <v>0</v>
      </c>
      <c r="BW150" s="26">
        <f t="shared" ref="BW150:BW163" si="701">BU150-BV150</f>
        <v>79</v>
      </c>
      <c r="BY150" s="1"/>
      <c r="BZ150" s="25">
        <v>5</v>
      </c>
      <c r="CA150" s="25" t="str">
        <f t="shared" si="699"/>
        <v>CASETA G1</v>
      </c>
      <c r="CB150" s="26">
        <f>INDEX($BZ$6:$CV$138,36,3)</f>
        <v>0</v>
      </c>
      <c r="CC150" s="26">
        <f>INDEX($BZ$6:$CV$138,42,4)</f>
        <v>0</v>
      </c>
      <c r="CD150" s="23">
        <f t="shared" si="663"/>
        <v>0</v>
      </c>
      <c r="CE150" s="23">
        <f t="shared" si="664"/>
        <v>0</v>
      </c>
      <c r="CF150" s="23">
        <f t="shared" si="665"/>
        <v>0</v>
      </c>
      <c r="CG150" s="88">
        <f t="shared" si="666"/>
        <v>0</v>
      </c>
      <c r="CH150" s="26">
        <f>INDEX($BZ$6:$CV$138,42,9)</f>
        <v>0</v>
      </c>
      <c r="CI150" s="47">
        <f t="shared" si="667"/>
        <v>0.18</v>
      </c>
      <c r="CJ150" s="23">
        <f>AVERAGEIFS($CJ$6:$CJ$138,$BZ$6:$BZ$138,$BZ150)</f>
        <v>0</v>
      </c>
      <c r="CK150" s="47">
        <f t="shared" si="668"/>
        <v>2.38</v>
      </c>
      <c r="CL150" s="27">
        <f>INDEX($BZ$6:$CV$138,42,13)</f>
        <v>0</v>
      </c>
      <c r="CM150" s="23">
        <f t="shared" si="669"/>
        <v>0</v>
      </c>
      <c r="CN150" s="14">
        <f t="shared" si="670"/>
        <v>34</v>
      </c>
      <c r="CO150" s="23">
        <f t="shared" si="695"/>
        <v>0</v>
      </c>
      <c r="CP150" s="27">
        <f>INDEX($BZ$6:$CV$138,42,17)</f>
        <v>0</v>
      </c>
      <c r="CQ150" s="14">
        <f t="shared" si="636"/>
        <v>334</v>
      </c>
      <c r="CR150" s="351">
        <f>INDEX($BZ$6:$CV$138,42,19)</f>
        <v>0</v>
      </c>
      <c r="CS150" s="416">
        <f t="shared" si="671"/>
        <v>334</v>
      </c>
      <c r="CT150" s="14">
        <f t="shared" si="672"/>
        <v>79</v>
      </c>
      <c r="CU150" s="29">
        <f>INDEX($BZ$6:$CV$138,42,22)</f>
        <v>0</v>
      </c>
      <c r="CV150" s="417">
        <f t="shared" si="673"/>
        <v>79</v>
      </c>
      <c r="CY150" s="25">
        <v>5</v>
      </c>
      <c r="CZ150" s="25" t="str">
        <f t="shared" si="700"/>
        <v>CASETA G2</v>
      </c>
      <c r="DA150" s="26">
        <f>INDEX($BZ$6:$CV$138,36,3)</f>
        <v>0</v>
      </c>
      <c r="DB150" s="26">
        <f>INDEX($BZ$6:$CV$138,42,4)</f>
        <v>0</v>
      </c>
      <c r="DC150" s="23">
        <f t="shared" si="674"/>
        <v>0</v>
      </c>
      <c r="DD150" s="23">
        <f t="shared" si="675"/>
        <v>0</v>
      </c>
      <c r="DE150" s="23">
        <f t="shared" si="676"/>
        <v>0</v>
      </c>
      <c r="DF150" s="88">
        <f t="shared" ref="DF150:DF163" si="702">SUM(DC150:DE150)</f>
        <v>0</v>
      </c>
      <c r="DG150" s="26">
        <f>INDEX($BZ$6:$CV$138,42,9)</f>
        <v>0</v>
      </c>
      <c r="DH150" s="47">
        <f t="shared" si="678"/>
        <v>0.18</v>
      </c>
      <c r="DI150" s="23">
        <f>AVERAGEIFS($CJ$6:$CJ$138,$BZ$6:$BZ$138,$BZ150)</f>
        <v>0</v>
      </c>
      <c r="DJ150" s="47">
        <f t="shared" si="679"/>
        <v>2.38</v>
      </c>
      <c r="DK150" s="27">
        <f>INDEX($BZ$6:$CV$138,42,13)</f>
        <v>0</v>
      </c>
      <c r="DL150" s="23">
        <f t="shared" si="680"/>
        <v>0</v>
      </c>
      <c r="DM150" s="14">
        <f t="shared" si="681"/>
        <v>34</v>
      </c>
      <c r="DN150" s="23">
        <f t="shared" si="697"/>
        <v>0</v>
      </c>
      <c r="DO150" s="27">
        <f>INDEX($BZ$6:$CV$138,42,17)</f>
        <v>0</v>
      </c>
      <c r="DP150" s="14">
        <f t="shared" si="637"/>
        <v>334</v>
      </c>
      <c r="DQ150" s="351">
        <f>INDEX($BZ$6:$CV$138,42,19)</f>
        <v>0</v>
      </c>
      <c r="DR150" s="416">
        <f t="shared" si="682"/>
        <v>334</v>
      </c>
      <c r="DS150" s="14">
        <f t="shared" si="683"/>
        <v>79</v>
      </c>
      <c r="DT150" s="29">
        <f>INDEX($BZ$6:$CV$138,42,22)</f>
        <v>0</v>
      </c>
      <c r="DU150" s="417">
        <f t="shared" si="684"/>
        <v>79</v>
      </c>
    </row>
    <row r="151" spans="3:125" x14ac:dyDescent="0.25">
      <c r="C151" s="25">
        <v>6</v>
      </c>
      <c r="D151" s="23" t="str">
        <f t="shared" si="685"/>
        <v>CASETA 1</v>
      </c>
      <c r="E151" s="26">
        <f>INDEX($C$6:$Y$138,43,3)</f>
        <v>171956</v>
      </c>
      <c r="F151" s="26">
        <f>INDEX($C$6:$Y$138,49,4)</f>
        <v>171956</v>
      </c>
      <c r="G151" s="23">
        <f t="shared" si="686"/>
        <v>0</v>
      </c>
      <c r="H151" s="23">
        <f t="shared" si="687"/>
        <v>0</v>
      </c>
      <c r="I151" s="23">
        <f t="shared" si="688"/>
        <v>0</v>
      </c>
      <c r="J151" s="88">
        <f t="shared" si="689"/>
        <v>0</v>
      </c>
      <c r="K151" s="26">
        <f>INDEX($C$6:$Y$138,49,9)</f>
        <v>4875</v>
      </c>
      <c r="L151" s="47">
        <f t="shared" si="625"/>
        <v>0.18</v>
      </c>
      <c r="M151" s="28">
        <f t="shared" si="638"/>
        <v>0</v>
      </c>
      <c r="N151" s="47">
        <f t="shared" si="639"/>
        <v>2.56</v>
      </c>
      <c r="O151" s="47">
        <f t="shared" si="626"/>
        <v>2.8350275651910954</v>
      </c>
      <c r="P151" s="464">
        <f t="shared" si="690"/>
        <v>0</v>
      </c>
      <c r="Q151" s="14">
        <f t="shared" si="640"/>
        <v>38</v>
      </c>
      <c r="R151" s="23">
        <f t="shared" si="691"/>
        <v>0</v>
      </c>
      <c r="S151" s="30">
        <f>INDEX($C$6:$Y$138,49,17)</f>
        <v>328.79467076367098</v>
      </c>
      <c r="T151" s="14">
        <f t="shared" si="641"/>
        <v>425</v>
      </c>
      <c r="U151" s="349">
        <f>INDEX($C$6:$Y$138,49,19)</f>
        <v>0</v>
      </c>
      <c r="V151" s="415">
        <f t="shared" si="627"/>
        <v>425</v>
      </c>
      <c r="W151" s="14">
        <f t="shared" si="628"/>
        <v>79</v>
      </c>
      <c r="X151" s="75">
        <f>INDEX($C$6:$Y$138,49,22)</f>
        <v>0</v>
      </c>
      <c r="Y151" s="609">
        <f t="shared" si="629"/>
        <v>79</v>
      </c>
      <c r="Z151" s="489"/>
      <c r="AA151" s="1"/>
      <c r="AB151" s="25">
        <v>6</v>
      </c>
      <c r="AC151" s="23" t="str">
        <f t="shared" si="692"/>
        <v>CASETA 2</v>
      </c>
      <c r="AD151" s="26">
        <f>INDEX($AB$6:$AX$138,43,3)</f>
        <v>0</v>
      </c>
      <c r="AE151" s="26">
        <f>INDEX($AB$6:$AX$138,49,4)</f>
        <v>0</v>
      </c>
      <c r="AF151" s="23">
        <f t="shared" si="642"/>
        <v>0</v>
      </c>
      <c r="AG151" s="23">
        <f t="shared" si="643"/>
        <v>0</v>
      </c>
      <c r="AH151" s="23">
        <f t="shared" si="644"/>
        <v>0</v>
      </c>
      <c r="AI151" s="88">
        <f t="shared" si="645"/>
        <v>0</v>
      </c>
      <c r="AJ151" s="26">
        <f>INDEX($AB$6:$AX$138,49,9)</f>
        <v>0</v>
      </c>
      <c r="AK151" s="47">
        <f t="shared" si="646"/>
        <v>0.18</v>
      </c>
      <c r="AL151" s="28">
        <f t="shared" si="647"/>
        <v>0</v>
      </c>
      <c r="AM151" s="47">
        <f t="shared" si="648"/>
        <v>2.56</v>
      </c>
      <c r="AN151" s="47">
        <f t="shared" si="649"/>
        <v>0</v>
      </c>
      <c r="AO151" s="464">
        <f t="shared" si="650"/>
        <v>0</v>
      </c>
      <c r="AP151" s="14">
        <f t="shared" si="651"/>
        <v>38</v>
      </c>
      <c r="AQ151" s="23">
        <f t="shared" si="652"/>
        <v>0</v>
      </c>
      <c r="AR151" s="30">
        <f>INDEX($AB$6:$AX$138,49,17)</f>
        <v>0</v>
      </c>
      <c r="AS151" s="14">
        <f t="shared" si="653"/>
        <v>425</v>
      </c>
      <c r="AT151" s="349">
        <f>INDEX($AB$6:$AX$138,49,19)</f>
        <v>0</v>
      </c>
      <c r="AU151" s="415">
        <f t="shared" si="654"/>
        <v>425</v>
      </c>
      <c r="AV151" s="14">
        <f t="shared" si="655"/>
        <v>79</v>
      </c>
      <c r="AW151" s="75">
        <f>INDEX($AB$6:$AX$138,49,22)</f>
        <v>0</v>
      </c>
      <c r="AX151" s="609">
        <f t="shared" si="630"/>
        <v>79</v>
      </c>
      <c r="AZ151" s="1"/>
      <c r="BA151" s="25">
        <v>6</v>
      </c>
      <c r="BB151" s="25" t="str">
        <f t="shared" si="698"/>
        <v>CASETA 3</v>
      </c>
      <c r="BC151" s="26">
        <f>INDEX($BA$6:$BW$138,43,3)</f>
        <v>116143</v>
      </c>
      <c r="BD151" s="26">
        <f>INDEX($BA$6:$BW$138,49,4)</f>
        <v>116143</v>
      </c>
      <c r="BE151" s="23">
        <f t="shared" si="656"/>
        <v>0</v>
      </c>
      <c r="BF151" s="23">
        <f t="shared" si="657"/>
        <v>0</v>
      </c>
      <c r="BG151" s="23">
        <f t="shared" si="658"/>
        <v>0</v>
      </c>
      <c r="BH151" s="88">
        <f t="shared" si="659"/>
        <v>0</v>
      </c>
      <c r="BI151" s="26">
        <f>INDEX($BA$6:$BW$138,49,9)</f>
        <v>3926</v>
      </c>
      <c r="BJ151" s="47">
        <f t="shared" si="631"/>
        <v>0.18</v>
      </c>
      <c r="BK151" s="28">
        <f t="shared" si="660"/>
        <v>0</v>
      </c>
      <c r="BL151" s="47">
        <f t="shared" si="632"/>
        <v>2.56</v>
      </c>
      <c r="BM151" s="27">
        <f>INDEX($BA$6:$BW$138,49,13)</f>
        <v>3.2697865394065078</v>
      </c>
      <c r="BN151" s="23">
        <f t="shared" si="661"/>
        <v>0</v>
      </c>
      <c r="BO151" s="14">
        <f t="shared" si="633"/>
        <v>38</v>
      </c>
      <c r="BP151" s="23">
        <f t="shared" si="662"/>
        <v>0</v>
      </c>
      <c r="BQ151" s="27">
        <f>INDEX($BA$6:$BW$138,49,17)</f>
        <v>314.58428346602915</v>
      </c>
      <c r="BR151" s="14">
        <f t="shared" si="634"/>
        <v>425</v>
      </c>
      <c r="BS151" s="350">
        <f>INDEX($BA$6:$BW$138,49,19)</f>
        <v>0</v>
      </c>
      <c r="BT151" s="26">
        <f t="shared" si="693"/>
        <v>425</v>
      </c>
      <c r="BU151" s="14">
        <f t="shared" si="635"/>
        <v>79</v>
      </c>
      <c r="BV151" s="26">
        <f>INDEX($BA$6:$BW$138,49,22)</f>
        <v>0</v>
      </c>
      <c r="BW151" s="26">
        <f t="shared" si="701"/>
        <v>79</v>
      </c>
      <c r="BY151" s="1"/>
      <c r="BZ151" s="25">
        <v>6</v>
      </c>
      <c r="CA151" s="25" t="str">
        <f t="shared" si="699"/>
        <v>CASETA G1</v>
      </c>
      <c r="CB151" s="26">
        <f>INDEX($BZ$6:$CV$138,43,3)</f>
        <v>0</v>
      </c>
      <c r="CC151" s="26">
        <f>INDEX($BZ$6:$CV$138,49,4)</f>
        <v>0</v>
      </c>
      <c r="CD151" s="23">
        <f t="shared" si="663"/>
        <v>0</v>
      </c>
      <c r="CE151" s="23">
        <f t="shared" si="664"/>
        <v>0</v>
      </c>
      <c r="CF151" s="23">
        <f t="shared" si="665"/>
        <v>0</v>
      </c>
      <c r="CG151" s="88">
        <f t="shared" si="666"/>
        <v>0</v>
      </c>
      <c r="CH151" s="26">
        <f>INDEX($BZ$6:$CV$138,49,9)</f>
        <v>0</v>
      </c>
      <c r="CI151" s="47">
        <f t="shared" si="667"/>
        <v>0.18</v>
      </c>
      <c r="CJ151" s="23">
        <f t="shared" si="694"/>
        <v>0</v>
      </c>
      <c r="CK151" s="47">
        <f t="shared" si="668"/>
        <v>2.56</v>
      </c>
      <c r="CL151" s="27">
        <f>INDEX($BZ$6:$CV$138,49,13)</f>
        <v>0</v>
      </c>
      <c r="CM151" s="23">
        <f t="shared" si="669"/>
        <v>0</v>
      </c>
      <c r="CN151" s="14">
        <f t="shared" si="670"/>
        <v>38</v>
      </c>
      <c r="CO151" s="23">
        <f t="shared" si="695"/>
        <v>0</v>
      </c>
      <c r="CP151" s="27">
        <f>INDEX($BZ$6:$CV$138,49,17)</f>
        <v>0</v>
      </c>
      <c r="CQ151" s="14">
        <f t="shared" si="636"/>
        <v>425</v>
      </c>
      <c r="CR151" s="351">
        <f>INDEX($BZ$6:$CV$138,49,19)</f>
        <v>0</v>
      </c>
      <c r="CS151" s="416">
        <f t="shared" si="671"/>
        <v>425</v>
      </c>
      <c r="CT151" s="14">
        <f t="shared" si="672"/>
        <v>79</v>
      </c>
      <c r="CU151" s="29">
        <f>INDEX($BZ$6:$CV$138,49,22)</f>
        <v>0</v>
      </c>
      <c r="CV151" s="417">
        <f t="shared" si="673"/>
        <v>79</v>
      </c>
      <c r="CY151" s="25">
        <v>6</v>
      </c>
      <c r="CZ151" s="25" t="str">
        <f t="shared" si="700"/>
        <v>CASETA G2</v>
      </c>
      <c r="DA151" s="26">
        <f>INDEX($BZ$6:$CV$138,43,3)</f>
        <v>0</v>
      </c>
      <c r="DB151" s="26">
        <f>INDEX($BZ$6:$CV$138,49,4)</f>
        <v>0</v>
      </c>
      <c r="DC151" s="23">
        <f t="shared" si="674"/>
        <v>0</v>
      </c>
      <c r="DD151" s="23">
        <f t="shared" si="675"/>
        <v>0</v>
      </c>
      <c r="DE151" s="23">
        <f t="shared" si="676"/>
        <v>0</v>
      </c>
      <c r="DF151" s="88">
        <f t="shared" si="702"/>
        <v>0</v>
      </c>
      <c r="DG151" s="26">
        <f>INDEX($BZ$6:$CV$138,49,9)</f>
        <v>0</v>
      </c>
      <c r="DH151" s="47">
        <f t="shared" si="678"/>
        <v>0.18</v>
      </c>
      <c r="DI151" s="23">
        <f t="shared" si="696"/>
        <v>0</v>
      </c>
      <c r="DJ151" s="47">
        <f t="shared" si="679"/>
        <v>2.56</v>
      </c>
      <c r="DK151" s="27">
        <f>INDEX($BZ$6:$CV$138,49,13)</f>
        <v>0</v>
      </c>
      <c r="DL151" s="23">
        <f t="shared" si="680"/>
        <v>0</v>
      </c>
      <c r="DM151" s="14">
        <f t="shared" si="681"/>
        <v>38</v>
      </c>
      <c r="DN151" s="23">
        <f t="shared" si="697"/>
        <v>0</v>
      </c>
      <c r="DO151" s="27">
        <f>INDEX($BZ$6:$CV$138,49,17)</f>
        <v>0</v>
      </c>
      <c r="DP151" s="14">
        <f t="shared" si="637"/>
        <v>425</v>
      </c>
      <c r="DQ151" s="351">
        <f>INDEX($BZ$6:$CV$138,49,19)</f>
        <v>0</v>
      </c>
      <c r="DR151" s="416">
        <f t="shared" si="682"/>
        <v>425</v>
      </c>
      <c r="DS151" s="14">
        <f t="shared" si="683"/>
        <v>79</v>
      </c>
      <c r="DT151" s="29">
        <f>INDEX($BZ$6:$CV$138,49,22)</f>
        <v>0</v>
      </c>
      <c r="DU151" s="417">
        <f t="shared" si="684"/>
        <v>79</v>
      </c>
    </row>
    <row r="152" spans="3:125" x14ac:dyDescent="0.25">
      <c r="C152" s="25">
        <v>7</v>
      </c>
      <c r="D152" s="23" t="str">
        <f t="shared" si="685"/>
        <v>CASETA 1</v>
      </c>
      <c r="E152" s="26">
        <f>INDEX($C$6:$Y$138,50,3)</f>
        <v>171956</v>
      </c>
      <c r="F152" s="26">
        <f>INDEX($C$6:$Y$138,56,4)</f>
        <v>171956</v>
      </c>
      <c r="G152" s="23">
        <f t="shared" si="686"/>
        <v>0</v>
      </c>
      <c r="H152" s="23">
        <f t="shared" si="687"/>
        <v>0</v>
      </c>
      <c r="I152" s="23">
        <f t="shared" si="688"/>
        <v>0</v>
      </c>
      <c r="J152" s="88">
        <f t="shared" si="689"/>
        <v>0</v>
      </c>
      <c r="K152" s="26">
        <f>INDEX($C$6:$Y$138,56,9)</f>
        <v>4875</v>
      </c>
      <c r="L152" s="47">
        <f t="shared" si="625"/>
        <v>0.16</v>
      </c>
      <c r="M152" s="28">
        <f t="shared" si="638"/>
        <v>0</v>
      </c>
      <c r="N152" s="47">
        <f t="shared" si="639"/>
        <v>2.72</v>
      </c>
      <c r="O152" s="47">
        <f t="shared" ref="O152:O163" si="703">IFERROR((K152*100)/E152,0)</f>
        <v>2.8350275651910954</v>
      </c>
      <c r="P152" s="464">
        <f t="shared" si="690"/>
        <v>0</v>
      </c>
      <c r="Q152" s="14">
        <f t="shared" si="640"/>
        <v>42</v>
      </c>
      <c r="R152" s="23">
        <f t="shared" si="691"/>
        <v>0</v>
      </c>
      <c r="S152" s="30">
        <f>INDEX($C$6:$Y$138,56,17)</f>
        <v>328.79467076367098</v>
      </c>
      <c r="T152" s="14">
        <f t="shared" si="641"/>
        <v>524</v>
      </c>
      <c r="U152" s="349">
        <f>INDEX($C$6:$Y$138,56,19)</f>
        <v>0</v>
      </c>
      <c r="V152" s="415">
        <f t="shared" si="627"/>
        <v>524</v>
      </c>
      <c r="W152" s="14">
        <f t="shared" si="628"/>
        <v>79</v>
      </c>
      <c r="X152" s="75">
        <f>INDEX($C$6:$Y$138,56,22)</f>
        <v>0</v>
      </c>
      <c r="Y152" s="609">
        <f t="shared" si="629"/>
        <v>79</v>
      </c>
      <c r="Z152" s="489"/>
      <c r="AA152" s="1"/>
      <c r="AB152" s="25">
        <v>7</v>
      </c>
      <c r="AC152" s="23" t="str">
        <f t="shared" si="692"/>
        <v>CASETA 2</v>
      </c>
      <c r="AD152" s="26">
        <f>INDEX($AB$6:$AX$138,50,3)</f>
        <v>0</v>
      </c>
      <c r="AE152" s="26">
        <f>INDEX($AB$6:$AX$138,56,4)</f>
        <v>0</v>
      </c>
      <c r="AF152" s="23">
        <f t="shared" si="642"/>
        <v>0</v>
      </c>
      <c r="AG152" s="23">
        <f t="shared" si="643"/>
        <v>0</v>
      </c>
      <c r="AH152" s="23">
        <f t="shared" si="644"/>
        <v>0</v>
      </c>
      <c r="AI152" s="88">
        <f t="shared" si="645"/>
        <v>0</v>
      </c>
      <c r="AJ152" s="26">
        <f>INDEX($AB$6:$AX$138,56,9)</f>
        <v>0</v>
      </c>
      <c r="AK152" s="47">
        <f t="shared" si="646"/>
        <v>0.16</v>
      </c>
      <c r="AL152" s="28">
        <f t="shared" si="647"/>
        <v>0</v>
      </c>
      <c r="AM152" s="47">
        <f t="shared" si="648"/>
        <v>2.72</v>
      </c>
      <c r="AN152" s="47">
        <f t="shared" si="649"/>
        <v>0</v>
      </c>
      <c r="AO152" s="464">
        <f>SUMIFS($AO$6:$AO$138,$AB$6:$AB$138,$AB152)</f>
        <v>0</v>
      </c>
      <c r="AP152" s="14">
        <f t="shared" si="651"/>
        <v>42</v>
      </c>
      <c r="AQ152" s="23">
        <f t="shared" si="652"/>
        <v>0</v>
      </c>
      <c r="AR152" s="30">
        <f>INDEX($AB$6:$AX$138,56,17)</f>
        <v>0</v>
      </c>
      <c r="AS152" s="14">
        <f t="shared" si="653"/>
        <v>524</v>
      </c>
      <c r="AT152" s="349">
        <f>INDEX($AB$6:$AX$138,56,19)</f>
        <v>0</v>
      </c>
      <c r="AU152" s="415">
        <f t="shared" si="654"/>
        <v>524</v>
      </c>
      <c r="AV152" s="14">
        <f t="shared" si="655"/>
        <v>79</v>
      </c>
      <c r="AW152" s="75">
        <f>INDEX($AB$6:$AX$138,56,22)</f>
        <v>0</v>
      </c>
      <c r="AX152" s="609">
        <f t="shared" si="630"/>
        <v>79</v>
      </c>
      <c r="AZ152" s="1"/>
      <c r="BA152" s="25">
        <v>7</v>
      </c>
      <c r="BB152" s="25" t="str">
        <f t="shared" si="698"/>
        <v>CASETA 3</v>
      </c>
      <c r="BC152" s="26">
        <f>INDEX($BA$6:$BW$138,50,3)</f>
        <v>116143</v>
      </c>
      <c r="BD152" s="26">
        <f>INDEX($BA$6:$BW$138,56,4)</f>
        <v>116143</v>
      </c>
      <c r="BE152" s="23">
        <f t="shared" si="656"/>
        <v>0</v>
      </c>
      <c r="BF152" s="23">
        <f t="shared" si="657"/>
        <v>0</v>
      </c>
      <c r="BG152" s="23">
        <f t="shared" si="658"/>
        <v>0</v>
      </c>
      <c r="BH152" s="88">
        <f t="shared" si="659"/>
        <v>0</v>
      </c>
      <c r="BI152" s="26">
        <f>INDEX($BA$6:$BW$138,56,9)</f>
        <v>3926</v>
      </c>
      <c r="BJ152" s="47">
        <f t="shared" si="631"/>
        <v>0.16</v>
      </c>
      <c r="BK152" s="28">
        <f t="shared" si="660"/>
        <v>0</v>
      </c>
      <c r="BL152" s="47">
        <f t="shared" si="632"/>
        <v>2.72</v>
      </c>
      <c r="BM152" s="27">
        <f>INDEX($BA$6:$BW$138,56,13)</f>
        <v>3.2697865394065078</v>
      </c>
      <c r="BN152" s="23">
        <f t="shared" si="661"/>
        <v>0</v>
      </c>
      <c r="BO152" s="14">
        <f t="shared" si="633"/>
        <v>42</v>
      </c>
      <c r="BP152" s="23">
        <f t="shared" si="662"/>
        <v>0</v>
      </c>
      <c r="BQ152" s="27">
        <f>INDEX($BA$6:$BW$138,56,17)</f>
        <v>314.58428346602915</v>
      </c>
      <c r="BR152" s="14">
        <f t="shared" si="634"/>
        <v>524</v>
      </c>
      <c r="BS152" s="350">
        <f>INDEX($BA$6:$BW$138,56,19)</f>
        <v>0</v>
      </c>
      <c r="BT152" s="26">
        <f t="shared" si="693"/>
        <v>524</v>
      </c>
      <c r="BU152" s="14">
        <f t="shared" si="635"/>
        <v>79</v>
      </c>
      <c r="BV152" s="26">
        <f>INDEX($BA$6:$BW$138,56,22)</f>
        <v>0</v>
      </c>
      <c r="BW152" s="26">
        <f t="shared" si="701"/>
        <v>79</v>
      </c>
      <c r="BY152" s="1"/>
      <c r="BZ152" s="25">
        <v>7</v>
      </c>
      <c r="CA152" s="25" t="str">
        <f t="shared" si="699"/>
        <v>CASETA G1</v>
      </c>
      <c r="CB152" s="26">
        <f>INDEX($BZ$6:$CV$138,50,3)</f>
        <v>0</v>
      </c>
      <c r="CC152" s="26">
        <f>INDEX($BZ$6:$CV$138,56,4)</f>
        <v>0</v>
      </c>
      <c r="CD152" s="23">
        <f t="shared" si="663"/>
        <v>0</v>
      </c>
      <c r="CE152" s="23">
        <f t="shared" si="664"/>
        <v>0</v>
      </c>
      <c r="CF152" s="23">
        <f t="shared" si="665"/>
        <v>0</v>
      </c>
      <c r="CG152" s="88">
        <f t="shared" si="666"/>
        <v>0</v>
      </c>
      <c r="CH152" s="26">
        <f>INDEX($BZ$6:$CV$138,56,9)</f>
        <v>0</v>
      </c>
      <c r="CI152" s="47">
        <f t="shared" si="667"/>
        <v>0.16</v>
      </c>
      <c r="CJ152" s="23">
        <f t="shared" si="694"/>
        <v>0</v>
      </c>
      <c r="CK152" s="47">
        <f t="shared" si="668"/>
        <v>2.72</v>
      </c>
      <c r="CL152" s="27">
        <f>INDEX($BZ$6:$CV$138,56,13)</f>
        <v>0</v>
      </c>
      <c r="CM152" s="23">
        <f t="shared" si="669"/>
        <v>0</v>
      </c>
      <c r="CN152" s="14">
        <f t="shared" si="670"/>
        <v>42</v>
      </c>
      <c r="CO152" s="23">
        <f t="shared" si="695"/>
        <v>0</v>
      </c>
      <c r="CP152" s="27">
        <f>INDEX($BZ$6:$CV$138,56,17)</f>
        <v>0</v>
      </c>
      <c r="CQ152" s="14">
        <f t="shared" si="636"/>
        <v>524</v>
      </c>
      <c r="CR152" s="351">
        <f>INDEX($BZ$6:$CV$138,56,19)</f>
        <v>0</v>
      </c>
      <c r="CS152" s="416">
        <f t="shared" si="671"/>
        <v>524</v>
      </c>
      <c r="CT152" s="14">
        <f t="shared" si="672"/>
        <v>79</v>
      </c>
      <c r="CU152" s="29">
        <f>INDEX($BZ$6:$CV$138,56,22)</f>
        <v>0</v>
      </c>
      <c r="CV152" s="417">
        <f t="shared" si="673"/>
        <v>79</v>
      </c>
      <c r="CY152" s="25">
        <v>7</v>
      </c>
      <c r="CZ152" s="25" t="str">
        <f t="shared" si="700"/>
        <v>CASETA G2</v>
      </c>
      <c r="DA152" s="26">
        <f>INDEX($BZ$6:$CV$138,50,3)</f>
        <v>0</v>
      </c>
      <c r="DB152" s="26">
        <f>INDEX($BZ$6:$CV$138,56,4)</f>
        <v>0</v>
      </c>
      <c r="DC152" s="23">
        <f t="shared" si="674"/>
        <v>0</v>
      </c>
      <c r="DD152" s="23">
        <f t="shared" si="675"/>
        <v>0</v>
      </c>
      <c r="DE152" s="23">
        <f t="shared" si="676"/>
        <v>0</v>
      </c>
      <c r="DF152" s="88">
        <f t="shared" si="702"/>
        <v>0</v>
      </c>
      <c r="DG152" s="26">
        <f>INDEX($BZ$6:$CV$138,56,9)</f>
        <v>0</v>
      </c>
      <c r="DH152" s="47">
        <f t="shared" si="678"/>
        <v>0.16</v>
      </c>
      <c r="DI152" s="23">
        <f t="shared" si="696"/>
        <v>0</v>
      </c>
      <c r="DJ152" s="47">
        <f t="shared" si="679"/>
        <v>2.72</v>
      </c>
      <c r="DK152" s="27">
        <f>INDEX($BZ$6:$CV$138,56,13)</f>
        <v>0</v>
      </c>
      <c r="DL152" s="23">
        <f t="shared" si="680"/>
        <v>0</v>
      </c>
      <c r="DM152" s="14">
        <f t="shared" si="681"/>
        <v>42</v>
      </c>
      <c r="DN152" s="23">
        <f t="shared" si="697"/>
        <v>0</v>
      </c>
      <c r="DO152" s="27">
        <f>INDEX($BZ$6:$CV$138,56,17)</f>
        <v>0</v>
      </c>
      <c r="DP152" s="14">
        <f t="shared" si="637"/>
        <v>524</v>
      </c>
      <c r="DQ152" s="351">
        <f>INDEX($BZ$6:$CV$138,56,19)</f>
        <v>0</v>
      </c>
      <c r="DR152" s="416">
        <f t="shared" si="682"/>
        <v>524</v>
      </c>
      <c r="DS152" s="14">
        <f t="shared" si="683"/>
        <v>79</v>
      </c>
      <c r="DT152" s="29">
        <f>INDEX($BZ$6:$CV$138,56,22)</f>
        <v>0</v>
      </c>
      <c r="DU152" s="417">
        <f t="shared" si="684"/>
        <v>79</v>
      </c>
    </row>
    <row r="153" spans="3:125" x14ac:dyDescent="0.25">
      <c r="C153" s="25">
        <v>8</v>
      </c>
      <c r="D153" s="23" t="str">
        <f t="shared" si="685"/>
        <v>CASETA 1</v>
      </c>
      <c r="E153" s="26">
        <f>INDEX($C$6:$Y$138,57,3)</f>
        <v>171956</v>
      </c>
      <c r="F153" s="26">
        <f>INDEX($C$6:$Y$138,63,4)</f>
        <v>171956</v>
      </c>
      <c r="G153" s="23">
        <f t="shared" si="686"/>
        <v>0</v>
      </c>
      <c r="H153" s="23">
        <f t="shared" si="687"/>
        <v>0</v>
      </c>
      <c r="I153" s="23">
        <f t="shared" si="688"/>
        <v>0</v>
      </c>
      <c r="J153" s="88">
        <f t="shared" si="689"/>
        <v>0</v>
      </c>
      <c r="K153" s="26">
        <f>INDEX($C$6:$Y$138,63,9)</f>
        <v>4875</v>
      </c>
      <c r="L153" s="47">
        <f t="shared" si="625"/>
        <v>0.16</v>
      </c>
      <c r="M153" s="28">
        <f t="shared" si="638"/>
        <v>0</v>
      </c>
      <c r="N153" s="47">
        <f t="shared" si="639"/>
        <v>2.8800000000000003</v>
      </c>
      <c r="O153" s="47">
        <f t="shared" si="703"/>
        <v>2.8350275651910954</v>
      </c>
      <c r="P153" s="464">
        <f t="shared" si="690"/>
        <v>0</v>
      </c>
      <c r="Q153" s="14">
        <f t="shared" si="640"/>
        <v>46</v>
      </c>
      <c r="R153" s="23">
        <f t="shared" si="691"/>
        <v>0</v>
      </c>
      <c r="S153" s="30">
        <f>INDEX($C$6:$Y$138,63,17)</f>
        <v>328.79467076367098</v>
      </c>
      <c r="T153" s="14">
        <f t="shared" si="641"/>
        <v>618</v>
      </c>
      <c r="U153" s="349">
        <f>INDEX($C$6:$Y$138,63,19)</f>
        <v>0</v>
      </c>
      <c r="V153" s="415">
        <f t="shared" si="627"/>
        <v>618</v>
      </c>
      <c r="W153" s="14">
        <f t="shared" si="628"/>
        <v>79</v>
      </c>
      <c r="X153" s="75">
        <f>INDEX($C$6:$Y$138,63,22)</f>
        <v>0</v>
      </c>
      <c r="Y153" s="609">
        <f t="shared" si="629"/>
        <v>79</v>
      </c>
      <c r="Z153" s="489"/>
      <c r="AA153" s="1"/>
      <c r="AB153" s="25">
        <v>8</v>
      </c>
      <c r="AC153" s="23" t="str">
        <f t="shared" si="692"/>
        <v>CASETA 2</v>
      </c>
      <c r="AD153" s="26">
        <f>INDEX($AB$6:$AX$138,57,3)</f>
        <v>0</v>
      </c>
      <c r="AE153" s="26">
        <f>INDEX($AB$6:$AX$138,63,4)</f>
        <v>0</v>
      </c>
      <c r="AF153" s="23">
        <f t="shared" si="642"/>
        <v>0</v>
      </c>
      <c r="AG153" s="23">
        <f t="shared" si="643"/>
        <v>0</v>
      </c>
      <c r="AH153" s="23">
        <f t="shared" si="644"/>
        <v>0</v>
      </c>
      <c r="AI153" s="88">
        <f t="shared" si="645"/>
        <v>0</v>
      </c>
      <c r="AJ153" s="26">
        <f>INDEX($AB$6:$AX$138,63,9)</f>
        <v>0</v>
      </c>
      <c r="AK153" s="47">
        <f t="shared" si="646"/>
        <v>0.16</v>
      </c>
      <c r="AL153" s="28">
        <f t="shared" si="647"/>
        <v>0</v>
      </c>
      <c r="AM153" s="47">
        <f t="shared" si="648"/>
        <v>2.8800000000000003</v>
      </c>
      <c r="AN153" s="47">
        <f t="shared" si="649"/>
        <v>0</v>
      </c>
      <c r="AO153" s="464">
        <f t="shared" si="650"/>
        <v>0</v>
      </c>
      <c r="AP153" s="14">
        <f t="shared" si="651"/>
        <v>46</v>
      </c>
      <c r="AQ153" s="23">
        <f t="shared" si="652"/>
        <v>0</v>
      </c>
      <c r="AR153" s="30">
        <f>INDEX($AB$6:$AX$138,63,17)</f>
        <v>0</v>
      </c>
      <c r="AS153" s="14">
        <f t="shared" si="653"/>
        <v>618</v>
      </c>
      <c r="AT153" s="349">
        <f>INDEX($AB$6:$AX$138,63,19)</f>
        <v>0</v>
      </c>
      <c r="AU153" s="415">
        <f t="shared" si="654"/>
        <v>618</v>
      </c>
      <c r="AV153" s="14">
        <f t="shared" si="655"/>
        <v>79</v>
      </c>
      <c r="AW153" s="75">
        <f>INDEX($AB$6:$AX$138,63,22)</f>
        <v>0</v>
      </c>
      <c r="AX153" s="609">
        <f t="shared" si="630"/>
        <v>79</v>
      </c>
      <c r="AZ153" s="1"/>
      <c r="BA153" s="25">
        <v>8</v>
      </c>
      <c r="BB153" s="25" t="str">
        <f t="shared" si="698"/>
        <v>CASETA 3</v>
      </c>
      <c r="BC153" s="26">
        <f>INDEX($BA$6:$BW$138,57,3)</f>
        <v>116143</v>
      </c>
      <c r="BD153" s="26">
        <f>INDEX($BA$6:$BW$138,63,4)</f>
        <v>116143</v>
      </c>
      <c r="BE153" s="23">
        <f t="shared" si="656"/>
        <v>0</v>
      </c>
      <c r="BF153" s="23">
        <f t="shared" si="657"/>
        <v>0</v>
      </c>
      <c r="BG153" s="23">
        <f t="shared" si="658"/>
        <v>0</v>
      </c>
      <c r="BH153" s="88">
        <f t="shared" si="659"/>
        <v>0</v>
      </c>
      <c r="BI153" s="26">
        <f>INDEX($BA$6:$BW$138,63,9)</f>
        <v>3926</v>
      </c>
      <c r="BJ153" s="47">
        <f t="shared" si="631"/>
        <v>0.16</v>
      </c>
      <c r="BK153" s="28">
        <f t="shared" si="660"/>
        <v>0</v>
      </c>
      <c r="BL153" s="47">
        <f t="shared" si="632"/>
        <v>2.8800000000000003</v>
      </c>
      <c r="BM153" s="27">
        <f>INDEX($BA$6:$BW$138,63,13)</f>
        <v>3.2697865394065078</v>
      </c>
      <c r="BN153" s="23">
        <f t="shared" si="661"/>
        <v>0</v>
      </c>
      <c r="BO153" s="14">
        <f t="shared" si="633"/>
        <v>46</v>
      </c>
      <c r="BP153" s="23">
        <f t="shared" si="662"/>
        <v>0</v>
      </c>
      <c r="BQ153" s="27">
        <f>INDEX($BA$6:$BW$138,63,17)</f>
        <v>314.58428346602915</v>
      </c>
      <c r="BR153" s="14">
        <f t="shared" si="634"/>
        <v>618</v>
      </c>
      <c r="BS153" s="350">
        <f>INDEX($BA$6:$BW$138,63,19)</f>
        <v>0</v>
      </c>
      <c r="BT153" s="26">
        <f t="shared" si="693"/>
        <v>618</v>
      </c>
      <c r="BU153" s="14">
        <f t="shared" si="635"/>
        <v>79</v>
      </c>
      <c r="BV153" s="26">
        <f>INDEX($BA$6:$BW$138,63,22)</f>
        <v>0</v>
      </c>
      <c r="BW153" s="26">
        <f t="shared" si="701"/>
        <v>79</v>
      </c>
      <c r="BY153" s="1"/>
      <c r="BZ153" s="25">
        <v>8</v>
      </c>
      <c r="CA153" s="25" t="str">
        <f t="shared" si="699"/>
        <v>CASETA G1</v>
      </c>
      <c r="CB153" s="26">
        <f>INDEX($BZ$6:$CV$138,57,3)</f>
        <v>0</v>
      </c>
      <c r="CC153" s="26">
        <f>INDEX($BZ$6:$CV$138,63,4)</f>
        <v>0</v>
      </c>
      <c r="CD153" s="23">
        <f t="shared" si="663"/>
        <v>0</v>
      </c>
      <c r="CE153" s="23">
        <f t="shared" si="664"/>
        <v>0</v>
      </c>
      <c r="CF153" s="23">
        <f t="shared" si="665"/>
        <v>0</v>
      </c>
      <c r="CG153" s="88">
        <f t="shared" si="666"/>
        <v>0</v>
      </c>
      <c r="CH153" s="26">
        <f>INDEX($BZ$6:$CV$138,63,9)</f>
        <v>0</v>
      </c>
      <c r="CI153" s="47">
        <f t="shared" si="667"/>
        <v>0.16</v>
      </c>
      <c r="CJ153" s="23">
        <f t="shared" si="694"/>
        <v>0</v>
      </c>
      <c r="CK153" s="47">
        <f t="shared" si="668"/>
        <v>2.8800000000000003</v>
      </c>
      <c r="CL153" s="27">
        <f>INDEX($BZ$6:$CV$138,63,13)</f>
        <v>0</v>
      </c>
      <c r="CM153" s="23">
        <f t="shared" si="669"/>
        <v>0</v>
      </c>
      <c r="CN153" s="14">
        <f t="shared" si="670"/>
        <v>46</v>
      </c>
      <c r="CO153" s="23">
        <f t="shared" si="695"/>
        <v>0</v>
      </c>
      <c r="CP153" s="27">
        <f>INDEX($BZ$6:$CV$138,63,17)</f>
        <v>0</v>
      </c>
      <c r="CQ153" s="14">
        <f t="shared" si="636"/>
        <v>618</v>
      </c>
      <c r="CR153" s="351">
        <f>INDEX($BZ$6:$CV$138,63,19)</f>
        <v>0</v>
      </c>
      <c r="CS153" s="416">
        <f t="shared" si="671"/>
        <v>618</v>
      </c>
      <c r="CT153" s="14">
        <f t="shared" si="672"/>
        <v>79</v>
      </c>
      <c r="CU153" s="29">
        <f>INDEX($BZ$6:$CV$138,63,22)</f>
        <v>0</v>
      </c>
      <c r="CV153" s="417">
        <f t="shared" si="673"/>
        <v>79</v>
      </c>
      <c r="CY153" s="25">
        <v>8</v>
      </c>
      <c r="CZ153" s="25" t="str">
        <f t="shared" si="700"/>
        <v>CASETA G2</v>
      </c>
      <c r="DA153" s="26">
        <f>INDEX($BZ$6:$CV$138,57,3)</f>
        <v>0</v>
      </c>
      <c r="DB153" s="26">
        <f>INDEX($BZ$6:$CV$138,63,4)</f>
        <v>0</v>
      </c>
      <c r="DC153" s="23">
        <f t="shared" si="674"/>
        <v>0</v>
      </c>
      <c r="DD153" s="23">
        <f t="shared" si="675"/>
        <v>0</v>
      </c>
      <c r="DE153" s="23">
        <f t="shared" si="676"/>
        <v>0</v>
      </c>
      <c r="DF153" s="88">
        <f t="shared" si="702"/>
        <v>0</v>
      </c>
      <c r="DG153" s="26">
        <f>INDEX($BZ$6:$CV$138,63,9)</f>
        <v>0</v>
      </c>
      <c r="DH153" s="47">
        <f t="shared" si="678"/>
        <v>0.16</v>
      </c>
      <c r="DI153" s="23">
        <f t="shared" si="696"/>
        <v>0</v>
      </c>
      <c r="DJ153" s="47">
        <f t="shared" si="679"/>
        <v>2.8800000000000003</v>
      </c>
      <c r="DK153" s="27">
        <f>INDEX($BZ$6:$CV$138,63,13)</f>
        <v>0</v>
      </c>
      <c r="DL153" s="23">
        <f t="shared" si="680"/>
        <v>0</v>
      </c>
      <c r="DM153" s="14">
        <f t="shared" si="681"/>
        <v>46</v>
      </c>
      <c r="DN153" s="23">
        <f t="shared" si="697"/>
        <v>0</v>
      </c>
      <c r="DO153" s="27">
        <f>INDEX($BZ$6:$CV$138,63,17)</f>
        <v>0</v>
      </c>
      <c r="DP153" s="14">
        <f t="shared" si="637"/>
        <v>618</v>
      </c>
      <c r="DQ153" s="351">
        <f>INDEX($BZ$6:$CV$138,63,19)</f>
        <v>0</v>
      </c>
      <c r="DR153" s="416">
        <f t="shared" si="682"/>
        <v>618</v>
      </c>
      <c r="DS153" s="14">
        <f t="shared" si="683"/>
        <v>79</v>
      </c>
      <c r="DT153" s="29">
        <f>INDEX($BZ$6:$CV$138,63,22)</f>
        <v>0</v>
      </c>
      <c r="DU153" s="417">
        <f t="shared" si="684"/>
        <v>79</v>
      </c>
    </row>
    <row r="154" spans="3:125" x14ac:dyDescent="0.25">
      <c r="C154" s="25">
        <v>9</v>
      </c>
      <c r="D154" s="23" t="str">
        <f t="shared" si="685"/>
        <v>CASETA 1</v>
      </c>
      <c r="E154" s="26">
        <f>INDEX($C$6:$Y$138,64,3)</f>
        <v>171956</v>
      </c>
      <c r="F154" s="26">
        <f>INDEX($C$6:$Y$138,70,4)</f>
        <v>171956</v>
      </c>
      <c r="G154" s="23">
        <f t="shared" si="686"/>
        <v>0</v>
      </c>
      <c r="H154" s="23">
        <f t="shared" si="687"/>
        <v>0</v>
      </c>
      <c r="I154" s="23">
        <f t="shared" si="688"/>
        <v>0</v>
      </c>
      <c r="J154" s="88">
        <f t="shared" si="689"/>
        <v>0</v>
      </c>
      <c r="K154" s="26">
        <f>INDEX($C$6:$Y$138,70,9)</f>
        <v>4875</v>
      </c>
      <c r="L154" s="47">
        <f t="shared" si="625"/>
        <v>0.16</v>
      </c>
      <c r="M154" s="28">
        <f t="shared" si="638"/>
        <v>0</v>
      </c>
      <c r="N154" s="47">
        <f t="shared" si="639"/>
        <v>3.0400000000000005</v>
      </c>
      <c r="O154" s="47">
        <f t="shared" si="703"/>
        <v>2.8350275651910954</v>
      </c>
      <c r="P154" s="464">
        <f t="shared" si="690"/>
        <v>0</v>
      </c>
      <c r="Q154" s="14">
        <f t="shared" si="640"/>
        <v>49</v>
      </c>
      <c r="R154" s="23">
        <f t="shared" si="691"/>
        <v>0</v>
      </c>
      <c r="S154" s="30">
        <f>INDEX($C$6:$Y$138,70,17)</f>
        <v>328.79467076367098</v>
      </c>
      <c r="T154" s="14">
        <f t="shared" si="641"/>
        <v>712</v>
      </c>
      <c r="U154" s="349">
        <f>INDEX($C$6:$Y$138,70,19)</f>
        <v>0</v>
      </c>
      <c r="V154" s="415">
        <f t="shared" si="627"/>
        <v>712</v>
      </c>
      <c r="W154" s="14">
        <f t="shared" si="628"/>
        <v>79</v>
      </c>
      <c r="X154" s="75">
        <f>INDEX($C$6:$Y$138,70,22)</f>
        <v>0</v>
      </c>
      <c r="Y154" s="609">
        <f t="shared" si="629"/>
        <v>79</v>
      </c>
      <c r="Z154" s="489"/>
      <c r="AA154" s="1"/>
      <c r="AB154" s="25">
        <v>9</v>
      </c>
      <c r="AC154" s="23" t="str">
        <f t="shared" si="692"/>
        <v>CASETA 2</v>
      </c>
      <c r="AD154" s="26">
        <f>INDEX($AB$6:$AX$138,64,3)</f>
        <v>0</v>
      </c>
      <c r="AE154" s="26">
        <f>INDEX($AB$6:$AX$138,70,4)</f>
        <v>0</v>
      </c>
      <c r="AF154" s="23">
        <f t="shared" si="642"/>
        <v>0</v>
      </c>
      <c r="AG154" s="23">
        <f t="shared" si="643"/>
        <v>0</v>
      </c>
      <c r="AH154" s="23">
        <f t="shared" si="644"/>
        <v>0</v>
      </c>
      <c r="AI154" s="88">
        <f t="shared" si="645"/>
        <v>0</v>
      </c>
      <c r="AJ154" s="26">
        <f>INDEX($AB$6:$AX$138,70,9)</f>
        <v>0</v>
      </c>
      <c r="AK154" s="47">
        <f t="shared" si="646"/>
        <v>0.16</v>
      </c>
      <c r="AL154" s="28">
        <f t="shared" si="647"/>
        <v>0</v>
      </c>
      <c r="AM154" s="47">
        <f t="shared" si="648"/>
        <v>3.0400000000000005</v>
      </c>
      <c r="AN154" s="47">
        <f t="shared" si="649"/>
        <v>0</v>
      </c>
      <c r="AO154" s="464">
        <f t="shared" si="650"/>
        <v>0</v>
      </c>
      <c r="AP154" s="14">
        <f t="shared" si="651"/>
        <v>49</v>
      </c>
      <c r="AQ154" s="23">
        <f t="shared" si="652"/>
        <v>0</v>
      </c>
      <c r="AR154" s="30">
        <f>INDEX($AB$6:$AX$138,70,17)</f>
        <v>0</v>
      </c>
      <c r="AS154" s="14">
        <f t="shared" si="653"/>
        <v>712</v>
      </c>
      <c r="AT154" s="349">
        <f>INDEX($AB$6:$AX$138,70,19)</f>
        <v>0</v>
      </c>
      <c r="AU154" s="415">
        <f t="shared" si="654"/>
        <v>712</v>
      </c>
      <c r="AV154" s="14">
        <f t="shared" si="655"/>
        <v>79</v>
      </c>
      <c r="AW154" s="75">
        <f>INDEX($AB$6:$AX$138,70,22)</f>
        <v>0</v>
      </c>
      <c r="AX154" s="609">
        <f t="shared" si="630"/>
        <v>79</v>
      </c>
      <c r="AZ154" s="1"/>
      <c r="BA154" s="25">
        <v>9</v>
      </c>
      <c r="BB154" s="25" t="str">
        <f t="shared" si="698"/>
        <v>CASETA 3</v>
      </c>
      <c r="BC154" s="26">
        <f>INDEX($BA$6:$BW$138,64,3)</f>
        <v>116143</v>
      </c>
      <c r="BD154" s="26">
        <f>INDEX($BA$6:$BW$138,70,4)</f>
        <v>116143</v>
      </c>
      <c r="BE154" s="23">
        <f t="shared" si="656"/>
        <v>0</v>
      </c>
      <c r="BF154" s="23">
        <f t="shared" si="657"/>
        <v>0</v>
      </c>
      <c r="BG154" s="23">
        <f t="shared" si="658"/>
        <v>0</v>
      </c>
      <c r="BH154" s="88">
        <f t="shared" si="659"/>
        <v>0</v>
      </c>
      <c r="BI154" s="26">
        <f>INDEX($BA$6:$BW$138,70,9)</f>
        <v>3926</v>
      </c>
      <c r="BJ154" s="47">
        <f t="shared" si="631"/>
        <v>0.16</v>
      </c>
      <c r="BK154" s="28">
        <f t="shared" si="660"/>
        <v>0</v>
      </c>
      <c r="BL154" s="47">
        <f t="shared" si="632"/>
        <v>3.0400000000000005</v>
      </c>
      <c r="BM154" s="27">
        <f>INDEX($BA$6:$BW$138,70,13)</f>
        <v>3.2697865394065078</v>
      </c>
      <c r="BN154" s="23">
        <f t="shared" si="661"/>
        <v>0</v>
      </c>
      <c r="BO154" s="14">
        <f t="shared" si="633"/>
        <v>49</v>
      </c>
      <c r="BP154" s="23">
        <f t="shared" si="662"/>
        <v>0</v>
      </c>
      <c r="BQ154" s="27">
        <f>INDEX($BA$6:$BW$138,70,17)</f>
        <v>314.58428346602915</v>
      </c>
      <c r="BR154" s="14">
        <f t="shared" si="634"/>
        <v>712</v>
      </c>
      <c r="BS154" s="350">
        <f>INDEX($BA$6:$BW$138,70,19)</f>
        <v>0</v>
      </c>
      <c r="BT154" s="26">
        <f t="shared" si="693"/>
        <v>712</v>
      </c>
      <c r="BU154" s="14">
        <f t="shared" si="635"/>
        <v>79</v>
      </c>
      <c r="BV154" s="26">
        <f>INDEX($BA$6:$BW$138,70,22)</f>
        <v>0</v>
      </c>
      <c r="BW154" s="26">
        <f t="shared" si="701"/>
        <v>79</v>
      </c>
      <c r="BY154" s="1"/>
      <c r="BZ154" s="25">
        <v>9</v>
      </c>
      <c r="CA154" s="25" t="str">
        <f t="shared" si="699"/>
        <v>CASETA G1</v>
      </c>
      <c r="CB154" s="26">
        <f>INDEX($BZ$6:$CV$138,64,3)</f>
        <v>0</v>
      </c>
      <c r="CC154" s="26">
        <f>INDEX($BZ$6:$CV$138,70,4)</f>
        <v>0</v>
      </c>
      <c r="CD154" s="23">
        <f t="shared" si="663"/>
        <v>0</v>
      </c>
      <c r="CE154" s="23">
        <f t="shared" si="664"/>
        <v>0</v>
      </c>
      <c r="CF154" s="23">
        <f t="shared" si="665"/>
        <v>0</v>
      </c>
      <c r="CG154" s="88">
        <f t="shared" si="666"/>
        <v>0</v>
      </c>
      <c r="CH154" s="26">
        <f>INDEX($BZ$6:$CV$138,70,9)</f>
        <v>0</v>
      </c>
      <c r="CI154" s="47">
        <f t="shared" si="667"/>
        <v>0.16</v>
      </c>
      <c r="CJ154" s="23">
        <f t="shared" si="694"/>
        <v>0</v>
      </c>
      <c r="CK154" s="47">
        <f t="shared" si="668"/>
        <v>3.0400000000000005</v>
      </c>
      <c r="CL154" s="27">
        <f>INDEX($BZ$6:$CV$138,70,13)</f>
        <v>0</v>
      </c>
      <c r="CM154" s="23">
        <f t="shared" si="669"/>
        <v>0</v>
      </c>
      <c r="CN154" s="14">
        <f t="shared" si="670"/>
        <v>49</v>
      </c>
      <c r="CO154" s="23">
        <f t="shared" si="695"/>
        <v>0</v>
      </c>
      <c r="CP154" s="27">
        <f>INDEX($BZ$6:$CV$138,70,17)</f>
        <v>0</v>
      </c>
      <c r="CQ154" s="14">
        <f t="shared" si="636"/>
        <v>712</v>
      </c>
      <c r="CR154" s="351">
        <f>INDEX($BZ$6:$CV$138,70,19)</f>
        <v>0</v>
      </c>
      <c r="CS154" s="416">
        <f t="shared" si="671"/>
        <v>712</v>
      </c>
      <c r="CT154" s="14">
        <f t="shared" si="672"/>
        <v>79</v>
      </c>
      <c r="CU154" s="29">
        <f>INDEX($BZ$6:$CV$138,70,22)</f>
        <v>0</v>
      </c>
      <c r="CV154" s="417">
        <f t="shared" si="673"/>
        <v>79</v>
      </c>
      <c r="CY154" s="25">
        <v>9</v>
      </c>
      <c r="CZ154" s="25" t="str">
        <f t="shared" si="700"/>
        <v>CASETA G2</v>
      </c>
      <c r="DA154" s="26">
        <f>INDEX($BZ$6:$CV$138,64,3)</f>
        <v>0</v>
      </c>
      <c r="DB154" s="26">
        <f>INDEX($BZ$6:$CV$138,70,4)</f>
        <v>0</v>
      </c>
      <c r="DC154" s="23">
        <f t="shared" si="674"/>
        <v>0</v>
      </c>
      <c r="DD154" s="23">
        <f t="shared" si="675"/>
        <v>0</v>
      </c>
      <c r="DE154" s="23">
        <f t="shared" si="676"/>
        <v>0</v>
      </c>
      <c r="DF154" s="88">
        <f t="shared" si="702"/>
        <v>0</v>
      </c>
      <c r="DG154" s="26">
        <f>INDEX($BZ$6:$CV$138,70,9)</f>
        <v>0</v>
      </c>
      <c r="DH154" s="47">
        <f t="shared" si="678"/>
        <v>0.16</v>
      </c>
      <c r="DI154" s="23">
        <f t="shared" si="696"/>
        <v>0</v>
      </c>
      <c r="DJ154" s="47">
        <f t="shared" si="679"/>
        <v>3.0400000000000005</v>
      </c>
      <c r="DK154" s="27">
        <f>INDEX($BZ$6:$CV$138,70,13)</f>
        <v>0</v>
      </c>
      <c r="DL154" s="23">
        <f t="shared" si="680"/>
        <v>0</v>
      </c>
      <c r="DM154" s="14">
        <f t="shared" si="681"/>
        <v>49</v>
      </c>
      <c r="DN154" s="23">
        <f t="shared" si="697"/>
        <v>0</v>
      </c>
      <c r="DO154" s="27">
        <f>INDEX($BZ$6:$CV$138,70,17)</f>
        <v>0</v>
      </c>
      <c r="DP154" s="14">
        <f t="shared" si="637"/>
        <v>712</v>
      </c>
      <c r="DQ154" s="351">
        <f>INDEX($BZ$6:$CV$138,70,19)</f>
        <v>0</v>
      </c>
      <c r="DR154" s="416">
        <f t="shared" si="682"/>
        <v>712</v>
      </c>
      <c r="DS154" s="14">
        <f t="shared" si="683"/>
        <v>79</v>
      </c>
      <c r="DT154" s="29">
        <f>INDEX($BZ$6:$CV$138,70,22)</f>
        <v>0</v>
      </c>
      <c r="DU154" s="417">
        <f t="shared" si="684"/>
        <v>79</v>
      </c>
    </row>
    <row r="155" spans="3:125" x14ac:dyDescent="0.25">
      <c r="C155" s="25">
        <v>10</v>
      </c>
      <c r="D155" s="23" t="str">
        <f t="shared" si="685"/>
        <v>CASETA 1</v>
      </c>
      <c r="E155" s="26">
        <f>INDEX($C$6:$Y$138,71,3)</f>
        <v>171956</v>
      </c>
      <c r="F155" s="26">
        <f>INDEX($C$6:$Y$138,77,4)</f>
        <v>171956</v>
      </c>
      <c r="G155" s="23">
        <f t="shared" si="686"/>
        <v>0</v>
      </c>
      <c r="H155" s="23">
        <f t="shared" si="687"/>
        <v>0</v>
      </c>
      <c r="I155" s="23">
        <f>SUMIFS($I$6:$I$138,$C$6:$C$138,$C155)</f>
        <v>0</v>
      </c>
      <c r="J155" s="88">
        <f t="shared" si="689"/>
        <v>0</v>
      </c>
      <c r="K155" s="26">
        <f>INDEX($C$6:$Y$138,77,9)</f>
        <v>4875</v>
      </c>
      <c r="L155" s="47">
        <f t="shared" si="625"/>
        <v>0.16</v>
      </c>
      <c r="M155" s="28">
        <f t="shared" si="638"/>
        <v>0</v>
      </c>
      <c r="N155" s="47">
        <f t="shared" si="639"/>
        <v>3.2000000000000006</v>
      </c>
      <c r="O155" s="47">
        <f t="shared" si="703"/>
        <v>2.8350275651910954</v>
      </c>
      <c r="P155" s="464">
        <f t="shared" si="690"/>
        <v>0</v>
      </c>
      <c r="Q155" s="14">
        <f t="shared" si="640"/>
        <v>52</v>
      </c>
      <c r="R155" s="23">
        <f t="shared" si="691"/>
        <v>0</v>
      </c>
      <c r="S155" s="30">
        <f>INDEX($C$6:$Y$138,77,17)</f>
        <v>328.79467076367098</v>
      </c>
      <c r="T155" s="14">
        <f t="shared" si="641"/>
        <v>802</v>
      </c>
      <c r="U155" s="349">
        <f>INDEX($C$6:$Y$138,77,19)</f>
        <v>0</v>
      </c>
      <c r="V155" s="415">
        <f t="shared" si="627"/>
        <v>802</v>
      </c>
      <c r="W155" s="14">
        <f t="shared" si="628"/>
        <v>80</v>
      </c>
      <c r="X155" s="75">
        <f>INDEX($C$6:$Y$138,77,22)</f>
        <v>0</v>
      </c>
      <c r="Y155" s="609">
        <f t="shared" si="629"/>
        <v>80</v>
      </c>
      <c r="Z155" s="489"/>
      <c r="AA155" s="1"/>
      <c r="AB155" s="25">
        <v>10</v>
      </c>
      <c r="AC155" s="23" t="str">
        <f t="shared" si="692"/>
        <v>CASETA 2</v>
      </c>
      <c r="AD155" s="26">
        <f>INDEX($AB$6:$AX$138,71,3)</f>
        <v>0</v>
      </c>
      <c r="AE155" s="26">
        <f>INDEX($AB$6:$AX$138,77,4)</f>
        <v>0</v>
      </c>
      <c r="AF155" s="23">
        <f t="shared" si="642"/>
        <v>0</v>
      </c>
      <c r="AG155" s="23">
        <f t="shared" si="643"/>
        <v>0</v>
      </c>
      <c r="AH155" s="23">
        <f t="shared" si="644"/>
        <v>0</v>
      </c>
      <c r="AI155" s="88">
        <f t="shared" si="645"/>
        <v>0</v>
      </c>
      <c r="AJ155" s="26">
        <f>INDEX($AB$6:$AX$138,77,9)</f>
        <v>0</v>
      </c>
      <c r="AK155" s="47">
        <f t="shared" si="646"/>
        <v>0.16</v>
      </c>
      <c r="AL155" s="28">
        <f t="shared" si="647"/>
        <v>0</v>
      </c>
      <c r="AM155" s="47">
        <f t="shared" si="648"/>
        <v>3.2000000000000006</v>
      </c>
      <c r="AN155" s="47">
        <f t="shared" si="649"/>
        <v>0</v>
      </c>
      <c r="AO155" s="464">
        <f t="shared" si="650"/>
        <v>0</v>
      </c>
      <c r="AP155" s="14">
        <f t="shared" si="651"/>
        <v>52</v>
      </c>
      <c r="AQ155" s="23">
        <f t="shared" si="652"/>
        <v>0</v>
      </c>
      <c r="AR155" s="30">
        <f>INDEX($AB$6:$AX$138,77,17)</f>
        <v>0</v>
      </c>
      <c r="AS155" s="14">
        <f t="shared" si="653"/>
        <v>802</v>
      </c>
      <c r="AT155" s="349">
        <f>INDEX($AB$6:$AX$138,77,19)</f>
        <v>0</v>
      </c>
      <c r="AU155" s="415">
        <f t="shared" si="654"/>
        <v>802</v>
      </c>
      <c r="AV155" s="14">
        <f t="shared" si="655"/>
        <v>80</v>
      </c>
      <c r="AW155" s="75">
        <f>INDEX($AB$6:$AX$138,77,22)</f>
        <v>0</v>
      </c>
      <c r="AX155" s="609">
        <f t="shared" si="630"/>
        <v>80</v>
      </c>
      <c r="AZ155" s="1"/>
      <c r="BA155" s="25">
        <v>10</v>
      </c>
      <c r="BB155" s="25" t="str">
        <f t="shared" si="698"/>
        <v>CASETA 3</v>
      </c>
      <c r="BC155" s="26">
        <f>INDEX($BA$6:$BW$138,71,3)</f>
        <v>116143</v>
      </c>
      <c r="BD155" s="26">
        <f>INDEX($BA$6:$BW$138,77,4)</f>
        <v>116143</v>
      </c>
      <c r="BE155" s="23">
        <f t="shared" si="656"/>
        <v>0</v>
      </c>
      <c r="BF155" s="23">
        <f t="shared" si="657"/>
        <v>0</v>
      </c>
      <c r="BG155" s="23">
        <f t="shared" si="658"/>
        <v>0</v>
      </c>
      <c r="BH155" s="88">
        <f t="shared" si="659"/>
        <v>0</v>
      </c>
      <c r="BI155" s="26">
        <f>INDEX($BA$6:$BW$138,77,9)</f>
        <v>3926</v>
      </c>
      <c r="BJ155" s="47">
        <f t="shared" si="631"/>
        <v>0.16</v>
      </c>
      <c r="BK155" s="28">
        <f t="shared" si="660"/>
        <v>0</v>
      </c>
      <c r="BL155" s="47">
        <f t="shared" si="632"/>
        <v>3.2000000000000006</v>
      </c>
      <c r="BM155" s="27">
        <f>INDEX($BA$6:$BW$138,77,13)</f>
        <v>3.2697865394065078</v>
      </c>
      <c r="BN155" s="23">
        <f t="shared" si="661"/>
        <v>0</v>
      </c>
      <c r="BO155" s="14">
        <f t="shared" si="633"/>
        <v>52</v>
      </c>
      <c r="BP155" s="23">
        <f t="shared" si="662"/>
        <v>0</v>
      </c>
      <c r="BQ155" s="27">
        <f>INDEX($BA$6:$BW$138,77,17)</f>
        <v>314.58428346602915</v>
      </c>
      <c r="BR155" s="14">
        <f t="shared" si="634"/>
        <v>802</v>
      </c>
      <c r="BS155" s="350">
        <f>INDEX($BA$6:$BW$138,77,19)</f>
        <v>0</v>
      </c>
      <c r="BT155" s="26">
        <f t="shared" si="693"/>
        <v>802</v>
      </c>
      <c r="BU155" s="14">
        <f t="shared" si="635"/>
        <v>80</v>
      </c>
      <c r="BV155" s="26">
        <f>INDEX($BA$6:$BW$138,77,22)</f>
        <v>0</v>
      </c>
      <c r="BW155" s="26">
        <f t="shared" si="701"/>
        <v>80</v>
      </c>
      <c r="BY155" s="1"/>
      <c r="BZ155" s="25">
        <v>10</v>
      </c>
      <c r="CA155" s="25" t="str">
        <f t="shared" si="699"/>
        <v>CASETA G1</v>
      </c>
      <c r="CB155" s="26">
        <f>INDEX($BZ$6:$CV$138,71,3)</f>
        <v>0</v>
      </c>
      <c r="CC155" s="26">
        <f>INDEX($BZ$6:$CV$138,77,4)</f>
        <v>0</v>
      </c>
      <c r="CD155" s="23">
        <f t="shared" si="663"/>
        <v>0</v>
      </c>
      <c r="CE155" s="23">
        <f t="shared" si="664"/>
        <v>0</v>
      </c>
      <c r="CF155" s="23">
        <f t="shared" si="665"/>
        <v>0</v>
      </c>
      <c r="CG155" s="88">
        <f t="shared" si="666"/>
        <v>0</v>
      </c>
      <c r="CH155" s="26">
        <f>INDEX($BZ$6:$CV$138,77,9)</f>
        <v>0</v>
      </c>
      <c r="CI155" s="47">
        <f t="shared" si="667"/>
        <v>0.16</v>
      </c>
      <c r="CJ155" s="23">
        <f t="shared" si="694"/>
        <v>0</v>
      </c>
      <c r="CK155" s="47">
        <f t="shared" si="668"/>
        <v>3.2000000000000006</v>
      </c>
      <c r="CL155" s="27">
        <f>INDEX($BZ$6:$CV$138,77,13)</f>
        <v>0</v>
      </c>
      <c r="CM155" s="23">
        <f t="shared" si="669"/>
        <v>0</v>
      </c>
      <c r="CN155" s="14">
        <f t="shared" si="670"/>
        <v>52</v>
      </c>
      <c r="CO155" s="23">
        <f>AVERAGEIFS($CO$6:$CO$138,$BZ$6:$BZ$138,$BZ155)</f>
        <v>0</v>
      </c>
      <c r="CP155" s="27">
        <f>INDEX($BZ$6:$CV$138,77,17)</f>
        <v>0</v>
      </c>
      <c r="CQ155" s="14">
        <f t="shared" si="636"/>
        <v>802</v>
      </c>
      <c r="CR155" s="351">
        <f>INDEX($BZ$6:$CV$138,77,19)</f>
        <v>0</v>
      </c>
      <c r="CS155" s="416">
        <f t="shared" si="671"/>
        <v>802</v>
      </c>
      <c r="CT155" s="14">
        <f t="shared" si="672"/>
        <v>80</v>
      </c>
      <c r="CU155" s="29">
        <f>INDEX($BZ$6:$CV$138,77,22)</f>
        <v>0</v>
      </c>
      <c r="CV155" s="417">
        <f t="shared" si="673"/>
        <v>80</v>
      </c>
      <c r="CY155" s="25">
        <v>10</v>
      </c>
      <c r="CZ155" s="25" t="str">
        <f t="shared" si="700"/>
        <v>CASETA G2</v>
      </c>
      <c r="DA155" s="26">
        <f>INDEX($BZ$6:$CV$138,71,3)</f>
        <v>0</v>
      </c>
      <c r="DB155" s="26">
        <f>INDEX($BZ$6:$CV$138,77,4)</f>
        <v>0</v>
      </c>
      <c r="DC155" s="23">
        <f t="shared" si="674"/>
        <v>0</v>
      </c>
      <c r="DD155" s="23">
        <f t="shared" si="675"/>
        <v>0</v>
      </c>
      <c r="DE155" s="23">
        <f t="shared" si="676"/>
        <v>0</v>
      </c>
      <c r="DF155" s="88">
        <f t="shared" si="702"/>
        <v>0</v>
      </c>
      <c r="DG155" s="26">
        <f>INDEX($BZ$6:$CV$138,77,9)</f>
        <v>0</v>
      </c>
      <c r="DH155" s="47">
        <f t="shared" si="678"/>
        <v>0.16</v>
      </c>
      <c r="DI155" s="23">
        <f t="shared" si="696"/>
        <v>0</v>
      </c>
      <c r="DJ155" s="47">
        <f t="shared" si="679"/>
        <v>3.2000000000000006</v>
      </c>
      <c r="DK155" s="27">
        <f>INDEX($BZ$6:$CV$138,77,13)</f>
        <v>0</v>
      </c>
      <c r="DL155" s="23">
        <f t="shared" si="680"/>
        <v>0</v>
      </c>
      <c r="DM155" s="14">
        <f t="shared" si="681"/>
        <v>52</v>
      </c>
      <c r="DN155" s="23">
        <f t="shared" si="697"/>
        <v>0</v>
      </c>
      <c r="DO155" s="27">
        <f>INDEX($BZ$6:$CV$138,77,17)</f>
        <v>0</v>
      </c>
      <c r="DP155" s="14">
        <f t="shared" si="637"/>
        <v>802</v>
      </c>
      <c r="DQ155" s="351">
        <f>INDEX($BZ$6:$CV$138,77,19)</f>
        <v>0</v>
      </c>
      <c r="DR155" s="416">
        <f t="shared" si="682"/>
        <v>802</v>
      </c>
      <c r="DS155" s="14">
        <f t="shared" si="683"/>
        <v>80</v>
      </c>
      <c r="DT155" s="29">
        <f>INDEX($BZ$6:$CV$138,77,22)</f>
        <v>0</v>
      </c>
      <c r="DU155" s="417">
        <f t="shared" si="684"/>
        <v>80</v>
      </c>
    </row>
    <row r="156" spans="3:125" x14ac:dyDescent="0.25">
      <c r="C156" s="25">
        <v>11</v>
      </c>
      <c r="D156" s="23" t="str">
        <f t="shared" si="685"/>
        <v>CASETA 1</v>
      </c>
      <c r="E156" s="26">
        <f>INDEX($C$6:$Y$138,82,3)</f>
        <v>171956</v>
      </c>
      <c r="F156" s="26">
        <f>INDEX($C$6:$Y$138,84,4)</f>
        <v>171956</v>
      </c>
      <c r="G156" s="23">
        <f t="shared" si="686"/>
        <v>0</v>
      </c>
      <c r="H156" s="23">
        <f t="shared" si="687"/>
        <v>0</v>
      </c>
      <c r="I156" s="23">
        <f t="shared" si="688"/>
        <v>0</v>
      </c>
      <c r="J156" s="88">
        <f t="shared" si="689"/>
        <v>0</v>
      </c>
      <c r="K156" s="26">
        <f>INDEX($C$6:$Y$138,84,9)</f>
        <v>4875</v>
      </c>
      <c r="L156" s="47">
        <f t="shared" si="625"/>
        <v>0.16</v>
      </c>
      <c r="M156" s="28">
        <f t="shared" si="638"/>
        <v>0</v>
      </c>
      <c r="N156" s="47">
        <f t="shared" si="639"/>
        <v>3.3600000000000008</v>
      </c>
      <c r="O156" s="47">
        <f t="shared" si="703"/>
        <v>2.8350275651910954</v>
      </c>
      <c r="P156" s="464">
        <f t="shared" si="690"/>
        <v>0</v>
      </c>
      <c r="Q156" s="14">
        <f t="shared" si="640"/>
        <v>55</v>
      </c>
      <c r="R156" s="23">
        <f t="shared" si="691"/>
        <v>0</v>
      </c>
      <c r="S156" s="30">
        <f>INDEX($C$6:$Y$138,84,17)</f>
        <v>328.79467076367098</v>
      </c>
      <c r="T156" s="14">
        <f t="shared" si="641"/>
        <v>880</v>
      </c>
      <c r="U156" s="349">
        <f>INDEX($C$6:$Y$138,84,19)</f>
        <v>0</v>
      </c>
      <c r="V156" s="415">
        <f t="shared" si="627"/>
        <v>880</v>
      </c>
      <c r="W156" s="14">
        <f t="shared" si="628"/>
        <v>80</v>
      </c>
      <c r="X156" s="75">
        <f>INDEX($C$6:$Y$138,84,22)</f>
        <v>0</v>
      </c>
      <c r="Y156" s="609">
        <f t="shared" si="629"/>
        <v>80</v>
      </c>
      <c r="Z156" s="489"/>
      <c r="AA156" s="1"/>
      <c r="AB156" s="25">
        <v>11</v>
      </c>
      <c r="AC156" s="23" t="str">
        <f t="shared" si="692"/>
        <v>CASETA 2</v>
      </c>
      <c r="AD156" s="26">
        <f>INDEX($AB$6:$AX$138,83,3)</f>
        <v>0</v>
      </c>
      <c r="AE156" s="26">
        <f>INDEX($AB$6:$AX$138,84,4)</f>
        <v>0</v>
      </c>
      <c r="AF156" s="23">
        <f t="shared" si="642"/>
        <v>0</v>
      </c>
      <c r="AG156" s="23">
        <f t="shared" si="643"/>
        <v>0</v>
      </c>
      <c r="AH156" s="23">
        <f t="shared" si="644"/>
        <v>0</v>
      </c>
      <c r="AI156" s="88">
        <f t="shared" si="645"/>
        <v>0</v>
      </c>
      <c r="AJ156" s="26">
        <f>INDEX($AB$6:$AX$138,84,9)</f>
        <v>0</v>
      </c>
      <c r="AK156" s="47">
        <f t="shared" si="646"/>
        <v>0.16</v>
      </c>
      <c r="AL156" s="28">
        <f t="shared" si="647"/>
        <v>0</v>
      </c>
      <c r="AM156" s="47">
        <f t="shared" si="648"/>
        <v>3.3600000000000008</v>
      </c>
      <c r="AN156" s="47">
        <f t="shared" si="649"/>
        <v>0</v>
      </c>
      <c r="AO156" s="464">
        <f t="shared" si="650"/>
        <v>0</v>
      </c>
      <c r="AP156" s="14">
        <f t="shared" si="651"/>
        <v>55</v>
      </c>
      <c r="AQ156" s="23">
        <f t="shared" si="652"/>
        <v>0</v>
      </c>
      <c r="AR156" s="30">
        <f>INDEX($AB$6:$AX$138,84,17)</f>
        <v>0</v>
      </c>
      <c r="AS156" s="14">
        <f t="shared" si="653"/>
        <v>880</v>
      </c>
      <c r="AT156" s="349">
        <f>INDEX($AB$6:$AX$138,84,19)</f>
        <v>0</v>
      </c>
      <c r="AU156" s="415">
        <f t="shared" si="654"/>
        <v>880</v>
      </c>
      <c r="AV156" s="14">
        <f t="shared" si="655"/>
        <v>80</v>
      </c>
      <c r="AW156" s="75">
        <f>INDEX($AB$6:$AX$138,84,22)</f>
        <v>0</v>
      </c>
      <c r="AX156" s="609">
        <f t="shared" si="630"/>
        <v>80</v>
      </c>
      <c r="AZ156" s="1"/>
      <c r="BA156" s="25">
        <v>11</v>
      </c>
      <c r="BB156" s="25" t="str">
        <f t="shared" si="698"/>
        <v>CASETA 3</v>
      </c>
      <c r="BC156" s="26">
        <f>INDEX($BA$6:$BW$138,84,3)</f>
        <v>116143</v>
      </c>
      <c r="BD156" s="26">
        <f>INDEX($BA$6:$BW$138,84,4)</f>
        <v>116143</v>
      </c>
      <c r="BE156" s="23">
        <f t="shared" si="656"/>
        <v>0</v>
      </c>
      <c r="BF156" s="23">
        <f t="shared" si="657"/>
        <v>0</v>
      </c>
      <c r="BG156" s="23">
        <f t="shared" si="658"/>
        <v>0</v>
      </c>
      <c r="BH156" s="88">
        <f t="shared" si="659"/>
        <v>0</v>
      </c>
      <c r="BI156" s="26">
        <f>INDEX($BA$6:$BW$138,84,9)</f>
        <v>3926</v>
      </c>
      <c r="BJ156" s="47">
        <f t="shared" si="631"/>
        <v>0.16</v>
      </c>
      <c r="BK156" s="28">
        <f>AVERAGEIFS($BK$6:$BK$138,$BA$6:$BA$138,$BA156)</f>
        <v>0</v>
      </c>
      <c r="BL156" s="47">
        <f t="shared" si="632"/>
        <v>3.3600000000000008</v>
      </c>
      <c r="BM156" s="27">
        <f>INDEX($BA$6:$BW$138,84,13)</f>
        <v>3.2697865394065078</v>
      </c>
      <c r="BN156" s="23">
        <f t="shared" si="661"/>
        <v>0</v>
      </c>
      <c r="BO156" s="14">
        <f t="shared" si="633"/>
        <v>55</v>
      </c>
      <c r="BP156" s="23">
        <f t="shared" si="662"/>
        <v>0</v>
      </c>
      <c r="BQ156" s="27">
        <f>INDEX($BA$6:$BW$138,84,17)</f>
        <v>314.58428346602915</v>
      </c>
      <c r="BR156" s="14">
        <f t="shared" si="634"/>
        <v>880</v>
      </c>
      <c r="BS156" s="350">
        <f>INDEX($BA$6:$BW$138,84,19)</f>
        <v>0</v>
      </c>
      <c r="BT156" s="26">
        <f t="shared" si="693"/>
        <v>880</v>
      </c>
      <c r="BU156" s="14">
        <f t="shared" si="635"/>
        <v>80</v>
      </c>
      <c r="BV156" s="26">
        <f>INDEX($BA$6:$BW$138,84,22)</f>
        <v>0</v>
      </c>
      <c r="BW156" s="26">
        <f t="shared" si="701"/>
        <v>80</v>
      </c>
      <c r="BY156" s="1"/>
      <c r="BZ156" s="25">
        <v>11</v>
      </c>
      <c r="CA156" s="25" t="str">
        <f t="shared" si="699"/>
        <v>CASETA G1</v>
      </c>
      <c r="CB156" s="26">
        <f>INDEX($BZ$6:$CV$138,81,3)</f>
        <v>0</v>
      </c>
      <c r="CC156" s="26">
        <f>INDEX($BZ$6:$CV$138,84,4)</f>
        <v>0</v>
      </c>
      <c r="CD156" s="23">
        <f>SUMIFS($CD$6:$CD$138,$BZ$6:$BZ$138,$BZ156)</f>
        <v>0</v>
      </c>
      <c r="CE156" s="23">
        <f>SUMIFS($CE$6:$CE$138,$BZ$6:$BZ$138,$BZ156)</f>
        <v>0</v>
      </c>
      <c r="CF156" s="23">
        <f>SUMIFS($CF$6:$CF$138,$BZ$6:$BZ$138,$BZ156)</f>
        <v>0</v>
      </c>
      <c r="CG156" s="88">
        <f>SUM(CD156:CF156)</f>
        <v>0</v>
      </c>
      <c r="CH156" s="26">
        <f>INDEX($BZ$6:$CV$138,84,9)</f>
        <v>0</v>
      </c>
      <c r="CI156" s="47">
        <f>VLOOKUP($BZ156,LOHMANN,4,FALSE)</f>
        <v>0.16</v>
      </c>
      <c r="CJ156" s="23">
        <f>AVERAGEIFS($CJ$6:$CJ$138,$BZ$6:$BZ$138,$BZ156)</f>
        <v>0</v>
      </c>
      <c r="CK156" s="47">
        <f>VLOOKUP($BZ156,LOHMANN,5,FALSE)</f>
        <v>3.3600000000000008</v>
      </c>
      <c r="CL156" s="27">
        <f>INDEX($BZ$6:$CV$138,84,13)</f>
        <v>0</v>
      </c>
      <c r="CM156" s="23">
        <f>SUMIFS($CM$6:$CM$138,$BZ$6:$BZ$138,$BZ156)</f>
        <v>0</v>
      </c>
      <c r="CN156" s="14">
        <f>VLOOKUP($BZ156,LOHMANN,6,FALSE)</f>
        <v>55</v>
      </c>
      <c r="CO156" s="23">
        <f t="shared" ref="CO156:CO163" si="704">IFERROR(((CM156/7)/CB156)*1000,0)</f>
        <v>0</v>
      </c>
      <c r="CP156" s="27">
        <f>INDEX($BZ$6:$CV$138,84,17)</f>
        <v>0</v>
      </c>
      <c r="CQ156" s="14">
        <f t="shared" si="636"/>
        <v>880</v>
      </c>
      <c r="CR156" s="351">
        <f>INDEX($BZ$6:$CV$138,84,19)</f>
        <v>0</v>
      </c>
      <c r="CS156" s="416">
        <f t="shared" si="671"/>
        <v>880</v>
      </c>
      <c r="CT156" s="14">
        <f t="shared" si="672"/>
        <v>80</v>
      </c>
      <c r="CU156" s="29">
        <f>INDEX($BZ$6:$CV$138,84,22)</f>
        <v>0</v>
      </c>
      <c r="CV156" s="417">
        <f t="shared" si="673"/>
        <v>80</v>
      </c>
      <c r="CY156" s="25">
        <v>11</v>
      </c>
      <c r="CZ156" s="25" t="str">
        <f t="shared" si="700"/>
        <v>CASETA G2</v>
      </c>
      <c r="DA156" s="26">
        <f>INDEX($CY$6:$DU$138,82,3)</f>
        <v>0</v>
      </c>
      <c r="DB156" s="26">
        <f>INDEX($CY$6:$DU$138,84,4)</f>
        <v>0</v>
      </c>
      <c r="DC156" s="23">
        <f>SUMIFS($DC$6:$DC$138,$CY$6:$CY$138,$CY156)</f>
        <v>0</v>
      </c>
      <c r="DD156" s="23">
        <f>SUMIFS($DD$6:$DD$138,$CY$6:$CY$138,$CY156)</f>
        <v>0</v>
      </c>
      <c r="DE156" s="23">
        <f>SUMIFS($DE$6:$DE$138,$CY$6:$CY$138,$CY156)</f>
        <v>0</v>
      </c>
      <c r="DF156" s="88">
        <f t="shared" ref="DF156:DF161" si="705">SUM(DC156:DE156)</f>
        <v>0</v>
      </c>
      <c r="DG156" s="26">
        <f>INDEX($CY$6:$DU$138,84,9)</f>
        <v>0</v>
      </c>
      <c r="DH156" s="47">
        <f>VLOOKUP($BZ156,LOHMANN,4,FALSE)</f>
        <v>0.16</v>
      </c>
      <c r="DI156" s="23">
        <f>AVERAGEIFS($DI$6:$DI$138,$CY$6:$CY$138,$CY156)</f>
        <v>0</v>
      </c>
      <c r="DJ156" s="47">
        <f>VLOOKUP($BZ156,LOHMANN,5,FALSE)</f>
        <v>3.3600000000000008</v>
      </c>
      <c r="DK156" s="27">
        <f>INDEX($CY$6:$DU$138,84,13)</f>
        <v>0</v>
      </c>
      <c r="DL156" s="23">
        <f>SUMIFS($DL$6:$DL$138,$CY$6:$CY$138,$CY156)</f>
        <v>0</v>
      </c>
      <c r="DM156" s="14">
        <f t="shared" si="681"/>
        <v>55</v>
      </c>
      <c r="DN156" s="23">
        <f>IFERROR(((DL156/7)/DA156)*1000,0)</f>
        <v>0</v>
      </c>
      <c r="DO156" s="27">
        <f>INDEX($CY$6:$DU$138,84,17)</f>
        <v>0</v>
      </c>
      <c r="DP156" s="14">
        <f t="shared" si="637"/>
        <v>880</v>
      </c>
      <c r="DQ156" s="351">
        <f>INDEX($BZ$6:$CV$138,84,19)</f>
        <v>0</v>
      </c>
      <c r="DR156" s="416">
        <f t="shared" si="682"/>
        <v>880</v>
      </c>
      <c r="DS156" s="14">
        <f t="shared" si="683"/>
        <v>80</v>
      </c>
      <c r="DT156" s="29">
        <f>INDEX($CY$6:$DU$138,84,22)</f>
        <v>0</v>
      </c>
      <c r="DU156" s="417">
        <f t="shared" si="684"/>
        <v>80</v>
      </c>
    </row>
    <row r="157" spans="3:125" x14ac:dyDescent="0.25">
      <c r="C157" s="25">
        <v>12</v>
      </c>
      <c r="D157" s="23" t="str">
        <f t="shared" si="685"/>
        <v>CASETA 1</v>
      </c>
      <c r="E157" s="26">
        <f>INDEX($C$6:$Y$138,85,3)</f>
        <v>171956</v>
      </c>
      <c r="F157" s="26">
        <f>INDEX($C$6:$Y$138,91,4)</f>
        <v>171956</v>
      </c>
      <c r="G157" s="23">
        <f t="shared" si="686"/>
        <v>0</v>
      </c>
      <c r="H157" s="23">
        <f t="shared" si="687"/>
        <v>0</v>
      </c>
      <c r="I157" s="23">
        <f t="shared" si="688"/>
        <v>0</v>
      </c>
      <c r="J157" s="88">
        <f t="shared" si="689"/>
        <v>0</v>
      </c>
      <c r="K157" s="26">
        <f>INDEX($C$6:$Y$138,91,9)</f>
        <v>4875</v>
      </c>
      <c r="L157" s="47">
        <f t="shared" si="625"/>
        <v>0.16</v>
      </c>
      <c r="M157" s="28">
        <f t="shared" si="638"/>
        <v>0</v>
      </c>
      <c r="N157" s="47">
        <f t="shared" si="639"/>
        <v>3.5200000000000009</v>
      </c>
      <c r="O157" s="47">
        <f t="shared" si="703"/>
        <v>2.8350275651910954</v>
      </c>
      <c r="P157" s="464">
        <f t="shared" si="690"/>
        <v>0</v>
      </c>
      <c r="Q157" s="14">
        <f t="shared" si="640"/>
        <v>58</v>
      </c>
      <c r="R157" s="23">
        <f>IFERROR(((P157/7)/E157)*1000,0)</f>
        <v>0</v>
      </c>
      <c r="S157" s="30">
        <f>INDEX($C$6:$Y$138,91,17)</f>
        <v>328.79467076367098</v>
      </c>
      <c r="T157" s="14">
        <f t="shared" si="641"/>
        <v>950</v>
      </c>
      <c r="U157" s="349">
        <f>INDEX($C$6:$Y$138,91,19)</f>
        <v>0</v>
      </c>
      <c r="V157" s="415">
        <f t="shared" si="627"/>
        <v>950</v>
      </c>
      <c r="W157" s="14">
        <f t="shared" si="628"/>
        <v>82</v>
      </c>
      <c r="X157" s="75">
        <f>INDEX($C$6:$Y$138,91,22)</f>
        <v>0</v>
      </c>
      <c r="Y157" s="609">
        <f t="shared" si="629"/>
        <v>82</v>
      </c>
      <c r="Z157" s="489"/>
      <c r="AA157" s="1"/>
      <c r="AB157" s="25">
        <v>12</v>
      </c>
      <c r="AC157" s="23" t="str">
        <f t="shared" si="692"/>
        <v>CASETA 2</v>
      </c>
      <c r="AD157" s="26">
        <f>INDEX($AB$6:$AX$138,85,3)</f>
        <v>0</v>
      </c>
      <c r="AE157" s="26">
        <f>INDEX($AB$6:$AX$138,91,4)</f>
        <v>0</v>
      </c>
      <c r="AF157" s="23">
        <f t="shared" si="642"/>
        <v>0</v>
      </c>
      <c r="AG157" s="23">
        <f t="shared" si="643"/>
        <v>0</v>
      </c>
      <c r="AH157" s="23">
        <f t="shared" si="644"/>
        <v>0</v>
      </c>
      <c r="AI157" s="88">
        <f t="shared" si="645"/>
        <v>0</v>
      </c>
      <c r="AJ157" s="26">
        <f>INDEX($AB$6:$AX$138,91,9)</f>
        <v>0</v>
      </c>
      <c r="AK157" s="47">
        <f t="shared" si="646"/>
        <v>0.16</v>
      </c>
      <c r="AL157" s="28">
        <f t="shared" si="647"/>
        <v>0</v>
      </c>
      <c r="AM157" s="47">
        <f t="shared" si="648"/>
        <v>3.5200000000000009</v>
      </c>
      <c r="AN157" s="47">
        <f t="shared" si="649"/>
        <v>0</v>
      </c>
      <c r="AO157" s="464">
        <f t="shared" si="650"/>
        <v>0</v>
      </c>
      <c r="AP157" s="14">
        <f t="shared" si="651"/>
        <v>58</v>
      </c>
      <c r="AQ157" s="23">
        <f>IFERROR(((AO157/7)/AD157)*1000,0)</f>
        <v>0</v>
      </c>
      <c r="AR157" s="30">
        <f>INDEX($AB$6:$AX$138,91,17)</f>
        <v>0</v>
      </c>
      <c r="AS157" s="14">
        <f t="shared" si="653"/>
        <v>950</v>
      </c>
      <c r="AT157" s="349">
        <f>INDEX($AB$6:$AX$138,91,19)</f>
        <v>0</v>
      </c>
      <c r="AU157" s="415">
        <f t="shared" si="654"/>
        <v>950</v>
      </c>
      <c r="AV157" s="14">
        <f t="shared" si="655"/>
        <v>82</v>
      </c>
      <c r="AW157" s="75">
        <f>INDEX($AB$6:$AX$138,91,22)</f>
        <v>0</v>
      </c>
      <c r="AX157" s="609">
        <f t="shared" si="630"/>
        <v>82</v>
      </c>
      <c r="AZ157" s="1"/>
      <c r="BA157" s="25">
        <v>12</v>
      </c>
      <c r="BB157" s="25" t="str">
        <f t="shared" si="698"/>
        <v>CASETA 3</v>
      </c>
      <c r="BC157" s="26">
        <f>INDEX($BA$6:$BW$138,85,3)</f>
        <v>116143</v>
      </c>
      <c r="BD157" s="26">
        <f>INDEX($BA$6:$BW$138,91,4)</f>
        <v>116143</v>
      </c>
      <c r="BE157" s="23">
        <f t="shared" si="656"/>
        <v>0</v>
      </c>
      <c r="BF157" s="23">
        <f t="shared" si="657"/>
        <v>0</v>
      </c>
      <c r="BG157" s="23">
        <f t="shared" si="658"/>
        <v>0</v>
      </c>
      <c r="BH157" s="88">
        <f t="shared" si="659"/>
        <v>0</v>
      </c>
      <c r="BI157" s="26">
        <f>INDEX($BA$6:$BW$138,91,9)</f>
        <v>3926</v>
      </c>
      <c r="BJ157" s="47">
        <f t="shared" si="631"/>
        <v>0.16</v>
      </c>
      <c r="BK157" s="28">
        <f t="shared" si="660"/>
        <v>0</v>
      </c>
      <c r="BL157" s="47">
        <f t="shared" si="632"/>
        <v>3.5200000000000009</v>
      </c>
      <c r="BM157" s="27">
        <f>INDEX($BA$6:$BW$138,91,13)</f>
        <v>3.2697865394065078</v>
      </c>
      <c r="BN157" s="23">
        <f t="shared" si="661"/>
        <v>0</v>
      </c>
      <c r="BO157" s="14">
        <f t="shared" si="633"/>
        <v>58</v>
      </c>
      <c r="BP157" s="23">
        <f>IFERROR(((BN157/7)/BC157)*1000,0)</f>
        <v>0</v>
      </c>
      <c r="BQ157" s="27">
        <f>INDEX($BA$6:$BW$138,91,17)</f>
        <v>314.58428346602915</v>
      </c>
      <c r="BR157" s="14">
        <f t="shared" si="634"/>
        <v>950</v>
      </c>
      <c r="BS157" s="350">
        <f>INDEX($BA$6:$BW$138,91,19)</f>
        <v>0</v>
      </c>
      <c r="BT157" s="26">
        <f t="shared" si="693"/>
        <v>950</v>
      </c>
      <c r="BU157" s="14">
        <f t="shared" si="635"/>
        <v>82</v>
      </c>
      <c r="BV157" s="26">
        <f>INDEX($BA$6:$BW$138,91,22)</f>
        <v>0</v>
      </c>
      <c r="BW157" s="26">
        <f t="shared" si="701"/>
        <v>82</v>
      </c>
      <c r="BY157" s="1"/>
      <c r="BZ157" s="25">
        <v>12</v>
      </c>
      <c r="CA157" s="25" t="str">
        <f t="shared" si="699"/>
        <v>CASETA G1</v>
      </c>
      <c r="CB157" s="26">
        <f>INDEX($BZ$6:$CV$138,85,3)</f>
        <v>0</v>
      </c>
      <c r="CC157" s="26">
        <f>INDEX($BZ$6:$CV$138,91,4)</f>
        <v>0</v>
      </c>
      <c r="CD157" s="23">
        <f t="shared" si="663"/>
        <v>0</v>
      </c>
      <c r="CE157" s="23">
        <f t="shared" si="664"/>
        <v>0</v>
      </c>
      <c r="CF157" s="23">
        <f t="shared" si="665"/>
        <v>0</v>
      </c>
      <c r="CG157" s="88">
        <f>SUM(CD157:CF157)</f>
        <v>0</v>
      </c>
      <c r="CH157" s="26">
        <f>INDEX($BZ$6:$CV$138,91,9)</f>
        <v>0</v>
      </c>
      <c r="CI157" s="47">
        <f t="shared" si="667"/>
        <v>0.16</v>
      </c>
      <c r="CJ157" s="23">
        <f>AVERAGEIFS($CJ$6:$CJ$138,$BZ$6:$BZ$138,$BZ157)</f>
        <v>0</v>
      </c>
      <c r="CK157" s="47">
        <f t="shared" si="668"/>
        <v>3.5200000000000009</v>
      </c>
      <c r="CL157" s="27">
        <f>INDEX($BZ$6:$CV$138,91,13)</f>
        <v>0</v>
      </c>
      <c r="CM157" s="23">
        <f t="shared" si="669"/>
        <v>0</v>
      </c>
      <c r="CN157" s="14">
        <f t="shared" si="670"/>
        <v>58</v>
      </c>
      <c r="CO157" s="23">
        <f>IFERROR(((CM157/7)/CB157)*1000,0)</f>
        <v>0</v>
      </c>
      <c r="CP157" s="27">
        <f>INDEX($BZ$6:$CV$138,91,17)</f>
        <v>0</v>
      </c>
      <c r="CQ157" s="14">
        <f t="shared" si="636"/>
        <v>950</v>
      </c>
      <c r="CR157" s="351">
        <f>INDEX($BZ$6:$CV$138,91,19)</f>
        <v>0</v>
      </c>
      <c r="CS157" s="416">
        <f t="shared" si="671"/>
        <v>950</v>
      </c>
      <c r="CT157" s="14">
        <f t="shared" si="672"/>
        <v>82</v>
      </c>
      <c r="CU157" s="29">
        <f>INDEX($BZ$6:$CV$138,91,22)</f>
        <v>0</v>
      </c>
      <c r="CV157" s="417">
        <f t="shared" si="673"/>
        <v>82</v>
      </c>
      <c r="CY157" s="25">
        <v>12</v>
      </c>
      <c r="CZ157" s="25" t="str">
        <f t="shared" si="700"/>
        <v>CASETA G2</v>
      </c>
      <c r="DA157" s="26">
        <f>INDEX($CY$6:$DU$138,86,3)</f>
        <v>0</v>
      </c>
      <c r="DB157" s="26">
        <f>INDEX($CY$6:$DU$138,91,4)</f>
        <v>0</v>
      </c>
      <c r="DC157" s="23">
        <f>SUMIFS($DC$6:$DC$138,$CY$6:$CY$138,$CY157)</f>
        <v>0</v>
      </c>
      <c r="DD157" s="23">
        <f>SUMIFS($DD$6:$DD$138,$CY$6:$CY$138,$CY157)</f>
        <v>0</v>
      </c>
      <c r="DE157" s="23">
        <f t="shared" ref="DE157:DE163" si="706">SUMIFS($DE$6:$DE$138,$CY$6:$CY$138,$CY157)</f>
        <v>0</v>
      </c>
      <c r="DF157" s="88">
        <f t="shared" si="705"/>
        <v>0</v>
      </c>
      <c r="DG157" s="26">
        <f>INDEX($CY$6:$DU$138,91,9)</f>
        <v>0</v>
      </c>
      <c r="DH157" s="47">
        <f t="shared" si="678"/>
        <v>0.16</v>
      </c>
      <c r="DI157" s="23">
        <f t="shared" ref="DI157:DI163" si="707">AVERAGEIFS($DI$6:$DI$138,$CY$6:$CY$138,$CY157)</f>
        <v>0</v>
      </c>
      <c r="DJ157" s="47">
        <f t="shared" si="679"/>
        <v>3.5200000000000009</v>
      </c>
      <c r="DK157" s="27">
        <f>INDEX($CY$6:$DU$138,91,13)</f>
        <v>0</v>
      </c>
      <c r="DL157" s="23">
        <f t="shared" ref="DL157:DL163" si="708">SUMIFS($DL$6:$DL$138,$CY$6:$CY$138,$CY157)</f>
        <v>0</v>
      </c>
      <c r="DM157" s="14">
        <f t="shared" si="681"/>
        <v>58</v>
      </c>
      <c r="DN157" s="23">
        <f>IFERROR(((DL157/7)/DA157)*1000,0)</f>
        <v>0</v>
      </c>
      <c r="DO157" s="27">
        <f>INDEX($CY$6:$DU$138,91,17)</f>
        <v>0</v>
      </c>
      <c r="DP157" s="14">
        <f t="shared" si="637"/>
        <v>950</v>
      </c>
      <c r="DQ157" s="351">
        <f>INDEX($CY$6:$DU$138,91,19)</f>
        <v>0</v>
      </c>
      <c r="DR157" s="416">
        <f t="shared" si="682"/>
        <v>950</v>
      </c>
      <c r="DS157" s="14">
        <f t="shared" si="683"/>
        <v>82</v>
      </c>
      <c r="DT157" s="29">
        <f>INDEX($CY$6:$DU$138,91,22)</f>
        <v>0</v>
      </c>
      <c r="DU157" s="417">
        <f t="shared" si="684"/>
        <v>82</v>
      </c>
    </row>
    <row r="158" spans="3:125" x14ac:dyDescent="0.25">
      <c r="C158" s="25">
        <v>13</v>
      </c>
      <c r="D158" s="23" t="str">
        <f t="shared" si="685"/>
        <v>CASETA 1</v>
      </c>
      <c r="E158" s="26">
        <f>INDEX($C$6:$Y$138,92,3)</f>
        <v>171956</v>
      </c>
      <c r="F158" s="26">
        <f>INDEX($C$6:$Y$138,98,4)</f>
        <v>171956</v>
      </c>
      <c r="G158" s="23">
        <f t="shared" si="686"/>
        <v>0</v>
      </c>
      <c r="H158" s="23">
        <f t="shared" si="687"/>
        <v>0</v>
      </c>
      <c r="I158" s="23">
        <f t="shared" si="688"/>
        <v>0</v>
      </c>
      <c r="J158" s="88">
        <f>SUM(G158:I158)</f>
        <v>0</v>
      </c>
      <c r="K158" s="26">
        <f>INDEX($C$6:$Y$138,98,9)</f>
        <v>4875</v>
      </c>
      <c r="L158" s="47">
        <f t="shared" si="625"/>
        <v>0.16</v>
      </c>
      <c r="M158" s="28">
        <f t="shared" si="638"/>
        <v>0</v>
      </c>
      <c r="N158" s="47">
        <f t="shared" si="639"/>
        <v>3.680000000000001</v>
      </c>
      <c r="O158" s="47">
        <f t="shared" si="703"/>
        <v>2.8350275651910954</v>
      </c>
      <c r="P158" s="464">
        <f t="shared" si="690"/>
        <v>0</v>
      </c>
      <c r="Q158" s="14">
        <f t="shared" si="640"/>
        <v>61</v>
      </c>
      <c r="R158" s="23">
        <f t="shared" si="691"/>
        <v>0</v>
      </c>
      <c r="S158" s="30">
        <f>INDEX($C$6:$Y$138,98,17)</f>
        <v>328.79467076367098</v>
      </c>
      <c r="T158" s="14">
        <f t="shared" si="641"/>
        <v>1010</v>
      </c>
      <c r="U158" s="349">
        <f>INDEX($C$6:$Y$138,98,19)</f>
        <v>0</v>
      </c>
      <c r="V158" s="415">
        <f t="shared" si="627"/>
        <v>1010</v>
      </c>
      <c r="W158" s="14">
        <f t="shared" si="628"/>
        <v>82</v>
      </c>
      <c r="X158" s="75">
        <f>INDEX($C$6:$Y$138,98,22)</f>
        <v>0</v>
      </c>
      <c r="Y158" s="609">
        <f t="shared" si="629"/>
        <v>82</v>
      </c>
      <c r="Z158" s="489"/>
      <c r="AA158" s="1"/>
      <c r="AB158" s="25">
        <v>13</v>
      </c>
      <c r="AC158" s="23" t="str">
        <f t="shared" si="692"/>
        <v>CASETA 2</v>
      </c>
      <c r="AD158" s="26">
        <f>INDEX($AB$6:$AX$138,92,3)</f>
        <v>0</v>
      </c>
      <c r="AE158" s="26">
        <f>INDEX($AB$6:$AX$138,98,4)</f>
        <v>0</v>
      </c>
      <c r="AF158" s="23">
        <f t="shared" si="642"/>
        <v>0</v>
      </c>
      <c r="AG158" s="23">
        <f t="shared" si="643"/>
        <v>0</v>
      </c>
      <c r="AH158" s="23">
        <f t="shared" si="644"/>
        <v>0</v>
      </c>
      <c r="AI158" s="88">
        <f t="shared" si="645"/>
        <v>0</v>
      </c>
      <c r="AJ158" s="26">
        <f>INDEX($AB$6:$AX$138,98,9)</f>
        <v>0</v>
      </c>
      <c r="AK158" s="47">
        <f t="shared" si="646"/>
        <v>0.16</v>
      </c>
      <c r="AL158" s="28">
        <f t="shared" si="647"/>
        <v>0</v>
      </c>
      <c r="AM158" s="47">
        <f t="shared" si="648"/>
        <v>3.680000000000001</v>
      </c>
      <c r="AN158" s="47">
        <f t="shared" si="649"/>
        <v>0</v>
      </c>
      <c r="AO158" s="464">
        <f t="shared" si="650"/>
        <v>0</v>
      </c>
      <c r="AP158" s="14">
        <f t="shared" si="651"/>
        <v>61</v>
      </c>
      <c r="AQ158" s="23">
        <f t="shared" si="652"/>
        <v>0</v>
      </c>
      <c r="AR158" s="30">
        <f>INDEX($AB$6:$AX$138,98,17)</f>
        <v>0</v>
      </c>
      <c r="AS158" s="14">
        <f t="shared" si="653"/>
        <v>1010</v>
      </c>
      <c r="AT158" s="349">
        <f>INDEX($AB$6:$AX$138,98,19)</f>
        <v>0</v>
      </c>
      <c r="AU158" s="415">
        <f t="shared" si="654"/>
        <v>1010</v>
      </c>
      <c r="AV158" s="14">
        <f t="shared" si="655"/>
        <v>82</v>
      </c>
      <c r="AW158" s="75">
        <f>INDEX($AB$6:$AX$138,98,22)</f>
        <v>0</v>
      </c>
      <c r="AX158" s="609">
        <f t="shared" si="630"/>
        <v>82</v>
      </c>
      <c r="AZ158" s="1"/>
      <c r="BA158" s="25">
        <v>13</v>
      </c>
      <c r="BB158" s="25" t="str">
        <f t="shared" si="698"/>
        <v>CASETA 3</v>
      </c>
      <c r="BC158" s="26">
        <f>INDEX($BA$6:$BW$138,92,3)</f>
        <v>116143</v>
      </c>
      <c r="BD158" s="26">
        <f>INDEX($BA$6:$BW$138,98,4)</f>
        <v>116143</v>
      </c>
      <c r="BE158" s="23">
        <f t="shared" si="656"/>
        <v>0</v>
      </c>
      <c r="BF158" s="23">
        <f t="shared" si="657"/>
        <v>0</v>
      </c>
      <c r="BG158" s="23">
        <f t="shared" si="658"/>
        <v>0</v>
      </c>
      <c r="BH158" s="88">
        <f t="shared" si="659"/>
        <v>0</v>
      </c>
      <c r="BI158" s="26">
        <f>INDEX($BA$6:$BW$138,98,9)</f>
        <v>3926</v>
      </c>
      <c r="BJ158" s="47">
        <f t="shared" si="631"/>
        <v>0.16</v>
      </c>
      <c r="BK158" s="28">
        <f t="shared" si="660"/>
        <v>0</v>
      </c>
      <c r="BL158" s="47">
        <f t="shared" si="632"/>
        <v>3.680000000000001</v>
      </c>
      <c r="BM158" s="27">
        <f>INDEX($BA$6:$BW$138,98,13)</f>
        <v>3.2697865394065078</v>
      </c>
      <c r="BN158" s="23">
        <f t="shared" si="661"/>
        <v>0</v>
      </c>
      <c r="BO158" s="14">
        <f t="shared" si="633"/>
        <v>61</v>
      </c>
      <c r="BP158" s="23">
        <f t="shared" si="662"/>
        <v>0</v>
      </c>
      <c r="BQ158" s="27">
        <f>INDEX($BA$6:$BW$138,98,17)</f>
        <v>314.58428346602915</v>
      </c>
      <c r="BR158" s="14">
        <f t="shared" si="634"/>
        <v>1010</v>
      </c>
      <c r="BS158" s="350">
        <f>INDEX($BA$6:$BW$138,98,19)</f>
        <v>0</v>
      </c>
      <c r="BT158" s="26">
        <f t="shared" si="693"/>
        <v>1010</v>
      </c>
      <c r="BU158" s="14">
        <f t="shared" si="635"/>
        <v>82</v>
      </c>
      <c r="BV158" s="26">
        <f>INDEX($BA$6:$BW$138,98,22)</f>
        <v>0</v>
      </c>
      <c r="BW158" s="26">
        <f t="shared" si="701"/>
        <v>82</v>
      </c>
      <c r="BY158" s="1"/>
      <c r="BZ158" s="25">
        <v>13</v>
      </c>
      <c r="CA158" s="25" t="str">
        <f t="shared" si="699"/>
        <v>CASETA G1</v>
      </c>
      <c r="CB158" s="26">
        <f>INDEX($BZ$6:$CV$138,92,3)</f>
        <v>0</v>
      </c>
      <c r="CC158" s="26">
        <f>INDEX($BZ$6:$CV$138,98,4)</f>
        <v>0</v>
      </c>
      <c r="CD158" s="23">
        <f t="shared" si="663"/>
        <v>0</v>
      </c>
      <c r="CE158" s="23">
        <f t="shared" si="664"/>
        <v>0</v>
      </c>
      <c r="CF158" s="23">
        <f t="shared" si="665"/>
        <v>0</v>
      </c>
      <c r="CG158" s="88">
        <f t="shared" si="666"/>
        <v>0</v>
      </c>
      <c r="CH158" s="26">
        <f>INDEX($BZ$6:$CV$138,98,9)</f>
        <v>0</v>
      </c>
      <c r="CI158" s="47">
        <f t="shared" si="667"/>
        <v>0.16</v>
      </c>
      <c r="CJ158" s="23">
        <f t="shared" si="694"/>
        <v>0</v>
      </c>
      <c r="CK158" s="47">
        <f t="shared" si="668"/>
        <v>3.680000000000001</v>
      </c>
      <c r="CL158" s="27">
        <f>INDEX($BZ$6:$CV$138,98,13)</f>
        <v>0</v>
      </c>
      <c r="CM158" s="23">
        <f t="shared" si="669"/>
        <v>0</v>
      </c>
      <c r="CN158" s="14">
        <f t="shared" si="670"/>
        <v>61</v>
      </c>
      <c r="CO158" s="23">
        <f t="shared" si="704"/>
        <v>0</v>
      </c>
      <c r="CP158" s="27">
        <f>INDEX($BZ$6:$CV$138,98,17)</f>
        <v>0</v>
      </c>
      <c r="CQ158" s="14">
        <f t="shared" si="636"/>
        <v>1010</v>
      </c>
      <c r="CR158" s="351">
        <f>INDEX($BZ$6:$CV$138,98,19)</f>
        <v>0</v>
      </c>
      <c r="CS158" s="416">
        <f t="shared" si="671"/>
        <v>1010</v>
      </c>
      <c r="CT158" s="14">
        <f t="shared" si="672"/>
        <v>82</v>
      </c>
      <c r="CU158" s="29">
        <f>INDEX($BZ$6:$CV$138,98,22)</f>
        <v>0</v>
      </c>
      <c r="CV158" s="417">
        <f t="shared" si="673"/>
        <v>82</v>
      </c>
      <c r="CY158" s="25">
        <v>13</v>
      </c>
      <c r="CZ158" s="25" t="str">
        <f t="shared" si="700"/>
        <v>CASETA G2</v>
      </c>
      <c r="DA158" s="26">
        <f>INDEX($CY$6:$DU$138,92,3)</f>
        <v>0</v>
      </c>
      <c r="DB158" s="26">
        <f>INDEX($CY$6:$DU$138,98,4)</f>
        <v>0</v>
      </c>
      <c r="DC158" s="23">
        <f t="shared" ref="DC158:DC163" si="709">SUMIFS($DC$6:$DC$138,$CY$6:$CY$138,$CY158)</f>
        <v>0</v>
      </c>
      <c r="DD158" s="23">
        <f t="shared" ref="DD158:DD163" si="710">SUMIFS($DD$6:$DD$138,$CY$6:$CY$138,$CY158)</f>
        <v>0</v>
      </c>
      <c r="DE158" s="23">
        <f t="shared" si="706"/>
        <v>0</v>
      </c>
      <c r="DF158" s="88">
        <f t="shared" si="705"/>
        <v>0</v>
      </c>
      <c r="DG158" s="26">
        <f>INDEX($CY$6:$DU$138,98,9)</f>
        <v>0</v>
      </c>
      <c r="DH158" s="47">
        <f t="shared" si="678"/>
        <v>0.16</v>
      </c>
      <c r="DI158" s="23">
        <f t="shared" si="707"/>
        <v>0</v>
      </c>
      <c r="DJ158" s="47">
        <f t="shared" si="679"/>
        <v>3.680000000000001</v>
      </c>
      <c r="DK158" s="27">
        <f>INDEX($CY$6:$DU$138,98,13)</f>
        <v>0</v>
      </c>
      <c r="DL158" s="23">
        <f t="shared" si="708"/>
        <v>0</v>
      </c>
      <c r="DM158" s="14">
        <f t="shared" si="681"/>
        <v>61</v>
      </c>
      <c r="DN158" s="23">
        <f t="shared" ref="DN158:DN163" si="711">IFERROR(((DL158/7)/DA158)*1000,0)</f>
        <v>0</v>
      </c>
      <c r="DO158" s="27">
        <f>INDEX($CY$6:$DU$138,98,17)</f>
        <v>0</v>
      </c>
      <c r="DP158" s="14">
        <f t="shared" si="637"/>
        <v>1010</v>
      </c>
      <c r="DQ158" s="351">
        <f>INDEX($CY$6:$DU$138,98,19)</f>
        <v>0</v>
      </c>
      <c r="DR158" s="416">
        <f t="shared" si="682"/>
        <v>1010</v>
      </c>
      <c r="DS158" s="14">
        <f t="shared" si="683"/>
        <v>82</v>
      </c>
      <c r="DT158" s="29">
        <f>INDEX($CY$6:$DU$138,98,22)</f>
        <v>0</v>
      </c>
      <c r="DU158" s="417">
        <f t="shared" si="684"/>
        <v>82</v>
      </c>
    </row>
    <row r="159" spans="3:125" x14ac:dyDescent="0.25">
      <c r="C159" s="25">
        <v>14</v>
      </c>
      <c r="D159" s="23" t="str">
        <f t="shared" si="685"/>
        <v>CASETA 1</v>
      </c>
      <c r="E159" s="26">
        <f>INDEX($C$6:$Y$138,99,3)</f>
        <v>171956</v>
      </c>
      <c r="F159" s="26">
        <f>INDEX($C$6:$Y$138,105,4)</f>
        <v>171956</v>
      </c>
      <c r="G159" s="23">
        <f t="shared" si="686"/>
        <v>0</v>
      </c>
      <c r="H159" s="23">
        <f t="shared" si="687"/>
        <v>0</v>
      </c>
      <c r="I159" s="23">
        <f t="shared" si="688"/>
        <v>0</v>
      </c>
      <c r="J159" s="88">
        <f t="shared" si="689"/>
        <v>0</v>
      </c>
      <c r="K159" s="26">
        <f>INDEX($C$6:$Y$138,105,9)</f>
        <v>4875</v>
      </c>
      <c r="L159" s="47">
        <f t="shared" si="625"/>
        <v>0.16</v>
      </c>
      <c r="M159" s="28">
        <f t="shared" si="638"/>
        <v>0</v>
      </c>
      <c r="N159" s="47">
        <f t="shared" si="639"/>
        <v>3.8400000000000012</v>
      </c>
      <c r="O159" s="47">
        <f t="shared" si="703"/>
        <v>2.8350275651910954</v>
      </c>
      <c r="P159" s="464">
        <f t="shared" si="690"/>
        <v>0</v>
      </c>
      <c r="Q159" s="14">
        <f t="shared" si="640"/>
        <v>64</v>
      </c>
      <c r="R159" s="23">
        <f t="shared" si="691"/>
        <v>0</v>
      </c>
      <c r="S159" s="30">
        <f>INDEX($C$6:$Y$138,105,17)</f>
        <v>328.79467076367098</v>
      </c>
      <c r="T159" s="14">
        <f t="shared" si="641"/>
        <v>1065</v>
      </c>
      <c r="U159" s="349">
        <f>INDEX($C$6:$Y$138,105,19)</f>
        <v>0</v>
      </c>
      <c r="V159" s="415">
        <f t="shared" si="627"/>
        <v>1065</v>
      </c>
      <c r="W159" s="14">
        <f t="shared" si="628"/>
        <v>84</v>
      </c>
      <c r="X159" s="75">
        <f>INDEX($C$6:$Y$138,105,22)</f>
        <v>0</v>
      </c>
      <c r="Y159" s="609">
        <f t="shared" si="629"/>
        <v>84</v>
      </c>
      <c r="Z159" s="489"/>
      <c r="AA159" s="1"/>
      <c r="AB159" s="25">
        <v>14</v>
      </c>
      <c r="AC159" s="23" t="str">
        <f t="shared" si="692"/>
        <v>CASETA 2</v>
      </c>
      <c r="AD159" s="26">
        <f>INDEX($AB$6:$AX$138,99,3)</f>
        <v>0</v>
      </c>
      <c r="AE159" s="26">
        <f>INDEX($AB$6:$AX$138,105,4)</f>
        <v>0</v>
      </c>
      <c r="AF159" s="23">
        <f t="shared" si="642"/>
        <v>0</v>
      </c>
      <c r="AG159" s="23">
        <f t="shared" si="643"/>
        <v>0</v>
      </c>
      <c r="AH159" s="23">
        <f t="shared" si="644"/>
        <v>0</v>
      </c>
      <c r="AI159" s="88">
        <f t="shared" si="645"/>
        <v>0</v>
      </c>
      <c r="AJ159" s="26">
        <f>INDEX($AB$6:$AX$138,105,9)</f>
        <v>0</v>
      </c>
      <c r="AK159" s="47">
        <f t="shared" si="646"/>
        <v>0.16</v>
      </c>
      <c r="AL159" s="28">
        <f t="shared" si="647"/>
        <v>0</v>
      </c>
      <c r="AM159" s="47">
        <f t="shared" si="648"/>
        <v>3.8400000000000012</v>
      </c>
      <c r="AN159" s="47">
        <f t="shared" si="649"/>
        <v>0</v>
      </c>
      <c r="AO159" s="464">
        <f t="shared" si="650"/>
        <v>0</v>
      </c>
      <c r="AP159" s="14">
        <f t="shared" si="651"/>
        <v>64</v>
      </c>
      <c r="AQ159" s="23">
        <f t="shared" si="652"/>
        <v>0</v>
      </c>
      <c r="AR159" s="30">
        <f>INDEX($AB$6:$AX$138,105,17)</f>
        <v>0</v>
      </c>
      <c r="AS159" s="14">
        <f t="shared" si="653"/>
        <v>1065</v>
      </c>
      <c r="AT159" s="349">
        <f>INDEX($AB$6:$AX$138,105,19)</f>
        <v>0</v>
      </c>
      <c r="AU159" s="415">
        <f t="shared" si="654"/>
        <v>1065</v>
      </c>
      <c r="AV159" s="14">
        <f t="shared" si="655"/>
        <v>84</v>
      </c>
      <c r="AW159" s="75">
        <f>INDEX($AB$6:$AX$138,105,22)</f>
        <v>0</v>
      </c>
      <c r="AX159" s="609">
        <f t="shared" si="630"/>
        <v>84</v>
      </c>
      <c r="AZ159" s="1"/>
      <c r="BA159" s="25">
        <v>14</v>
      </c>
      <c r="BB159" s="25" t="str">
        <f t="shared" si="698"/>
        <v>CASETA 3</v>
      </c>
      <c r="BC159" s="26">
        <f>INDEX($BA$6:$BW$138,99,3)</f>
        <v>116143</v>
      </c>
      <c r="BD159" s="26">
        <f>INDEX($BA$6:$BW$138,105,4)</f>
        <v>116143</v>
      </c>
      <c r="BE159" s="23">
        <f t="shared" si="656"/>
        <v>0</v>
      </c>
      <c r="BF159" s="23">
        <f t="shared" si="657"/>
        <v>0</v>
      </c>
      <c r="BG159" s="23">
        <f t="shared" si="658"/>
        <v>0</v>
      </c>
      <c r="BH159" s="88">
        <f t="shared" si="659"/>
        <v>0</v>
      </c>
      <c r="BI159" s="26">
        <f>INDEX($BA$6:$BW$138,105,9)</f>
        <v>3926</v>
      </c>
      <c r="BJ159" s="47">
        <f t="shared" si="631"/>
        <v>0.16</v>
      </c>
      <c r="BK159" s="28">
        <f t="shared" si="660"/>
        <v>0</v>
      </c>
      <c r="BL159" s="47">
        <f t="shared" si="632"/>
        <v>3.8400000000000012</v>
      </c>
      <c r="BM159" s="27">
        <f>INDEX($BA$6:$BW$138,105,13)</f>
        <v>3.2697865394065078</v>
      </c>
      <c r="BN159" s="23">
        <f t="shared" si="661"/>
        <v>0</v>
      </c>
      <c r="BO159" s="14">
        <f t="shared" si="633"/>
        <v>64</v>
      </c>
      <c r="BP159" s="23">
        <f t="shared" si="662"/>
        <v>0</v>
      </c>
      <c r="BQ159" s="27">
        <f>INDEX($BA$6:$BW$138,105,17)</f>
        <v>314.58428346602915</v>
      </c>
      <c r="BR159" s="14">
        <f t="shared" si="634"/>
        <v>1065</v>
      </c>
      <c r="BS159" s="350">
        <f>INDEX($BA$6:$BW$138,105,19)</f>
        <v>0</v>
      </c>
      <c r="BT159" s="26">
        <f t="shared" si="693"/>
        <v>1065</v>
      </c>
      <c r="BU159" s="14">
        <f t="shared" si="635"/>
        <v>84</v>
      </c>
      <c r="BV159" s="26">
        <f>INDEX($BA$6:$BW$138,105,22)</f>
        <v>0</v>
      </c>
      <c r="BW159" s="26">
        <f t="shared" si="701"/>
        <v>84</v>
      </c>
      <c r="BY159" s="1"/>
      <c r="BZ159" s="25">
        <v>14</v>
      </c>
      <c r="CA159" s="25" t="str">
        <f t="shared" si="699"/>
        <v>CASETA G1</v>
      </c>
      <c r="CB159" s="26">
        <f>INDEX($BZ$6:$CV$138,99,3)</f>
        <v>0</v>
      </c>
      <c r="CC159" s="26">
        <f>INDEX($BZ$6:$CV$138,105,4)</f>
        <v>0</v>
      </c>
      <c r="CD159" s="23">
        <f t="shared" si="663"/>
        <v>0</v>
      </c>
      <c r="CE159" s="23">
        <f t="shared" si="664"/>
        <v>0</v>
      </c>
      <c r="CF159" s="23">
        <f t="shared" si="665"/>
        <v>0</v>
      </c>
      <c r="CG159" s="88">
        <f t="shared" si="666"/>
        <v>0</v>
      </c>
      <c r="CH159" s="26">
        <f>INDEX($BZ$6:$CV$138,105,9)</f>
        <v>0</v>
      </c>
      <c r="CI159" s="47">
        <f t="shared" si="667"/>
        <v>0.16</v>
      </c>
      <c r="CJ159" s="23">
        <f t="shared" si="694"/>
        <v>0</v>
      </c>
      <c r="CK159" s="47">
        <f t="shared" si="668"/>
        <v>3.8400000000000012</v>
      </c>
      <c r="CL159" s="27">
        <f>INDEX($BZ$6:$CV$138,105,13)</f>
        <v>0</v>
      </c>
      <c r="CM159" s="23">
        <f t="shared" si="669"/>
        <v>0</v>
      </c>
      <c r="CN159" s="14">
        <f t="shared" si="670"/>
        <v>64</v>
      </c>
      <c r="CO159" s="23">
        <f t="shared" si="704"/>
        <v>0</v>
      </c>
      <c r="CP159" s="27">
        <f>INDEX($BZ$6:$CV$138,105,17)</f>
        <v>0</v>
      </c>
      <c r="CQ159" s="14">
        <f t="shared" si="636"/>
        <v>1065</v>
      </c>
      <c r="CR159" s="351">
        <f>INDEX($BZ$6:$CV$138,105,19)</f>
        <v>0</v>
      </c>
      <c r="CS159" s="416">
        <f t="shared" si="671"/>
        <v>1065</v>
      </c>
      <c r="CT159" s="14">
        <f t="shared" si="672"/>
        <v>84</v>
      </c>
      <c r="CU159" s="29">
        <f>INDEX($BZ$6:$CV$138,105,22)</f>
        <v>0</v>
      </c>
      <c r="CV159" s="417">
        <f t="shared" si="673"/>
        <v>84</v>
      </c>
      <c r="CY159" s="25">
        <v>14</v>
      </c>
      <c r="CZ159" s="25" t="str">
        <f t="shared" si="700"/>
        <v>CASETA G2</v>
      </c>
      <c r="DA159" s="26">
        <f>INDEX($CY$6:$DU$138,99,3)</f>
        <v>0</v>
      </c>
      <c r="DB159" s="26">
        <f>INDEX($CY$6:$DU$138,105,4)</f>
        <v>0</v>
      </c>
      <c r="DC159" s="23">
        <f t="shared" si="709"/>
        <v>0</v>
      </c>
      <c r="DD159" s="23">
        <f t="shared" si="710"/>
        <v>0</v>
      </c>
      <c r="DE159" s="23">
        <f t="shared" si="706"/>
        <v>0</v>
      </c>
      <c r="DF159" s="88">
        <f t="shared" si="705"/>
        <v>0</v>
      </c>
      <c r="DG159" s="26">
        <f>INDEX($CY$6:$DU$138,105,9)</f>
        <v>0</v>
      </c>
      <c r="DH159" s="47">
        <f t="shared" si="678"/>
        <v>0.16</v>
      </c>
      <c r="DI159" s="23">
        <f t="shared" si="707"/>
        <v>0</v>
      </c>
      <c r="DJ159" s="47">
        <f t="shared" si="679"/>
        <v>3.8400000000000012</v>
      </c>
      <c r="DK159" s="27">
        <f>INDEX($CY$6:$DU$138,105,13)</f>
        <v>0</v>
      </c>
      <c r="DL159" s="23">
        <f t="shared" si="708"/>
        <v>0</v>
      </c>
      <c r="DM159" s="14">
        <f t="shared" si="681"/>
        <v>64</v>
      </c>
      <c r="DN159" s="23">
        <f t="shared" si="711"/>
        <v>0</v>
      </c>
      <c r="DO159" s="27">
        <f>INDEX($CY$6:$DU$138,105,17)</f>
        <v>0</v>
      </c>
      <c r="DP159" s="14">
        <f t="shared" si="637"/>
        <v>1065</v>
      </c>
      <c r="DQ159" s="351">
        <f>INDEX($CY$6:$DU$138,105,19)</f>
        <v>0</v>
      </c>
      <c r="DR159" s="416">
        <f t="shared" si="682"/>
        <v>1065</v>
      </c>
      <c r="DS159" s="14">
        <f t="shared" si="683"/>
        <v>84</v>
      </c>
      <c r="DT159" s="29">
        <f>INDEX($CY$6:$DU$138,105,22)</f>
        <v>0</v>
      </c>
      <c r="DU159" s="417">
        <f t="shared" si="684"/>
        <v>84</v>
      </c>
    </row>
    <row r="160" spans="3:125" x14ac:dyDescent="0.25">
      <c r="C160" s="25">
        <v>15</v>
      </c>
      <c r="D160" s="23" t="str">
        <f t="shared" si="685"/>
        <v>CASETA 1</v>
      </c>
      <c r="E160" s="26">
        <f>INDEX($C$6:$Y$138,106,3)</f>
        <v>171956</v>
      </c>
      <c r="F160" s="26">
        <f>INDEX($C$6:$Y$138,112,4)</f>
        <v>171956</v>
      </c>
      <c r="G160" s="23">
        <f t="shared" si="686"/>
        <v>0</v>
      </c>
      <c r="H160" s="23">
        <f t="shared" si="687"/>
        <v>0</v>
      </c>
      <c r="I160" s="23">
        <f t="shared" si="688"/>
        <v>0</v>
      </c>
      <c r="J160" s="88">
        <f>SUM(G160:I160)</f>
        <v>0</v>
      </c>
      <c r="K160" s="26">
        <f>INDEX($C$6:$Y$138,112,9)</f>
        <v>4875</v>
      </c>
      <c r="L160" s="47">
        <f t="shared" si="625"/>
        <v>0.16</v>
      </c>
      <c r="M160" s="28">
        <f t="shared" si="638"/>
        <v>0</v>
      </c>
      <c r="N160" s="47">
        <f t="shared" si="639"/>
        <v>4.0000000000000009</v>
      </c>
      <c r="O160" s="47">
        <f t="shared" si="703"/>
        <v>2.8350275651910954</v>
      </c>
      <c r="P160" s="464">
        <f t="shared" si="690"/>
        <v>0</v>
      </c>
      <c r="Q160" s="14">
        <f t="shared" si="640"/>
        <v>67</v>
      </c>
      <c r="R160" s="23">
        <f t="shared" si="691"/>
        <v>0</v>
      </c>
      <c r="S160" s="30">
        <f>INDEX($C$6:$Y$138,112,17)</f>
        <v>328.79467076367098</v>
      </c>
      <c r="T160" s="14">
        <f t="shared" si="641"/>
        <v>1115</v>
      </c>
      <c r="U160" s="349">
        <f>INDEX($C$6:$Y$138,112,19)</f>
        <v>0</v>
      </c>
      <c r="V160" s="415">
        <f t="shared" si="627"/>
        <v>1115</v>
      </c>
      <c r="W160" s="14">
        <f t="shared" si="628"/>
        <v>86</v>
      </c>
      <c r="X160" s="75">
        <f>INDEX($C$6:$Y$138,112,22)</f>
        <v>0</v>
      </c>
      <c r="Y160" s="609">
        <f t="shared" si="629"/>
        <v>86</v>
      </c>
      <c r="Z160" s="489"/>
      <c r="AA160" s="1"/>
      <c r="AB160" s="25">
        <v>15</v>
      </c>
      <c r="AC160" s="23" t="str">
        <f t="shared" si="692"/>
        <v>CASETA 2</v>
      </c>
      <c r="AD160" s="26">
        <f>INDEX($AB$6:$AX$138,106,3)</f>
        <v>0</v>
      </c>
      <c r="AE160" s="26">
        <f>INDEX($AB$6:$AX$138,112,4)</f>
        <v>0</v>
      </c>
      <c r="AF160" s="23">
        <f t="shared" si="642"/>
        <v>0</v>
      </c>
      <c r="AG160" s="23">
        <f t="shared" si="643"/>
        <v>0</v>
      </c>
      <c r="AH160" s="23">
        <f t="shared" si="644"/>
        <v>0</v>
      </c>
      <c r="AI160" s="88">
        <f t="shared" si="645"/>
        <v>0</v>
      </c>
      <c r="AJ160" s="26">
        <f>INDEX($AB$6:$AX$138,112,9)</f>
        <v>0</v>
      </c>
      <c r="AK160" s="47">
        <f t="shared" si="646"/>
        <v>0.16</v>
      </c>
      <c r="AL160" s="28">
        <f t="shared" si="647"/>
        <v>0</v>
      </c>
      <c r="AM160" s="47">
        <f t="shared" si="648"/>
        <v>4.0000000000000009</v>
      </c>
      <c r="AN160" s="47">
        <f t="shared" si="649"/>
        <v>0</v>
      </c>
      <c r="AO160" s="464">
        <f t="shared" si="650"/>
        <v>0</v>
      </c>
      <c r="AP160" s="14">
        <f t="shared" si="651"/>
        <v>67</v>
      </c>
      <c r="AQ160" s="23">
        <f t="shared" si="652"/>
        <v>0</v>
      </c>
      <c r="AR160" s="30">
        <f>INDEX($AB$6:$AX$138,112,17)</f>
        <v>0</v>
      </c>
      <c r="AS160" s="14">
        <f t="shared" si="653"/>
        <v>1115</v>
      </c>
      <c r="AT160" s="349">
        <f>INDEX($AB$6:$AX$138,112,19)</f>
        <v>0</v>
      </c>
      <c r="AU160" s="415">
        <f t="shared" si="654"/>
        <v>1115</v>
      </c>
      <c r="AV160" s="14">
        <f t="shared" si="655"/>
        <v>86</v>
      </c>
      <c r="AW160" s="75">
        <f>INDEX($AB$6:$AX$138,112,22)</f>
        <v>0</v>
      </c>
      <c r="AX160" s="609">
        <f t="shared" si="630"/>
        <v>86</v>
      </c>
      <c r="AZ160" s="1"/>
      <c r="BA160" s="25">
        <v>15</v>
      </c>
      <c r="BB160" s="25" t="str">
        <f t="shared" si="698"/>
        <v>CASETA 3</v>
      </c>
      <c r="BC160" s="26">
        <f>INDEX($BA$6:$BW$138,106,3)</f>
        <v>116143</v>
      </c>
      <c r="BD160" s="26">
        <f>INDEX($BA$6:$BW$138,112,4)</f>
        <v>116143</v>
      </c>
      <c r="BE160" s="23">
        <f>SUMIFS($BE$6:$BE$138,$BA$6:$BA$138,$BA160)</f>
        <v>0</v>
      </c>
      <c r="BF160" s="23">
        <f t="shared" si="657"/>
        <v>0</v>
      </c>
      <c r="BG160" s="23">
        <f t="shared" si="658"/>
        <v>0</v>
      </c>
      <c r="BH160" s="88">
        <f t="shared" si="659"/>
        <v>0</v>
      </c>
      <c r="BI160" s="26">
        <f>INDEX($BA$6:$BW$138,112,9)</f>
        <v>3926</v>
      </c>
      <c r="BJ160" s="47">
        <f t="shared" si="631"/>
        <v>0.16</v>
      </c>
      <c r="BK160" s="28">
        <f t="shared" si="660"/>
        <v>0</v>
      </c>
      <c r="BL160" s="47">
        <f t="shared" si="632"/>
        <v>4.0000000000000009</v>
      </c>
      <c r="BM160" s="27">
        <f>INDEX($BA$6:$BW$138,112,13)</f>
        <v>3.2697865394065078</v>
      </c>
      <c r="BN160" s="23">
        <f t="shared" si="661"/>
        <v>0</v>
      </c>
      <c r="BO160" s="14">
        <f t="shared" si="633"/>
        <v>67</v>
      </c>
      <c r="BP160" s="23">
        <f t="shared" si="662"/>
        <v>0</v>
      </c>
      <c r="BQ160" s="27">
        <f>INDEX($BA$6:$BW$138,112,17)</f>
        <v>314.58428346602915</v>
      </c>
      <c r="BR160" s="14">
        <f t="shared" si="634"/>
        <v>1115</v>
      </c>
      <c r="BS160" s="350">
        <f>INDEX($BA$6:$BW$138,112,19)</f>
        <v>0</v>
      </c>
      <c r="BT160" s="26">
        <f t="shared" si="693"/>
        <v>1115</v>
      </c>
      <c r="BU160" s="14">
        <f t="shared" si="635"/>
        <v>86</v>
      </c>
      <c r="BV160" s="26">
        <f>INDEX($BA$6:$BW$138,112,22)</f>
        <v>0</v>
      </c>
      <c r="BW160" s="26">
        <f t="shared" si="701"/>
        <v>86</v>
      </c>
      <c r="BY160" s="1"/>
      <c r="BZ160" s="25">
        <v>15</v>
      </c>
      <c r="CA160" s="25" t="str">
        <f t="shared" si="699"/>
        <v>CASETA G1</v>
      </c>
      <c r="CB160" s="26">
        <f>INDEX($BZ$6:$CV$138,106,3)</f>
        <v>0</v>
      </c>
      <c r="CC160" s="26">
        <f>INDEX($BZ$6:$CV$138,112,4)</f>
        <v>0</v>
      </c>
      <c r="CD160" s="23">
        <f t="shared" si="663"/>
        <v>0</v>
      </c>
      <c r="CE160" s="23">
        <f t="shared" si="664"/>
        <v>0</v>
      </c>
      <c r="CF160" s="23">
        <f t="shared" si="665"/>
        <v>0</v>
      </c>
      <c r="CG160" s="88">
        <f t="shared" si="666"/>
        <v>0</v>
      </c>
      <c r="CH160" s="26">
        <f>INDEX($BZ$6:$CV$138,112,9)</f>
        <v>0</v>
      </c>
      <c r="CI160" s="47">
        <f t="shared" si="667"/>
        <v>0.16</v>
      </c>
      <c r="CJ160" s="23">
        <f t="shared" si="694"/>
        <v>0</v>
      </c>
      <c r="CK160" s="47">
        <f t="shared" si="668"/>
        <v>4.0000000000000009</v>
      </c>
      <c r="CL160" s="27">
        <f>INDEX($BZ$6:$CV$138,112,13)</f>
        <v>0</v>
      </c>
      <c r="CM160" s="23">
        <f t="shared" si="669"/>
        <v>0</v>
      </c>
      <c r="CN160" s="14">
        <f t="shared" si="670"/>
        <v>67</v>
      </c>
      <c r="CO160" s="23">
        <f t="shared" si="704"/>
        <v>0</v>
      </c>
      <c r="CP160" s="27">
        <f>INDEX($BZ$6:$CV$138,112,17)</f>
        <v>0</v>
      </c>
      <c r="CQ160" s="14">
        <f t="shared" si="636"/>
        <v>1115</v>
      </c>
      <c r="CR160" s="351">
        <f>INDEX($BZ$6:$CV$138,112,19)</f>
        <v>0</v>
      </c>
      <c r="CS160" s="416">
        <f t="shared" si="671"/>
        <v>1115</v>
      </c>
      <c r="CT160" s="14">
        <f t="shared" si="672"/>
        <v>86</v>
      </c>
      <c r="CU160" s="29">
        <f>INDEX($BZ$6:$CV$138,112,22)</f>
        <v>0</v>
      </c>
      <c r="CV160" s="417">
        <f t="shared" si="673"/>
        <v>86</v>
      </c>
      <c r="CY160" s="25">
        <v>15</v>
      </c>
      <c r="CZ160" s="25" t="str">
        <f t="shared" si="700"/>
        <v>CASETA G2</v>
      </c>
      <c r="DA160" s="26">
        <f>INDEX($CY$6:$DU$138,106,3)</f>
        <v>0</v>
      </c>
      <c r="DB160" s="26">
        <f>INDEX($CY$6:$DU$138,112,4)</f>
        <v>0</v>
      </c>
      <c r="DC160" s="23">
        <f t="shared" si="709"/>
        <v>0</v>
      </c>
      <c r="DD160" s="23">
        <f t="shared" si="710"/>
        <v>0</v>
      </c>
      <c r="DE160" s="23">
        <f t="shared" si="706"/>
        <v>0</v>
      </c>
      <c r="DF160" s="88">
        <f t="shared" si="705"/>
        <v>0</v>
      </c>
      <c r="DG160" s="26">
        <f>INDEX($CY$6:$DU$138,112,9)</f>
        <v>0</v>
      </c>
      <c r="DH160" s="47">
        <f t="shared" si="678"/>
        <v>0.16</v>
      </c>
      <c r="DI160" s="23">
        <f t="shared" si="707"/>
        <v>0</v>
      </c>
      <c r="DJ160" s="47">
        <f t="shared" si="679"/>
        <v>4.0000000000000009</v>
      </c>
      <c r="DK160" s="27">
        <f>INDEX($CY$6:$DU$138,112,13)</f>
        <v>0</v>
      </c>
      <c r="DL160" s="23">
        <f t="shared" si="708"/>
        <v>0</v>
      </c>
      <c r="DM160" s="14">
        <f t="shared" si="681"/>
        <v>67</v>
      </c>
      <c r="DN160" s="23">
        <f t="shared" si="711"/>
        <v>0</v>
      </c>
      <c r="DO160" s="27">
        <f>INDEX($CY$6:$DU$138,112,17)</f>
        <v>0</v>
      </c>
      <c r="DP160" s="14">
        <f t="shared" si="637"/>
        <v>1115</v>
      </c>
      <c r="DQ160" s="351">
        <f>INDEX($CY$6:$DU$138,112,19)</f>
        <v>0</v>
      </c>
      <c r="DR160" s="416">
        <f t="shared" si="682"/>
        <v>1115</v>
      </c>
      <c r="DS160" s="14">
        <f t="shared" si="683"/>
        <v>86</v>
      </c>
      <c r="DT160" s="29">
        <f>INDEX($CY$6:$DU$138,112,22)</f>
        <v>0</v>
      </c>
      <c r="DU160" s="417">
        <f t="shared" si="684"/>
        <v>86</v>
      </c>
    </row>
    <row r="161" spans="3:125" x14ac:dyDescent="0.25">
      <c r="C161" s="25">
        <v>16</v>
      </c>
      <c r="D161" s="23" t="str">
        <f t="shared" si="685"/>
        <v>CASETA 1</v>
      </c>
      <c r="E161" s="26">
        <f>INDEX($C$6:$Y$138,113,3)</f>
        <v>171956</v>
      </c>
      <c r="F161" s="26">
        <f>INDEX($C$6:$Y$138,119,4)</f>
        <v>171956</v>
      </c>
      <c r="G161" s="23">
        <f t="shared" si="686"/>
        <v>0</v>
      </c>
      <c r="H161" s="23">
        <f t="shared" si="687"/>
        <v>0</v>
      </c>
      <c r="I161" s="23">
        <f t="shared" si="688"/>
        <v>0</v>
      </c>
      <c r="J161" s="88">
        <f>SUM(G161:I161)</f>
        <v>0</v>
      </c>
      <c r="K161" s="26">
        <f>INDEX($C$6:$Y$138,119,9)</f>
        <v>4875</v>
      </c>
      <c r="L161" s="47">
        <f t="shared" si="625"/>
        <v>0.16</v>
      </c>
      <c r="M161" s="28">
        <f t="shared" si="638"/>
        <v>0</v>
      </c>
      <c r="N161" s="47">
        <f t="shared" si="639"/>
        <v>4.160000000000001</v>
      </c>
      <c r="O161" s="47">
        <f t="shared" si="703"/>
        <v>2.8350275651910954</v>
      </c>
      <c r="P161" s="464">
        <f t="shared" si="690"/>
        <v>0</v>
      </c>
      <c r="Q161" s="14">
        <f t="shared" si="640"/>
        <v>71</v>
      </c>
      <c r="R161" s="23">
        <f t="shared" si="691"/>
        <v>0</v>
      </c>
      <c r="S161" s="30">
        <f>INDEX($C$6:$Y$138,119,17)</f>
        <v>328.79467076367098</v>
      </c>
      <c r="T161" s="14">
        <f t="shared" si="641"/>
        <v>1160</v>
      </c>
      <c r="U161" s="349">
        <f>INDEX($C$6:$Y$138,119,19)</f>
        <v>0</v>
      </c>
      <c r="V161" s="415">
        <f t="shared" si="627"/>
        <v>1160</v>
      </c>
      <c r="W161" s="14">
        <f t="shared" si="628"/>
        <v>86</v>
      </c>
      <c r="X161" s="75">
        <f>INDEX($C$6:$Y$138,119,22)</f>
        <v>0</v>
      </c>
      <c r="Y161" s="609">
        <f t="shared" si="629"/>
        <v>86</v>
      </c>
      <c r="Z161" s="489"/>
      <c r="AA161" s="1"/>
      <c r="AB161" s="25">
        <v>16</v>
      </c>
      <c r="AC161" s="23" t="str">
        <f t="shared" si="692"/>
        <v>CASETA 2</v>
      </c>
      <c r="AD161" s="26">
        <f>INDEX($AB$6:$AX$138,113,3)</f>
        <v>0</v>
      </c>
      <c r="AE161" s="26">
        <f>INDEX($AB$6:$AX$138,119,4)</f>
        <v>0</v>
      </c>
      <c r="AF161" s="23">
        <f t="shared" si="642"/>
        <v>0</v>
      </c>
      <c r="AG161" s="23">
        <f t="shared" si="643"/>
        <v>0</v>
      </c>
      <c r="AH161" s="23">
        <f t="shared" si="644"/>
        <v>0</v>
      </c>
      <c r="AI161" s="88">
        <f t="shared" si="645"/>
        <v>0</v>
      </c>
      <c r="AJ161" s="26">
        <f>INDEX($AB$6:$AX$138,119,9)</f>
        <v>0</v>
      </c>
      <c r="AK161" s="47">
        <f t="shared" si="646"/>
        <v>0.16</v>
      </c>
      <c r="AL161" s="28">
        <f t="shared" si="647"/>
        <v>0</v>
      </c>
      <c r="AM161" s="47">
        <f t="shared" si="648"/>
        <v>4.160000000000001</v>
      </c>
      <c r="AN161" s="47">
        <f t="shared" si="649"/>
        <v>0</v>
      </c>
      <c r="AO161" s="464">
        <f t="shared" si="650"/>
        <v>0</v>
      </c>
      <c r="AP161" s="14">
        <f t="shared" si="651"/>
        <v>71</v>
      </c>
      <c r="AQ161" s="23">
        <f t="shared" si="652"/>
        <v>0</v>
      </c>
      <c r="AR161" s="30">
        <f>INDEX($AB$6:$AX$138,119,17)</f>
        <v>0</v>
      </c>
      <c r="AS161" s="14">
        <f t="shared" si="653"/>
        <v>1160</v>
      </c>
      <c r="AT161" s="349">
        <f>INDEX($AB$6:$AX$138,119,19)</f>
        <v>0</v>
      </c>
      <c r="AU161" s="415">
        <f t="shared" si="654"/>
        <v>1160</v>
      </c>
      <c r="AV161" s="14">
        <f t="shared" si="655"/>
        <v>86</v>
      </c>
      <c r="AW161" s="75">
        <f>INDEX($AB$6:$AX$138,119,22)</f>
        <v>0</v>
      </c>
      <c r="AX161" s="609">
        <f t="shared" si="630"/>
        <v>86</v>
      </c>
      <c r="AZ161" s="1"/>
      <c r="BA161" s="25">
        <v>16</v>
      </c>
      <c r="BB161" s="25" t="str">
        <f t="shared" si="698"/>
        <v>CASETA 3</v>
      </c>
      <c r="BC161" s="26">
        <f>INDEX($BA$6:$BW$138,113,3)</f>
        <v>116143</v>
      </c>
      <c r="BD161" s="26">
        <f>INDEX($BA$6:$BW$138,119,4)</f>
        <v>116143</v>
      </c>
      <c r="BE161" s="23">
        <f t="shared" si="656"/>
        <v>0</v>
      </c>
      <c r="BF161" s="23">
        <f t="shared" si="657"/>
        <v>0</v>
      </c>
      <c r="BG161" s="23">
        <f t="shared" si="658"/>
        <v>0</v>
      </c>
      <c r="BH161" s="88">
        <f t="shared" si="659"/>
        <v>0</v>
      </c>
      <c r="BI161" s="26">
        <f>INDEX($BA$6:$BW$138,119,9)</f>
        <v>3926</v>
      </c>
      <c r="BJ161" s="47">
        <f t="shared" si="631"/>
        <v>0.16</v>
      </c>
      <c r="BK161" s="28">
        <f>AVERAGEIFS($BK$6:$BK$138,$BA$6:$BA$138,$BA161)</f>
        <v>0</v>
      </c>
      <c r="BL161" s="47">
        <f t="shared" si="632"/>
        <v>4.160000000000001</v>
      </c>
      <c r="BM161" s="27">
        <f>INDEX($BA$6:$BW$138,119,13)</f>
        <v>3.2697865394065078</v>
      </c>
      <c r="BN161" s="23">
        <f t="shared" si="661"/>
        <v>0</v>
      </c>
      <c r="BO161" s="14">
        <f t="shared" si="633"/>
        <v>71</v>
      </c>
      <c r="BP161" s="23">
        <f t="shared" si="662"/>
        <v>0</v>
      </c>
      <c r="BQ161" s="27">
        <f>INDEX($BA$6:$BW$138,119,17)</f>
        <v>314.58428346602915</v>
      </c>
      <c r="BR161" s="14">
        <f t="shared" si="634"/>
        <v>1160</v>
      </c>
      <c r="BS161" s="350">
        <f>INDEX($BA$6:$BW$138,119,19)</f>
        <v>0</v>
      </c>
      <c r="BT161" s="26">
        <f t="shared" si="693"/>
        <v>1160</v>
      </c>
      <c r="BU161" s="14">
        <f t="shared" si="635"/>
        <v>86</v>
      </c>
      <c r="BV161" s="26">
        <f>INDEX($BA$6:$BW$138,119,22)</f>
        <v>0</v>
      </c>
      <c r="BW161" s="26">
        <f t="shared" si="701"/>
        <v>86</v>
      </c>
      <c r="BY161" s="1"/>
      <c r="BZ161" s="25">
        <v>16</v>
      </c>
      <c r="CA161" s="25" t="str">
        <f t="shared" si="699"/>
        <v>CASETA G1</v>
      </c>
      <c r="CB161" s="26">
        <f>INDEX($BZ$6:$CV$138,113,3)</f>
        <v>0</v>
      </c>
      <c r="CC161" s="26">
        <f>INDEX($BZ$6:$CV$138,119,4)</f>
        <v>0</v>
      </c>
      <c r="CD161" s="23">
        <f t="shared" si="663"/>
        <v>0</v>
      </c>
      <c r="CE161" s="23">
        <f t="shared" si="664"/>
        <v>0</v>
      </c>
      <c r="CF161" s="23">
        <f t="shared" si="665"/>
        <v>0</v>
      </c>
      <c r="CG161" s="88">
        <f t="shared" si="666"/>
        <v>0</v>
      </c>
      <c r="CH161" s="26">
        <f>INDEX($BZ$6:$CV$138,119,9)</f>
        <v>0</v>
      </c>
      <c r="CI161" s="47">
        <f t="shared" si="667"/>
        <v>0.16</v>
      </c>
      <c r="CJ161" s="23">
        <f t="shared" si="694"/>
        <v>0</v>
      </c>
      <c r="CK161" s="47">
        <f t="shared" si="668"/>
        <v>4.160000000000001</v>
      </c>
      <c r="CL161" s="27">
        <f>INDEX($BZ$6:$CV$138,119,13)</f>
        <v>0</v>
      </c>
      <c r="CM161" s="23">
        <f t="shared" si="669"/>
        <v>0</v>
      </c>
      <c r="CN161" s="14">
        <f t="shared" si="670"/>
        <v>71</v>
      </c>
      <c r="CO161" s="23">
        <f t="shared" si="704"/>
        <v>0</v>
      </c>
      <c r="CP161" s="27">
        <f>INDEX($BZ$6:$CV$138,119,17)</f>
        <v>0</v>
      </c>
      <c r="CQ161" s="14">
        <f t="shared" si="636"/>
        <v>1160</v>
      </c>
      <c r="CR161" s="351">
        <f>INDEX($BZ$6:$CV$138,119,19)</f>
        <v>0</v>
      </c>
      <c r="CS161" s="416">
        <f t="shared" si="671"/>
        <v>1160</v>
      </c>
      <c r="CT161" s="14">
        <f t="shared" si="672"/>
        <v>86</v>
      </c>
      <c r="CU161" s="29">
        <f>INDEX($BZ$6:$CV$138,119,22)</f>
        <v>0</v>
      </c>
      <c r="CV161" s="417">
        <f t="shared" si="673"/>
        <v>86</v>
      </c>
      <c r="CY161" s="25">
        <v>16</v>
      </c>
      <c r="CZ161" s="25" t="str">
        <f t="shared" si="700"/>
        <v>CASETA G2</v>
      </c>
      <c r="DA161" s="26">
        <f>INDEX($CY$6:$DU$138,113,3)</f>
        <v>0</v>
      </c>
      <c r="DB161" s="26">
        <f>INDEX($CY$6:$DU$138,119,4)</f>
        <v>0</v>
      </c>
      <c r="DC161" s="23">
        <f t="shared" si="709"/>
        <v>0</v>
      </c>
      <c r="DD161" s="23">
        <f t="shared" si="710"/>
        <v>0</v>
      </c>
      <c r="DE161" s="23">
        <f t="shared" si="706"/>
        <v>0</v>
      </c>
      <c r="DF161" s="88">
        <f t="shared" si="705"/>
        <v>0</v>
      </c>
      <c r="DG161" s="26">
        <f>INDEX($CY$6:$DU$138,119,9)</f>
        <v>0</v>
      </c>
      <c r="DH161" s="47">
        <f t="shared" si="678"/>
        <v>0.16</v>
      </c>
      <c r="DI161" s="23">
        <f t="shared" si="707"/>
        <v>0</v>
      </c>
      <c r="DJ161" s="47">
        <f t="shared" si="679"/>
        <v>4.160000000000001</v>
      </c>
      <c r="DK161" s="27">
        <f>INDEX($CY$6:$DU$138,119,13)</f>
        <v>0</v>
      </c>
      <c r="DL161" s="23">
        <f t="shared" si="708"/>
        <v>0</v>
      </c>
      <c r="DM161" s="14">
        <f t="shared" si="681"/>
        <v>71</v>
      </c>
      <c r="DN161" s="23">
        <f t="shared" si="711"/>
        <v>0</v>
      </c>
      <c r="DO161" s="27">
        <f>INDEX($CY$6:$DU$138,119,17)</f>
        <v>0</v>
      </c>
      <c r="DP161" s="14">
        <f t="shared" si="637"/>
        <v>1160</v>
      </c>
      <c r="DQ161" s="351">
        <f>INDEX($CY$6:$DU$138,119,19)</f>
        <v>0</v>
      </c>
      <c r="DR161" s="416">
        <f t="shared" si="682"/>
        <v>1160</v>
      </c>
      <c r="DS161" s="14">
        <f t="shared" si="683"/>
        <v>86</v>
      </c>
      <c r="DT161" s="29">
        <f>INDEX($CY$6:$DU$138,119,22)</f>
        <v>0</v>
      </c>
      <c r="DU161" s="417">
        <f t="shared" si="684"/>
        <v>86</v>
      </c>
    </row>
    <row r="162" spans="3:125" x14ac:dyDescent="0.25">
      <c r="C162" s="25">
        <v>17</v>
      </c>
      <c r="D162" s="23" t="str">
        <f t="shared" si="685"/>
        <v>CASETA 1</v>
      </c>
      <c r="E162" s="26">
        <f>INDEX($C$6:$Y$138,120,3)</f>
        <v>171956</v>
      </c>
      <c r="F162" s="26">
        <f>INDEX($C$6:$Y$138,126,4)</f>
        <v>171956</v>
      </c>
      <c r="G162" s="23">
        <f t="shared" si="686"/>
        <v>0</v>
      </c>
      <c r="H162" s="23">
        <f t="shared" si="687"/>
        <v>0</v>
      </c>
      <c r="I162" s="23">
        <f t="shared" si="688"/>
        <v>0</v>
      </c>
      <c r="J162" s="88">
        <f t="shared" si="689"/>
        <v>0</v>
      </c>
      <c r="K162" s="26">
        <f>INDEX($C$6:$Y$138,126,9)</f>
        <v>4875</v>
      </c>
      <c r="L162" s="47">
        <f t="shared" si="625"/>
        <v>0.16</v>
      </c>
      <c r="M162" s="28">
        <f t="shared" si="638"/>
        <v>0</v>
      </c>
      <c r="N162" s="47">
        <f t="shared" si="639"/>
        <v>4.3200000000000012</v>
      </c>
      <c r="O162" s="47">
        <f t="shared" si="703"/>
        <v>2.8350275651910954</v>
      </c>
      <c r="P162" s="464">
        <f t="shared" si="690"/>
        <v>0</v>
      </c>
      <c r="Q162" s="14">
        <f t="shared" si="640"/>
        <v>75</v>
      </c>
      <c r="R162" s="23">
        <f t="shared" si="691"/>
        <v>0</v>
      </c>
      <c r="S162" s="30">
        <f>INDEX($C$6:$Y$138,126,17)</f>
        <v>328.79467076367098</v>
      </c>
      <c r="T162" s="14">
        <f t="shared" si="641"/>
        <v>1207</v>
      </c>
      <c r="U162" s="349">
        <f>INDEX($C$6:$Y$138,126,19)</f>
        <v>0</v>
      </c>
      <c r="V162" s="415">
        <f t="shared" si="627"/>
        <v>1207</v>
      </c>
      <c r="W162" s="14">
        <f t="shared" si="628"/>
        <v>86</v>
      </c>
      <c r="X162" s="75">
        <f>INDEX($C$6:$Y$138,126,22)</f>
        <v>0</v>
      </c>
      <c r="Y162" s="609">
        <f t="shared" si="629"/>
        <v>86</v>
      </c>
      <c r="Z162" s="489"/>
      <c r="AA162" s="1"/>
      <c r="AB162" s="25">
        <v>17</v>
      </c>
      <c r="AC162" s="23" t="str">
        <f t="shared" si="692"/>
        <v>CASETA 2</v>
      </c>
      <c r="AD162" s="26">
        <f>INDEX($AB$6:$AX$138,120,3)</f>
        <v>0</v>
      </c>
      <c r="AE162" s="26">
        <f>INDEX($AB$6:$AX$138,126,4)</f>
        <v>0</v>
      </c>
      <c r="AF162" s="23">
        <f t="shared" si="642"/>
        <v>0</v>
      </c>
      <c r="AG162" s="23">
        <f t="shared" si="643"/>
        <v>0</v>
      </c>
      <c r="AH162" s="23">
        <f t="shared" si="644"/>
        <v>0</v>
      </c>
      <c r="AI162" s="88">
        <f t="shared" si="645"/>
        <v>0</v>
      </c>
      <c r="AJ162" s="26">
        <f>INDEX($AB$6:$AX$138,126,9)</f>
        <v>0</v>
      </c>
      <c r="AK162" s="47">
        <f t="shared" si="646"/>
        <v>0.16</v>
      </c>
      <c r="AL162" s="28">
        <f t="shared" si="647"/>
        <v>0</v>
      </c>
      <c r="AM162" s="47">
        <f t="shared" si="648"/>
        <v>4.3200000000000012</v>
      </c>
      <c r="AN162" s="47">
        <f t="shared" si="649"/>
        <v>0</v>
      </c>
      <c r="AO162" s="464">
        <f t="shared" si="650"/>
        <v>0</v>
      </c>
      <c r="AP162" s="14">
        <f t="shared" si="651"/>
        <v>75</v>
      </c>
      <c r="AQ162" s="23">
        <f t="shared" si="652"/>
        <v>0</v>
      </c>
      <c r="AR162" s="30">
        <f>INDEX($AB$6:$AX$138,126,17)</f>
        <v>0</v>
      </c>
      <c r="AS162" s="14">
        <f t="shared" si="653"/>
        <v>1207</v>
      </c>
      <c r="AT162" s="349">
        <f>INDEX($AB$6:$AX$138,126,19)</f>
        <v>0</v>
      </c>
      <c r="AU162" s="415">
        <f t="shared" si="654"/>
        <v>1207</v>
      </c>
      <c r="AV162" s="14">
        <f t="shared" si="655"/>
        <v>86</v>
      </c>
      <c r="AW162" s="75">
        <f>INDEX($AB$6:$AX$138,126,22)</f>
        <v>0</v>
      </c>
      <c r="AX162" s="609">
        <f t="shared" si="630"/>
        <v>86</v>
      </c>
      <c r="AZ162" s="1"/>
      <c r="BA162" s="25">
        <v>17</v>
      </c>
      <c r="BB162" s="25" t="str">
        <f t="shared" si="698"/>
        <v>CASETA 3</v>
      </c>
      <c r="BC162" s="26">
        <f>INDEX($BA$6:$BW$138,120,3)</f>
        <v>116143</v>
      </c>
      <c r="BD162" s="26">
        <f>INDEX($BA$6:$BW$138,126,4)</f>
        <v>116143</v>
      </c>
      <c r="BE162" s="23">
        <f t="shared" si="656"/>
        <v>0</v>
      </c>
      <c r="BF162" s="23">
        <f t="shared" si="657"/>
        <v>0</v>
      </c>
      <c r="BG162" s="23">
        <f t="shared" si="658"/>
        <v>0</v>
      </c>
      <c r="BH162" s="88">
        <f t="shared" si="659"/>
        <v>0</v>
      </c>
      <c r="BI162" s="26">
        <f>INDEX($BA$6:$BW$138,126,9)</f>
        <v>3926</v>
      </c>
      <c r="BJ162" s="47">
        <f t="shared" si="631"/>
        <v>0.16</v>
      </c>
      <c r="BK162" s="28">
        <f t="shared" si="660"/>
        <v>0</v>
      </c>
      <c r="BL162" s="47">
        <f t="shared" si="632"/>
        <v>4.3200000000000012</v>
      </c>
      <c r="BM162" s="27">
        <f>INDEX($BA$6:$BW$138,126,13)</f>
        <v>3.2697865394065078</v>
      </c>
      <c r="BN162" s="23">
        <f>SUMIFS($BN$6:$BN$138,$BA$6:$BA$138,$BA162)</f>
        <v>0</v>
      </c>
      <c r="BO162" s="14">
        <f t="shared" si="633"/>
        <v>75</v>
      </c>
      <c r="BP162" s="23">
        <f t="shared" si="662"/>
        <v>0</v>
      </c>
      <c r="BQ162" s="27">
        <f>INDEX($BA$6:$BW$138,126,17)</f>
        <v>314.58428346602915</v>
      </c>
      <c r="BR162" s="14">
        <f t="shared" si="634"/>
        <v>1207</v>
      </c>
      <c r="BS162" s="350">
        <f>INDEX($BA$6:$BW$138,126,19)</f>
        <v>0</v>
      </c>
      <c r="BT162" s="26">
        <f t="shared" si="693"/>
        <v>1207</v>
      </c>
      <c r="BU162" s="14">
        <f t="shared" si="635"/>
        <v>86</v>
      </c>
      <c r="BV162" s="26">
        <f>INDEX($BA$6:$BW$138,126,22)</f>
        <v>0</v>
      </c>
      <c r="BW162" s="26">
        <f t="shared" si="701"/>
        <v>86</v>
      </c>
      <c r="BY162" s="1"/>
      <c r="BZ162" s="25">
        <v>17</v>
      </c>
      <c r="CA162" s="25" t="str">
        <f t="shared" si="699"/>
        <v>CASETA G1</v>
      </c>
      <c r="CB162" s="26">
        <f>INDEX($BZ$6:$CV$138,120,3)</f>
        <v>0</v>
      </c>
      <c r="CC162" s="26">
        <f>INDEX($BZ$6:$CV$138,126,4)</f>
        <v>0</v>
      </c>
      <c r="CD162" s="23">
        <f t="shared" si="663"/>
        <v>0</v>
      </c>
      <c r="CE162" s="23">
        <f t="shared" si="664"/>
        <v>0</v>
      </c>
      <c r="CF162" s="23">
        <f t="shared" si="665"/>
        <v>0</v>
      </c>
      <c r="CG162" s="88">
        <f t="shared" si="666"/>
        <v>0</v>
      </c>
      <c r="CH162" s="26">
        <f>INDEX($BZ$6:$CV$138,126,9)</f>
        <v>0</v>
      </c>
      <c r="CI162" s="47">
        <f t="shared" si="667"/>
        <v>0.16</v>
      </c>
      <c r="CJ162" s="23">
        <f t="shared" si="694"/>
        <v>0</v>
      </c>
      <c r="CK162" s="47">
        <f t="shared" si="668"/>
        <v>4.3200000000000012</v>
      </c>
      <c r="CL162" s="27">
        <f>INDEX($BZ$6:$CV$138,126,13)</f>
        <v>0</v>
      </c>
      <c r="CM162" s="23">
        <f>SUMIFS($CM$6:$CM$138,$BZ$6:$BZ$138,$BZ162)</f>
        <v>0</v>
      </c>
      <c r="CN162" s="14">
        <f t="shared" si="670"/>
        <v>75</v>
      </c>
      <c r="CO162" s="23">
        <f t="shared" si="704"/>
        <v>0</v>
      </c>
      <c r="CP162" s="27">
        <f>INDEX($BZ$6:$CV$138,126,17)</f>
        <v>0</v>
      </c>
      <c r="CQ162" s="14">
        <f t="shared" si="636"/>
        <v>1207</v>
      </c>
      <c r="CR162" s="351">
        <f>INDEX($BZ$6:$CV$138,126,19)</f>
        <v>0</v>
      </c>
      <c r="CS162" s="416">
        <f t="shared" si="671"/>
        <v>1207</v>
      </c>
      <c r="CT162" s="14">
        <f t="shared" si="672"/>
        <v>86</v>
      </c>
      <c r="CU162" s="29">
        <f>INDEX($BZ$6:$CV$138,126,22)</f>
        <v>0</v>
      </c>
      <c r="CV162" s="417">
        <f t="shared" si="673"/>
        <v>86</v>
      </c>
      <c r="CY162" s="25">
        <v>17</v>
      </c>
      <c r="CZ162" s="25" t="str">
        <f t="shared" si="700"/>
        <v>CASETA G2</v>
      </c>
      <c r="DA162" s="26">
        <f>INDEX($CY$6:$DU$138,120,3)</f>
        <v>0</v>
      </c>
      <c r="DB162" s="26">
        <f>INDEX($CY$6:$DU$138,126,4)</f>
        <v>0</v>
      </c>
      <c r="DC162" s="23">
        <f t="shared" si="709"/>
        <v>0</v>
      </c>
      <c r="DD162" s="23">
        <f t="shared" si="710"/>
        <v>0</v>
      </c>
      <c r="DE162" s="23">
        <f t="shared" si="706"/>
        <v>0</v>
      </c>
      <c r="DF162" s="88">
        <f t="shared" si="702"/>
        <v>0</v>
      </c>
      <c r="DG162" s="26">
        <f>INDEX($CY$6:$DU$138,126,9)</f>
        <v>0</v>
      </c>
      <c r="DH162" s="47">
        <f t="shared" si="678"/>
        <v>0.16</v>
      </c>
      <c r="DI162" s="23">
        <f t="shared" si="707"/>
        <v>0</v>
      </c>
      <c r="DJ162" s="47">
        <f t="shared" si="679"/>
        <v>4.3200000000000012</v>
      </c>
      <c r="DK162" s="27">
        <f>INDEX($CY$6:$DU$138,126,13)</f>
        <v>0</v>
      </c>
      <c r="DL162" s="23">
        <f t="shared" si="708"/>
        <v>0</v>
      </c>
      <c r="DM162" s="14">
        <f t="shared" si="681"/>
        <v>75</v>
      </c>
      <c r="DN162" s="23">
        <f t="shared" si="711"/>
        <v>0</v>
      </c>
      <c r="DO162" s="27">
        <f>INDEX($CY$6:$DU$138,126,17)</f>
        <v>0</v>
      </c>
      <c r="DP162" s="14">
        <f t="shared" si="637"/>
        <v>1207</v>
      </c>
      <c r="DQ162" s="351">
        <f>INDEX($CY$6:$DU$138,126,19)</f>
        <v>0</v>
      </c>
      <c r="DR162" s="416">
        <f t="shared" si="682"/>
        <v>1207</v>
      </c>
      <c r="DS162" s="14">
        <f t="shared" si="683"/>
        <v>86</v>
      </c>
      <c r="DT162" s="29">
        <f>INDEX($CY$6:$DU$138,126,22)</f>
        <v>0</v>
      </c>
      <c r="DU162" s="417">
        <f t="shared" si="684"/>
        <v>86</v>
      </c>
    </row>
    <row r="163" spans="3:125" x14ac:dyDescent="0.25">
      <c r="C163" s="25">
        <v>18</v>
      </c>
      <c r="D163" s="23" t="str">
        <f t="shared" si="685"/>
        <v>CASETA 1</v>
      </c>
      <c r="E163" s="26">
        <f>INDEX($C$6:$Y$138,127,3)</f>
        <v>171956</v>
      </c>
      <c r="F163" s="26">
        <f>INDEX($C$6:$Y$138,133,4)</f>
        <v>171956</v>
      </c>
      <c r="G163" s="23">
        <f t="shared" si="686"/>
        <v>0</v>
      </c>
      <c r="H163" s="23">
        <f t="shared" si="687"/>
        <v>0</v>
      </c>
      <c r="I163" s="23">
        <f t="shared" si="688"/>
        <v>0</v>
      </c>
      <c r="J163" s="88">
        <f>SUM(G163:I163)</f>
        <v>0</v>
      </c>
      <c r="K163" s="26">
        <f>INDEX($C$6:$Y$138,133,9)</f>
        <v>4875</v>
      </c>
      <c r="L163" s="47">
        <f t="shared" si="625"/>
        <v>0.16</v>
      </c>
      <c r="M163" s="28">
        <f t="shared" si="638"/>
        <v>0</v>
      </c>
      <c r="N163" s="47">
        <f t="shared" si="639"/>
        <v>4.4800000000000013</v>
      </c>
      <c r="O163" s="47">
        <f t="shared" si="703"/>
        <v>2.8350275651910954</v>
      </c>
      <c r="P163" s="464">
        <f t="shared" si="690"/>
        <v>0</v>
      </c>
      <c r="Q163" s="14">
        <f t="shared" si="640"/>
        <v>79</v>
      </c>
      <c r="R163" s="23">
        <f t="shared" si="691"/>
        <v>0</v>
      </c>
      <c r="S163" s="30">
        <f>INDEX($C$6:$Y$138,126,17)</f>
        <v>328.79467076367098</v>
      </c>
      <c r="T163" s="14">
        <f t="shared" si="641"/>
        <v>1257</v>
      </c>
      <c r="U163" s="349">
        <f>INDEX($C$6:$Y$138,126,19)</f>
        <v>0</v>
      </c>
      <c r="V163" s="415">
        <f t="shared" si="627"/>
        <v>1257</v>
      </c>
      <c r="W163" s="14">
        <f t="shared" si="628"/>
        <v>86</v>
      </c>
      <c r="X163" s="75">
        <f>INDEX($C$6:$Y$138,126,22)</f>
        <v>0</v>
      </c>
      <c r="Y163" s="609">
        <f t="shared" si="629"/>
        <v>86</v>
      </c>
      <c r="Z163" s="489"/>
      <c r="AA163" s="1"/>
      <c r="AB163" s="25">
        <v>18</v>
      </c>
      <c r="AC163" s="23" t="str">
        <f t="shared" si="692"/>
        <v>CASETA 2</v>
      </c>
      <c r="AD163" s="26">
        <f>INDEX($AB$6:$AX$138,127,3)</f>
        <v>0</v>
      </c>
      <c r="AE163" s="26">
        <f>INDEX($AB$6:$AX$138,133,4)</f>
        <v>0</v>
      </c>
      <c r="AF163" s="23">
        <f t="shared" si="642"/>
        <v>0</v>
      </c>
      <c r="AG163" s="23">
        <f t="shared" si="643"/>
        <v>0</v>
      </c>
      <c r="AH163" s="23">
        <f t="shared" si="644"/>
        <v>0</v>
      </c>
      <c r="AI163" s="88">
        <f t="shared" si="645"/>
        <v>0</v>
      </c>
      <c r="AJ163" s="26">
        <f>INDEX($AB$6:$AX$138,133,9)</f>
        <v>0</v>
      </c>
      <c r="AK163" s="47">
        <f t="shared" si="646"/>
        <v>0.16</v>
      </c>
      <c r="AL163" s="28">
        <f t="shared" si="647"/>
        <v>0</v>
      </c>
      <c r="AM163" s="47">
        <f t="shared" si="648"/>
        <v>4.4800000000000013</v>
      </c>
      <c r="AN163" s="47">
        <f t="shared" si="649"/>
        <v>0</v>
      </c>
      <c r="AO163" s="464">
        <f t="shared" si="650"/>
        <v>0</v>
      </c>
      <c r="AP163" s="14">
        <f t="shared" si="651"/>
        <v>79</v>
      </c>
      <c r="AQ163" s="23">
        <f t="shared" si="652"/>
        <v>0</v>
      </c>
      <c r="AR163" s="30">
        <f>INDEX($AB$6:$AX$138,133,17)</f>
        <v>0</v>
      </c>
      <c r="AS163" s="14">
        <f t="shared" si="653"/>
        <v>1257</v>
      </c>
      <c r="AT163" s="349">
        <f>INDEX($AB$6:$AX$138,133,19)</f>
        <v>0</v>
      </c>
      <c r="AU163" s="415">
        <f t="shared" si="654"/>
        <v>1257</v>
      </c>
      <c r="AV163" s="14">
        <f t="shared" si="655"/>
        <v>86</v>
      </c>
      <c r="AW163" s="75">
        <f>INDEX($AB$6:$AX$138,133,22)</f>
        <v>0</v>
      </c>
      <c r="AX163" s="609">
        <f t="shared" si="630"/>
        <v>86</v>
      </c>
      <c r="AZ163" s="1"/>
      <c r="BA163" s="25">
        <v>18</v>
      </c>
      <c r="BB163" s="25" t="str">
        <f t="shared" si="698"/>
        <v>CASETA 3</v>
      </c>
      <c r="BC163" s="26">
        <f>INDEX($BA$6:$BW$138,127,3)</f>
        <v>116143</v>
      </c>
      <c r="BD163" s="26">
        <f>INDEX($BA$6:$BW$138,133,4)</f>
        <v>116143</v>
      </c>
      <c r="BE163" s="23">
        <f t="shared" si="656"/>
        <v>0</v>
      </c>
      <c r="BF163" s="23">
        <f t="shared" si="657"/>
        <v>0</v>
      </c>
      <c r="BG163" s="23">
        <f t="shared" si="658"/>
        <v>0</v>
      </c>
      <c r="BH163" s="88">
        <f t="shared" si="659"/>
        <v>0</v>
      </c>
      <c r="BI163" s="26">
        <f>INDEX($BA$6:$BW$138,133,9)</f>
        <v>3926</v>
      </c>
      <c r="BJ163" s="47">
        <f t="shared" si="631"/>
        <v>0.16</v>
      </c>
      <c r="BK163" s="28">
        <f t="shared" si="660"/>
        <v>0</v>
      </c>
      <c r="BL163" s="47">
        <f t="shared" si="632"/>
        <v>4.4800000000000013</v>
      </c>
      <c r="BM163" s="27">
        <f>INDEX($BA$6:$BW$138,133,13)</f>
        <v>3.2697865394065078</v>
      </c>
      <c r="BN163" s="23">
        <f t="shared" si="661"/>
        <v>0</v>
      </c>
      <c r="BO163" s="14">
        <f t="shared" si="633"/>
        <v>79</v>
      </c>
      <c r="BP163" s="23">
        <f t="shared" si="662"/>
        <v>0</v>
      </c>
      <c r="BQ163" s="27">
        <f>INDEX($BA$6:$BW$138,133,17)</f>
        <v>314.58428346602915</v>
      </c>
      <c r="BR163" s="14">
        <f t="shared" si="634"/>
        <v>1257</v>
      </c>
      <c r="BS163" s="350">
        <f>INDEX($BA$6:$BW$138,133,19)</f>
        <v>0</v>
      </c>
      <c r="BT163" s="26">
        <f t="shared" si="693"/>
        <v>1257</v>
      </c>
      <c r="BU163" s="14">
        <f t="shared" si="635"/>
        <v>86</v>
      </c>
      <c r="BV163" s="26">
        <f>INDEX($BA$6:$BW$138,133,22)</f>
        <v>0</v>
      </c>
      <c r="BW163" s="26">
        <f t="shared" si="701"/>
        <v>86</v>
      </c>
      <c r="BY163" s="1"/>
      <c r="BZ163" s="25">
        <v>18</v>
      </c>
      <c r="CA163" s="25" t="str">
        <f t="shared" si="699"/>
        <v>CASETA G1</v>
      </c>
      <c r="CB163" s="26">
        <f>INDEX($BZ$6:$CV$138,127,3)</f>
        <v>0</v>
      </c>
      <c r="CC163" s="26">
        <f>INDEX($BZ$6:$CV$138,133,4)</f>
        <v>0</v>
      </c>
      <c r="CD163" s="23">
        <f>SUMIFS($CD$6:$CD$138,$BZ$6:$BZ$138,$BZ163)</f>
        <v>0</v>
      </c>
      <c r="CE163" s="23">
        <f t="shared" si="664"/>
        <v>0</v>
      </c>
      <c r="CF163" s="23">
        <f t="shared" si="665"/>
        <v>0</v>
      </c>
      <c r="CG163" s="88">
        <f t="shared" si="666"/>
        <v>0</v>
      </c>
      <c r="CH163" s="26">
        <f>INDEX($BZ$6:$CV$138,133,9)</f>
        <v>0</v>
      </c>
      <c r="CI163" s="47">
        <f t="shared" si="667"/>
        <v>0.16</v>
      </c>
      <c r="CJ163" s="23">
        <f t="shared" si="694"/>
        <v>0</v>
      </c>
      <c r="CK163" s="47">
        <f t="shared" si="668"/>
        <v>4.4800000000000013</v>
      </c>
      <c r="CL163" s="27">
        <f>INDEX($BZ$6:$CV$138,133,13)</f>
        <v>0</v>
      </c>
      <c r="CM163" s="23">
        <f t="shared" si="669"/>
        <v>0</v>
      </c>
      <c r="CN163" s="14">
        <f t="shared" si="670"/>
        <v>79</v>
      </c>
      <c r="CO163" s="23">
        <f t="shared" si="704"/>
        <v>0</v>
      </c>
      <c r="CP163" s="27">
        <f>INDEX($BZ$6:$CV$138,133,17)</f>
        <v>0</v>
      </c>
      <c r="CQ163" s="14">
        <f>VLOOKUP($BZ163,LOHMANN,2,FALSE)</f>
        <v>1257</v>
      </c>
      <c r="CR163" s="351">
        <f>INDEX($BZ$6:$CV$138,133,19)</f>
        <v>0</v>
      </c>
      <c r="CS163" s="416">
        <f t="shared" si="671"/>
        <v>1257</v>
      </c>
      <c r="CT163" s="14">
        <f>VLOOKUP(BZ163,LOHMANN,3,FALSE)</f>
        <v>86</v>
      </c>
      <c r="CU163" s="29">
        <f>INDEX($BZ$6:$CV$138,133,22)</f>
        <v>0</v>
      </c>
      <c r="CV163" s="417">
        <f t="shared" si="673"/>
        <v>86</v>
      </c>
      <c r="CY163" s="25">
        <v>18</v>
      </c>
      <c r="CZ163" s="25" t="str">
        <f t="shared" si="700"/>
        <v>CASETA G2</v>
      </c>
      <c r="DA163" s="26">
        <f>INDEX($CY$6:$DU$138,127,3)</f>
        <v>0</v>
      </c>
      <c r="DB163" s="26">
        <f>INDEX($CY$6:$DU$138,133,4)</f>
        <v>0</v>
      </c>
      <c r="DC163" s="23">
        <f t="shared" si="709"/>
        <v>0</v>
      </c>
      <c r="DD163" s="23">
        <f t="shared" si="710"/>
        <v>0</v>
      </c>
      <c r="DE163" s="23">
        <f t="shared" si="706"/>
        <v>0</v>
      </c>
      <c r="DF163" s="88">
        <f t="shared" si="702"/>
        <v>0</v>
      </c>
      <c r="DG163" s="26">
        <f>INDEX($CY$6:$DU$138,133,9)</f>
        <v>0</v>
      </c>
      <c r="DH163" s="47">
        <f t="shared" si="678"/>
        <v>0.16</v>
      </c>
      <c r="DI163" s="23">
        <f t="shared" si="707"/>
        <v>0</v>
      </c>
      <c r="DJ163" s="47">
        <f t="shared" si="679"/>
        <v>4.4800000000000013</v>
      </c>
      <c r="DK163" s="27">
        <f>INDEX($CY$6:$DU$138,133,13)</f>
        <v>0</v>
      </c>
      <c r="DL163" s="23">
        <f t="shared" si="708"/>
        <v>0</v>
      </c>
      <c r="DM163" s="14">
        <f t="shared" si="681"/>
        <v>79</v>
      </c>
      <c r="DN163" s="23">
        <f t="shared" si="711"/>
        <v>0</v>
      </c>
      <c r="DO163" s="27">
        <f>INDEX($CY$6:$DU$138,133,17)</f>
        <v>0</v>
      </c>
      <c r="DP163" s="14">
        <f>VLOOKUP($BZ163,LOHMANN,2,FALSE)</f>
        <v>1257</v>
      </c>
      <c r="DQ163" s="351">
        <f>INDEX($CY$6:$DU$138,133,19)</f>
        <v>0</v>
      </c>
      <c r="DR163" s="416">
        <f>DP163-DQ163</f>
        <v>1257</v>
      </c>
      <c r="DS163" s="14">
        <f>VLOOKUP(CY163,LOHMANN,3,FALSE)</f>
        <v>86</v>
      </c>
      <c r="DT163" s="29">
        <f>INDEX($CY$6:$DU$138,133,22)</f>
        <v>0</v>
      </c>
      <c r="DU163" s="417">
        <f>DS163-DT163</f>
        <v>86</v>
      </c>
    </row>
    <row r="164" spans="3:125" x14ac:dyDescent="0.25">
      <c r="O164" s="4"/>
    </row>
    <row r="168" spans="3:125" x14ac:dyDescent="0.25">
      <c r="E168" s="352">
        <v>0</v>
      </c>
      <c r="F168" s="76">
        <v>1</v>
      </c>
      <c r="G168" s="76">
        <v>2</v>
      </c>
      <c r="H168" s="76">
        <v>3</v>
      </c>
      <c r="I168" s="76">
        <v>4</v>
      </c>
      <c r="J168" s="76">
        <v>5</v>
      </c>
      <c r="K168" s="76">
        <v>6</v>
      </c>
      <c r="L168" s="76">
        <v>7</v>
      </c>
      <c r="M168" s="76">
        <v>8</v>
      </c>
      <c r="N168" s="76">
        <v>9</v>
      </c>
      <c r="O168" s="76">
        <v>10</v>
      </c>
      <c r="P168" s="76">
        <v>11</v>
      </c>
      <c r="Q168" s="76">
        <v>12</v>
      </c>
      <c r="R168" s="76">
        <v>13</v>
      </c>
      <c r="S168" s="76">
        <v>14</v>
      </c>
      <c r="T168" s="76">
        <v>15</v>
      </c>
      <c r="U168" s="76">
        <v>16</v>
      </c>
      <c r="V168" s="76">
        <v>17</v>
      </c>
      <c r="W168" s="76">
        <v>18</v>
      </c>
      <c r="X168" s="316"/>
    </row>
    <row r="169" spans="3:125" ht="25.5" x14ac:dyDescent="0.25">
      <c r="C169" s="315" t="s">
        <v>52</v>
      </c>
      <c r="D169" s="24" t="s">
        <v>67</v>
      </c>
      <c r="E169" s="83">
        <f t="shared" ref="E169:W169" si="712">VLOOKUP(E$168,CST1BY,3,0)</f>
        <v>176831</v>
      </c>
      <c r="F169" s="83">
        <f t="shared" si="712"/>
        <v>175152</v>
      </c>
      <c r="G169" s="83">
        <f t="shared" si="712"/>
        <v>172824</v>
      </c>
      <c r="H169" s="83">
        <f t="shared" si="712"/>
        <v>171956</v>
      </c>
      <c r="I169" s="83">
        <f t="shared" si="712"/>
        <v>171956</v>
      </c>
      <c r="J169" s="83">
        <f t="shared" si="712"/>
        <v>171956</v>
      </c>
      <c r="K169" s="83">
        <f t="shared" si="712"/>
        <v>171956</v>
      </c>
      <c r="L169" s="83">
        <f t="shared" si="712"/>
        <v>171956</v>
      </c>
      <c r="M169" s="83">
        <f t="shared" si="712"/>
        <v>171956</v>
      </c>
      <c r="N169" s="83">
        <f t="shared" si="712"/>
        <v>171956</v>
      </c>
      <c r="O169" s="83">
        <f t="shared" si="712"/>
        <v>171956</v>
      </c>
      <c r="P169" s="83">
        <f t="shared" si="712"/>
        <v>171956</v>
      </c>
      <c r="Q169" s="83">
        <f t="shared" si="712"/>
        <v>171956</v>
      </c>
      <c r="R169" s="83">
        <f t="shared" si="712"/>
        <v>171956</v>
      </c>
      <c r="S169" s="83">
        <f t="shared" si="712"/>
        <v>171956</v>
      </c>
      <c r="T169" s="83">
        <f t="shared" si="712"/>
        <v>171956</v>
      </c>
      <c r="U169" s="83">
        <f t="shared" si="712"/>
        <v>171956</v>
      </c>
      <c r="V169" s="83">
        <f t="shared" si="712"/>
        <v>171956</v>
      </c>
      <c r="W169" s="83">
        <f t="shared" si="712"/>
        <v>171956</v>
      </c>
    </row>
    <row r="170" spans="3:125" ht="24" customHeight="1" x14ac:dyDescent="0.25">
      <c r="C170" s="77" t="str">
        <f>C169</f>
        <v>CASETA 1</v>
      </c>
      <c r="D170" s="24" t="s">
        <v>34</v>
      </c>
      <c r="E170" s="83">
        <f t="shared" ref="E170:W170" si="713">VLOOKUP(E$168,CST1BY,4,0)</f>
        <v>175152</v>
      </c>
      <c r="F170" s="83">
        <f t="shared" si="713"/>
        <v>172824</v>
      </c>
      <c r="G170" s="83">
        <f t="shared" si="713"/>
        <v>172237</v>
      </c>
      <c r="H170" s="83">
        <f t="shared" si="713"/>
        <v>171956</v>
      </c>
      <c r="I170" s="83">
        <f t="shared" si="713"/>
        <v>171956</v>
      </c>
      <c r="J170" s="83">
        <f t="shared" si="713"/>
        <v>171956</v>
      </c>
      <c r="K170" s="83">
        <f t="shared" si="713"/>
        <v>171956</v>
      </c>
      <c r="L170" s="83">
        <f t="shared" si="713"/>
        <v>171956</v>
      </c>
      <c r="M170" s="83">
        <f t="shared" si="713"/>
        <v>171956</v>
      </c>
      <c r="N170" s="83">
        <f t="shared" si="713"/>
        <v>171956</v>
      </c>
      <c r="O170" s="83">
        <f t="shared" si="713"/>
        <v>171956</v>
      </c>
      <c r="P170" s="83">
        <f t="shared" si="713"/>
        <v>171956</v>
      </c>
      <c r="Q170" s="83">
        <f t="shared" si="713"/>
        <v>171956</v>
      </c>
      <c r="R170" s="83">
        <f t="shared" si="713"/>
        <v>171956</v>
      </c>
      <c r="S170" s="83">
        <f t="shared" si="713"/>
        <v>171956</v>
      </c>
      <c r="T170" s="83">
        <f t="shared" si="713"/>
        <v>171956</v>
      </c>
      <c r="U170" s="83">
        <f t="shared" si="713"/>
        <v>171956</v>
      </c>
      <c r="V170" s="83">
        <f t="shared" si="713"/>
        <v>171956</v>
      </c>
      <c r="W170" s="83">
        <f t="shared" si="713"/>
        <v>171956</v>
      </c>
    </row>
    <row r="171" spans="3:125" x14ac:dyDescent="0.25">
      <c r="C171" s="77" t="str">
        <f t="shared" ref="C171:C189" si="714">C170</f>
        <v>CASETA 1</v>
      </c>
      <c r="D171" s="23" t="s">
        <v>27</v>
      </c>
      <c r="E171" s="83">
        <f>VLOOKUP(E$168,CST1BY,5,0)</f>
        <v>0</v>
      </c>
      <c r="F171" s="83">
        <f>VLOOKUP(F$168,CST1BY,5,0)</f>
        <v>0</v>
      </c>
      <c r="G171" s="83">
        <f>VLOOKUP(G$168,CST1BY,5,0)</f>
        <v>0</v>
      </c>
      <c r="H171" s="83">
        <f t="shared" ref="H171:W171" si="715">VLOOKUP(H$168,CST1BY,5,0)</f>
        <v>0</v>
      </c>
      <c r="I171" s="83">
        <f t="shared" si="715"/>
        <v>0</v>
      </c>
      <c r="J171" s="83">
        <f>VLOOKUP(J$168,CST1BY,5,0)</f>
        <v>0</v>
      </c>
      <c r="K171" s="83">
        <f t="shared" si="715"/>
        <v>0</v>
      </c>
      <c r="L171" s="83">
        <f t="shared" si="715"/>
        <v>0</v>
      </c>
      <c r="M171" s="83">
        <f t="shared" si="715"/>
        <v>0</v>
      </c>
      <c r="N171" s="83">
        <f t="shared" si="715"/>
        <v>0</v>
      </c>
      <c r="O171" s="83">
        <f t="shared" si="715"/>
        <v>0</v>
      </c>
      <c r="P171" s="83">
        <f t="shared" si="715"/>
        <v>0</v>
      </c>
      <c r="Q171" s="83">
        <f t="shared" si="715"/>
        <v>0</v>
      </c>
      <c r="R171" s="83">
        <f t="shared" si="715"/>
        <v>0</v>
      </c>
      <c r="S171" s="83">
        <f t="shared" si="715"/>
        <v>0</v>
      </c>
      <c r="T171" s="83">
        <f t="shared" si="715"/>
        <v>0</v>
      </c>
      <c r="U171" s="83">
        <f t="shared" si="715"/>
        <v>0</v>
      </c>
      <c r="V171" s="83">
        <f t="shared" si="715"/>
        <v>0</v>
      </c>
      <c r="W171" s="83">
        <f t="shared" si="715"/>
        <v>0</v>
      </c>
    </row>
    <row r="172" spans="3:125" x14ac:dyDescent="0.25">
      <c r="C172" s="77" t="str">
        <f t="shared" si="714"/>
        <v>CASETA 1</v>
      </c>
      <c r="D172" s="23" t="s">
        <v>16</v>
      </c>
      <c r="E172" s="83">
        <f>VLOOKUP(E$168,CST1BY,6,0)</f>
        <v>1679</v>
      </c>
      <c r="F172" s="83">
        <f>VLOOKUP(F$168,CST1BY,6,0)</f>
        <v>2328</v>
      </c>
      <c r="G172" s="83">
        <f t="shared" ref="G172:W172" si="716">VLOOKUP(G$168,CST1BY,6,0)</f>
        <v>587</v>
      </c>
      <c r="H172" s="83">
        <f t="shared" si="716"/>
        <v>281</v>
      </c>
      <c r="I172" s="83">
        <f t="shared" si="716"/>
        <v>0</v>
      </c>
      <c r="J172" s="83">
        <f t="shared" si="716"/>
        <v>0</v>
      </c>
      <c r="K172" s="83">
        <f t="shared" si="716"/>
        <v>0</v>
      </c>
      <c r="L172" s="83">
        <f t="shared" si="716"/>
        <v>0</v>
      </c>
      <c r="M172" s="83">
        <f t="shared" si="716"/>
        <v>0</v>
      </c>
      <c r="N172" s="83">
        <f t="shared" si="716"/>
        <v>0</v>
      </c>
      <c r="O172" s="83">
        <f t="shared" si="716"/>
        <v>0</v>
      </c>
      <c r="P172" s="83">
        <f t="shared" si="716"/>
        <v>0</v>
      </c>
      <c r="Q172" s="83">
        <f t="shared" si="716"/>
        <v>0</v>
      </c>
      <c r="R172" s="83">
        <f t="shared" si="716"/>
        <v>0</v>
      </c>
      <c r="S172" s="83">
        <f t="shared" si="716"/>
        <v>0</v>
      </c>
      <c r="T172" s="83">
        <f t="shared" si="716"/>
        <v>0</v>
      </c>
      <c r="U172" s="83">
        <f t="shared" si="716"/>
        <v>0</v>
      </c>
      <c r="V172" s="83">
        <f t="shared" si="716"/>
        <v>0</v>
      </c>
      <c r="W172" s="83">
        <f t="shared" si="716"/>
        <v>0</v>
      </c>
    </row>
    <row r="173" spans="3:125" x14ac:dyDescent="0.25">
      <c r="C173" s="77" t="str">
        <f t="shared" si="714"/>
        <v>CASETA 1</v>
      </c>
      <c r="D173" s="23" t="s">
        <v>17</v>
      </c>
      <c r="E173" s="83">
        <f>VLOOKUP(E$168,CST1BY,7,0)</f>
        <v>0</v>
      </c>
      <c r="F173" s="83">
        <f>VLOOKUP(F$168,CST1BY,7,0)</f>
        <v>0</v>
      </c>
      <c r="G173" s="83">
        <f t="shared" ref="G173:W173" si="717">VLOOKUP(G$168,CST1BY,7,0)</f>
        <v>0</v>
      </c>
      <c r="H173" s="83">
        <f t="shared" si="717"/>
        <v>0</v>
      </c>
      <c r="I173" s="83">
        <f t="shared" si="717"/>
        <v>0</v>
      </c>
      <c r="J173" s="83">
        <f t="shared" si="717"/>
        <v>0</v>
      </c>
      <c r="K173" s="83">
        <f t="shared" si="717"/>
        <v>0</v>
      </c>
      <c r="L173" s="83">
        <f t="shared" si="717"/>
        <v>0</v>
      </c>
      <c r="M173" s="83">
        <f t="shared" si="717"/>
        <v>0</v>
      </c>
      <c r="N173" s="83">
        <f t="shared" si="717"/>
        <v>0</v>
      </c>
      <c r="O173" s="83">
        <f t="shared" si="717"/>
        <v>0</v>
      </c>
      <c r="P173" s="83">
        <f t="shared" si="717"/>
        <v>0</v>
      </c>
      <c r="Q173" s="83">
        <f t="shared" si="717"/>
        <v>0</v>
      </c>
      <c r="R173" s="83">
        <f t="shared" si="717"/>
        <v>0</v>
      </c>
      <c r="S173" s="83">
        <f t="shared" si="717"/>
        <v>0</v>
      </c>
      <c r="T173" s="83">
        <f t="shared" si="717"/>
        <v>0</v>
      </c>
      <c r="U173" s="83">
        <f t="shared" si="717"/>
        <v>0</v>
      </c>
      <c r="V173" s="83">
        <f t="shared" si="717"/>
        <v>0</v>
      </c>
      <c r="W173" s="83">
        <f t="shared" si="717"/>
        <v>0</v>
      </c>
    </row>
    <row r="174" spans="3:125" x14ac:dyDescent="0.25">
      <c r="C174" s="77" t="str">
        <f t="shared" si="714"/>
        <v>CASETA 1</v>
      </c>
      <c r="D174" s="23" t="s">
        <v>18</v>
      </c>
      <c r="E174" s="83">
        <f>SUM(E171:E173)</f>
        <v>1679</v>
      </c>
      <c r="F174" s="83">
        <f>SUM(F171:F173)</f>
        <v>2328</v>
      </c>
      <c r="G174" s="83">
        <f t="shared" ref="G174:W174" si="718">SUM(G171:G173)</f>
        <v>587</v>
      </c>
      <c r="H174" s="83">
        <f t="shared" si="718"/>
        <v>281</v>
      </c>
      <c r="I174" s="83">
        <f t="shared" si="718"/>
        <v>0</v>
      </c>
      <c r="J174" s="83">
        <f t="shared" si="718"/>
        <v>0</v>
      </c>
      <c r="K174" s="83">
        <f t="shared" si="718"/>
        <v>0</v>
      </c>
      <c r="L174" s="83">
        <f t="shared" si="718"/>
        <v>0</v>
      </c>
      <c r="M174" s="83">
        <f t="shared" si="718"/>
        <v>0</v>
      </c>
      <c r="N174" s="83">
        <f t="shared" si="718"/>
        <v>0</v>
      </c>
      <c r="O174" s="83">
        <f t="shared" si="718"/>
        <v>0</v>
      </c>
      <c r="P174" s="83">
        <f t="shared" si="718"/>
        <v>0</v>
      </c>
      <c r="Q174" s="83">
        <f t="shared" si="718"/>
        <v>0</v>
      </c>
      <c r="R174" s="83">
        <f t="shared" si="718"/>
        <v>0</v>
      </c>
      <c r="S174" s="83">
        <f t="shared" si="718"/>
        <v>0</v>
      </c>
      <c r="T174" s="83">
        <f t="shared" si="718"/>
        <v>0</v>
      </c>
      <c r="U174" s="83">
        <f t="shared" si="718"/>
        <v>0</v>
      </c>
      <c r="V174" s="83">
        <f t="shared" si="718"/>
        <v>0</v>
      </c>
      <c r="W174" s="83">
        <f t="shared" si="718"/>
        <v>0</v>
      </c>
    </row>
    <row r="175" spans="3:125" x14ac:dyDescent="0.25">
      <c r="C175" s="77" t="str">
        <f t="shared" si="714"/>
        <v>CASETA 1</v>
      </c>
      <c r="D175" s="23" t="s">
        <v>48</v>
      </c>
      <c r="E175" s="83">
        <f>VLOOKUP(E$168,CST1BY,9,0)</f>
        <v>1679</v>
      </c>
      <c r="F175" s="83">
        <f>VLOOKUP(F$168,CST1BY,9,0)</f>
        <v>4007</v>
      </c>
      <c r="G175" s="83">
        <f>VLOOKUP(G$168,CST1BY,9,0)</f>
        <v>4594</v>
      </c>
      <c r="H175" s="83">
        <f t="shared" ref="H175:W175" si="719">VLOOKUP(H$168,CST1BY,9,0)</f>
        <v>4875</v>
      </c>
      <c r="I175" s="83">
        <f t="shared" si="719"/>
        <v>4875</v>
      </c>
      <c r="J175" s="83">
        <f t="shared" si="719"/>
        <v>4875</v>
      </c>
      <c r="K175" s="83">
        <f t="shared" si="719"/>
        <v>4875</v>
      </c>
      <c r="L175" s="83">
        <f t="shared" si="719"/>
        <v>4875</v>
      </c>
      <c r="M175" s="83">
        <f t="shared" si="719"/>
        <v>4875</v>
      </c>
      <c r="N175" s="83">
        <f t="shared" si="719"/>
        <v>4875</v>
      </c>
      <c r="O175" s="83">
        <f t="shared" si="719"/>
        <v>4875</v>
      </c>
      <c r="P175" s="83">
        <f t="shared" si="719"/>
        <v>4875</v>
      </c>
      <c r="Q175" s="83">
        <f t="shared" si="719"/>
        <v>4875</v>
      </c>
      <c r="R175" s="83">
        <f t="shared" si="719"/>
        <v>4875</v>
      </c>
      <c r="S175" s="83">
        <f t="shared" si="719"/>
        <v>4875</v>
      </c>
      <c r="T175" s="83">
        <f t="shared" si="719"/>
        <v>4875</v>
      </c>
      <c r="U175" s="83">
        <f t="shared" si="719"/>
        <v>4875</v>
      </c>
      <c r="V175" s="83">
        <f t="shared" si="719"/>
        <v>4875</v>
      </c>
      <c r="W175" s="83">
        <f t="shared" si="719"/>
        <v>4875</v>
      </c>
    </row>
    <row r="176" spans="3:125" x14ac:dyDescent="0.25">
      <c r="C176" s="77" t="str">
        <f t="shared" si="714"/>
        <v>CASETA 1</v>
      </c>
      <c r="D176" s="86" t="s">
        <v>72</v>
      </c>
      <c r="E176" s="295">
        <f>VLOOKUP(E$168,CST1BY,10,0)</f>
        <v>0.7</v>
      </c>
      <c r="F176" s="295">
        <f>VLOOKUP(F$168,CST1BY,10,0)</f>
        <v>0.7</v>
      </c>
      <c r="G176" s="295">
        <f>VLOOKUP(G$168,CST1BY,10,0)</f>
        <v>0.7</v>
      </c>
      <c r="H176" s="295">
        <f t="shared" ref="H176:W176" si="720">VLOOKUP(H$168,CST1BY,10,0)</f>
        <v>0.5</v>
      </c>
      <c r="I176" s="295">
        <f t="shared" si="720"/>
        <v>0.3</v>
      </c>
      <c r="J176" s="295">
        <f t="shared" si="720"/>
        <v>0.18</v>
      </c>
      <c r="K176" s="295">
        <f t="shared" si="720"/>
        <v>0.18</v>
      </c>
      <c r="L176" s="295">
        <f t="shared" si="720"/>
        <v>0.16</v>
      </c>
      <c r="M176" s="295">
        <f t="shared" si="720"/>
        <v>0.16</v>
      </c>
      <c r="N176" s="295">
        <f t="shared" si="720"/>
        <v>0.16</v>
      </c>
      <c r="O176" s="295">
        <f t="shared" si="720"/>
        <v>0.16</v>
      </c>
      <c r="P176" s="295">
        <f t="shared" si="720"/>
        <v>0.16</v>
      </c>
      <c r="Q176" s="295">
        <f t="shared" si="720"/>
        <v>0.16</v>
      </c>
      <c r="R176" s="295">
        <f t="shared" si="720"/>
        <v>0.16</v>
      </c>
      <c r="S176" s="295">
        <f t="shared" si="720"/>
        <v>0.16</v>
      </c>
      <c r="T176" s="295">
        <f t="shared" si="720"/>
        <v>0.16</v>
      </c>
      <c r="U176" s="295">
        <f t="shared" si="720"/>
        <v>0.16</v>
      </c>
      <c r="V176" s="295">
        <f t="shared" si="720"/>
        <v>0.16</v>
      </c>
      <c r="W176" s="295">
        <f t="shared" si="720"/>
        <v>0.16</v>
      </c>
    </row>
    <row r="177" spans="3:23" x14ac:dyDescent="0.25">
      <c r="C177" s="77" t="str">
        <f t="shared" si="714"/>
        <v>CASETA 1</v>
      </c>
      <c r="D177" s="86" t="s">
        <v>74</v>
      </c>
      <c r="E177" s="214">
        <f>VLOOKUP(E$168,CST1BY,11,0)</f>
        <v>0.94949414978142976</v>
      </c>
      <c r="F177" s="214">
        <f>VLOOKUP(F$168,CST1BY,11,0)</f>
        <v>1.3291312688407784</v>
      </c>
      <c r="G177" s="214">
        <f t="shared" ref="G177:W177" si="721">VLOOKUP(G$168,CST1BY,11,0)</f>
        <v>0.33965190019904645</v>
      </c>
      <c r="H177" s="214">
        <f t="shared" si="721"/>
        <v>0.16341389657819441</v>
      </c>
      <c r="I177" s="214">
        <f t="shared" si="721"/>
        <v>0</v>
      </c>
      <c r="J177" s="214">
        <f t="shared" si="721"/>
        <v>0</v>
      </c>
      <c r="K177" s="214">
        <f>VLOOKUP(K$168,CST1BY,11,0)</f>
        <v>0</v>
      </c>
      <c r="L177" s="214">
        <f t="shared" si="721"/>
        <v>0</v>
      </c>
      <c r="M177" s="214">
        <f t="shared" si="721"/>
        <v>0</v>
      </c>
      <c r="N177" s="214">
        <f t="shared" si="721"/>
        <v>0</v>
      </c>
      <c r="O177" s="214">
        <f t="shared" si="721"/>
        <v>0</v>
      </c>
      <c r="P177" s="214">
        <f t="shared" si="721"/>
        <v>0</v>
      </c>
      <c r="Q177" s="214">
        <f t="shared" si="721"/>
        <v>0</v>
      </c>
      <c r="R177" s="214">
        <f t="shared" si="721"/>
        <v>0</v>
      </c>
      <c r="S177" s="214">
        <f t="shared" si="721"/>
        <v>0</v>
      </c>
      <c r="T177" s="214">
        <f t="shared" si="721"/>
        <v>0</v>
      </c>
      <c r="U177" s="214">
        <f t="shared" si="721"/>
        <v>0</v>
      </c>
      <c r="V177" s="214">
        <f t="shared" si="721"/>
        <v>0</v>
      </c>
      <c r="W177" s="214">
        <f t="shared" si="721"/>
        <v>0</v>
      </c>
    </row>
    <row r="178" spans="3:23" ht="25.5" x14ac:dyDescent="0.25">
      <c r="C178" s="77" t="str">
        <f t="shared" si="714"/>
        <v>CASETA 1</v>
      </c>
      <c r="D178" s="87" t="s">
        <v>49</v>
      </c>
      <c r="E178" s="319">
        <f>VLOOKUP(E$168,CST1BY,12,0)</f>
        <v>0.7</v>
      </c>
      <c r="F178" s="319">
        <f>VLOOKUP(F$168,CST1BY,12,0)</f>
        <v>0.7</v>
      </c>
      <c r="G178" s="319">
        <f t="shared" ref="G178:W178" si="722">VLOOKUP(G$168,CST1BY,12,0)</f>
        <v>1.4</v>
      </c>
      <c r="H178" s="319">
        <f t="shared" si="722"/>
        <v>1.9</v>
      </c>
      <c r="I178" s="319">
        <f t="shared" si="722"/>
        <v>2.1999999999999997</v>
      </c>
      <c r="J178" s="319">
        <f t="shared" si="722"/>
        <v>2.38</v>
      </c>
      <c r="K178" s="319">
        <f t="shared" si="722"/>
        <v>2.56</v>
      </c>
      <c r="L178" s="319">
        <f t="shared" si="722"/>
        <v>2.72</v>
      </c>
      <c r="M178" s="319">
        <f t="shared" si="722"/>
        <v>2.8800000000000003</v>
      </c>
      <c r="N178" s="319">
        <f t="shared" si="722"/>
        <v>3.0400000000000005</v>
      </c>
      <c r="O178" s="319">
        <f t="shared" si="722"/>
        <v>3.2000000000000006</v>
      </c>
      <c r="P178" s="319">
        <f t="shared" si="722"/>
        <v>3.3600000000000008</v>
      </c>
      <c r="Q178" s="319">
        <f t="shared" si="722"/>
        <v>3.5200000000000009</v>
      </c>
      <c r="R178" s="319">
        <f t="shared" si="722"/>
        <v>3.680000000000001</v>
      </c>
      <c r="S178" s="319">
        <f t="shared" si="722"/>
        <v>3.8400000000000012</v>
      </c>
      <c r="T178" s="319">
        <f t="shared" si="722"/>
        <v>4.0000000000000009</v>
      </c>
      <c r="U178" s="319">
        <f t="shared" si="722"/>
        <v>4.160000000000001</v>
      </c>
      <c r="V178" s="319">
        <f t="shared" si="722"/>
        <v>4.3200000000000012</v>
      </c>
      <c r="W178" s="319">
        <f t="shared" si="722"/>
        <v>4.4800000000000013</v>
      </c>
    </row>
    <row r="179" spans="3:23" ht="25.5" x14ac:dyDescent="0.25">
      <c r="C179" s="77" t="str">
        <f t="shared" si="714"/>
        <v>CASETA 1</v>
      </c>
      <c r="D179" s="87" t="s">
        <v>73</v>
      </c>
      <c r="E179" s="214">
        <f>VLOOKUP(E$168,CST1BY,13,0)</f>
        <v>0.94949414978142976</v>
      </c>
      <c r="F179" s="214">
        <f>VLOOKUP(F$168,CST1BY,13,0)</f>
        <v>2.2877272312048964</v>
      </c>
      <c r="G179" s="214">
        <f t="shared" ref="G179:W179" si="723">VLOOKUP(G$168,CST1BY,13,0)</f>
        <v>2.6581956209785678</v>
      </c>
      <c r="H179" s="214">
        <f t="shared" si="723"/>
        <v>2.8350275651910954</v>
      </c>
      <c r="I179" s="214">
        <f t="shared" si="723"/>
        <v>2.8350275651910954</v>
      </c>
      <c r="J179" s="214">
        <f t="shared" si="723"/>
        <v>2.8350275651910954</v>
      </c>
      <c r="K179" s="214">
        <f t="shared" si="723"/>
        <v>2.8350275651910954</v>
      </c>
      <c r="L179" s="214">
        <f t="shared" si="723"/>
        <v>2.8350275651910954</v>
      </c>
      <c r="M179" s="214">
        <f t="shared" si="723"/>
        <v>2.8350275651910954</v>
      </c>
      <c r="N179" s="214">
        <f t="shared" si="723"/>
        <v>2.8350275651910954</v>
      </c>
      <c r="O179" s="214">
        <f t="shared" si="723"/>
        <v>2.8350275651910954</v>
      </c>
      <c r="P179" s="214">
        <f t="shared" si="723"/>
        <v>2.8350275651910954</v>
      </c>
      <c r="Q179" s="214">
        <f t="shared" si="723"/>
        <v>2.8350275651910954</v>
      </c>
      <c r="R179" s="214">
        <f t="shared" si="723"/>
        <v>2.8350275651910954</v>
      </c>
      <c r="S179" s="214">
        <f t="shared" si="723"/>
        <v>2.8350275651910954</v>
      </c>
      <c r="T179" s="214">
        <f t="shared" si="723"/>
        <v>2.8350275651910954</v>
      </c>
      <c r="U179" s="214">
        <f t="shared" si="723"/>
        <v>2.8350275651910954</v>
      </c>
      <c r="V179" s="214">
        <f t="shared" si="723"/>
        <v>2.8350275651910954</v>
      </c>
      <c r="W179" s="214">
        <f t="shared" si="723"/>
        <v>2.8350275651910954</v>
      </c>
    </row>
    <row r="180" spans="3:23" x14ac:dyDescent="0.25">
      <c r="C180" s="77" t="str">
        <f t="shared" si="714"/>
        <v>CASETA 1</v>
      </c>
      <c r="D180" s="23" t="s">
        <v>9</v>
      </c>
      <c r="E180" s="83">
        <f>VLOOKUP(E$168,CST1BY,14,0)</f>
        <v>9360</v>
      </c>
      <c r="F180" s="83">
        <f>VLOOKUP(F$168,CST1BY,14,0)</f>
        <v>12060</v>
      </c>
      <c r="G180" s="83">
        <f t="shared" ref="G180:W180" si="724">VLOOKUP(G$168,CST1BY,14,0)</f>
        <v>21942</v>
      </c>
      <c r="H180" s="83">
        <f t="shared" si="724"/>
        <v>5751</v>
      </c>
      <c r="I180" s="83">
        <f t="shared" si="724"/>
        <v>0</v>
      </c>
      <c r="J180" s="83">
        <f t="shared" si="724"/>
        <v>0</v>
      </c>
      <c r="K180" s="83">
        <f t="shared" si="724"/>
        <v>0</v>
      </c>
      <c r="L180" s="83">
        <f t="shared" si="724"/>
        <v>0</v>
      </c>
      <c r="M180" s="83">
        <f t="shared" si="724"/>
        <v>0</v>
      </c>
      <c r="N180" s="83">
        <f t="shared" si="724"/>
        <v>0</v>
      </c>
      <c r="O180" s="83">
        <f t="shared" si="724"/>
        <v>0</v>
      </c>
      <c r="P180" s="83">
        <f t="shared" si="724"/>
        <v>0</v>
      </c>
      <c r="Q180" s="83">
        <f t="shared" si="724"/>
        <v>0</v>
      </c>
      <c r="R180" s="83">
        <f t="shared" si="724"/>
        <v>0</v>
      </c>
      <c r="S180" s="83">
        <f t="shared" si="724"/>
        <v>0</v>
      </c>
      <c r="T180" s="83">
        <f t="shared" si="724"/>
        <v>0</v>
      </c>
      <c r="U180" s="83">
        <f t="shared" si="724"/>
        <v>0</v>
      </c>
      <c r="V180" s="83">
        <f t="shared" si="724"/>
        <v>0</v>
      </c>
      <c r="W180" s="83">
        <f t="shared" si="724"/>
        <v>0</v>
      </c>
    </row>
    <row r="181" spans="3:23" ht="25.5" x14ac:dyDescent="0.25">
      <c r="C181" s="77" t="str">
        <f t="shared" si="714"/>
        <v>CASETA 1</v>
      </c>
      <c r="D181" s="86" t="s">
        <v>75</v>
      </c>
      <c r="E181" s="83">
        <f>VLOOKUP(E$168,CST1BY,15,0)</f>
        <v>10</v>
      </c>
      <c r="F181" s="83">
        <f>VLOOKUP(F$168,CST1BY,15,0)</f>
        <v>10</v>
      </c>
      <c r="G181" s="83">
        <f t="shared" ref="G181:W181" si="725">VLOOKUP(G$168,CST1BY,15,0)</f>
        <v>17</v>
      </c>
      <c r="H181" s="83">
        <f t="shared" si="725"/>
        <v>23</v>
      </c>
      <c r="I181" s="83">
        <f>VLOOKUP(I$168,CST1BY,15,0)</f>
        <v>29</v>
      </c>
      <c r="J181" s="83">
        <f t="shared" si="725"/>
        <v>34</v>
      </c>
      <c r="K181" s="83">
        <f t="shared" si="725"/>
        <v>38</v>
      </c>
      <c r="L181" s="83">
        <f t="shared" si="725"/>
        <v>42</v>
      </c>
      <c r="M181" s="83">
        <f t="shared" si="725"/>
        <v>46</v>
      </c>
      <c r="N181" s="83">
        <f t="shared" si="725"/>
        <v>49</v>
      </c>
      <c r="O181" s="83">
        <f t="shared" si="725"/>
        <v>52</v>
      </c>
      <c r="P181" s="83">
        <f t="shared" si="725"/>
        <v>55</v>
      </c>
      <c r="Q181" s="83">
        <f t="shared" si="725"/>
        <v>58</v>
      </c>
      <c r="R181" s="83">
        <f t="shared" si="725"/>
        <v>61</v>
      </c>
      <c r="S181" s="83">
        <f t="shared" si="725"/>
        <v>64</v>
      </c>
      <c r="T181" s="83">
        <f t="shared" si="725"/>
        <v>67</v>
      </c>
      <c r="U181" s="83">
        <f t="shared" si="725"/>
        <v>71</v>
      </c>
      <c r="V181" s="83">
        <f t="shared" si="725"/>
        <v>75</v>
      </c>
      <c r="W181" s="83">
        <f t="shared" si="725"/>
        <v>79</v>
      </c>
    </row>
    <row r="182" spans="3:23" ht="25.5" x14ac:dyDescent="0.25">
      <c r="C182" s="77" t="str">
        <f t="shared" si="714"/>
        <v>CASETA 1</v>
      </c>
      <c r="D182" s="86" t="s">
        <v>62</v>
      </c>
      <c r="E182" s="83">
        <f>VLOOKUP(E$168,CST1BY,16,0)</f>
        <v>7.5616993465108333</v>
      </c>
      <c r="F182" s="83">
        <f>VLOOKUP(F$168,CST1BY,16,0)</f>
        <v>9.8363543828054638</v>
      </c>
      <c r="G182" s="83">
        <f t="shared" ref="G182:W182" si="726">VLOOKUP(G$168,CST1BY,16,0)</f>
        <v>18.137361874342851</v>
      </c>
      <c r="H182" s="83">
        <f>VLOOKUP(H$168,CST1BY,16,0)</f>
        <v>4.7778003010736967</v>
      </c>
      <c r="I182" s="83">
        <f t="shared" si="726"/>
        <v>0</v>
      </c>
      <c r="J182" s="83">
        <f t="shared" si="726"/>
        <v>0</v>
      </c>
      <c r="K182" s="83">
        <f t="shared" si="726"/>
        <v>0</v>
      </c>
      <c r="L182" s="83">
        <f t="shared" si="726"/>
        <v>0</v>
      </c>
      <c r="M182" s="83">
        <f t="shared" si="726"/>
        <v>0</v>
      </c>
      <c r="N182" s="83">
        <f t="shared" si="726"/>
        <v>0</v>
      </c>
      <c r="O182" s="83">
        <f t="shared" si="726"/>
        <v>0</v>
      </c>
      <c r="P182" s="83">
        <f t="shared" si="726"/>
        <v>0</v>
      </c>
      <c r="Q182" s="83">
        <f>VLOOKUP(Q$168,CST1BY,16,0)</f>
        <v>0</v>
      </c>
      <c r="R182" s="83">
        <f t="shared" si="726"/>
        <v>0</v>
      </c>
      <c r="S182" s="83">
        <f t="shared" si="726"/>
        <v>0</v>
      </c>
      <c r="T182" s="83">
        <f t="shared" si="726"/>
        <v>0</v>
      </c>
      <c r="U182" s="83">
        <f t="shared" si="726"/>
        <v>0</v>
      </c>
      <c r="V182" s="83">
        <f t="shared" si="726"/>
        <v>0</v>
      </c>
      <c r="W182" s="83">
        <f t="shared" si="726"/>
        <v>0</v>
      </c>
    </row>
    <row r="183" spans="3:23" ht="25.5" x14ac:dyDescent="0.25">
      <c r="C183" s="77" t="str">
        <f t="shared" si="714"/>
        <v>CASETA 1</v>
      </c>
      <c r="D183" s="24" t="s">
        <v>50</v>
      </c>
      <c r="E183" s="83">
        <f>VLOOKUP(E$168,CST1BY,17,0)</f>
        <v>98.731891913577527</v>
      </c>
      <c r="F183" s="83">
        <f>VLOOKUP(F$168,CST1BY,17,0)</f>
        <v>168.19134415163114</v>
      </c>
      <c r="G183" s="83">
        <f t="shared" ref="G183:W183" si="727">VLOOKUP(G$168,CST1BY,17,0)</f>
        <v>295.38347760061936</v>
      </c>
      <c r="H183" s="83">
        <f t="shared" si="727"/>
        <v>328.79467076367098</v>
      </c>
      <c r="I183" s="83">
        <f t="shared" si="727"/>
        <v>328.79467076367098</v>
      </c>
      <c r="J183" s="83">
        <f t="shared" si="727"/>
        <v>328.79467076367098</v>
      </c>
      <c r="K183" s="83">
        <f t="shared" si="727"/>
        <v>328.79467076367098</v>
      </c>
      <c r="L183" s="83">
        <f t="shared" si="727"/>
        <v>328.79467076367098</v>
      </c>
      <c r="M183" s="83">
        <f t="shared" si="727"/>
        <v>328.79467076367098</v>
      </c>
      <c r="N183" s="83">
        <f t="shared" si="727"/>
        <v>328.79467076367098</v>
      </c>
      <c r="O183" s="83">
        <f t="shared" si="727"/>
        <v>328.79467076367098</v>
      </c>
      <c r="P183" s="83">
        <f t="shared" si="727"/>
        <v>328.79467076367098</v>
      </c>
      <c r="Q183" s="83">
        <f t="shared" si="727"/>
        <v>328.79467076367098</v>
      </c>
      <c r="R183" s="83">
        <f t="shared" si="727"/>
        <v>328.79467076367098</v>
      </c>
      <c r="S183" s="83">
        <f t="shared" si="727"/>
        <v>328.79467076367098</v>
      </c>
      <c r="T183" s="83">
        <f t="shared" si="727"/>
        <v>328.79467076367098</v>
      </c>
      <c r="U183" s="83">
        <f t="shared" si="727"/>
        <v>328.79467076367098</v>
      </c>
      <c r="V183" s="83">
        <f t="shared" si="727"/>
        <v>328.79467076367098</v>
      </c>
      <c r="W183" s="83">
        <f t="shared" si="727"/>
        <v>328.79467076367098</v>
      </c>
    </row>
    <row r="184" spans="3:23" x14ac:dyDescent="0.25">
      <c r="C184" s="77" t="str">
        <f t="shared" si="714"/>
        <v>CASETA 1</v>
      </c>
      <c r="D184" s="86" t="s">
        <v>63</v>
      </c>
      <c r="E184" s="83">
        <f>VLOOKUP(E$168,CST1BY,18,0)</f>
        <v>40</v>
      </c>
      <c r="F184" s="83">
        <f>VLOOKUP(F$168,CST1BY,18,0)</f>
        <v>70</v>
      </c>
      <c r="G184" s="83">
        <f t="shared" ref="G184:W184" si="728">VLOOKUP(G$168,CST1BY,18,0)</f>
        <v>120</v>
      </c>
      <c r="H184" s="83">
        <f t="shared" si="728"/>
        <v>185</v>
      </c>
      <c r="I184" s="83">
        <f t="shared" si="728"/>
        <v>255</v>
      </c>
      <c r="J184" s="83">
        <f t="shared" si="728"/>
        <v>334</v>
      </c>
      <c r="K184" s="83">
        <f t="shared" si="728"/>
        <v>425</v>
      </c>
      <c r="L184" s="83">
        <f t="shared" si="728"/>
        <v>524</v>
      </c>
      <c r="M184" s="83">
        <f t="shared" si="728"/>
        <v>618</v>
      </c>
      <c r="N184" s="83">
        <f t="shared" si="728"/>
        <v>712</v>
      </c>
      <c r="O184" s="83">
        <f t="shared" si="728"/>
        <v>802</v>
      </c>
      <c r="P184" s="83">
        <f t="shared" si="728"/>
        <v>880</v>
      </c>
      <c r="Q184" s="83">
        <f t="shared" si="728"/>
        <v>950</v>
      </c>
      <c r="R184" s="83">
        <f t="shared" si="728"/>
        <v>1010</v>
      </c>
      <c r="S184" s="83">
        <f t="shared" si="728"/>
        <v>1065</v>
      </c>
      <c r="T184" s="83">
        <f t="shared" si="728"/>
        <v>1115</v>
      </c>
      <c r="U184" s="83">
        <f t="shared" si="728"/>
        <v>1160</v>
      </c>
      <c r="V184" s="83">
        <f t="shared" si="728"/>
        <v>1207</v>
      </c>
      <c r="W184" s="83">
        <f t="shared" si="728"/>
        <v>1257</v>
      </c>
    </row>
    <row r="185" spans="3:23" x14ac:dyDescent="0.25">
      <c r="C185" s="77" t="str">
        <f t="shared" si="714"/>
        <v>CASETA 1</v>
      </c>
      <c r="D185" s="86" t="s">
        <v>64</v>
      </c>
      <c r="E185" s="83">
        <f>VLOOKUP(E$168,CST1BY,19,0)</f>
        <v>33</v>
      </c>
      <c r="F185" s="83">
        <f>VLOOKUP(F$168,CST1BY,19,0)</f>
        <v>70</v>
      </c>
      <c r="G185" s="83">
        <f t="shared" ref="G185:W185" si="729">VLOOKUP(G$168,CST1BY,19,0)</f>
        <v>122</v>
      </c>
      <c r="H185" s="83">
        <f t="shared" si="729"/>
        <v>178</v>
      </c>
      <c r="I185" s="83">
        <f t="shared" si="729"/>
        <v>0</v>
      </c>
      <c r="J185" s="83">
        <f t="shared" si="729"/>
        <v>0</v>
      </c>
      <c r="K185" s="83">
        <f t="shared" si="729"/>
        <v>0</v>
      </c>
      <c r="L185" s="83">
        <f t="shared" si="729"/>
        <v>0</v>
      </c>
      <c r="M185" s="83">
        <f t="shared" si="729"/>
        <v>0</v>
      </c>
      <c r="N185" s="83">
        <f t="shared" si="729"/>
        <v>0</v>
      </c>
      <c r="O185" s="83">
        <f t="shared" si="729"/>
        <v>0</v>
      </c>
      <c r="P185" s="83">
        <f t="shared" si="729"/>
        <v>0</v>
      </c>
      <c r="Q185" s="83">
        <f t="shared" si="729"/>
        <v>0</v>
      </c>
      <c r="R185" s="83">
        <f t="shared" si="729"/>
        <v>0</v>
      </c>
      <c r="S185" s="83">
        <f t="shared" si="729"/>
        <v>0</v>
      </c>
      <c r="T185" s="83">
        <f t="shared" si="729"/>
        <v>0</v>
      </c>
      <c r="U185" s="83">
        <f t="shared" si="729"/>
        <v>0</v>
      </c>
      <c r="V185" s="83">
        <f t="shared" si="729"/>
        <v>0</v>
      </c>
      <c r="W185" s="83">
        <f t="shared" si="729"/>
        <v>0</v>
      </c>
    </row>
    <row r="186" spans="3:23" x14ac:dyDescent="0.25">
      <c r="C186" s="77" t="str">
        <f t="shared" si="714"/>
        <v>CASETA 1</v>
      </c>
      <c r="D186" s="23" t="s">
        <v>15</v>
      </c>
      <c r="E186" s="83">
        <f>VLOOKUP(E$168,CST1BY,20,0)</f>
        <v>7</v>
      </c>
      <c r="F186" s="83">
        <f>VLOOKUP(F$168,CST1BY,20,0)</f>
        <v>0</v>
      </c>
      <c r="G186" s="83">
        <f t="shared" ref="G186:W186" si="730">VLOOKUP(G$168,CST1BY,20,0)</f>
        <v>-2</v>
      </c>
      <c r="H186" s="83">
        <f t="shared" si="730"/>
        <v>7</v>
      </c>
      <c r="I186" s="83">
        <f t="shared" si="730"/>
        <v>255</v>
      </c>
      <c r="J186" s="83">
        <f t="shared" si="730"/>
        <v>334</v>
      </c>
      <c r="K186" s="83">
        <f t="shared" si="730"/>
        <v>425</v>
      </c>
      <c r="L186" s="83">
        <f t="shared" si="730"/>
        <v>524</v>
      </c>
      <c r="M186" s="83">
        <f t="shared" si="730"/>
        <v>618</v>
      </c>
      <c r="N186" s="83">
        <f t="shared" si="730"/>
        <v>712</v>
      </c>
      <c r="O186" s="83">
        <f t="shared" si="730"/>
        <v>802</v>
      </c>
      <c r="P186" s="83">
        <f t="shared" si="730"/>
        <v>880</v>
      </c>
      <c r="Q186" s="83">
        <f t="shared" si="730"/>
        <v>950</v>
      </c>
      <c r="R186" s="83">
        <f t="shared" si="730"/>
        <v>1010</v>
      </c>
      <c r="S186" s="83">
        <f t="shared" si="730"/>
        <v>1065</v>
      </c>
      <c r="T186" s="83">
        <f t="shared" si="730"/>
        <v>1115</v>
      </c>
      <c r="U186" s="83">
        <f t="shared" si="730"/>
        <v>1160</v>
      </c>
      <c r="V186" s="83">
        <f t="shared" si="730"/>
        <v>1207</v>
      </c>
      <c r="W186" s="83">
        <f t="shared" si="730"/>
        <v>1257</v>
      </c>
    </row>
    <row r="187" spans="3:23" ht="25.5" x14ac:dyDescent="0.25">
      <c r="C187" s="77" t="str">
        <f t="shared" si="714"/>
        <v>CASETA 1</v>
      </c>
      <c r="D187" s="86" t="s">
        <v>65</v>
      </c>
      <c r="E187" s="83">
        <f>VLOOKUP(E$168,CST1BY,21,0)</f>
        <v>77</v>
      </c>
      <c r="F187" s="83">
        <f>VLOOKUP(F$168,CST1BY,21,0)</f>
        <v>77</v>
      </c>
      <c r="G187" s="83">
        <f t="shared" ref="G187:W187" si="731">VLOOKUP(G$168,CST1BY,21,0)</f>
        <v>77</v>
      </c>
      <c r="H187" s="83">
        <f t="shared" si="731"/>
        <v>77</v>
      </c>
      <c r="I187" s="83">
        <f t="shared" si="731"/>
        <v>79</v>
      </c>
      <c r="J187" s="83">
        <f t="shared" si="731"/>
        <v>79</v>
      </c>
      <c r="K187" s="83">
        <f t="shared" si="731"/>
        <v>79</v>
      </c>
      <c r="L187" s="83">
        <f t="shared" si="731"/>
        <v>79</v>
      </c>
      <c r="M187" s="83">
        <f t="shared" si="731"/>
        <v>79</v>
      </c>
      <c r="N187" s="83">
        <f t="shared" si="731"/>
        <v>79</v>
      </c>
      <c r="O187" s="83">
        <f t="shared" si="731"/>
        <v>80</v>
      </c>
      <c r="P187" s="83">
        <f t="shared" si="731"/>
        <v>80</v>
      </c>
      <c r="Q187" s="83">
        <f t="shared" si="731"/>
        <v>82</v>
      </c>
      <c r="R187" s="83">
        <f t="shared" si="731"/>
        <v>82</v>
      </c>
      <c r="S187" s="83">
        <f t="shared" si="731"/>
        <v>84</v>
      </c>
      <c r="T187" s="83">
        <f t="shared" si="731"/>
        <v>86</v>
      </c>
      <c r="U187" s="83">
        <f t="shared" si="731"/>
        <v>86</v>
      </c>
      <c r="V187" s="83">
        <f t="shared" si="731"/>
        <v>86</v>
      </c>
      <c r="W187" s="83">
        <f t="shared" si="731"/>
        <v>86</v>
      </c>
    </row>
    <row r="188" spans="3:23" ht="25.5" x14ac:dyDescent="0.25">
      <c r="C188" s="77" t="str">
        <f t="shared" si="714"/>
        <v>CASETA 1</v>
      </c>
      <c r="D188" s="86" t="s">
        <v>66</v>
      </c>
      <c r="E188" s="83">
        <f t="shared" ref="E188:W188" si="732">VLOOKUP(E$168,CST1BY,22,0)</f>
        <v>84</v>
      </c>
      <c r="F188" s="83">
        <f t="shared" si="732"/>
        <v>84</v>
      </c>
      <c r="G188" s="83">
        <f t="shared" si="732"/>
        <v>65</v>
      </c>
      <c r="H188" s="83">
        <f t="shared" si="732"/>
        <v>67</v>
      </c>
      <c r="I188" s="83">
        <f t="shared" si="732"/>
        <v>0</v>
      </c>
      <c r="J188" s="83">
        <f t="shared" si="732"/>
        <v>0</v>
      </c>
      <c r="K188" s="83">
        <f t="shared" si="732"/>
        <v>0</v>
      </c>
      <c r="L188" s="83">
        <f t="shared" si="732"/>
        <v>0</v>
      </c>
      <c r="M188" s="83">
        <f t="shared" si="732"/>
        <v>0</v>
      </c>
      <c r="N188" s="83">
        <f t="shared" si="732"/>
        <v>0</v>
      </c>
      <c r="O188" s="83">
        <f t="shared" si="732"/>
        <v>0</v>
      </c>
      <c r="P188" s="83">
        <f t="shared" si="732"/>
        <v>0</v>
      </c>
      <c r="Q188" s="83">
        <f t="shared" si="732"/>
        <v>0</v>
      </c>
      <c r="R188" s="83">
        <f t="shared" si="732"/>
        <v>0</v>
      </c>
      <c r="S188" s="83">
        <f t="shared" si="732"/>
        <v>0</v>
      </c>
      <c r="T188" s="83">
        <f t="shared" si="732"/>
        <v>0</v>
      </c>
      <c r="U188" s="83">
        <f t="shared" si="732"/>
        <v>0</v>
      </c>
      <c r="V188" s="83">
        <f t="shared" si="732"/>
        <v>0</v>
      </c>
      <c r="W188" s="83">
        <f t="shared" si="732"/>
        <v>0</v>
      </c>
    </row>
    <row r="189" spans="3:23" x14ac:dyDescent="0.25">
      <c r="C189" s="77" t="str">
        <f t="shared" si="714"/>
        <v>CASETA 1</v>
      </c>
      <c r="D189" s="23" t="s">
        <v>15</v>
      </c>
      <c r="E189" s="83">
        <f t="shared" ref="E189:W189" si="733">VLOOKUP(E$168,CST1BY,23,0)</f>
        <v>-7</v>
      </c>
      <c r="F189" s="83">
        <f t="shared" si="733"/>
        <v>-7</v>
      </c>
      <c r="G189" s="83">
        <f t="shared" si="733"/>
        <v>12</v>
      </c>
      <c r="H189" s="83">
        <f t="shared" si="733"/>
        <v>10</v>
      </c>
      <c r="I189" s="83">
        <f t="shared" si="733"/>
        <v>79</v>
      </c>
      <c r="J189" s="83">
        <f t="shared" si="733"/>
        <v>79</v>
      </c>
      <c r="K189" s="83">
        <f t="shared" si="733"/>
        <v>79</v>
      </c>
      <c r="L189" s="83">
        <f t="shared" si="733"/>
        <v>79</v>
      </c>
      <c r="M189" s="83">
        <f t="shared" si="733"/>
        <v>79</v>
      </c>
      <c r="N189" s="83">
        <f>VLOOKUP(N$168,CST1BY,23,0)</f>
        <v>79</v>
      </c>
      <c r="O189" s="83">
        <f t="shared" si="733"/>
        <v>80</v>
      </c>
      <c r="P189" s="83">
        <f t="shared" si="733"/>
        <v>80</v>
      </c>
      <c r="Q189" s="83">
        <f t="shared" si="733"/>
        <v>82</v>
      </c>
      <c r="R189" s="83">
        <f t="shared" si="733"/>
        <v>82</v>
      </c>
      <c r="S189" s="83">
        <f t="shared" si="733"/>
        <v>84</v>
      </c>
      <c r="T189" s="83">
        <f t="shared" si="733"/>
        <v>86</v>
      </c>
      <c r="U189" s="83">
        <f t="shared" si="733"/>
        <v>86</v>
      </c>
      <c r="V189" s="83">
        <f t="shared" si="733"/>
        <v>86</v>
      </c>
      <c r="W189" s="83">
        <f t="shared" si="733"/>
        <v>86</v>
      </c>
    </row>
    <row r="190" spans="3:23" x14ac:dyDescent="0.25">
      <c r="E190" s="1"/>
      <c r="F190" s="316"/>
      <c r="G190" s="316"/>
      <c r="H190" s="316"/>
      <c r="I190" s="316"/>
      <c r="J190" s="316"/>
      <c r="K190" s="316"/>
      <c r="L190" s="316"/>
      <c r="M190" s="316"/>
      <c r="N190" s="316"/>
      <c r="O190" s="316"/>
      <c r="P190" s="316"/>
      <c r="Q190" s="316"/>
      <c r="R190" s="316"/>
      <c r="S190" s="316"/>
      <c r="T190" s="316"/>
      <c r="U190" s="316"/>
      <c r="V190" s="316"/>
      <c r="W190" s="316"/>
    </row>
    <row r="191" spans="3:23" x14ac:dyDescent="0.25">
      <c r="E191" s="1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316"/>
      <c r="T191" s="316"/>
      <c r="U191" s="316"/>
      <c r="V191" s="316"/>
      <c r="W191" s="316"/>
    </row>
    <row r="192" spans="3:23" ht="25.5" x14ac:dyDescent="0.25">
      <c r="C192" s="315" t="s">
        <v>53</v>
      </c>
      <c r="D192" s="24" t="s">
        <v>67</v>
      </c>
      <c r="E192" s="83">
        <f t="shared" ref="E192:W192" si="734">VLOOKUP(E$168,CST2BY,3,0)</f>
        <v>0</v>
      </c>
      <c r="F192" s="83">
        <f t="shared" si="734"/>
        <v>0</v>
      </c>
      <c r="G192" s="83">
        <f t="shared" si="734"/>
        <v>0</v>
      </c>
      <c r="H192" s="83">
        <f t="shared" si="734"/>
        <v>0</v>
      </c>
      <c r="I192" s="83">
        <f t="shared" si="734"/>
        <v>0</v>
      </c>
      <c r="J192" s="83">
        <f t="shared" si="734"/>
        <v>0</v>
      </c>
      <c r="K192" s="83">
        <f t="shared" si="734"/>
        <v>0</v>
      </c>
      <c r="L192" s="83">
        <f t="shared" si="734"/>
        <v>0</v>
      </c>
      <c r="M192" s="83">
        <f t="shared" si="734"/>
        <v>0</v>
      </c>
      <c r="N192" s="83">
        <f t="shared" si="734"/>
        <v>0</v>
      </c>
      <c r="O192" s="83">
        <f t="shared" si="734"/>
        <v>0</v>
      </c>
      <c r="P192" s="83">
        <f t="shared" si="734"/>
        <v>0</v>
      </c>
      <c r="Q192" s="83">
        <f t="shared" si="734"/>
        <v>0</v>
      </c>
      <c r="R192" s="83">
        <f t="shared" si="734"/>
        <v>0</v>
      </c>
      <c r="S192" s="83">
        <f t="shared" si="734"/>
        <v>0</v>
      </c>
      <c r="T192" s="83">
        <f t="shared" si="734"/>
        <v>0</v>
      </c>
      <c r="U192" s="83">
        <f t="shared" si="734"/>
        <v>0</v>
      </c>
      <c r="V192" s="83">
        <f t="shared" si="734"/>
        <v>0</v>
      </c>
      <c r="W192" s="83">
        <f t="shared" si="734"/>
        <v>0</v>
      </c>
    </row>
    <row r="193" spans="3:23" x14ac:dyDescent="0.25">
      <c r="C193" s="77" t="str">
        <f>C192</f>
        <v>CASETA 2</v>
      </c>
      <c r="D193" s="24" t="s">
        <v>34</v>
      </c>
      <c r="E193" s="83">
        <f t="shared" ref="E193:W193" si="735">VLOOKUP(E$168,CST2BY,4,0)</f>
        <v>0</v>
      </c>
      <c r="F193" s="83">
        <f t="shared" si="735"/>
        <v>0</v>
      </c>
      <c r="G193" s="83">
        <f t="shared" si="735"/>
        <v>0</v>
      </c>
      <c r="H193" s="83">
        <f t="shared" si="735"/>
        <v>0</v>
      </c>
      <c r="I193" s="83">
        <f t="shared" si="735"/>
        <v>0</v>
      </c>
      <c r="J193" s="83">
        <f t="shared" si="735"/>
        <v>0</v>
      </c>
      <c r="K193" s="83">
        <f t="shared" si="735"/>
        <v>0</v>
      </c>
      <c r="L193" s="83">
        <f t="shared" si="735"/>
        <v>0</v>
      </c>
      <c r="M193" s="83">
        <f t="shared" si="735"/>
        <v>0</v>
      </c>
      <c r="N193" s="83">
        <f t="shared" si="735"/>
        <v>0</v>
      </c>
      <c r="O193" s="83">
        <f t="shared" si="735"/>
        <v>0</v>
      </c>
      <c r="P193" s="83">
        <f t="shared" si="735"/>
        <v>0</v>
      </c>
      <c r="Q193" s="83">
        <f t="shared" si="735"/>
        <v>0</v>
      </c>
      <c r="R193" s="83">
        <f t="shared" si="735"/>
        <v>0</v>
      </c>
      <c r="S193" s="83">
        <f t="shared" si="735"/>
        <v>0</v>
      </c>
      <c r="T193" s="83">
        <f t="shared" si="735"/>
        <v>0</v>
      </c>
      <c r="U193" s="83">
        <f t="shared" si="735"/>
        <v>0</v>
      </c>
      <c r="V193" s="83">
        <f t="shared" si="735"/>
        <v>0</v>
      </c>
      <c r="W193" s="83">
        <f t="shared" si="735"/>
        <v>0</v>
      </c>
    </row>
    <row r="194" spans="3:23" x14ac:dyDescent="0.25">
      <c r="C194" s="77" t="str">
        <f t="shared" ref="C194:C212" si="736">C193</f>
        <v>CASETA 2</v>
      </c>
      <c r="D194" s="23" t="s">
        <v>27</v>
      </c>
      <c r="E194" s="83">
        <f t="shared" ref="E194:W194" si="737">VLOOKUP(E$168,CST2BY,5,0)</f>
        <v>0</v>
      </c>
      <c r="F194" s="83">
        <f t="shared" si="737"/>
        <v>0</v>
      </c>
      <c r="G194" s="83">
        <f t="shared" si="737"/>
        <v>0</v>
      </c>
      <c r="H194" s="83">
        <f t="shared" si="737"/>
        <v>0</v>
      </c>
      <c r="I194" s="83">
        <f t="shared" si="737"/>
        <v>0</v>
      </c>
      <c r="J194" s="83">
        <f t="shared" si="737"/>
        <v>0</v>
      </c>
      <c r="K194" s="83">
        <f t="shared" si="737"/>
        <v>0</v>
      </c>
      <c r="L194" s="83">
        <f t="shared" si="737"/>
        <v>0</v>
      </c>
      <c r="M194" s="83">
        <f t="shared" si="737"/>
        <v>0</v>
      </c>
      <c r="N194" s="83">
        <f t="shared" si="737"/>
        <v>0</v>
      </c>
      <c r="O194" s="83">
        <f t="shared" si="737"/>
        <v>0</v>
      </c>
      <c r="P194" s="83">
        <f t="shared" si="737"/>
        <v>0</v>
      </c>
      <c r="Q194" s="83">
        <f t="shared" si="737"/>
        <v>0</v>
      </c>
      <c r="R194" s="83">
        <f t="shared" si="737"/>
        <v>0</v>
      </c>
      <c r="S194" s="83">
        <f t="shared" si="737"/>
        <v>0</v>
      </c>
      <c r="T194" s="83">
        <f t="shared" si="737"/>
        <v>0</v>
      </c>
      <c r="U194" s="83">
        <f t="shared" si="737"/>
        <v>0</v>
      </c>
      <c r="V194" s="83">
        <f t="shared" si="737"/>
        <v>0</v>
      </c>
      <c r="W194" s="83">
        <f t="shared" si="737"/>
        <v>0</v>
      </c>
    </row>
    <row r="195" spans="3:23" x14ac:dyDescent="0.25">
      <c r="C195" s="77" t="str">
        <f t="shared" si="736"/>
        <v>CASETA 2</v>
      </c>
      <c r="D195" s="23" t="s">
        <v>16</v>
      </c>
      <c r="E195" s="83">
        <f t="shared" ref="E195:W195" si="738">VLOOKUP(E$168,CST2BY,6,0)</f>
        <v>0</v>
      </c>
      <c r="F195" s="83">
        <f t="shared" si="738"/>
        <v>0</v>
      </c>
      <c r="G195" s="83">
        <f t="shared" si="738"/>
        <v>0</v>
      </c>
      <c r="H195" s="83">
        <f t="shared" si="738"/>
        <v>0</v>
      </c>
      <c r="I195" s="83">
        <f t="shared" si="738"/>
        <v>0</v>
      </c>
      <c r="J195" s="83">
        <f t="shared" si="738"/>
        <v>0</v>
      </c>
      <c r="K195" s="83">
        <f t="shared" si="738"/>
        <v>0</v>
      </c>
      <c r="L195" s="83">
        <f t="shared" si="738"/>
        <v>0</v>
      </c>
      <c r="M195" s="83">
        <f t="shared" si="738"/>
        <v>0</v>
      </c>
      <c r="N195" s="83">
        <f t="shared" si="738"/>
        <v>0</v>
      </c>
      <c r="O195" s="83">
        <f t="shared" si="738"/>
        <v>0</v>
      </c>
      <c r="P195" s="83">
        <f t="shared" si="738"/>
        <v>0</v>
      </c>
      <c r="Q195" s="83">
        <f t="shared" si="738"/>
        <v>0</v>
      </c>
      <c r="R195" s="83">
        <f t="shared" si="738"/>
        <v>0</v>
      </c>
      <c r="S195" s="83">
        <f t="shared" si="738"/>
        <v>0</v>
      </c>
      <c r="T195" s="83">
        <f t="shared" si="738"/>
        <v>0</v>
      </c>
      <c r="U195" s="83">
        <f t="shared" si="738"/>
        <v>0</v>
      </c>
      <c r="V195" s="83">
        <f t="shared" si="738"/>
        <v>0</v>
      </c>
      <c r="W195" s="83">
        <f t="shared" si="738"/>
        <v>0</v>
      </c>
    </row>
    <row r="196" spans="3:23" x14ac:dyDescent="0.25">
      <c r="C196" s="77" t="str">
        <f t="shared" si="736"/>
        <v>CASETA 2</v>
      </c>
      <c r="D196" s="23" t="s">
        <v>17</v>
      </c>
      <c r="E196" s="83">
        <f t="shared" ref="E196:W196" si="739">VLOOKUP(E$168,CST2BY,7,0)</f>
        <v>0</v>
      </c>
      <c r="F196" s="83">
        <f t="shared" si="739"/>
        <v>0</v>
      </c>
      <c r="G196" s="83">
        <f t="shared" si="739"/>
        <v>0</v>
      </c>
      <c r="H196" s="83">
        <f t="shared" si="739"/>
        <v>0</v>
      </c>
      <c r="I196" s="83">
        <f t="shared" si="739"/>
        <v>0</v>
      </c>
      <c r="J196" s="83">
        <f t="shared" si="739"/>
        <v>0</v>
      </c>
      <c r="K196" s="83">
        <f t="shared" si="739"/>
        <v>0</v>
      </c>
      <c r="L196" s="83">
        <f t="shared" si="739"/>
        <v>0</v>
      </c>
      <c r="M196" s="83">
        <f t="shared" si="739"/>
        <v>0</v>
      </c>
      <c r="N196" s="83">
        <f t="shared" si="739"/>
        <v>0</v>
      </c>
      <c r="O196" s="83">
        <f t="shared" si="739"/>
        <v>0</v>
      </c>
      <c r="P196" s="83">
        <f t="shared" si="739"/>
        <v>0</v>
      </c>
      <c r="Q196" s="83">
        <f t="shared" si="739"/>
        <v>0</v>
      </c>
      <c r="R196" s="83">
        <f t="shared" si="739"/>
        <v>0</v>
      </c>
      <c r="S196" s="83">
        <f t="shared" si="739"/>
        <v>0</v>
      </c>
      <c r="T196" s="83">
        <f t="shared" si="739"/>
        <v>0</v>
      </c>
      <c r="U196" s="83">
        <f t="shared" si="739"/>
        <v>0</v>
      </c>
      <c r="V196" s="83">
        <f t="shared" si="739"/>
        <v>0</v>
      </c>
      <c r="W196" s="83">
        <f t="shared" si="739"/>
        <v>0</v>
      </c>
    </row>
    <row r="197" spans="3:23" x14ac:dyDescent="0.25">
      <c r="C197" s="77" t="str">
        <f t="shared" si="736"/>
        <v>CASETA 2</v>
      </c>
      <c r="D197" s="23" t="s">
        <v>18</v>
      </c>
      <c r="E197" s="83">
        <f>SUM(E194:E196)</f>
        <v>0</v>
      </c>
      <c r="F197" s="83">
        <f>SUM(F194:F196)</f>
        <v>0</v>
      </c>
      <c r="G197" s="83">
        <f t="shared" ref="G197:W197" si="740">SUM(G194:G196)</f>
        <v>0</v>
      </c>
      <c r="H197" s="83">
        <f t="shared" si="740"/>
        <v>0</v>
      </c>
      <c r="I197" s="83">
        <f t="shared" si="740"/>
        <v>0</v>
      </c>
      <c r="J197" s="83">
        <f t="shared" si="740"/>
        <v>0</v>
      </c>
      <c r="K197" s="83">
        <f t="shared" si="740"/>
        <v>0</v>
      </c>
      <c r="L197" s="83">
        <f t="shared" si="740"/>
        <v>0</v>
      </c>
      <c r="M197" s="83">
        <f t="shared" si="740"/>
        <v>0</v>
      </c>
      <c r="N197" s="83">
        <f t="shared" si="740"/>
        <v>0</v>
      </c>
      <c r="O197" s="83">
        <f t="shared" si="740"/>
        <v>0</v>
      </c>
      <c r="P197" s="83">
        <f t="shared" si="740"/>
        <v>0</v>
      </c>
      <c r="Q197" s="83">
        <f t="shared" si="740"/>
        <v>0</v>
      </c>
      <c r="R197" s="83">
        <f t="shared" si="740"/>
        <v>0</v>
      </c>
      <c r="S197" s="83">
        <f t="shared" si="740"/>
        <v>0</v>
      </c>
      <c r="T197" s="83">
        <f t="shared" si="740"/>
        <v>0</v>
      </c>
      <c r="U197" s="83">
        <f t="shared" si="740"/>
        <v>0</v>
      </c>
      <c r="V197" s="83">
        <f t="shared" si="740"/>
        <v>0</v>
      </c>
      <c r="W197" s="83">
        <f t="shared" si="740"/>
        <v>0</v>
      </c>
    </row>
    <row r="198" spans="3:23" x14ac:dyDescent="0.25">
      <c r="C198" s="77" t="str">
        <f t="shared" si="736"/>
        <v>CASETA 2</v>
      </c>
      <c r="D198" s="23" t="s">
        <v>48</v>
      </c>
      <c r="E198" s="83">
        <f t="shared" ref="E198:W198" si="741">VLOOKUP(E$168,CST2BY,9,0)</f>
        <v>0</v>
      </c>
      <c r="F198" s="83">
        <f t="shared" si="741"/>
        <v>0</v>
      </c>
      <c r="G198" s="83">
        <f t="shared" si="741"/>
        <v>0</v>
      </c>
      <c r="H198" s="83">
        <f t="shared" si="741"/>
        <v>0</v>
      </c>
      <c r="I198" s="83">
        <f t="shared" si="741"/>
        <v>0</v>
      </c>
      <c r="J198" s="83">
        <f t="shared" si="741"/>
        <v>0</v>
      </c>
      <c r="K198" s="83">
        <f t="shared" si="741"/>
        <v>0</v>
      </c>
      <c r="L198" s="83">
        <f t="shared" si="741"/>
        <v>0</v>
      </c>
      <c r="M198" s="83">
        <f t="shared" si="741"/>
        <v>0</v>
      </c>
      <c r="N198" s="83">
        <f t="shared" si="741"/>
        <v>0</v>
      </c>
      <c r="O198" s="83">
        <f t="shared" si="741"/>
        <v>0</v>
      </c>
      <c r="P198" s="83">
        <f t="shared" si="741"/>
        <v>0</v>
      </c>
      <c r="Q198" s="83">
        <f t="shared" si="741"/>
        <v>0</v>
      </c>
      <c r="R198" s="83">
        <f t="shared" si="741"/>
        <v>0</v>
      </c>
      <c r="S198" s="83">
        <f t="shared" si="741"/>
        <v>0</v>
      </c>
      <c r="T198" s="83">
        <f t="shared" si="741"/>
        <v>0</v>
      </c>
      <c r="U198" s="83">
        <f t="shared" si="741"/>
        <v>0</v>
      </c>
      <c r="V198" s="83">
        <f t="shared" si="741"/>
        <v>0</v>
      </c>
      <c r="W198" s="83">
        <f t="shared" si="741"/>
        <v>0</v>
      </c>
    </row>
    <row r="199" spans="3:23" x14ac:dyDescent="0.25">
      <c r="C199" s="77" t="str">
        <f t="shared" si="736"/>
        <v>CASETA 2</v>
      </c>
      <c r="D199" s="86" t="s">
        <v>72</v>
      </c>
      <c r="E199" s="295">
        <f t="shared" ref="E199:W199" si="742">VLOOKUP(E$168,CST2BY,10,0)</f>
        <v>0.7</v>
      </c>
      <c r="F199" s="295">
        <f t="shared" si="742"/>
        <v>0.7</v>
      </c>
      <c r="G199" s="295">
        <f t="shared" si="742"/>
        <v>0.7</v>
      </c>
      <c r="H199" s="295">
        <f t="shared" si="742"/>
        <v>0.5</v>
      </c>
      <c r="I199" s="295">
        <f t="shared" si="742"/>
        <v>0.3</v>
      </c>
      <c r="J199" s="295">
        <f t="shared" si="742"/>
        <v>0.18</v>
      </c>
      <c r="K199" s="295">
        <f t="shared" si="742"/>
        <v>0.18</v>
      </c>
      <c r="L199" s="295">
        <f t="shared" si="742"/>
        <v>0.16</v>
      </c>
      <c r="M199" s="295">
        <f t="shared" si="742"/>
        <v>0.16</v>
      </c>
      <c r="N199" s="295">
        <f t="shared" si="742"/>
        <v>0.16</v>
      </c>
      <c r="O199" s="295">
        <f t="shared" si="742"/>
        <v>0.16</v>
      </c>
      <c r="P199" s="295">
        <f t="shared" si="742"/>
        <v>0.16</v>
      </c>
      <c r="Q199" s="295">
        <f t="shared" si="742"/>
        <v>0.16</v>
      </c>
      <c r="R199" s="295">
        <f t="shared" si="742"/>
        <v>0.16</v>
      </c>
      <c r="S199" s="295">
        <f t="shared" si="742"/>
        <v>0.16</v>
      </c>
      <c r="T199" s="295">
        <f t="shared" si="742"/>
        <v>0.16</v>
      </c>
      <c r="U199" s="295">
        <f t="shared" si="742"/>
        <v>0.16</v>
      </c>
      <c r="V199" s="295">
        <f t="shared" si="742"/>
        <v>0.16</v>
      </c>
      <c r="W199" s="295">
        <f t="shared" si="742"/>
        <v>0.16</v>
      </c>
    </row>
    <row r="200" spans="3:23" x14ac:dyDescent="0.25">
      <c r="C200" s="77" t="str">
        <f t="shared" si="736"/>
        <v>CASETA 2</v>
      </c>
      <c r="D200" s="86" t="s">
        <v>74</v>
      </c>
      <c r="E200" s="214">
        <f t="shared" ref="E200:W200" si="743">VLOOKUP(E$168,CST2BY,11,0)</f>
        <v>0</v>
      </c>
      <c r="F200" s="214">
        <f t="shared" si="743"/>
        <v>0</v>
      </c>
      <c r="G200" s="214">
        <f t="shared" si="743"/>
        <v>0</v>
      </c>
      <c r="H200" s="214">
        <f t="shared" si="743"/>
        <v>0</v>
      </c>
      <c r="I200" s="214">
        <f t="shared" si="743"/>
        <v>0</v>
      </c>
      <c r="J200" s="214">
        <f t="shared" si="743"/>
        <v>0</v>
      </c>
      <c r="K200" s="214">
        <f t="shared" si="743"/>
        <v>0</v>
      </c>
      <c r="L200" s="214">
        <f t="shared" si="743"/>
        <v>0</v>
      </c>
      <c r="M200" s="214">
        <f t="shared" si="743"/>
        <v>0</v>
      </c>
      <c r="N200" s="214">
        <f t="shared" si="743"/>
        <v>0</v>
      </c>
      <c r="O200" s="214">
        <f t="shared" si="743"/>
        <v>0</v>
      </c>
      <c r="P200" s="214">
        <f t="shared" si="743"/>
        <v>0</v>
      </c>
      <c r="Q200" s="214">
        <f t="shared" si="743"/>
        <v>0</v>
      </c>
      <c r="R200" s="214">
        <f t="shared" si="743"/>
        <v>0</v>
      </c>
      <c r="S200" s="214">
        <f t="shared" si="743"/>
        <v>0</v>
      </c>
      <c r="T200" s="214">
        <f t="shared" si="743"/>
        <v>0</v>
      </c>
      <c r="U200" s="214">
        <f t="shared" si="743"/>
        <v>0</v>
      </c>
      <c r="V200" s="214">
        <f t="shared" si="743"/>
        <v>0</v>
      </c>
      <c r="W200" s="214">
        <f t="shared" si="743"/>
        <v>0</v>
      </c>
    </row>
    <row r="201" spans="3:23" ht="25.5" x14ac:dyDescent="0.25">
      <c r="C201" s="77" t="str">
        <f t="shared" si="736"/>
        <v>CASETA 2</v>
      </c>
      <c r="D201" s="87" t="s">
        <v>49</v>
      </c>
      <c r="E201" s="319">
        <f t="shared" ref="E201:W201" si="744">VLOOKUP(E$168,CST2BY,12,0)</f>
        <v>0.7</v>
      </c>
      <c r="F201" s="319">
        <f t="shared" si="744"/>
        <v>0.7</v>
      </c>
      <c r="G201" s="319">
        <f t="shared" si="744"/>
        <v>1.4</v>
      </c>
      <c r="H201" s="319">
        <f t="shared" si="744"/>
        <v>1.9</v>
      </c>
      <c r="I201" s="319">
        <f t="shared" si="744"/>
        <v>2.1999999999999997</v>
      </c>
      <c r="J201" s="319">
        <f t="shared" si="744"/>
        <v>2.38</v>
      </c>
      <c r="K201" s="319">
        <f t="shared" si="744"/>
        <v>2.56</v>
      </c>
      <c r="L201" s="319">
        <f t="shared" si="744"/>
        <v>2.72</v>
      </c>
      <c r="M201" s="319">
        <f t="shared" si="744"/>
        <v>2.8800000000000003</v>
      </c>
      <c r="N201" s="319">
        <f t="shared" si="744"/>
        <v>3.0400000000000005</v>
      </c>
      <c r="O201" s="319">
        <f t="shared" si="744"/>
        <v>3.2000000000000006</v>
      </c>
      <c r="P201" s="319">
        <f t="shared" si="744"/>
        <v>3.3600000000000008</v>
      </c>
      <c r="Q201" s="319">
        <f t="shared" si="744"/>
        <v>3.5200000000000009</v>
      </c>
      <c r="R201" s="319">
        <f t="shared" si="744"/>
        <v>3.680000000000001</v>
      </c>
      <c r="S201" s="319">
        <f t="shared" si="744"/>
        <v>3.8400000000000012</v>
      </c>
      <c r="T201" s="319">
        <f t="shared" si="744"/>
        <v>4.0000000000000009</v>
      </c>
      <c r="U201" s="319">
        <f t="shared" si="744"/>
        <v>4.160000000000001</v>
      </c>
      <c r="V201" s="319">
        <f t="shared" si="744"/>
        <v>4.3200000000000012</v>
      </c>
      <c r="W201" s="319">
        <f t="shared" si="744"/>
        <v>4.4800000000000013</v>
      </c>
    </row>
    <row r="202" spans="3:23" ht="25.5" x14ac:dyDescent="0.25">
      <c r="C202" s="77" t="str">
        <f t="shared" si="736"/>
        <v>CASETA 2</v>
      </c>
      <c r="D202" s="87" t="s">
        <v>73</v>
      </c>
      <c r="E202" s="214">
        <f t="shared" ref="E202:W202" si="745">VLOOKUP(E$168,CST2BY,13,0)</f>
        <v>0</v>
      </c>
      <c r="F202" s="214">
        <f t="shared" si="745"/>
        <v>0</v>
      </c>
      <c r="G202" s="214">
        <f t="shared" si="745"/>
        <v>0</v>
      </c>
      <c r="H202" s="214">
        <f t="shared" si="745"/>
        <v>0</v>
      </c>
      <c r="I202" s="214">
        <f t="shared" si="745"/>
        <v>0</v>
      </c>
      <c r="J202" s="214">
        <f t="shared" si="745"/>
        <v>0</v>
      </c>
      <c r="K202" s="214">
        <f t="shared" si="745"/>
        <v>0</v>
      </c>
      <c r="L202" s="214">
        <f t="shared" si="745"/>
        <v>0</v>
      </c>
      <c r="M202" s="214">
        <f t="shared" si="745"/>
        <v>0</v>
      </c>
      <c r="N202" s="214">
        <f t="shared" si="745"/>
        <v>0</v>
      </c>
      <c r="O202" s="214">
        <f t="shared" si="745"/>
        <v>0</v>
      </c>
      <c r="P202" s="214">
        <f t="shared" si="745"/>
        <v>0</v>
      </c>
      <c r="Q202" s="214">
        <f t="shared" si="745"/>
        <v>0</v>
      </c>
      <c r="R202" s="214">
        <f t="shared" si="745"/>
        <v>0</v>
      </c>
      <c r="S202" s="214">
        <f t="shared" si="745"/>
        <v>0</v>
      </c>
      <c r="T202" s="214">
        <f t="shared" si="745"/>
        <v>0</v>
      </c>
      <c r="U202" s="214">
        <f t="shared" si="745"/>
        <v>0</v>
      </c>
      <c r="V202" s="214">
        <f t="shared" si="745"/>
        <v>0</v>
      </c>
      <c r="W202" s="214">
        <f t="shared" si="745"/>
        <v>0</v>
      </c>
    </row>
    <row r="203" spans="3:23" x14ac:dyDescent="0.25">
      <c r="C203" s="77" t="str">
        <f t="shared" si="736"/>
        <v>CASETA 2</v>
      </c>
      <c r="D203" s="23" t="s">
        <v>9</v>
      </c>
      <c r="E203" s="83">
        <f t="shared" ref="E203:W203" si="746">VLOOKUP(E$168,CST2BY,14,0)</f>
        <v>0</v>
      </c>
      <c r="F203" s="83">
        <f t="shared" si="746"/>
        <v>0</v>
      </c>
      <c r="G203" s="83">
        <f t="shared" si="746"/>
        <v>0</v>
      </c>
      <c r="H203" s="83">
        <f t="shared" si="746"/>
        <v>0</v>
      </c>
      <c r="I203" s="83">
        <f t="shared" si="746"/>
        <v>0</v>
      </c>
      <c r="J203" s="83">
        <f t="shared" si="746"/>
        <v>0</v>
      </c>
      <c r="K203" s="83">
        <f t="shared" si="746"/>
        <v>0</v>
      </c>
      <c r="L203" s="83">
        <f t="shared" si="746"/>
        <v>0</v>
      </c>
      <c r="M203" s="83">
        <f t="shared" si="746"/>
        <v>0</v>
      </c>
      <c r="N203" s="83">
        <f t="shared" si="746"/>
        <v>0</v>
      </c>
      <c r="O203" s="83">
        <f t="shared" si="746"/>
        <v>0</v>
      </c>
      <c r="P203" s="83">
        <f t="shared" si="746"/>
        <v>0</v>
      </c>
      <c r="Q203" s="83">
        <f t="shared" si="746"/>
        <v>0</v>
      </c>
      <c r="R203" s="83">
        <f t="shared" si="746"/>
        <v>0</v>
      </c>
      <c r="S203" s="83">
        <f t="shared" si="746"/>
        <v>0</v>
      </c>
      <c r="T203" s="83">
        <f t="shared" si="746"/>
        <v>0</v>
      </c>
      <c r="U203" s="83">
        <f t="shared" si="746"/>
        <v>0</v>
      </c>
      <c r="V203" s="83">
        <f t="shared" si="746"/>
        <v>0</v>
      </c>
      <c r="W203" s="83">
        <f t="shared" si="746"/>
        <v>0</v>
      </c>
    </row>
    <row r="204" spans="3:23" ht="25.5" x14ac:dyDescent="0.25">
      <c r="C204" s="77" t="str">
        <f t="shared" si="736"/>
        <v>CASETA 2</v>
      </c>
      <c r="D204" s="86" t="s">
        <v>75</v>
      </c>
      <c r="E204" s="83">
        <f t="shared" ref="E204:W204" si="747">VLOOKUP(E$168,CST2BY,15,0)</f>
        <v>10</v>
      </c>
      <c r="F204" s="83">
        <f t="shared" si="747"/>
        <v>10</v>
      </c>
      <c r="G204" s="83">
        <f t="shared" si="747"/>
        <v>17</v>
      </c>
      <c r="H204" s="83">
        <f t="shared" si="747"/>
        <v>23</v>
      </c>
      <c r="I204" s="83">
        <f t="shared" si="747"/>
        <v>29</v>
      </c>
      <c r="J204" s="83">
        <f t="shared" si="747"/>
        <v>34</v>
      </c>
      <c r="K204" s="83">
        <f t="shared" si="747"/>
        <v>38</v>
      </c>
      <c r="L204" s="83">
        <f t="shared" si="747"/>
        <v>42</v>
      </c>
      <c r="M204" s="83">
        <f t="shared" si="747"/>
        <v>46</v>
      </c>
      <c r="N204" s="83">
        <f t="shared" si="747"/>
        <v>49</v>
      </c>
      <c r="O204" s="83">
        <f t="shared" si="747"/>
        <v>52</v>
      </c>
      <c r="P204" s="83">
        <f t="shared" si="747"/>
        <v>55</v>
      </c>
      <c r="Q204" s="83">
        <f t="shared" si="747"/>
        <v>58</v>
      </c>
      <c r="R204" s="83">
        <f t="shared" si="747"/>
        <v>61</v>
      </c>
      <c r="S204" s="83">
        <f t="shared" si="747"/>
        <v>64</v>
      </c>
      <c r="T204" s="83">
        <f t="shared" si="747"/>
        <v>67</v>
      </c>
      <c r="U204" s="83">
        <f t="shared" si="747"/>
        <v>71</v>
      </c>
      <c r="V204" s="83">
        <f t="shared" si="747"/>
        <v>75</v>
      </c>
      <c r="W204" s="83">
        <f t="shared" si="747"/>
        <v>79</v>
      </c>
    </row>
    <row r="205" spans="3:23" ht="25.5" x14ac:dyDescent="0.25">
      <c r="C205" s="77" t="str">
        <f t="shared" si="736"/>
        <v>CASETA 2</v>
      </c>
      <c r="D205" s="86" t="s">
        <v>62</v>
      </c>
      <c r="E205" s="83">
        <f t="shared" ref="E205:W205" si="748">VLOOKUP(E$168,CST2BY,16,0)</f>
        <v>0</v>
      </c>
      <c r="F205" s="83">
        <f t="shared" si="748"/>
        <v>0</v>
      </c>
      <c r="G205" s="83">
        <f t="shared" si="748"/>
        <v>0</v>
      </c>
      <c r="H205" s="83">
        <f t="shared" si="748"/>
        <v>0</v>
      </c>
      <c r="I205" s="83">
        <f t="shared" si="748"/>
        <v>0</v>
      </c>
      <c r="J205" s="83">
        <f t="shared" si="748"/>
        <v>0</v>
      </c>
      <c r="K205" s="83">
        <f t="shared" si="748"/>
        <v>0</v>
      </c>
      <c r="L205" s="83">
        <f t="shared" si="748"/>
        <v>0</v>
      </c>
      <c r="M205" s="83">
        <f t="shared" si="748"/>
        <v>0</v>
      </c>
      <c r="N205" s="83">
        <f t="shared" si="748"/>
        <v>0</v>
      </c>
      <c r="O205" s="83">
        <f t="shared" si="748"/>
        <v>0</v>
      </c>
      <c r="P205" s="83">
        <f t="shared" si="748"/>
        <v>0</v>
      </c>
      <c r="Q205" s="83">
        <f t="shared" si="748"/>
        <v>0</v>
      </c>
      <c r="R205" s="83">
        <f t="shared" si="748"/>
        <v>0</v>
      </c>
      <c r="S205" s="83">
        <f t="shared" si="748"/>
        <v>0</v>
      </c>
      <c r="T205" s="83">
        <f t="shared" si="748"/>
        <v>0</v>
      </c>
      <c r="U205" s="83">
        <f t="shared" si="748"/>
        <v>0</v>
      </c>
      <c r="V205" s="83">
        <f t="shared" si="748"/>
        <v>0</v>
      </c>
      <c r="W205" s="83">
        <f t="shared" si="748"/>
        <v>0</v>
      </c>
    </row>
    <row r="206" spans="3:23" ht="25.5" x14ac:dyDescent="0.25">
      <c r="C206" s="77" t="str">
        <f t="shared" si="736"/>
        <v>CASETA 2</v>
      </c>
      <c r="D206" s="24" t="s">
        <v>50</v>
      </c>
      <c r="E206" s="83">
        <f t="shared" ref="E206:W206" si="749">VLOOKUP(E$168,CST2BY,17,0)</f>
        <v>0</v>
      </c>
      <c r="F206" s="83">
        <f t="shared" si="749"/>
        <v>0</v>
      </c>
      <c r="G206" s="83">
        <f t="shared" si="749"/>
        <v>0</v>
      </c>
      <c r="H206" s="83">
        <f t="shared" si="749"/>
        <v>0</v>
      </c>
      <c r="I206" s="83">
        <f t="shared" si="749"/>
        <v>0</v>
      </c>
      <c r="J206" s="83">
        <f t="shared" si="749"/>
        <v>0</v>
      </c>
      <c r="K206" s="83">
        <f t="shared" si="749"/>
        <v>0</v>
      </c>
      <c r="L206" s="83">
        <f t="shared" si="749"/>
        <v>0</v>
      </c>
      <c r="M206" s="83">
        <f t="shared" si="749"/>
        <v>0</v>
      </c>
      <c r="N206" s="83">
        <f t="shared" si="749"/>
        <v>0</v>
      </c>
      <c r="O206" s="83">
        <f t="shared" si="749"/>
        <v>0</v>
      </c>
      <c r="P206" s="83">
        <f t="shared" si="749"/>
        <v>0</v>
      </c>
      <c r="Q206" s="83">
        <f t="shared" si="749"/>
        <v>0</v>
      </c>
      <c r="R206" s="83">
        <f t="shared" si="749"/>
        <v>0</v>
      </c>
      <c r="S206" s="83">
        <f t="shared" si="749"/>
        <v>0</v>
      </c>
      <c r="T206" s="83">
        <f t="shared" si="749"/>
        <v>0</v>
      </c>
      <c r="U206" s="83">
        <f t="shared" si="749"/>
        <v>0</v>
      </c>
      <c r="V206" s="83">
        <f t="shared" si="749"/>
        <v>0</v>
      </c>
      <c r="W206" s="83">
        <f t="shared" si="749"/>
        <v>0</v>
      </c>
    </row>
    <row r="207" spans="3:23" x14ac:dyDescent="0.25">
      <c r="C207" s="77" t="str">
        <f t="shared" si="736"/>
        <v>CASETA 2</v>
      </c>
      <c r="D207" s="86" t="s">
        <v>63</v>
      </c>
      <c r="E207" s="83">
        <f t="shared" ref="E207:W207" si="750">VLOOKUP(E$168,CST2BY,18,0)</f>
        <v>40</v>
      </c>
      <c r="F207" s="83">
        <f t="shared" si="750"/>
        <v>70</v>
      </c>
      <c r="G207" s="83">
        <f t="shared" si="750"/>
        <v>120</v>
      </c>
      <c r="H207" s="83">
        <f t="shared" si="750"/>
        <v>185</v>
      </c>
      <c r="I207" s="83">
        <f t="shared" si="750"/>
        <v>255</v>
      </c>
      <c r="J207" s="83">
        <f t="shared" si="750"/>
        <v>334</v>
      </c>
      <c r="K207" s="83">
        <f t="shared" si="750"/>
        <v>425</v>
      </c>
      <c r="L207" s="83">
        <f t="shared" si="750"/>
        <v>524</v>
      </c>
      <c r="M207" s="83">
        <f t="shared" si="750"/>
        <v>618</v>
      </c>
      <c r="N207" s="83">
        <f t="shared" si="750"/>
        <v>712</v>
      </c>
      <c r="O207" s="83">
        <f t="shared" si="750"/>
        <v>802</v>
      </c>
      <c r="P207" s="83">
        <f t="shared" si="750"/>
        <v>880</v>
      </c>
      <c r="Q207" s="83">
        <f t="shared" si="750"/>
        <v>950</v>
      </c>
      <c r="R207" s="83">
        <f t="shared" si="750"/>
        <v>1010</v>
      </c>
      <c r="S207" s="83">
        <f t="shared" si="750"/>
        <v>1065</v>
      </c>
      <c r="T207" s="83">
        <f t="shared" si="750"/>
        <v>1115</v>
      </c>
      <c r="U207" s="83">
        <f t="shared" si="750"/>
        <v>1160</v>
      </c>
      <c r="V207" s="83">
        <f t="shared" si="750"/>
        <v>1207</v>
      </c>
      <c r="W207" s="83">
        <f t="shared" si="750"/>
        <v>1257</v>
      </c>
    </row>
    <row r="208" spans="3:23" x14ac:dyDescent="0.25">
      <c r="C208" s="77" t="str">
        <f t="shared" si="736"/>
        <v>CASETA 2</v>
      </c>
      <c r="D208" s="86" t="s">
        <v>64</v>
      </c>
      <c r="E208" s="83">
        <f t="shared" ref="E208:W208" si="751">VLOOKUP(E$168,CST2BY,19,0)</f>
        <v>0</v>
      </c>
      <c r="F208" s="83">
        <f t="shared" si="751"/>
        <v>0</v>
      </c>
      <c r="G208" s="83">
        <f t="shared" si="751"/>
        <v>0</v>
      </c>
      <c r="H208" s="83">
        <f t="shared" si="751"/>
        <v>0</v>
      </c>
      <c r="I208" s="83">
        <f t="shared" si="751"/>
        <v>0</v>
      </c>
      <c r="J208" s="83">
        <f t="shared" si="751"/>
        <v>0</v>
      </c>
      <c r="K208" s="83">
        <f t="shared" si="751"/>
        <v>0</v>
      </c>
      <c r="L208" s="83">
        <f t="shared" si="751"/>
        <v>0</v>
      </c>
      <c r="M208" s="83">
        <f t="shared" si="751"/>
        <v>0</v>
      </c>
      <c r="N208" s="83">
        <f t="shared" si="751"/>
        <v>0</v>
      </c>
      <c r="O208" s="83">
        <f t="shared" si="751"/>
        <v>0</v>
      </c>
      <c r="P208" s="83">
        <f t="shared" si="751"/>
        <v>0</v>
      </c>
      <c r="Q208" s="83">
        <f t="shared" si="751"/>
        <v>0</v>
      </c>
      <c r="R208" s="83">
        <f t="shared" si="751"/>
        <v>0</v>
      </c>
      <c r="S208" s="83">
        <f t="shared" si="751"/>
        <v>0</v>
      </c>
      <c r="T208" s="83">
        <f t="shared" si="751"/>
        <v>0</v>
      </c>
      <c r="U208" s="83">
        <f t="shared" si="751"/>
        <v>0</v>
      </c>
      <c r="V208" s="83">
        <f t="shared" si="751"/>
        <v>0</v>
      </c>
      <c r="W208" s="83">
        <f t="shared" si="751"/>
        <v>0</v>
      </c>
    </row>
    <row r="209" spans="3:23" x14ac:dyDescent="0.25">
      <c r="C209" s="77" t="str">
        <f t="shared" si="736"/>
        <v>CASETA 2</v>
      </c>
      <c r="D209" s="23" t="s">
        <v>15</v>
      </c>
      <c r="E209" s="83">
        <f t="shared" ref="E209:W209" si="752">VLOOKUP(E$168,CST2BY,20,0)</f>
        <v>40</v>
      </c>
      <c r="F209" s="83">
        <f t="shared" si="752"/>
        <v>70</v>
      </c>
      <c r="G209" s="83">
        <f t="shared" si="752"/>
        <v>120</v>
      </c>
      <c r="H209" s="83">
        <f t="shared" si="752"/>
        <v>185</v>
      </c>
      <c r="I209" s="83">
        <f t="shared" si="752"/>
        <v>255</v>
      </c>
      <c r="J209" s="83">
        <f t="shared" si="752"/>
        <v>334</v>
      </c>
      <c r="K209" s="83">
        <f t="shared" si="752"/>
        <v>425</v>
      </c>
      <c r="L209" s="83">
        <f t="shared" si="752"/>
        <v>524</v>
      </c>
      <c r="M209" s="83">
        <f t="shared" si="752"/>
        <v>618</v>
      </c>
      <c r="N209" s="83">
        <f t="shared" si="752"/>
        <v>712</v>
      </c>
      <c r="O209" s="83">
        <f t="shared" si="752"/>
        <v>802</v>
      </c>
      <c r="P209" s="83">
        <f t="shared" si="752"/>
        <v>880</v>
      </c>
      <c r="Q209" s="83">
        <f t="shared" si="752"/>
        <v>950</v>
      </c>
      <c r="R209" s="83">
        <f t="shared" si="752"/>
        <v>1010</v>
      </c>
      <c r="S209" s="83">
        <f t="shared" si="752"/>
        <v>1065</v>
      </c>
      <c r="T209" s="83">
        <f t="shared" si="752"/>
        <v>1115</v>
      </c>
      <c r="U209" s="83">
        <f t="shared" si="752"/>
        <v>1160</v>
      </c>
      <c r="V209" s="83">
        <f t="shared" si="752"/>
        <v>1207</v>
      </c>
      <c r="W209" s="83">
        <f t="shared" si="752"/>
        <v>1257</v>
      </c>
    </row>
    <row r="210" spans="3:23" ht="25.5" x14ac:dyDescent="0.25">
      <c r="C210" s="77" t="str">
        <f t="shared" si="736"/>
        <v>CASETA 2</v>
      </c>
      <c r="D210" s="86" t="s">
        <v>65</v>
      </c>
      <c r="E210" s="83">
        <f t="shared" ref="E210:W210" si="753">VLOOKUP(E$168,CST2BY,21,0)</f>
        <v>77</v>
      </c>
      <c r="F210" s="83">
        <f t="shared" si="753"/>
        <v>77</v>
      </c>
      <c r="G210" s="83">
        <f t="shared" si="753"/>
        <v>77</v>
      </c>
      <c r="H210" s="83">
        <f t="shared" si="753"/>
        <v>77</v>
      </c>
      <c r="I210" s="83">
        <f t="shared" si="753"/>
        <v>79</v>
      </c>
      <c r="J210" s="83">
        <f t="shared" si="753"/>
        <v>79</v>
      </c>
      <c r="K210" s="83">
        <f t="shared" si="753"/>
        <v>79</v>
      </c>
      <c r="L210" s="83">
        <f t="shared" si="753"/>
        <v>79</v>
      </c>
      <c r="M210" s="83">
        <f t="shared" si="753"/>
        <v>79</v>
      </c>
      <c r="N210" s="83">
        <f t="shared" si="753"/>
        <v>79</v>
      </c>
      <c r="O210" s="83">
        <f t="shared" si="753"/>
        <v>80</v>
      </c>
      <c r="P210" s="83">
        <f t="shared" si="753"/>
        <v>80</v>
      </c>
      <c r="Q210" s="83">
        <f t="shared" si="753"/>
        <v>82</v>
      </c>
      <c r="R210" s="83">
        <f t="shared" si="753"/>
        <v>82</v>
      </c>
      <c r="S210" s="83">
        <f t="shared" si="753"/>
        <v>84</v>
      </c>
      <c r="T210" s="83">
        <f t="shared" si="753"/>
        <v>86</v>
      </c>
      <c r="U210" s="83">
        <f t="shared" si="753"/>
        <v>86</v>
      </c>
      <c r="V210" s="83">
        <f t="shared" si="753"/>
        <v>86</v>
      </c>
      <c r="W210" s="83">
        <f t="shared" si="753"/>
        <v>86</v>
      </c>
    </row>
    <row r="211" spans="3:23" ht="25.5" x14ac:dyDescent="0.25">
      <c r="C211" s="77" t="str">
        <f t="shared" si="736"/>
        <v>CASETA 2</v>
      </c>
      <c r="D211" s="86" t="s">
        <v>66</v>
      </c>
      <c r="E211" s="83">
        <f t="shared" ref="E211:W211" si="754">VLOOKUP(E$168,CST2BY,22,0)</f>
        <v>0</v>
      </c>
      <c r="F211" s="83">
        <f t="shared" si="754"/>
        <v>0</v>
      </c>
      <c r="G211" s="83">
        <f t="shared" si="754"/>
        <v>0</v>
      </c>
      <c r="H211" s="83">
        <f t="shared" si="754"/>
        <v>0</v>
      </c>
      <c r="I211" s="83">
        <f t="shared" si="754"/>
        <v>0</v>
      </c>
      <c r="J211" s="83">
        <f t="shared" si="754"/>
        <v>0</v>
      </c>
      <c r="K211" s="83">
        <f t="shared" si="754"/>
        <v>0</v>
      </c>
      <c r="L211" s="83">
        <f t="shared" si="754"/>
        <v>0</v>
      </c>
      <c r="M211" s="83">
        <f t="shared" si="754"/>
        <v>0</v>
      </c>
      <c r="N211" s="83">
        <f t="shared" si="754"/>
        <v>0</v>
      </c>
      <c r="O211" s="83">
        <f t="shared" si="754"/>
        <v>0</v>
      </c>
      <c r="P211" s="83">
        <f t="shared" si="754"/>
        <v>0</v>
      </c>
      <c r="Q211" s="83">
        <f t="shared" si="754"/>
        <v>0</v>
      </c>
      <c r="R211" s="83">
        <f t="shared" si="754"/>
        <v>0</v>
      </c>
      <c r="S211" s="83">
        <f t="shared" si="754"/>
        <v>0</v>
      </c>
      <c r="T211" s="83">
        <f t="shared" si="754"/>
        <v>0</v>
      </c>
      <c r="U211" s="83">
        <f t="shared" si="754"/>
        <v>0</v>
      </c>
      <c r="V211" s="83">
        <f t="shared" si="754"/>
        <v>0</v>
      </c>
      <c r="W211" s="83">
        <f t="shared" si="754"/>
        <v>0</v>
      </c>
    </row>
    <row r="212" spans="3:23" x14ac:dyDescent="0.25">
      <c r="C212" s="77" t="str">
        <f t="shared" si="736"/>
        <v>CASETA 2</v>
      </c>
      <c r="D212" s="23" t="s">
        <v>15</v>
      </c>
      <c r="E212" s="83">
        <f t="shared" ref="E212:W212" si="755">VLOOKUP(E$168,CST2BY,23,0)</f>
        <v>77</v>
      </c>
      <c r="F212" s="83">
        <f t="shared" si="755"/>
        <v>77</v>
      </c>
      <c r="G212" s="83">
        <f t="shared" si="755"/>
        <v>77</v>
      </c>
      <c r="H212" s="83">
        <f t="shared" si="755"/>
        <v>77</v>
      </c>
      <c r="I212" s="83">
        <f t="shared" si="755"/>
        <v>79</v>
      </c>
      <c r="J212" s="83">
        <f t="shared" si="755"/>
        <v>79</v>
      </c>
      <c r="K212" s="83">
        <f t="shared" si="755"/>
        <v>79</v>
      </c>
      <c r="L212" s="83">
        <f t="shared" si="755"/>
        <v>79</v>
      </c>
      <c r="M212" s="83">
        <f t="shared" si="755"/>
        <v>79</v>
      </c>
      <c r="N212" s="83">
        <f t="shared" si="755"/>
        <v>79</v>
      </c>
      <c r="O212" s="83">
        <f t="shared" si="755"/>
        <v>80</v>
      </c>
      <c r="P212" s="83">
        <f t="shared" si="755"/>
        <v>80</v>
      </c>
      <c r="Q212" s="83">
        <f t="shared" si="755"/>
        <v>82</v>
      </c>
      <c r="R212" s="83">
        <f t="shared" si="755"/>
        <v>82</v>
      </c>
      <c r="S212" s="83">
        <f t="shared" si="755"/>
        <v>84</v>
      </c>
      <c r="T212" s="83">
        <f t="shared" si="755"/>
        <v>86</v>
      </c>
      <c r="U212" s="83">
        <f t="shared" si="755"/>
        <v>86</v>
      </c>
      <c r="V212" s="83">
        <f t="shared" si="755"/>
        <v>86</v>
      </c>
      <c r="W212" s="83">
        <f t="shared" si="755"/>
        <v>86</v>
      </c>
    </row>
    <row r="213" spans="3:23" x14ac:dyDescent="0.25">
      <c r="E213" s="1"/>
      <c r="F213" s="316"/>
      <c r="G213" s="316"/>
      <c r="H213" s="316"/>
      <c r="I213" s="316"/>
      <c r="J213" s="316"/>
      <c r="K213" s="316"/>
      <c r="L213" s="316"/>
      <c r="M213" s="316"/>
      <c r="N213" s="316"/>
      <c r="O213" s="316"/>
      <c r="P213" s="316"/>
      <c r="Q213" s="316"/>
      <c r="R213" s="316"/>
      <c r="S213" s="316"/>
      <c r="T213" s="316"/>
      <c r="U213" s="316"/>
      <c r="V213" s="316"/>
      <c r="W213" s="316"/>
    </row>
    <row r="214" spans="3:23" x14ac:dyDescent="0.25">
      <c r="E214" s="1"/>
      <c r="F214" s="316"/>
      <c r="G214" s="316"/>
      <c r="H214" s="316"/>
      <c r="I214" s="316"/>
      <c r="J214" s="316"/>
      <c r="K214" s="316"/>
      <c r="L214" s="316"/>
      <c r="M214" s="316"/>
      <c r="N214" s="316"/>
      <c r="O214" s="316"/>
      <c r="P214" s="316"/>
      <c r="Q214" s="316"/>
      <c r="R214" s="316"/>
      <c r="S214" s="316"/>
      <c r="T214" s="316"/>
      <c r="U214" s="316"/>
      <c r="V214" s="316"/>
      <c r="W214" s="316"/>
    </row>
    <row r="215" spans="3:23" x14ac:dyDescent="0.25">
      <c r="E215" s="1"/>
      <c r="F215" s="316"/>
      <c r="G215" s="316"/>
      <c r="H215" s="316"/>
      <c r="I215" s="316"/>
      <c r="J215" s="316"/>
      <c r="K215" s="316"/>
      <c r="L215" s="316"/>
      <c r="M215" s="316"/>
      <c r="N215" s="316"/>
      <c r="O215" s="316"/>
      <c r="P215" s="316"/>
      <c r="Q215" s="316"/>
      <c r="R215" s="316"/>
      <c r="S215" s="316"/>
      <c r="T215" s="316"/>
      <c r="U215" s="316"/>
      <c r="V215" s="316"/>
      <c r="W215" s="316"/>
    </row>
    <row r="216" spans="3:23" x14ac:dyDescent="0.25">
      <c r="E216" s="1"/>
      <c r="F216" s="316"/>
      <c r="G216" s="316"/>
      <c r="H216" s="316"/>
      <c r="I216" s="316"/>
      <c r="J216" s="316"/>
      <c r="K216" s="316"/>
      <c r="L216" s="316"/>
      <c r="M216" s="316"/>
      <c r="N216" s="316"/>
      <c r="O216" s="316"/>
      <c r="P216" s="316"/>
      <c r="Q216" s="316"/>
      <c r="R216" s="316"/>
      <c r="S216" s="316"/>
      <c r="T216" s="316"/>
      <c r="U216" s="316"/>
      <c r="V216" s="316"/>
      <c r="W216" s="316"/>
    </row>
    <row r="217" spans="3:23" ht="22.5" customHeight="1" x14ac:dyDescent="0.25">
      <c r="C217" s="77" t="s">
        <v>54</v>
      </c>
      <c r="D217" s="24" t="s">
        <v>67</v>
      </c>
      <c r="E217" s="83">
        <f>VLOOKUP(E$168,CST3BY,3,0)</f>
        <v>119999</v>
      </c>
      <c r="F217" s="83">
        <f t="shared" ref="F217:W217" si="756">VLOOKUP(F$168,CST3BY,3,0)</f>
        <v>119999</v>
      </c>
      <c r="G217" s="83">
        <f t="shared" si="756"/>
        <v>117328</v>
      </c>
      <c r="H217" s="83">
        <f t="shared" si="756"/>
        <v>116336</v>
      </c>
      <c r="I217" s="83">
        <f t="shared" si="756"/>
        <v>116143</v>
      </c>
      <c r="J217" s="83">
        <f t="shared" si="756"/>
        <v>116143</v>
      </c>
      <c r="K217" s="83">
        <f t="shared" si="756"/>
        <v>116143</v>
      </c>
      <c r="L217" s="83">
        <f t="shared" si="756"/>
        <v>116143</v>
      </c>
      <c r="M217" s="83">
        <f t="shared" si="756"/>
        <v>116143</v>
      </c>
      <c r="N217" s="83">
        <f t="shared" si="756"/>
        <v>116143</v>
      </c>
      <c r="O217" s="83">
        <f t="shared" si="756"/>
        <v>116143</v>
      </c>
      <c r="P217" s="83">
        <f t="shared" si="756"/>
        <v>116143</v>
      </c>
      <c r="Q217" s="83">
        <f t="shared" si="756"/>
        <v>116143</v>
      </c>
      <c r="R217" s="83">
        <f t="shared" si="756"/>
        <v>116143</v>
      </c>
      <c r="S217" s="83">
        <f t="shared" si="756"/>
        <v>116143</v>
      </c>
      <c r="T217" s="83">
        <f t="shared" si="756"/>
        <v>116143</v>
      </c>
      <c r="U217" s="83">
        <f t="shared" si="756"/>
        <v>116143</v>
      </c>
      <c r="V217" s="83">
        <f t="shared" si="756"/>
        <v>116143</v>
      </c>
      <c r="W217" s="83">
        <f t="shared" si="756"/>
        <v>116143</v>
      </c>
    </row>
    <row r="218" spans="3:23" x14ac:dyDescent="0.25">
      <c r="C218" s="78" t="str">
        <f>C217</f>
        <v>CASETA 3</v>
      </c>
      <c r="D218" s="24" t="s">
        <v>34</v>
      </c>
      <c r="E218" s="83">
        <f>VLOOKUP(E$168,CST3BY,4,0)</f>
        <v>119907</v>
      </c>
      <c r="F218" s="83">
        <f t="shared" ref="F218:W218" si="757">VLOOKUP(F$168,CST3BY,4,0)</f>
        <v>117328</v>
      </c>
      <c r="G218" s="83">
        <f t="shared" si="757"/>
        <v>116336</v>
      </c>
      <c r="H218" s="83">
        <f t="shared" si="757"/>
        <v>116143</v>
      </c>
      <c r="I218" s="83">
        <f t="shared" si="757"/>
        <v>116143</v>
      </c>
      <c r="J218" s="83">
        <f t="shared" si="757"/>
        <v>116143</v>
      </c>
      <c r="K218" s="83">
        <f t="shared" si="757"/>
        <v>116143</v>
      </c>
      <c r="L218" s="83">
        <f t="shared" si="757"/>
        <v>116143</v>
      </c>
      <c r="M218" s="83">
        <f t="shared" si="757"/>
        <v>116143</v>
      </c>
      <c r="N218" s="83">
        <f t="shared" si="757"/>
        <v>116143</v>
      </c>
      <c r="O218" s="83">
        <f t="shared" si="757"/>
        <v>116143</v>
      </c>
      <c r="P218" s="83">
        <f t="shared" si="757"/>
        <v>116143</v>
      </c>
      <c r="Q218" s="83">
        <f t="shared" si="757"/>
        <v>116143</v>
      </c>
      <c r="R218" s="83">
        <f t="shared" si="757"/>
        <v>116143</v>
      </c>
      <c r="S218" s="83">
        <f t="shared" si="757"/>
        <v>116143</v>
      </c>
      <c r="T218" s="83">
        <f t="shared" si="757"/>
        <v>116143</v>
      </c>
      <c r="U218" s="83">
        <f t="shared" si="757"/>
        <v>116143</v>
      </c>
      <c r="V218" s="83">
        <f t="shared" si="757"/>
        <v>116143</v>
      </c>
      <c r="W218" s="83">
        <f t="shared" si="757"/>
        <v>116143</v>
      </c>
    </row>
    <row r="219" spans="3:23" x14ac:dyDescent="0.25">
      <c r="C219" s="78" t="str">
        <f t="shared" ref="C219:C236" si="758">C218</f>
        <v>CASETA 3</v>
      </c>
      <c r="D219" s="23" t="s">
        <v>27</v>
      </c>
      <c r="E219" s="83">
        <f t="shared" ref="E219:W219" si="759">VLOOKUP(E$168,CST3BY,5,0)</f>
        <v>0</v>
      </c>
      <c r="F219" s="83">
        <f t="shared" si="759"/>
        <v>0</v>
      </c>
      <c r="G219" s="83">
        <f t="shared" si="759"/>
        <v>0</v>
      </c>
      <c r="H219" s="83">
        <f t="shared" si="759"/>
        <v>0</v>
      </c>
      <c r="I219" s="83">
        <f t="shared" si="759"/>
        <v>0</v>
      </c>
      <c r="J219" s="83">
        <f t="shared" si="759"/>
        <v>0</v>
      </c>
      <c r="K219" s="83">
        <f t="shared" si="759"/>
        <v>0</v>
      </c>
      <c r="L219" s="83">
        <f t="shared" si="759"/>
        <v>0</v>
      </c>
      <c r="M219" s="83">
        <f t="shared" si="759"/>
        <v>0</v>
      </c>
      <c r="N219" s="83">
        <f t="shared" si="759"/>
        <v>0</v>
      </c>
      <c r="O219" s="83">
        <f t="shared" si="759"/>
        <v>0</v>
      </c>
      <c r="P219" s="83">
        <f t="shared" si="759"/>
        <v>0</v>
      </c>
      <c r="Q219" s="83">
        <f t="shared" si="759"/>
        <v>0</v>
      </c>
      <c r="R219" s="83">
        <f t="shared" si="759"/>
        <v>0</v>
      </c>
      <c r="S219" s="83">
        <f t="shared" si="759"/>
        <v>0</v>
      </c>
      <c r="T219" s="83">
        <f t="shared" si="759"/>
        <v>0</v>
      </c>
      <c r="U219" s="83">
        <f t="shared" si="759"/>
        <v>0</v>
      </c>
      <c r="V219" s="83">
        <f t="shared" si="759"/>
        <v>0</v>
      </c>
      <c r="W219" s="83">
        <f t="shared" si="759"/>
        <v>0</v>
      </c>
    </row>
    <row r="220" spans="3:23" x14ac:dyDescent="0.25">
      <c r="C220" s="78" t="str">
        <f t="shared" si="758"/>
        <v>CASETA 3</v>
      </c>
      <c r="D220" s="23" t="s">
        <v>16</v>
      </c>
      <c r="E220" s="83">
        <f t="shared" ref="E220:W220" si="760">VLOOKUP(E$168,CST3BY,6,0)</f>
        <v>70</v>
      </c>
      <c r="F220" s="83">
        <f t="shared" si="760"/>
        <v>2671</v>
      </c>
      <c r="G220" s="83">
        <f t="shared" si="760"/>
        <v>992</v>
      </c>
      <c r="H220" s="83">
        <f t="shared" si="760"/>
        <v>193</v>
      </c>
      <c r="I220" s="83">
        <f t="shared" si="760"/>
        <v>0</v>
      </c>
      <c r="J220" s="83">
        <f t="shared" si="760"/>
        <v>0</v>
      </c>
      <c r="K220" s="83">
        <f t="shared" si="760"/>
        <v>0</v>
      </c>
      <c r="L220" s="83">
        <f t="shared" si="760"/>
        <v>0</v>
      </c>
      <c r="M220" s="83">
        <f t="shared" si="760"/>
        <v>0</v>
      </c>
      <c r="N220" s="83">
        <f t="shared" si="760"/>
        <v>0</v>
      </c>
      <c r="O220" s="83">
        <f t="shared" si="760"/>
        <v>0</v>
      </c>
      <c r="P220" s="83">
        <f t="shared" si="760"/>
        <v>0</v>
      </c>
      <c r="Q220" s="83">
        <f t="shared" si="760"/>
        <v>0</v>
      </c>
      <c r="R220" s="83">
        <f t="shared" si="760"/>
        <v>0</v>
      </c>
      <c r="S220" s="83">
        <f t="shared" si="760"/>
        <v>0</v>
      </c>
      <c r="T220" s="83">
        <f t="shared" si="760"/>
        <v>0</v>
      </c>
      <c r="U220" s="83">
        <f t="shared" si="760"/>
        <v>0</v>
      </c>
      <c r="V220" s="83">
        <f t="shared" si="760"/>
        <v>0</v>
      </c>
      <c r="W220" s="83">
        <f t="shared" si="760"/>
        <v>0</v>
      </c>
    </row>
    <row r="221" spans="3:23" x14ac:dyDescent="0.25">
      <c r="C221" s="78" t="str">
        <f t="shared" si="758"/>
        <v>CASETA 3</v>
      </c>
      <c r="D221" s="23" t="s">
        <v>17</v>
      </c>
      <c r="E221" s="83">
        <f t="shared" ref="E221:W221" si="761">VLOOKUP(E$168,CST3BY,7,0)</f>
        <v>0</v>
      </c>
      <c r="F221" s="83">
        <f t="shared" si="761"/>
        <v>0</v>
      </c>
      <c r="G221" s="83">
        <f t="shared" si="761"/>
        <v>0</v>
      </c>
      <c r="H221" s="83">
        <f t="shared" si="761"/>
        <v>0</v>
      </c>
      <c r="I221" s="83">
        <f t="shared" si="761"/>
        <v>0</v>
      </c>
      <c r="J221" s="83">
        <f t="shared" si="761"/>
        <v>0</v>
      </c>
      <c r="K221" s="83">
        <f t="shared" si="761"/>
        <v>0</v>
      </c>
      <c r="L221" s="83">
        <f t="shared" si="761"/>
        <v>0</v>
      </c>
      <c r="M221" s="83">
        <f t="shared" si="761"/>
        <v>0</v>
      </c>
      <c r="N221" s="83">
        <f t="shared" si="761"/>
        <v>0</v>
      </c>
      <c r="O221" s="83">
        <f t="shared" si="761"/>
        <v>0</v>
      </c>
      <c r="P221" s="83">
        <f t="shared" si="761"/>
        <v>0</v>
      </c>
      <c r="Q221" s="83">
        <f t="shared" si="761"/>
        <v>0</v>
      </c>
      <c r="R221" s="83">
        <f t="shared" si="761"/>
        <v>0</v>
      </c>
      <c r="S221" s="83">
        <f t="shared" si="761"/>
        <v>0</v>
      </c>
      <c r="T221" s="83">
        <f t="shared" si="761"/>
        <v>0</v>
      </c>
      <c r="U221" s="83">
        <f t="shared" si="761"/>
        <v>0</v>
      </c>
      <c r="V221" s="83">
        <f t="shared" si="761"/>
        <v>0</v>
      </c>
      <c r="W221" s="83">
        <f t="shared" si="761"/>
        <v>0</v>
      </c>
    </row>
    <row r="222" spans="3:23" x14ac:dyDescent="0.25">
      <c r="C222" s="78" t="str">
        <f t="shared" si="758"/>
        <v>CASETA 3</v>
      </c>
      <c r="D222" s="23" t="s">
        <v>18</v>
      </c>
      <c r="E222" s="85">
        <f>SUM(E219:E221)</f>
        <v>70</v>
      </c>
      <c r="F222" s="85">
        <f t="shared" ref="F222:W222" si="762">SUM(F219:F221)</f>
        <v>2671</v>
      </c>
      <c r="G222" s="85">
        <f t="shared" si="762"/>
        <v>992</v>
      </c>
      <c r="H222" s="85">
        <f t="shared" si="762"/>
        <v>193</v>
      </c>
      <c r="I222" s="85">
        <f t="shared" si="762"/>
        <v>0</v>
      </c>
      <c r="J222" s="85">
        <f t="shared" si="762"/>
        <v>0</v>
      </c>
      <c r="K222" s="85">
        <f t="shared" si="762"/>
        <v>0</v>
      </c>
      <c r="L222" s="85">
        <f t="shared" si="762"/>
        <v>0</v>
      </c>
      <c r="M222" s="85">
        <f t="shared" si="762"/>
        <v>0</v>
      </c>
      <c r="N222" s="85">
        <f t="shared" si="762"/>
        <v>0</v>
      </c>
      <c r="O222" s="85">
        <f t="shared" si="762"/>
        <v>0</v>
      </c>
      <c r="P222" s="85">
        <f t="shared" si="762"/>
        <v>0</v>
      </c>
      <c r="Q222" s="85">
        <f t="shared" si="762"/>
        <v>0</v>
      </c>
      <c r="R222" s="85">
        <f t="shared" si="762"/>
        <v>0</v>
      </c>
      <c r="S222" s="85">
        <f t="shared" si="762"/>
        <v>0</v>
      </c>
      <c r="T222" s="85">
        <f t="shared" si="762"/>
        <v>0</v>
      </c>
      <c r="U222" s="85">
        <f t="shared" si="762"/>
        <v>0</v>
      </c>
      <c r="V222" s="85">
        <f t="shared" si="762"/>
        <v>0</v>
      </c>
      <c r="W222" s="85">
        <f t="shared" si="762"/>
        <v>0</v>
      </c>
    </row>
    <row r="223" spans="3:23" x14ac:dyDescent="0.25">
      <c r="C223" s="78" t="str">
        <f t="shared" si="758"/>
        <v>CASETA 3</v>
      </c>
      <c r="D223" s="23" t="s">
        <v>48</v>
      </c>
      <c r="E223" s="83">
        <f>VLOOKUP(E$168,CST3BY,9,0)</f>
        <v>70</v>
      </c>
      <c r="F223" s="83">
        <f t="shared" ref="F223:W223" si="763">VLOOKUP(F$168,CST3BY,9,0)</f>
        <v>2741</v>
      </c>
      <c r="G223" s="83">
        <f t="shared" si="763"/>
        <v>3733</v>
      </c>
      <c r="H223" s="83">
        <f t="shared" si="763"/>
        <v>3926</v>
      </c>
      <c r="I223" s="83">
        <f t="shared" si="763"/>
        <v>3926</v>
      </c>
      <c r="J223" s="83">
        <f t="shared" si="763"/>
        <v>3926</v>
      </c>
      <c r="K223" s="83">
        <f t="shared" si="763"/>
        <v>3926</v>
      </c>
      <c r="L223" s="83">
        <f t="shared" si="763"/>
        <v>3926</v>
      </c>
      <c r="M223" s="83">
        <f t="shared" si="763"/>
        <v>3926</v>
      </c>
      <c r="N223" s="83">
        <f t="shared" si="763"/>
        <v>3926</v>
      </c>
      <c r="O223" s="83">
        <f t="shared" si="763"/>
        <v>3926</v>
      </c>
      <c r="P223" s="83">
        <f t="shared" si="763"/>
        <v>3926</v>
      </c>
      <c r="Q223" s="83">
        <f t="shared" si="763"/>
        <v>3926</v>
      </c>
      <c r="R223" s="83">
        <f t="shared" si="763"/>
        <v>3926</v>
      </c>
      <c r="S223" s="83">
        <f t="shared" si="763"/>
        <v>3926</v>
      </c>
      <c r="T223" s="83">
        <f t="shared" si="763"/>
        <v>3926</v>
      </c>
      <c r="U223" s="83">
        <f t="shared" si="763"/>
        <v>3926</v>
      </c>
      <c r="V223" s="83">
        <f t="shared" si="763"/>
        <v>3926</v>
      </c>
      <c r="W223" s="83">
        <f t="shared" si="763"/>
        <v>3926</v>
      </c>
    </row>
    <row r="224" spans="3:23" x14ac:dyDescent="0.25">
      <c r="C224" s="78" t="str">
        <f t="shared" si="758"/>
        <v>CASETA 3</v>
      </c>
      <c r="D224" s="86" t="s">
        <v>72</v>
      </c>
      <c r="E224" s="83">
        <f t="shared" ref="E224:W224" si="764">VLOOKUP(E$168,CST3BY,10,0)</f>
        <v>0.7</v>
      </c>
      <c r="F224" s="83">
        <f t="shared" si="764"/>
        <v>0.7</v>
      </c>
      <c r="G224" s="83">
        <f t="shared" si="764"/>
        <v>0.7</v>
      </c>
      <c r="H224" s="83">
        <f t="shared" si="764"/>
        <v>0.5</v>
      </c>
      <c r="I224" s="83">
        <f t="shared" si="764"/>
        <v>0.3</v>
      </c>
      <c r="J224" s="83">
        <f t="shared" si="764"/>
        <v>0.18</v>
      </c>
      <c r="K224" s="83">
        <f t="shared" si="764"/>
        <v>0.18</v>
      </c>
      <c r="L224" s="83">
        <f t="shared" si="764"/>
        <v>0.16</v>
      </c>
      <c r="M224" s="83">
        <f t="shared" si="764"/>
        <v>0.16</v>
      </c>
      <c r="N224" s="83">
        <f t="shared" si="764"/>
        <v>0.16</v>
      </c>
      <c r="O224" s="83">
        <f t="shared" si="764"/>
        <v>0.16</v>
      </c>
      <c r="P224" s="83">
        <f t="shared" si="764"/>
        <v>0.16</v>
      </c>
      <c r="Q224" s="83">
        <f t="shared" si="764"/>
        <v>0.16</v>
      </c>
      <c r="R224" s="83">
        <f t="shared" si="764"/>
        <v>0.16</v>
      </c>
      <c r="S224" s="83">
        <f t="shared" si="764"/>
        <v>0.16</v>
      </c>
      <c r="T224" s="83">
        <f t="shared" si="764"/>
        <v>0.16</v>
      </c>
      <c r="U224" s="83">
        <f t="shared" si="764"/>
        <v>0.16</v>
      </c>
      <c r="V224" s="83">
        <f t="shared" si="764"/>
        <v>0.16</v>
      </c>
      <c r="W224" s="83">
        <f t="shared" si="764"/>
        <v>0.16</v>
      </c>
    </row>
    <row r="225" spans="3:23" x14ac:dyDescent="0.25">
      <c r="C225" s="78" t="str">
        <f t="shared" si="758"/>
        <v>CASETA 3</v>
      </c>
      <c r="D225" s="86" t="s">
        <v>74</v>
      </c>
      <c r="E225" s="83">
        <f t="shared" ref="E225:W225" si="765">VLOOKUP(E$168,CST3BY,11,0)</f>
        <v>2.06434039849063E-2</v>
      </c>
      <c r="F225" s="83">
        <f t="shared" si="765"/>
        <v>0.32088044903134644</v>
      </c>
      <c r="G225" s="83">
        <f t="shared" si="765"/>
        <v>0.12119147600684207</v>
      </c>
      <c r="H225" s="83">
        <f t="shared" si="765"/>
        <v>2.3709662420795839E-2</v>
      </c>
      <c r="I225" s="83">
        <f t="shared" si="765"/>
        <v>0</v>
      </c>
      <c r="J225" s="83">
        <f t="shared" si="765"/>
        <v>0</v>
      </c>
      <c r="K225" s="83">
        <f t="shared" si="765"/>
        <v>0</v>
      </c>
      <c r="L225" s="83">
        <f t="shared" si="765"/>
        <v>0</v>
      </c>
      <c r="M225" s="83">
        <f t="shared" si="765"/>
        <v>0</v>
      </c>
      <c r="N225" s="83">
        <f t="shared" si="765"/>
        <v>0</v>
      </c>
      <c r="O225" s="83">
        <f t="shared" si="765"/>
        <v>0</v>
      </c>
      <c r="P225" s="83">
        <f t="shared" si="765"/>
        <v>0</v>
      </c>
      <c r="Q225" s="83">
        <f t="shared" si="765"/>
        <v>0</v>
      </c>
      <c r="R225" s="83">
        <f t="shared" si="765"/>
        <v>0</v>
      </c>
      <c r="S225" s="83">
        <f t="shared" si="765"/>
        <v>0</v>
      </c>
      <c r="T225" s="83">
        <f t="shared" si="765"/>
        <v>0</v>
      </c>
      <c r="U225" s="83">
        <f t="shared" si="765"/>
        <v>0</v>
      </c>
      <c r="V225" s="83">
        <f t="shared" si="765"/>
        <v>0</v>
      </c>
      <c r="W225" s="83">
        <f t="shared" si="765"/>
        <v>0</v>
      </c>
    </row>
    <row r="226" spans="3:23" ht="25.5" x14ac:dyDescent="0.25">
      <c r="C226" s="78" t="str">
        <f t="shared" si="758"/>
        <v>CASETA 3</v>
      </c>
      <c r="D226" s="87" t="s">
        <v>49</v>
      </c>
      <c r="E226" s="83">
        <f t="shared" ref="E226:W226" si="766">VLOOKUP(E$168,CST3BY,12,0)</f>
        <v>0.7</v>
      </c>
      <c r="F226" s="83">
        <f t="shared" si="766"/>
        <v>0.7</v>
      </c>
      <c r="G226" s="83">
        <f t="shared" si="766"/>
        <v>1.4</v>
      </c>
      <c r="H226" s="83">
        <f t="shared" si="766"/>
        <v>1.9</v>
      </c>
      <c r="I226" s="83">
        <f t="shared" si="766"/>
        <v>2.1999999999999997</v>
      </c>
      <c r="J226" s="83">
        <f t="shared" si="766"/>
        <v>2.38</v>
      </c>
      <c r="K226" s="83">
        <f t="shared" si="766"/>
        <v>2.56</v>
      </c>
      <c r="L226" s="83">
        <f t="shared" si="766"/>
        <v>2.72</v>
      </c>
      <c r="M226" s="83">
        <f t="shared" si="766"/>
        <v>2.8800000000000003</v>
      </c>
      <c r="N226" s="83">
        <f t="shared" si="766"/>
        <v>3.0400000000000005</v>
      </c>
      <c r="O226" s="83">
        <f t="shared" si="766"/>
        <v>3.2000000000000006</v>
      </c>
      <c r="P226" s="83">
        <f t="shared" si="766"/>
        <v>3.3600000000000008</v>
      </c>
      <c r="Q226" s="83">
        <f t="shared" si="766"/>
        <v>3.5200000000000009</v>
      </c>
      <c r="R226" s="83">
        <f t="shared" si="766"/>
        <v>3.680000000000001</v>
      </c>
      <c r="S226" s="83">
        <f t="shared" si="766"/>
        <v>3.8400000000000012</v>
      </c>
      <c r="T226" s="83">
        <f t="shared" si="766"/>
        <v>4.0000000000000009</v>
      </c>
      <c r="U226" s="83">
        <f t="shared" si="766"/>
        <v>4.160000000000001</v>
      </c>
      <c r="V226" s="83">
        <f t="shared" si="766"/>
        <v>4.3200000000000012</v>
      </c>
      <c r="W226" s="83">
        <f t="shared" si="766"/>
        <v>4.4800000000000013</v>
      </c>
    </row>
    <row r="227" spans="3:23" ht="25.5" x14ac:dyDescent="0.25">
      <c r="C227" s="78" t="str">
        <f t="shared" si="758"/>
        <v>CASETA 3</v>
      </c>
      <c r="D227" s="87" t="s">
        <v>73</v>
      </c>
      <c r="E227" s="83">
        <f t="shared" ref="E227:W227" si="767">VLOOKUP(E$168,CST3BY,13,0)</f>
        <v>5.829981094204166E-2</v>
      </c>
      <c r="F227" s="83">
        <f t="shared" si="767"/>
        <v>2.2828540256019454</v>
      </c>
      <c r="G227" s="83">
        <f t="shared" si="767"/>
        <v>3.1090456320948787</v>
      </c>
      <c r="H227" s="83">
        <f t="shared" si="767"/>
        <v>3.2697865394065078</v>
      </c>
      <c r="I227" s="83">
        <f t="shared" si="767"/>
        <v>3.2697865394065078</v>
      </c>
      <c r="J227" s="83">
        <f t="shared" si="767"/>
        <v>3.2697865394065078</v>
      </c>
      <c r="K227" s="83">
        <f t="shared" si="767"/>
        <v>3.2697865394065078</v>
      </c>
      <c r="L227" s="83">
        <f t="shared" si="767"/>
        <v>3.2697865394065078</v>
      </c>
      <c r="M227" s="83">
        <f t="shared" si="767"/>
        <v>3.2697865394065078</v>
      </c>
      <c r="N227" s="83">
        <f t="shared" si="767"/>
        <v>3.2697865394065078</v>
      </c>
      <c r="O227" s="83">
        <f t="shared" si="767"/>
        <v>3.2697865394065078</v>
      </c>
      <c r="P227" s="83">
        <f t="shared" si="767"/>
        <v>3.2697865394065078</v>
      </c>
      <c r="Q227" s="83">
        <f t="shared" si="767"/>
        <v>3.2697865394065078</v>
      </c>
      <c r="R227" s="83">
        <f t="shared" si="767"/>
        <v>3.2697865394065078</v>
      </c>
      <c r="S227" s="83">
        <f t="shared" si="767"/>
        <v>3.2697865394065078</v>
      </c>
      <c r="T227" s="83">
        <f t="shared" si="767"/>
        <v>3.2697865394065078</v>
      </c>
      <c r="U227" s="83">
        <f t="shared" si="767"/>
        <v>3.2697865394065078</v>
      </c>
      <c r="V227" s="83">
        <f t="shared" si="767"/>
        <v>3.2697865394065078</v>
      </c>
      <c r="W227" s="83">
        <f t="shared" si="767"/>
        <v>3.2697865394065078</v>
      </c>
    </row>
    <row r="228" spans="3:23" x14ac:dyDescent="0.25">
      <c r="C228" s="78" t="str">
        <f t="shared" si="758"/>
        <v>CASETA 3</v>
      </c>
      <c r="D228" s="23" t="s">
        <v>9</v>
      </c>
      <c r="E228" s="83">
        <f t="shared" ref="E228:W228" si="768">VLOOKUP(E$168,CST3BY,14,0)</f>
        <v>0</v>
      </c>
      <c r="F228" s="83">
        <f t="shared" si="768"/>
        <v>10440</v>
      </c>
      <c r="G228" s="83">
        <f t="shared" si="768"/>
        <v>20520</v>
      </c>
      <c r="H228" s="83">
        <f t="shared" si="768"/>
        <v>5940</v>
      </c>
      <c r="I228" s="83">
        <f t="shared" si="768"/>
        <v>0</v>
      </c>
      <c r="J228" s="83">
        <f t="shared" si="768"/>
        <v>0</v>
      </c>
      <c r="K228" s="83">
        <f t="shared" si="768"/>
        <v>0</v>
      </c>
      <c r="L228" s="83">
        <f t="shared" si="768"/>
        <v>0</v>
      </c>
      <c r="M228" s="83">
        <f t="shared" si="768"/>
        <v>0</v>
      </c>
      <c r="N228" s="83">
        <f t="shared" si="768"/>
        <v>0</v>
      </c>
      <c r="O228" s="83">
        <f t="shared" si="768"/>
        <v>0</v>
      </c>
      <c r="P228" s="83">
        <f t="shared" si="768"/>
        <v>0</v>
      </c>
      <c r="Q228" s="83">
        <f t="shared" si="768"/>
        <v>0</v>
      </c>
      <c r="R228" s="83">
        <f t="shared" si="768"/>
        <v>0</v>
      </c>
      <c r="S228" s="83">
        <f t="shared" si="768"/>
        <v>0</v>
      </c>
      <c r="T228" s="83">
        <f t="shared" si="768"/>
        <v>0</v>
      </c>
      <c r="U228" s="83">
        <f t="shared" si="768"/>
        <v>0</v>
      </c>
      <c r="V228" s="83">
        <f t="shared" si="768"/>
        <v>0</v>
      </c>
      <c r="W228" s="83">
        <f t="shared" si="768"/>
        <v>0</v>
      </c>
    </row>
    <row r="229" spans="3:23" ht="25.5" x14ac:dyDescent="0.25">
      <c r="C229" s="78" t="str">
        <f t="shared" si="758"/>
        <v>CASETA 3</v>
      </c>
      <c r="D229" s="86" t="s">
        <v>75</v>
      </c>
      <c r="E229" s="83">
        <f t="shared" ref="E229:W229" si="769">VLOOKUP(E$168,CST3BY,15,0)</f>
        <v>10</v>
      </c>
      <c r="F229" s="83">
        <f t="shared" si="769"/>
        <v>10</v>
      </c>
      <c r="G229" s="83">
        <f t="shared" si="769"/>
        <v>17</v>
      </c>
      <c r="H229" s="83">
        <f t="shared" si="769"/>
        <v>23</v>
      </c>
      <c r="I229" s="83">
        <f t="shared" si="769"/>
        <v>29</v>
      </c>
      <c r="J229" s="83">
        <f t="shared" si="769"/>
        <v>34</v>
      </c>
      <c r="K229" s="83">
        <f t="shared" si="769"/>
        <v>38</v>
      </c>
      <c r="L229" s="83">
        <f t="shared" si="769"/>
        <v>42</v>
      </c>
      <c r="M229" s="83">
        <f t="shared" si="769"/>
        <v>46</v>
      </c>
      <c r="N229" s="83">
        <f t="shared" si="769"/>
        <v>49</v>
      </c>
      <c r="O229" s="83">
        <f t="shared" si="769"/>
        <v>52</v>
      </c>
      <c r="P229" s="83">
        <f t="shared" si="769"/>
        <v>55</v>
      </c>
      <c r="Q229" s="83">
        <f t="shared" si="769"/>
        <v>58</v>
      </c>
      <c r="R229" s="83">
        <f t="shared" si="769"/>
        <v>61</v>
      </c>
      <c r="S229" s="83">
        <f t="shared" si="769"/>
        <v>64</v>
      </c>
      <c r="T229" s="83">
        <f t="shared" si="769"/>
        <v>67</v>
      </c>
      <c r="U229" s="83">
        <f t="shared" si="769"/>
        <v>71</v>
      </c>
      <c r="V229" s="83">
        <f t="shared" si="769"/>
        <v>75</v>
      </c>
      <c r="W229" s="83">
        <f t="shared" si="769"/>
        <v>79</v>
      </c>
    </row>
    <row r="230" spans="3:23" ht="25.5" x14ac:dyDescent="0.25">
      <c r="C230" s="78" t="str">
        <f t="shared" si="758"/>
        <v>CASETA 3</v>
      </c>
      <c r="D230" s="86" t="s">
        <v>62</v>
      </c>
      <c r="E230" s="83">
        <f t="shared" ref="E230:W230" si="770">VLOOKUP(E$168,CST3BY,16,0)</f>
        <v>0</v>
      </c>
      <c r="F230" s="83">
        <f t="shared" si="770"/>
        <v>12.428675000863102</v>
      </c>
      <c r="G230" s="83">
        <f t="shared" si="770"/>
        <v>24.984901911125831</v>
      </c>
      <c r="H230" s="83">
        <f t="shared" si="770"/>
        <v>7.2941430732656141</v>
      </c>
      <c r="I230" s="83">
        <f t="shared" si="770"/>
        <v>0</v>
      </c>
      <c r="J230" s="83">
        <f t="shared" si="770"/>
        <v>0</v>
      </c>
      <c r="K230" s="83">
        <f t="shared" si="770"/>
        <v>0</v>
      </c>
      <c r="L230" s="83">
        <f t="shared" si="770"/>
        <v>0</v>
      </c>
      <c r="M230" s="83">
        <f t="shared" si="770"/>
        <v>0</v>
      </c>
      <c r="N230" s="83">
        <f t="shared" si="770"/>
        <v>0</v>
      </c>
      <c r="O230" s="83">
        <f t="shared" si="770"/>
        <v>0</v>
      </c>
      <c r="P230" s="83">
        <f t="shared" si="770"/>
        <v>0</v>
      </c>
      <c r="Q230" s="83">
        <f t="shared" si="770"/>
        <v>0</v>
      </c>
      <c r="R230" s="83">
        <f t="shared" si="770"/>
        <v>0</v>
      </c>
      <c r="S230" s="83">
        <f t="shared" si="770"/>
        <v>0</v>
      </c>
      <c r="T230" s="83">
        <f t="shared" si="770"/>
        <v>0</v>
      </c>
      <c r="U230" s="83">
        <f t="shared" si="770"/>
        <v>0</v>
      </c>
      <c r="V230" s="83">
        <f t="shared" si="770"/>
        <v>0</v>
      </c>
      <c r="W230" s="83">
        <f t="shared" si="770"/>
        <v>0</v>
      </c>
    </row>
    <row r="231" spans="3:23" ht="25.5" x14ac:dyDescent="0.25">
      <c r="C231" s="78" t="str">
        <f t="shared" si="758"/>
        <v>CASETA 3</v>
      </c>
      <c r="D231" s="24" t="s">
        <v>50</v>
      </c>
      <c r="E231" s="83">
        <f t="shared" ref="E231:W231" si="771">VLOOKUP(E$168,CST3BY,17,0)</f>
        <v>0</v>
      </c>
      <c r="F231" s="83">
        <f t="shared" si="771"/>
        <v>87.749581429748446</v>
      </c>
      <c r="G231" s="83">
        <f t="shared" si="771"/>
        <v>263.50228096393801</v>
      </c>
      <c r="H231" s="83">
        <f t="shared" si="771"/>
        <v>314.58428346602915</v>
      </c>
      <c r="I231" s="83">
        <f t="shared" si="771"/>
        <v>314.58428346602915</v>
      </c>
      <c r="J231" s="83">
        <f t="shared" si="771"/>
        <v>314.58428346602915</v>
      </c>
      <c r="K231" s="83">
        <f t="shared" si="771"/>
        <v>314.58428346602915</v>
      </c>
      <c r="L231" s="83">
        <f t="shared" si="771"/>
        <v>314.58428346602915</v>
      </c>
      <c r="M231" s="83">
        <f t="shared" si="771"/>
        <v>314.58428346602915</v>
      </c>
      <c r="N231" s="83">
        <f t="shared" si="771"/>
        <v>314.58428346602915</v>
      </c>
      <c r="O231" s="83">
        <f t="shared" si="771"/>
        <v>314.58428346602915</v>
      </c>
      <c r="P231" s="83">
        <f t="shared" si="771"/>
        <v>314.58428346602915</v>
      </c>
      <c r="Q231" s="83">
        <f t="shared" si="771"/>
        <v>314.58428346602915</v>
      </c>
      <c r="R231" s="83">
        <f t="shared" si="771"/>
        <v>314.58428346602915</v>
      </c>
      <c r="S231" s="83">
        <f t="shared" si="771"/>
        <v>314.58428346602915</v>
      </c>
      <c r="T231" s="83">
        <f t="shared" si="771"/>
        <v>314.58428346602915</v>
      </c>
      <c r="U231" s="83">
        <f t="shared" si="771"/>
        <v>314.58428346602915</v>
      </c>
      <c r="V231" s="83">
        <f t="shared" si="771"/>
        <v>314.58428346602915</v>
      </c>
      <c r="W231" s="83">
        <f t="shared" si="771"/>
        <v>314.58428346602915</v>
      </c>
    </row>
    <row r="232" spans="3:23" x14ac:dyDescent="0.25">
      <c r="C232" s="78" t="str">
        <f t="shared" si="758"/>
        <v>CASETA 3</v>
      </c>
      <c r="D232" s="86" t="s">
        <v>63</v>
      </c>
      <c r="E232" s="83">
        <f t="shared" ref="E232:W232" si="772">VLOOKUP(E$168,CST3BY,18,0)</f>
        <v>40</v>
      </c>
      <c r="F232" s="83">
        <f t="shared" si="772"/>
        <v>70</v>
      </c>
      <c r="G232" s="83">
        <f t="shared" si="772"/>
        <v>120</v>
      </c>
      <c r="H232" s="83">
        <f t="shared" si="772"/>
        <v>185</v>
      </c>
      <c r="I232" s="83">
        <f t="shared" si="772"/>
        <v>255</v>
      </c>
      <c r="J232" s="83">
        <f t="shared" si="772"/>
        <v>334</v>
      </c>
      <c r="K232" s="83">
        <f t="shared" si="772"/>
        <v>425</v>
      </c>
      <c r="L232" s="83">
        <f t="shared" si="772"/>
        <v>524</v>
      </c>
      <c r="M232" s="83">
        <f t="shared" si="772"/>
        <v>618</v>
      </c>
      <c r="N232" s="83">
        <f t="shared" si="772"/>
        <v>712</v>
      </c>
      <c r="O232" s="83">
        <f t="shared" si="772"/>
        <v>802</v>
      </c>
      <c r="P232" s="83">
        <f t="shared" si="772"/>
        <v>880</v>
      </c>
      <c r="Q232" s="83">
        <f t="shared" si="772"/>
        <v>950</v>
      </c>
      <c r="R232" s="83">
        <f t="shared" si="772"/>
        <v>1010</v>
      </c>
      <c r="S232" s="83">
        <f t="shared" si="772"/>
        <v>1065</v>
      </c>
      <c r="T232" s="83">
        <f t="shared" si="772"/>
        <v>1115</v>
      </c>
      <c r="U232" s="83">
        <f t="shared" si="772"/>
        <v>1160</v>
      </c>
      <c r="V232" s="83">
        <f t="shared" si="772"/>
        <v>1207</v>
      </c>
      <c r="W232" s="83">
        <f t="shared" si="772"/>
        <v>1257</v>
      </c>
    </row>
    <row r="233" spans="3:23" x14ac:dyDescent="0.25">
      <c r="C233" s="78" t="str">
        <f t="shared" si="758"/>
        <v>CASETA 3</v>
      </c>
      <c r="D233" s="86" t="s">
        <v>64</v>
      </c>
      <c r="E233" s="83">
        <f t="shared" ref="E233:W233" si="773">VLOOKUP(E$168,CST3BY,19,0)</f>
        <v>33</v>
      </c>
      <c r="F233" s="83">
        <f t="shared" si="773"/>
        <v>68</v>
      </c>
      <c r="G233" s="83">
        <f t="shared" si="773"/>
        <v>120</v>
      </c>
      <c r="H233" s="83">
        <f t="shared" si="773"/>
        <v>0</v>
      </c>
      <c r="I233" s="83">
        <f t="shared" si="773"/>
        <v>0</v>
      </c>
      <c r="J233" s="83">
        <f t="shared" si="773"/>
        <v>0</v>
      </c>
      <c r="K233" s="83">
        <f t="shared" si="773"/>
        <v>0</v>
      </c>
      <c r="L233" s="83">
        <f t="shared" si="773"/>
        <v>0</v>
      </c>
      <c r="M233" s="83">
        <f t="shared" si="773"/>
        <v>0</v>
      </c>
      <c r="N233" s="83">
        <f t="shared" si="773"/>
        <v>0</v>
      </c>
      <c r="O233" s="83">
        <f t="shared" si="773"/>
        <v>0</v>
      </c>
      <c r="P233" s="83">
        <f t="shared" si="773"/>
        <v>0</v>
      </c>
      <c r="Q233" s="83">
        <f t="shared" si="773"/>
        <v>0</v>
      </c>
      <c r="R233" s="83">
        <f t="shared" si="773"/>
        <v>0</v>
      </c>
      <c r="S233" s="83">
        <f t="shared" si="773"/>
        <v>0</v>
      </c>
      <c r="T233" s="83">
        <f t="shared" si="773"/>
        <v>0</v>
      </c>
      <c r="U233" s="83">
        <f t="shared" si="773"/>
        <v>0</v>
      </c>
      <c r="V233" s="83">
        <f t="shared" si="773"/>
        <v>0</v>
      </c>
      <c r="W233" s="83">
        <f t="shared" si="773"/>
        <v>0</v>
      </c>
    </row>
    <row r="234" spans="3:23" x14ac:dyDescent="0.25">
      <c r="C234" s="78" t="str">
        <f t="shared" si="758"/>
        <v>CASETA 3</v>
      </c>
      <c r="D234" s="23" t="s">
        <v>15</v>
      </c>
      <c r="E234" s="83">
        <f t="shared" ref="E234:W234" si="774">VLOOKUP(E$168,CST3BY,20,0)</f>
        <v>7</v>
      </c>
      <c r="F234" s="83">
        <f t="shared" si="774"/>
        <v>2</v>
      </c>
      <c r="G234" s="83">
        <f t="shared" si="774"/>
        <v>0</v>
      </c>
      <c r="H234" s="83">
        <f t="shared" si="774"/>
        <v>185</v>
      </c>
      <c r="I234" s="83">
        <f t="shared" si="774"/>
        <v>255</v>
      </c>
      <c r="J234" s="83">
        <f t="shared" si="774"/>
        <v>334</v>
      </c>
      <c r="K234" s="83">
        <f t="shared" si="774"/>
        <v>425</v>
      </c>
      <c r="L234" s="83">
        <f t="shared" si="774"/>
        <v>524</v>
      </c>
      <c r="M234" s="83">
        <f t="shared" si="774"/>
        <v>618</v>
      </c>
      <c r="N234" s="83">
        <f t="shared" si="774"/>
        <v>712</v>
      </c>
      <c r="O234" s="83">
        <f t="shared" si="774"/>
        <v>802</v>
      </c>
      <c r="P234" s="83">
        <f t="shared" si="774"/>
        <v>880</v>
      </c>
      <c r="Q234" s="83">
        <f t="shared" si="774"/>
        <v>950</v>
      </c>
      <c r="R234" s="83">
        <f t="shared" si="774"/>
        <v>1010</v>
      </c>
      <c r="S234" s="83">
        <f t="shared" si="774"/>
        <v>1065</v>
      </c>
      <c r="T234" s="83">
        <f t="shared" si="774"/>
        <v>1115</v>
      </c>
      <c r="U234" s="83">
        <f t="shared" si="774"/>
        <v>1160</v>
      </c>
      <c r="V234" s="83">
        <f t="shared" si="774"/>
        <v>1207</v>
      </c>
      <c r="W234" s="83">
        <f t="shared" si="774"/>
        <v>1257</v>
      </c>
    </row>
    <row r="235" spans="3:23" ht="25.5" x14ac:dyDescent="0.25">
      <c r="C235" s="78" t="str">
        <f t="shared" si="758"/>
        <v>CASETA 3</v>
      </c>
      <c r="D235" s="86" t="s">
        <v>65</v>
      </c>
      <c r="E235" s="83">
        <f t="shared" ref="E235:W235" si="775">VLOOKUP(E$168,CST3BY,21,0)</f>
        <v>77</v>
      </c>
      <c r="F235" s="83">
        <f t="shared" si="775"/>
        <v>77</v>
      </c>
      <c r="G235" s="83">
        <f t="shared" si="775"/>
        <v>77</v>
      </c>
      <c r="H235" s="83">
        <f t="shared" si="775"/>
        <v>77</v>
      </c>
      <c r="I235" s="83">
        <f t="shared" si="775"/>
        <v>79</v>
      </c>
      <c r="J235" s="83">
        <f t="shared" si="775"/>
        <v>79</v>
      </c>
      <c r="K235" s="83">
        <f t="shared" si="775"/>
        <v>79</v>
      </c>
      <c r="L235" s="83">
        <f t="shared" si="775"/>
        <v>79</v>
      </c>
      <c r="M235" s="83">
        <f t="shared" si="775"/>
        <v>79</v>
      </c>
      <c r="N235" s="83">
        <f t="shared" si="775"/>
        <v>79</v>
      </c>
      <c r="O235" s="83">
        <f t="shared" si="775"/>
        <v>80</v>
      </c>
      <c r="P235" s="83">
        <f t="shared" si="775"/>
        <v>80</v>
      </c>
      <c r="Q235" s="83">
        <f t="shared" si="775"/>
        <v>82</v>
      </c>
      <c r="R235" s="83">
        <f t="shared" si="775"/>
        <v>82</v>
      </c>
      <c r="S235" s="83">
        <f t="shared" si="775"/>
        <v>84</v>
      </c>
      <c r="T235" s="83">
        <f t="shared" si="775"/>
        <v>86</v>
      </c>
      <c r="U235" s="83">
        <f t="shared" si="775"/>
        <v>86</v>
      </c>
      <c r="V235" s="83">
        <f t="shared" si="775"/>
        <v>86</v>
      </c>
      <c r="W235" s="83">
        <f t="shared" si="775"/>
        <v>86</v>
      </c>
    </row>
    <row r="236" spans="3:23" ht="25.5" x14ac:dyDescent="0.25">
      <c r="C236" s="78" t="str">
        <f t="shared" si="758"/>
        <v>CASETA 3</v>
      </c>
      <c r="D236" s="86" t="s">
        <v>66</v>
      </c>
      <c r="E236" s="83">
        <f t="shared" ref="E236:W236" si="776">VLOOKUP(E$168,CST3BY,22,0)</f>
        <v>84</v>
      </c>
      <c r="F236" s="83">
        <f t="shared" si="776"/>
        <v>75</v>
      </c>
      <c r="G236" s="83">
        <f t="shared" si="776"/>
        <v>81</v>
      </c>
      <c r="H236" s="83">
        <f t="shared" si="776"/>
        <v>0</v>
      </c>
      <c r="I236" s="83">
        <f t="shared" si="776"/>
        <v>0</v>
      </c>
      <c r="J236" s="83">
        <f t="shared" si="776"/>
        <v>0</v>
      </c>
      <c r="K236" s="83">
        <f t="shared" si="776"/>
        <v>0</v>
      </c>
      <c r="L236" s="83">
        <f t="shared" si="776"/>
        <v>0</v>
      </c>
      <c r="M236" s="83">
        <f t="shared" si="776"/>
        <v>0</v>
      </c>
      <c r="N236" s="83">
        <f t="shared" si="776"/>
        <v>0</v>
      </c>
      <c r="O236" s="83">
        <f t="shared" si="776"/>
        <v>0</v>
      </c>
      <c r="P236" s="83">
        <f t="shared" si="776"/>
        <v>0</v>
      </c>
      <c r="Q236" s="83">
        <f t="shared" si="776"/>
        <v>0</v>
      </c>
      <c r="R236" s="83">
        <f t="shared" si="776"/>
        <v>0</v>
      </c>
      <c r="S236" s="83">
        <f t="shared" si="776"/>
        <v>0</v>
      </c>
      <c r="T236" s="83">
        <f t="shared" si="776"/>
        <v>0</v>
      </c>
      <c r="U236" s="83">
        <f t="shared" si="776"/>
        <v>0</v>
      </c>
      <c r="V236" s="83">
        <f t="shared" si="776"/>
        <v>0</v>
      </c>
      <c r="W236" s="83">
        <f t="shared" si="776"/>
        <v>0</v>
      </c>
    </row>
    <row r="237" spans="3:23" x14ac:dyDescent="0.25">
      <c r="C237" s="78" t="str">
        <f>C236</f>
        <v>CASETA 3</v>
      </c>
      <c r="D237" s="23" t="s">
        <v>15</v>
      </c>
      <c r="E237" s="85">
        <f>E235-E236</f>
        <v>-7</v>
      </c>
      <c r="F237" s="85">
        <f t="shared" ref="F237:W237" si="777">F235-F236</f>
        <v>2</v>
      </c>
      <c r="G237" s="85">
        <f t="shared" si="777"/>
        <v>-4</v>
      </c>
      <c r="H237" s="85">
        <f t="shared" si="777"/>
        <v>77</v>
      </c>
      <c r="I237" s="85">
        <f t="shared" si="777"/>
        <v>79</v>
      </c>
      <c r="J237" s="85">
        <f t="shared" si="777"/>
        <v>79</v>
      </c>
      <c r="K237" s="85">
        <f t="shared" si="777"/>
        <v>79</v>
      </c>
      <c r="L237" s="85">
        <f t="shared" si="777"/>
        <v>79</v>
      </c>
      <c r="M237" s="85">
        <f t="shared" si="777"/>
        <v>79</v>
      </c>
      <c r="N237" s="85">
        <f t="shared" si="777"/>
        <v>79</v>
      </c>
      <c r="O237" s="85">
        <f t="shared" si="777"/>
        <v>80</v>
      </c>
      <c r="P237" s="85">
        <f t="shared" si="777"/>
        <v>80</v>
      </c>
      <c r="Q237" s="85">
        <f t="shared" si="777"/>
        <v>82</v>
      </c>
      <c r="R237" s="85">
        <f t="shared" si="777"/>
        <v>82</v>
      </c>
      <c r="S237" s="85">
        <f t="shared" si="777"/>
        <v>84</v>
      </c>
      <c r="T237" s="85">
        <f t="shared" si="777"/>
        <v>86</v>
      </c>
      <c r="U237" s="85">
        <f t="shared" si="777"/>
        <v>86</v>
      </c>
      <c r="V237" s="85">
        <f t="shared" si="777"/>
        <v>86</v>
      </c>
      <c r="W237" s="85">
        <f t="shared" si="777"/>
        <v>86</v>
      </c>
    </row>
    <row r="238" spans="3:23" x14ac:dyDescent="0.25">
      <c r="C238" s="78"/>
      <c r="D238" s="85"/>
      <c r="E238" s="85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</row>
    <row r="239" spans="3:23" x14ac:dyDescent="0.25">
      <c r="C239" s="78"/>
      <c r="D239" s="85"/>
      <c r="E239" s="85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</row>
    <row r="240" spans="3:23" x14ac:dyDescent="0.25">
      <c r="C240" s="78"/>
      <c r="D240" s="85"/>
      <c r="E240" s="85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</row>
    <row r="241" spans="3:23" ht="20.25" customHeight="1" x14ac:dyDescent="0.25">
      <c r="C241" s="77" t="s">
        <v>55</v>
      </c>
      <c r="D241" s="24" t="s">
        <v>67</v>
      </c>
      <c r="E241" s="83">
        <f>VLOOKUP(E$168,CST1G1,3,0)</f>
        <v>0</v>
      </c>
      <c r="F241" s="83">
        <f t="shared" ref="F241:W241" si="778">VLOOKUP(F$168,CST1G1,3,0)</f>
        <v>0</v>
      </c>
      <c r="G241" s="83">
        <f t="shared" si="778"/>
        <v>0</v>
      </c>
      <c r="H241" s="83">
        <f t="shared" si="778"/>
        <v>0</v>
      </c>
      <c r="I241" s="83">
        <f t="shared" si="778"/>
        <v>0</v>
      </c>
      <c r="J241" s="83">
        <f t="shared" si="778"/>
        <v>0</v>
      </c>
      <c r="K241" s="83">
        <f t="shared" si="778"/>
        <v>0</v>
      </c>
      <c r="L241" s="83">
        <f t="shared" si="778"/>
        <v>0</v>
      </c>
      <c r="M241" s="83">
        <f t="shared" si="778"/>
        <v>0</v>
      </c>
      <c r="N241" s="83">
        <f t="shared" si="778"/>
        <v>0</v>
      </c>
      <c r="O241" s="83">
        <f t="shared" si="778"/>
        <v>0</v>
      </c>
      <c r="P241" s="83">
        <f t="shared" si="778"/>
        <v>0</v>
      </c>
      <c r="Q241" s="83">
        <f t="shared" si="778"/>
        <v>0</v>
      </c>
      <c r="R241" s="83">
        <f t="shared" si="778"/>
        <v>0</v>
      </c>
      <c r="S241" s="83">
        <f t="shared" si="778"/>
        <v>0</v>
      </c>
      <c r="T241" s="83">
        <f t="shared" si="778"/>
        <v>0</v>
      </c>
      <c r="U241" s="83">
        <f t="shared" si="778"/>
        <v>0</v>
      </c>
      <c r="V241" s="83">
        <f t="shared" si="778"/>
        <v>0</v>
      </c>
      <c r="W241" s="83">
        <f t="shared" si="778"/>
        <v>0</v>
      </c>
    </row>
    <row r="242" spans="3:23" x14ac:dyDescent="0.25">
      <c r="C242" s="78" t="str">
        <f>C241</f>
        <v>CASETA 4</v>
      </c>
      <c r="D242" s="24" t="s">
        <v>34</v>
      </c>
      <c r="E242" s="83">
        <f t="shared" ref="E242:W242" si="779">VLOOKUP(E$168,CST1G1,4,0)</f>
        <v>0</v>
      </c>
      <c r="F242" s="83">
        <f t="shared" si="779"/>
        <v>0</v>
      </c>
      <c r="G242" s="83">
        <f t="shared" si="779"/>
        <v>0</v>
      </c>
      <c r="H242" s="83">
        <f t="shared" si="779"/>
        <v>0</v>
      </c>
      <c r="I242" s="83">
        <f t="shared" si="779"/>
        <v>0</v>
      </c>
      <c r="J242" s="83">
        <f t="shared" si="779"/>
        <v>0</v>
      </c>
      <c r="K242" s="83">
        <f t="shared" si="779"/>
        <v>0</v>
      </c>
      <c r="L242" s="83">
        <f t="shared" si="779"/>
        <v>0</v>
      </c>
      <c r="M242" s="83">
        <f t="shared" si="779"/>
        <v>0</v>
      </c>
      <c r="N242" s="83">
        <f t="shared" si="779"/>
        <v>0</v>
      </c>
      <c r="O242" s="83">
        <f t="shared" si="779"/>
        <v>0</v>
      </c>
      <c r="P242" s="83">
        <f t="shared" si="779"/>
        <v>0</v>
      </c>
      <c r="Q242" s="83">
        <f t="shared" si="779"/>
        <v>0</v>
      </c>
      <c r="R242" s="83">
        <f t="shared" si="779"/>
        <v>0</v>
      </c>
      <c r="S242" s="83">
        <f t="shared" si="779"/>
        <v>0</v>
      </c>
      <c r="T242" s="83">
        <f t="shared" si="779"/>
        <v>0</v>
      </c>
      <c r="U242" s="83">
        <f t="shared" si="779"/>
        <v>0</v>
      </c>
      <c r="V242" s="83">
        <f t="shared" si="779"/>
        <v>0</v>
      </c>
      <c r="W242" s="83">
        <f t="shared" si="779"/>
        <v>0</v>
      </c>
    </row>
    <row r="243" spans="3:23" x14ac:dyDescent="0.25">
      <c r="C243" s="78" t="str">
        <f t="shared" ref="C243:C260" si="780">C242</f>
        <v>CASETA 4</v>
      </c>
      <c r="D243" s="23" t="s">
        <v>27</v>
      </c>
      <c r="E243" s="83">
        <f t="shared" ref="E243:W243" si="781">VLOOKUP(E$168,CST1G1,5,0)</f>
        <v>0</v>
      </c>
      <c r="F243" s="83">
        <f t="shared" si="781"/>
        <v>0</v>
      </c>
      <c r="G243" s="83">
        <f t="shared" si="781"/>
        <v>0</v>
      </c>
      <c r="H243" s="83">
        <f t="shared" si="781"/>
        <v>0</v>
      </c>
      <c r="I243" s="83">
        <f t="shared" si="781"/>
        <v>0</v>
      </c>
      <c r="J243" s="83">
        <f t="shared" si="781"/>
        <v>0</v>
      </c>
      <c r="K243" s="83">
        <f t="shared" si="781"/>
        <v>0</v>
      </c>
      <c r="L243" s="83">
        <f t="shared" si="781"/>
        <v>0</v>
      </c>
      <c r="M243" s="83">
        <f t="shared" si="781"/>
        <v>0</v>
      </c>
      <c r="N243" s="83">
        <f t="shared" si="781"/>
        <v>0</v>
      </c>
      <c r="O243" s="83">
        <f t="shared" si="781"/>
        <v>0</v>
      </c>
      <c r="P243" s="83">
        <f t="shared" si="781"/>
        <v>0</v>
      </c>
      <c r="Q243" s="83">
        <f t="shared" si="781"/>
        <v>0</v>
      </c>
      <c r="R243" s="83">
        <f t="shared" si="781"/>
        <v>0</v>
      </c>
      <c r="S243" s="83">
        <f t="shared" si="781"/>
        <v>0</v>
      </c>
      <c r="T243" s="83">
        <f t="shared" si="781"/>
        <v>0</v>
      </c>
      <c r="U243" s="83">
        <f t="shared" si="781"/>
        <v>0</v>
      </c>
      <c r="V243" s="83">
        <f t="shared" si="781"/>
        <v>0</v>
      </c>
      <c r="W243" s="83">
        <f t="shared" si="781"/>
        <v>0</v>
      </c>
    </row>
    <row r="244" spans="3:23" x14ac:dyDescent="0.25">
      <c r="C244" s="78" t="str">
        <f t="shared" si="780"/>
        <v>CASETA 4</v>
      </c>
      <c r="D244" s="23" t="s">
        <v>16</v>
      </c>
      <c r="E244" s="83">
        <f t="shared" ref="E244:W244" si="782">VLOOKUP(E$168,CST1G1,6,0)</f>
        <v>0</v>
      </c>
      <c r="F244" s="83">
        <f t="shared" si="782"/>
        <v>0</v>
      </c>
      <c r="G244" s="83">
        <f t="shared" si="782"/>
        <v>0</v>
      </c>
      <c r="H244" s="83">
        <f t="shared" si="782"/>
        <v>0</v>
      </c>
      <c r="I244" s="83">
        <f t="shared" si="782"/>
        <v>0</v>
      </c>
      <c r="J244" s="83">
        <f t="shared" si="782"/>
        <v>0</v>
      </c>
      <c r="K244" s="83">
        <f t="shared" si="782"/>
        <v>0</v>
      </c>
      <c r="L244" s="83">
        <f t="shared" si="782"/>
        <v>0</v>
      </c>
      <c r="M244" s="83">
        <f t="shared" si="782"/>
        <v>0</v>
      </c>
      <c r="N244" s="83">
        <f t="shared" si="782"/>
        <v>0</v>
      </c>
      <c r="O244" s="83">
        <f t="shared" si="782"/>
        <v>0</v>
      </c>
      <c r="P244" s="83">
        <f t="shared" si="782"/>
        <v>0</v>
      </c>
      <c r="Q244" s="83">
        <f t="shared" si="782"/>
        <v>0</v>
      </c>
      <c r="R244" s="83">
        <f t="shared" si="782"/>
        <v>0</v>
      </c>
      <c r="S244" s="83">
        <f t="shared" si="782"/>
        <v>0</v>
      </c>
      <c r="T244" s="83">
        <f t="shared" si="782"/>
        <v>0</v>
      </c>
      <c r="U244" s="83">
        <f t="shared" si="782"/>
        <v>0</v>
      </c>
      <c r="V244" s="83">
        <f t="shared" si="782"/>
        <v>0</v>
      </c>
      <c r="W244" s="83">
        <f t="shared" si="782"/>
        <v>0</v>
      </c>
    </row>
    <row r="245" spans="3:23" x14ac:dyDescent="0.25">
      <c r="C245" s="78" t="str">
        <f t="shared" si="780"/>
        <v>CASETA 4</v>
      </c>
      <c r="D245" s="23" t="s">
        <v>17</v>
      </c>
      <c r="E245" s="83">
        <f t="shared" ref="E245:W245" si="783">VLOOKUP(E$168,CST1G1,7,0)</f>
        <v>0</v>
      </c>
      <c r="F245" s="83">
        <f t="shared" si="783"/>
        <v>0</v>
      </c>
      <c r="G245" s="83">
        <f t="shared" si="783"/>
        <v>0</v>
      </c>
      <c r="H245" s="83">
        <f t="shared" si="783"/>
        <v>0</v>
      </c>
      <c r="I245" s="83">
        <f t="shared" si="783"/>
        <v>0</v>
      </c>
      <c r="J245" s="83">
        <f t="shared" si="783"/>
        <v>0</v>
      </c>
      <c r="K245" s="83">
        <f t="shared" si="783"/>
        <v>0</v>
      </c>
      <c r="L245" s="83">
        <f t="shared" si="783"/>
        <v>0</v>
      </c>
      <c r="M245" s="83">
        <f t="shared" si="783"/>
        <v>0</v>
      </c>
      <c r="N245" s="83">
        <f t="shared" si="783"/>
        <v>0</v>
      </c>
      <c r="O245" s="83">
        <f t="shared" si="783"/>
        <v>0</v>
      </c>
      <c r="P245" s="83">
        <f t="shared" si="783"/>
        <v>0</v>
      </c>
      <c r="Q245" s="83">
        <f t="shared" si="783"/>
        <v>0</v>
      </c>
      <c r="R245" s="83">
        <f t="shared" si="783"/>
        <v>0</v>
      </c>
      <c r="S245" s="83">
        <f t="shared" si="783"/>
        <v>0</v>
      </c>
      <c r="T245" s="83">
        <f t="shared" si="783"/>
        <v>0</v>
      </c>
      <c r="U245" s="83">
        <f t="shared" si="783"/>
        <v>0</v>
      </c>
      <c r="V245" s="83">
        <f t="shared" si="783"/>
        <v>0</v>
      </c>
      <c r="W245" s="83">
        <f t="shared" si="783"/>
        <v>0</v>
      </c>
    </row>
    <row r="246" spans="3:23" x14ac:dyDescent="0.25">
      <c r="C246" s="78" t="str">
        <f t="shared" si="780"/>
        <v>CASETA 4</v>
      </c>
      <c r="D246" s="23" t="s">
        <v>18</v>
      </c>
      <c r="E246" s="85">
        <f>SUM(E243:E245)</f>
        <v>0</v>
      </c>
      <c r="F246" s="85">
        <f>SUM(F243:F245)</f>
        <v>0</v>
      </c>
      <c r="G246" s="85">
        <f t="shared" ref="G246:W246" si="784">SUM(G243:G245)</f>
        <v>0</v>
      </c>
      <c r="H246" s="85">
        <f t="shared" si="784"/>
        <v>0</v>
      </c>
      <c r="I246" s="85">
        <f t="shared" si="784"/>
        <v>0</v>
      </c>
      <c r="J246" s="85">
        <f t="shared" si="784"/>
        <v>0</v>
      </c>
      <c r="K246" s="85">
        <f t="shared" si="784"/>
        <v>0</v>
      </c>
      <c r="L246" s="85">
        <f t="shared" si="784"/>
        <v>0</v>
      </c>
      <c r="M246" s="85">
        <f t="shared" si="784"/>
        <v>0</v>
      </c>
      <c r="N246" s="85">
        <f t="shared" si="784"/>
        <v>0</v>
      </c>
      <c r="O246" s="85">
        <f t="shared" si="784"/>
        <v>0</v>
      </c>
      <c r="P246" s="85">
        <f>SUM(P243:P245)</f>
        <v>0</v>
      </c>
      <c r="Q246" s="85">
        <f t="shared" si="784"/>
        <v>0</v>
      </c>
      <c r="R246" s="85">
        <f t="shared" si="784"/>
        <v>0</v>
      </c>
      <c r="S246" s="85">
        <f t="shared" si="784"/>
        <v>0</v>
      </c>
      <c r="T246" s="85">
        <f t="shared" si="784"/>
        <v>0</v>
      </c>
      <c r="U246" s="85">
        <f t="shared" si="784"/>
        <v>0</v>
      </c>
      <c r="V246" s="85">
        <f t="shared" si="784"/>
        <v>0</v>
      </c>
      <c r="W246" s="85">
        <f t="shared" si="784"/>
        <v>0</v>
      </c>
    </row>
    <row r="247" spans="3:23" x14ac:dyDescent="0.25">
      <c r="C247" s="78" t="str">
        <f t="shared" si="780"/>
        <v>CASETA 4</v>
      </c>
      <c r="D247" s="23" t="s">
        <v>48</v>
      </c>
      <c r="E247" s="83">
        <f t="shared" ref="E247:W247" si="785">VLOOKUP(E$168,CST1G1,9,0)</f>
        <v>0</v>
      </c>
      <c r="F247" s="83">
        <f t="shared" si="785"/>
        <v>0</v>
      </c>
      <c r="G247" s="83">
        <f t="shared" si="785"/>
        <v>0</v>
      </c>
      <c r="H247" s="83">
        <f t="shared" si="785"/>
        <v>0</v>
      </c>
      <c r="I247" s="83">
        <f t="shared" si="785"/>
        <v>0</v>
      </c>
      <c r="J247" s="83">
        <f t="shared" si="785"/>
        <v>0</v>
      </c>
      <c r="K247" s="83">
        <f t="shared" si="785"/>
        <v>0</v>
      </c>
      <c r="L247" s="83">
        <f t="shared" si="785"/>
        <v>0</v>
      </c>
      <c r="M247" s="83">
        <f t="shared" si="785"/>
        <v>0</v>
      </c>
      <c r="N247" s="83">
        <f t="shared" si="785"/>
        <v>0</v>
      </c>
      <c r="O247" s="83">
        <f t="shared" si="785"/>
        <v>0</v>
      </c>
      <c r="P247" s="83">
        <f>VLOOKUP(P$168,CST1G1,9,0)</f>
        <v>0</v>
      </c>
      <c r="Q247" s="83">
        <f t="shared" si="785"/>
        <v>0</v>
      </c>
      <c r="R247" s="83">
        <f t="shared" si="785"/>
        <v>0</v>
      </c>
      <c r="S247" s="83">
        <f t="shared" si="785"/>
        <v>0</v>
      </c>
      <c r="T247" s="83">
        <f t="shared" si="785"/>
        <v>0</v>
      </c>
      <c r="U247" s="83">
        <f t="shared" si="785"/>
        <v>0</v>
      </c>
      <c r="V247" s="83">
        <f t="shared" si="785"/>
        <v>0</v>
      </c>
      <c r="W247" s="83">
        <f t="shared" si="785"/>
        <v>0</v>
      </c>
    </row>
    <row r="248" spans="3:23" x14ac:dyDescent="0.25">
      <c r="C248" s="78" t="str">
        <f t="shared" si="780"/>
        <v>CASETA 4</v>
      </c>
      <c r="D248" s="86" t="s">
        <v>72</v>
      </c>
      <c r="E248" s="83">
        <f t="shared" ref="E248:W248" si="786">VLOOKUP(E$168,CST1G1,10,0)</f>
        <v>0.7</v>
      </c>
      <c r="F248" s="83">
        <f t="shared" si="786"/>
        <v>0.7</v>
      </c>
      <c r="G248" s="83">
        <f t="shared" si="786"/>
        <v>0.7</v>
      </c>
      <c r="H248" s="83">
        <f t="shared" si="786"/>
        <v>0.5</v>
      </c>
      <c r="I248" s="83">
        <f t="shared" si="786"/>
        <v>0.3</v>
      </c>
      <c r="J248" s="83">
        <f t="shared" si="786"/>
        <v>0.18</v>
      </c>
      <c r="K248" s="83">
        <f t="shared" si="786"/>
        <v>0.18</v>
      </c>
      <c r="L248" s="83">
        <f t="shared" si="786"/>
        <v>0.16</v>
      </c>
      <c r="M248" s="83">
        <f t="shared" si="786"/>
        <v>0.16</v>
      </c>
      <c r="N248" s="83">
        <f t="shared" si="786"/>
        <v>0.16</v>
      </c>
      <c r="O248" s="83">
        <f t="shared" si="786"/>
        <v>0.16</v>
      </c>
      <c r="P248" s="83">
        <f>VLOOKUP(P$168,CST1G1,10,0)</f>
        <v>0.16</v>
      </c>
      <c r="Q248" s="83">
        <f t="shared" si="786"/>
        <v>0.16</v>
      </c>
      <c r="R248" s="83">
        <f t="shared" si="786"/>
        <v>0.16</v>
      </c>
      <c r="S248" s="83">
        <f t="shared" si="786"/>
        <v>0.16</v>
      </c>
      <c r="T248" s="83">
        <f t="shared" si="786"/>
        <v>0.16</v>
      </c>
      <c r="U248" s="83">
        <f t="shared" si="786"/>
        <v>0.16</v>
      </c>
      <c r="V248" s="83">
        <f t="shared" si="786"/>
        <v>0.16</v>
      </c>
      <c r="W248" s="83">
        <f t="shared" si="786"/>
        <v>0.16</v>
      </c>
    </row>
    <row r="249" spans="3:23" x14ac:dyDescent="0.25">
      <c r="C249" s="78" t="str">
        <f t="shared" si="780"/>
        <v>CASETA 4</v>
      </c>
      <c r="D249" s="86" t="s">
        <v>74</v>
      </c>
      <c r="E249" s="83">
        <f t="shared" ref="E249:W249" si="787">VLOOKUP(E$168,CST1G1,11,0)</f>
        <v>0</v>
      </c>
      <c r="F249" s="83">
        <f t="shared" si="787"/>
        <v>0</v>
      </c>
      <c r="G249" s="83">
        <f t="shared" si="787"/>
        <v>0</v>
      </c>
      <c r="H249" s="83">
        <f t="shared" si="787"/>
        <v>0</v>
      </c>
      <c r="I249" s="83">
        <f t="shared" si="787"/>
        <v>0</v>
      </c>
      <c r="J249" s="83">
        <f t="shared" si="787"/>
        <v>0</v>
      </c>
      <c r="K249" s="83">
        <f t="shared" si="787"/>
        <v>0</v>
      </c>
      <c r="L249" s="83">
        <f t="shared" si="787"/>
        <v>0</v>
      </c>
      <c r="M249" s="83">
        <f t="shared" si="787"/>
        <v>0</v>
      </c>
      <c r="N249" s="83">
        <f t="shared" si="787"/>
        <v>0</v>
      </c>
      <c r="O249" s="83">
        <f t="shared" si="787"/>
        <v>0</v>
      </c>
      <c r="P249" s="83">
        <f>VLOOKUP(P$168,CST1G1,11,0)</f>
        <v>0</v>
      </c>
      <c r="Q249" s="83">
        <f t="shared" si="787"/>
        <v>0</v>
      </c>
      <c r="R249" s="83">
        <f t="shared" si="787"/>
        <v>0</v>
      </c>
      <c r="S249" s="83">
        <f t="shared" si="787"/>
        <v>0</v>
      </c>
      <c r="T249" s="83">
        <f t="shared" si="787"/>
        <v>0</v>
      </c>
      <c r="U249" s="83">
        <f t="shared" si="787"/>
        <v>0</v>
      </c>
      <c r="V249" s="83">
        <f t="shared" si="787"/>
        <v>0</v>
      </c>
      <c r="W249" s="83">
        <f t="shared" si="787"/>
        <v>0</v>
      </c>
    </row>
    <row r="250" spans="3:23" ht="25.5" x14ac:dyDescent="0.25">
      <c r="C250" s="78" t="str">
        <f t="shared" si="780"/>
        <v>CASETA 4</v>
      </c>
      <c r="D250" s="87" t="s">
        <v>49</v>
      </c>
      <c r="E250" s="83">
        <f t="shared" ref="E250:W250" si="788">VLOOKUP(E$168,CST1G1,12,0)</f>
        <v>0.7</v>
      </c>
      <c r="F250" s="83">
        <f t="shared" si="788"/>
        <v>0.7</v>
      </c>
      <c r="G250" s="83">
        <f t="shared" si="788"/>
        <v>1.4</v>
      </c>
      <c r="H250" s="83">
        <f t="shared" si="788"/>
        <v>1.9</v>
      </c>
      <c r="I250" s="83">
        <f t="shared" si="788"/>
        <v>2.1999999999999997</v>
      </c>
      <c r="J250" s="83">
        <f t="shared" si="788"/>
        <v>2.38</v>
      </c>
      <c r="K250" s="83">
        <f t="shared" si="788"/>
        <v>2.56</v>
      </c>
      <c r="L250" s="83">
        <f t="shared" si="788"/>
        <v>2.72</v>
      </c>
      <c r="M250" s="83">
        <f t="shared" si="788"/>
        <v>2.8800000000000003</v>
      </c>
      <c r="N250" s="83">
        <f t="shared" si="788"/>
        <v>3.0400000000000005</v>
      </c>
      <c r="O250" s="83">
        <f t="shared" si="788"/>
        <v>3.2000000000000006</v>
      </c>
      <c r="P250" s="83">
        <f>VLOOKUP(P$168,CST1G1,12,0)</f>
        <v>3.3600000000000008</v>
      </c>
      <c r="Q250" s="83">
        <f t="shared" si="788"/>
        <v>3.5200000000000009</v>
      </c>
      <c r="R250" s="83">
        <f t="shared" si="788"/>
        <v>3.680000000000001</v>
      </c>
      <c r="S250" s="83">
        <f t="shared" si="788"/>
        <v>3.8400000000000012</v>
      </c>
      <c r="T250" s="83">
        <f t="shared" si="788"/>
        <v>4.0000000000000009</v>
      </c>
      <c r="U250" s="83">
        <f t="shared" si="788"/>
        <v>4.160000000000001</v>
      </c>
      <c r="V250" s="83">
        <f t="shared" si="788"/>
        <v>4.3200000000000012</v>
      </c>
      <c r="W250" s="83">
        <f t="shared" si="788"/>
        <v>4.4800000000000013</v>
      </c>
    </row>
    <row r="251" spans="3:23" ht="25.5" x14ac:dyDescent="0.25">
      <c r="C251" s="78" t="str">
        <f t="shared" si="780"/>
        <v>CASETA 4</v>
      </c>
      <c r="D251" s="87" t="s">
        <v>73</v>
      </c>
      <c r="E251" s="83">
        <f t="shared" ref="E251:W251" si="789">VLOOKUP(E$168,CST1G1,13,0)</f>
        <v>0</v>
      </c>
      <c r="F251" s="83">
        <f t="shared" si="789"/>
        <v>0</v>
      </c>
      <c r="G251" s="83">
        <f t="shared" si="789"/>
        <v>0</v>
      </c>
      <c r="H251" s="83">
        <f t="shared" si="789"/>
        <v>0</v>
      </c>
      <c r="I251" s="83">
        <f t="shared" si="789"/>
        <v>0</v>
      </c>
      <c r="J251" s="83">
        <f t="shared" si="789"/>
        <v>0</v>
      </c>
      <c r="K251" s="83">
        <f t="shared" si="789"/>
        <v>0</v>
      </c>
      <c r="L251" s="83">
        <f t="shared" si="789"/>
        <v>0</v>
      </c>
      <c r="M251" s="83">
        <f t="shared" si="789"/>
        <v>0</v>
      </c>
      <c r="N251" s="83">
        <f t="shared" si="789"/>
        <v>0</v>
      </c>
      <c r="O251" s="83">
        <f t="shared" si="789"/>
        <v>0</v>
      </c>
      <c r="P251" s="83">
        <f>VLOOKUP(P$168,CST1G1,13,0)</f>
        <v>0</v>
      </c>
      <c r="Q251" s="83">
        <f t="shared" si="789"/>
        <v>0</v>
      </c>
      <c r="R251" s="83">
        <f t="shared" si="789"/>
        <v>0</v>
      </c>
      <c r="S251" s="83">
        <f t="shared" si="789"/>
        <v>0</v>
      </c>
      <c r="T251" s="83">
        <f t="shared" si="789"/>
        <v>0</v>
      </c>
      <c r="U251" s="83">
        <f t="shared" si="789"/>
        <v>0</v>
      </c>
      <c r="V251" s="83">
        <f t="shared" si="789"/>
        <v>0</v>
      </c>
      <c r="W251" s="83">
        <f t="shared" si="789"/>
        <v>0</v>
      </c>
    </row>
    <row r="252" spans="3:23" x14ac:dyDescent="0.25">
      <c r="C252" s="78" t="str">
        <f t="shared" si="780"/>
        <v>CASETA 4</v>
      </c>
      <c r="D252" s="23" t="s">
        <v>9</v>
      </c>
      <c r="E252" s="83">
        <f t="shared" ref="E252:W252" si="790">VLOOKUP(E$168,CST1G1,14,0)</f>
        <v>0</v>
      </c>
      <c r="F252" s="83">
        <f t="shared" si="790"/>
        <v>0</v>
      </c>
      <c r="G252" s="83">
        <f t="shared" si="790"/>
        <v>0</v>
      </c>
      <c r="H252" s="83">
        <f t="shared" si="790"/>
        <v>0</v>
      </c>
      <c r="I252" s="83">
        <f t="shared" si="790"/>
        <v>0</v>
      </c>
      <c r="J252" s="83">
        <f t="shared" si="790"/>
        <v>0</v>
      </c>
      <c r="K252" s="83">
        <f t="shared" si="790"/>
        <v>0</v>
      </c>
      <c r="L252" s="83">
        <f t="shared" si="790"/>
        <v>0</v>
      </c>
      <c r="M252" s="83">
        <f t="shared" si="790"/>
        <v>0</v>
      </c>
      <c r="N252" s="83">
        <f t="shared" si="790"/>
        <v>0</v>
      </c>
      <c r="O252" s="83">
        <f t="shared" si="790"/>
        <v>0</v>
      </c>
      <c r="P252" s="83">
        <f>VLOOKUP(P$168,CST1G1,14,0)</f>
        <v>0</v>
      </c>
      <c r="Q252" s="83">
        <f t="shared" si="790"/>
        <v>0</v>
      </c>
      <c r="R252" s="83">
        <f t="shared" si="790"/>
        <v>0</v>
      </c>
      <c r="S252" s="83">
        <f t="shared" si="790"/>
        <v>0</v>
      </c>
      <c r="T252" s="83">
        <f t="shared" si="790"/>
        <v>0</v>
      </c>
      <c r="U252" s="83">
        <f t="shared" si="790"/>
        <v>0</v>
      </c>
      <c r="V252" s="83">
        <f t="shared" si="790"/>
        <v>0</v>
      </c>
      <c r="W252" s="83">
        <f t="shared" si="790"/>
        <v>0</v>
      </c>
    </row>
    <row r="253" spans="3:23" ht="25.5" x14ac:dyDescent="0.25">
      <c r="C253" s="78" t="str">
        <f t="shared" si="780"/>
        <v>CASETA 4</v>
      </c>
      <c r="D253" s="86" t="s">
        <v>75</v>
      </c>
      <c r="E253" s="83">
        <f t="shared" ref="E253:W253" si="791">VLOOKUP(E$168,CST1G1,15,0)</f>
        <v>10</v>
      </c>
      <c r="F253" s="83">
        <f t="shared" si="791"/>
        <v>10</v>
      </c>
      <c r="G253" s="83">
        <f t="shared" si="791"/>
        <v>17</v>
      </c>
      <c r="H253" s="83">
        <f t="shared" si="791"/>
        <v>23</v>
      </c>
      <c r="I253" s="83">
        <f t="shared" si="791"/>
        <v>29</v>
      </c>
      <c r="J253" s="83">
        <f t="shared" si="791"/>
        <v>34</v>
      </c>
      <c r="K253" s="83">
        <f t="shared" si="791"/>
        <v>38</v>
      </c>
      <c r="L253" s="83">
        <f t="shared" si="791"/>
        <v>42</v>
      </c>
      <c r="M253" s="83">
        <f t="shared" si="791"/>
        <v>46</v>
      </c>
      <c r="N253" s="83">
        <f t="shared" si="791"/>
        <v>49</v>
      </c>
      <c r="O253" s="83">
        <f t="shared" si="791"/>
        <v>52</v>
      </c>
      <c r="P253" s="83">
        <f>VLOOKUP(P$168,CST1G1,15,0)</f>
        <v>55</v>
      </c>
      <c r="Q253" s="83">
        <f t="shared" si="791"/>
        <v>58</v>
      </c>
      <c r="R253" s="83">
        <f t="shared" si="791"/>
        <v>61</v>
      </c>
      <c r="S253" s="83">
        <f t="shared" si="791"/>
        <v>64</v>
      </c>
      <c r="T253" s="83">
        <f t="shared" si="791"/>
        <v>67</v>
      </c>
      <c r="U253" s="83">
        <f t="shared" si="791"/>
        <v>71</v>
      </c>
      <c r="V253" s="83">
        <f t="shared" si="791"/>
        <v>75</v>
      </c>
      <c r="W253" s="83">
        <f t="shared" si="791"/>
        <v>79</v>
      </c>
    </row>
    <row r="254" spans="3:23" ht="25.5" x14ac:dyDescent="0.25">
      <c r="C254" s="78" t="str">
        <f t="shared" si="780"/>
        <v>CASETA 4</v>
      </c>
      <c r="D254" s="86" t="s">
        <v>62</v>
      </c>
      <c r="E254" s="83">
        <f t="shared" ref="E254:W254" si="792">VLOOKUP(E$168,CST1G1,16,0)</f>
        <v>0</v>
      </c>
      <c r="F254" s="83">
        <f t="shared" si="792"/>
        <v>0</v>
      </c>
      <c r="G254" s="83">
        <f t="shared" si="792"/>
        <v>0</v>
      </c>
      <c r="H254" s="83">
        <f t="shared" si="792"/>
        <v>0</v>
      </c>
      <c r="I254" s="83">
        <f t="shared" si="792"/>
        <v>0</v>
      </c>
      <c r="J254" s="83">
        <f t="shared" si="792"/>
        <v>0</v>
      </c>
      <c r="K254" s="83">
        <f t="shared" si="792"/>
        <v>0</v>
      </c>
      <c r="L254" s="83">
        <f t="shared" si="792"/>
        <v>0</v>
      </c>
      <c r="M254" s="83">
        <f t="shared" si="792"/>
        <v>0</v>
      </c>
      <c r="N254" s="83">
        <f t="shared" si="792"/>
        <v>0</v>
      </c>
      <c r="O254" s="83">
        <f t="shared" si="792"/>
        <v>0</v>
      </c>
      <c r="P254" s="83">
        <f>VLOOKUP(P$168,CST1G1,16,0)</f>
        <v>0</v>
      </c>
      <c r="Q254" s="83">
        <f>VLOOKUP(Q$168,CST1G1,16,0)</f>
        <v>0</v>
      </c>
      <c r="R254" s="83">
        <f t="shared" si="792"/>
        <v>0</v>
      </c>
      <c r="S254" s="83">
        <f t="shared" si="792"/>
        <v>0</v>
      </c>
      <c r="T254" s="83">
        <f t="shared" si="792"/>
        <v>0</v>
      </c>
      <c r="U254" s="83">
        <f t="shared" si="792"/>
        <v>0</v>
      </c>
      <c r="V254" s="83">
        <f t="shared" si="792"/>
        <v>0</v>
      </c>
      <c r="W254" s="83">
        <f t="shared" si="792"/>
        <v>0</v>
      </c>
    </row>
    <row r="255" spans="3:23" ht="25.5" x14ac:dyDescent="0.25">
      <c r="C255" s="78" t="str">
        <f t="shared" si="780"/>
        <v>CASETA 4</v>
      </c>
      <c r="D255" s="24" t="s">
        <v>50</v>
      </c>
      <c r="E255" s="83">
        <f t="shared" ref="E255:W255" si="793">VLOOKUP(E$168,CST1G1,17,0)</f>
        <v>0</v>
      </c>
      <c r="F255" s="83">
        <f t="shared" si="793"/>
        <v>0</v>
      </c>
      <c r="G255" s="83">
        <f t="shared" si="793"/>
        <v>0</v>
      </c>
      <c r="H255" s="83">
        <f t="shared" si="793"/>
        <v>0</v>
      </c>
      <c r="I255" s="83">
        <f t="shared" si="793"/>
        <v>0</v>
      </c>
      <c r="J255" s="83">
        <f t="shared" si="793"/>
        <v>0</v>
      </c>
      <c r="K255" s="83">
        <f t="shared" si="793"/>
        <v>0</v>
      </c>
      <c r="L255" s="83">
        <f t="shared" si="793"/>
        <v>0</v>
      </c>
      <c r="M255" s="83">
        <f t="shared" si="793"/>
        <v>0</v>
      </c>
      <c r="N255" s="83">
        <f t="shared" si="793"/>
        <v>0</v>
      </c>
      <c r="O255" s="83">
        <f t="shared" si="793"/>
        <v>0</v>
      </c>
      <c r="P255" s="83">
        <f>VLOOKUP(P$168,CST1G1,17,0)</f>
        <v>0</v>
      </c>
      <c r="Q255" s="83">
        <f t="shared" si="793"/>
        <v>0</v>
      </c>
      <c r="R255" s="83">
        <f t="shared" si="793"/>
        <v>0</v>
      </c>
      <c r="S255" s="83">
        <f t="shared" si="793"/>
        <v>0</v>
      </c>
      <c r="T255" s="83">
        <f t="shared" si="793"/>
        <v>0</v>
      </c>
      <c r="U255" s="83">
        <f t="shared" si="793"/>
        <v>0</v>
      </c>
      <c r="V255" s="83">
        <f t="shared" si="793"/>
        <v>0</v>
      </c>
      <c r="W255" s="83">
        <f t="shared" si="793"/>
        <v>0</v>
      </c>
    </row>
    <row r="256" spans="3:23" x14ac:dyDescent="0.25">
      <c r="C256" s="78" t="str">
        <f t="shared" si="780"/>
        <v>CASETA 4</v>
      </c>
      <c r="D256" s="86" t="s">
        <v>63</v>
      </c>
      <c r="E256" s="83">
        <f t="shared" ref="E256:W256" si="794">VLOOKUP(E$168,CST1G1,18,0)</f>
        <v>40</v>
      </c>
      <c r="F256" s="83">
        <f t="shared" si="794"/>
        <v>70</v>
      </c>
      <c r="G256" s="83">
        <f t="shared" si="794"/>
        <v>120</v>
      </c>
      <c r="H256" s="83">
        <f t="shared" si="794"/>
        <v>185</v>
      </c>
      <c r="I256" s="83">
        <f t="shared" si="794"/>
        <v>255</v>
      </c>
      <c r="J256" s="83">
        <f t="shared" si="794"/>
        <v>334</v>
      </c>
      <c r="K256" s="83">
        <f t="shared" si="794"/>
        <v>425</v>
      </c>
      <c r="L256" s="83">
        <f t="shared" si="794"/>
        <v>524</v>
      </c>
      <c r="M256" s="83">
        <f t="shared" si="794"/>
        <v>618</v>
      </c>
      <c r="N256" s="83">
        <f t="shared" si="794"/>
        <v>712</v>
      </c>
      <c r="O256" s="83">
        <f t="shared" si="794"/>
        <v>802</v>
      </c>
      <c r="P256" s="83">
        <f t="shared" si="794"/>
        <v>880</v>
      </c>
      <c r="Q256" s="83">
        <f t="shared" si="794"/>
        <v>950</v>
      </c>
      <c r="R256" s="83">
        <f t="shared" si="794"/>
        <v>1010</v>
      </c>
      <c r="S256" s="83">
        <f t="shared" si="794"/>
        <v>1065</v>
      </c>
      <c r="T256" s="83">
        <f t="shared" si="794"/>
        <v>1115</v>
      </c>
      <c r="U256" s="83">
        <f t="shared" si="794"/>
        <v>1160</v>
      </c>
      <c r="V256" s="83">
        <f t="shared" si="794"/>
        <v>1207</v>
      </c>
      <c r="W256" s="83">
        <f t="shared" si="794"/>
        <v>1257</v>
      </c>
    </row>
    <row r="257" spans="3:23" x14ac:dyDescent="0.25">
      <c r="C257" s="78" t="str">
        <f t="shared" si="780"/>
        <v>CASETA 4</v>
      </c>
      <c r="D257" s="86" t="s">
        <v>64</v>
      </c>
      <c r="E257" s="83">
        <f t="shared" ref="E257:W257" si="795">VLOOKUP(E$168,CST1G1,19,0)</f>
        <v>0</v>
      </c>
      <c r="F257" s="83">
        <f t="shared" si="795"/>
        <v>0</v>
      </c>
      <c r="G257" s="83">
        <f t="shared" si="795"/>
        <v>0</v>
      </c>
      <c r="H257" s="83">
        <f t="shared" si="795"/>
        <v>0</v>
      </c>
      <c r="I257" s="83">
        <f t="shared" si="795"/>
        <v>0</v>
      </c>
      <c r="J257" s="83">
        <f t="shared" si="795"/>
        <v>0</v>
      </c>
      <c r="K257" s="83">
        <f t="shared" si="795"/>
        <v>0</v>
      </c>
      <c r="L257" s="83">
        <f t="shared" si="795"/>
        <v>0</v>
      </c>
      <c r="M257" s="83">
        <f t="shared" si="795"/>
        <v>0</v>
      </c>
      <c r="N257" s="83">
        <f t="shared" si="795"/>
        <v>0</v>
      </c>
      <c r="O257" s="83">
        <f t="shared" si="795"/>
        <v>0</v>
      </c>
      <c r="P257" s="83">
        <f>VLOOKUP(P$168,CST1G1,19,0)</f>
        <v>0</v>
      </c>
      <c r="Q257" s="83">
        <f>VLOOKUP(Q$168,CST1G1,19,0)</f>
        <v>0</v>
      </c>
      <c r="R257" s="83">
        <f t="shared" si="795"/>
        <v>0</v>
      </c>
      <c r="S257" s="83">
        <f t="shared" si="795"/>
        <v>0</v>
      </c>
      <c r="T257" s="83">
        <f t="shared" si="795"/>
        <v>0</v>
      </c>
      <c r="U257" s="83">
        <f t="shared" si="795"/>
        <v>0</v>
      </c>
      <c r="V257" s="83">
        <f t="shared" si="795"/>
        <v>0</v>
      </c>
      <c r="W257" s="83">
        <f t="shared" si="795"/>
        <v>0</v>
      </c>
    </row>
    <row r="258" spans="3:23" x14ac:dyDescent="0.25">
      <c r="C258" s="78" t="str">
        <f t="shared" si="780"/>
        <v>CASETA 4</v>
      </c>
      <c r="D258" s="23" t="s">
        <v>15</v>
      </c>
      <c r="E258" s="83">
        <f>E256-E257</f>
        <v>40</v>
      </c>
      <c r="F258" s="83">
        <f t="shared" ref="F258:W258" si="796">F256-F257</f>
        <v>70</v>
      </c>
      <c r="G258" s="83">
        <f t="shared" si="796"/>
        <v>120</v>
      </c>
      <c r="H258" s="83">
        <f t="shared" si="796"/>
        <v>185</v>
      </c>
      <c r="I258" s="83">
        <f t="shared" si="796"/>
        <v>255</v>
      </c>
      <c r="J258" s="83">
        <f t="shared" si="796"/>
        <v>334</v>
      </c>
      <c r="K258" s="83">
        <f t="shared" si="796"/>
        <v>425</v>
      </c>
      <c r="L258" s="83">
        <f t="shared" si="796"/>
        <v>524</v>
      </c>
      <c r="M258" s="83">
        <f t="shared" si="796"/>
        <v>618</v>
      </c>
      <c r="N258" s="83">
        <f t="shared" si="796"/>
        <v>712</v>
      </c>
      <c r="O258" s="83">
        <f t="shared" si="796"/>
        <v>802</v>
      </c>
      <c r="P258" s="83">
        <f t="shared" si="796"/>
        <v>880</v>
      </c>
      <c r="Q258" s="83">
        <f t="shared" si="796"/>
        <v>950</v>
      </c>
      <c r="R258" s="83">
        <f t="shared" si="796"/>
        <v>1010</v>
      </c>
      <c r="S258" s="83">
        <f t="shared" si="796"/>
        <v>1065</v>
      </c>
      <c r="T258" s="83">
        <f t="shared" si="796"/>
        <v>1115</v>
      </c>
      <c r="U258" s="83">
        <f t="shared" si="796"/>
        <v>1160</v>
      </c>
      <c r="V258" s="83">
        <f t="shared" si="796"/>
        <v>1207</v>
      </c>
      <c r="W258" s="83">
        <f t="shared" si="796"/>
        <v>1257</v>
      </c>
    </row>
    <row r="259" spans="3:23" ht="25.5" x14ac:dyDescent="0.25">
      <c r="C259" s="78" t="str">
        <f t="shared" si="780"/>
        <v>CASETA 4</v>
      </c>
      <c r="D259" s="86" t="s">
        <v>65</v>
      </c>
      <c r="E259" s="83">
        <f t="shared" ref="E259:W259" si="797">VLOOKUP(E$168,CST1G1,21,0)</f>
        <v>77</v>
      </c>
      <c r="F259" s="83">
        <f t="shared" si="797"/>
        <v>77</v>
      </c>
      <c r="G259" s="83">
        <f t="shared" si="797"/>
        <v>77</v>
      </c>
      <c r="H259" s="83">
        <f t="shared" si="797"/>
        <v>77</v>
      </c>
      <c r="I259" s="83">
        <f t="shared" si="797"/>
        <v>79</v>
      </c>
      <c r="J259" s="83">
        <f t="shared" si="797"/>
        <v>79</v>
      </c>
      <c r="K259" s="83">
        <f t="shared" si="797"/>
        <v>79</v>
      </c>
      <c r="L259" s="83">
        <f t="shared" si="797"/>
        <v>79</v>
      </c>
      <c r="M259" s="83">
        <f t="shared" si="797"/>
        <v>79</v>
      </c>
      <c r="N259" s="83">
        <f t="shared" si="797"/>
        <v>79</v>
      </c>
      <c r="O259" s="83">
        <f t="shared" si="797"/>
        <v>80</v>
      </c>
      <c r="P259" s="83">
        <f t="shared" si="797"/>
        <v>80</v>
      </c>
      <c r="Q259" s="83">
        <f t="shared" si="797"/>
        <v>82</v>
      </c>
      <c r="R259" s="83">
        <f t="shared" si="797"/>
        <v>82</v>
      </c>
      <c r="S259" s="83">
        <f t="shared" si="797"/>
        <v>84</v>
      </c>
      <c r="T259" s="83">
        <f t="shared" si="797"/>
        <v>86</v>
      </c>
      <c r="U259" s="83">
        <f t="shared" si="797"/>
        <v>86</v>
      </c>
      <c r="V259" s="83">
        <f t="shared" si="797"/>
        <v>86</v>
      </c>
      <c r="W259" s="83">
        <f t="shared" si="797"/>
        <v>86</v>
      </c>
    </row>
    <row r="260" spans="3:23" ht="25.5" x14ac:dyDescent="0.25">
      <c r="C260" s="78" t="str">
        <f t="shared" si="780"/>
        <v>CASETA 4</v>
      </c>
      <c r="D260" s="86" t="s">
        <v>66</v>
      </c>
      <c r="E260" s="83">
        <f t="shared" ref="E260:W260" si="798">VLOOKUP(E$168,CST1G1,22,0)</f>
        <v>0</v>
      </c>
      <c r="F260" s="83">
        <f t="shared" si="798"/>
        <v>0</v>
      </c>
      <c r="G260" s="83">
        <f t="shared" si="798"/>
        <v>0</v>
      </c>
      <c r="H260" s="83">
        <f t="shared" si="798"/>
        <v>0</v>
      </c>
      <c r="I260" s="83">
        <f t="shared" si="798"/>
        <v>0</v>
      </c>
      <c r="J260" s="83">
        <f t="shared" si="798"/>
        <v>0</v>
      </c>
      <c r="K260" s="83">
        <f t="shared" si="798"/>
        <v>0</v>
      </c>
      <c r="L260" s="83">
        <f t="shared" si="798"/>
        <v>0</v>
      </c>
      <c r="M260" s="83">
        <f t="shared" si="798"/>
        <v>0</v>
      </c>
      <c r="N260" s="83">
        <f t="shared" si="798"/>
        <v>0</v>
      </c>
      <c r="O260" s="83">
        <f t="shared" si="798"/>
        <v>0</v>
      </c>
      <c r="P260" s="83">
        <f t="shared" si="798"/>
        <v>0</v>
      </c>
      <c r="Q260" s="83">
        <f t="shared" si="798"/>
        <v>0</v>
      </c>
      <c r="R260" s="83">
        <f t="shared" si="798"/>
        <v>0</v>
      </c>
      <c r="S260" s="83">
        <f t="shared" si="798"/>
        <v>0</v>
      </c>
      <c r="T260" s="83">
        <f t="shared" si="798"/>
        <v>0</v>
      </c>
      <c r="U260" s="83">
        <f t="shared" si="798"/>
        <v>0</v>
      </c>
      <c r="V260" s="83">
        <f t="shared" si="798"/>
        <v>0</v>
      </c>
      <c r="W260" s="83">
        <f t="shared" si="798"/>
        <v>0</v>
      </c>
    </row>
    <row r="261" spans="3:23" x14ac:dyDescent="0.25">
      <c r="C261" s="78" t="str">
        <f>C260</f>
        <v>CASETA 4</v>
      </c>
      <c r="D261" s="23" t="s">
        <v>15</v>
      </c>
      <c r="E261" s="85">
        <f>E259-E260</f>
        <v>77</v>
      </c>
      <c r="F261" s="85">
        <f t="shared" ref="F261:W261" si="799">F259-F260</f>
        <v>77</v>
      </c>
      <c r="G261" s="85">
        <f t="shared" si="799"/>
        <v>77</v>
      </c>
      <c r="H261" s="85">
        <f t="shared" si="799"/>
        <v>77</v>
      </c>
      <c r="I261" s="85">
        <f t="shared" si="799"/>
        <v>79</v>
      </c>
      <c r="J261" s="85">
        <f t="shared" si="799"/>
        <v>79</v>
      </c>
      <c r="K261" s="85">
        <f t="shared" si="799"/>
        <v>79</v>
      </c>
      <c r="L261" s="85">
        <f t="shared" si="799"/>
        <v>79</v>
      </c>
      <c r="M261" s="85">
        <f t="shared" si="799"/>
        <v>79</v>
      </c>
      <c r="N261" s="85">
        <f t="shared" si="799"/>
        <v>79</v>
      </c>
      <c r="O261" s="85">
        <f t="shared" si="799"/>
        <v>80</v>
      </c>
      <c r="P261" s="85">
        <f t="shared" si="799"/>
        <v>80</v>
      </c>
      <c r="Q261" s="85">
        <f t="shared" si="799"/>
        <v>82</v>
      </c>
      <c r="R261" s="85">
        <f t="shared" si="799"/>
        <v>82</v>
      </c>
      <c r="S261" s="85">
        <f t="shared" si="799"/>
        <v>84</v>
      </c>
      <c r="T261" s="85">
        <f t="shared" si="799"/>
        <v>86</v>
      </c>
      <c r="U261" s="85">
        <f t="shared" si="799"/>
        <v>86</v>
      </c>
      <c r="V261" s="85">
        <f t="shared" si="799"/>
        <v>86</v>
      </c>
      <c r="W261" s="85">
        <f t="shared" si="799"/>
        <v>86</v>
      </c>
    </row>
    <row r="262" spans="3:23" x14ac:dyDescent="0.25">
      <c r="C262" s="78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</row>
    <row r="263" spans="3:23" x14ac:dyDescent="0.25">
      <c r="C263" s="78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</row>
    <row r="264" spans="3:23" x14ac:dyDescent="0.25">
      <c r="C264" s="78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</row>
    <row r="265" spans="3:23" ht="25.5" x14ac:dyDescent="0.25">
      <c r="C265" s="77" t="s">
        <v>56</v>
      </c>
      <c r="D265" s="24" t="s">
        <v>67</v>
      </c>
      <c r="E265" s="83">
        <f t="shared" ref="E265:W265" si="800">VLOOKUP(E$168,CST2G1,3,0)</f>
        <v>0</v>
      </c>
      <c r="F265" s="83">
        <f t="shared" si="800"/>
        <v>0</v>
      </c>
      <c r="G265" s="83">
        <f t="shared" si="800"/>
        <v>0</v>
      </c>
      <c r="H265" s="83">
        <f t="shared" si="800"/>
        <v>0</v>
      </c>
      <c r="I265" s="83">
        <f t="shared" si="800"/>
        <v>0</v>
      </c>
      <c r="J265" s="83">
        <f t="shared" si="800"/>
        <v>0</v>
      </c>
      <c r="K265" s="83">
        <f t="shared" si="800"/>
        <v>0</v>
      </c>
      <c r="L265" s="83">
        <f t="shared" si="800"/>
        <v>0</v>
      </c>
      <c r="M265" s="83">
        <f t="shared" si="800"/>
        <v>0</v>
      </c>
      <c r="N265" s="83">
        <f t="shared" si="800"/>
        <v>0</v>
      </c>
      <c r="O265" s="83">
        <f t="shared" si="800"/>
        <v>0</v>
      </c>
      <c r="P265" s="83">
        <f t="shared" si="800"/>
        <v>0</v>
      </c>
      <c r="Q265" s="83">
        <f t="shared" si="800"/>
        <v>0</v>
      </c>
      <c r="R265" s="83">
        <f t="shared" si="800"/>
        <v>0</v>
      </c>
      <c r="S265" s="83">
        <f t="shared" si="800"/>
        <v>0</v>
      </c>
      <c r="T265" s="83">
        <f t="shared" si="800"/>
        <v>0</v>
      </c>
      <c r="U265" s="83">
        <f t="shared" si="800"/>
        <v>0</v>
      </c>
      <c r="V265" s="83">
        <f t="shared" si="800"/>
        <v>0</v>
      </c>
      <c r="W265" s="83">
        <f t="shared" si="800"/>
        <v>0</v>
      </c>
    </row>
    <row r="266" spans="3:23" x14ac:dyDescent="0.25">
      <c r="C266" s="78" t="str">
        <f>C265</f>
        <v>CASETA 5</v>
      </c>
      <c r="D266" s="24" t="s">
        <v>34</v>
      </c>
      <c r="E266" s="83">
        <f t="shared" ref="E266:W266" si="801">VLOOKUP(E$168,CST2G1,4,0)</f>
        <v>0</v>
      </c>
      <c r="F266" s="83">
        <f t="shared" si="801"/>
        <v>0</v>
      </c>
      <c r="G266" s="83">
        <f t="shared" si="801"/>
        <v>0</v>
      </c>
      <c r="H266" s="83">
        <f t="shared" si="801"/>
        <v>0</v>
      </c>
      <c r="I266" s="83">
        <f t="shared" si="801"/>
        <v>0</v>
      </c>
      <c r="J266" s="83">
        <f t="shared" si="801"/>
        <v>0</v>
      </c>
      <c r="K266" s="83">
        <f t="shared" si="801"/>
        <v>0</v>
      </c>
      <c r="L266" s="83">
        <f t="shared" si="801"/>
        <v>0</v>
      </c>
      <c r="M266" s="83">
        <f t="shared" si="801"/>
        <v>0</v>
      </c>
      <c r="N266" s="83">
        <f t="shared" si="801"/>
        <v>0</v>
      </c>
      <c r="O266" s="83">
        <f t="shared" si="801"/>
        <v>0</v>
      </c>
      <c r="P266" s="83">
        <f t="shared" si="801"/>
        <v>0</v>
      </c>
      <c r="Q266" s="83">
        <f t="shared" si="801"/>
        <v>0</v>
      </c>
      <c r="R266" s="83">
        <f t="shared" si="801"/>
        <v>0</v>
      </c>
      <c r="S266" s="83">
        <f t="shared" si="801"/>
        <v>0</v>
      </c>
      <c r="T266" s="83">
        <f t="shared" si="801"/>
        <v>0</v>
      </c>
      <c r="U266" s="83">
        <f t="shared" si="801"/>
        <v>0</v>
      </c>
      <c r="V266" s="83">
        <f t="shared" si="801"/>
        <v>0</v>
      </c>
      <c r="W266" s="83">
        <f t="shared" si="801"/>
        <v>0</v>
      </c>
    </row>
    <row r="267" spans="3:23" x14ac:dyDescent="0.25">
      <c r="C267" s="78" t="str">
        <f t="shared" ref="C267:C284" si="802">C266</f>
        <v>CASETA 5</v>
      </c>
      <c r="D267" s="23" t="s">
        <v>27</v>
      </c>
      <c r="E267" s="83">
        <f t="shared" ref="E267:W267" si="803">VLOOKUP(E$168,CST2G1,5,0)</f>
        <v>0</v>
      </c>
      <c r="F267" s="83">
        <f t="shared" si="803"/>
        <v>0</v>
      </c>
      <c r="G267" s="83">
        <f t="shared" si="803"/>
        <v>0</v>
      </c>
      <c r="H267" s="83">
        <f t="shared" si="803"/>
        <v>0</v>
      </c>
      <c r="I267" s="83">
        <f t="shared" si="803"/>
        <v>0</v>
      </c>
      <c r="J267" s="83">
        <f t="shared" si="803"/>
        <v>0</v>
      </c>
      <c r="K267" s="83">
        <f t="shared" si="803"/>
        <v>0</v>
      </c>
      <c r="L267" s="83">
        <f t="shared" si="803"/>
        <v>0</v>
      </c>
      <c r="M267" s="83">
        <f t="shared" si="803"/>
        <v>0</v>
      </c>
      <c r="N267" s="83">
        <f t="shared" si="803"/>
        <v>0</v>
      </c>
      <c r="O267" s="83">
        <f t="shared" si="803"/>
        <v>0</v>
      </c>
      <c r="P267" s="83">
        <f t="shared" si="803"/>
        <v>0</v>
      </c>
      <c r="Q267" s="83">
        <f t="shared" si="803"/>
        <v>0</v>
      </c>
      <c r="R267" s="83">
        <f t="shared" si="803"/>
        <v>0</v>
      </c>
      <c r="S267" s="83">
        <f t="shared" si="803"/>
        <v>0</v>
      </c>
      <c r="T267" s="83">
        <f t="shared" si="803"/>
        <v>0</v>
      </c>
      <c r="U267" s="83">
        <f t="shared" si="803"/>
        <v>0</v>
      </c>
      <c r="V267" s="83">
        <f t="shared" si="803"/>
        <v>0</v>
      </c>
      <c r="W267" s="83">
        <f t="shared" si="803"/>
        <v>0</v>
      </c>
    </row>
    <row r="268" spans="3:23" x14ac:dyDescent="0.25">
      <c r="C268" s="78" t="str">
        <f t="shared" si="802"/>
        <v>CASETA 5</v>
      </c>
      <c r="D268" s="23" t="s">
        <v>16</v>
      </c>
      <c r="E268" s="83">
        <f t="shared" ref="E268:W268" si="804">VLOOKUP(E$168,CST2G1,6,0)</f>
        <v>0</v>
      </c>
      <c r="F268" s="83">
        <f t="shared" si="804"/>
        <v>0</v>
      </c>
      <c r="G268" s="83">
        <f t="shared" si="804"/>
        <v>0</v>
      </c>
      <c r="H268" s="83">
        <f t="shared" si="804"/>
        <v>0</v>
      </c>
      <c r="I268" s="83">
        <f t="shared" si="804"/>
        <v>0</v>
      </c>
      <c r="J268" s="83">
        <f t="shared" si="804"/>
        <v>0</v>
      </c>
      <c r="K268" s="83">
        <f t="shared" si="804"/>
        <v>0</v>
      </c>
      <c r="L268" s="83">
        <f t="shared" si="804"/>
        <v>0</v>
      </c>
      <c r="M268" s="83">
        <f t="shared" si="804"/>
        <v>0</v>
      </c>
      <c r="N268" s="83">
        <f t="shared" si="804"/>
        <v>0</v>
      </c>
      <c r="O268" s="83">
        <f t="shared" si="804"/>
        <v>0</v>
      </c>
      <c r="P268" s="83">
        <f t="shared" si="804"/>
        <v>0</v>
      </c>
      <c r="Q268" s="83">
        <f t="shared" si="804"/>
        <v>0</v>
      </c>
      <c r="R268" s="83">
        <f t="shared" si="804"/>
        <v>0</v>
      </c>
      <c r="S268" s="83">
        <f t="shared" si="804"/>
        <v>0</v>
      </c>
      <c r="T268" s="83">
        <f t="shared" si="804"/>
        <v>0</v>
      </c>
      <c r="U268" s="83">
        <f t="shared" si="804"/>
        <v>0</v>
      </c>
      <c r="V268" s="83">
        <f t="shared" si="804"/>
        <v>0</v>
      </c>
      <c r="W268" s="83">
        <f t="shared" si="804"/>
        <v>0</v>
      </c>
    </row>
    <row r="269" spans="3:23" x14ac:dyDescent="0.25">
      <c r="C269" s="78" t="str">
        <f t="shared" si="802"/>
        <v>CASETA 5</v>
      </c>
      <c r="D269" s="23" t="s">
        <v>17</v>
      </c>
      <c r="E269" s="83">
        <f t="shared" ref="E269:W269" si="805">VLOOKUP(E$168,CST2G1,7,0)</f>
        <v>0</v>
      </c>
      <c r="F269" s="83">
        <f t="shared" si="805"/>
        <v>0</v>
      </c>
      <c r="G269" s="83">
        <f t="shared" si="805"/>
        <v>0</v>
      </c>
      <c r="H269" s="83">
        <f t="shared" si="805"/>
        <v>0</v>
      </c>
      <c r="I269" s="83">
        <f t="shared" si="805"/>
        <v>0</v>
      </c>
      <c r="J269" s="83">
        <f t="shared" si="805"/>
        <v>0</v>
      </c>
      <c r="K269" s="83">
        <f t="shared" si="805"/>
        <v>0</v>
      </c>
      <c r="L269" s="83">
        <f t="shared" si="805"/>
        <v>0</v>
      </c>
      <c r="M269" s="83">
        <f t="shared" si="805"/>
        <v>0</v>
      </c>
      <c r="N269" s="83">
        <f t="shared" si="805"/>
        <v>0</v>
      </c>
      <c r="O269" s="83">
        <f t="shared" si="805"/>
        <v>0</v>
      </c>
      <c r="P269" s="83">
        <f t="shared" si="805"/>
        <v>0</v>
      </c>
      <c r="Q269" s="83">
        <f t="shared" si="805"/>
        <v>0</v>
      </c>
      <c r="R269" s="83">
        <f t="shared" si="805"/>
        <v>0</v>
      </c>
      <c r="S269" s="83">
        <f t="shared" si="805"/>
        <v>0</v>
      </c>
      <c r="T269" s="83">
        <f t="shared" si="805"/>
        <v>0</v>
      </c>
      <c r="U269" s="83">
        <f t="shared" si="805"/>
        <v>0</v>
      </c>
      <c r="V269" s="83">
        <f t="shared" si="805"/>
        <v>0</v>
      </c>
      <c r="W269" s="83">
        <f t="shared" si="805"/>
        <v>0</v>
      </c>
    </row>
    <row r="270" spans="3:23" x14ac:dyDescent="0.25">
      <c r="C270" s="78" t="str">
        <f t="shared" si="802"/>
        <v>CASETA 5</v>
      </c>
      <c r="D270" s="23" t="s">
        <v>18</v>
      </c>
      <c r="E270" s="85">
        <f>SUM(E267:E269)</f>
        <v>0</v>
      </c>
      <c r="F270" s="85">
        <f>SUM(F267:F269)</f>
        <v>0</v>
      </c>
      <c r="G270" s="85">
        <f t="shared" ref="G270:W270" si="806">SUM(G267:G269)</f>
        <v>0</v>
      </c>
      <c r="H270" s="85">
        <f t="shared" si="806"/>
        <v>0</v>
      </c>
      <c r="I270" s="85">
        <f t="shared" si="806"/>
        <v>0</v>
      </c>
      <c r="J270" s="85">
        <f t="shared" si="806"/>
        <v>0</v>
      </c>
      <c r="K270" s="85">
        <f t="shared" si="806"/>
        <v>0</v>
      </c>
      <c r="L270" s="85">
        <f t="shared" si="806"/>
        <v>0</v>
      </c>
      <c r="M270" s="85">
        <f t="shared" si="806"/>
        <v>0</v>
      </c>
      <c r="N270" s="85">
        <f t="shared" si="806"/>
        <v>0</v>
      </c>
      <c r="O270" s="85">
        <f t="shared" si="806"/>
        <v>0</v>
      </c>
      <c r="P270" s="85">
        <f>SUM(P267:P269)</f>
        <v>0</v>
      </c>
      <c r="Q270" s="85">
        <f t="shared" si="806"/>
        <v>0</v>
      </c>
      <c r="R270" s="85">
        <f t="shared" si="806"/>
        <v>0</v>
      </c>
      <c r="S270" s="85">
        <f t="shared" si="806"/>
        <v>0</v>
      </c>
      <c r="T270" s="85">
        <f t="shared" si="806"/>
        <v>0</v>
      </c>
      <c r="U270" s="85">
        <f t="shared" si="806"/>
        <v>0</v>
      </c>
      <c r="V270" s="85">
        <f t="shared" si="806"/>
        <v>0</v>
      </c>
      <c r="W270" s="85">
        <f t="shared" si="806"/>
        <v>0</v>
      </c>
    </row>
    <row r="271" spans="3:23" x14ac:dyDescent="0.25">
      <c r="C271" s="78" t="str">
        <f t="shared" si="802"/>
        <v>CASETA 5</v>
      </c>
      <c r="D271" s="23" t="s">
        <v>48</v>
      </c>
      <c r="E271" s="83">
        <f t="shared" ref="E271:W271" si="807">VLOOKUP(E$168,CST2G1,9,0)</f>
        <v>0</v>
      </c>
      <c r="F271" s="83">
        <f t="shared" si="807"/>
        <v>0</v>
      </c>
      <c r="G271" s="83">
        <f t="shared" si="807"/>
        <v>0</v>
      </c>
      <c r="H271" s="83">
        <f t="shared" si="807"/>
        <v>0</v>
      </c>
      <c r="I271" s="83">
        <f t="shared" si="807"/>
        <v>0</v>
      </c>
      <c r="J271" s="83">
        <f t="shared" si="807"/>
        <v>0</v>
      </c>
      <c r="K271" s="83">
        <f t="shared" si="807"/>
        <v>0</v>
      </c>
      <c r="L271" s="83">
        <f t="shared" si="807"/>
        <v>0</v>
      </c>
      <c r="M271" s="83">
        <f t="shared" si="807"/>
        <v>0</v>
      </c>
      <c r="N271" s="83">
        <f t="shared" si="807"/>
        <v>0</v>
      </c>
      <c r="O271" s="83">
        <f t="shared" si="807"/>
        <v>0</v>
      </c>
      <c r="P271" s="83">
        <f t="shared" si="807"/>
        <v>0</v>
      </c>
      <c r="Q271" s="83">
        <f t="shared" si="807"/>
        <v>0</v>
      </c>
      <c r="R271" s="83">
        <f t="shared" si="807"/>
        <v>0</v>
      </c>
      <c r="S271" s="83">
        <f t="shared" si="807"/>
        <v>0</v>
      </c>
      <c r="T271" s="83">
        <f t="shared" si="807"/>
        <v>0</v>
      </c>
      <c r="U271" s="83">
        <f t="shared" si="807"/>
        <v>0</v>
      </c>
      <c r="V271" s="83">
        <f t="shared" si="807"/>
        <v>0</v>
      </c>
      <c r="W271" s="83">
        <f t="shared" si="807"/>
        <v>0</v>
      </c>
    </row>
    <row r="272" spans="3:23" x14ac:dyDescent="0.25">
      <c r="C272" s="78" t="str">
        <f t="shared" si="802"/>
        <v>CASETA 5</v>
      </c>
      <c r="D272" s="86" t="s">
        <v>72</v>
      </c>
      <c r="E272" s="83">
        <f t="shared" ref="E272:W272" si="808">VLOOKUP(E$168,CST2G1,10,0)</f>
        <v>0.7</v>
      </c>
      <c r="F272" s="83">
        <f t="shared" si="808"/>
        <v>0.7</v>
      </c>
      <c r="G272" s="83">
        <f t="shared" si="808"/>
        <v>0.7</v>
      </c>
      <c r="H272" s="83">
        <f t="shared" si="808"/>
        <v>0.5</v>
      </c>
      <c r="I272" s="83">
        <f t="shared" si="808"/>
        <v>0.3</v>
      </c>
      <c r="J272" s="83">
        <f t="shared" si="808"/>
        <v>0.18</v>
      </c>
      <c r="K272" s="83">
        <f t="shared" si="808"/>
        <v>0.18</v>
      </c>
      <c r="L272" s="83">
        <f t="shared" si="808"/>
        <v>0.16</v>
      </c>
      <c r="M272" s="83">
        <f t="shared" si="808"/>
        <v>0.16</v>
      </c>
      <c r="N272" s="83">
        <f t="shared" si="808"/>
        <v>0.16</v>
      </c>
      <c r="O272" s="83">
        <f t="shared" si="808"/>
        <v>0.16</v>
      </c>
      <c r="P272" s="83">
        <f t="shared" si="808"/>
        <v>0.16</v>
      </c>
      <c r="Q272" s="83">
        <f t="shared" si="808"/>
        <v>0.16</v>
      </c>
      <c r="R272" s="83">
        <f t="shared" si="808"/>
        <v>0.16</v>
      </c>
      <c r="S272" s="83">
        <f t="shared" si="808"/>
        <v>0.16</v>
      </c>
      <c r="T272" s="83">
        <f t="shared" si="808"/>
        <v>0.16</v>
      </c>
      <c r="U272" s="83">
        <f t="shared" si="808"/>
        <v>0.16</v>
      </c>
      <c r="V272" s="83">
        <f t="shared" si="808"/>
        <v>0.16</v>
      </c>
      <c r="W272" s="83">
        <f t="shared" si="808"/>
        <v>0.16</v>
      </c>
    </row>
    <row r="273" spans="3:24" x14ac:dyDescent="0.25">
      <c r="C273" s="78" t="str">
        <f t="shared" si="802"/>
        <v>CASETA 5</v>
      </c>
      <c r="D273" s="86" t="s">
        <v>74</v>
      </c>
      <c r="E273" s="83">
        <f t="shared" ref="E273:W273" si="809">VLOOKUP(E$168,CST2G1,11,0)</f>
        <v>0</v>
      </c>
      <c r="F273" s="83">
        <f t="shared" si="809"/>
        <v>0</v>
      </c>
      <c r="G273" s="83">
        <f t="shared" si="809"/>
        <v>0</v>
      </c>
      <c r="H273" s="83">
        <f t="shared" si="809"/>
        <v>0</v>
      </c>
      <c r="I273" s="83">
        <f t="shared" si="809"/>
        <v>0</v>
      </c>
      <c r="J273" s="83">
        <f t="shared" si="809"/>
        <v>0</v>
      </c>
      <c r="K273" s="83">
        <f t="shared" si="809"/>
        <v>0</v>
      </c>
      <c r="L273" s="83">
        <f t="shared" si="809"/>
        <v>0</v>
      </c>
      <c r="M273" s="83">
        <f t="shared" si="809"/>
        <v>0</v>
      </c>
      <c r="N273" s="83">
        <f t="shared" si="809"/>
        <v>0</v>
      </c>
      <c r="O273" s="83">
        <f t="shared" si="809"/>
        <v>0</v>
      </c>
      <c r="P273" s="83">
        <f t="shared" si="809"/>
        <v>0</v>
      </c>
      <c r="Q273" s="83">
        <f t="shared" si="809"/>
        <v>0</v>
      </c>
      <c r="R273" s="83">
        <f t="shared" si="809"/>
        <v>0</v>
      </c>
      <c r="S273" s="83">
        <f t="shared" si="809"/>
        <v>0</v>
      </c>
      <c r="T273" s="83">
        <f t="shared" si="809"/>
        <v>0</v>
      </c>
      <c r="U273" s="83">
        <f t="shared" si="809"/>
        <v>0</v>
      </c>
      <c r="V273" s="83">
        <f t="shared" si="809"/>
        <v>0</v>
      </c>
      <c r="W273" s="83">
        <f t="shared" si="809"/>
        <v>0</v>
      </c>
    </row>
    <row r="274" spans="3:24" ht="25.5" x14ac:dyDescent="0.25">
      <c r="C274" s="78" t="str">
        <f t="shared" si="802"/>
        <v>CASETA 5</v>
      </c>
      <c r="D274" s="87" t="s">
        <v>49</v>
      </c>
      <c r="E274" s="83">
        <f t="shared" ref="E274:W274" si="810">VLOOKUP(E$168,CST2G1,12,0)</f>
        <v>0.7</v>
      </c>
      <c r="F274" s="83">
        <f t="shared" si="810"/>
        <v>0.7</v>
      </c>
      <c r="G274" s="83">
        <f t="shared" si="810"/>
        <v>1.4</v>
      </c>
      <c r="H274" s="83">
        <f t="shared" si="810"/>
        <v>1.9</v>
      </c>
      <c r="I274" s="83">
        <f t="shared" si="810"/>
        <v>2.1999999999999997</v>
      </c>
      <c r="J274" s="83">
        <f t="shared" si="810"/>
        <v>2.38</v>
      </c>
      <c r="K274" s="83">
        <f t="shared" si="810"/>
        <v>2.56</v>
      </c>
      <c r="L274" s="83">
        <f t="shared" si="810"/>
        <v>2.72</v>
      </c>
      <c r="M274" s="83">
        <f t="shared" si="810"/>
        <v>2.8800000000000003</v>
      </c>
      <c r="N274" s="83">
        <f t="shared" si="810"/>
        <v>3.0400000000000005</v>
      </c>
      <c r="O274" s="83">
        <f t="shared" si="810"/>
        <v>3.2000000000000006</v>
      </c>
      <c r="P274" s="83">
        <f t="shared" si="810"/>
        <v>3.3600000000000008</v>
      </c>
      <c r="Q274" s="83">
        <f t="shared" si="810"/>
        <v>3.5200000000000009</v>
      </c>
      <c r="R274" s="83">
        <f t="shared" si="810"/>
        <v>3.680000000000001</v>
      </c>
      <c r="S274" s="83">
        <f t="shared" si="810"/>
        <v>3.8400000000000012</v>
      </c>
      <c r="T274" s="83">
        <f t="shared" si="810"/>
        <v>4.0000000000000009</v>
      </c>
      <c r="U274" s="83">
        <f t="shared" si="810"/>
        <v>4.160000000000001</v>
      </c>
      <c r="V274" s="83">
        <f t="shared" si="810"/>
        <v>4.3200000000000012</v>
      </c>
      <c r="W274" s="83">
        <f t="shared" si="810"/>
        <v>4.4800000000000013</v>
      </c>
    </row>
    <row r="275" spans="3:24" ht="25.5" x14ac:dyDescent="0.25">
      <c r="C275" s="78" t="str">
        <f t="shared" si="802"/>
        <v>CASETA 5</v>
      </c>
      <c r="D275" s="87" t="s">
        <v>73</v>
      </c>
      <c r="E275" s="83">
        <f t="shared" ref="E275:W275" si="811">VLOOKUP(E$168,CST2G1,13,0)</f>
        <v>0</v>
      </c>
      <c r="F275" s="83">
        <f t="shared" si="811"/>
        <v>0</v>
      </c>
      <c r="G275" s="83">
        <f t="shared" si="811"/>
        <v>0</v>
      </c>
      <c r="H275" s="83">
        <f t="shared" si="811"/>
        <v>0</v>
      </c>
      <c r="I275" s="83">
        <f t="shared" si="811"/>
        <v>0</v>
      </c>
      <c r="J275" s="83">
        <f t="shared" si="811"/>
        <v>0</v>
      </c>
      <c r="K275" s="83">
        <f t="shared" si="811"/>
        <v>0</v>
      </c>
      <c r="L275" s="83">
        <f t="shared" si="811"/>
        <v>0</v>
      </c>
      <c r="M275" s="83">
        <f t="shared" si="811"/>
        <v>0</v>
      </c>
      <c r="N275" s="83">
        <f t="shared" si="811"/>
        <v>0</v>
      </c>
      <c r="O275" s="83">
        <f t="shared" si="811"/>
        <v>0</v>
      </c>
      <c r="P275" s="83">
        <f t="shared" si="811"/>
        <v>0</v>
      </c>
      <c r="Q275" s="83">
        <f t="shared" si="811"/>
        <v>0</v>
      </c>
      <c r="R275" s="83">
        <f t="shared" si="811"/>
        <v>0</v>
      </c>
      <c r="S275" s="83">
        <f t="shared" si="811"/>
        <v>0</v>
      </c>
      <c r="T275" s="83">
        <f t="shared" si="811"/>
        <v>0</v>
      </c>
      <c r="U275" s="83">
        <f t="shared" si="811"/>
        <v>0</v>
      </c>
      <c r="V275" s="83">
        <f t="shared" si="811"/>
        <v>0</v>
      </c>
      <c r="W275" s="83">
        <f t="shared" si="811"/>
        <v>0</v>
      </c>
    </row>
    <row r="276" spans="3:24" x14ac:dyDescent="0.25">
      <c r="C276" s="78" t="str">
        <f t="shared" si="802"/>
        <v>CASETA 5</v>
      </c>
      <c r="D276" s="23" t="s">
        <v>9</v>
      </c>
      <c r="E276" s="83">
        <f t="shared" ref="E276:W276" si="812">VLOOKUP(E$168,CST2G1,14,0)</f>
        <v>0</v>
      </c>
      <c r="F276" s="83">
        <f t="shared" si="812"/>
        <v>0</v>
      </c>
      <c r="G276" s="83">
        <f t="shared" si="812"/>
        <v>0</v>
      </c>
      <c r="H276" s="83">
        <f t="shared" si="812"/>
        <v>0</v>
      </c>
      <c r="I276" s="83">
        <f t="shared" si="812"/>
        <v>0</v>
      </c>
      <c r="J276" s="83">
        <f t="shared" si="812"/>
        <v>0</v>
      </c>
      <c r="K276" s="83">
        <f t="shared" si="812"/>
        <v>0</v>
      </c>
      <c r="L276" s="83">
        <f t="shared" si="812"/>
        <v>0</v>
      </c>
      <c r="M276" s="83">
        <f t="shared" si="812"/>
        <v>0</v>
      </c>
      <c r="N276" s="83">
        <f t="shared" si="812"/>
        <v>0</v>
      </c>
      <c r="O276" s="83">
        <f t="shared" si="812"/>
        <v>0</v>
      </c>
      <c r="P276" s="83">
        <f t="shared" si="812"/>
        <v>0</v>
      </c>
      <c r="Q276" s="83">
        <f t="shared" si="812"/>
        <v>0</v>
      </c>
      <c r="R276" s="83">
        <f t="shared" si="812"/>
        <v>0</v>
      </c>
      <c r="S276" s="83">
        <f t="shared" si="812"/>
        <v>0</v>
      </c>
      <c r="T276" s="83">
        <f t="shared" si="812"/>
        <v>0</v>
      </c>
      <c r="U276" s="83">
        <f t="shared" si="812"/>
        <v>0</v>
      </c>
      <c r="V276" s="83">
        <f t="shared" si="812"/>
        <v>0</v>
      </c>
      <c r="W276" s="83">
        <f t="shared" si="812"/>
        <v>0</v>
      </c>
    </row>
    <row r="277" spans="3:24" ht="25.5" x14ac:dyDescent="0.25">
      <c r="C277" s="78" t="str">
        <f t="shared" si="802"/>
        <v>CASETA 5</v>
      </c>
      <c r="D277" s="86" t="s">
        <v>75</v>
      </c>
      <c r="E277" s="83">
        <f t="shared" ref="E277:W277" si="813">VLOOKUP(E$168,CST2G1,15,0)</f>
        <v>10</v>
      </c>
      <c r="F277" s="83">
        <f t="shared" si="813"/>
        <v>10</v>
      </c>
      <c r="G277" s="83">
        <f t="shared" si="813"/>
        <v>17</v>
      </c>
      <c r="H277" s="83">
        <f t="shared" si="813"/>
        <v>23</v>
      </c>
      <c r="I277" s="83">
        <f t="shared" si="813"/>
        <v>29</v>
      </c>
      <c r="J277" s="83">
        <f t="shared" si="813"/>
        <v>34</v>
      </c>
      <c r="K277" s="83">
        <f t="shared" si="813"/>
        <v>38</v>
      </c>
      <c r="L277" s="83">
        <f t="shared" si="813"/>
        <v>42</v>
      </c>
      <c r="M277" s="83">
        <f t="shared" si="813"/>
        <v>46</v>
      </c>
      <c r="N277" s="83">
        <f t="shared" si="813"/>
        <v>49</v>
      </c>
      <c r="O277" s="83">
        <f t="shared" si="813"/>
        <v>52</v>
      </c>
      <c r="P277" s="83">
        <f t="shared" si="813"/>
        <v>55</v>
      </c>
      <c r="Q277" s="83">
        <f t="shared" si="813"/>
        <v>58</v>
      </c>
      <c r="R277" s="83">
        <f t="shared" si="813"/>
        <v>61</v>
      </c>
      <c r="S277" s="83">
        <f t="shared" si="813"/>
        <v>64</v>
      </c>
      <c r="T277" s="83">
        <f t="shared" si="813"/>
        <v>67</v>
      </c>
      <c r="U277" s="83">
        <f t="shared" si="813"/>
        <v>71</v>
      </c>
      <c r="V277" s="83">
        <f t="shared" si="813"/>
        <v>75</v>
      </c>
      <c r="W277" s="83">
        <f t="shared" si="813"/>
        <v>79</v>
      </c>
    </row>
    <row r="278" spans="3:24" ht="25.5" x14ac:dyDescent="0.25">
      <c r="C278" s="78" t="str">
        <f t="shared" si="802"/>
        <v>CASETA 5</v>
      </c>
      <c r="D278" s="86" t="s">
        <v>62</v>
      </c>
      <c r="E278" s="83">
        <f t="shared" ref="E278:W278" si="814">VLOOKUP(E$168,CST2G1,16,0)</f>
        <v>0</v>
      </c>
      <c r="F278" s="83">
        <f t="shared" si="814"/>
        <v>0</v>
      </c>
      <c r="G278" s="83">
        <f t="shared" si="814"/>
        <v>0</v>
      </c>
      <c r="H278" s="83">
        <f t="shared" si="814"/>
        <v>0</v>
      </c>
      <c r="I278" s="83">
        <f t="shared" si="814"/>
        <v>0</v>
      </c>
      <c r="J278" s="83">
        <f t="shared" si="814"/>
        <v>0</v>
      </c>
      <c r="K278" s="83">
        <f t="shared" si="814"/>
        <v>0</v>
      </c>
      <c r="L278" s="83">
        <f t="shared" si="814"/>
        <v>0</v>
      </c>
      <c r="M278" s="83">
        <f t="shared" si="814"/>
        <v>0</v>
      </c>
      <c r="N278" s="83">
        <f t="shared" si="814"/>
        <v>0</v>
      </c>
      <c r="O278" s="83">
        <f t="shared" si="814"/>
        <v>0</v>
      </c>
      <c r="P278" s="83">
        <f t="shared" si="814"/>
        <v>0</v>
      </c>
      <c r="Q278" s="83">
        <f t="shared" si="814"/>
        <v>0</v>
      </c>
      <c r="R278" s="83">
        <f t="shared" si="814"/>
        <v>0</v>
      </c>
      <c r="S278" s="83">
        <f t="shared" si="814"/>
        <v>0</v>
      </c>
      <c r="T278" s="83">
        <f t="shared" si="814"/>
        <v>0</v>
      </c>
      <c r="U278" s="83">
        <f t="shared" si="814"/>
        <v>0</v>
      </c>
      <c r="V278" s="83">
        <f t="shared" si="814"/>
        <v>0</v>
      </c>
      <c r="W278" s="83">
        <f t="shared" si="814"/>
        <v>0</v>
      </c>
    </row>
    <row r="279" spans="3:24" ht="25.5" x14ac:dyDescent="0.25">
      <c r="C279" s="78" t="str">
        <f t="shared" si="802"/>
        <v>CASETA 5</v>
      </c>
      <c r="D279" s="24" t="s">
        <v>50</v>
      </c>
      <c r="E279" s="83">
        <f t="shared" ref="E279:W279" si="815">VLOOKUP(E$168,CST2G1,17,0)</f>
        <v>0</v>
      </c>
      <c r="F279" s="83">
        <f t="shared" si="815"/>
        <v>0</v>
      </c>
      <c r="G279" s="83">
        <f t="shared" si="815"/>
        <v>0</v>
      </c>
      <c r="H279" s="83">
        <f t="shared" si="815"/>
        <v>0</v>
      </c>
      <c r="I279" s="83">
        <f t="shared" si="815"/>
        <v>0</v>
      </c>
      <c r="J279" s="83">
        <f t="shared" si="815"/>
        <v>0</v>
      </c>
      <c r="K279" s="83">
        <f t="shared" si="815"/>
        <v>0</v>
      </c>
      <c r="L279" s="83">
        <f t="shared" si="815"/>
        <v>0</v>
      </c>
      <c r="M279" s="83">
        <f t="shared" si="815"/>
        <v>0</v>
      </c>
      <c r="N279" s="83">
        <f t="shared" si="815"/>
        <v>0</v>
      </c>
      <c r="O279" s="83">
        <f t="shared" si="815"/>
        <v>0</v>
      </c>
      <c r="P279" s="83">
        <f t="shared" si="815"/>
        <v>0</v>
      </c>
      <c r="Q279" s="83">
        <f t="shared" si="815"/>
        <v>0</v>
      </c>
      <c r="R279" s="83">
        <f t="shared" si="815"/>
        <v>0</v>
      </c>
      <c r="S279" s="83">
        <f t="shared" si="815"/>
        <v>0</v>
      </c>
      <c r="T279" s="83">
        <f t="shared" si="815"/>
        <v>0</v>
      </c>
      <c r="U279" s="83">
        <f t="shared" si="815"/>
        <v>0</v>
      </c>
      <c r="V279" s="83">
        <f t="shared" si="815"/>
        <v>0</v>
      </c>
      <c r="W279" s="83">
        <f t="shared" si="815"/>
        <v>0</v>
      </c>
    </row>
    <row r="280" spans="3:24" x14ac:dyDescent="0.25">
      <c r="C280" s="78" t="str">
        <f t="shared" si="802"/>
        <v>CASETA 5</v>
      </c>
      <c r="D280" s="86" t="s">
        <v>63</v>
      </c>
      <c r="E280" s="83">
        <f t="shared" ref="E280:W280" si="816">VLOOKUP(E$168,CST2G1,18,0)</f>
        <v>40</v>
      </c>
      <c r="F280" s="83">
        <f t="shared" si="816"/>
        <v>70</v>
      </c>
      <c r="G280" s="83">
        <f t="shared" si="816"/>
        <v>120</v>
      </c>
      <c r="H280" s="83">
        <f t="shared" si="816"/>
        <v>185</v>
      </c>
      <c r="I280" s="83">
        <f t="shared" si="816"/>
        <v>255</v>
      </c>
      <c r="J280" s="83">
        <f t="shared" si="816"/>
        <v>334</v>
      </c>
      <c r="K280" s="83">
        <f t="shared" si="816"/>
        <v>425</v>
      </c>
      <c r="L280" s="83">
        <f t="shared" si="816"/>
        <v>524</v>
      </c>
      <c r="M280" s="83">
        <f t="shared" si="816"/>
        <v>618</v>
      </c>
      <c r="N280" s="83">
        <f t="shared" si="816"/>
        <v>712</v>
      </c>
      <c r="O280" s="83">
        <f t="shared" si="816"/>
        <v>802</v>
      </c>
      <c r="P280" s="83">
        <f t="shared" si="816"/>
        <v>880</v>
      </c>
      <c r="Q280" s="83">
        <f t="shared" si="816"/>
        <v>950</v>
      </c>
      <c r="R280" s="83">
        <f t="shared" si="816"/>
        <v>1010</v>
      </c>
      <c r="S280" s="83">
        <f t="shared" si="816"/>
        <v>1065</v>
      </c>
      <c r="T280" s="83">
        <f t="shared" si="816"/>
        <v>1115</v>
      </c>
      <c r="U280" s="83">
        <f t="shared" si="816"/>
        <v>1160</v>
      </c>
      <c r="V280" s="83">
        <f t="shared" si="816"/>
        <v>1207</v>
      </c>
      <c r="W280" s="83">
        <f t="shared" si="816"/>
        <v>1257</v>
      </c>
    </row>
    <row r="281" spans="3:24" x14ac:dyDescent="0.25">
      <c r="C281" s="78" t="str">
        <f t="shared" si="802"/>
        <v>CASETA 5</v>
      </c>
      <c r="D281" s="86" t="s">
        <v>64</v>
      </c>
      <c r="E281" s="83">
        <f t="shared" ref="E281:W281" si="817">VLOOKUP(E$168,CST2G1,19,0)</f>
        <v>0</v>
      </c>
      <c r="F281" s="83">
        <f t="shared" si="817"/>
        <v>0</v>
      </c>
      <c r="G281" s="83">
        <f t="shared" si="817"/>
        <v>0</v>
      </c>
      <c r="H281" s="83">
        <f t="shared" si="817"/>
        <v>0</v>
      </c>
      <c r="I281" s="83">
        <f t="shared" si="817"/>
        <v>0</v>
      </c>
      <c r="J281" s="83">
        <f t="shared" si="817"/>
        <v>0</v>
      </c>
      <c r="K281" s="83">
        <f t="shared" si="817"/>
        <v>0</v>
      </c>
      <c r="L281" s="83">
        <f t="shared" si="817"/>
        <v>0</v>
      </c>
      <c r="M281" s="83">
        <f t="shared" si="817"/>
        <v>0</v>
      </c>
      <c r="N281" s="83">
        <f t="shared" si="817"/>
        <v>0</v>
      </c>
      <c r="O281" s="83">
        <f t="shared" si="817"/>
        <v>0</v>
      </c>
      <c r="P281" s="83">
        <f t="shared" si="817"/>
        <v>0</v>
      </c>
      <c r="Q281" s="83">
        <f t="shared" si="817"/>
        <v>0</v>
      </c>
      <c r="R281" s="83">
        <f t="shared" si="817"/>
        <v>0</v>
      </c>
      <c r="S281" s="83">
        <f t="shared" si="817"/>
        <v>0</v>
      </c>
      <c r="T281" s="83">
        <f t="shared" si="817"/>
        <v>0</v>
      </c>
      <c r="U281" s="83">
        <f t="shared" si="817"/>
        <v>0</v>
      </c>
      <c r="V281" s="83">
        <f t="shared" si="817"/>
        <v>0</v>
      </c>
      <c r="W281" s="83">
        <f t="shared" si="817"/>
        <v>0</v>
      </c>
    </row>
    <row r="282" spans="3:24" x14ac:dyDescent="0.25">
      <c r="C282" s="78" t="str">
        <f t="shared" si="802"/>
        <v>CASETA 5</v>
      </c>
      <c r="D282" s="23" t="s">
        <v>15</v>
      </c>
      <c r="E282" s="83">
        <f>E280-E281</f>
        <v>40</v>
      </c>
      <c r="F282" s="83">
        <f t="shared" ref="F282:W282" si="818">F280-F281</f>
        <v>70</v>
      </c>
      <c r="G282" s="83">
        <f t="shared" si="818"/>
        <v>120</v>
      </c>
      <c r="H282" s="83">
        <f t="shared" si="818"/>
        <v>185</v>
      </c>
      <c r="I282" s="83">
        <f t="shared" si="818"/>
        <v>255</v>
      </c>
      <c r="J282" s="83">
        <f t="shared" si="818"/>
        <v>334</v>
      </c>
      <c r="K282" s="83">
        <f t="shared" si="818"/>
        <v>425</v>
      </c>
      <c r="L282" s="83">
        <f t="shared" si="818"/>
        <v>524</v>
      </c>
      <c r="M282" s="83">
        <f t="shared" si="818"/>
        <v>618</v>
      </c>
      <c r="N282" s="83">
        <f t="shared" si="818"/>
        <v>712</v>
      </c>
      <c r="O282" s="83">
        <f t="shared" si="818"/>
        <v>802</v>
      </c>
      <c r="P282" s="83">
        <f t="shared" si="818"/>
        <v>880</v>
      </c>
      <c r="Q282" s="83">
        <f t="shared" si="818"/>
        <v>950</v>
      </c>
      <c r="R282" s="83">
        <f t="shared" si="818"/>
        <v>1010</v>
      </c>
      <c r="S282" s="83">
        <f t="shared" si="818"/>
        <v>1065</v>
      </c>
      <c r="T282" s="83">
        <f t="shared" si="818"/>
        <v>1115</v>
      </c>
      <c r="U282" s="83">
        <f t="shared" si="818"/>
        <v>1160</v>
      </c>
      <c r="V282" s="83">
        <f t="shared" si="818"/>
        <v>1207</v>
      </c>
      <c r="W282" s="83">
        <f t="shared" si="818"/>
        <v>1257</v>
      </c>
      <c r="X282" s="83"/>
    </row>
    <row r="283" spans="3:24" ht="25.5" x14ac:dyDescent="0.25">
      <c r="C283" s="78" t="str">
        <f t="shared" si="802"/>
        <v>CASETA 5</v>
      </c>
      <c r="D283" s="86" t="s">
        <v>65</v>
      </c>
      <c r="E283" s="83">
        <f t="shared" ref="E283:W283" si="819">VLOOKUP(E$168,CST2G1,21,0)</f>
        <v>77</v>
      </c>
      <c r="F283" s="83">
        <f t="shared" si="819"/>
        <v>77</v>
      </c>
      <c r="G283" s="83">
        <f t="shared" si="819"/>
        <v>77</v>
      </c>
      <c r="H283" s="83">
        <f t="shared" si="819"/>
        <v>77</v>
      </c>
      <c r="I283" s="83">
        <f t="shared" si="819"/>
        <v>79</v>
      </c>
      <c r="J283" s="83">
        <f t="shared" si="819"/>
        <v>79</v>
      </c>
      <c r="K283" s="83">
        <f t="shared" si="819"/>
        <v>79</v>
      </c>
      <c r="L283" s="83">
        <f t="shared" si="819"/>
        <v>79</v>
      </c>
      <c r="M283" s="83">
        <f t="shared" si="819"/>
        <v>79</v>
      </c>
      <c r="N283" s="83">
        <f t="shared" si="819"/>
        <v>79</v>
      </c>
      <c r="O283" s="83">
        <f t="shared" si="819"/>
        <v>80</v>
      </c>
      <c r="P283" s="83">
        <f t="shared" si="819"/>
        <v>80</v>
      </c>
      <c r="Q283" s="83">
        <f t="shared" si="819"/>
        <v>82</v>
      </c>
      <c r="R283" s="83">
        <f t="shared" si="819"/>
        <v>82</v>
      </c>
      <c r="S283" s="83">
        <f t="shared" si="819"/>
        <v>84</v>
      </c>
      <c r="T283" s="83">
        <f t="shared" si="819"/>
        <v>86</v>
      </c>
      <c r="U283" s="83">
        <f t="shared" si="819"/>
        <v>86</v>
      </c>
      <c r="V283" s="83">
        <f t="shared" si="819"/>
        <v>86</v>
      </c>
      <c r="W283" s="83">
        <f t="shared" si="819"/>
        <v>86</v>
      </c>
    </row>
    <row r="284" spans="3:24" ht="25.5" x14ac:dyDescent="0.25">
      <c r="C284" s="78" t="str">
        <f t="shared" si="802"/>
        <v>CASETA 5</v>
      </c>
      <c r="D284" s="86" t="s">
        <v>66</v>
      </c>
      <c r="E284" s="83">
        <f t="shared" ref="E284:W284" si="820">VLOOKUP(E$168,CST2G1,22,0)</f>
        <v>0</v>
      </c>
      <c r="F284" s="83">
        <f t="shared" si="820"/>
        <v>0</v>
      </c>
      <c r="G284" s="83">
        <f t="shared" si="820"/>
        <v>0</v>
      </c>
      <c r="H284" s="83">
        <f t="shared" si="820"/>
        <v>0</v>
      </c>
      <c r="I284" s="83">
        <f t="shared" si="820"/>
        <v>0</v>
      </c>
      <c r="J284" s="83">
        <f t="shared" si="820"/>
        <v>0</v>
      </c>
      <c r="K284" s="83">
        <f t="shared" si="820"/>
        <v>0</v>
      </c>
      <c r="L284" s="83">
        <f t="shared" si="820"/>
        <v>0</v>
      </c>
      <c r="M284" s="83">
        <f t="shared" si="820"/>
        <v>0</v>
      </c>
      <c r="N284" s="83">
        <f t="shared" si="820"/>
        <v>0</v>
      </c>
      <c r="O284" s="83">
        <f t="shared" si="820"/>
        <v>0</v>
      </c>
      <c r="P284" s="83">
        <f t="shared" si="820"/>
        <v>0</v>
      </c>
      <c r="Q284" s="83">
        <f t="shared" si="820"/>
        <v>0</v>
      </c>
      <c r="R284" s="83">
        <f t="shared" si="820"/>
        <v>0</v>
      </c>
      <c r="S284" s="83">
        <f t="shared" si="820"/>
        <v>0</v>
      </c>
      <c r="T284" s="83">
        <f t="shared" si="820"/>
        <v>0</v>
      </c>
      <c r="U284" s="83">
        <f t="shared" si="820"/>
        <v>0</v>
      </c>
      <c r="V284" s="83">
        <f t="shared" si="820"/>
        <v>0</v>
      </c>
      <c r="W284" s="83">
        <f t="shared" si="820"/>
        <v>0</v>
      </c>
    </row>
    <row r="285" spans="3:24" x14ac:dyDescent="0.25">
      <c r="C285" s="78" t="str">
        <f>C284</f>
        <v>CASETA 5</v>
      </c>
      <c r="D285" s="23" t="s">
        <v>15</v>
      </c>
      <c r="E285" s="85">
        <f>E283-E284</f>
        <v>77</v>
      </c>
      <c r="F285" s="85">
        <f t="shared" ref="F285:W285" si="821">F283-F284</f>
        <v>77</v>
      </c>
      <c r="G285" s="85">
        <f t="shared" si="821"/>
        <v>77</v>
      </c>
      <c r="H285" s="85">
        <f t="shared" si="821"/>
        <v>77</v>
      </c>
      <c r="I285" s="85">
        <f t="shared" si="821"/>
        <v>79</v>
      </c>
      <c r="J285" s="85">
        <f t="shared" si="821"/>
        <v>79</v>
      </c>
      <c r="K285" s="85">
        <f t="shared" si="821"/>
        <v>79</v>
      </c>
      <c r="L285" s="85">
        <f t="shared" si="821"/>
        <v>79</v>
      </c>
      <c r="M285" s="85">
        <f t="shared" si="821"/>
        <v>79</v>
      </c>
      <c r="N285" s="85">
        <f t="shared" si="821"/>
        <v>79</v>
      </c>
      <c r="O285" s="85">
        <f t="shared" si="821"/>
        <v>80</v>
      </c>
      <c r="P285" s="85">
        <f t="shared" si="821"/>
        <v>80</v>
      </c>
      <c r="Q285" s="85">
        <f t="shared" si="821"/>
        <v>82</v>
      </c>
      <c r="R285" s="85">
        <f t="shared" si="821"/>
        <v>82</v>
      </c>
      <c r="S285" s="85">
        <f t="shared" si="821"/>
        <v>84</v>
      </c>
      <c r="T285" s="85">
        <f t="shared" si="821"/>
        <v>86</v>
      </c>
      <c r="U285" s="85">
        <f t="shared" si="821"/>
        <v>86</v>
      </c>
      <c r="V285" s="85">
        <f t="shared" si="821"/>
        <v>86</v>
      </c>
      <c r="W285" s="85">
        <f t="shared" si="821"/>
        <v>86</v>
      </c>
    </row>
    <row r="286" spans="3:24" x14ac:dyDescent="0.25">
      <c r="C286" s="78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</row>
    <row r="287" spans="3:24" x14ac:dyDescent="0.25">
      <c r="C287" s="78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</row>
    <row r="288" spans="3:24" x14ac:dyDescent="0.25">
      <c r="E288" s="1"/>
      <c r="F288" s="316"/>
      <c r="G288" s="316"/>
      <c r="H288" s="316"/>
      <c r="I288" s="316"/>
      <c r="J288" s="316"/>
      <c r="K288" s="316"/>
      <c r="L288" s="316"/>
      <c r="M288" s="316"/>
      <c r="N288" s="316"/>
      <c r="O288" s="316"/>
      <c r="P288" s="316"/>
      <c r="Q288" s="316"/>
      <c r="R288" s="316"/>
      <c r="S288" s="316"/>
      <c r="T288" s="316"/>
      <c r="U288" s="316"/>
      <c r="V288" s="316"/>
      <c r="W288" s="316"/>
    </row>
    <row r="289" spans="1:225" x14ac:dyDescent="0.25">
      <c r="E289" s="1"/>
      <c r="F289" s="316"/>
      <c r="G289" s="316"/>
      <c r="H289" s="316"/>
      <c r="I289" s="316"/>
      <c r="J289" s="316"/>
      <c r="K289" s="316"/>
      <c r="L289" s="316"/>
      <c r="M289" s="316"/>
      <c r="N289" s="316"/>
      <c r="O289" s="316"/>
      <c r="P289" s="316"/>
      <c r="Q289" s="316"/>
      <c r="R289" s="316"/>
      <c r="S289" s="316"/>
      <c r="T289" s="316"/>
      <c r="U289" s="316"/>
      <c r="V289" s="316"/>
      <c r="W289" s="316"/>
    </row>
    <row r="290" spans="1:225" s="81" customFormat="1" x14ac:dyDescent="0.25">
      <c r="B290" s="80"/>
      <c r="C290" s="80"/>
      <c r="D290" s="80"/>
      <c r="E290" s="80"/>
      <c r="F290" s="318"/>
      <c r="G290" s="318"/>
      <c r="H290" s="318"/>
      <c r="I290" s="318"/>
      <c r="J290" s="318"/>
      <c r="K290" s="318"/>
      <c r="L290" s="318"/>
      <c r="M290" s="318"/>
      <c r="N290" s="318"/>
      <c r="O290" s="318"/>
      <c r="P290" s="318"/>
      <c r="Q290" s="318"/>
      <c r="R290" s="318"/>
      <c r="S290" s="318"/>
      <c r="T290" s="318"/>
      <c r="U290" s="318"/>
      <c r="V290" s="318"/>
      <c r="W290" s="318"/>
      <c r="Z290" s="362"/>
      <c r="AA290" s="362"/>
      <c r="AB290" s="362"/>
      <c r="AC290" s="362"/>
      <c r="AD290" s="362"/>
      <c r="AE290" s="362"/>
      <c r="AF290" s="362"/>
      <c r="AG290" s="362"/>
      <c r="AH290" s="362"/>
      <c r="AI290" s="362"/>
      <c r="AJ290" s="362"/>
      <c r="AK290" s="362"/>
      <c r="AL290" s="362"/>
      <c r="AM290" s="362"/>
      <c r="AN290" s="362"/>
      <c r="AO290" s="362"/>
      <c r="AP290" s="362"/>
      <c r="AQ290" s="362"/>
      <c r="AR290" s="362"/>
      <c r="AS290" s="362"/>
      <c r="AT290" s="362"/>
      <c r="AU290" s="362"/>
      <c r="AV290" s="362"/>
      <c r="AW290" s="362"/>
      <c r="AX290" s="362"/>
    </row>
    <row r="291" spans="1:225" x14ac:dyDescent="0.25">
      <c r="E291" s="320">
        <v>0</v>
      </c>
      <c r="F291" s="320">
        <v>1</v>
      </c>
      <c r="G291" s="320">
        <v>2</v>
      </c>
      <c r="H291" s="320">
        <v>3</v>
      </c>
      <c r="I291" s="320">
        <v>4</v>
      </c>
      <c r="J291" s="320">
        <v>5</v>
      </c>
      <c r="K291" s="320">
        <v>6</v>
      </c>
      <c r="L291" s="320">
        <v>7</v>
      </c>
      <c r="M291" s="320">
        <v>8</v>
      </c>
      <c r="N291" s="320">
        <v>9</v>
      </c>
      <c r="O291" s="320">
        <v>10</v>
      </c>
      <c r="P291" s="320">
        <v>11</v>
      </c>
      <c r="Q291" s="320">
        <v>12</v>
      </c>
      <c r="R291" s="320">
        <v>13</v>
      </c>
      <c r="S291" s="320">
        <v>14</v>
      </c>
      <c r="T291" s="320">
        <v>15</v>
      </c>
      <c r="U291" s="320">
        <v>16</v>
      </c>
      <c r="V291" s="320">
        <v>17</v>
      </c>
      <c r="W291" s="320">
        <v>18</v>
      </c>
    </row>
    <row r="292" spans="1:225" ht="24.75" customHeight="1" x14ac:dyDescent="0.25">
      <c r="C292" s="78" t="str">
        <f>VLOOKUP(TABLERO!$M$48,TABLERO!$K$48:$L$55,2,FALSE)</f>
        <v>GENERAL</v>
      </c>
      <c r="D292" s="24" t="s">
        <v>67</v>
      </c>
      <c r="E292" s="83">
        <f t="shared" ref="E292:N296" si="822">IF($C292="GENERAL",SUMIFS(E$169:E$288,$D$169:$D$288,$D292),SUMIFS(E$169:E$288,$C$169:$C$288,$C292,$D$169:$D$288,$D292))</f>
        <v>296830</v>
      </c>
      <c r="F292" s="83">
        <f t="shared" si="822"/>
        <v>295151</v>
      </c>
      <c r="G292" s="83">
        <f t="shared" si="822"/>
        <v>290152</v>
      </c>
      <c r="H292" s="83">
        <f t="shared" si="822"/>
        <v>288292</v>
      </c>
      <c r="I292" s="83">
        <f t="shared" si="822"/>
        <v>288099</v>
      </c>
      <c r="J292" s="83">
        <f t="shared" si="822"/>
        <v>288099</v>
      </c>
      <c r="K292" s="83">
        <f t="shared" si="822"/>
        <v>288099</v>
      </c>
      <c r="L292" s="83">
        <f t="shared" si="822"/>
        <v>288099</v>
      </c>
      <c r="M292" s="83">
        <f t="shared" si="822"/>
        <v>288099</v>
      </c>
      <c r="N292" s="83">
        <f t="shared" si="822"/>
        <v>288099</v>
      </c>
      <c r="O292" s="83">
        <f t="shared" ref="O292:W296" si="823">IF($C292="GENERAL",SUMIFS(O$169:O$288,$D$169:$D$288,$D292),SUMIFS(O$169:O$288,$C$169:$C$288,$C292,$D$169:$D$288,$D292))</f>
        <v>288099</v>
      </c>
      <c r="P292" s="83">
        <f t="shared" si="823"/>
        <v>288099</v>
      </c>
      <c r="Q292" s="83">
        <f t="shared" si="823"/>
        <v>288099</v>
      </c>
      <c r="R292" s="83">
        <f t="shared" si="823"/>
        <v>288099</v>
      </c>
      <c r="S292" s="83">
        <f t="shared" si="823"/>
        <v>288099</v>
      </c>
      <c r="T292" s="83">
        <f t="shared" si="823"/>
        <v>288099</v>
      </c>
      <c r="U292" s="83">
        <f t="shared" si="823"/>
        <v>288099</v>
      </c>
      <c r="V292" s="83">
        <f t="shared" si="823"/>
        <v>288099</v>
      </c>
      <c r="W292" s="83">
        <f t="shared" si="823"/>
        <v>288099</v>
      </c>
    </row>
    <row r="293" spans="1:225" s="362" customFormat="1" ht="24.75" customHeight="1" x14ac:dyDescent="0.25">
      <c r="A293" s="2"/>
      <c r="B293" s="1"/>
      <c r="C293" s="78" t="str">
        <f>C292</f>
        <v>GENERAL</v>
      </c>
      <c r="D293" s="24" t="s">
        <v>34</v>
      </c>
      <c r="E293" s="83">
        <f t="shared" si="822"/>
        <v>295059</v>
      </c>
      <c r="F293" s="83">
        <f t="shared" si="822"/>
        <v>290152</v>
      </c>
      <c r="G293" s="83">
        <f t="shared" si="822"/>
        <v>288573</v>
      </c>
      <c r="H293" s="83">
        <f t="shared" si="822"/>
        <v>288099</v>
      </c>
      <c r="I293" s="83">
        <f t="shared" si="822"/>
        <v>288099</v>
      </c>
      <c r="J293" s="83">
        <f t="shared" si="822"/>
        <v>288099</v>
      </c>
      <c r="K293" s="83">
        <f t="shared" si="822"/>
        <v>288099</v>
      </c>
      <c r="L293" s="83">
        <f t="shared" si="822"/>
        <v>288099</v>
      </c>
      <c r="M293" s="83">
        <f t="shared" si="822"/>
        <v>288099</v>
      </c>
      <c r="N293" s="83">
        <f t="shared" si="822"/>
        <v>288099</v>
      </c>
      <c r="O293" s="83">
        <f t="shared" si="823"/>
        <v>288099</v>
      </c>
      <c r="P293" s="83">
        <f t="shared" si="823"/>
        <v>288099</v>
      </c>
      <c r="Q293" s="83">
        <f t="shared" si="823"/>
        <v>288099</v>
      </c>
      <c r="R293" s="83">
        <f t="shared" si="823"/>
        <v>288099</v>
      </c>
      <c r="S293" s="83">
        <f t="shared" si="823"/>
        <v>288099</v>
      </c>
      <c r="T293" s="83">
        <f t="shared" si="823"/>
        <v>288099</v>
      </c>
      <c r="U293" s="83">
        <f t="shared" si="823"/>
        <v>288099</v>
      </c>
      <c r="V293" s="83">
        <f t="shared" si="823"/>
        <v>288099</v>
      </c>
      <c r="W293" s="83">
        <f t="shared" si="823"/>
        <v>288099</v>
      </c>
      <c r="X293" s="2"/>
      <c r="Y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</row>
    <row r="294" spans="1:225" s="362" customFormat="1" ht="24.75" customHeight="1" x14ac:dyDescent="0.25">
      <c r="A294" s="2"/>
      <c r="B294" s="1"/>
      <c r="C294" s="78" t="str">
        <f t="shared" ref="C294:C313" si="824">C293</f>
        <v>GENERAL</v>
      </c>
      <c r="D294" s="23" t="s">
        <v>27</v>
      </c>
      <c r="E294" s="83">
        <f t="shared" si="822"/>
        <v>0</v>
      </c>
      <c r="F294" s="83">
        <f t="shared" si="822"/>
        <v>0</v>
      </c>
      <c r="G294" s="83">
        <f t="shared" si="822"/>
        <v>0</v>
      </c>
      <c r="H294" s="83">
        <f t="shared" si="822"/>
        <v>0</v>
      </c>
      <c r="I294" s="83">
        <f t="shared" si="822"/>
        <v>0</v>
      </c>
      <c r="J294" s="83">
        <f t="shared" si="822"/>
        <v>0</v>
      </c>
      <c r="K294" s="83">
        <f t="shared" si="822"/>
        <v>0</v>
      </c>
      <c r="L294" s="83">
        <f t="shared" si="822"/>
        <v>0</v>
      </c>
      <c r="M294" s="83">
        <f t="shared" si="822"/>
        <v>0</v>
      </c>
      <c r="N294" s="83">
        <f t="shared" si="822"/>
        <v>0</v>
      </c>
      <c r="O294" s="83">
        <f t="shared" si="823"/>
        <v>0</v>
      </c>
      <c r="P294" s="83">
        <f t="shared" si="823"/>
        <v>0</v>
      </c>
      <c r="Q294" s="83">
        <f t="shared" si="823"/>
        <v>0</v>
      </c>
      <c r="R294" s="83">
        <f t="shared" si="823"/>
        <v>0</v>
      </c>
      <c r="S294" s="83">
        <f t="shared" si="823"/>
        <v>0</v>
      </c>
      <c r="T294" s="83">
        <f t="shared" si="823"/>
        <v>0</v>
      </c>
      <c r="U294" s="83">
        <f t="shared" si="823"/>
        <v>0</v>
      </c>
      <c r="V294" s="83">
        <f t="shared" si="823"/>
        <v>0</v>
      </c>
      <c r="W294" s="83">
        <f t="shared" si="823"/>
        <v>0</v>
      </c>
      <c r="X294" s="2"/>
      <c r="Y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</row>
    <row r="295" spans="1:225" s="362" customFormat="1" ht="24.75" customHeight="1" x14ac:dyDescent="0.25">
      <c r="A295" s="2"/>
      <c r="B295" s="1"/>
      <c r="C295" s="78" t="str">
        <f t="shared" si="824"/>
        <v>GENERAL</v>
      </c>
      <c r="D295" s="23" t="s">
        <v>16</v>
      </c>
      <c r="E295" s="83">
        <f t="shared" si="822"/>
        <v>1749</v>
      </c>
      <c r="F295" s="83">
        <f t="shared" si="822"/>
        <v>4999</v>
      </c>
      <c r="G295" s="83">
        <f t="shared" si="822"/>
        <v>1579</v>
      </c>
      <c r="H295" s="83">
        <f t="shared" si="822"/>
        <v>474</v>
      </c>
      <c r="I295" s="83">
        <f t="shared" si="822"/>
        <v>0</v>
      </c>
      <c r="J295" s="83">
        <f t="shared" si="822"/>
        <v>0</v>
      </c>
      <c r="K295" s="83">
        <f t="shared" si="822"/>
        <v>0</v>
      </c>
      <c r="L295" s="83">
        <f t="shared" si="822"/>
        <v>0</v>
      </c>
      <c r="M295" s="83">
        <f t="shared" si="822"/>
        <v>0</v>
      </c>
      <c r="N295" s="83">
        <f t="shared" si="822"/>
        <v>0</v>
      </c>
      <c r="O295" s="83">
        <f t="shared" si="823"/>
        <v>0</v>
      </c>
      <c r="P295" s="83">
        <f t="shared" si="823"/>
        <v>0</v>
      </c>
      <c r="Q295" s="83">
        <f t="shared" si="823"/>
        <v>0</v>
      </c>
      <c r="R295" s="83">
        <f t="shared" si="823"/>
        <v>0</v>
      </c>
      <c r="S295" s="83">
        <f t="shared" si="823"/>
        <v>0</v>
      </c>
      <c r="T295" s="83">
        <f t="shared" si="823"/>
        <v>0</v>
      </c>
      <c r="U295" s="83">
        <f t="shared" si="823"/>
        <v>0</v>
      </c>
      <c r="V295" s="83">
        <f t="shared" si="823"/>
        <v>0</v>
      </c>
      <c r="W295" s="83">
        <f t="shared" si="823"/>
        <v>0</v>
      </c>
      <c r="X295" s="2"/>
      <c r="Y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</row>
    <row r="296" spans="1:225" s="362" customFormat="1" ht="24.75" customHeight="1" x14ac:dyDescent="0.25">
      <c r="A296" s="2"/>
      <c r="B296" s="1"/>
      <c r="C296" s="78" t="str">
        <f t="shared" si="824"/>
        <v>GENERAL</v>
      </c>
      <c r="D296" s="23" t="s">
        <v>17</v>
      </c>
      <c r="E296" s="83">
        <f t="shared" si="822"/>
        <v>0</v>
      </c>
      <c r="F296" s="83">
        <f t="shared" si="822"/>
        <v>0</v>
      </c>
      <c r="G296" s="83">
        <f t="shared" si="822"/>
        <v>0</v>
      </c>
      <c r="H296" s="83">
        <f t="shared" si="822"/>
        <v>0</v>
      </c>
      <c r="I296" s="83">
        <f t="shared" si="822"/>
        <v>0</v>
      </c>
      <c r="J296" s="83">
        <f t="shared" si="822"/>
        <v>0</v>
      </c>
      <c r="K296" s="83">
        <f t="shared" si="822"/>
        <v>0</v>
      </c>
      <c r="L296" s="83">
        <f t="shared" si="822"/>
        <v>0</v>
      </c>
      <c r="M296" s="83">
        <f t="shared" si="822"/>
        <v>0</v>
      </c>
      <c r="N296" s="83">
        <f t="shared" si="822"/>
        <v>0</v>
      </c>
      <c r="O296" s="83">
        <f t="shared" si="823"/>
        <v>0</v>
      </c>
      <c r="P296" s="83">
        <f t="shared" si="823"/>
        <v>0</v>
      </c>
      <c r="Q296" s="83">
        <f t="shared" si="823"/>
        <v>0</v>
      </c>
      <c r="R296" s="83">
        <f t="shared" si="823"/>
        <v>0</v>
      </c>
      <c r="S296" s="83">
        <f t="shared" si="823"/>
        <v>0</v>
      </c>
      <c r="T296" s="83">
        <f t="shared" si="823"/>
        <v>0</v>
      </c>
      <c r="U296" s="83">
        <f t="shared" si="823"/>
        <v>0</v>
      </c>
      <c r="V296" s="83">
        <f t="shared" si="823"/>
        <v>0</v>
      </c>
      <c r="W296" s="83">
        <f t="shared" si="823"/>
        <v>0</v>
      </c>
      <c r="X296" s="2"/>
      <c r="Y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</row>
    <row r="297" spans="1:225" s="362" customFormat="1" ht="24.75" customHeight="1" x14ac:dyDescent="0.25">
      <c r="A297" s="2"/>
      <c r="B297" s="1"/>
      <c r="C297" s="78" t="str">
        <f t="shared" si="824"/>
        <v>GENERAL</v>
      </c>
      <c r="D297" s="23" t="s">
        <v>18</v>
      </c>
      <c r="E297" s="83">
        <f>SUM(E294:E296)</f>
        <v>1749</v>
      </c>
      <c r="F297" s="83">
        <f t="shared" ref="F297:W297" si="825">SUM(F294:F296)</f>
        <v>4999</v>
      </c>
      <c r="G297" s="83">
        <f t="shared" si="825"/>
        <v>1579</v>
      </c>
      <c r="H297" s="83">
        <f t="shared" si="825"/>
        <v>474</v>
      </c>
      <c r="I297" s="83">
        <f t="shared" si="825"/>
        <v>0</v>
      </c>
      <c r="J297" s="83">
        <f t="shared" si="825"/>
        <v>0</v>
      </c>
      <c r="K297" s="83">
        <f t="shared" si="825"/>
        <v>0</v>
      </c>
      <c r="L297" s="83">
        <f t="shared" si="825"/>
        <v>0</v>
      </c>
      <c r="M297" s="83">
        <f t="shared" si="825"/>
        <v>0</v>
      </c>
      <c r="N297" s="83">
        <f t="shared" si="825"/>
        <v>0</v>
      </c>
      <c r="O297" s="83">
        <f t="shared" si="825"/>
        <v>0</v>
      </c>
      <c r="P297" s="83">
        <f t="shared" si="825"/>
        <v>0</v>
      </c>
      <c r="Q297" s="83">
        <f t="shared" si="825"/>
        <v>0</v>
      </c>
      <c r="R297" s="83">
        <f t="shared" si="825"/>
        <v>0</v>
      </c>
      <c r="S297" s="83">
        <f t="shared" si="825"/>
        <v>0</v>
      </c>
      <c r="T297" s="83">
        <f t="shared" si="825"/>
        <v>0</v>
      </c>
      <c r="U297" s="83">
        <f t="shared" si="825"/>
        <v>0</v>
      </c>
      <c r="V297" s="83">
        <f t="shared" si="825"/>
        <v>0</v>
      </c>
      <c r="W297" s="83">
        <f t="shared" si="825"/>
        <v>0</v>
      </c>
      <c r="X297" s="2"/>
      <c r="Y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</row>
    <row r="298" spans="1:225" s="362" customFormat="1" ht="24.75" customHeight="1" x14ac:dyDescent="0.25">
      <c r="A298" s="2"/>
      <c r="B298" s="1"/>
      <c r="C298" s="78" t="str">
        <f t="shared" si="824"/>
        <v>GENERAL</v>
      </c>
      <c r="D298" s="23" t="s">
        <v>48</v>
      </c>
      <c r="E298" s="83">
        <f t="shared" ref="E298:W298" si="826">IF($C298="GENERAL",SUMIFS(E$169:E$288,$D$169:$D$288,$D298),SUMIFS(E$169:E$288,$C$169:$C$288,$C298,$D$169:$D$288,$D298))</f>
        <v>1749</v>
      </c>
      <c r="F298" s="83">
        <f t="shared" si="826"/>
        <v>6748</v>
      </c>
      <c r="G298" s="83">
        <f t="shared" si="826"/>
        <v>8327</v>
      </c>
      <c r="H298" s="83">
        <f t="shared" si="826"/>
        <v>8801</v>
      </c>
      <c r="I298" s="83">
        <f t="shared" si="826"/>
        <v>8801</v>
      </c>
      <c r="J298" s="83">
        <f t="shared" si="826"/>
        <v>8801</v>
      </c>
      <c r="K298" s="83">
        <f t="shared" si="826"/>
        <v>8801</v>
      </c>
      <c r="L298" s="83">
        <f t="shared" si="826"/>
        <v>8801</v>
      </c>
      <c r="M298" s="83">
        <f t="shared" si="826"/>
        <v>8801</v>
      </c>
      <c r="N298" s="83">
        <f t="shared" si="826"/>
        <v>8801</v>
      </c>
      <c r="O298" s="83">
        <f t="shared" si="826"/>
        <v>8801</v>
      </c>
      <c r="P298" s="83">
        <f t="shared" si="826"/>
        <v>8801</v>
      </c>
      <c r="Q298" s="83">
        <f t="shared" si="826"/>
        <v>8801</v>
      </c>
      <c r="R298" s="83">
        <f t="shared" si="826"/>
        <v>8801</v>
      </c>
      <c r="S298" s="83">
        <f t="shared" si="826"/>
        <v>8801</v>
      </c>
      <c r="T298" s="83">
        <f t="shared" si="826"/>
        <v>8801</v>
      </c>
      <c r="U298" s="83">
        <f t="shared" si="826"/>
        <v>8801</v>
      </c>
      <c r="V298" s="83">
        <f t="shared" si="826"/>
        <v>8801</v>
      </c>
      <c r="W298" s="83">
        <f t="shared" si="826"/>
        <v>8801</v>
      </c>
      <c r="X298" s="2"/>
      <c r="Y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</row>
    <row r="299" spans="1:225" s="362" customFormat="1" ht="24.75" customHeight="1" x14ac:dyDescent="0.25">
      <c r="A299" s="2"/>
      <c r="B299" s="1"/>
      <c r="C299" s="78" t="str">
        <f t="shared" si="824"/>
        <v>GENERAL</v>
      </c>
      <c r="D299" s="86" t="s">
        <v>72</v>
      </c>
      <c r="E299" s="83">
        <f>VLOOKUP(E$291,LOHMANN,4,0)</f>
        <v>0.7</v>
      </c>
      <c r="F299" s="83">
        <f t="shared" ref="F299:W299" si="827">VLOOKUP(F$291,LOHMANN,4,0)</f>
        <v>0.7</v>
      </c>
      <c r="G299" s="83">
        <f t="shared" si="827"/>
        <v>0.7</v>
      </c>
      <c r="H299" s="83">
        <f t="shared" si="827"/>
        <v>0.5</v>
      </c>
      <c r="I299" s="83">
        <f t="shared" si="827"/>
        <v>0.3</v>
      </c>
      <c r="J299" s="83">
        <f t="shared" si="827"/>
        <v>0.18</v>
      </c>
      <c r="K299" s="83">
        <f t="shared" si="827"/>
        <v>0.18</v>
      </c>
      <c r="L299" s="83">
        <f>VLOOKUP(L$291,LOHMANN,4,0)</f>
        <v>0.16</v>
      </c>
      <c r="M299" s="83">
        <f t="shared" si="827"/>
        <v>0.16</v>
      </c>
      <c r="N299" s="83">
        <f t="shared" si="827"/>
        <v>0.16</v>
      </c>
      <c r="O299" s="83">
        <f t="shared" si="827"/>
        <v>0.16</v>
      </c>
      <c r="P299" s="83">
        <f t="shared" si="827"/>
        <v>0.16</v>
      </c>
      <c r="Q299" s="83">
        <f t="shared" si="827"/>
        <v>0.16</v>
      </c>
      <c r="R299" s="83">
        <f t="shared" si="827"/>
        <v>0.16</v>
      </c>
      <c r="S299" s="83">
        <f t="shared" si="827"/>
        <v>0.16</v>
      </c>
      <c r="T299" s="83">
        <f t="shared" si="827"/>
        <v>0.16</v>
      </c>
      <c r="U299" s="83">
        <f t="shared" si="827"/>
        <v>0.16</v>
      </c>
      <c r="V299" s="83">
        <f t="shared" si="827"/>
        <v>0.16</v>
      </c>
      <c r="W299" s="83">
        <f t="shared" si="827"/>
        <v>0.16</v>
      </c>
      <c r="X299" s="2"/>
      <c r="Y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</row>
    <row r="300" spans="1:225" s="362" customFormat="1" ht="24.75" customHeight="1" x14ac:dyDescent="0.25">
      <c r="A300" s="2"/>
      <c r="B300" s="1"/>
      <c r="C300" s="78" t="str">
        <f t="shared" si="824"/>
        <v>GENERAL</v>
      </c>
      <c r="D300" s="308" t="s">
        <v>74</v>
      </c>
      <c r="E300" s="213">
        <f>IFERROR((E297/E292)*100,0)</f>
        <v>0.58922615638581</v>
      </c>
      <c r="F300" s="213">
        <f>IFERROR((F297/F292)*100,0)</f>
        <v>1.6937093216692474</v>
      </c>
      <c r="G300" s="213">
        <f>IFERROR((G297/G292)*100,0)</f>
        <v>0.54419752405635669</v>
      </c>
      <c r="H300" s="213">
        <f t="shared" ref="H300:W300" si="828">IFERROR((H297/H292)*100,0)</f>
        <v>0.16441663313584837</v>
      </c>
      <c r="I300" s="213">
        <f>IFERROR((I297/I292)*100,0)</f>
        <v>0</v>
      </c>
      <c r="J300" s="213">
        <f t="shared" si="828"/>
        <v>0</v>
      </c>
      <c r="K300" s="213">
        <f t="shared" si="828"/>
        <v>0</v>
      </c>
      <c r="L300" s="213">
        <f t="shared" si="828"/>
        <v>0</v>
      </c>
      <c r="M300" s="213">
        <f>IFERROR((M297/M292)*100,0)</f>
        <v>0</v>
      </c>
      <c r="N300" s="213">
        <f t="shared" si="828"/>
        <v>0</v>
      </c>
      <c r="O300" s="213">
        <f>IFERROR((O297/O292)*100,0)</f>
        <v>0</v>
      </c>
      <c r="P300" s="213">
        <f t="shared" si="828"/>
        <v>0</v>
      </c>
      <c r="Q300" s="213">
        <f t="shared" si="828"/>
        <v>0</v>
      </c>
      <c r="R300" s="213">
        <f t="shared" si="828"/>
        <v>0</v>
      </c>
      <c r="S300" s="213">
        <f t="shared" si="828"/>
        <v>0</v>
      </c>
      <c r="T300" s="213">
        <f t="shared" si="828"/>
        <v>0</v>
      </c>
      <c r="U300" s="213">
        <f t="shared" si="828"/>
        <v>0</v>
      </c>
      <c r="V300" s="213">
        <f t="shared" si="828"/>
        <v>0</v>
      </c>
      <c r="W300" s="213">
        <f t="shared" si="828"/>
        <v>0</v>
      </c>
      <c r="X300" s="2"/>
      <c r="Y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</row>
    <row r="301" spans="1:225" s="362" customFormat="1" ht="24.75" customHeight="1" x14ac:dyDescent="0.25">
      <c r="A301" s="2"/>
      <c r="B301" s="1"/>
      <c r="C301" s="78" t="str">
        <f t="shared" si="824"/>
        <v>GENERAL</v>
      </c>
      <c r="D301" s="87" t="s">
        <v>49</v>
      </c>
      <c r="E301" s="83">
        <f>VLOOKUP(E$291,LOHMANN,5,0)</f>
        <v>0.7</v>
      </c>
      <c r="F301" s="83">
        <f t="shared" ref="F301:W301" si="829">VLOOKUP(F$291,LOHMANN,5,0)</f>
        <v>0.7</v>
      </c>
      <c r="G301" s="83">
        <f t="shared" si="829"/>
        <v>1.4</v>
      </c>
      <c r="H301" s="83">
        <f t="shared" si="829"/>
        <v>1.9</v>
      </c>
      <c r="I301" s="83">
        <f t="shared" si="829"/>
        <v>2.1999999999999997</v>
      </c>
      <c r="J301" s="83">
        <f t="shared" si="829"/>
        <v>2.38</v>
      </c>
      <c r="K301" s="83">
        <f t="shared" si="829"/>
        <v>2.56</v>
      </c>
      <c r="L301" s="83">
        <f t="shared" si="829"/>
        <v>2.72</v>
      </c>
      <c r="M301" s="83">
        <f t="shared" si="829"/>
        <v>2.8800000000000003</v>
      </c>
      <c r="N301" s="83">
        <f t="shared" si="829"/>
        <v>3.0400000000000005</v>
      </c>
      <c r="O301" s="83">
        <f>VLOOKUP(O$291,LOHMANN,5,0)</f>
        <v>3.2000000000000006</v>
      </c>
      <c r="P301" s="83">
        <f t="shared" si="829"/>
        <v>3.3600000000000008</v>
      </c>
      <c r="Q301" s="83">
        <f t="shared" si="829"/>
        <v>3.5200000000000009</v>
      </c>
      <c r="R301" s="83">
        <f t="shared" si="829"/>
        <v>3.680000000000001</v>
      </c>
      <c r="S301" s="83">
        <f t="shared" si="829"/>
        <v>3.8400000000000012</v>
      </c>
      <c r="T301" s="83">
        <f t="shared" si="829"/>
        <v>4.0000000000000009</v>
      </c>
      <c r="U301" s="83">
        <f t="shared" si="829"/>
        <v>4.160000000000001</v>
      </c>
      <c r="V301" s="83">
        <f t="shared" si="829"/>
        <v>4.3200000000000012</v>
      </c>
      <c r="W301" s="83">
        <f t="shared" si="829"/>
        <v>4.4800000000000013</v>
      </c>
      <c r="X301" s="2"/>
      <c r="Y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</row>
    <row r="302" spans="1:225" s="362" customFormat="1" ht="24.75" customHeight="1" x14ac:dyDescent="0.25">
      <c r="A302" s="2"/>
      <c r="B302" s="1"/>
      <c r="C302" s="78" t="str">
        <f t="shared" si="824"/>
        <v>GENERAL</v>
      </c>
      <c r="D302" s="309" t="s">
        <v>73</v>
      </c>
      <c r="E302" s="213">
        <f>IFERROR((E298/E292)*100,0)</f>
        <v>0.58922615638581</v>
      </c>
      <c r="F302" s="213">
        <f>IFERROR((F298/F292)*100,0)</f>
        <v>2.2862873579964154</v>
      </c>
      <c r="G302" s="213">
        <f>IFERROR((G298/G292)*100,0)</f>
        <v>2.8698750999476137</v>
      </c>
      <c r="H302" s="213">
        <f>IFERROR((H298/H292)*100,0)</f>
        <v>3.052807570102535</v>
      </c>
      <c r="I302" s="213">
        <f t="shared" ref="I302:W302" si="830">IFERROR((I298/I292)*100,0)</f>
        <v>3.0548526721717191</v>
      </c>
      <c r="J302" s="213">
        <f>IFERROR((J298/J292)*100,0)</f>
        <v>3.0548526721717191</v>
      </c>
      <c r="K302" s="213">
        <f t="shared" si="830"/>
        <v>3.0548526721717191</v>
      </c>
      <c r="L302" s="213">
        <f t="shared" si="830"/>
        <v>3.0548526721717191</v>
      </c>
      <c r="M302" s="213">
        <f t="shared" si="830"/>
        <v>3.0548526721717191</v>
      </c>
      <c r="N302" s="213">
        <f t="shared" si="830"/>
        <v>3.0548526721717191</v>
      </c>
      <c r="O302" s="213">
        <f>IFERROR((O298/O292)*100,0)</f>
        <v>3.0548526721717191</v>
      </c>
      <c r="P302" s="213">
        <f t="shared" si="830"/>
        <v>3.0548526721717191</v>
      </c>
      <c r="Q302" s="213">
        <f>IFERROR((Q298/Q292)*100,0)</f>
        <v>3.0548526721717191</v>
      </c>
      <c r="R302" s="213">
        <f t="shared" si="830"/>
        <v>3.0548526721717191</v>
      </c>
      <c r="S302" s="213">
        <f t="shared" si="830"/>
        <v>3.0548526721717191</v>
      </c>
      <c r="T302" s="213">
        <f t="shared" si="830"/>
        <v>3.0548526721717191</v>
      </c>
      <c r="U302" s="213">
        <f t="shared" si="830"/>
        <v>3.0548526721717191</v>
      </c>
      <c r="V302" s="213">
        <f t="shared" si="830"/>
        <v>3.0548526721717191</v>
      </c>
      <c r="W302" s="213">
        <f t="shared" si="830"/>
        <v>3.0548526721717191</v>
      </c>
      <c r="X302" s="2"/>
      <c r="Y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</row>
    <row r="303" spans="1:225" s="362" customFormat="1" ht="24.75" customHeight="1" x14ac:dyDescent="0.25">
      <c r="A303" s="2"/>
      <c r="B303" s="1"/>
      <c r="C303" s="78" t="str">
        <f t="shared" si="824"/>
        <v>GENERAL</v>
      </c>
      <c r="D303" s="23" t="s">
        <v>9</v>
      </c>
      <c r="E303" s="83">
        <f t="shared" ref="E303:W303" si="831">IF($C303="GENERAL",SUMIFS(E$169:E$288,$D$169:$D$288,$D303),SUMIFS(E$169:E$288,$C$169:$C$288,$C303,$D$169:$D$288,$D303))</f>
        <v>9360</v>
      </c>
      <c r="F303" s="83">
        <f t="shared" si="831"/>
        <v>22500</v>
      </c>
      <c r="G303" s="83">
        <f t="shared" si="831"/>
        <v>42462</v>
      </c>
      <c r="H303" s="83">
        <f t="shared" si="831"/>
        <v>11691</v>
      </c>
      <c r="I303" s="83">
        <f t="shared" si="831"/>
        <v>0</v>
      </c>
      <c r="J303" s="83">
        <f t="shared" si="831"/>
        <v>0</v>
      </c>
      <c r="K303" s="83">
        <f t="shared" si="831"/>
        <v>0</v>
      </c>
      <c r="L303" s="83">
        <f t="shared" si="831"/>
        <v>0</v>
      </c>
      <c r="M303" s="83">
        <f t="shared" si="831"/>
        <v>0</v>
      </c>
      <c r="N303" s="83">
        <f t="shared" si="831"/>
        <v>0</v>
      </c>
      <c r="O303" s="83">
        <f t="shared" si="831"/>
        <v>0</v>
      </c>
      <c r="P303" s="83">
        <f t="shared" si="831"/>
        <v>0</v>
      </c>
      <c r="Q303" s="83">
        <f t="shared" si="831"/>
        <v>0</v>
      </c>
      <c r="R303" s="83">
        <f t="shared" si="831"/>
        <v>0</v>
      </c>
      <c r="S303" s="83">
        <f t="shared" si="831"/>
        <v>0</v>
      </c>
      <c r="T303" s="83">
        <f t="shared" si="831"/>
        <v>0</v>
      </c>
      <c r="U303" s="83">
        <f t="shared" si="831"/>
        <v>0</v>
      </c>
      <c r="V303" s="83">
        <f t="shared" si="831"/>
        <v>0</v>
      </c>
      <c r="W303" s="83">
        <f t="shared" si="831"/>
        <v>0</v>
      </c>
      <c r="X303" s="2"/>
      <c r="Y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</row>
    <row r="304" spans="1:225" s="362" customFormat="1" ht="24.75" customHeight="1" x14ac:dyDescent="0.25">
      <c r="A304" s="2"/>
      <c r="B304" s="1"/>
      <c r="C304" s="78" t="str">
        <f t="shared" si="824"/>
        <v>GENERAL</v>
      </c>
      <c r="D304" s="86" t="s">
        <v>75</v>
      </c>
      <c r="E304" s="83">
        <f>VLOOKUP(E$291,LOHMANN,6,0)</f>
        <v>10</v>
      </c>
      <c r="F304" s="83">
        <f t="shared" ref="F304:W304" si="832">VLOOKUP(F$291,LOHMANN,6,0)</f>
        <v>10</v>
      </c>
      <c r="G304" s="83">
        <f t="shared" si="832"/>
        <v>17</v>
      </c>
      <c r="H304" s="83">
        <f t="shared" si="832"/>
        <v>23</v>
      </c>
      <c r="I304" s="83">
        <f t="shared" si="832"/>
        <v>29</v>
      </c>
      <c r="J304" s="83">
        <f t="shared" si="832"/>
        <v>34</v>
      </c>
      <c r="K304" s="83">
        <f t="shared" si="832"/>
        <v>38</v>
      </c>
      <c r="L304" s="83">
        <f t="shared" si="832"/>
        <v>42</v>
      </c>
      <c r="M304" s="83">
        <f t="shared" si="832"/>
        <v>46</v>
      </c>
      <c r="N304" s="83">
        <f t="shared" si="832"/>
        <v>49</v>
      </c>
      <c r="O304" s="83">
        <f>VLOOKUP(O$291,LOHMANN,6,0)</f>
        <v>52</v>
      </c>
      <c r="P304" s="83">
        <f t="shared" si="832"/>
        <v>55</v>
      </c>
      <c r="Q304" s="83">
        <f t="shared" si="832"/>
        <v>58</v>
      </c>
      <c r="R304" s="83">
        <f t="shared" si="832"/>
        <v>61</v>
      </c>
      <c r="S304" s="83">
        <f t="shared" si="832"/>
        <v>64</v>
      </c>
      <c r="T304" s="83">
        <f t="shared" si="832"/>
        <v>67</v>
      </c>
      <c r="U304" s="83">
        <f t="shared" si="832"/>
        <v>71</v>
      </c>
      <c r="V304" s="83">
        <f t="shared" si="832"/>
        <v>75</v>
      </c>
      <c r="W304" s="83">
        <f t="shared" si="832"/>
        <v>79</v>
      </c>
      <c r="X304" s="2"/>
      <c r="Y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</row>
    <row r="305" spans="1:225" s="362" customFormat="1" ht="24.75" customHeight="1" x14ac:dyDescent="0.25">
      <c r="A305" s="2"/>
      <c r="B305" s="1"/>
      <c r="C305" s="78" t="str">
        <f t="shared" si="824"/>
        <v>GENERAL</v>
      </c>
      <c r="D305" s="308" t="s">
        <v>62</v>
      </c>
      <c r="E305" s="212">
        <f t="shared" ref="E305:W305" si="833">IF($C305="GENERAL",AVERAGEIFS(E$169:E$288,$D$169:$D$288,$D305),SUMIFS(E$169:E$288,$C$169:$C$288,$C305,$D$169:$D$288,$D305))</f>
        <v>1.5123398693021666</v>
      </c>
      <c r="F305" s="212">
        <f t="shared" si="833"/>
        <v>4.4530058767337133</v>
      </c>
      <c r="G305" s="212">
        <f t="shared" si="833"/>
        <v>8.6244527570937368</v>
      </c>
      <c r="H305" s="212">
        <f t="shared" si="833"/>
        <v>2.4143886748678622</v>
      </c>
      <c r="I305" s="212">
        <f t="shared" si="833"/>
        <v>0</v>
      </c>
      <c r="J305" s="212">
        <f t="shared" si="833"/>
        <v>0</v>
      </c>
      <c r="K305" s="212">
        <f t="shared" si="833"/>
        <v>0</v>
      </c>
      <c r="L305" s="212">
        <f t="shared" si="833"/>
        <v>0</v>
      </c>
      <c r="M305" s="212">
        <f t="shared" si="833"/>
        <v>0</v>
      </c>
      <c r="N305" s="212">
        <f t="shared" si="833"/>
        <v>0</v>
      </c>
      <c r="O305" s="212">
        <f t="shared" si="833"/>
        <v>0</v>
      </c>
      <c r="P305" s="212">
        <f t="shared" si="833"/>
        <v>0</v>
      </c>
      <c r="Q305" s="212">
        <f t="shared" si="833"/>
        <v>0</v>
      </c>
      <c r="R305" s="212">
        <f t="shared" si="833"/>
        <v>0</v>
      </c>
      <c r="S305" s="212">
        <f t="shared" si="833"/>
        <v>0</v>
      </c>
      <c r="T305" s="212">
        <f t="shared" si="833"/>
        <v>0</v>
      </c>
      <c r="U305" s="212">
        <f t="shared" si="833"/>
        <v>0</v>
      </c>
      <c r="V305" s="212">
        <f t="shared" si="833"/>
        <v>0</v>
      </c>
      <c r="W305" s="212">
        <f t="shared" si="833"/>
        <v>0</v>
      </c>
      <c r="X305" s="741"/>
      <c r="Y305" s="741"/>
      <c r="Z305" s="741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</row>
    <row r="306" spans="1:225" s="362" customFormat="1" ht="24.75" customHeight="1" x14ac:dyDescent="0.25">
      <c r="A306" s="2"/>
      <c r="B306" s="1"/>
      <c r="C306" s="78" t="str">
        <f t="shared" si="824"/>
        <v>GENERAL</v>
      </c>
      <c r="D306" s="86" t="s">
        <v>142</v>
      </c>
      <c r="E306" s="83">
        <f t="shared" ref="E306:W306" si="834">VLOOKUP(E$291,LOHMANN,7,0)</f>
        <v>70</v>
      </c>
      <c r="F306" s="83">
        <f t="shared" si="834"/>
        <v>70</v>
      </c>
      <c r="G306" s="83">
        <f t="shared" si="834"/>
        <v>189</v>
      </c>
      <c r="H306" s="83">
        <f t="shared" si="834"/>
        <v>350</v>
      </c>
      <c r="I306" s="83">
        <f t="shared" si="834"/>
        <v>553</v>
      </c>
      <c r="J306" s="83">
        <f t="shared" si="834"/>
        <v>791</v>
      </c>
      <c r="K306" s="83">
        <f t="shared" si="834"/>
        <v>1057</v>
      </c>
      <c r="L306" s="83">
        <f t="shared" si="834"/>
        <v>1351</v>
      </c>
      <c r="M306" s="83">
        <f t="shared" si="834"/>
        <v>1673</v>
      </c>
      <c r="N306" s="83">
        <f t="shared" si="834"/>
        <v>2016</v>
      </c>
      <c r="O306" s="83">
        <f>VLOOKUP(O$291,LOHMANN,7,0)</f>
        <v>2380</v>
      </c>
      <c r="P306" s="83">
        <f t="shared" si="834"/>
        <v>2765</v>
      </c>
      <c r="Q306" s="83">
        <f t="shared" si="834"/>
        <v>3171</v>
      </c>
      <c r="R306" s="83">
        <f t="shared" si="834"/>
        <v>3598</v>
      </c>
      <c r="S306" s="83">
        <f t="shared" si="834"/>
        <v>4046</v>
      </c>
      <c r="T306" s="83">
        <f t="shared" si="834"/>
        <v>4515</v>
      </c>
      <c r="U306" s="83">
        <f t="shared" si="834"/>
        <v>5012</v>
      </c>
      <c r="V306" s="83">
        <f t="shared" si="834"/>
        <v>5537</v>
      </c>
      <c r="W306" s="83">
        <f t="shared" si="834"/>
        <v>6090</v>
      </c>
      <c r="X306" s="2"/>
      <c r="Y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</row>
    <row r="307" spans="1:225" s="362" customFormat="1" ht="24.75" customHeight="1" x14ac:dyDescent="0.25">
      <c r="A307" s="2"/>
      <c r="B307" s="1"/>
      <c r="C307" s="78" t="str">
        <f t="shared" si="824"/>
        <v>GENERAL</v>
      </c>
      <c r="D307" s="24" t="s">
        <v>50</v>
      </c>
      <c r="E307" s="83">
        <f>IFERROR(IF($C307="GENERAL",E303/E292*1000,SUMIFS(E$169:E$288,$C$169:$C$288,$C307,$D$169:$D$288,$D307)),0)</f>
        <v>31.533200822019339</v>
      </c>
      <c r="F307" s="83">
        <f t="shared" ref="F307:W307" si="835">IFERROR(IF($C307="GENERAL",F303/F292*1000,SUMIFS(F$169:F$288,$C$169:$C$288,$C307,$D$169:$D$288,$D307)),0)</f>
        <v>76.232165908297787</v>
      </c>
      <c r="G307" s="83">
        <f t="shared" si="835"/>
        <v>146.34398522153904</v>
      </c>
      <c r="H307" s="83">
        <f t="shared" si="835"/>
        <v>40.552634134835515</v>
      </c>
      <c r="I307" s="83">
        <f t="shared" si="835"/>
        <v>0</v>
      </c>
      <c r="J307" s="83">
        <f t="shared" si="835"/>
        <v>0</v>
      </c>
      <c r="K307" s="83">
        <f t="shared" si="835"/>
        <v>0</v>
      </c>
      <c r="L307" s="83">
        <f t="shared" si="835"/>
        <v>0</v>
      </c>
      <c r="M307" s="83">
        <f t="shared" si="835"/>
        <v>0</v>
      </c>
      <c r="N307" s="83">
        <f t="shared" si="835"/>
        <v>0</v>
      </c>
      <c r="O307" s="83">
        <f t="shared" si="835"/>
        <v>0</v>
      </c>
      <c r="P307" s="83">
        <f t="shared" si="835"/>
        <v>0</v>
      </c>
      <c r="Q307" s="83">
        <f t="shared" si="835"/>
        <v>0</v>
      </c>
      <c r="R307" s="83">
        <f t="shared" si="835"/>
        <v>0</v>
      </c>
      <c r="S307" s="83">
        <f t="shared" si="835"/>
        <v>0</v>
      </c>
      <c r="T307" s="83">
        <f t="shared" si="835"/>
        <v>0</v>
      </c>
      <c r="U307" s="83">
        <f t="shared" si="835"/>
        <v>0</v>
      </c>
      <c r="V307" s="83">
        <f t="shared" si="835"/>
        <v>0</v>
      </c>
      <c r="W307" s="83">
        <f t="shared" si="835"/>
        <v>0</v>
      </c>
      <c r="X307" s="2"/>
      <c r="Y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</row>
    <row r="308" spans="1:225" s="362" customFormat="1" ht="24.75" customHeight="1" x14ac:dyDescent="0.25">
      <c r="A308" s="2"/>
      <c r="B308" s="1"/>
      <c r="C308" s="78" t="str">
        <f t="shared" si="824"/>
        <v>GENERAL</v>
      </c>
      <c r="D308" s="86" t="s">
        <v>63</v>
      </c>
      <c r="E308" s="83">
        <f t="shared" ref="E308:W308" si="836">VLOOKUP(E$291,LOHMANN,2,0)</f>
        <v>40</v>
      </c>
      <c r="F308" s="83">
        <f t="shared" si="836"/>
        <v>70</v>
      </c>
      <c r="G308" s="83">
        <f t="shared" si="836"/>
        <v>120</v>
      </c>
      <c r="H308" s="83">
        <f t="shared" si="836"/>
        <v>185</v>
      </c>
      <c r="I308" s="83">
        <f t="shared" si="836"/>
        <v>255</v>
      </c>
      <c r="J308" s="83">
        <f t="shared" si="836"/>
        <v>334</v>
      </c>
      <c r="K308" s="83">
        <f t="shared" si="836"/>
        <v>425</v>
      </c>
      <c r="L308" s="83">
        <f t="shared" si="836"/>
        <v>524</v>
      </c>
      <c r="M308" s="83">
        <f t="shared" si="836"/>
        <v>618</v>
      </c>
      <c r="N308" s="83">
        <f t="shared" si="836"/>
        <v>712</v>
      </c>
      <c r="O308" s="83">
        <f t="shared" si="836"/>
        <v>802</v>
      </c>
      <c r="P308" s="83">
        <f t="shared" si="836"/>
        <v>880</v>
      </c>
      <c r="Q308" s="83">
        <f t="shared" si="836"/>
        <v>950</v>
      </c>
      <c r="R308" s="83">
        <f t="shared" si="836"/>
        <v>1010</v>
      </c>
      <c r="S308" s="83">
        <f t="shared" si="836"/>
        <v>1065</v>
      </c>
      <c r="T308" s="83">
        <f t="shared" si="836"/>
        <v>1115</v>
      </c>
      <c r="U308" s="83">
        <f t="shared" si="836"/>
        <v>1160</v>
      </c>
      <c r="V308" s="83">
        <f t="shared" si="836"/>
        <v>1207</v>
      </c>
      <c r="W308" s="83">
        <f t="shared" si="836"/>
        <v>1257</v>
      </c>
      <c r="X308" s="2"/>
      <c r="Y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</row>
    <row r="309" spans="1:225" s="362" customFormat="1" ht="24.75" customHeight="1" x14ac:dyDescent="0.25">
      <c r="A309" s="2"/>
      <c r="B309" s="1"/>
      <c r="C309" s="78" t="str">
        <f t="shared" si="824"/>
        <v>GENERAL</v>
      </c>
      <c r="D309" s="308" t="s">
        <v>64</v>
      </c>
      <c r="E309" s="294">
        <f>IF($C309="GENERAL",SUM(E185+E233)/2,SUMIFS(E$169:E$288,$C$169:$C$288,$C309,$D$169:$D$288,$D309))</f>
        <v>33</v>
      </c>
      <c r="F309" s="294">
        <f>IF($C309="GENERAL",SUM(F185+F233)/2,SUMIFS(F$169:F$288,$C$169:$C$288,$C309,$D$169:$D$288,$D309))</f>
        <v>69</v>
      </c>
      <c r="G309" s="294">
        <f t="shared" ref="G309:W309" si="837">IF($C309="GENERAL",SUM(G185+G233)/2,SUMIFS(G$169:G$288,$C$169:$C$288,$C309,$D$169:$D$288,$D309))</f>
        <v>121</v>
      </c>
      <c r="H309" s="294">
        <f t="shared" si="837"/>
        <v>89</v>
      </c>
      <c r="I309" s="294">
        <f t="shared" si="837"/>
        <v>0</v>
      </c>
      <c r="J309" s="294">
        <f t="shared" si="837"/>
        <v>0</v>
      </c>
      <c r="K309" s="294">
        <f t="shared" si="837"/>
        <v>0</v>
      </c>
      <c r="L309" s="294">
        <f t="shared" si="837"/>
        <v>0</v>
      </c>
      <c r="M309" s="294">
        <f t="shared" si="837"/>
        <v>0</v>
      </c>
      <c r="N309" s="294">
        <f t="shared" si="837"/>
        <v>0</v>
      </c>
      <c r="O309" s="294">
        <f t="shared" si="837"/>
        <v>0</v>
      </c>
      <c r="P309" s="294">
        <f t="shared" si="837"/>
        <v>0</v>
      </c>
      <c r="Q309" s="294">
        <f t="shared" si="837"/>
        <v>0</v>
      </c>
      <c r="R309" s="294">
        <f t="shared" si="837"/>
        <v>0</v>
      </c>
      <c r="S309" s="294">
        <f t="shared" si="837"/>
        <v>0</v>
      </c>
      <c r="T309" s="294">
        <f t="shared" si="837"/>
        <v>0</v>
      </c>
      <c r="U309" s="294">
        <f t="shared" si="837"/>
        <v>0</v>
      </c>
      <c r="V309" s="294">
        <f t="shared" si="837"/>
        <v>0</v>
      </c>
      <c r="W309" s="294">
        <f t="shared" si="837"/>
        <v>0</v>
      </c>
      <c r="X309" s="884" t="s">
        <v>164</v>
      </c>
      <c r="Y309" s="884"/>
      <c r="Z309" s="884"/>
      <c r="AA309" s="884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</row>
    <row r="310" spans="1:225" s="362" customFormat="1" ht="24.75" customHeight="1" x14ac:dyDescent="0.25">
      <c r="A310" s="2"/>
      <c r="B310" s="1"/>
      <c r="C310" s="78" t="str">
        <f t="shared" si="824"/>
        <v>GENERAL</v>
      </c>
      <c r="D310" s="23" t="s">
        <v>15</v>
      </c>
      <c r="E310" s="295">
        <f>E308-E309</f>
        <v>7</v>
      </c>
      <c r="F310" s="295">
        <f>F308-F309</f>
        <v>1</v>
      </c>
      <c r="G310" s="295">
        <f t="shared" ref="G310:W310" si="838">G308-G309</f>
        <v>-1</v>
      </c>
      <c r="H310" s="295">
        <f t="shared" si="838"/>
        <v>96</v>
      </c>
      <c r="I310" s="295">
        <f t="shared" si="838"/>
        <v>255</v>
      </c>
      <c r="J310" s="295">
        <f t="shared" si="838"/>
        <v>334</v>
      </c>
      <c r="K310" s="295">
        <f t="shared" si="838"/>
        <v>425</v>
      </c>
      <c r="L310" s="295">
        <f t="shared" si="838"/>
        <v>524</v>
      </c>
      <c r="M310" s="295">
        <f t="shared" si="838"/>
        <v>618</v>
      </c>
      <c r="N310" s="295">
        <f t="shared" si="838"/>
        <v>712</v>
      </c>
      <c r="O310" s="295">
        <f t="shared" si="838"/>
        <v>802</v>
      </c>
      <c r="P310" s="295">
        <f t="shared" si="838"/>
        <v>880</v>
      </c>
      <c r="Q310" s="295">
        <f t="shared" si="838"/>
        <v>950</v>
      </c>
      <c r="R310" s="295">
        <f t="shared" si="838"/>
        <v>1010</v>
      </c>
      <c r="S310" s="295">
        <f>S308-S309</f>
        <v>1065</v>
      </c>
      <c r="T310" s="295">
        <f t="shared" si="838"/>
        <v>1115</v>
      </c>
      <c r="U310" s="295">
        <f t="shared" si="838"/>
        <v>1160</v>
      </c>
      <c r="V310" s="295">
        <f t="shared" si="838"/>
        <v>1207</v>
      </c>
      <c r="W310" s="295">
        <f t="shared" si="838"/>
        <v>1257</v>
      </c>
      <c r="X310" s="2"/>
      <c r="Y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</row>
    <row r="311" spans="1:225" s="362" customFormat="1" ht="24.75" customHeight="1" x14ac:dyDescent="0.25">
      <c r="A311" s="2"/>
      <c r="B311" s="1"/>
      <c r="C311" s="78" t="str">
        <f t="shared" si="824"/>
        <v>GENERAL</v>
      </c>
      <c r="D311" s="86" t="s">
        <v>65</v>
      </c>
      <c r="E311" s="83">
        <f>VLOOKUP(E$291,LOHMANN,3,0)</f>
        <v>77</v>
      </c>
      <c r="F311" s="83">
        <f t="shared" ref="F311:W311" si="839">VLOOKUP(F$291,LOHMANN,3,0)</f>
        <v>77</v>
      </c>
      <c r="G311" s="83">
        <f t="shared" si="839"/>
        <v>77</v>
      </c>
      <c r="H311" s="83">
        <f t="shared" si="839"/>
        <v>77</v>
      </c>
      <c r="I311" s="83">
        <f t="shared" si="839"/>
        <v>79</v>
      </c>
      <c r="J311" s="83">
        <f t="shared" si="839"/>
        <v>79</v>
      </c>
      <c r="K311" s="83">
        <f t="shared" si="839"/>
        <v>79</v>
      </c>
      <c r="L311" s="83">
        <f t="shared" si="839"/>
        <v>79</v>
      </c>
      <c r="M311" s="83">
        <f t="shared" si="839"/>
        <v>79</v>
      </c>
      <c r="N311" s="83">
        <f t="shared" si="839"/>
        <v>79</v>
      </c>
      <c r="O311" s="83">
        <f t="shared" si="839"/>
        <v>80</v>
      </c>
      <c r="P311" s="83">
        <f t="shared" si="839"/>
        <v>80</v>
      </c>
      <c r="Q311" s="83">
        <f t="shared" si="839"/>
        <v>82</v>
      </c>
      <c r="R311" s="83">
        <f t="shared" si="839"/>
        <v>82</v>
      </c>
      <c r="S311" s="83">
        <f t="shared" si="839"/>
        <v>84</v>
      </c>
      <c r="T311" s="83">
        <f t="shared" si="839"/>
        <v>86</v>
      </c>
      <c r="U311" s="83">
        <f t="shared" si="839"/>
        <v>86</v>
      </c>
      <c r="V311" s="83">
        <f t="shared" si="839"/>
        <v>86</v>
      </c>
      <c r="W311" s="83">
        <f t="shared" si="839"/>
        <v>86</v>
      </c>
      <c r="X311" s="2"/>
      <c r="Y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</row>
    <row r="312" spans="1:225" s="362" customFormat="1" ht="24.75" customHeight="1" x14ac:dyDescent="0.25">
      <c r="A312" s="2"/>
      <c r="B312" s="1"/>
      <c r="C312" s="78" t="str">
        <f t="shared" si="824"/>
        <v>GENERAL</v>
      </c>
      <c r="D312" s="308" t="s">
        <v>66</v>
      </c>
      <c r="E312" s="294">
        <f>IF($C312="GENERAL",SUM(E188+E236)/2,SUMIFS(E$169:E$288,$C$169:$C$288,$C312,$D$169:$D$288,$D312))</f>
        <v>84</v>
      </c>
      <c r="F312" s="294">
        <f>IF($C312="GENERAL",SUM(F188+F236)/2,SUMIFS(F$169:F$288,$C$169:$C$288,$C312,$D$169:$D$288,$D312))</f>
        <v>79.5</v>
      </c>
      <c r="G312" s="294">
        <f t="shared" ref="G312:W312" si="840">IF($C312="GENERAL",SUM(G188+G236)/2,SUMIFS(G$169:G$288,$C$169:$C$288,$C312,$D$169:$D$288,$D312))</f>
        <v>73</v>
      </c>
      <c r="H312" s="294">
        <f t="shared" si="840"/>
        <v>33.5</v>
      </c>
      <c r="I312" s="294">
        <f t="shared" si="840"/>
        <v>0</v>
      </c>
      <c r="J312" s="294">
        <f t="shared" si="840"/>
        <v>0</v>
      </c>
      <c r="K312" s="294">
        <f t="shared" si="840"/>
        <v>0</v>
      </c>
      <c r="L312" s="294">
        <f t="shared" si="840"/>
        <v>0</v>
      </c>
      <c r="M312" s="294">
        <f t="shared" si="840"/>
        <v>0</v>
      </c>
      <c r="N312" s="294">
        <f t="shared" si="840"/>
        <v>0</v>
      </c>
      <c r="O312" s="294">
        <f t="shared" si="840"/>
        <v>0</v>
      </c>
      <c r="P312" s="294">
        <f t="shared" si="840"/>
        <v>0</v>
      </c>
      <c r="Q312" s="294">
        <f t="shared" si="840"/>
        <v>0</v>
      </c>
      <c r="R312" s="294">
        <f t="shared" si="840"/>
        <v>0</v>
      </c>
      <c r="S312" s="294">
        <f t="shared" si="840"/>
        <v>0</v>
      </c>
      <c r="T312" s="294">
        <f t="shared" si="840"/>
        <v>0</v>
      </c>
      <c r="U312" s="294">
        <f t="shared" si="840"/>
        <v>0</v>
      </c>
      <c r="V312" s="294">
        <f t="shared" si="840"/>
        <v>0</v>
      </c>
      <c r="W312" s="294">
        <f t="shared" si="840"/>
        <v>0</v>
      </c>
      <c r="X312" s="610"/>
      <c r="Y312" s="465" t="s">
        <v>162</v>
      </c>
      <c r="Z312" s="610"/>
      <c r="AA312" s="610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</row>
    <row r="313" spans="1:225" s="362" customFormat="1" ht="24.75" customHeight="1" x14ac:dyDescent="0.25">
      <c r="A313" s="2"/>
      <c r="B313" s="1"/>
      <c r="C313" s="78" t="str">
        <f t="shared" si="824"/>
        <v>GENERAL</v>
      </c>
      <c r="D313" s="23" t="s">
        <v>15</v>
      </c>
      <c r="E313" s="295">
        <f>E311-E312</f>
        <v>-7</v>
      </c>
      <c r="F313" s="295">
        <f>F311-F312</f>
        <v>-2.5</v>
      </c>
      <c r="G313" s="295">
        <f t="shared" ref="G313:W313" si="841">G311-G312</f>
        <v>4</v>
      </c>
      <c r="H313" s="295">
        <f t="shared" si="841"/>
        <v>43.5</v>
      </c>
      <c r="I313" s="295">
        <f t="shared" si="841"/>
        <v>79</v>
      </c>
      <c r="J313" s="295">
        <f t="shared" si="841"/>
        <v>79</v>
      </c>
      <c r="K313" s="295">
        <f>K311-K312</f>
        <v>79</v>
      </c>
      <c r="L313" s="295">
        <f t="shared" si="841"/>
        <v>79</v>
      </c>
      <c r="M313" s="295">
        <f t="shared" si="841"/>
        <v>79</v>
      </c>
      <c r="N313" s="295">
        <f t="shared" si="841"/>
        <v>79</v>
      </c>
      <c r="O313" s="295">
        <f t="shared" si="841"/>
        <v>80</v>
      </c>
      <c r="P313" s="295">
        <f t="shared" si="841"/>
        <v>80</v>
      </c>
      <c r="Q313" s="295">
        <f>Q311-Q312</f>
        <v>82</v>
      </c>
      <c r="R313" s="295">
        <f t="shared" si="841"/>
        <v>82</v>
      </c>
      <c r="S313" s="295">
        <f t="shared" si="841"/>
        <v>84</v>
      </c>
      <c r="T313" s="295">
        <f t="shared" si="841"/>
        <v>86</v>
      </c>
      <c r="U313" s="295">
        <f t="shared" si="841"/>
        <v>86</v>
      </c>
      <c r="V313" s="295">
        <f t="shared" si="841"/>
        <v>86</v>
      </c>
      <c r="W313" s="295">
        <f t="shared" si="841"/>
        <v>86</v>
      </c>
      <c r="X313" s="2"/>
      <c r="Y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</row>
    <row r="314" spans="1:225" s="362" customFormat="1" ht="24.75" customHeight="1" x14ac:dyDescent="0.25">
      <c r="A314" s="2"/>
      <c r="B314" s="1"/>
      <c r="C314" s="78"/>
      <c r="D314" s="85"/>
      <c r="E314" s="295"/>
      <c r="F314" s="295"/>
      <c r="G314" s="295"/>
      <c r="H314" s="295"/>
      <c r="I314" s="295"/>
      <c r="J314" s="295"/>
      <c r="K314" s="295"/>
      <c r="L314" s="295"/>
      <c r="M314" s="295"/>
      <c r="N314" s="295"/>
      <c r="O314" s="295"/>
      <c r="P314" s="295"/>
      <c r="Q314" s="295"/>
      <c r="R314" s="295"/>
      <c r="S314" s="295"/>
      <c r="T314" s="295"/>
      <c r="U314" s="295"/>
      <c r="V314" s="295"/>
      <c r="W314" s="295"/>
      <c r="X314" s="2"/>
      <c r="Y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</row>
    <row r="315" spans="1:225" s="362" customFormat="1" x14ac:dyDescent="0.25">
      <c r="A315" s="2"/>
      <c r="B315" s="1"/>
      <c r="C315" s="1"/>
      <c r="D315" s="85"/>
      <c r="E315" s="85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2"/>
      <c r="Y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</row>
    <row r="316" spans="1:225" s="362" customFormat="1" x14ac:dyDescent="0.25">
      <c r="A316" s="2"/>
      <c r="B316" s="1"/>
      <c r="C316" s="1"/>
      <c r="D316" s="85"/>
      <c r="E316" s="320">
        <v>0</v>
      </c>
      <c r="F316" s="320">
        <v>1</v>
      </c>
      <c r="G316" s="320">
        <v>2</v>
      </c>
      <c r="H316" s="320">
        <v>3</v>
      </c>
      <c r="I316" s="320">
        <v>4</v>
      </c>
      <c r="J316" s="320">
        <v>5</v>
      </c>
      <c r="K316" s="320">
        <v>6</v>
      </c>
      <c r="L316" s="320">
        <v>7</v>
      </c>
      <c r="M316" s="320">
        <v>8</v>
      </c>
      <c r="N316" s="320">
        <v>9</v>
      </c>
      <c r="O316" s="320">
        <v>10</v>
      </c>
      <c r="P316" s="320">
        <v>11</v>
      </c>
      <c r="Q316" s="320">
        <v>12</v>
      </c>
      <c r="R316" s="320">
        <v>13</v>
      </c>
      <c r="S316" s="320">
        <v>14</v>
      </c>
      <c r="T316" s="320">
        <v>15</v>
      </c>
      <c r="U316" s="320">
        <v>16</v>
      </c>
      <c r="V316" s="320">
        <v>17</v>
      </c>
      <c r="W316" s="320">
        <v>18</v>
      </c>
      <c r="X316" s="2"/>
      <c r="Y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</row>
    <row r="317" spans="1:225" s="362" customFormat="1" ht="25.5" customHeight="1" x14ac:dyDescent="0.25">
      <c r="A317" s="10" t="s">
        <v>86</v>
      </c>
      <c r="B317" s="883" t="s">
        <v>42</v>
      </c>
      <c r="C317" s="317" t="str">
        <f>C313</f>
        <v>GENERAL</v>
      </c>
      <c r="D317" s="24" t="s">
        <v>67</v>
      </c>
      <c r="E317" s="83">
        <f t="shared" ref="E317:W317" si="842">IF($C317="GENERAL",SUMIFS(E$169:E$288,$D$169:$D$288,$D317),SUMIFS(E$169:E$288,$C$169:$C$288,$C317,$D$169:$D$288,$D317))</f>
        <v>296830</v>
      </c>
      <c r="F317" s="83">
        <f t="shared" si="842"/>
        <v>295151</v>
      </c>
      <c r="G317" s="83">
        <f t="shared" si="842"/>
        <v>290152</v>
      </c>
      <c r="H317" s="83">
        <f t="shared" si="842"/>
        <v>288292</v>
      </c>
      <c r="I317" s="83">
        <f t="shared" si="842"/>
        <v>288099</v>
      </c>
      <c r="J317" s="83">
        <f t="shared" si="842"/>
        <v>288099</v>
      </c>
      <c r="K317" s="83">
        <f t="shared" si="842"/>
        <v>288099</v>
      </c>
      <c r="L317" s="83">
        <f t="shared" si="842"/>
        <v>288099</v>
      </c>
      <c r="M317" s="83">
        <f t="shared" si="842"/>
        <v>288099</v>
      </c>
      <c r="N317" s="83">
        <f t="shared" si="842"/>
        <v>288099</v>
      </c>
      <c r="O317" s="83">
        <f t="shared" si="842"/>
        <v>288099</v>
      </c>
      <c r="P317" s="83">
        <f t="shared" si="842"/>
        <v>288099</v>
      </c>
      <c r="Q317" s="83">
        <f t="shared" si="842"/>
        <v>288099</v>
      </c>
      <c r="R317" s="83">
        <f t="shared" si="842"/>
        <v>288099</v>
      </c>
      <c r="S317" s="83">
        <f t="shared" si="842"/>
        <v>288099</v>
      </c>
      <c r="T317" s="83">
        <f t="shared" si="842"/>
        <v>288099</v>
      </c>
      <c r="U317" s="83">
        <f t="shared" si="842"/>
        <v>288099</v>
      </c>
      <c r="V317" s="83">
        <f t="shared" si="842"/>
        <v>288099</v>
      </c>
      <c r="W317" s="83">
        <f t="shared" si="842"/>
        <v>288099</v>
      </c>
      <c r="X317" s="2"/>
      <c r="Y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</row>
    <row r="318" spans="1:225" s="362" customFormat="1" ht="25.5" customHeight="1" x14ac:dyDescent="0.25">
      <c r="A318" s="10" t="s">
        <v>68</v>
      </c>
      <c r="B318" s="883"/>
      <c r="C318" s="317" t="str">
        <f>C313</f>
        <v>GENERAL</v>
      </c>
      <c r="D318" s="86" t="s">
        <v>72</v>
      </c>
      <c r="E318" s="83">
        <f>E299</f>
        <v>0.7</v>
      </c>
      <c r="F318" s="83">
        <f>F299</f>
        <v>0.7</v>
      </c>
      <c r="G318" s="83">
        <f t="shared" ref="G318:W318" si="843">G299</f>
        <v>0.7</v>
      </c>
      <c r="H318" s="83">
        <f t="shared" si="843"/>
        <v>0.5</v>
      </c>
      <c r="I318" s="83">
        <f t="shared" si="843"/>
        <v>0.3</v>
      </c>
      <c r="J318" s="83">
        <f t="shared" si="843"/>
        <v>0.18</v>
      </c>
      <c r="K318" s="83">
        <f t="shared" si="843"/>
        <v>0.18</v>
      </c>
      <c r="L318" s="83">
        <f t="shared" si="843"/>
        <v>0.16</v>
      </c>
      <c r="M318" s="83">
        <f t="shared" si="843"/>
        <v>0.16</v>
      </c>
      <c r="N318" s="83">
        <f t="shared" si="843"/>
        <v>0.16</v>
      </c>
      <c r="O318" s="83">
        <f t="shared" si="843"/>
        <v>0.16</v>
      </c>
      <c r="P318" s="83">
        <f t="shared" si="843"/>
        <v>0.16</v>
      </c>
      <c r="Q318" s="83">
        <f t="shared" si="843"/>
        <v>0.16</v>
      </c>
      <c r="R318" s="83">
        <f t="shared" si="843"/>
        <v>0.16</v>
      </c>
      <c r="S318" s="83">
        <f t="shared" si="843"/>
        <v>0.16</v>
      </c>
      <c r="T318" s="83">
        <f t="shared" si="843"/>
        <v>0.16</v>
      </c>
      <c r="U318" s="83">
        <f t="shared" si="843"/>
        <v>0.16</v>
      </c>
      <c r="V318" s="83">
        <f t="shared" si="843"/>
        <v>0.16</v>
      </c>
      <c r="W318" s="83">
        <f t="shared" si="843"/>
        <v>0.16</v>
      </c>
      <c r="X318" s="2"/>
      <c r="Y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</row>
    <row r="319" spans="1:225" s="362" customFormat="1" ht="25.5" customHeight="1" x14ac:dyDescent="0.25">
      <c r="A319" s="10" t="s">
        <v>70</v>
      </c>
      <c r="B319" s="883"/>
      <c r="C319" s="317" t="str">
        <f>C318</f>
        <v>GENERAL</v>
      </c>
      <c r="D319" s="87" t="s">
        <v>49</v>
      </c>
      <c r="E319" s="83">
        <f>E301</f>
        <v>0.7</v>
      </c>
      <c r="F319" s="83">
        <f>F301</f>
        <v>0.7</v>
      </c>
      <c r="G319" s="83">
        <f t="shared" ref="G319:W319" si="844">G301</f>
        <v>1.4</v>
      </c>
      <c r="H319" s="83">
        <f t="shared" si="844"/>
        <v>1.9</v>
      </c>
      <c r="I319" s="83">
        <f t="shared" si="844"/>
        <v>2.1999999999999997</v>
      </c>
      <c r="J319" s="83">
        <f t="shared" si="844"/>
        <v>2.38</v>
      </c>
      <c r="K319" s="83">
        <f t="shared" si="844"/>
        <v>2.56</v>
      </c>
      <c r="L319" s="83">
        <f t="shared" si="844"/>
        <v>2.72</v>
      </c>
      <c r="M319" s="83">
        <f t="shared" si="844"/>
        <v>2.8800000000000003</v>
      </c>
      <c r="N319" s="83">
        <f>N301</f>
        <v>3.0400000000000005</v>
      </c>
      <c r="O319" s="83">
        <f t="shared" si="844"/>
        <v>3.2000000000000006</v>
      </c>
      <c r="P319" s="83">
        <f t="shared" si="844"/>
        <v>3.3600000000000008</v>
      </c>
      <c r="Q319" s="83">
        <f t="shared" si="844"/>
        <v>3.5200000000000009</v>
      </c>
      <c r="R319" s="83">
        <f t="shared" si="844"/>
        <v>3.680000000000001</v>
      </c>
      <c r="S319" s="83">
        <f t="shared" si="844"/>
        <v>3.8400000000000012</v>
      </c>
      <c r="T319" s="83">
        <f t="shared" si="844"/>
        <v>4.0000000000000009</v>
      </c>
      <c r="U319" s="83">
        <f t="shared" si="844"/>
        <v>4.160000000000001</v>
      </c>
      <c r="V319" s="83">
        <f t="shared" si="844"/>
        <v>4.3200000000000012</v>
      </c>
      <c r="W319" s="83">
        <f t="shared" si="844"/>
        <v>4.4800000000000013</v>
      </c>
      <c r="X319" s="2"/>
      <c r="Y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</row>
    <row r="320" spans="1:225" s="362" customFormat="1" ht="25.5" customHeight="1" x14ac:dyDescent="0.25">
      <c r="A320" s="10" t="s">
        <v>71</v>
      </c>
      <c r="B320" s="883"/>
      <c r="C320" s="317" t="str">
        <f>C319</f>
        <v>GENERAL</v>
      </c>
      <c r="D320" s="86" t="s">
        <v>75</v>
      </c>
      <c r="E320" s="83">
        <f>E304</f>
        <v>10</v>
      </c>
      <c r="F320" s="83">
        <f>F304</f>
        <v>10</v>
      </c>
      <c r="G320" s="83">
        <f t="shared" ref="G320:W320" si="845">G304</f>
        <v>17</v>
      </c>
      <c r="H320" s="83">
        <f t="shared" si="845"/>
        <v>23</v>
      </c>
      <c r="I320" s="83">
        <f t="shared" si="845"/>
        <v>29</v>
      </c>
      <c r="J320" s="83">
        <f t="shared" si="845"/>
        <v>34</v>
      </c>
      <c r="K320" s="83">
        <f t="shared" si="845"/>
        <v>38</v>
      </c>
      <c r="L320" s="83">
        <f t="shared" si="845"/>
        <v>42</v>
      </c>
      <c r="M320" s="83">
        <f t="shared" si="845"/>
        <v>46</v>
      </c>
      <c r="N320" s="83">
        <f t="shared" si="845"/>
        <v>49</v>
      </c>
      <c r="O320" s="83">
        <f t="shared" si="845"/>
        <v>52</v>
      </c>
      <c r="P320" s="83">
        <f t="shared" si="845"/>
        <v>55</v>
      </c>
      <c r="Q320" s="83">
        <f t="shared" si="845"/>
        <v>58</v>
      </c>
      <c r="R320" s="83">
        <f t="shared" si="845"/>
        <v>61</v>
      </c>
      <c r="S320" s="83">
        <f t="shared" si="845"/>
        <v>64</v>
      </c>
      <c r="T320" s="83">
        <f t="shared" si="845"/>
        <v>67</v>
      </c>
      <c r="U320" s="83">
        <f t="shared" si="845"/>
        <v>71</v>
      </c>
      <c r="V320" s="83">
        <f t="shared" si="845"/>
        <v>75</v>
      </c>
      <c r="W320" s="83">
        <f t="shared" si="845"/>
        <v>79</v>
      </c>
      <c r="X320" s="2"/>
      <c r="Y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</row>
    <row r="321" spans="1:225" s="362" customFormat="1" ht="25.5" customHeight="1" x14ac:dyDescent="0.25">
      <c r="A321" s="10" t="s">
        <v>142</v>
      </c>
      <c r="B321" s="883"/>
      <c r="C321" s="317" t="str">
        <f t="shared" ref="C321:C323" si="846">C320</f>
        <v>GENERAL</v>
      </c>
      <c r="D321" s="86" t="s">
        <v>142</v>
      </c>
      <c r="E321" s="83">
        <f>E306</f>
        <v>70</v>
      </c>
      <c r="F321" s="83">
        <f>F306</f>
        <v>70</v>
      </c>
      <c r="G321" s="83">
        <f t="shared" ref="G321:W321" si="847">G306</f>
        <v>189</v>
      </c>
      <c r="H321" s="83">
        <f t="shared" si="847"/>
        <v>350</v>
      </c>
      <c r="I321" s="83">
        <f t="shared" si="847"/>
        <v>553</v>
      </c>
      <c r="J321" s="83">
        <f t="shared" si="847"/>
        <v>791</v>
      </c>
      <c r="K321" s="83">
        <f t="shared" si="847"/>
        <v>1057</v>
      </c>
      <c r="L321" s="83">
        <f t="shared" si="847"/>
        <v>1351</v>
      </c>
      <c r="M321" s="83">
        <f t="shared" si="847"/>
        <v>1673</v>
      </c>
      <c r="N321" s="83">
        <f t="shared" si="847"/>
        <v>2016</v>
      </c>
      <c r="O321" s="83">
        <f t="shared" si="847"/>
        <v>2380</v>
      </c>
      <c r="P321" s="83">
        <f t="shared" si="847"/>
        <v>2765</v>
      </c>
      <c r="Q321" s="83">
        <f t="shared" si="847"/>
        <v>3171</v>
      </c>
      <c r="R321" s="83">
        <f t="shared" si="847"/>
        <v>3598</v>
      </c>
      <c r="S321" s="83">
        <f t="shared" si="847"/>
        <v>4046</v>
      </c>
      <c r="T321" s="83">
        <f t="shared" si="847"/>
        <v>4515</v>
      </c>
      <c r="U321" s="83">
        <f t="shared" si="847"/>
        <v>5012</v>
      </c>
      <c r="V321" s="83">
        <f t="shared" si="847"/>
        <v>5537</v>
      </c>
      <c r="W321" s="83">
        <f t="shared" si="847"/>
        <v>6090</v>
      </c>
      <c r="X321" s="2"/>
      <c r="Y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</row>
    <row r="322" spans="1:225" s="362" customFormat="1" ht="25.5" customHeight="1" x14ac:dyDescent="0.25">
      <c r="A322" s="10" t="s">
        <v>11</v>
      </c>
      <c r="B322" s="883"/>
      <c r="C322" s="317" t="str">
        <f t="shared" si="846"/>
        <v>GENERAL</v>
      </c>
      <c r="D322" s="86" t="s">
        <v>63</v>
      </c>
      <c r="E322" s="83">
        <f>E308</f>
        <v>40</v>
      </c>
      <c r="F322" s="83">
        <f>F308</f>
        <v>70</v>
      </c>
      <c r="G322" s="83">
        <f t="shared" ref="G322:W322" si="848">G308</f>
        <v>120</v>
      </c>
      <c r="H322" s="83">
        <f t="shared" si="848"/>
        <v>185</v>
      </c>
      <c r="I322" s="83">
        <f t="shared" si="848"/>
        <v>255</v>
      </c>
      <c r="J322" s="83">
        <f t="shared" si="848"/>
        <v>334</v>
      </c>
      <c r="K322" s="83">
        <f t="shared" si="848"/>
        <v>425</v>
      </c>
      <c r="L322" s="83">
        <f t="shared" si="848"/>
        <v>524</v>
      </c>
      <c r="M322" s="83">
        <f t="shared" si="848"/>
        <v>618</v>
      </c>
      <c r="N322" s="83">
        <f t="shared" si="848"/>
        <v>712</v>
      </c>
      <c r="O322" s="83">
        <f t="shared" si="848"/>
        <v>802</v>
      </c>
      <c r="P322" s="83">
        <f t="shared" si="848"/>
        <v>880</v>
      </c>
      <c r="Q322" s="83">
        <f t="shared" si="848"/>
        <v>950</v>
      </c>
      <c r="R322" s="83">
        <f t="shared" si="848"/>
        <v>1010</v>
      </c>
      <c r="S322" s="83">
        <f t="shared" si="848"/>
        <v>1065</v>
      </c>
      <c r="T322" s="83">
        <f t="shared" si="848"/>
        <v>1115</v>
      </c>
      <c r="U322" s="83">
        <f t="shared" si="848"/>
        <v>1160</v>
      </c>
      <c r="V322" s="83">
        <f t="shared" si="848"/>
        <v>1207</v>
      </c>
      <c r="W322" s="83">
        <f t="shared" si="848"/>
        <v>1257</v>
      </c>
      <c r="X322" s="2"/>
      <c r="Y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</row>
    <row r="323" spans="1:225" s="362" customFormat="1" ht="25.5" customHeight="1" x14ac:dyDescent="0.25">
      <c r="A323" s="10" t="s">
        <v>69</v>
      </c>
      <c r="B323" s="883"/>
      <c r="C323" s="317" t="str">
        <f t="shared" si="846"/>
        <v>GENERAL</v>
      </c>
      <c r="D323" s="86" t="s">
        <v>65</v>
      </c>
      <c r="E323" s="83">
        <f>E311</f>
        <v>77</v>
      </c>
      <c r="F323" s="83">
        <f>F311</f>
        <v>77</v>
      </c>
      <c r="G323" s="83">
        <f t="shared" ref="G323:W323" si="849">G311</f>
        <v>77</v>
      </c>
      <c r="H323" s="83">
        <f t="shared" si="849"/>
        <v>77</v>
      </c>
      <c r="I323" s="83">
        <f t="shared" si="849"/>
        <v>79</v>
      </c>
      <c r="J323" s="83">
        <f t="shared" si="849"/>
        <v>79</v>
      </c>
      <c r="K323" s="83">
        <f t="shared" si="849"/>
        <v>79</v>
      </c>
      <c r="L323" s="83">
        <f t="shared" si="849"/>
        <v>79</v>
      </c>
      <c r="M323" s="83">
        <f t="shared" si="849"/>
        <v>79</v>
      </c>
      <c r="N323" s="83">
        <f t="shared" si="849"/>
        <v>79</v>
      </c>
      <c r="O323" s="83">
        <f t="shared" si="849"/>
        <v>80</v>
      </c>
      <c r="P323" s="83">
        <f t="shared" si="849"/>
        <v>80</v>
      </c>
      <c r="Q323" s="83">
        <f t="shared" si="849"/>
        <v>82</v>
      </c>
      <c r="R323" s="83">
        <f t="shared" si="849"/>
        <v>82</v>
      </c>
      <c r="S323" s="83">
        <f t="shared" si="849"/>
        <v>84</v>
      </c>
      <c r="T323" s="83">
        <f t="shared" si="849"/>
        <v>86</v>
      </c>
      <c r="U323" s="83">
        <f t="shared" si="849"/>
        <v>86</v>
      </c>
      <c r="V323" s="83">
        <f t="shared" si="849"/>
        <v>86</v>
      </c>
      <c r="W323" s="83">
        <f t="shared" si="849"/>
        <v>86</v>
      </c>
      <c r="X323" s="2"/>
      <c r="Y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</row>
    <row r="324" spans="1:225" s="362" customFormat="1" x14ac:dyDescent="0.25">
      <c r="A324" s="2"/>
      <c r="B324" s="1"/>
      <c r="C324" s="317"/>
      <c r="D324" s="85"/>
      <c r="E324" s="85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2"/>
      <c r="Y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</row>
    <row r="325" spans="1:225" x14ac:dyDescent="0.25">
      <c r="C325" s="317"/>
      <c r="D325" s="85"/>
      <c r="E325" s="85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</row>
    <row r="326" spans="1:225" x14ac:dyDescent="0.25">
      <c r="C326" s="317"/>
      <c r="D326" s="85"/>
      <c r="E326" s="320">
        <v>0</v>
      </c>
      <c r="F326" s="320">
        <v>1</v>
      </c>
      <c r="G326" s="320">
        <v>2</v>
      </c>
      <c r="H326" s="320">
        <v>3</v>
      </c>
      <c r="I326" s="320">
        <v>4</v>
      </c>
      <c r="J326" s="320">
        <v>5</v>
      </c>
      <c r="K326" s="320">
        <v>6</v>
      </c>
      <c r="L326" s="320">
        <v>7</v>
      </c>
      <c r="M326" s="320">
        <v>8</v>
      </c>
      <c r="N326" s="320">
        <v>9</v>
      </c>
      <c r="O326" s="320">
        <v>10</v>
      </c>
      <c r="P326" s="320">
        <v>11</v>
      </c>
      <c r="Q326" s="320">
        <v>12</v>
      </c>
      <c r="R326" s="320">
        <v>13</v>
      </c>
      <c r="S326" s="320">
        <v>14</v>
      </c>
      <c r="T326" s="320">
        <v>15</v>
      </c>
      <c r="U326" s="320">
        <v>16</v>
      </c>
      <c r="V326" s="320">
        <v>17</v>
      </c>
      <c r="W326" s="320">
        <v>18</v>
      </c>
    </row>
    <row r="327" spans="1:225" x14ac:dyDescent="0.25">
      <c r="A327" s="2" t="s">
        <v>86</v>
      </c>
      <c r="B327" s="883" t="s">
        <v>38</v>
      </c>
      <c r="C327" s="317" t="str">
        <f>C323</f>
        <v>GENERAL</v>
      </c>
      <c r="D327" s="24" t="s">
        <v>34</v>
      </c>
      <c r="E327" s="83">
        <f t="shared" ref="E327:W327" si="850">IF($C327="GENERAL",SUMIFS(E$169:E$288,$D$169:$D$288,$D327),SUMIFS(E$169:E$288,$C$169:$C$288,$C327,$D$169:$D$288,$D327))</f>
        <v>295059</v>
      </c>
      <c r="F327" s="83">
        <f t="shared" si="850"/>
        <v>290152</v>
      </c>
      <c r="G327" s="83">
        <f t="shared" si="850"/>
        <v>288573</v>
      </c>
      <c r="H327" s="83">
        <f t="shared" si="850"/>
        <v>288099</v>
      </c>
      <c r="I327" s="83">
        <f t="shared" si="850"/>
        <v>288099</v>
      </c>
      <c r="J327" s="83">
        <f t="shared" si="850"/>
        <v>288099</v>
      </c>
      <c r="K327" s="83">
        <f t="shared" si="850"/>
        <v>288099</v>
      </c>
      <c r="L327" s="83">
        <f t="shared" si="850"/>
        <v>288099</v>
      </c>
      <c r="M327" s="83">
        <f t="shared" si="850"/>
        <v>288099</v>
      </c>
      <c r="N327" s="83">
        <f t="shared" si="850"/>
        <v>288099</v>
      </c>
      <c r="O327" s="83">
        <f t="shared" si="850"/>
        <v>288099</v>
      </c>
      <c r="P327" s="83">
        <f t="shared" si="850"/>
        <v>288099</v>
      </c>
      <c r="Q327" s="83">
        <f t="shared" si="850"/>
        <v>288099</v>
      </c>
      <c r="R327" s="83">
        <f t="shared" si="850"/>
        <v>288099</v>
      </c>
      <c r="S327" s="83">
        <f t="shared" si="850"/>
        <v>288099</v>
      </c>
      <c r="T327" s="83">
        <f t="shared" si="850"/>
        <v>288099</v>
      </c>
      <c r="U327" s="83">
        <f t="shared" si="850"/>
        <v>288099</v>
      </c>
      <c r="V327" s="83">
        <f t="shared" si="850"/>
        <v>288099</v>
      </c>
      <c r="W327" s="83">
        <f t="shared" si="850"/>
        <v>288099</v>
      </c>
    </row>
    <row r="328" spans="1:225" ht="27.75" customHeight="1" x14ac:dyDescent="0.25">
      <c r="A328" s="10" t="s">
        <v>68</v>
      </c>
      <c r="B328" s="883"/>
      <c r="C328" s="317" t="str">
        <f>C327</f>
        <v>GENERAL</v>
      </c>
      <c r="D328" s="86" t="s">
        <v>74</v>
      </c>
      <c r="E328" s="214">
        <f>E300</f>
        <v>0.58922615638581</v>
      </c>
      <c r="F328" s="214">
        <f>F300</f>
        <v>1.6937093216692474</v>
      </c>
      <c r="G328" s="214">
        <f>G300</f>
        <v>0.54419752405635669</v>
      </c>
      <c r="H328" s="214">
        <f t="shared" ref="H328:W328" si="851">H300</f>
        <v>0.16441663313584837</v>
      </c>
      <c r="I328" s="214">
        <f>I300</f>
        <v>0</v>
      </c>
      <c r="J328" s="214">
        <f t="shared" si="851"/>
        <v>0</v>
      </c>
      <c r="K328" s="214">
        <f t="shared" si="851"/>
        <v>0</v>
      </c>
      <c r="L328" s="214">
        <f t="shared" si="851"/>
        <v>0</v>
      </c>
      <c r="M328" s="214">
        <f t="shared" si="851"/>
        <v>0</v>
      </c>
      <c r="N328" s="214">
        <f t="shared" si="851"/>
        <v>0</v>
      </c>
      <c r="O328" s="214">
        <f t="shared" si="851"/>
        <v>0</v>
      </c>
      <c r="P328" s="214">
        <f t="shared" si="851"/>
        <v>0</v>
      </c>
      <c r="Q328" s="214">
        <f t="shared" si="851"/>
        <v>0</v>
      </c>
      <c r="R328" s="214">
        <f t="shared" si="851"/>
        <v>0</v>
      </c>
      <c r="S328" s="214">
        <f t="shared" si="851"/>
        <v>0</v>
      </c>
      <c r="T328" s="214">
        <f t="shared" si="851"/>
        <v>0</v>
      </c>
      <c r="U328" s="214">
        <f t="shared" si="851"/>
        <v>0</v>
      </c>
      <c r="V328" s="214">
        <f t="shared" si="851"/>
        <v>0</v>
      </c>
      <c r="W328" s="214">
        <f t="shared" si="851"/>
        <v>0</v>
      </c>
    </row>
    <row r="329" spans="1:225" ht="27.75" customHeight="1" x14ac:dyDescent="0.25">
      <c r="A329" s="10" t="s">
        <v>70</v>
      </c>
      <c r="B329" s="883"/>
      <c r="C329" s="317" t="str">
        <f t="shared" ref="C329:C333" si="852">C328</f>
        <v>GENERAL</v>
      </c>
      <c r="D329" s="87" t="s">
        <v>73</v>
      </c>
      <c r="E329" s="214">
        <f>E302</f>
        <v>0.58922615638581</v>
      </c>
      <c r="F329" s="214">
        <f>F302</f>
        <v>2.2862873579964154</v>
      </c>
      <c r="G329" s="214">
        <f t="shared" ref="G329:W329" si="853">G302</f>
        <v>2.8698750999476137</v>
      </c>
      <c r="H329" s="214">
        <f t="shared" si="853"/>
        <v>3.052807570102535</v>
      </c>
      <c r="I329" s="214">
        <f t="shared" si="853"/>
        <v>3.0548526721717191</v>
      </c>
      <c r="J329" s="214">
        <f t="shared" si="853"/>
        <v>3.0548526721717191</v>
      </c>
      <c r="K329" s="214">
        <f t="shared" si="853"/>
        <v>3.0548526721717191</v>
      </c>
      <c r="L329" s="214">
        <f t="shared" si="853"/>
        <v>3.0548526721717191</v>
      </c>
      <c r="M329" s="214">
        <f t="shared" si="853"/>
        <v>3.0548526721717191</v>
      </c>
      <c r="N329" s="214">
        <f t="shared" si="853"/>
        <v>3.0548526721717191</v>
      </c>
      <c r="O329" s="214">
        <f t="shared" si="853"/>
        <v>3.0548526721717191</v>
      </c>
      <c r="P329" s="214">
        <f t="shared" si="853"/>
        <v>3.0548526721717191</v>
      </c>
      <c r="Q329" s="214">
        <f t="shared" si="853"/>
        <v>3.0548526721717191</v>
      </c>
      <c r="R329" s="214">
        <f t="shared" si="853"/>
        <v>3.0548526721717191</v>
      </c>
      <c r="S329" s="214">
        <f t="shared" si="853"/>
        <v>3.0548526721717191</v>
      </c>
      <c r="T329" s="214">
        <f t="shared" si="853"/>
        <v>3.0548526721717191</v>
      </c>
      <c r="U329" s="214">
        <f t="shared" si="853"/>
        <v>3.0548526721717191</v>
      </c>
      <c r="V329" s="214">
        <f t="shared" si="853"/>
        <v>3.0548526721717191</v>
      </c>
      <c r="W329" s="214">
        <f t="shared" si="853"/>
        <v>3.0548526721717191</v>
      </c>
    </row>
    <row r="330" spans="1:225" ht="27.75" customHeight="1" x14ac:dyDescent="0.25">
      <c r="A330" s="10" t="s">
        <v>71</v>
      </c>
      <c r="B330" s="883"/>
      <c r="C330" s="317" t="str">
        <f t="shared" si="852"/>
        <v>GENERAL</v>
      </c>
      <c r="D330" s="86" t="s">
        <v>62</v>
      </c>
      <c r="E330" s="83">
        <f>E305</f>
        <v>1.5123398693021666</v>
      </c>
      <c r="F330" s="83">
        <f>F305</f>
        <v>4.4530058767337133</v>
      </c>
      <c r="G330" s="83">
        <f t="shared" ref="G330:W330" si="854">G305</f>
        <v>8.6244527570937368</v>
      </c>
      <c r="H330" s="83">
        <f>H305</f>
        <v>2.4143886748678622</v>
      </c>
      <c r="I330" s="83">
        <f t="shared" si="854"/>
        <v>0</v>
      </c>
      <c r="J330" s="83">
        <f t="shared" si="854"/>
        <v>0</v>
      </c>
      <c r="K330" s="83">
        <f t="shared" si="854"/>
        <v>0</v>
      </c>
      <c r="L330" s="83">
        <f t="shared" si="854"/>
        <v>0</v>
      </c>
      <c r="M330" s="83">
        <f t="shared" si="854"/>
        <v>0</v>
      </c>
      <c r="N330" s="83">
        <f t="shared" si="854"/>
        <v>0</v>
      </c>
      <c r="O330" s="83">
        <f t="shared" si="854"/>
        <v>0</v>
      </c>
      <c r="P330" s="83">
        <f t="shared" si="854"/>
        <v>0</v>
      </c>
      <c r="Q330" s="83">
        <f t="shared" si="854"/>
        <v>0</v>
      </c>
      <c r="R330" s="83">
        <f t="shared" si="854"/>
        <v>0</v>
      </c>
      <c r="S330" s="83">
        <f t="shared" si="854"/>
        <v>0</v>
      </c>
      <c r="T330" s="83">
        <f t="shared" si="854"/>
        <v>0</v>
      </c>
      <c r="U330" s="83">
        <f t="shared" si="854"/>
        <v>0</v>
      </c>
      <c r="V330" s="83">
        <f t="shared" si="854"/>
        <v>0</v>
      </c>
      <c r="W330" s="83">
        <f t="shared" si="854"/>
        <v>0</v>
      </c>
    </row>
    <row r="331" spans="1:225" ht="27.75" customHeight="1" x14ac:dyDescent="0.25">
      <c r="A331" s="10" t="s">
        <v>142</v>
      </c>
      <c r="B331" s="883"/>
      <c r="C331" s="317" t="str">
        <f t="shared" si="852"/>
        <v>GENERAL</v>
      </c>
      <c r="D331" s="86" t="s">
        <v>142</v>
      </c>
      <c r="E331" s="83">
        <f>E307</f>
        <v>31.533200822019339</v>
      </c>
      <c r="F331" s="83">
        <f>F307</f>
        <v>76.232165908297787</v>
      </c>
      <c r="G331" s="83">
        <f t="shared" ref="G331:W331" si="855">G307</f>
        <v>146.34398522153904</v>
      </c>
      <c r="H331" s="83">
        <f t="shared" si="855"/>
        <v>40.552634134835515</v>
      </c>
      <c r="I331" s="83">
        <f t="shared" si="855"/>
        <v>0</v>
      </c>
      <c r="J331" s="83">
        <f t="shared" si="855"/>
        <v>0</v>
      </c>
      <c r="K331" s="83">
        <f t="shared" si="855"/>
        <v>0</v>
      </c>
      <c r="L331" s="83">
        <f t="shared" si="855"/>
        <v>0</v>
      </c>
      <c r="M331" s="83">
        <f t="shared" si="855"/>
        <v>0</v>
      </c>
      <c r="N331" s="83">
        <f t="shared" si="855"/>
        <v>0</v>
      </c>
      <c r="O331" s="83">
        <f t="shared" si="855"/>
        <v>0</v>
      </c>
      <c r="P331" s="83">
        <f t="shared" si="855"/>
        <v>0</v>
      </c>
      <c r="Q331" s="83">
        <f t="shared" si="855"/>
        <v>0</v>
      </c>
      <c r="R331" s="83">
        <f t="shared" si="855"/>
        <v>0</v>
      </c>
      <c r="S331" s="83">
        <f t="shared" si="855"/>
        <v>0</v>
      </c>
      <c r="T331" s="83">
        <f t="shared" si="855"/>
        <v>0</v>
      </c>
      <c r="U331" s="83">
        <f t="shared" si="855"/>
        <v>0</v>
      </c>
      <c r="V331" s="83">
        <f t="shared" si="855"/>
        <v>0</v>
      </c>
      <c r="W331" s="83">
        <f t="shared" si="855"/>
        <v>0</v>
      </c>
    </row>
    <row r="332" spans="1:225" ht="27.75" customHeight="1" x14ac:dyDescent="0.25">
      <c r="A332" s="10" t="s">
        <v>11</v>
      </c>
      <c r="B332" s="883"/>
      <c r="C332" s="317" t="str">
        <f t="shared" si="852"/>
        <v>GENERAL</v>
      </c>
      <c r="D332" s="86" t="s">
        <v>64</v>
      </c>
      <c r="E332" s="83">
        <f t="shared" ref="E332:W332" si="856">E309</f>
        <v>33</v>
      </c>
      <c r="F332" s="83">
        <f t="shared" si="856"/>
        <v>69</v>
      </c>
      <c r="G332" s="83">
        <f t="shared" si="856"/>
        <v>121</v>
      </c>
      <c r="H332" s="83">
        <f t="shared" si="856"/>
        <v>89</v>
      </c>
      <c r="I332" s="83">
        <f t="shared" si="856"/>
        <v>0</v>
      </c>
      <c r="J332" s="83">
        <f t="shared" si="856"/>
        <v>0</v>
      </c>
      <c r="K332" s="83">
        <f t="shared" si="856"/>
        <v>0</v>
      </c>
      <c r="L332" s="83">
        <f t="shared" si="856"/>
        <v>0</v>
      </c>
      <c r="M332" s="83">
        <f t="shared" si="856"/>
        <v>0</v>
      </c>
      <c r="N332" s="83">
        <f t="shared" si="856"/>
        <v>0</v>
      </c>
      <c r="O332" s="83">
        <f t="shared" si="856"/>
        <v>0</v>
      </c>
      <c r="P332" s="83">
        <f t="shared" si="856"/>
        <v>0</v>
      </c>
      <c r="Q332" s="83">
        <f t="shared" si="856"/>
        <v>0</v>
      </c>
      <c r="R332" s="83">
        <f t="shared" si="856"/>
        <v>0</v>
      </c>
      <c r="S332" s="83">
        <f t="shared" si="856"/>
        <v>0</v>
      </c>
      <c r="T332" s="83">
        <f t="shared" si="856"/>
        <v>0</v>
      </c>
      <c r="U332" s="83">
        <f t="shared" si="856"/>
        <v>0</v>
      </c>
      <c r="V332" s="83">
        <f t="shared" si="856"/>
        <v>0</v>
      </c>
      <c r="W332" s="83">
        <f t="shared" si="856"/>
        <v>0</v>
      </c>
    </row>
    <row r="333" spans="1:225" ht="27.75" customHeight="1" x14ac:dyDescent="0.25">
      <c r="A333" s="10" t="s">
        <v>69</v>
      </c>
      <c r="B333" s="883"/>
      <c r="C333" s="317" t="str">
        <f t="shared" si="852"/>
        <v>GENERAL</v>
      </c>
      <c r="D333" s="86" t="s">
        <v>66</v>
      </c>
      <c r="E333" s="83">
        <f>E312</f>
        <v>84</v>
      </c>
      <c r="F333" s="83">
        <f>F312</f>
        <v>79.5</v>
      </c>
      <c r="G333" s="83">
        <f t="shared" ref="G333:W333" si="857">G312</f>
        <v>73</v>
      </c>
      <c r="H333" s="83">
        <f t="shared" si="857"/>
        <v>33.5</v>
      </c>
      <c r="I333" s="83">
        <f t="shared" si="857"/>
        <v>0</v>
      </c>
      <c r="J333" s="83">
        <f t="shared" si="857"/>
        <v>0</v>
      </c>
      <c r="K333" s="83">
        <f t="shared" si="857"/>
        <v>0</v>
      </c>
      <c r="L333" s="83">
        <f t="shared" si="857"/>
        <v>0</v>
      </c>
      <c r="M333" s="83">
        <f t="shared" si="857"/>
        <v>0</v>
      </c>
      <c r="N333" s="83">
        <f t="shared" si="857"/>
        <v>0</v>
      </c>
      <c r="O333" s="83">
        <f t="shared" si="857"/>
        <v>0</v>
      </c>
      <c r="P333" s="83">
        <f t="shared" si="857"/>
        <v>0</v>
      </c>
      <c r="Q333" s="83">
        <f t="shared" si="857"/>
        <v>0</v>
      </c>
      <c r="R333" s="83">
        <f t="shared" si="857"/>
        <v>0</v>
      </c>
      <c r="S333" s="83">
        <f t="shared" si="857"/>
        <v>0</v>
      </c>
      <c r="T333" s="83">
        <f t="shared" si="857"/>
        <v>0</v>
      </c>
      <c r="U333" s="83">
        <f t="shared" si="857"/>
        <v>0</v>
      </c>
      <c r="V333" s="83">
        <f t="shared" si="857"/>
        <v>0</v>
      </c>
      <c r="W333" s="83">
        <f t="shared" si="857"/>
        <v>0</v>
      </c>
    </row>
    <row r="334" spans="1:225" x14ac:dyDescent="0.25">
      <c r="D334" s="85" t="s">
        <v>48</v>
      </c>
      <c r="E334" s="83">
        <f>E298</f>
        <v>1749</v>
      </c>
      <c r="F334" s="83">
        <f>F298</f>
        <v>6748</v>
      </c>
      <c r="G334" s="83">
        <f t="shared" ref="G334:W334" si="858">G298</f>
        <v>8327</v>
      </c>
      <c r="H334" s="83">
        <f t="shared" si="858"/>
        <v>8801</v>
      </c>
      <c r="I334" s="83">
        <f t="shared" si="858"/>
        <v>8801</v>
      </c>
      <c r="J334" s="83">
        <f>J298</f>
        <v>8801</v>
      </c>
      <c r="K334" s="83">
        <f t="shared" si="858"/>
        <v>8801</v>
      </c>
      <c r="L334" s="83">
        <f>L298</f>
        <v>8801</v>
      </c>
      <c r="M334" s="83">
        <f t="shared" si="858"/>
        <v>8801</v>
      </c>
      <c r="N334" s="83">
        <f t="shared" si="858"/>
        <v>8801</v>
      </c>
      <c r="O334" s="83">
        <f t="shared" si="858"/>
        <v>8801</v>
      </c>
      <c r="P334" s="83">
        <f t="shared" si="858"/>
        <v>8801</v>
      </c>
      <c r="Q334" s="83">
        <f t="shared" si="858"/>
        <v>8801</v>
      </c>
      <c r="R334" s="83">
        <f t="shared" si="858"/>
        <v>8801</v>
      </c>
      <c r="S334" s="83">
        <f t="shared" si="858"/>
        <v>8801</v>
      </c>
      <c r="T334" s="83">
        <f t="shared" si="858"/>
        <v>8801</v>
      </c>
      <c r="U334" s="83">
        <f t="shared" si="858"/>
        <v>8801</v>
      </c>
      <c r="V334" s="83">
        <f t="shared" si="858"/>
        <v>8801</v>
      </c>
      <c r="W334" s="83">
        <f t="shared" si="858"/>
        <v>8801</v>
      </c>
    </row>
    <row r="335" spans="1:225" x14ac:dyDescent="0.25">
      <c r="D335" s="85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</row>
    <row r="336" spans="1:225" x14ac:dyDescent="0.25">
      <c r="D336" s="85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</row>
    <row r="337" spans="2:23" x14ac:dyDescent="0.25">
      <c r="E337" s="316"/>
      <c r="F337" s="316"/>
      <c r="G337" s="316"/>
      <c r="H337" s="316"/>
      <c r="I337" s="316"/>
      <c r="J337" s="316"/>
      <c r="K337" s="316"/>
      <c r="L337" s="316"/>
      <c r="M337" s="316"/>
      <c r="N337" s="316"/>
      <c r="O337" s="316"/>
      <c r="P337" s="316"/>
      <c r="Q337" s="316"/>
      <c r="R337" s="316"/>
      <c r="S337" s="316"/>
      <c r="T337" s="316"/>
      <c r="U337" s="316"/>
      <c r="V337" s="316"/>
    </row>
    <row r="338" spans="2:23" x14ac:dyDescent="0.25">
      <c r="E338" s="316"/>
      <c r="F338" s="316"/>
      <c r="G338" s="316"/>
      <c r="H338" s="316"/>
      <c r="I338" s="316"/>
      <c r="J338" s="316"/>
      <c r="K338" s="316"/>
      <c r="L338" s="316"/>
      <c r="M338" s="316"/>
      <c r="N338" s="316"/>
      <c r="O338" s="316"/>
      <c r="P338" s="316"/>
      <c r="Q338" s="316"/>
      <c r="R338" s="316"/>
      <c r="S338" s="316"/>
      <c r="T338" s="316"/>
      <c r="U338" s="316"/>
      <c r="V338" s="316"/>
    </row>
    <row r="339" spans="2:23" x14ac:dyDescent="0.25">
      <c r="B339" s="84" t="s">
        <v>61</v>
      </c>
      <c r="D339" s="1" t="s">
        <v>33</v>
      </c>
      <c r="E339" s="316"/>
      <c r="F339" s="316"/>
      <c r="G339" s="316"/>
      <c r="H339" s="316"/>
      <c r="I339" s="316"/>
      <c r="J339" s="316"/>
      <c r="K339" s="316"/>
      <c r="L339" s="316"/>
      <c r="M339" s="316"/>
      <c r="N339" s="316"/>
      <c r="O339" s="316"/>
      <c r="P339" s="316"/>
      <c r="Q339" s="316"/>
      <c r="R339" s="316"/>
      <c r="S339" s="316"/>
      <c r="T339" s="316"/>
      <c r="U339" s="316"/>
      <c r="V339" s="316"/>
    </row>
    <row r="340" spans="2:23" x14ac:dyDescent="0.25">
      <c r="B340" s="84"/>
      <c r="E340" s="316"/>
      <c r="F340" s="316"/>
      <c r="G340" s="316"/>
      <c r="H340" s="316"/>
      <c r="I340" s="316"/>
      <c r="J340" s="316"/>
      <c r="K340" s="316"/>
      <c r="L340" s="316"/>
      <c r="M340" s="316"/>
      <c r="N340" s="316"/>
      <c r="O340" s="316"/>
      <c r="P340" s="316"/>
      <c r="Q340" s="316"/>
      <c r="R340" s="316"/>
      <c r="S340" s="316"/>
      <c r="T340" s="316"/>
      <c r="U340" s="316"/>
      <c r="V340" s="316"/>
    </row>
    <row r="341" spans="2:23" x14ac:dyDescent="0.25">
      <c r="B341" s="84"/>
      <c r="E341" s="316"/>
      <c r="F341" s="316"/>
      <c r="G341" s="316"/>
      <c r="H341" s="316"/>
      <c r="I341" s="316"/>
      <c r="J341" s="316"/>
      <c r="K341" s="316"/>
      <c r="L341" s="316"/>
      <c r="M341" s="316"/>
      <c r="N341" s="316"/>
      <c r="O341" s="316"/>
      <c r="P341" s="316"/>
      <c r="Q341" s="316"/>
      <c r="R341" s="316"/>
      <c r="S341" s="316"/>
      <c r="T341" s="316"/>
      <c r="U341" s="316"/>
      <c r="V341" s="316"/>
    </row>
    <row r="342" spans="2:23" x14ac:dyDescent="0.25">
      <c r="B342" s="84"/>
      <c r="D342" s="1" t="s">
        <v>57</v>
      </c>
      <c r="E342" s="320">
        <v>0</v>
      </c>
      <c r="F342" s="320">
        <v>1</v>
      </c>
      <c r="G342" s="320">
        <v>2</v>
      </c>
      <c r="H342" s="320">
        <v>3</v>
      </c>
      <c r="I342" s="320">
        <v>4</v>
      </c>
      <c r="J342" s="320">
        <v>5</v>
      </c>
      <c r="K342" s="320">
        <v>6</v>
      </c>
      <c r="L342" s="320">
        <v>7</v>
      </c>
      <c r="M342" s="320">
        <v>8</v>
      </c>
      <c r="N342" s="320">
        <v>9</v>
      </c>
      <c r="O342" s="320">
        <v>10</v>
      </c>
      <c r="P342" s="320">
        <v>11</v>
      </c>
      <c r="Q342" s="320">
        <v>12</v>
      </c>
      <c r="R342" s="320">
        <v>13</v>
      </c>
      <c r="S342" s="320">
        <v>14</v>
      </c>
      <c r="T342" s="320">
        <v>15</v>
      </c>
      <c r="U342" s="320">
        <v>16</v>
      </c>
      <c r="V342" s="320">
        <v>17</v>
      </c>
      <c r="W342" s="320">
        <v>18</v>
      </c>
    </row>
    <row r="343" spans="2:23" x14ac:dyDescent="0.25">
      <c r="B343" s="84" t="b">
        <v>1</v>
      </c>
      <c r="D343" s="1" t="str">
        <f>IF(TABLERO!$Q$4=TRUE,VLOOKUP(TABLERO!$J$48,TABLERO!$H$48:$I$56,2,FALSE),"")</f>
        <v>%MORT. ACUMULADA</v>
      </c>
      <c r="E343" s="319">
        <f>SUMIFS(E$317:E$323,$A$317:$A$323,$D$343)</f>
        <v>0.7</v>
      </c>
      <c r="F343" s="319">
        <f t="shared" ref="F343:W343" si="859">SUMIFS(F$317:F$323,$A$317:$A$323,$D$343)</f>
        <v>0.7</v>
      </c>
      <c r="G343" s="319">
        <f t="shared" si="859"/>
        <v>1.4</v>
      </c>
      <c r="H343" s="319">
        <f t="shared" si="859"/>
        <v>1.9</v>
      </c>
      <c r="I343" s="319">
        <f t="shared" si="859"/>
        <v>2.1999999999999997</v>
      </c>
      <c r="J343" s="319">
        <f t="shared" si="859"/>
        <v>2.38</v>
      </c>
      <c r="K343" s="319">
        <f t="shared" si="859"/>
        <v>2.56</v>
      </c>
      <c r="L343" s="319">
        <f t="shared" si="859"/>
        <v>2.72</v>
      </c>
      <c r="M343" s="319">
        <f t="shared" si="859"/>
        <v>2.8800000000000003</v>
      </c>
      <c r="N343" s="319">
        <f t="shared" si="859"/>
        <v>3.0400000000000005</v>
      </c>
      <c r="O343" s="319">
        <f t="shared" si="859"/>
        <v>3.2000000000000006</v>
      </c>
      <c r="P343" s="319">
        <f t="shared" si="859"/>
        <v>3.3600000000000008</v>
      </c>
      <c r="Q343" s="319">
        <f t="shared" si="859"/>
        <v>3.5200000000000009</v>
      </c>
      <c r="R343" s="319">
        <f t="shared" si="859"/>
        <v>3.680000000000001</v>
      </c>
      <c r="S343" s="319">
        <f t="shared" si="859"/>
        <v>3.8400000000000012</v>
      </c>
      <c r="T343" s="319">
        <f t="shared" si="859"/>
        <v>4.0000000000000009</v>
      </c>
      <c r="U343" s="319">
        <f t="shared" si="859"/>
        <v>4.160000000000001</v>
      </c>
      <c r="V343" s="319">
        <f t="shared" si="859"/>
        <v>4.3200000000000012</v>
      </c>
      <c r="W343" s="319">
        <f t="shared" si="859"/>
        <v>4.4800000000000013</v>
      </c>
    </row>
    <row r="344" spans="2:23" x14ac:dyDescent="0.25">
      <c r="B344" s="84"/>
      <c r="D344" s="1" t="str">
        <f>IF(B343=FALSE,"",IF(TABLERO!$Q$5=TRUE,VLOOKUP(TABLERO!$J$48,TABLERO!$H$48:$I$56,2,FALSE),""))</f>
        <v>%MORT. ACUMULADA</v>
      </c>
      <c r="E344" s="319">
        <f>SUMIFS(E$327:E$333,$A$327:$A$333,$D$344)</f>
        <v>0.58922615638581</v>
      </c>
      <c r="F344" s="319">
        <f t="shared" ref="F344:W344" si="860">SUMIFS(F$327:F$333,$A$327:$A$333,$D$344)</f>
        <v>2.2862873579964154</v>
      </c>
      <c r="G344" s="319">
        <f>SUMIFS(G$327:G$333,$A$327:$A$333,$D$344)</f>
        <v>2.8698750999476137</v>
      </c>
      <c r="H344" s="319">
        <f>SUMIFS(H$327:H$333,$A$327:$A$333,$D$344)</f>
        <v>3.052807570102535</v>
      </c>
      <c r="I344" s="319">
        <f>SUMIFS(I$327:I$333,$A$327:$A$333,$D$344)</f>
        <v>3.0548526721717191</v>
      </c>
      <c r="J344" s="319">
        <f t="shared" si="860"/>
        <v>3.0548526721717191</v>
      </c>
      <c r="K344" s="319">
        <f t="shared" si="860"/>
        <v>3.0548526721717191</v>
      </c>
      <c r="L344" s="319">
        <f t="shared" si="860"/>
        <v>3.0548526721717191</v>
      </c>
      <c r="M344" s="319">
        <f t="shared" si="860"/>
        <v>3.0548526721717191</v>
      </c>
      <c r="N344" s="319">
        <f t="shared" si="860"/>
        <v>3.0548526721717191</v>
      </c>
      <c r="O344" s="319">
        <f t="shared" si="860"/>
        <v>3.0548526721717191</v>
      </c>
      <c r="P344" s="319">
        <f t="shared" si="860"/>
        <v>3.0548526721717191</v>
      </c>
      <c r="Q344" s="319">
        <f t="shared" si="860"/>
        <v>3.0548526721717191</v>
      </c>
      <c r="R344" s="319">
        <f t="shared" si="860"/>
        <v>3.0548526721717191</v>
      </c>
      <c r="S344" s="319">
        <f t="shared" si="860"/>
        <v>3.0548526721717191</v>
      </c>
      <c r="T344" s="319">
        <f t="shared" si="860"/>
        <v>3.0548526721717191</v>
      </c>
      <c r="U344" s="319">
        <f t="shared" si="860"/>
        <v>3.0548526721717191</v>
      </c>
      <c r="V344" s="319">
        <f t="shared" si="860"/>
        <v>3.0548526721717191</v>
      </c>
      <c r="W344" s="319">
        <f t="shared" si="860"/>
        <v>3.0548526721717191</v>
      </c>
    </row>
    <row r="345" spans="2:23" x14ac:dyDescent="0.25">
      <c r="B345" s="84"/>
      <c r="C345" s="1" t="str">
        <f>CONCATENATE($D$339,"                                    ",$C$292,"                                      ",$D$343)</f>
        <v>BUEYERA 2                                    GENERAL                                      %MORT. ACUMULADA</v>
      </c>
      <c r="E345" s="316"/>
      <c r="F345" s="316"/>
      <c r="G345" s="316"/>
      <c r="H345" s="316"/>
      <c r="I345" s="316"/>
      <c r="J345" s="316"/>
      <c r="K345" s="316"/>
      <c r="L345" s="316"/>
      <c r="M345" s="316"/>
      <c r="N345" s="316"/>
      <c r="O345" s="316"/>
      <c r="P345" s="316"/>
      <c r="Q345" s="316"/>
      <c r="R345" s="316"/>
      <c r="S345" s="316"/>
      <c r="T345" s="316"/>
      <c r="U345" s="316"/>
      <c r="V345" s="316"/>
    </row>
    <row r="346" spans="2:23" x14ac:dyDescent="0.25">
      <c r="B346" s="84"/>
      <c r="E346" s="316"/>
      <c r="F346" s="316"/>
      <c r="G346" s="316"/>
      <c r="H346" s="316"/>
      <c r="I346" s="316"/>
      <c r="J346" s="316"/>
      <c r="K346" s="316"/>
      <c r="L346" s="316"/>
      <c r="M346" s="316"/>
      <c r="N346" s="316"/>
      <c r="O346" s="316"/>
      <c r="P346" s="316"/>
      <c r="Q346" s="316"/>
      <c r="R346" s="316"/>
      <c r="S346" s="316"/>
      <c r="T346" s="316"/>
      <c r="U346" s="316"/>
      <c r="V346" s="316"/>
    </row>
    <row r="347" spans="2:23" x14ac:dyDescent="0.25">
      <c r="B347" s="84"/>
      <c r="E347" s="316"/>
      <c r="F347" s="316"/>
      <c r="G347" s="316"/>
      <c r="H347" s="316"/>
      <c r="I347" s="316"/>
      <c r="J347" s="316"/>
      <c r="K347" s="316"/>
      <c r="L347" s="316"/>
      <c r="M347" s="316"/>
      <c r="N347" s="316"/>
      <c r="O347" s="316"/>
      <c r="P347" s="316"/>
      <c r="Q347" s="316"/>
      <c r="R347" s="316"/>
      <c r="S347" s="316"/>
      <c r="T347" s="316"/>
      <c r="U347" s="316"/>
      <c r="V347" s="316"/>
    </row>
    <row r="348" spans="2:23" x14ac:dyDescent="0.3">
      <c r="D348" s="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</row>
    <row r="349" spans="2:23" x14ac:dyDescent="0.25">
      <c r="D349" s="2"/>
    </row>
    <row r="350" spans="2:23" x14ac:dyDescent="0.25">
      <c r="D350" s="2"/>
    </row>
  </sheetData>
  <mergeCells count="43">
    <mergeCell ref="AA4:AA5"/>
    <mergeCell ref="AB4:AB5"/>
    <mergeCell ref="DA2:DM2"/>
    <mergeCell ref="E2:Q2"/>
    <mergeCell ref="BR4:BT4"/>
    <mergeCell ref="BU4:BW4"/>
    <mergeCell ref="AC4:AE4"/>
    <mergeCell ref="AF4:AN4"/>
    <mergeCell ref="AO4:AR4"/>
    <mergeCell ref="AS4:AU4"/>
    <mergeCell ref="AV4:AX4"/>
    <mergeCell ref="AZ4:AZ5"/>
    <mergeCell ref="BY4:BY5"/>
    <mergeCell ref="BZ4:BZ5"/>
    <mergeCell ref="CA4:CC4"/>
    <mergeCell ref="CD4:CL4"/>
    <mergeCell ref="CM4:CP4"/>
    <mergeCell ref="CB2:CN2"/>
    <mergeCell ref="DP4:DR4"/>
    <mergeCell ref="DS4:DU4"/>
    <mergeCell ref="CT4:CV4"/>
    <mergeCell ref="CX4:CX5"/>
    <mergeCell ref="CY4:CY5"/>
    <mergeCell ref="CZ4:DB4"/>
    <mergeCell ref="DC4:DK4"/>
    <mergeCell ref="DL4:DO4"/>
    <mergeCell ref="CQ4:CS4"/>
    <mergeCell ref="X309:AA309"/>
    <mergeCell ref="B317:B323"/>
    <mergeCell ref="B327:B333"/>
    <mergeCell ref="AD2:AP2"/>
    <mergeCell ref="BC2:BO2"/>
    <mergeCell ref="BA4:BA5"/>
    <mergeCell ref="BB4:BD4"/>
    <mergeCell ref="BE4:BM4"/>
    <mergeCell ref="BN4:BQ4"/>
    <mergeCell ref="B4:B5"/>
    <mergeCell ref="C4:C5"/>
    <mergeCell ref="D4:F4"/>
    <mergeCell ref="G4:O4"/>
    <mergeCell ref="P4:S4"/>
    <mergeCell ref="T4:V4"/>
    <mergeCell ref="W4:Y4"/>
  </mergeCells>
  <printOptions horizontalCentered="1"/>
  <pageMargins left="0" right="0" top="0" bottom="0" header="0.31496062992125984" footer="0.31496062992125984"/>
  <pageSetup paperSize="9" scale="10" orientation="landscape" r:id="rId1"/>
  <ignoredErrors>
    <ignoredError sqref="B7:B11 B130:B131 B119:B120 B105:B110 B84:B89 B74:B75 B63:B68 B53:B54 B42:B43 B30:B33 B17:B19 B12 AA7:AA12 AA21:AA22 AZ7:AZ12 BY7:BY12 CX7:CX12 B14:B16 B21:B22 B23:B28 B35:B40 B44:B47 B49:B52 B56:B59 B61 B70:B73 B77:B82 B92:B96 B98:B103 B112:B114 B115:B117 B122:B124 B126:B129 B133:B138 AZ14:AZ19 AZ21 AZ23:AZ28 AZ30:AZ33 AZ35:AZ40 AZ42:AZ43 AZ44:AZ47 AZ49:AZ53 AZ54 AZ56:AZ59 AZ61 AZ63:AZ68 AZ70:AZ75 AZ77:AZ82 AZ84:AZ89 AZ92:AZ96 AZ98:AZ103 AZ105:AZ110 AZ112:AZ114 AZ115:AZ117 AZ119:AZ120 AZ122:AZ124 AZ126:AZ131 AZ133:AZ138 AA14:AA19 AA23:AA28 AA30:AA33 AA35:AA40 AA42:AA43 AA44:AA47 AA49:AA53 AA54 AA56:AA59 AA61 AA63:AA68 AA70:AA75 AA77:AA82 AA84:AA89 AA92:AA96 AA98:AA103 AA105:AA110 AA112:AA114 AA115:AA117 AA119:AA120 AA122:AA124 AA126:AA131 AA133:AA139 BY14:BY19 BY21:BY22 BY23:BY28 BY30:BY33 BY35:BY40 BY42:BY43 BY44:BY47 BY49:BY53 BY54 BY56:BY59 BY61 BY63:BY68 BY70:BY75 BY77:BY82 BY84:BY89 BY92:BY96 BY98:BY103 BY105:BY110 BY112:BY114 BY115:BY117 BY119:BY120 BY122:BY124 BY126:BY131 BY133:BY138 CX14:CX19 CX21:CX22 CX23:CX28 CX30:CX33 CX35:CX40 CX42:CX43 CX44:CX47 CX49:CX53 CX54 CX56:CX59 CX61 CX63:CX68 CX70:CX75 CX77:CX82 CX84:CX89 CX92:CX96 CX98:CX103 CX105:CX110 CX112:CX114 CX115:CX117 CX119:CX120 CX122:CX124 CX126:CX131 CX133:CX138" unlockedFormula="1"/>
    <ignoredError sqref="E297:W297 BC14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4" name="Check Box 1">
              <controlPr defaultSize="0" autoFill="0" autoLine="0" autoPict="0">
                <anchor moveWithCells="1">
                  <from>
                    <xdr:col>1</xdr:col>
                    <xdr:colOff>85725</xdr:colOff>
                    <xdr:row>339</xdr:row>
                    <xdr:rowOff>133350</xdr:rowOff>
                  </from>
                  <to>
                    <xdr:col>2</xdr:col>
                    <xdr:colOff>333375</xdr:colOff>
                    <xdr:row>340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2:Z72"/>
  <sheetViews>
    <sheetView showGridLines="0" tabSelected="1" zoomScale="90" zoomScaleNormal="90" workbookViewId="0">
      <selection activeCell="P23" sqref="P23"/>
    </sheetView>
  </sheetViews>
  <sheetFormatPr baseColWidth="10" defaultRowHeight="15" x14ac:dyDescent="0.25"/>
  <cols>
    <col min="1" max="1" width="2.7109375" customWidth="1"/>
    <col min="9" max="9" width="13.85546875" customWidth="1"/>
    <col min="16" max="16" width="14.28515625" customWidth="1"/>
    <col min="17" max="17" width="15.140625" customWidth="1"/>
  </cols>
  <sheetData>
    <row r="2" spans="2:26" ht="21" customHeight="1" x14ac:dyDescent="0.25"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</row>
    <row r="3" spans="2:26" x14ac:dyDescent="0.25"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Q3" s="93"/>
    </row>
    <row r="4" spans="2:26" x14ac:dyDescent="0.25"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Q4" s="93" t="b">
        <v>1</v>
      </c>
    </row>
    <row r="5" spans="2:26" x14ac:dyDescent="0.25"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Q5" s="93" t="b">
        <v>1</v>
      </c>
    </row>
    <row r="6" spans="2:26" x14ac:dyDescent="0.25"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</row>
    <row r="7" spans="2:26" x14ac:dyDescent="0.25"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</row>
    <row r="8" spans="2:26" x14ac:dyDescent="0.25">
      <c r="B8" s="91"/>
      <c r="C8" s="91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X8" s="92"/>
    </row>
    <row r="9" spans="2:26" x14ac:dyDescent="0.25"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P9" s="390"/>
      <c r="Q9" s="390"/>
      <c r="R9" s="390"/>
      <c r="W9" s="92">
        <v>0</v>
      </c>
      <c r="X9" s="92" t="s">
        <v>139</v>
      </c>
      <c r="Y9" s="93"/>
      <c r="Z9" s="93"/>
    </row>
    <row r="10" spans="2:26" x14ac:dyDescent="0.25">
      <c r="B10" s="91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W10" s="92">
        <v>1</v>
      </c>
      <c r="X10" s="92" t="s">
        <v>109</v>
      </c>
      <c r="Y10" s="92">
        <v>11</v>
      </c>
      <c r="Z10" s="93"/>
    </row>
    <row r="11" spans="2:26" ht="15" customHeight="1" x14ac:dyDescent="0.25">
      <c r="O11" s="896" t="s">
        <v>127</v>
      </c>
      <c r="P11" s="390"/>
      <c r="W11" s="92">
        <v>2</v>
      </c>
      <c r="X11" s="92" t="s">
        <v>110</v>
      </c>
      <c r="Y11" s="93"/>
      <c r="Z11" s="93"/>
    </row>
    <row r="12" spans="2:26" x14ac:dyDescent="0.25">
      <c r="O12" s="896"/>
      <c r="W12" s="92">
        <v>3</v>
      </c>
      <c r="X12" s="92" t="s">
        <v>111</v>
      </c>
      <c r="Y12" s="93"/>
      <c r="Z12" s="93"/>
    </row>
    <row r="13" spans="2:26" x14ac:dyDescent="0.25">
      <c r="O13" s="896"/>
      <c r="W13" s="92">
        <v>4</v>
      </c>
      <c r="X13" s="92" t="s">
        <v>112</v>
      </c>
      <c r="Y13" s="93"/>
      <c r="Z13" s="93"/>
    </row>
    <row r="14" spans="2:26" x14ac:dyDescent="0.25">
      <c r="O14" s="896"/>
      <c r="W14" s="92">
        <v>5</v>
      </c>
      <c r="X14" s="92" t="s">
        <v>113</v>
      </c>
      <c r="Y14" s="93"/>
      <c r="Z14" s="93"/>
    </row>
    <row r="15" spans="2:26" x14ac:dyDescent="0.25">
      <c r="O15" s="896"/>
      <c r="W15" s="92">
        <v>6</v>
      </c>
      <c r="X15" s="92" t="s">
        <v>114</v>
      </c>
      <c r="Y15" s="93"/>
      <c r="Z15" s="93"/>
    </row>
    <row r="16" spans="2:26" ht="23.25" x14ac:dyDescent="0.35">
      <c r="O16" s="896"/>
      <c r="P16" s="389">
        <f>HLOOKUP(Y10,CONCENTRADO!$C$27:$U$29,3,FALSE)</f>
        <v>12317</v>
      </c>
      <c r="Q16" s="897" t="s">
        <v>31</v>
      </c>
      <c r="R16" s="897"/>
      <c r="W16" s="92">
        <v>7</v>
      </c>
      <c r="X16" s="92" t="s">
        <v>115</v>
      </c>
      <c r="Y16" s="93"/>
      <c r="Z16" s="93"/>
    </row>
    <row r="17" spans="15:26" x14ac:dyDescent="0.25">
      <c r="O17" s="896"/>
      <c r="W17" s="92">
        <v>8</v>
      </c>
      <c r="X17" s="92" t="s">
        <v>116</v>
      </c>
      <c r="Y17" s="93"/>
      <c r="Z17" s="93"/>
    </row>
    <row r="18" spans="15:26" x14ac:dyDescent="0.25">
      <c r="O18" s="896"/>
      <c r="W18" s="92">
        <v>9</v>
      </c>
      <c r="X18" s="92" t="s">
        <v>117</v>
      </c>
      <c r="Y18" s="93"/>
      <c r="Z18" s="93"/>
    </row>
    <row r="19" spans="15:26" x14ac:dyDescent="0.25">
      <c r="O19" s="896"/>
      <c r="W19" s="92">
        <v>10</v>
      </c>
      <c r="X19" s="92" t="s">
        <v>118</v>
      </c>
      <c r="Y19" s="93"/>
      <c r="Z19" s="93"/>
    </row>
    <row r="20" spans="15:26" ht="23.25" x14ac:dyDescent="0.35">
      <c r="O20" s="896"/>
      <c r="P20" s="389">
        <f>HLOOKUP($Y$10,CONCENTRADO!C32:U34,3,FALSE)</f>
        <v>12693</v>
      </c>
      <c r="Q20" s="897" t="s">
        <v>33</v>
      </c>
      <c r="R20" s="897"/>
      <c r="W20" s="92">
        <v>11</v>
      </c>
      <c r="X20" s="92" t="s">
        <v>119</v>
      </c>
      <c r="Y20" s="93"/>
      <c r="Z20" s="93"/>
    </row>
    <row r="21" spans="15:26" x14ac:dyDescent="0.25">
      <c r="O21" s="896"/>
      <c r="W21" s="92">
        <v>12</v>
      </c>
      <c r="X21" s="92" t="s">
        <v>120</v>
      </c>
      <c r="Y21" s="93"/>
      <c r="Z21" s="93"/>
    </row>
    <row r="22" spans="15:26" x14ac:dyDescent="0.25">
      <c r="O22" s="896"/>
      <c r="W22" s="92">
        <v>13</v>
      </c>
      <c r="X22" s="92" t="s">
        <v>121</v>
      </c>
      <c r="Y22" s="93"/>
      <c r="Z22" s="93"/>
    </row>
    <row r="23" spans="15:26" x14ac:dyDescent="0.25">
      <c r="O23" s="896"/>
      <c r="W23" s="92">
        <v>14</v>
      </c>
      <c r="X23" s="92" t="s">
        <v>122</v>
      </c>
      <c r="Y23" s="93"/>
      <c r="Z23" s="93"/>
    </row>
    <row r="24" spans="15:26" x14ac:dyDescent="0.25">
      <c r="W24" s="92">
        <v>15</v>
      </c>
      <c r="X24" s="92" t="s">
        <v>123</v>
      </c>
      <c r="Y24" s="93"/>
      <c r="Z24" s="93"/>
    </row>
    <row r="25" spans="15:26" x14ac:dyDescent="0.25">
      <c r="W25" s="92">
        <v>16</v>
      </c>
      <c r="X25" s="92" t="s">
        <v>124</v>
      </c>
      <c r="Y25" s="93"/>
      <c r="Z25" s="93"/>
    </row>
    <row r="26" spans="15:26" x14ac:dyDescent="0.25">
      <c r="W26" s="92">
        <v>17</v>
      </c>
      <c r="X26" s="92" t="s">
        <v>125</v>
      </c>
      <c r="Y26" s="93"/>
      <c r="Z26" s="93"/>
    </row>
    <row r="27" spans="15:26" x14ac:dyDescent="0.25">
      <c r="W27" s="92">
        <v>18</v>
      </c>
      <c r="X27" s="92" t="s">
        <v>126</v>
      </c>
      <c r="Y27" s="93"/>
      <c r="Z27" s="93"/>
    </row>
    <row r="28" spans="15:26" x14ac:dyDescent="0.25">
      <c r="W28" s="93"/>
      <c r="X28" s="92"/>
      <c r="Y28" s="93"/>
      <c r="Z28" s="93"/>
    </row>
    <row r="29" spans="15:26" x14ac:dyDescent="0.25">
      <c r="W29" s="93"/>
      <c r="X29" s="92"/>
      <c r="Y29" s="93"/>
      <c r="Z29" s="93"/>
    </row>
    <row r="30" spans="15:26" x14ac:dyDescent="0.25">
      <c r="W30" s="93"/>
      <c r="X30" s="92"/>
      <c r="Y30" s="93"/>
      <c r="Z30" s="93"/>
    </row>
    <row r="31" spans="15:26" x14ac:dyDescent="0.25">
      <c r="W31" s="93"/>
      <c r="X31" s="92"/>
      <c r="Y31" s="93"/>
      <c r="Z31" s="93"/>
    </row>
    <row r="32" spans="15:26" x14ac:dyDescent="0.25">
      <c r="W32" s="93"/>
      <c r="X32" s="92"/>
      <c r="Y32" s="93"/>
      <c r="Z32" s="93"/>
    </row>
    <row r="33" spans="1:24" x14ac:dyDescent="0.25">
      <c r="X33" s="92"/>
    </row>
    <row r="34" spans="1:24" x14ac:dyDescent="0.25">
      <c r="X34" s="92"/>
    </row>
    <row r="35" spans="1:24" x14ac:dyDescent="0.25">
      <c r="X35" s="92"/>
    </row>
    <row r="36" spans="1:24" x14ac:dyDescent="0.25">
      <c r="X36" s="92"/>
    </row>
    <row r="37" spans="1:24" x14ac:dyDescent="0.25">
      <c r="X37" s="92"/>
    </row>
    <row r="38" spans="1:24" x14ac:dyDescent="0.25">
      <c r="X38" s="92"/>
    </row>
    <row r="39" spans="1:24" x14ac:dyDescent="0.25">
      <c r="X39" s="92"/>
    </row>
    <row r="40" spans="1:24" x14ac:dyDescent="0.25">
      <c r="X40" s="92"/>
    </row>
    <row r="41" spans="1:24" x14ac:dyDescent="0.25">
      <c r="X41" s="92"/>
    </row>
    <row r="42" spans="1:24" x14ac:dyDescent="0.25"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X42" s="92"/>
    </row>
    <row r="43" spans="1:24" x14ac:dyDescent="0.25">
      <c r="B43" s="208"/>
      <c r="C43" s="208"/>
      <c r="D43" s="208"/>
      <c r="E43" s="208"/>
      <c r="F43" s="208"/>
      <c r="G43" s="208"/>
      <c r="H43" s="208"/>
      <c r="I43" s="208"/>
      <c r="J43" s="208"/>
      <c r="K43" s="208"/>
      <c r="L43" s="208"/>
      <c r="M43" s="208"/>
      <c r="N43" s="208"/>
      <c r="O43" s="208"/>
      <c r="P43" s="208"/>
      <c r="Q43" s="208"/>
      <c r="X43" s="92"/>
    </row>
    <row r="44" spans="1:24" x14ac:dyDescent="0.25">
      <c r="B44" s="208"/>
      <c r="C44" s="208"/>
      <c r="D44" s="208"/>
      <c r="E44" s="208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  <c r="Q44" s="208"/>
      <c r="X44" s="92"/>
    </row>
    <row r="45" spans="1:24" x14ac:dyDescent="0.25">
      <c r="B45" s="208"/>
      <c r="C45" s="208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X45" s="92"/>
    </row>
    <row r="46" spans="1:24" x14ac:dyDescent="0.25">
      <c r="B46" s="208"/>
      <c r="C46" s="208"/>
      <c r="D46" s="208"/>
      <c r="E46" s="208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X46" s="92"/>
    </row>
    <row r="47" spans="1:24" x14ac:dyDescent="0.25">
      <c r="B47" s="208"/>
      <c r="C47" s="208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X47" s="92"/>
    </row>
    <row r="48" spans="1:24" x14ac:dyDescent="0.25">
      <c r="A48" s="208"/>
      <c r="B48" s="208"/>
      <c r="C48" s="208"/>
      <c r="D48" s="208"/>
      <c r="E48" s="208">
        <v>1</v>
      </c>
      <c r="F48" s="208" t="s">
        <v>59</v>
      </c>
      <c r="G48" s="208">
        <v>4</v>
      </c>
      <c r="H48" s="208">
        <v>1</v>
      </c>
      <c r="I48" s="10" t="s">
        <v>86</v>
      </c>
      <c r="J48" s="208">
        <v>3</v>
      </c>
      <c r="K48" s="208">
        <v>1</v>
      </c>
      <c r="L48" s="208" t="s">
        <v>60</v>
      </c>
      <c r="M48" s="208">
        <v>1</v>
      </c>
      <c r="N48" s="208"/>
      <c r="O48" s="208"/>
      <c r="P48" s="208"/>
      <c r="Q48" s="208"/>
      <c r="X48" s="92"/>
    </row>
    <row r="49" spans="1:24" x14ac:dyDescent="0.25">
      <c r="A49" s="208"/>
      <c r="B49" s="208"/>
      <c r="C49" s="208"/>
      <c r="D49" s="208"/>
      <c r="E49" s="208">
        <v>2</v>
      </c>
      <c r="F49" s="208" t="s">
        <v>31</v>
      </c>
      <c r="G49" s="208"/>
      <c r="H49" s="208">
        <v>2</v>
      </c>
      <c r="I49" s="10" t="s">
        <v>68</v>
      </c>
      <c r="J49" s="208"/>
      <c r="K49" s="208">
        <v>2</v>
      </c>
      <c r="L49" s="208" t="s">
        <v>52</v>
      </c>
      <c r="M49" s="208"/>
      <c r="N49" s="208"/>
      <c r="O49" s="208"/>
      <c r="P49" s="208"/>
      <c r="Q49" s="208"/>
      <c r="X49" s="92"/>
    </row>
    <row r="50" spans="1:24" x14ac:dyDescent="0.25">
      <c r="A50" s="208"/>
      <c r="B50" s="208"/>
      <c r="C50" s="208"/>
      <c r="D50" s="208"/>
      <c r="E50" s="208">
        <v>3</v>
      </c>
      <c r="F50" s="208" t="s">
        <v>33</v>
      </c>
      <c r="G50" s="208"/>
      <c r="H50" s="208">
        <v>3</v>
      </c>
      <c r="I50" s="10" t="s">
        <v>70</v>
      </c>
      <c r="J50" s="208"/>
      <c r="K50" s="208">
        <v>3</v>
      </c>
      <c r="L50" s="208" t="s">
        <v>53</v>
      </c>
      <c r="M50" s="208"/>
      <c r="N50" s="208"/>
      <c r="O50" s="208"/>
      <c r="P50" s="208"/>
      <c r="Q50" s="208"/>
      <c r="X50" s="92"/>
    </row>
    <row r="51" spans="1:24" x14ac:dyDescent="0.25">
      <c r="A51" s="208"/>
      <c r="B51" s="208"/>
      <c r="C51" s="208"/>
      <c r="D51" s="208"/>
      <c r="E51" s="208">
        <v>4</v>
      </c>
      <c r="F51" s="208" t="s">
        <v>194</v>
      </c>
      <c r="G51" s="208"/>
      <c r="H51" s="208">
        <v>4</v>
      </c>
      <c r="I51" s="10" t="s">
        <v>71</v>
      </c>
      <c r="J51" s="208"/>
      <c r="K51" s="208">
        <v>4</v>
      </c>
      <c r="L51" s="208" t="s">
        <v>54</v>
      </c>
      <c r="M51" s="208"/>
      <c r="N51" s="208"/>
      <c r="O51" s="208"/>
      <c r="P51" s="208"/>
      <c r="Q51" s="208"/>
      <c r="X51" s="92"/>
    </row>
    <row r="52" spans="1:24" x14ac:dyDescent="0.25">
      <c r="A52" s="208"/>
      <c r="B52" s="208"/>
      <c r="C52" s="208"/>
      <c r="D52" s="208"/>
      <c r="E52" s="208">
        <v>3</v>
      </c>
      <c r="F52" s="208"/>
      <c r="G52" s="208"/>
      <c r="H52" s="208">
        <v>5</v>
      </c>
      <c r="I52" s="342" t="s">
        <v>142</v>
      </c>
      <c r="J52" s="208"/>
      <c r="K52" s="208">
        <v>5</v>
      </c>
      <c r="L52" s="208" t="s">
        <v>55</v>
      </c>
      <c r="M52" s="208"/>
      <c r="N52" s="208"/>
      <c r="O52" s="208"/>
      <c r="P52" s="208"/>
      <c r="Q52" s="208"/>
      <c r="X52" s="92"/>
    </row>
    <row r="53" spans="1:24" x14ac:dyDescent="0.25">
      <c r="A53" s="208"/>
      <c r="B53" s="208"/>
      <c r="C53" s="208"/>
      <c r="D53" s="208"/>
      <c r="E53" s="208">
        <v>4</v>
      </c>
      <c r="F53" s="208"/>
      <c r="G53" s="208"/>
      <c r="H53" s="208">
        <v>6</v>
      </c>
      <c r="I53" s="10" t="s">
        <v>11</v>
      </c>
      <c r="J53" s="208"/>
      <c r="K53" s="208">
        <v>6</v>
      </c>
      <c r="L53" s="208" t="s">
        <v>56</v>
      </c>
      <c r="M53" s="208"/>
      <c r="N53" s="208"/>
      <c r="O53" s="208"/>
      <c r="P53" s="208"/>
      <c r="Q53" s="208"/>
      <c r="X53" s="92"/>
    </row>
    <row r="54" spans="1:24" x14ac:dyDescent="0.25">
      <c r="A54" s="208"/>
      <c r="B54" s="208"/>
      <c r="C54" s="208"/>
      <c r="D54" s="208"/>
      <c r="E54" s="208"/>
      <c r="F54" s="208"/>
      <c r="G54" s="208"/>
      <c r="H54" s="208">
        <v>7</v>
      </c>
      <c r="I54" s="10" t="s">
        <v>69</v>
      </c>
      <c r="J54" s="208"/>
      <c r="K54" s="208">
        <v>7</v>
      </c>
      <c r="L54" s="208" t="s">
        <v>149</v>
      </c>
      <c r="M54" s="208"/>
      <c r="N54" s="208"/>
      <c r="O54" s="208"/>
      <c r="P54" s="208"/>
      <c r="Q54" s="208"/>
      <c r="X54" s="92"/>
    </row>
    <row r="55" spans="1:24" x14ac:dyDescent="0.25">
      <c r="A55" s="208"/>
      <c r="B55" s="208"/>
      <c r="C55" s="208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X55" s="92"/>
    </row>
    <row r="56" spans="1:24" x14ac:dyDescent="0.25">
      <c r="A56" s="208"/>
      <c r="B56" s="208"/>
      <c r="C56" s="208"/>
      <c r="D56" s="208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X56" s="92"/>
    </row>
    <row r="57" spans="1:24" x14ac:dyDescent="0.25">
      <c r="A57" s="208"/>
      <c r="B57" s="208"/>
      <c r="C57" s="208"/>
      <c r="D57" s="208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X57" s="92"/>
    </row>
    <row r="58" spans="1:24" x14ac:dyDescent="0.25">
      <c r="A58" s="208"/>
      <c r="B58" s="208"/>
      <c r="C58" s="208"/>
      <c r="D58" s="208"/>
      <c r="E58" s="208"/>
      <c r="F58" s="208"/>
      <c r="G58" s="208"/>
      <c r="H58" s="209"/>
      <c r="I58" s="208"/>
      <c r="J58" s="208"/>
      <c r="K58" s="208"/>
      <c r="L58" s="208"/>
      <c r="M58" s="208"/>
      <c r="N58" s="208"/>
      <c r="O58" s="208"/>
      <c r="P58" s="208"/>
      <c r="Q58" s="208"/>
      <c r="X58" s="92"/>
    </row>
    <row r="59" spans="1:24" x14ac:dyDescent="0.25">
      <c r="A59" s="208"/>
      <c r="B59" s="208"/>
      <c r="C59" s="208"/>
      <c r="D59" s="208"/>
      <c r="E59" s="208"/>
      <c r="F59" s="208"/>
      <c r="G59" s="208"/>
      <c r="H59" s="209"/>
      <c r="I59" s="208"/>
      <c r="J59" s="208"/>
      <c r="K59" s="208"/>
      <c r="L59" s="208"/>
      <c r="M59" s="208"/>
      <c r="N59" s="208"/>
      <c r="O59" s="208"/>
      <c r="P59" s="208"/>
      <c r="Q59" s="208"/>
      <c r="X59" s="92"/>
    </row>
    <row r="60" spans="1:24" x14ac:dyDescent="0.25">
      <c r="A60" s="208"/>
      <c r="B60" s="208"/>
      <c r="C60" s="208"/>
      <c r="D60" s="208"/>
      <c r="E60" s="208"/>
      <c r="F60" s="208"/>
      <c r="G60" s="208"/>
      <c r="H60" s="209"/>
      <c r="I60" s="208"/>
      <c r="J60" s="208"/>
      <c r="K60" s="208"/>
      <c r="L60" s="208"/>
      <c r="M60" s="208"/>
      <c r="N60" s="208"/>
      <c r="O60" s="208"/>
      <c r="P60" s="208"/>
      <c r="Q60" s="208"/>
      <c r="X60" s="92"/>
    </row>
    <row r="61" spans="1:24" x14ac:dyDescent="0.25">
      <c r="A61" s="208"/>
      <c r="B61" s="208"/>
      <c r="C61" s="208"/>
      <c r="D61" s="93"/>
      <c r="E61" s="93"/>
      <c r="F61" s="93"/>
      <c r="G61" s="93"/>
      <c r="H61" s="322"/>
      <c r="I61" s="93"/>
      <c r="J61" s="93"/>
      <c r="K61" s="93"/>
      <c r="L61" s="93"/>
      <c r="M61" s="93"/>
      <c r="N61" s="93"/>
      <c r="O61" s="208"/>
      <c r="P61" s="208"/>
      <c r="Q61" s="208"/>
      <c r="X61" s="92"/>
    </row>
    <row r="62" spans="1:24" x14ac:dyDescent="0.25">
      <c r="A62" s="208"/>
      <c r="B62" s="208"/>
      <c r="C62" s="208"/>
      <c r="D62" s="208"/>
      <c r="E62" s="208"/>
      <c r="F62" s="208"/>
      <c r="G62" s="208"/>
      <c r="H62" s="209"/>
      <c r="J62" s="208"/>
      <c r="K62" s="208"/>
      <c r="L62" s="208"/>
      <c r="M62" s="208"/>
      <c r="N62" s="208"/>
      <c r="O62" s="208"/>
      <c r="P62" s="208"/>
      <c r="Q62" s="208"/>
    </row>
    <row r="63" spans="1:24" x14ac:dyDescent="0.25">
      <c r="A63" s="208"/>
      <c r="B63" s="208"/>
      <c r="C63" s="208"/>
      <c r="D63" s="208"/>
      <c r="E63" s="208"/>
      <c r="F63" s="208"/>
      <c r="G63" s="208"/>
      <c r="H63" s="209"/>
      <c r="I63" s="85"/>
      <c r="J63" s="208"/>
      <c r="K63" s="208"/>
      <c r="L63" s="208"/>
      <c r="M63" s="208"/>
      <c r="N63" s="208"/>
      <c r="O63" s="208"/>
      <c r="P63" s="208"/>
      <c r="Q63" s="208"/>
    </row>
    <row r="64" spans="1:24" x14ac:dyDescent="0.25">
      <c r="A64" s="208"/>
      <c r="B64" s="208"/>
      <c r="C64" s="208"/>
      <c r="D64" s="208"/>
      <c r="E64" s="208"/>
      <c r="F64" s="208"/>
      <c r="G64" s="208"/>
      <c r="H64" s="209"/>
      <c r="I64" s="207"/>
      <c r="J64" s="208"/>
      <c r="K64" s="208"/>
      <c r="L64" s="208"/>
      <c r="M64" s="208"/>
      <c r="N64" s="208"/>
      <c r="O64" s="208"/>
      <c r="P64" s="208"/>
      <c r="Q64" s="208"/>
    </row>
    <row r="65" spans="1:17" x14ac:dyDescent="0.25">
      <c r="A65" s="208"/>
      <c r="B65" s="208"/>
      <c r="C65" s="208"/>
      <c r="D65" s="208"/>
      <c r="E65" s="208"/>
      <c r="F65" s="208"/>
      <c r="G65" s="208"/>
      <c r="H65" s="209"/>
      <c r="I65" s="207"/>
      <c r="J65" s="208"/>
      <c r="K65" s="208"/>
      <c r="L65" s="208"/>
      <c r="M65" s="208"/>
      <c r="N65" s="208"/>
      <c r="O65" s="208"/>
      <c r="P65" s="208"/>
      <c r="Q65" s="208"/>
    </row>
    <row r="66" spans="1:17" x14ac:dyDescent="0.25">
      <c r="A66" s="208"/>
      <c r="B66" s="208"/>
      <c r="C66" s="208"/>
      <c r="D66" s="208"/>
      <c r="E66" s="208"/>
      <c r="F66" s="208"/>
      <c r="G66" s="208"/>
      <c r="H66" s="209"/>
      <c r="I66" s="207"/>
      <c r="J66" s="208"/>
      <c r="K66" s="208"/>
      <c r="L66" s="208"/>
      <c r="M66" s="208"/>
      <c r="N66" s="208"/>
      <c r="O66" s="208"/>
      <c r="P66" s="208"/>
      <c r="Q66" s="208"/>
    </row>
    <row r="67" spans="1:17" x14ac:dyDescent="0.25">
      <c r="A67" s="208"/>
      <c r="B67" s="208"/>
      <c r="C67" s="208"/>
      <c r="D67" s="208"/>
      <c r="E67" s="208"/>
      <c r="F67" s="208"/>
      <c r="G67" s="208"/>
      <c r="H67" s="209"/>
      <c r="I67" s="85"/>
      <c r="J67" s="208"/>
      <c r="K67" s="208"/>
      <c r="L67" s="208"/>
      <c r="M67" s="208"/>
      <c r="N67" s="208"/>
      <c r="O67" s="208"/>
      <c r="P67" s="208"/>
      <c r="Q67" s="208"/>
    </row>
    <row r="68" spans="1:17" x14ac:dyDescent="0.25">
      <c r="A68" s="208"/>
      <c r="B68" s="208"/>
      <c r="C68" s="208"/>
      <c r="D68" s="208"/>
      <c r="E68" s="208"/>
      <c r="F68" s="208"/>
      <c r="G68" s="208"/>
      <c r="H68" s="209"/>
      <c r="I68" s="85"/>
      <c r="J68" s="208"/>
      <c r="K68" s="208"/>
      <c r="L68" s="208"/>
      <c r="M68" s="208"/>
      <c r="N68" s="208"/>
      <c r="O68" s="208"/>
      <c r="P68" s="208"/>
      <c r="Q68" s="208"/>
    </row>
    <row r="69" spans="1:17" x14ac:dyDescent="0.25">
      <c r="A69" s="208"/>
      <c r="B69" s="208"/>
      <c r="C69" s="208"/>
      <c r="D69" s="208"/>
      <c r="E69" s="208"/>
      <c r="F69" s="208"/>
      <c r="G69" s="208"/>
      <c r="H69" s="209"/>
      <c r="I69" s="85"/>
      <c r="J69" s="208"/>
      <c r="K69" s="208"/>
      <c r="L69" s="208"/>
      <c r="M69" s="208"/>
      <c r="N69" s="208"/>
      <c r="O69" s="208"/>
      <c r="P69" s="208"/>
      <c r="Q69" s="208"/>
    </row>
    <row r="70" spans="1:17" x14ac:dyDescent="0.25">
      <c r="A70" s="208"/>
      <c r="B70" s="208"/>
      <c r="C70" s="208"/>
      <c r="D70" s="208"/>
      <c r="E70" s="208"/>
      <c r="F70" s="208"/>
      <c r="G70" s="208"/>
      <c r="H70" s="209"/>
      <c r="I70" s="85"/>
      <c r="J70" s="208"/>
      <c r="K70" s="208"/>
      <c r="L70" s="208"/>
      <c r="M70" s="208"/>
      <c r="N70" s="208"/>
      <c r="O70" s="208"/>
      <c r="P70" s="208"/>
      <c r="Q70" s="208"/>
    </row>
    <row r="71" spans="1:17" x14ac:dyDescent="0.25">
      <c r="A71" s="208"/>
      <c r="B71" s="208"/>
      <c r="C71" s="208"/>
      <c r="D71" s="208"/>
      <c r="E71" s="208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8"/>
      <c r="Q71" s="208"/>
    </row>
    <row r="72" spans="1:17" x14ac:dyDescent="0.25">
      <c r="A72" s="208"/>
      <c r="B72" s="208"/>
      <c r="C72" s="208"/>
      <c r="D72" s="208"/>
      <c r="E72" s="208"/>
      <c r="F72" s="208"/>
      <c r="G72" s="208"/>
      <c r="H72" s="208"/>
      <c r="I72" s="208"/>
      <c r="J72" s="208"/>
      <c r="K72" s="208"/>
      <c r="L72" s="208"/>
      <c r="M72" s="208"/>
      <c r="N72" s="208"/>
      <c r="O72" s="208"/>
      <c r="P72" s="208"/>
      <c r="Q72" s="208"/>
    </row>
  </sheetData>
  <mergeCells count="3">
    <mergeCell ref="O11:O23"/>
    <mergeCell ref="Q16:R16"/>
    <mergeCell ref="Q20:R20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2" r:id="rId4" name="Drop Down 4">
              <controlPr defaultSize="0" autoLine="0" autoPict="0">
                <anchor moveWithCells="1">
                  <from>
                    <xdr:col>4</xdr:col>
                    <xdr:colOff>523875</xdr:colOff>
                    <xdr:row>6</xdr:row>
                    <xdr:rowOff>47625</xdr:rowOff>
                  </from>
                  <to>
                    <xdr:col>6</xdr:col>
                    <xdr:colOff>381000</xdr:colOff>
                    <xdr:row>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5" name="Drop Down 6">
              <controlPr defaultSize="0" autoLine="0" autoPict="0">
                <anchor moveWithCells="1">
                  <from>
                    <xdr:col>3</xdr:col>
                    <xdr:colOff>66675</xdr:colOff>
                    <xdr:row>6</xdr:row>
                    <xdr:rowOff>57150</xdr:rowOff>
                  </from>
                  <to>
                    <xdr:col>4</xdr:col>
                    <xdr:colOff>314325</xdr:colOff>
                    <xdr:row>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6" name="Check Box 9">
              <controlPr defaultSize="0" autoFill="0" autoLine="0" autoPict="0">
                <anchor moveWithCells="1">
                  <from>
                    <xdr:col>12</xdr:col>
                    <xdr:colOff>285750</xdr:colOff>
                    <xdr:row>5</xdr:row>
                    <xdr:rowOff>47625</xdr:rowOff>
                  </from>
                  <to>
                    <xdr:col>13</xdr:col>
                    <xdr:colOff>219075</xdr:colOff>
                    <xdr:row>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7" name="Check Box 10">
              <controlPr defaultSize="0" autoFill="0" autoLine="0" autoPict="0">
                <anchor moveWithCells="1">
                  <from>
                    <xdr:col>12</xdr:col>
                    <xdr:colOff>285750</xdr:colOff>
                    <xdr:row>7</xdr:row>
                    <xdr:rowOff>95250</xdr:rowOff>
                  </from>
                  <to>
                    <xdr:col>13</xdr:col>
                    <xdr:colOff>133350</xdr:colOff>
                    <xdr:row>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8" name="Drop Down 11">
              <controlPr defaultSize="0" autoLine="0" autoPict="0">
                <anchor moveWithCells="1">
                  <from>
                    <xdr:col>1</xdr:col>
                    <xdr:colOff>228600</xdr:colOff>
                    <xdr:row>6</xdr:row>
                    <xdr:rowOff>57150</xdr:rowOff>
                  </from>
                  <to>
                    <xdr:col>2</xdr:col>
                    <xdr:colOff>495300</xdr:colOff>
                    <xdr:row>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9" name="Drop Down 12">
              <controlPr defaultSize="0" autoLine="0" autoPict="0">
                <anchor moveWithCells="1">
                  <from>
                    <xdr:col>14</xdr:col>
                    <xdr:colOff>695325</xdr:colOff>
                    <xdr:row>11</xdr:row>
                    <xdr:rowOff>142875</xdr:rowOff>
                  </from>
                  <to>
                    <xdr:col>16</xdr:col>
                    <xdr:colOff>161925</xdr:colOff>
                    <xdr:row>13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36</vt:i4>
      </vt:variant>
    </vt:vector>
  </HeadingPairs>
  <TitlesOfParts>
    <vt:vector size="45" baseType="lpstr">
      <vt:lpstr>PARAMETROS</vt:lpstr>
      <vt:lpstr>PARALOHMANN</vt:lpstr>
      <vt:lpstr>BUEYERA1</vt:lpstr>
      <vt:lpstr>CUARTP101</vt:lpstr>
      <vt:lpstr>BUEY2P102</vt:lpstr>
      <vt:lpstr>CONCENTRADO</vt:lpstr>
      <vt:lpstr>G1P102</vt:lpstr>
      <vt:lpstr>CTP103</vt:lpstr>
      <vt:lpstr>TABLERO</vt:lpstr>
      <vt:lpstr>BUEYERA1!CASETA1</vt:lpstr>
      <vt:lpstr>BUEYERA1!CASETA2</vt:lpstr>
      <vt:lpstr>BUEYERA1!CASETA3</vt:lpstr>
      <vt:lpstr>BUEYERA1!CASETA4</vt:lpstr>
      <vt:lpstr>BUEYERA1!CASETA5</vt:lpstr>
      <vt:lpstr>BUEY2P102!CST1BY</vt:lpstr>
      <vt:lpstr>'CTP103'!CST1BY</vt:lpstr>
      <vt:lpstr>G1P102!CST1BY</vt:lpstr>
      <vt:lpstr>BUEY2P102!CST1G1</vt:lpstr>
      <vt:lpstr>'CTP103'!CST1G1</vt:lpstr>
      <vt:lpstr>BUEY2P102!CST2BY</vt:lpstr>
      <vt:lpstr>'CTP103'!CST2BY</vt:lpstr>
      <vt:lpstr>G1P102!CST2BY</vt:lpstr>
      <vt:lpstr>BUEY2P102!CST2G1</vt:lpstr>
      <vt:lpstr>'CTP103'!CST2G1</vt:lpstr>
      <vt:lpstr>BUEY2P102!CST3BY</vt:lpstr>
      <vt:lpstr>'CTP103'!CST3BY</vt:lpstr>
      <vt:lpstr>G1P102!CST3BY</vt:lpstr>
      <vt:lpstr>CST3G1</vt:lpstr>
      <vt:lpstr>G1P102!CST4BY</vt:lpstr>
      <vt:lpstr>CST4G1</vt:lpstr>
      <vt:lpstr>G1P102!CST5BY</vt:lpstr>
      <vt:lpstr>CST5G1</vt:lpstr>
      <vt:lpstr>CST6G1</vt:lpstr>
      <vt:lpstr>CSTA1</vt:lpstr>
      <vt:lpstr>CSTA2</vt:lpstr>
      <vt:lpstr>CSTA4</vt:lpstr>
      <vt:lpstr>DESDOBLE</vt:lpstr>
      <vt:lpstr>GRAF_BUEYERA1</vt:lpstr>
      <vt:lpstr>GRAF_CUARTELES</vt:lpstr>
      <vt:lpstr>LOHMANN</vt:lpstr>
      <vt:lpstr>PARAMETROCRIANZA</vt:lpstr>
      <vt:lpstr>BUEY2P102!Títulos_a_imprimir</vt:lpstr>
      <vt:lpstr>'CTP103'!Títulos_a_imprimir</vt:lpstr>
      <vt:lpstr>CUARTP101!Títulos_a_imprimir</vt:lpstr>
      <vt:lpstr>G1P102!Títulos_a_imprimir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GerenciaProdAvic</dc:creator>
  <cp:lastModifiedBy>Planeación Avic</cp:lastModifiedBy>
  <cp:lastPrinted>2017-10-26T21:41:28Z</cp:lastPrinted>
  <dcterms:created xsi:type="dcterms:W3CDTF">2016-07-07T17:48:02Z</dcterms:created>
  <dcterms:modified xsi:type="dcterms:W3CDTF">2018-07-02T23:00:49Z</dcterms:modified>
</cp:coreProperties>
</file>